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hidePivotFieldList="1" defaultThemeVersion="166925"/>
  <mc:AlternateContent xmlns:mc="http://schemas.openxmlformats.org/markup-compatibility/2006">
    <mc:Choice Requires="x15">
      <x15ac:absPath xmlns:x15ac="http://schemas.microsoft.com/office/spreadsheetml/2010/11/ac" url="C:\COVID\sitio\covid\data\"/>
    </mc:Choice>
  </mc:AlternateContent>
  <xr:revisionPtr revIDLastSave="0" documentId="8_{BFCEF378-8B1C-49F9-ADF5-0D446D08ECB0}" xr6:coauthVersionLast="47" xr6:coauthVersionMax="47" xr10:uidLastSave="{00000000-0000-0000-0000-000000000000}"/>
  <bookViews>
    <workbookView xWindow="390" yWindow="390" windowWidth="11970" windowHeight="10545" tabRatio="621" activeTab="1" xr2:uid="{00000000-000D-0000-FFFF-FFFF00000000}"/>
  </bookViews>
  <sheets>
    <sheet name="argentina_gral" sheetId="1" r:id="rId1"/>
    <sheet name="casos_provincias" sheetId="3" r:id="rId2"/>
    <sheet name="indic" sheetId="12" r:id="rId3"/>
    <sheet name="UTI" sheetId="5" r:id="rId4"/>
    <sheet name="Hoja2" sheetId="33" r:id="rId5"/>
    <sheet name="Hoja3" sheetId="34" r:id="rId6"/>
    <sheet name="argentina_gral (2)" sheetId="23" r:id="rId7"/>
    <sheet name="POBLA" sheetId="16" r:id="rId8"/>
    <sheet name="caba_ind" sheetId="20" r:id="rId9"/>
    <sheet name="DNUS" sheetId="18" r:id="rId10"/>
    <sheet name="POBL" sheetId="15" r:id="rId11"/>
    <sheet name="POBLAC_AMBA" sheetId="9" r:id="rId12"/>
    <sheet name="SEPI" sheetId="31" r:id="rId13"/>
  </sheets>
  <definedNames>
    <definedName name="_xlnm._FilterDatabase" localSheetId="0" hidden="1">argentina_gral!$A$1:$R$388</definedName>
    <definedName name="_xlnm._FilterDatabase" localSheetId="6" hidden="1">'argentina_gral (2)'!$A$1:$R$388</definedName>
    <definedName name="_xlnm._FilterDatabase" localSheetId="1" hidden="1">casos_provincias!$A$1:$H$10993</definedName>
    <definedName name="_xlnm._FilterDatabase" localSheetId="11" hidden="1">POBLAC_AMBA!$A$1:$AW$31</definedName>
  </definedNames>
  <calcPr calcId="181029"/>
  <pivotCaches>
    <pivotCache cacheId="6" r:id="rId14"/>
  </pivotCaches>
  <fileRecoveryPr repair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11137" i="3" l="1"/>
  <c r="L11137" i="3"/>
  <c r="J11137" i="3"/>
  <c r="K11137" i="3" s="1"/>
  <c r="H11137" i="3"/>
  <c r="I11137" i="3" s="1"/>
  <c r="G11137" i="3"/>
  <c r="F11137" i="3"/>
  <c r="M11136" i="3"/>
  <c r="L11136" i="3"/>
  <c r="J11136" i="3"/>
  <c r="K11136" i="3" s="1"/>
  <c r="H11136" i="3"/>
  <c r="G11136" i="3"/>
  <c r="I11136" i="3" s="1"/>
  <c r="F11136" i="3"/>
  <c r="M11135" i="3"/>
  <c r="L11135" i="3"/>
  <c r="J11135" i="3"/>
  <c r="K11135" i="3" s="1"/>
  <c r="H11135" i="3"/>
  <c r="G11135" i="3"/>
  <c r="F11135" i="3"/>
  <c r="M11134" i="3"/>
  <c r="L11134" i="3"/>
  <c r="J11134" i="3"/>
  <c r="K11134" i="3" s="1"/>
  <c r="H11134" i="3"/>
  <c r="G11134" i="3"/>
  <c r="I11134" i="3" s="1"/>
  <c r="F11134" i="3"/>
  <c r="M11133" i="3"/>
  <c r="L11133" i="3"/>
  <c r="J11133" i="3"/>
  <c r="K11133" i="3" s="1"/>
  <c r="H11133" i="3"/>
  <c r="G11133" i="3"/>
  <c r="F11133" i="3"/>
  <c r="M11132" i="3"/>
  <c r="L11132" i="3"/>
  <c r="J11132" i="3"/>
  <c r="K11132" i="3" s="1"/>
  <c r="H11132" i="3"/>
  <c r="G11132" i="3"/>
  <c r="I11132" i="3" s="1"/>
  <c r="F11132" i="3"/>
  <c r="M11131" i="3"/>
  <c r="L11131" i="3"/>
  <c r="J11131" i="3"/>
  <c r="K11131" i="3" s="1"/>
  <c r="H11131" i="3"/>
  <c r="G11131" i="3"/>
  <c r="F11131" i="3"/>
  <c r="M11130" i="3"/>
  <c r="L11130" i="3"/>
  <c r="J11130" i="3"/>
  <c r="K11130" i="3" s="1"/>
  <c r="H11130" i="3"/>
  <c r="G11130" i="3"/>
  <c r="I11130" i="3" s="1"/>
  <c r="F11130" i="3"/>
  <c r="M11129" i="3"/>
  <c r="L11129" i="3"/>
  <c r="J11129" i="3"/>
  <c r="K11129" i="3" s="1"/>
  <c r="H11129" i="3"/>
  <c r="G11129" i="3"/>
  <c r="F11129" i="3"/>
  <c r="M11128" i="3"/>
  <c r="L11128" i="3"/>
  <c r="J11128" i="3"/>
  <c r="K11128" i="3" s="1"/>
  <c r="H11128" i="3"/>
  <c r="G11128" i="3"/>
  <c r="I11128" i="3" s="1"/>
  <c r="F11128" i="3"/>
  <c r="M11127" i="3"/>
  <c r="L11127" i="3"/>
  <c r="J11127" i="3"/>
  <c r="K11127" i="3" s="1"/>
  <c r="H11127" i="3"/>
  <c r="G11127" i="3"/>
  <c r="F11127" i="3"/>
  <c r="M11126" i="3"/>
  <c r="L11126" i="3"/>
  <c r="J11126" i="3"/>
  <c r="K11126" i="3" s="1"/>
  <c r="H11126" i="3"/>
  <c r="G11126" i="3"/>
  <c r="I11126" i="3" s="1"/>
  <c r="F11126" i="3"/>
  <c r="M11125" i="3"/>
  <c r="L11125" i="3"/>
  <c r="J11125" i="3"/>
  <c r="K11125" i="3" s="1"/>
  <c r="H11125" i="3"/>
  <c r="G11125" i="3"/>
  <c r="F11125" i="3"/>
  <c r="M11124" i="3"/>
  <c r="L11124" i="3"/>
  <c r="J11124" i="3"/>
  <c r="K11124" i="3" s="1"/>
  <c r="H11124" i="3"/>
  <c r="G11124" i="3"/>
  <c r="I11124" i="3" s="1"/>
  <c r="F11124" i="3"/>
  <c r="M11123" i="3"/>
  <c r="L11123" i="3"/>
  <c r="J11123" i="3"/>
  <c r="K11123" i="3" s="1"/>
  <c r="H11123" i="3"/>
  <c r="G11123" i="3"/>
  <c r="F11123" i="3"/>
  <c r="M11122" i="3"/>
  <c r="L11122" i="3"/>
  <c r="J11122" i="3"/>
  <c r="K11122" i="3" s="1"/>
  <c r="H11122" i="3"/>
  <c r="G11122" i="3"/>
  <c r="I11122" i="3" s="1"/>
  <c r="F11122" i="3"/>
  <c r="M11121" i="3"/>
  <c r="L11121" i="3"/>
  <c r="J11121" i="3"/>
  <c r="K11121" i="3" s="1"/>
  <c r="H11121" i="3"/>
  <c r="G11121" i="3"/>
  <c r="F11121" i="3"/>
  <c r="M11120" i="3"/>
  <c r="L11120" i="3"/>
  <c r="J11120" i="3"/>
  <c r="K11120" i="3" s="1"/>
  <c r="H11120" i="3"/>
  <c r="G11120" i="3"/>
  <c r="I11120" i="3" s="1"/>
  <c r="F11120" i="3"/>
  <c r="M11119" i="3"/>
  <c r="L11119" i="3"/>
  <c r="J11119" i="3"/>
  <c r="K11119" i="3" s="1"/>
  <c r="H11119" i="3"/>
  <c r="G11119" i="3"/>
  <c r="F11119" i="3"/>
  <c r="M11118" i="3"/>
  <c r="L11118" i="3"/>
  <c r="J11118" i="3"/>
  <c r="K11118" i="3" s="1"/>
  <c r="H11118" i="3"/>
  <c r="G11118" i="3"/>
  <c r="I11118" i="3" s="1"/>
  <c r="F11118" i="3"/>
  <c r="M11117" i="3"/>
  <c r="L11117" i="3"/>
  <c r="J11117" i="3"/>
  <c r="K11117" i="3" s="1"/>
  <c r="H11117" i="3"/>
  <c r="G11117" i="3"/>
  <c r="F11117" i="3"/>
  <c r="M11116" i="3"/>
  <c r="L11116" i="3"/>
  <c r="J11116" i="3"/>
  <c r="K11116" i="3" s="1"/>
  <c r="H11116" i="3"/>
  <c r="G11116" i="3"/>
  <c r="I11116" i="3" s="1"/>
  <c r="F11116" i="3"/>
  <c r="M11115" i="3"/>
  <c r="L11115" i="3"/>
  <c r="J11115" i="3"/>
  <c r="K11115" i="3" s="1"/>
  <c r="H11115" i="3"/>
  <c r="G11115" i="3"/>
  <c r="F11115" i="3"/>
  <c r="M11114" i="3"/>
  <c r="L11114" i="3"/>
  <c r="J11114" i="3"/>
  <c r="K11114" i="3" s="1"/>
  <c r="H11114" i="3"/>
  <c r="G11114" i="3"/>
  <c r="I11114" i="3" s="1"/>
  <c r="F11114" i="3"/>
  <c r="D11137" i="3"/>
  <c r="D11136" i="3"/>
  <c r="D11135" i="3"/>
  <c r="D11134" i="3"/>
  <c r="D11133" i="3"/>
  <c r="D11132" i="3"/>
  <c r="D11131" i="3"/>
  <c r="D11130" i="3"/>
  <c r="D11129" i="3"/>
  <c r="D11128" i="3"/>
  <c r="D11127" i="3"/>
  <c r="D11126" i="3"/>
  <c r="D11125" i="3"/>
  <c r="D11124" i="3"/>
  <c r="D11123" i="3"/>
  <c r="D11122" i="3"/>
  <c r="D11121" i="3"/>
  <c r="D11120" i="3"/>
  <c r="D11119" i="3"/>
  <c r="D11118" i="3"/>
  <c r="D11117" i="3"/>
  <c r="D11116" i="3"/>
  <c r="D11115" i="3"/>
  <c r="D11114" i="3"/>
  <c r="S465" i="1"/>
  <c r="J465" i="1"/>
  <c r="F465" i="1"/>
  <c r="C465" i="1"/>
  <c r="B465" i="23"/>
  <c r="AI464" i="23"/>
  <c r="K464" i="23"/>
  <c r="N464" i="23"/>
  <c r="U464" i="23"/>
  <c r="V464" i="23"/>
  <c r="W464" i="23"/>
  <c r="X464" i="23"/>
  <c r="Y464" i="23"/>
  <c r="Z464" i="23"/>
  <c r="AE464" i="23" s="1"/>
  <c r="AA464" i="23"/>
  <c r="AJ464" i="23" s="1"/>
  <c r="AB464" i="23"/>
  <c r="AC464" i="23"/>
  <c r="AD464" i="23"/>
  <c r="AF464" i="23"/>
  <c r="AG464" i="23"/>
  <c r="AH464" i="23"/>
  <c r="AK464" i="23"/>
  <c r="AL464" i="23"/>
  <c r="AM464" i="23"/>
  <c r="AN464" i="23"/>
  <c r="AO464" i="23"/>
  <c r="AP464" i="23"/>
  <c r="AR464" i="23"/>
  <c r="J464" i="23"/>
  <c r="F464" i="23"/>
  <c r="E464" i="23"/>
  <c r="C464" i="23"/>
  <c r="M11113" i="3"/>
  <c r="L11113" i="3"/>
  <c r="J11113" i="3"/>
  <c r="K11113" i="3" s="1"/>
  <c r="H11113" i="3"/>
  <c r="I11113" i="3" s="1"/>
  <c r="G11113" i="3"/>
  <c r="F11113" i="3"/>
  <c r="M11112" i="3"/>
  <c r="L11112" i="3"/>
  <c r="J11112" i="3"/>
  <c r="K11112" i="3" s="1"/>
  <c r="H11112" i="3"/>
  <c r="I11112" i="3" s="1"/>
  <c r="G11112" i="3"/>
  <c r="F11112" i="3"/>
  <c r="M11111" i="3"/>
  <c r="L11111" i="3"/>
  <c r="J11111" i="3"/>
  <c r="K11111" i="3" s="1"/>
  <c r="H11111" i="3"/>
  <c r="G11111" i="3"/>
  <c r="F11111" i="3"/>
  <c r="M11110" i="3"/>
  <c r="L11110" i="3"/>
  <c r="J11110" i="3"/>
  <c r="K11110" i="3" s="1"/>
  <c r="H11110" i="3"/>
  <c r="G11110" i="3"/>
  <c r="F11110" i="3"/>
  <c r="M11109" i="3"/>
  <c r="L11109" i="3"/>
  <c r="J11109" i="3"/>
  <c r="K11109" i="3" s="1"/>
  <c r="H11109" i="3"/>
  <c r="G11109" i="3"/>
  <c r="F11109" i="3"/>
  <c r="M11108" i="3"/>
  <c r="L11108" i="3"/>
  <c r="J11108" i="3"/>
  <c r="K11108" i="3" s="1"/>
  <c r="H11108" i="3"/>
  <c r="G11108" i="3"/>
  <c r="F11108" i="3"/>
  <c r="M11107" i="3"/>
  <c r="L11107" i="3"/>
  <c r="J11107" i="3"/>
  <c r="K11107" i="3" s="1"/>
  <c r="H11107" i="3"/>
  <c r="G11107" i="3"/>
  <c r="F11107" i="3"/>
  <c r="M11106" i="3"/>
  <c r="L11106" i="3"/>
  <c r="J11106" i="3"/>
  <c r="K11106" i="3" s="1"/>
  <c r="H11106" i="3"/>
  <c r="G11106" i="3"/>
  <c r="F11106" i="3"/>
  <c r="M11105" i="3"/>
  <c r="L11105" i="3"/>
  <c r="J11105" i="3"/>
  <c r="K11105" i="3" s="1"/>
  <c r="H11105" i="3"/>
  <c r="G11105" i="3"/>
  <c r="F11105" i="3"/>
  <c r="M11104" i="3"/>
  <c r="L11104" i="3"/>
  <c r="J11104" i="3"/>
  <c r="K11104" i="3" s="1"/>
  <c r="H11104" i="3"/>
  <c r="G11104" i="3"/>
  <c r="F11104" i="3"/>
  <c r="M11103" i="3"/>
  <c r="L11103" i="3"/>
  <c r="J11103" i="3"/>
  <c r="K11103" i="3" s="1"/>
  <c r="H11103" i="3"/>
  <c r="G11103" i="3"/>
  <c r="F11103" i="3"/>
  <c r="M11102" i="3"/>
  <c r="L11102" i="3"/>
  <c r="J11102" i="3"/>
  <c r="K11102" i="3" s="1"/>
  <c r="H11102" i="3"/>
  <c r="G11102" i="3"/>
  <c r="F11102" i="3"/>
  <c r="M11101" i="3"/>
  <c r="L11101" i="3"/>
  <c r="J11101" i="3"/>
  <c r="K11101" i="3" s="1"/>
  <c r="H11101" i="3"/>
  <c r="G11101" i="3"/>
  <c r="F11101" i="3"/>
  <c r="M11100" i="3"/>
  <c r="L11100" i="3"/>
  <c r="J11100" i="3"/>
  <c r="K11100" i="3" s="1"/>
  <c r="H11100" i="3"/>
  <c r="G11100" i="3"/>
  <c r="F11100" i="3"/>
  <c r="M11099" i="3"/>
  <c r="L11099" i="3"/>
  <c r="J11099" i="3"/>
  <c r="K11099" i="3" s="1"/>
  <c r="H11099" i="3"/>
  <c r="G11099" i="3"/>
  <c r="F11099" i="3"/>
  <c r="M11098" i="3"/>
  <c r="L11098" i="3"/>
  <c r="J11098" i="3"/>
  <c r="K11098" i="3" s="1"/>
  <c r="H11098" i="3"/>
  <c r="G11098" i="3"/>
  <c r="F11098" i="3"/>
  <c r="M11097" i="3"/>
  <c r="L11097" i="3"/>
  <c r="J11097" i="3"/>
  <c r="K11097" i="3" s="1"/>
  <c r="H11097" i="3"/>
  <c r="G11097" i="3"/>
  <c r="F11097" i="3"/>
  <c r="M11096" i="3"/>
  <c r="L11096" i="3"/>
  <c r="J11096" i="3"/>
  <c r="K11096" i="3" s="1"/>
  <c r="H11096" i="3"/>
  <c r="G11096" i="3"/>
  <c r="F11096" i="3"/>
  <c r="M11095" i="3"/>
  <c r="L11095" i="3"/>
  <c r="J11095" i="3"/>
  <c r="K11095" i="3" s="1"/>
  <c r="H11095" i="3"/>
  <c r="G11095" i="3"/>
  <c r="F11095" i="3"/>
  <c r="M11094" i="3"/>
  <c r="L11094" i="3"/>
  <c r="J11094" i="3"/>
  <c r="K11094" i="3" s="1"/>
  <c r="H11094" i="3"/>
  <c r="G11094" i="3"/>
  <c r="F11094" i="3"/>
  <c r="M11093" i="3"/>
  <c r="L11093" i="3"/>
  <c r="J11093" i="3"/>
  <c r="K11093" i="3" s="1"/>
  <c r="H11093" i="3"/>
  <c r="G11093" i="3"/>
  <c r="F11093" i="3"/>
  <c r="M11092" i="3"/>
  <c r="L11092" i="3"/>
  <c r="J11092" i="3"/>
  <c r="K11092" i="3" s="1"/>
  <c r="H11092" i="3"/>
  <c r="G11092" i="3"/>
  <c r="F11092" i="3"/>
  <c r="M11091" i="3"/>
  <c r="L11091" i="3"/>
  <c r="J11091" i="3"/>
  <c r="K11091" i="3" s="1"/>
  <c r="H11091" i="3"/>
  <c r="G11091" i="3"/>
  <c r="F11091" i="3"/>
  <c r="M11090" i="3"/>
  <c r="L11090" i="3"/>
  <c r="J11090" i="3"/>
  <c r="K11090" i="3" s="1"/>
  <c r="H11090" i="3"/>
  <c r="G11090" i="3"/>
  <c r="F11090" i="3"/>
  <c r="D11113" i="3"/>
  <c r="D11112" i="3"/>
  <c r="D11111" i="3"/>
  <c r="D11110" i="3"/>
  <c r="D11109" i="3"/>
  <c r="D11108" i="3"/>
  <c r="D11107" i="3"/>
  <c r="D11106" i="3"/>
  <c r="D11105" i="3"/>
  <c r="D11104" i="3"/>
  <c r="D11103" i="3"/>
  <c r="D11102" i="3"/>
  <c r="D11101" i="3"/>
  <c r="D11100" i="3"/>
  <c r="D11099" i="3"/>
  <c r="D11098" i="3"/>
  <c r="D11097" i="3"/>
  <c r="D11096" i="3"/>
  <c r="D11095" i="3"/>
  <c r="D11094" i="3"/>
  <c r="D11093" i="3"/>
  <c r="D11092" i="3"/>
  <c r="D11091" i="3"/>
  <c r="D11090" i="3"/>
  <c r="S464" i="1"/>
  <c r="J464" i="1"/>
  <c r="F464" i="1"/>
  <c r="C464" i="1"/>
  <c r="AP53" i="23"/>
  <c r="AP54" i="23"/>
  <c r="AP55" i="23"/>
  <c r="AP56" i="23"/>
  <c r="AP57" i="23"/>
  <c r="AP58" i="23"/>
  <c r="AP59" i="23"/>
  <c r="AP60" i="23"/>
  <c r="AP61" i="23"/>
  <c r="AP62" i="23"/>
  <c r="AP63" i="23"/>
  <c r="AP64" i="23"/>
  <c r="AP65" i="23"/>
  <c r="AP66" i="23"/>
  <c r="AP67" i="23"/>
  <c r="AP68" i="23"/>
  <c r="AP69" i="23"/>
  <c r="AP70" i="23"/>
  <c r="AP71" i="23"/>
  <c r="AP72" i="23"/>
  <c r="AP73" i="23"/>
  <c r="AP74" i="23"/>
  <c r="AP75" i="23"/>
  <c r="AP76" i="23"/>
  <c r="AP77" i="23"/>
  <c r="AP78" i="23"/>
  <c r="AP79" i="23"/>
  <c r="AP80" i="23"/>
  <c r="AP81" i="23"/>
  <c r="AP82" i="23"/>
  <c r="AP83" i="23"/>
  <c r="AP84" i="23"/>
  <c r="AP85" i="23"/>
  <c r="AP86" i="23"/>
  <c r="AP87" i="23"/>
  <c r="AP88" i="23"/>
  <c r="AP89" i="23"/>
  <c r="AP90" i="23"/>
  <c r="AP91" i="23"/>
  <c r="AP92" i="23"/>
  <c r="AP93" i="23"/>
  <c r="AP94" i="23"/>
  <c r="AP95" i="23"/>
  <c r="AP96" i="23"/>
  <c r="AP97" i="23"/>
  <c r="AP98" i="23"/>
  <c r="AP99" i="23"/>
  <c r="AP100" i="23"/>
  <c r="AP101" i="23"/>
  <c r="AP102" i="23"/>
  <c r="AP103" i="23"/>
  <c r="AP104" i="23"/>
  <c r="AP105" i="23"/>
  <c r="AP106" i="23"/>
  <c r="AP107" i="23"/>
  <c r="AP108" i="23"/>
  <c r="AP109" i="23"/>
  <c r="AP110" i="23"/>
  <c r="AP111" i="23"/>
  <c r="AP112" i="23"/>
  <c r="AP113" i="23"/>
  <c r="AP114" i="23"/>
  <c r="AP115" i="23"/>
  <c r="AP116" i="23"/>
  <c r="AP117" i="23"/>
  <c r="AP118" i="23"/>
  <c r="AP119" i="23"/>
  <c r="AP120" i="23"/>
  <c r="AP121" i="23"/>
  <c r="AP122" i="23"/>
  <c r="AP123" i="23"/>
  <c r="AP124" i="23"/>
  <c r="AP125" i="23"/>
  <c r="AP126" i="23"/>
  <c r="AP127" i="23"/>
  <c r="AP128" i="23"/>
  <c r="AP129" i="23"/>
  <c r="AP130" i="23"/>
  <c r="AP131" i="23"/>
  <c r="AP132" i="23"/>
  <c r="AP133" i="23"/>
  <c r="AP134" i="23"/>
  <c r="AP135" i="23"/>
  <c r="AP136" i="23"/>
  <c r="AP137" i="23"/>
  <c r="AP138" i="23"/>
  <c r="AP139" i="23"/>
  <c r="AP140" i="23"/>
  <c r="AP141" i="23"/>
  <c r="AP142" i="23"/>
  <c r="AP143" i="23"/>
  <c r="AP144" i="23"/>
  <c r="AP145" i="23"/>
  <c r="AP146" i="23"/>
  <c r="AP147" i="23"/>
  <c r="AP148" i="23"/>
  <c r="AP149" i="23"/>
  <c r="AP150" i="23"/>
  <c r="AP151" i="23"/>
  <c r="AP152" i="23"/>
  <c r="AP153" i="23"/>
  <c r="AP154" i="23"/>
  <c r="AP155" i="23"/>
  <c r="AP156" i="23"/>
  <c r="AP157" i="23"/>
  <c r="AP158" i="23"/>
  <c r="AP159" i="23"/>
  <c r="AP160" i="23"/>
  <c r="AP161" i="23"/>
  <c r="AP162" i="23"/>
  <c r="AP163" i="23"/>
  <c r="AP164" i="23"/>
  <c r="AP165" i="23"/>
  <c r="AP166" i="23"/>
  <c r="AP167" i="23"/>
  <c r="AP168" i="23"/>
  <c r="AP169" i="23"/>
  <c r="AP170" i="23"/>
  <c r="AP171" i="23"/>
  <c r="AP172" i="23"/>
  <c r="AP173" i="23"/>
  <c r="AP174" i="23"/>
  <c r="AP175" i="23"/>
  <c r="AP176" i="23"/>
  <c r="AP177" i="23"/>
  <c r="AP178" i="23"/>
  <c r="AP179" i="23"/>
  <c r="AP180" i="23"/>
  <c r="AP181" i="23"/>
  <c r="AP182" i="23"/>
  <c r="AP183" i="23"/>
  <c r="AP184" i="23"/>
  <c r="AP185" i="23"/>
  <c r="AP186" i="23"/>
  <c r="AP187" i="23"/>
  <c r="AP188" i="23"/>
  <c r="AP189" i="23"/>
  <c r="AP190" i="23"/>
  <c r="AP191" i="23"/>
  <c r="AP192" i="23"/>
  <c r="AP193" i="23"/>
  <c r="AP194" i="23"/>
  <c r="AP195" i="23"/>
  <c r="AP196" i="23"/>
  <c r="AP197" i="23"/>
  <c r="AP198" i="23"/>
  <c r="AP199" i="23"/>
  <c r="AP200" i="23"/>
  <c r="AP201" i="23"/>
  <c r="AP202" i="23"/>
  <c r="AP203" i="23"/>
  <c r="AP204" i="23"/>
  <c r="AP205" i="23"/>
  <c r="AP206" i="23"/>
  <c r="AP207" i="23"/>
  <c r="AP208" i="23"/>
  <c r="AP209" i="23"/>
  <c r="AP210" i="23"/>
  <c r="AP211" i="23"/>
  <c r="AP212" i="23"/>
  <c r="AP213" i="23"/>
  <c r="AP214" i="23"/>
  <c r="AP215" i="23"/>
  <c r="AP216" i="23"/>
  <c r="AP217" i="23"/>
  <c r="AP218" i="23"/>
  <c r="AP219" i="23"/>
  <c r="AP220" i="23"/>
  <c r="AP221" i="23"/>
  <c r="AP222" i="23"/>
  <c r="AP223" i="23"/>
  <c r="AP224" i="23"/>
  <c r="AP225" i="23"/>
  <c r="AP226" i="23"/>
  <c r="AP227" i="23"/>
  <c r="AP228" i="23"/>
  <c r="AP229" i="23"/>
  <c r="AP230" i="23"/>
  <c r="AP231" i="23"/>
  <c r="AP232" i="23"/>
  <c r="AP233" i="23"/>
  <c r="AP234" i="23"/>
  <c r="AP235" i="23"/>
  <c r="AP236" i="23"/>
  <c r="AP237" i="23"/>
  <c r="AP238" i="23"/>
  <c r="AP239" i="23"/>
  <c r="AP240" i="23"/>
  <c r="AP241" i="23"/>
  <c r="AP242" i="23"/>
  <c r="AP243" i="23"/>
  <c r="AP244" i="23"/>
  <c r="AP245" i="23"/>
  <c r="AP246" i="23"/>
  <c r="AP247" i="23"/>
  <c r="AP248" i="23"/>
  <c r="AP249" i="23"/>
  <c r="AP250" i="23"/>
  <c r="AP251" i="23"/>
  <c r="AP252" i="23"/>
  <c r="AP253" i="23"/>
  <c r="AP254" i="23"/>
  <c r="AP255" i="23"/>
  <c r="AP256" i="23"/>
  <c r="AP257" i="23"/>
  <c r="AP258" i="23"/>
  <c r="AP259" i="23"/>
  <c r="AP260" i="23"/>
  <c r="AP261" i="23"/>
  <c r="AP262" i="23"/>
  <c r="AP263" i="23"/>
  <c r="AP264" i="23"/>
  <c r="AP265" i="23"/>
  <c r="AP266" i="23"/>
  <c r="AP267" i="23"/>
  <c r="AP268" i="23"/>
  <c r="AP269" i="23"/>
  <c r="AP270" i="23"/>
  <c r="AP271" i="23"/>
  <c r="AP272" i="23"/>
  <c r="AP273" i="23"/>
  <c r="AP274" i="23"/>
  <c r="AP275" i="23"/>
  <c r="AP276" i="23"/>
  <c r="AP277" i="23"/>
  <c r="AP278" i="23"/>
  <c r="AP279" i="23"/>
  <c r="AP280" i="23"/>
  <c r="AP281" i="23"/>
  <c r="AP282" i="23"/>
  <c r="AP283" i="23"/>
  <c r="AP284" i="23"/>
  <c r="AP285" i="23"/>
  <c r="AP286" i="23"/>
  <c r="AP287" i="23"/>
  <c r="AP288" i="23"/>
  <c r="AP289" i="23"/>
  <c r="AP290" i="23"/>
  <c r="AP291" i="23"/>
  <c r="AP292" i="23"/>
  <c r="AP293" i="23"/>
  <c r="AP294" i="23"/>
  <c r="AP295" i="23"/>
  <c r="AP296" i="23"/>
  <c r="AP297" i="23"/>
  <c r="AP298" i="23"/>
  <c r="AP299" i="23"/>
  <c r="AP300" i="23"/>
  <c r="AP301" i="23"/>
  <c r="AP302" i="23"/>
  <c r="AP303" i="23"/>
  <c r="AP304" i="23"/>
  <c r="AP305" i="23"/>
  <c r="AP306" i="23"/>
  <c r="AP307" i="23"/>
  <c r="AP308" i="23"/>
  <c r="AP309" i="23"/>
  <c r="AP310" i="23"/>
  <c r="AP311" i="23"/>
  <c r="AP312" i="23"/>
  <c r="AP313" i="23"/>
  <c r="AP314" i="23"/>
  <c r="AP315" i="23"/>
  <c r="AP316" i="23"/>
  <c r="AP317" i="23"/>
  <c r="AP318" i="23"/>
  <c r="AP319" i="23"/>
  <c r="AP320" i="23"/>
  <c r="AP321" i="23"/>
  <c r="AP322" i="23"/>
  <c r="AP323" i="23"/>
  <c r="AP324" i="23"/>
  <c r="AP325" i="23"/>
  <c r="AP326" i="23"/>
  <c r="AP327" i="23"/>
  <c r="AP328" i="23"/>
  <c r="AP329" i="23"/>
  <c r="AP330" i="23"/>
  <c r="AP331" i="23"/>
  <c r="AP332" i="23"/>
  <c r="AP333" i="23"/>
  <c r="AP334" i="23"/>
  <c r="AP335" i="23"/>
  <c r="AP336" i="23"/>
  <c r="AP337" i="23"/>
  <c r="AP338" i="23"/>
  <c r="AP339" i="23"/>
  <c r="AP340" i="23"/>
  <c r="AP341" i="23"/>
  <c r="AP342" i="23"/>
  <c r="AP343" i="23"/>
  <c r="AP344" i="23"/>
  <c r="AP345" i="23"/>
  <c r="AP346" i="23"/>
  <c r="AP347" i="23"/>
  <c r="AP348" i="23"/>
  <c r="AP349" i="23"/>
  <c r="AP350" i="23"/>
  <c r="AP351" i="23"/>
  <c r="AP352" i="23"/>
  <c r="AP353" i="23"/>
  <c r="AP354" i="23"/>
  <c r="AP355" i="23"/>
  <c r="AP356" i="23"/>
  <c r="AP357" i="23"/>
  <c r="AP358" i="23"/>
  <c r="AP359" i="23"/>
  <c r="AP360" i="23"/>
  <c r="AP361" i="23"/>
  <c r="AP362" i="23"/>
  <c r="AP363" i="23"/>
  <c r="AP364" i="23"/>
  <c r="AP365" i="23"/>
  <c r="AP366" i="23"/>
  <c r="AP367" i="23"/>
  <c r="AP368" i="23"/>
  <c r="AP369" i="23"/>
  <c r="AP370" i="23"/>
  <c r="AP371" i="23"/>
  <c r="AP372" i="23"/>
  <c r="AP373" i="23"/>
  <c r="AP374" i="23"/>
  <c r="AP375" i="23"/>
  <c r="AP376" i="23"/>
  <c r="AP377" i="23"/>
  <c r="AP378" i="23"/>
  <c r="AP379" i="23"/>
  <c r="AP380" i="23"/>
  <c r="AP381" i="23"/>
  <c r="AP382" i="23"/>
  <c r="AP383" i="23"/>
  <c r="AP384" i="23"/>
  <c r="AP385" i="23"/>
  <c r="AP386" i="23"/>
  <c r="AP387" i="23"/>
  <c r="AP388" i="23"/>
  <c r="AP389" i="23"/>
  <c r="AP390" i="23"/>
  <c r="AP391" i="23"/>
  <c r="AP392" i="23"/>
  <c r="AP393" i="23"/>
  <c r="AP394" i="23"/>
  <c r="AP395" i="23"/>
  <c r="AP396" i="23"/>
  <c r="AP397" i="23"/>
  <c r="AP398" i="23"/>
  <c r="AP399" i="23"/>
  <c r="AP400" i="23"/>
  <c r="AP401" i="23"/>
  <c r="AP402" i="23"/>
  <c r="AP403" i="23"/>
  <c r="AP404" i="23"/>
  <c r="AP405" i="23"/>
  <c r="AP406" i="23"/>
  <c r="AP407" i="23"/>
  <c r="AP408" i="23"/>
  <c r="AP409" i="23"/>
  <c r="AP410" i="23"/>
  <c r="AR463" i="23"/>
  <c r="AD176" i="5"/>
  <c r="AK463" i="23"/>
  <c r="AJ463" i="23"/>
  <c r="AI463" i="23"/>
  <c r="AH463" i="23"/>
  <c r="AG463" i="23"/>
  <c r="AF463" i="23"/>
  <c r="AE463" i="23"/>
  <c r="L11067" i="3"/>
  <c r="M11072" i="3"/>
  <c r="AB463" i="23"/>
  <c r="AA463" i="23"/>
  <c r="N433" i="23"/>
  <c r="N434" i="23"/>
  <c r="N435" i="23"/>
  <c r="N436" i="23"/>
  <c r="N437" i="23"/>
  <c r="N438" i="23"/>
  <c r="N441" i="23"/>
  <c r="N442" i="23"/>
  <c r="N443" i="23"/>
  <c r="N444" i="23"/>
  <c r="N445" i="23"/>
  <c r="N446" i="23"/>
  <c r="N447" i="23"/>
  <c r="N448" i="23"/>
  <c r="N449" i="23"/>
  <c r="N450" i="23"/>
  <c r="N451" i="23"/>
  <c r="N452" i="23"/>
  <c r="N453" i="23"/>
  <c r="N454" i="23"/>
  <c r="N455" i="23"/>
  <c r="N456" i="23"/>
  <c r="N457" i="23"/>
  <c r="N458" i="23"/>
  <c r="N459" i="23"/>
  <c r="N462" i="23"/>
  <c r="N463" i="23"/>
  <c r="N418" i="23"/>
  <c r="N419" i="23"/>
  <c r="N420" i="23"/>
  <c r="N421" i="23"/>
  <c r="N422" i="23"/>
  <c r="N423" i="23"/>
  <c r="N424" i="23"/>
  <c r="N425" i="23"/>
  <c r="N426" i="23"/>
  <c r="N427" i="23"/>
  <c r="N428" i="23"/>
  <c r="N429" i="23"/>
  <c r="N430" i="23"/>
  <c r="N431" i="23"/>
  <c r="K421" i="23"/>
  <c r="K422" i="23"/>
  <c r="K423" i="23"/>
  <c r="K424" i="23"/>
  <c r="K425" i="23"/>
  <c r="K426" i="23"/>
  <c r="K427" i="23"/>
  <c r="K428" i="23"/>
  <c r="K429" i="23"/>
  <c r="K430" i="23"/>
  <c r="K431" i="23"/>
  <c r="K432" i="23"/>
  <c r="K433" i="23"/>
  <c r="K434" i="23"/>
  <c r="K435" i="23"/>
  <c r="K436" i="23"/>
  <c r="K437" i="23"/>
  <c r="K438" i="23"/>
  <c r="K439" i="23"/>
  <c r="K440" i="23"/>
  <c r="K441" i="23"/>
  <c r="K442" i="23"/>
  <c r="K443" i="23"/>
  <c r="K444" i="23"/>
  <c r="K445" i="23"/>
  <c r="K455" i="23"/>
  <c r="M461" i="1"/>
  <c r="M462" i="1"/>
  <c r="M463" i="1"/>
  <c r="AG458" i="23"/>
  <c r="AD463" i="23"/>
  <c r="Y463" i="23"/>
  <c r="U463" i="23"/>
  <c r="V463" i="23"/>
  <c r="W463" i="23"/>
  <c r="Z463" i="23"/>
  <c r="AL463" i="23"/>
  <c r="AN463" i="23"/>
  <c r="AO463" i="23"/>
  <c r="AP463" i="23"/>
  <c r="AQ463" i="23"/>
  <c r="J463" i="23"/>
  <c r="F463" i="23"/>
  <c r="C463" i="23"/>
  <c r="M11089" i="3"/>
  <c r="L11089" i="3"/>
  <c r="J11089" i="3"/>
  <c r="K11089" i="3" s="1"/>
  <c r="H11089" i="3"/>
  <c r="I11089" i="3" s="1"/>
  <c r="G11089" i="3"/>
  <c r="F11089" i="3"/>
  <c r="M11088" i="3"/>
  <c r="L11088" i="3"/>
  <c r="J11088" i="3"/>
  <c r="K11088" i="3" s="1"/>
  <c r="H11088" i="3"/>
  <c r="G11088" i="3"/>
  <c r="F11088" i="3"/>
  <c r="M11087" i="3"/>
  <c r="L11087" i="3"/>
  <c r="J11087" i="3"/>
  <c r="K11087" i="3" s="1"/>
  <c r="H11087" i="3"/>
  <c r="G11087" i="3"/>
  <c r="F11087" i="3"/>
  <c r="M11086" i="3"/>
  <c r="L11086" i="3"/>
  <c r="J11086" i="3"/>
  <c r="K11086" i="3" s="1"/>
  <c r="H11086" i="3"/>
  <c r="G11086" i="3"/>
  <c r="I11086" i="3" s="1"/>
  <c r="F11086" i="3"/>
  <c r="M11085" i="3"/>
  <c r="L11085" i="3"/>
  <c r="J11085" i="3"/>
  <c r="K11085" i="3" s="1"/>
  <c r="H11085" i="3"/>
  <c r="G11085" i="3"/>
  <c r="F11085" i="3"/>
  <c r="M11084" i="3"/>
  <c r="L11084" i="3"/>
  <c r="J11084" i="3"/>
  <c r="K11084" i="3" s="1"/>
  <c r="H11084" i="3"/>
  <c r="G11084" i="3"/>
  <c r="F11084" i="3"/>
  <c r="M11083" i="3"/>
  <c r="L11083" i="3"/>
  <c r="J11083" i="3"/>
  <c r="K11083" i="3" s="1"/>
  <c r="H11083" i="3"/>
  <c r="G11083" i="3"/>
  <c r="F11083" i="3"/>
  <c r="M11082" i="3"/>
  <c r="L11082" i="3"/>
  <c r="J11082" i="3"/>
  <c r="K11082" i="3" s="1"/>
  <c r="H11082" i="3"/>
  <c r="G11082" i="3"/>
  <c r="F11082" i="3"/>
  <c r="M11081" i="3"/>
  <c r="L11081" i="3"/>
  <c r="J11081" i="3"/>
  <c r="K11081" i="3" s="1"/>
  <c r="H11081" i="3"/>
  <c r="G11081" i="3"/>
  <c r="F11081" i="3"/>
  <c r="M11080" i="3"/>
  <c r="L11080" i="3"/>
  <c r="J11080" i="3"/>
  <c r="K11080" i="3" s="1"/>
  <c r="H11080" i="3"/>
  <c r="G11080" i="3"/>
  <c r="F11080" i="3"/>
  <c r="M11079" i="3"/>
  <c r="L11079" i="3"/>
  <c r="J11079" i="3"/>
  <c r="K11079" i="3" s="1"/>
  <c r="H11079" i="3"/>
  <c r="G11079" i="3"/>
  <c r="F11079" i="3"/>
  <c r="M11078" i="3"/>
  <c r="L11078" i="3"/>
  <c r="J11078" i="3"/>
  <c r="K11078" i="3" s="1"/>
  <c r="H11078" i="3"/>
  <c r="G11078" i="3"/>
  <c r="F11078" i="3"/>
  <c r="M11077" i="3"/>
  <c r="L11077" i="3"/>
  <c r="J11077" i="3"/>
  <c r="K11077" i="3" s="1"/>
  <c r="H11077" i="3"/>
  <c r="G11077" i="3"/>
  <c r="F11077" i="3"/>
  <c r="M11076" i="3"/>
  <c r="L11076" i="3"/>
  <c r="J11076" i="3"/>
  <c r="K11076" i="3" s="1"/>
  <c r="H11076" i="3"/>
  <c r="G11076" i="3"/>
  <c r="F11076" i="3"/>
  <c r="M11075" i="3"/>
  <c r="L11075" i="3"/>
  <c r="J11075" i="3"/>
  <c r="K11075" i="3" s="1"/>
  <c r="H11075" i="3"/>
  <c r="G11075" i="3"/>
  <c r="F11075" i="3"/>
  <c r="M11074" i="3"/>
  <c r="L11074" i="3"/>
  <c r="J11074" i="3"/>
  <c r="K11074" i="3" s="1"/>
  <c r="H11074" i="3"/>
  <c r="G11074" i="3"/>
  <c r="F11074" i="3"/>
  <c r="M11073" i="3"/>
  <c r="L11073" i="3"/>
  <c r="J11073" i="3"/>
  <c r="K11073" i="3" s="1"/>
  <c r="H11073" i="3"/>
  <c r="G11073" i="3"/>
  <c r="F11073" i="3"/>
  <c r="L11072" i="3"/>
  <c r="J11072" i="3"/>
  <c r="K11072" i="3" s="1"/>
  <c r="H11072" i="3"/>
  <c r="G11072" i="3"/>
  <c r="F11072" i="3"/>
  <c r="M11071" i="3"/>
  <c r="L11071" i="3"/>
  <c r="J11071" i="3"/>
  <c r="K11071" i="3" s="1"/>
  <c r="H11071" i="3"/>
  <c r="G11071" i="3"/>
  <c r="F11071" i="3"/>
  <c r="M11070" i="3"/>
  <c r="L11070" i="3"/>
  <c r="J11070" i="3"/>
  <c r="K11070" i="3" s="1"/>
  <c r="H11070" i="3"/>
  <c r="G11070" i="3"/>
  <c r="F11070" i="3"/>
  <c r="M11069" i="3"/>
  <c r="L11069" i="3"/>
  <c r="J11069" i="3"/>
  <c r="K11069" i="3" s="1"/>
  <c r="H11069" i="3"/>
  <c r="G11069" i="3"/>
  <c r="F11069" i="3"/>
  <c r="M11068" i="3"/>
  <c r="L11068" i="3"/>
  <c r="J11068" i="3"/>
  <c r="K11068" i="3" s="1"/>
  <c r="H11068" i="3"/>
  <c r="G11068" i="3"/>
  <c r="F11068" i="3"/>
  <c r="M11067" i="3"/>
  <c r="J11067" i="3"/>
  <c r="K11067" i="3" s="1"/>
  <c r="H11067" i="3"/>
  <c r="G11067" i="3"/>
  <c r="F11067" i="3"/>
  <c r="M11066" i="3"/>
  <c r="L11066" i="3"/>
  <c r="J11066" i="3"/>
  <c r="K11066" i="3" s="1"/>
  <c r="H11066" i="3"/>
  <c r="G11066" i="3"/>
  <c r="F11066" i="3"/>
  <c r="D11089" i="3"/>
  <c r="D11088" i="3"/>
  <c r="D11087" i="3"/>
  <c r="D11086" i="3"/>
  <c r="D11085" i="3"/>
  <c r="D11084" i="3"/>
  <c r="D11083" i="3"/>
  <c r="D11082" i="3"/>
  <c r="D11081" i="3"/>
  <c r="D11080" i="3"/>
  <c r="D11079" i="3"/>
  <c r="D11078" i="3"/>
  <c r="D11077" i="3"/>
  <c r="D11076" i="3"/>
  <c r="D11075" i="3"/>
  <c r="D11074" i="3"/>
  <c r="D11073" i="3"/>
  <c r="D11072" i="3"/>
  <c r="D11071" i="3"/>
  <c r="D11070" i="3"/>
  <c r="D11069" i="3"/>
  <c r="D11068" i="3"/>
  <c r="D11067" i="3"/>
  <c r="D11066" i="3"/>
  <c r="S463" i="1"/>
  <c r="F463" i="1"/>
  <c r="U460" i="23"/>
  <c r="V460" i="23"/>
  <c r="W460" i="23"/>
  <c r="Y460" i="23"/>
  <c r="Z460" i="23"/>
  <c r="AA460" i="23"/>
  <c r="AJ460" i="23" s="1"/>
  <c r="AD460" i="23"/>
  <c r="AE460" i="23"/>
  <c r="AG460" i="23"/>
  <c r="AI460" i="23"/>
  <c r="AL460" i="23"/>
  <c r="AN460" i="23"/>
  <c r="AO460" i="23"/>
  <c r="AP460" i="23"/>
  <c r="AR460" i="23"/>
  <c r="U461" i="23"/>
  <c r="V461" i="23"/>
  <c r="W461" i="23"/>
  <c r="Y461" i="23"/>
  <c r="Z461" i="23"/>
  <c r="AE461" i="23" s="1"/>
  <c r="AI461" i="23" s="1"/>
  <c r="AA461" i="23"/>
  <c r="AD461" i="23"/>
  <c r="AG461" i="23"/>
  <c r="AL461" i="23"/>
  <c r="AN461" i="23"/>
  <c r="AO461" i="23"/>
  <c r="AP461" i="23"/>
  <c r="AR461" i="23"/>
  <c r="U462" i="23"/>
  <c r="V462" i="23"/>
  <c r="W462" i="23"/>
  <c r="Y462" i="23"/>
  <c r="Z462" i="23"/>
  <c r="AE462" i="23" s="1"/>
  <c r="AI462" i="23" s="1"/>
  <c r="AA462" i="23"/>
  <c r="AJ462" i="23" s="1"/>
  <c r="AD462" i="23"/>
  <c r="AF462" i="23"/>
  <c r="AG462" i="23"/>
  <c r="AK462" i="23"/>
  <c r="AL462" i="23"/>
  <c r="AN462" i="23"/>
  <c r="AO462" i="23"/>
  <c r="AP462" i="23"/>
  <c r="AR462" i="23"/>
  <c r="F462" i="23"/>
  <c r="F461" i="23"/>
  <c r="J460" i="23"/>
  <c r="J461" i="23" s="1"/>
  <c r="J462" i="23" s="1"/>
  <c r="F460" i="23"/>
  <c r="C460" i="23"/>
  <c r="C461" i="23" s="1"/>
  <c r="C462" i="23" s="1"/>
  <c r="M11065" i="3"/>
  <c r="L11065" i="3"/>
  <c r="J11065" i="3"/>
  <c r="K11065" i="3" s="1"/>
  <c r="I11065" i="3"/>
  <c r="H11065" i="3"/>
  <c r="G11065" i="3"/>
  <c r="F11065" i="3"/>
  <c r="M11064" i="3"/>
  <c r="L11064" i="3"/>
  <c r="K11064" i="3"/>
  <c r="J11064" i="3"/>
  <c r="I11064" i="3"/>
  <c r="H11064" i="3"/>
  <c r="G11064" i="3"/>
  <c r="F11064" i="3"/>
  <c r="M11063" i="3"/>
  <c r="L11063" i="3"/>
  <c r="K11063" i="3"/>
  <c r="J11063" i="3"/>
  <c r="I11063" i="3"/>
  <c r="H11063" i="3"/>
  <c r="G11063" i="3"/>
  <c r="F11063" i="3"/>
  <c r="M11062" i="3"/>
  <c r="L11062" i="3"/>
  <c r="K11062" i="3"/>
  <c r="J11062" i="3"/>
  <c r="I11062" i="3"/>
  <c r="H11062" i="3"/>
  <c r="G11062" i="3"/>
  <c r="F11062" i="3"/>
  <c r="M11061" i="3"/>
  <c r="L11061" i="3"/>
  <c r="K11061" i="3"/>
  <c r="J11061" i="3"/>
  <c r="I11061" i="3"/>
  <c r="H11061" i="3"/>
  <c r="G11061" i="3"/>
  <c r="F11061" i="3"/>
  <c r="M11060" i="3"/>
  <c r="L11060" i="3"/>
  <c r="K11060" i="3"/>
  <c r="J11060" i="3"/>
  <c r="I11060" i="3"/>
  <c r="H11060" i="3"/>
  <c r="G11060" i="3"/>
  <c r="F11060" i="3"/>
  <c r="M11059" i="3"/>
  <c r="L11059" i="3"/>
  <c r="K11059" i="3"/>
  <c r="J11059" i="3"/>
  <c r="I11059" i="3"/>
  <c r="H11059" i="3"/>
  <c r="G11059" i="3"/>
  <c r="F11059" i="3"/>
  <c r="M11058" i="3"/>
  <c r="L11058" i="3"/>
  <c r="K11058" i="3"/>
  <c r="J11058" i="3"/>
  <c r="I11058" i="3"/>
  <c r="H11058" i="3"/>
  <c r="G11058" i="3"/>
  <c r="F11058" i="3"/>
  <c r="M11057" i="3"/>
  <c r="L11057" i="3"/>
  <c r="K11057" i="3"/>
  <c r="J11057" i="3"/>
  <c r="I11057" i="3"/>
  <c r="H11057" i="3"/>
  <c r="G11057" i="3"/>
  <c r="F11057" i="3"/>
  <c r="M11056" i="3"/>
  <c r="L11056" i="3"/>
  <c r="K11056" i="3"/>
  <c r="J11056" i="3"/>
  <c r="I11056" i="3"/>
  <c r="H11056" i="3"/>
  <c r="G11056" i="3"/>
  <c r="F11056" i="3"/>
  <c r="M11055" i="3"/>
  <c r="L11055" i="3"/>
  <c r="K11055" i="3"/>
  <c r="J11055" i="3"/>
  <c r="I11055" i="3"/>
  <c r="H11055" i="3"/>
  <c r="G11055" i="3"/>
  <c r="F11055" i="3"/>
  <c r="M11054" i="3"/>
  <c r="L11054" i="3"/>
  <c r="K11054" i="3"/>
  <c r="J11054" i="3"/>
  <c r="I11054" i="3"/>
  <c r="H11054" i="3"/>
  <c r="G11054" i="3"/>
  <c r="F11054" i="3"/>
  <c r="M11053" i="3"/>
  <c r="L11053" i="3"/>
  <c r="K11053" i="3"/>
  <c r="J11053" i="3"/>
  <c r="I11053" i="3"/>
  <c r="H11053" i="3"/>
  <c r="G11053" i="3"/>
  <c r="F11053" i="3"/>
  <c r="M11052" i="3"/>
  <c r="L11052" i="3"/>
  <c r="K11052" i="3"/>
  <c r="J11052" i="3"/>
  <c r="I11052" i="3"/>
  <c r="H11052" i="3"/>
  <c r="G11052" i="3"/>
  <c r="F11052" i="3"/>
  <c r="M11051" i="3"/>
  <c r="L11051" i="3"/>
  <c r="K11051" i="3"/>
  <c r="J11051" i="3"/>
  <c r="I11051" i="3"/>
  <c r="H11051" i="3"/>
  <c r="G11051" i="3"/>
  <c r="F11051" i="3"/>
  <c r="M11050" i="3"/>
  <c r="L11050" i="3"/>
  <c r="K11050" i="3"/>
  <c r="J11050" i="3"/>
  <c r="I11050" i="3"/>
  <c r="H11050" i="3"/>
  <c r="G11050" i="3"/>
  <c r="F11050" i="3"/>
  <c r="M11049" i="3"/>
  <c r="L11049" i="3"/>
  <c r="K11049" i="3"/>
  <c r="J11049" i="3"/>
  <c r="I11049" i="3"/>
  <c r="H11049" i="3"/>
  <c r="G11049" i="3"/>
  <c r="F11049" i="3"/>
  <c r="M11048" i="3"/>
  <c r="L11048" i="3"/>
  <c r="K11048" i="3"/>
  <c r="J11048" i="3"/>
  <c r="I11048" i="3"/>
  <c r="H11048" i="3"/>
  <c r="G11048" i="3"/>
  <c r="F11048" i="3"/>
  <c r="M11047" i="3"/>
  <c r="L11047" i="3"/>
  <c r="K11047" i="3"/>
  <c r="J11047" i="3"/>
  <c r="I11047" i="3"/>
  <c r="H11047" i="3"/>
  <c r="G11047" i="3"/>
  <c r="F11047" i="3"/>
  <c r="M11046" i="3"/>
  <c r="L11046" i="3"/>
  <c r="K11046" i="3"/>
  <c r="J11046" i="3"/>
  <c r="I11046" i="3"/>
  <c r="H11046" i="3"/>
  <c r="G11046" i="3"/>
  <c r="F11046" i="3"/>
  <c r="M11045" i="3"/>
  <c r="L11045" i="3"/>
  <c r="K11045" i="3"/>
  <c r="J11045" i="3"/>
  <c r="I11045" i="3"/>
  <c r="H11045" i="3"/>
  <c r="G11045" i="3"/>
  <c r="F11045" i="3"/>
  <c r="M11044" i="3"/>
  <c r="L11044" i="3"/>
  <c r="K11044" i="3"/>
  <c r="J11044" i="3"/>
  <c r="I11044" i="3"/>
  <c r="H11044" i="3"/>
  <c r="G11044" i="3"/>
  <c r="F11044" i="3"/>
  <c r="M11043" i="3"/>
  <c r="L11043" i="3"/>
  <c r="K11043" i="3"/>
  <c r="J11043" i="3"/>
  <c r="I11043" i="3"/>
  <c r="H11043" i="3"/>
  <c r="G11043" i="3"/>
  <c r="F11043" i="3"/>
  <c r="M11042" i="3"/>
  <c r="L11042" i="3"/>
  <c r="J11042" i="3"/>
  <c r="K11042" i="3" s="1"/>
  <c r="I11042" i="3"/>
  <c r="H11042" i="3"/>
  <c r="G11042" i="3"/>
  <c r="F11042" i="3"/>
  <c r="D11065" i="3"/>
  <c r="D11064" i="3"/>
  <c r="D11063" i="3"/>
  <c r="D11062" i="3"/>
  <c r="D11061" i="3"/>
  <c r="D11060" i="3"/>
  <c r="D11059" i="3"/>
  <c r="D11058" i="3"/>
  <c r="D11057" i="3"/>
  <c r="D11056" i="3"/>
  <c r="D11055" i="3"/>
  <c r="D11054" i="3"/>
  <c r="D11053" i="3"/>
  <c r="D11052" i="3"/>
  <c r="D11051" i="3"/>
  <c r="D11050" i="3"/>
  <c r="D11049" i="3"/>
  <c r="D11048" i="3"/>
  <c r="D11047" i="3"/>
  <c r="D11046" i="3"/>
  <c r="D11045" i="3"/>
  <c r="D11044" i="3"/>
  <c r="D11043" i="3"/>
  <c r="D11042" i="3"/>
  <c r="S462" i="1"/>
  <c r="F462" i="1"/>
  <c r="I11115" i="3" l="1"/>
  <c r="I11117" i="3"/>
  <c r="I11119" i="3"/>
  <c r="I11121" i="3"/>
  <c r="I11123" i="3"/>
  <c r="I11125" i="3"/>
  <c r="I11127" i="3"/>
  <c r="I11129" i="3"/>
  <c r="I11131" i="3"/>
  <c r="I11133" i="3"/>
  <c r="I11135" i="3"/>
  <c r="AQ464" i="23"/>
  <c r="I11090" i="3"/>
  <c r="I11092" i="3"/>
  <c r="I11094" i="3"/>
  <c r="I11096" i="3"/>
  <c r="I11098" i="3"/>
  <c r="I11100" i="3"/>
  <c r="I11102" i="3"/>
  <c r="I11104" i="3"/>
  <c r="I11106" i="3"/>
  <c r="I11108" i="3"/>
  <c r="I11110" i="3"/>
  <c r="I11091" i="3"/>
  <c r="I11093" i="3"/>
  <c r="I11095" i="3"/>
  <c r="I11097" i="3"/>
  <c r="I11099" i="3"/>
  <c r="I11101" i="3"/>
  <c r="I11103" i="3"/>
  <c r="I11105" i="3"/>
  <c r="I11107" i="3"/>
  <c r="I11109" i="3"/>
  <c r="I11111" i="3"/>
  <c r="AJ461" i="23"/>
  <c r="I11066" i="3"/>
  <c r="I11068" i="3"/>
  <c r="I11070" i="3"/>
  <c r="I11072" i="3"/>
  <c r="I11074" i="3"/>
  <c r="I11076" i="3"/>
  <c r="I11078" i="3"/>
  <c r="I11080" i="3"/>
  <c r="I11082" i="3"/>
  <c r="I11084" i="3"/>
  <c r="I11088" i="3"/>
  <c r="I11067" i="3"/>
  <c r="I11069" i="3"/>
  <c r="I11071" i="3"/>
  <c r="I11073" i="3"/>
  <c r="I11075" i="3"/>
  <c r="I11077" i="3"/>
  <c r="I11079" i="3"/>
  <c r="I11081" i="3"/>
  <c r="I11083" i="3"/>
  <c r="I11085" i="3"/>
  <c r="I11087" i="3"/>
  <c r="AQ460" i="23"/>
  <c r="AQ462" i="23"/>
  <c r="AQ461" i="23"/>
  <c r="M11041" i="3"/>
  <c r="L11041" i="3"/>
  <c r="J11041" i="3"/>
  <c r="K11041" i="3" s="1"/>
  <c r="H11041" i="3"/>
  <c r="G11041" i="3"/>
  <c r="F11041" i="3"/>
  <c r="M11040" i="3"/>
  <c r="L11040" i="3"/>
  <c r="J11040" i="3"/>
  <c r="K11040" i="3" s="1"/>
  <c r="H11040" i="3"/>
  <c r="G11040" i="3"/>
  <c r="F11040" i="3"/>
  <c r="M11039" i="3"/>
  <c r="L11039" i="3"/>
  <c r="J11039" i="3"/>
  <c r="K11039" i="3" s="1"/>
  <c r="H11039" i="3"/>
  <c r="G11039" i="3"/>
  <c r="F11039" i="3"/>
  <c r="M11038" i="3"/>
  <c r="L11038" i="3"/>
  <c r="J11038" i="3"/>
  <c r="K11038" i="3" s="1"/>
  <c r="H11038" i="3"/>
  <c r="G11038" i="3"/>
  <c r="F11038" i="3"/>
  <c r="M11037" i="3"/>
  <c r="L11037" i="3"/>
  <c r="J11037" i="3"/>
  <c r="K11037" i="3" s="1"/>
  <c r="H11037" i="3"/>
  <c r="G11037" i="3"/>
  <c r="F11037" i="3"/>
  <c r="M11036" i="3"/>
  <c r="L11036" i="3"/>
  <c r="J11036" i="3"/>
  <c r="K11036" i="3" s="1"/>
  <c r="H11036" i="3"/>
  <c r="G11036" i="3"/>
  <c r="F11036" i="3"/>
  <c r="M11035" i="3"/>
  <c r="L11035" i="3"/>
  <c r="J11035" i="3"/>
  <c r="K11035" i="3" s="1"/>
  <c r="H11035" i="3"/>
  <c r="G11035" i="3"/>
  <c r="F11035" i="3"/>
  <c r="M11034" i="3"/>
  <c r="L11034" i="3"/>
  <c r="J11034" i="3"/>
  <c r="K11034" i="3" s="1"/>
  <c r="H11034" i="3"/>
  <c r="G11034" i="3"/>
  <c r="F11034" i="3"/>
  <c r="M11033" i="3"/>
  <c r="L11033" i="3"/>
  <c r="J11033" i="3"/>
  <c r="K11033" i="3" s="1"/>
  <c r="H11033" i="3"/>
  <c r="G11033" i="3"/>
  <c r="F11033" i="3"/>
  <c r="M11032" i="3"/>
  <c r="L11032" i="3"/>
  <c r="J11032" i="3"/>
  <c r="K11032" i="3" s="1"/>
  <c r="H11032" i="3"/>
  <c r="G11032" i="3"/>
  <c r="F11032" i="3"/>
  <c r="M11031" i="3"/>
  <c r="L11031" i="3"/>
  <c r="J11031" i="3"/>
  <c r="K11031" i="3" s="1"/>
  <c r="H11031" i="3"/>
  <c r="G11031" i="3"/>
  <c r="F11031" i="3"/>
  <c r="M11030" i="3"/>
  <c r="L11030" i="3"/>
  <c r="J11030" i="3"/>
  <c r="K11030" i="3" s="1"/>
  <c r="H11030" i="3"/>
  <c r="G11030" i="3"/>
  <c r="F11030" i="3"/>
  <c r="M11029" i="3"/>
  <c r="L11029" i="3"/>
  <c r="J11029" i="3"/>
  <c r="K11029" i="3" s="1"/>
  <c r="H11029" i="3"/>
  <c r="G11029" i="3"/>
  <c r="F11029" i="3"/>
  <c r="M11028" i="3"/>
  <c r="L11028" i="3"/>
  <c r="J11028" i="3"/>
  <c r="K11028" i="3" s="1"/>
  <c r="H11028" i="3"/>
  <c r="G11028" i="3"/>
  <c r="I11028" i="3" s="1"/>
  <c r="F11028" i="3"/>
  <c r="M11027" i="3"/>
  <c r="L11027" i="3"/>
  <c r="J11027" i="3"/>
  <c r="K11027" i="3" s="1"/>
  <c r="H11027" i="3"/>
  <c r="G11027" i="3"/>
  <c r="F11027" i="3"/>
  <c r="M11026" i="3"/>
  <c r="L11026" i="3"/>
  <c r="J11026" i="3"/>
  <c r="K11026" i="3" s="1"/>
  <c r="H11026" i="3"/>
  <c r="G11026" i="3"/>
  <c r="I11026" i="3" s="1"/>
  <c r="F11026" i="3"/>
  <c r="M11025" i="3"/>
  <c r="L11025" i="3"/>
  <c r="J11025" i="3"/>
  <c r="K11025" i="3" s="1"/>
  <c r="H11025" i="3"/>
  <c r="G11025" i="3"/>
  <c r="F11025" i="3"/>
  <c r="M11024" i="3"/>
  <c r="L11024" i="3"/>
  <c r="J11024" i="3"/>
  <c r="K11024" i="3" s="1"/>
  <c r="H11024" i="3"/>
  <c r="G11024" i="3"/>
  <c r="I11024" i="3" s="1"/>
  <c r="F11024" i="3"/>
  <c r="M11023" i="3"/>
  <c r="L11023" i="3"/>
  <c r="J11023" i="3"/>
  <c r="K11023" i="3" s="1"/>
  <c r="H11023" i="3"/>
  <c r="G11023" i="3"/>
  <c r="F11023" i="3"/>
  <c r="M11022" i="3"/>
  <c r="L11022" i="3"/>
  <c r="J11022" i="3"/>
  <c r="K11022" i="3" s="1"/>
  <c r="H11022" i="3"/>
  <c r="G11022" i="3"/>
  <c r="I11022" i="3" s="1"/>
  <c r="F11022" i="3"/>
  <c r="M11021" i="3"/>
  <c r="L11021" i="3"/>
  <c r="J11021" i="3"/>
  <c r="K11021" i="3" s="1"/>
  <c r="H11021" i="3"/>
  <c r="G11021" i="3"/>
  <c r="F11021" i="3"/>
  <c r="M11020" i="3"/>
  <c r="L11020" i="3"/>
  <c r="J11020" i="3"/>
  <c r="K11020" i="3" s="1"/>
  <c r="H11020" i="3"/>
  <c r="G11020" i="3"/>
  <c r="I11020" i="3" s="1"/>
  <c r="F11020" i="3"/>
  <c r="M11019" i="3"/>
  <c r="L11019" i="3"/>
  <c r="J11019" i="3"/>
  <c r="K11019" i="3" s="1"/>
  <c r="H11019" i="3"/>
  <c r="G11019" i="3"/>
  <c r="F11019" i="3"/>
  <c r="M11018" i="3"/>
  <c r="L11018" i="3"/>
  <c r="J11018" i="3"/>
  <c r="K11018" i="3" s="1"/>
  <c r="H11018" i="3"/>
  <c r="G11018" i="3"/>
  <c r="I11018" i="3" s="1"/>
  <c r="F11018" i="3"/>
  <c r="D11041" i="3"/>
  <c r="D11040" i="3"/>
  <c r="D11039" i="3"/>
  <c r="D11038" i="3"/>
  <c r="D11037" i="3"/>
  <c r="D11036" i="3"/>
  <c r="D11035" i="3"/>
  <c r="D11034" i="3"/>
  <c r="D11033" i="3"/>
  <c r="D11032" i="3"/>
  <c r="D11031" i="3"/>
  <c r="D11030" i="3"/>
  <c r="D11029" i="3"/>
  <c r="D11028" i="3"/>
  <c r="D11027" i="3"/>
  <c r="D11026" i="3"/>
  <c r="D11025" i="3"/>
  <c r="D11024" i="3"/>
  <c r="D11023" i="3"/>
  <c r="D11022" i="3"/>
  <c r="D11021" i="3"/>
  <c r="D11020" i="3"/>
  <c r="D11019" i="3"/>
  <c r="D11018" i="3"/>
  <c r="S461" i="1"/>
  <c r="F461" i="1"/>
  <c r="M11017" i="3"/>
  <c r="L11017" i="3"/>
  <c r="J11017" i="3"/>
  <c r="K11017" i="3" s="1"/>
  <c r="H11017" i="3"/>
  <c r="G11017" i="3"/>
  <c r="F11017" i="3"/>
  <c r="M11016" i="3"/>
  <c r="L11016" i="3"/>
  <c r="J11016" i="3"/>
  <c r="K11016" i="3" s="1"/>
  <c r="H11016" i="3"/>
  <c r="G11016" i="3"/>
  <c r="I11016" i="3" s="1"/>
  <c r="F11016" i="3"/>
  <c r="M11015" i="3"/>
  <c r="L11015" i="3"/>
  <c r="J11015" i="3"/>
  <c r="K11015" i="3" s="1"/>
  <c r="H11015" i="3"/>
  <c r="G11015" i="3"/>
  <c r="I11015" i="3" s="1"/>
  <c r="F11015" i="3"/>
  <c r="M11014" i="3"/>
  <c r="L11014" i="3"/>
  <c r="J11014" i="3"/>
  <c r="K11014" i="3" s="1"/>
  <c r="I11014" i="3"/>
  <c r="H11014" i="3"/>
  <c r="G11014" i="3"/>
  <c r="F11014" i="3"/>
  <c r="M11013" i="3"/>
  <c r="L11013" i="3"/>
  <c r="J11013" i="3"/>
  <c r="K11013" i="3" s="1"/>
  <c r="H11013" i="3"/>
  <c r="G11013" i="3"/>
  <c r="I11013" i="3" s="1"/>
  <c r="F11013" i="3"/>
  <c r="M11012" i="3"/>
  <c r="L11012" i="3"/>
  <c r="J11012" i="3"/>
  <c r="K11012" i="3" s="1"/>
  <c r="H11012" i="3"/>
  <c r="G11012" i="3"/>
  <c r="I11012" i="3" s="1"/>
  <c r="F11012" i="3"/>
  <c r="M11011" i="3"/>
  <c r="L11011" i="3"/>
  <c r="J11011" i="3"/>
  <c r="K11011" i="3" s="1"/>
  <c r="H11011" i="3"/>
  <c r="G11011" i="3"/>
  <c r="I11011" i="3" s="1"/>
  <c r="F11011" i="3"/>
  <c r="M11010" i="3"/>
  <c r="L11010" i="3"/>
  <c r="J11010" i="3"/>
  <c r="K11010" i="3" s="1"/>
  <c r="I11010" i="3"/>
  <c r="H11010" i="3"/>
  <c r="G11010" i="3"/>
  <c r="F11010" i="3"/>
  <c r="M11009" i="3"/>
  <c r="L11009" i="3"/>
  <c r="J11009" i="3"/>
  <c r="K11009" i="3" s="1"/>
  <c r="H11009" i="3"/>
  <c r="G11009" i="3"/>
  <c r="I11009" i="3" s="1"/>
  <c r="F11009" i="3"/>
  <c r="M11008" i="3"/>
  <c r="L11008" i="3"/>
  <c r="J11008" i="3"/>
  <c r="K11008" i="3" s="1"/>
  <c r="H11008" i="3"/>
  <c r="G11008" i="3"/>
  <c r="I11008" i="3" s="1"/>
  <c r="F11008" i="3"/>
  <c r="M11007" i="3"/>
  <c r="L11007" i="3"/>
  <c r="J11007" i="3"/>
  <c r="K11007" i="3" s="1"/>
  <c r="H11007" i="3"/>
  <c r="G11007" i="3"/>
  <c r="I11007" i="3" s="1"/>
  <c r="F11007" i="3"/>
  <c r="M11006" i="3"/>
  <c r="L11006" i="3"/>
  <c r="J11006" i="3"/>
  <c r="K11006" i="3" s="1"/>
  <c r="I11006" i="3"/>
  <c r="H11006" i="3"/>
  <c r="G11006" i="3"/>
  <c r="F11006" i="3"/>
  <c r="M11005" i="3"/>
  <c r="L11005" i="3"/>
  <c r="J11005" i="3"/>
  <c r="K11005" i="3" s="1"/>
  <c r="H11005" i="3"/>
  <c r="G11005" i="3"/>
  <c r="I11005" i="3" s="1"/>
  <c r="F11005" i="3"/>
  <c r="M11004" i="3"/>
  <c r="L11004" i="3"/>
  <c r="J11004" i="3"/>
  <c r="K11004" i="3" s="1"/>
  <c r="H11004" i="3"/>
  <c r="G11004" i="3"/>
  <c r="I11004" i="3" s="1"/>
  <c r="F11004" i="3"/>
  <c r="M11003" i="3"/>
  <c r="L11003" i="3"/>
  <c r="J11003" i="3"/>
  <c r="K11003" i="3" s="1"/>
  <c r="H11003" i="3"/>
  <c r="G11003" i="3"/>
  <c r="I11003" i="3" s="1"/>
  <c r="F11003" i="3"/>
  <c r="M11002" i="3"/>
  <c r="L11002" i="3"/>
  <c r="J11002" i="3"/>
  <c r="K11002" i="3" s="1"/>
  <c r="I11002" i="3"/>
  <c r="H11002" i="3"/>
  <c r="G11002" i="3"/>
  <c r="F11002" i="3"/>
  <c r="M11001" i="3"/>
  <c r="L11001" i="3"/>
  <c r="J11001" i="3"/>
  <c r="K11001" i="3" s="1"/>
  <c r="H11001" i="3"/>
  <c r="G11001" i="3"/>
  <c r="I11001" i="3" s="1"/>
  <c r="F11001" i="3"/>
  <c r="M11000" i="3"/>
  <c r="L11000" i="3"/>
  <c r="J11000" i="3"/>
  <c r="K11000" i="3" s="1"/>
  <c r="H11000" i="3"/>
  <c r="G11000" i="3"/>
  <c r="I11000" i="3" s="1"/>
  <c r="F11000" i="3"/>
  <c r="M10999" i="3"/>
  <c r="L10999" i="3"/>
  <c r="J10999" i="3"/>
  <c r="K10999" i="3" s="1"/>
  <c r="H10999" i="3"/>
  <c r="G10999" i="3"/>
  <c r="I10999" i="3" s="1"/>
  <c r="F10999" i="3"/>
  <c r="M10998" i="3"/>
  <c r="L10998" i="3"/>
  <c r="J10998" i="3"/>
  <c r="K10998" i="3" s="1"/>
  <c r="I10998" i="3"/>
  <c r="H10998" i="3"/>
  <c r="G10998" i="3"/>
  <c r="F10998" i="3"/>
  <c r="M10997" i="3"/>
  <c r="L10997" i="3"/>
  <c r="J10997" i="3"/>
  <c r="K10997" i="3" s="1"/>
  <c r="H10997" i="3"/>
  <c r="G10997" i="3"/>
  <c r="I10997" i="3" s="1"/>
  <c r="F10997" i="3"/>
  <c r="M10996" i="3"/>
  <c r="L10996" i="3"/>
  <c r="J10996" i="3"/>
  <c r="K10996" i="3" s="1"/>
  <c r="H10996" i="3"/>
  <c r="G10996" i="3"/>
  <c r="I10996" i="3" s="1"/>
  <c r="F10996" i="3"/>
  <c r="M10995" i="3"/>
  <c r="L10995" i="3"/>
  <c r="J10995" i="3"/>
  <c r="K10995" i="3" s="1"/>
  <c r="H10995" i="3"/>
  <c r="G10995" i="3"/>
  <c r="I10995" i="3" s="1"/>
  <c r="F10995" i="3"/>
  <c r="M10994" i="3"/>
  <c r="L10994" i="3"/>
  <c r="J10994" i="3"/>
  <c r="K10994" i="3" s="1"/>
  <c r="I10994" i="3"/>
  <c r="H10994" i="3"/>
  <c r="G10994" i="3"/>
  <c r="F10994" i="3"/>
  <c r="D11017" i="3"/>
  <c r="D11016" i="3"/>
  <c r="D11015" i="3"/>
  <c r="D11014" i="3"/>
  <c r="D11013" i="3"/>
  <c r="D11012" i="3"/>
  <c r="D11011" i="3"/>
  <c r="D11010" i="3"/>
  <c r="D11009" i="3"/>
  <c r="D11008" i="3"/>
  <c r="D11007" i="3"/>
  <c r="D11006" i="3"/>
  <c r="D11005" i="3"/>
  <c r="D11004" i="3"/>
  <c r="D11003" i="3"/>
  <c r="D11002" i="3"/>
  <c r="D11001" i="3"/>
  <c r="D11000" i="3"/>
  <c r="D10999" i="3"/>
  <c r="D10998" i="3"/>
  <c r="D10997" i="3"/>
  <c r="D10996" i="3"/>
  <c r="D10995" i="3"/>
  <c r="D10994" i="3"/>
  <c r="M457" i="1"/>
  <c r="M458" i="1"/>
  <c r="M459" i="1"/>
  <c r="S460" i="1"/>
  <c r="F460" i="1"/>
  <c r="M10970" i="3"/>
  <c r="AB459" i="23"/>
  <c r="AB457" i="23"/>
  <c r="AB455" i="23"/>
  <c r="AB454" i="23"/>
  <c r="U459" i="23"/>
  <c r="V459" i="23"/>
  <c r="W459" i="23"/>
  <c r="Y459" i="23"/>
  <c r="Z459" i="23"/>
  <c r="AA459" i="23"/>
  <c r="AJ459" i="23" s="1"/>
  <c r="AD459" i="23"/>
  <c r="AE459" i="23"/>
  <c r="AG459" i="23"/>
  <c r="AI459" i="23"/>
  <c r="AL459" i="23"/>
  <c r="AN459" i="23"/>
  <c r="AO459" i="23"/>
  <c r="AP459" i="23"/>
  <c r="AQ459" i="23"/>
  <c r="AR459" i="23"/>
  <c r="J459" i="23"/>
  <c r="F459" i="23"/>
  <c r="C459" i="23"/>
  <c r="M10993" i="3"/>
  <c r="L10993" i="3"/>
  <c r="J10993" i="3"/>
  <c r="K10993" i="3" s="1"/>
  <c r="H10993" i="3"/>
  <c r="G10993" i="3"/>
  <c r="M10992" i="3"/>
  <c r="L10992" i="3"/>
  <c r="J10992" i="3"/>
  <c r="K10992" i="3" s="1"/>
  <c r="H10992" i="3"/>
  <c r="G10992" i="3"/>
  <c r="M10991" i="3"/>
  <c r="L10991" i="3"/>
  <c r="J10991" i="3"/>
  <c r="K10991" i="3" s="1"/>
  <c r="H10991" i="3"/>
  <c r="G10991" i="3"/>
  <c r="M10990" i="3"/>
  <c r="L10990" i="3"/>
  <c r="J10990" i="3"/>
  <c r="K10990" i="3" s="1"/>
  <c r="H10990" i="3"/>
  <c r="G10990" i="3"/>
  <c r="M10989" i="3"/>
  <c r="L10989" i="3"/>
  <c r="J10989" i="3"/>
  <c r="K10989" i="3" s="1"/>
  <c r="H10989" i="3"/>
  <c r="G10989" i="3"/>
  <c r="M10988" i="3"/>
  <c r="L10988" i="3"/>
  <c r="J10988" i="3"/>
  <c r="K10988" i="3" s="1"/>
  <c r="H10988" i="3"/>
  <c r="G10988" i="3"/>
  <c r="M10987" i="3"/>
  <c r="L10987" i="3"/>
  <c r="J10987" i="3"/>
  <c r="K10987" i="3" s="1"/>
  <c r="H10987" i="3"/>
  <c r="G10987" i="3"/>
  <c r="M10986" i="3"/>
  <c r="L10986" i="3"/>
  <c r="J10986" i="3"/>
  <c r="K10986" i="3" s="1"/>
  <c r="H10986" i="3"/>
  <c r="G10986" i="3"/>
  <c r="M10985" i="3"/>
  <c r="L10985" i="3"/>
  <c r="J10985" i="3"/>
  <c r="K10985" i="3" s="1"/>
  <c r="H10985" i="3"/>
  <c r="G10985" i="3"/>
  <c r="M10984" i="3"/>
  <c r="L10984" i="3"/>
  <c r="J10984" i="3"/>
  <c r="K10984" i="3" s="1"/>
  <c r="H10984" i="3"/>
  <c r="G10984" i="3"/>
  <c r="M10983" i="3"/>
  <c r="L10983" i="3"/>
  <c r="J10983" i="3"/>
  <c r="K10983" i="3" s="1"/>
  <c r="H10983" i="3"/>
  <c r="G10983" i="3"/>
  <c r="M10982" i="3"/>
  <c r="L10982" i="3"/>
  <c r="J10982" i="3"/>
  <c r="K10982" i="3" s="1"/>
  <c r="H10982" i="3"/>
  <c r="G10982" i="3"/>
  <c r="M10981" i="3"/>
  <c r="L10981" i="3"/>
  <c r="J10981" i="3"/>
  <c r="K10981" i="3" s="1"/>
  <c r="H10981" i="3"/>
  <c r="G10981" i="3"/>
  <c r="M10980" i="3"/>
  <c r="L10980" i="3"/>
  <c r="J10980" i="3"/>
  <c r="K10980" i="3" s="1"/>
  <c r="H10980" i="3"/>
  <c r="G10980" i="3"/>
  <c r="M10979" i="3"/>
  <c r="L10979" i="3"/>
  <c r="J10979" i="3"/>
  <c r="K10979" i="3" s="1"/>
  <c r="H10979" i="3"/>
  <c r="G10979" i="3"/>
  <c r="M10978" i="3"/>
  <c r="L10978" i="3"/>
  <c r="J10978" i="3"/>
  <c r="K10978" i="3" s="1"/>
  <c r="H10978" i="3"/>
  <c r="G10978" i="3"/>
  <c r="M10977" i="3"/>
  <c r="L10977" i="3"/>
  <c r="J10977" i="3"/>
  <c r="K10977" i="3" s="1"/>
  <c r="H10977" i="3"/>
  <c r="G10977" i="3"/>
  <c r="M10976" i="3"/>
  <c r="L10976" i="3"/>
  <c r="J10976" i="3"/>
  <c r="K10976" i="3" s="1"/>
  <c r="H10976" i="3"/>
  <c r="G10976" i="3"/>
  <c r="M10975" i="3"/>
  <c r="L10975" i="3"/>
  <c r="J10975" i="3"/>
  <c r="K10975" i="3" s="1"/>
  <c r="H10975" i="3"/>
  <c r="G10975" i="3"/>
  <c r="M10974" i="3"/>
  <c r="L10974" i="3"/>
  <c r="J10974" i="3"/>
  <c r="K10974" i="3" s="1"/>
  <c r="H10974" i="3"/>
  <c r="G10974" i="3"/>
  <c r="M10973" i="3"/>
  <c r="L10973" i="3"/>
  <c r="J10973" i="3"/>
  <c r="K10973" i="3" s="1"/>
  <c r="H10973" i="3"/>
  <c r="G10973" i="3"/>
  <c r="M10972" i="3"/>
  <c r="L10972" i="3"/>
  <c r="J10972" i="3"/>
  <c r="K10972" i="3" s="1"/>
  <c r="H10972" i="3"/>
  <c r="G10972" i="3"/>
  <c r="M10971" i="3"/>
  <c r="L10971" i="3"/>
  <c r="J10971" i="3"/>
  <c r="K10971" i="3" s="1"/>
  <c r="H10971" i="3"/>
  <c r="G10971" i="3"/>
  <c r="L10970" i="3"/>
  <c r="J10970" i="3"/>
  <c r="K10970" i="3" s="1"/>
  <c r="H10970" i="3"/>
  <c r="G10970" i="3"/>
  <c r="S459" i="1"/>
  <c r="F459" i="1"/>
  <c r="U458" i="23"/>
  <c r="V458" i="23"/>
  <c r="W458" i="23"/>
  <c r="Y458" i="23"/>
  <c r="Z458" i="23"/>
  <c r="AA458" i="23"/>
  <c r="AB458" i="23"/>
  <c r="AD458" i="23"/>
  <c r="AE458" i="23"/>
  <c r="AI458" i="23"/>
  <c r="AJ458" i="23"/>
  <c r="AL458" i="23"/>
  <c r="AN458" i="23"/>
  <c r="AO458" i="23"/>
  <c r="AP458" i="23"/>
  <c r="AQ458" i="23"/>
  <c r="AR458" i="23"/>
  <c r="J458" i="23"/>
  <c r="F458" i="23"/>
  <c r="C458" i="23"/>
  <c r="S458" i="1"/>
  <c r="M10969" i="3"/>
  <c r="L10969" i="3"/>
  <c r="J10969" i="3"/>
  <c r="K10969" i="3" s="1"/>
  <c r="H10969" i="3"/>
  <c r="G10969" i="3"/>
  <c r="M10968" i="3"/>
  <c r="L10968" i="3"/>
  <c r="J10968" i="3"/>
  <c r="K10968" i="3" s="1"/>
  <c r="H10968" i="3"/>
  <c r="G10968" i="3"/>
  <c r="M10967" i="3"/>
  <c r="L10967" i="3"/>
  <c r="J10967" i="3"/>
  <c r="K10967" i="3" s="1"/>
  <c r="H10967" i="3"/>
  <c r="G10967" i="3"/>
  <c r="M10966" i="3"/>
  <c r="L10966" i="3"/>
  <c r="J10966" i="3"/>
  <c r="K10966" i="3" s="1"/>
  <c r="H10966" i="3"/>
  <c r="G10966" i="3"/>
  <c r="I10966" i="3" s="1"/>
  <c r="M10965" i="3"/>
  <c r="L10965" i="3"/>
  <c r="J10965" i="3"/>
  <c r="K10965" i="3" s="1"/>
  <c r="H10965" i="3"/>
  <c r="G10965" i="3"/>
  <c r="M10964" i="3"/>
  <c r="L10964" i="3"/>
  <c r="K10964" i="3"/>
  <c r="J10964" i="3"/>
  <c r="H10964" i="3"/>
  <c r="G10964" i="3"/>
  <c r="I10964" i="3" s="1"/>
  <c r="M10963" i="3"/>
  <c r="L10963" i="3"/>
  <c r="J10963" i="3"/>
  <c r="K10963" i="3" s="1"/>
  <c r="H10963" i="3"/>
  <c r="G10963" i="3"/>
  <c r="M10962" i="3"/>
  <c r="L10962" i="3"/>
  <c r="J10962" i="3"/>
  <c r="K10962" i="3" s="1"/>
  <c r="H10962" i="3"/>
  <c r="G10962" i="3"/>
  <c r="M10961" i="3"/>
  <c r="L10961" i="3"/>
  <c r="K10961" i="3"/>
  <c r="J10961" i="3"/>
  <c r="H10961" i="3"/>
  <c r="G10961" i="3"/>
  <c r="I10961" i="3" s="1"/>
  <c r="M10960" i="3"/>
  <c r="L10960" i="3"/>
  <c r="J10960" i="3"/>
  <c r="K10960" i="3" s="1"/>
  <c r="H10960" i="3"/>
  <c r="G10960" i="3"/>
  <c r="M10959" i="3"/>
  <c r="L10959" i="3"/>
  <c r="K10959" i="3"/>
  <c r="J10959" i="3"/>
  <c r="H10959" i="3"/>
  <c r="G10959" i="3"/>
  <c r="M10958" i="3"/>
  <c r="L10958" i="3"/>
  <c r="J10958" i="3"/>
  <c r="K10958" i="3" s="1"/>
  <c r="H10958" i="3"/>
  <c r="G10958" i="3"/>
  <c r="I10958" i="3" s="1"/>
  <c r="M10957" i="3"/>
  <c r="L10957" i="3"/>
  <c r="J10957" i="3"/>
  <c r="K10957" i="3" s="1"/>
  <c r="H10957" i="3"/>
  <c r="G10957" i="3"/>
  <c r="I10957" i="3" s="1"/>
  <c r="M10956" i="3"/>
  <c r="L10956" i="3"/>
  <c r="J10956" i="3"/>
  <c r="K10956" i="3" s="1"/>
  <c r="H10956" i="3"/>
  <c r="G10956" i="3"/>
  <c r="I10956" i="3" s="1"/>
  <c r="M10955" i="3"/>
  <c r="L10955" i="3"/>
  <c r="J10955" i="3"/>
  <c r="K10955" i="3" s="1"/>
  <c r="H10955" i="3"/>
  <c r="G10955" i="3"/>
  <c r="M10954" i="3"/>
  <c r="L10954" i="3"/>
  <c r="J10954" i="3"/>
  <c r="K10954" i="3" s="1"/>
  <c r="H10954" i="3"/>
  <c r="G10954" i="3"/>
  <c r="I10954" i="3" s="1"/>
  <c r="M10953" i="3"/>
  <c r="L10953" i="3"/>
  <c r="J10953" i="3"/>
  <c r="K10953" i="3" s="1"/>
  <c r="H10953" i="3"/>
  <c r="G10953" i="3"/>
  <c r="M10952" i="3"/>
  <c r="L10952" i="3"/>
  <c r="K10952" i="3"/>
  <c r="J10952" i="3"/>
  <c r="H10952" i="3"/>
  <c r="G10952" i="3"/>
  <c r="I10952" i="3" s="1"/>
  <c r="M10951" i="3"/>
  <c r="L10951" i="3"/>
  <c r="J10951" i="3"/>
  <c r="K10951" i="3" s="1"/>
  <c r="H10951" i="3"/>
  <c r="G10951" i="3"/>
  <c r="M10950" i="3"/>
  <c r="L10950" i="3"/>
  <c r="J10950" i="3"/>
  <c r="K10950" i="3" s="1"/>
  <c r="H10950" i="3"/>
  <c r="G10950" i="3"/>
  <c r="I10950" i="3" s="1"/>
  <c r="M10949" i="3"/>
  <c r="L10949" i="3"/>
  <c r="J10949" i="3"/>
  <c r="K10949" i="3" s="1"/>
  <c r="H10949" i="3"/>
  <c r="G10949" i="3"/>
  <c r="I10949" i="3" s="1"/>
  <c r="M10948" i="3"/>
  <c r="L10948" i="3"/>
  <c r="J10948" i="3"/>
  <c r="K10948" i="3" s="1"/>
  <c r="H10948" i="3"/>
  <c r="G10948" i="3"/>
  <c r="I10948" i="3" s="1"/>
  <c r="M10947" i="3"/>
  <c r="L10947" i="3"/>
  <c r="J10947" i="3"/>
  <c r="K10947" i="3" s="1"/>
  <c r="H10947" i="3"/>
  <c r="G10947" i="3"/>
  <c r="M10946" i="3"/>
  <c r="L10946" i="3"/>
  <c r="J10946" i="3"/>
  <c r="K10946" i="3" s="1"/>
  <c r="H10946" i="3"/>
  <c r="G10946" i="3"/>
  <c r="F458" i="1"/>
  <c r="AC458" i="23" l="1"/>
  <c r="I11030" i="3"/>
  <c r="I11032" i="3"/>
  <c r="I11034" i="3"/>
  <c r="I11036" i="3"/>
  <c r="I11038" i="3"/>
  <c r="I11040" i="3"/>
  <c r="I11019" i="3"/>
  <c r="I11021" i="3"/>
  <c r="I11023" i="3"/>
  <c r="I11025" i="3"/>
  <c r="I11027" i="3"/>
  <c r="I11029" i="3"/>
  <c r="I11031" i="3"/>
  <c r="I11033" i="3"/>
  <c r="I11035" i="3"/>
  <c r="I11037" i="3"/>
  <c r="I11039" i="3"/>
  <c r="I11041" i="3"/>
  <c r="I11017" i="3"/>
  <c r="I10969" i="3"/>
  <c r="I10946" i="3"/>
  <c r="I10951" i="3"/>
  <c r="I10953" i="3"/>
  <c r="I10960" i="3"/>
  <c r="I10962" i="3"/>
  <c r="I10965" i="3"/>
  <c r="I10947" i="3"/>
  <c r="AC459" i="23"/>
  <c r="I10970" i="3"/>
  <c r="I10972" i="3"/>
  <c r="I10974" i="3"/>
  <c r="I10976" i="3"/>
  <c r="I10978" i="3"/>
  <c r="I10980" i="3"/>
  <c r="I10982" i="3"/>
  <c r="I10984" i="3"/>
  <c r="I10986" i="3"/>
  <c r="I10988" i="3"/>
  <c r="I10990" i="3"/>
  <c r="I10992" i="3"/>
  <c r="I10971" i="3"/>
  <c r="I10973" i="3"/>
  <c r="I10975" i="3"/>
  <c r="I10977" i="3"/>
  <c r="I10979" i="3"/>
  <c r="I10981" i="3"/>
  <c r="I10983" i="3"/>
  <c r="I10985" i="3"/>
  <c r="I10987" i="3"/>
  <c r="I10989" i="3"/>
  <c r="I10991" i="3"/>
  <c r="I10993" i="3"/>
  <c r="I10968" i="3"/>
  <c r="I10955" i="3"/>
  <c r="I10959" i="3"/>
  <c r="I10963" i="3"/>
  <c r="I10967" i="3"/>
  <c r="AD22" i="23"/>
  <c r="AD23" i="23"/>
  <c r="AD24" i="23"/>
  <c r="AD25" i="23"/>
  <c r="AD26" i="23"/>
  <c r="AD27" i="23"/>
  <c r="AD28" i="23"/>
  <c r="AD29" i="23"/>
  <c r="AD30" i="23"/>
  <c r="AD31" i="23"/>
  <c r="AD32" i="23"/>
  <c r="AD33" i="23"/>
  <c r="AD34" i="23"/>
  <c r="AD35" i="23"/>
  <c r="AD36" i="23"/>
  <c r="AD37" i="23"/>
  <c r="AD38" i="23"/>
  <c r="AD39" i="23"/>
  <c r="AD40" i="23"/>
  <c r="AD41" i="23"/>
  <c r="AD42" i="23"/>
  <c r="AD43" i="23"/>
  <c r="AD44" i="23"/>
  <c r="AD45" i="23"/>
  <c r="AD46" i="23"/>
  <c r="AD47" i="23"/>
  <c r="AD48" i="23"/>
  <c r="AD49" i="23"/>
  <c r="AD50" i="23"/>
  <c r="AD51" i="23"/>
  <c r="AD52" i="23"/>
  <c r="AD53" i="23"/>
  <c r="AD54" i="23"/>
  <c r="AD55" i="23"/>
  <c r="AD56" i="23"/>
  <c r="AD57" i="23"/>
  <c r="AD58" i="23"/>
  <c r="AD59" i="23"/>
  <c r="AD60" i="23"/>
  <c r="AD61" i="23"/>
  <c r="AD62" i="23"/>
  <c r="AD63" i="23"/>
  <c r="AD64" i="23"/>
  <c r="AD65" i="23"/>
  <c r="AD66" i="23"/>
  <c r="AD67" i="23"/>
  <c r="AD68" i="23"/>
  <c r="AD69" i="23"/>
  <c r="AD70" i="23"/>
  <c r="AD71" i="23"/>
  <c r="AD72" i="23"/>
  <c r="AD73" i="23"/>
  <c r="AD74" i="23"/>
  <c r="AD75" i="23"/>
  <c r="AD76" i="23"/>
  <c r="AD77" i="23"/>
  <c r="AD78" i="23"/>
  <c r="AD79" i="23"/>
  <c r="AD80" i="23"/>
  <c r="AD81" i="23"/>
  <c r="AD82" i="23"/>
  <c r="AD83" i="23"/>
  <c r="AD84" i="23"/>
  <c r="AD85" i="23"/>
  <c r="AD86" i="23"/>
  <c r="AD87" i="23"/>
  <c r="AD88" i="23"/>
  <c r="AD89" i="23"/>
  <c r="AD90" i="23"/>
  <c r="AD91" i="23"/>
  <c r="AD92" i="23"/>
  <c r="AD93" i="23"/>
  <c r="AD94" i="23"/>
  <c r="AD95" i="23"/>
  <c r="AD96" i="23"/>
  <c r="AD97" i="23"/>
  <c r="AD98" i="23"/>
  <c r="AD99" i="23"/>
  <c r="AD100" i="23"/>
  <c r="AD101" i="23"/>
  <c r="AD102" i="23"/>
  <c r="AD103" i="23"/>
  <c r="AD104" i="23"/>
  <c r="AD105" i="23"/>
  <c r="AD106" i="23"/>
  <c r="AD107" i="23"/>
  <c r="AD108" i="23"/>
  <c r="AD109" i="23"/>
  <c r="AD110" i="23"/>
  <c r="AD111" i="23"/>
  <c r="AD112" i="23"/>
  <c r="AD113" i="23"/>
  <c r="AD114" i="23"/>
  <c r="AD115" i="23"/>
  <c r="AD116" i="23"/>
  <c r="AD117" i="23"/>
  <c r="AD118" i="23"/>
  <c r="AD119" i="23"/>
  <c r="AD120" i="23"/>
  <c r="AD121" i="23"/>
  <c r="AD122" i="23"/>
  <c r="AD123" i="23"/>
  <c r="AD124" i="23"/>
  <c r="AD125" i="23"/>
  <c r="AD126" i="23"/>
  <c r="AD127" i="23"/>
  <c r="AD128" i="23"/>
  <c r="AD129" i="23"/>
  <c r="AD130" i="23"/>
  <c r="AD131" i="23"/>
  <c r="AD132" i="23"/>
  <c r="AD133" i="23"/>
  <c r="AD134" i="23"/>
  <c r="AD135" i="23"/>
  <c r="AD136" i="23"/>
  <c r="AD137" i="23"/>
  <c r="AD138" i="23"/>
  <c r="AD139" i="23"/>
  <c r="AD140" i="23"/>
  <c r="AD141" i="23"/>
  <c r="AD142" i="23"/>
  <c r="AD143" i="23"/>
  <c r="AD144" i="23"/>
  <c r="AD145" i="23"/>
  <c r="AD146" i="23"/>
  <c r="AD147" i="23"/>
  <c r="AD148" i="23"/>
  <c r="AD149" i="23"/>
  <c r="AD150" i="23"/>
  <c r="AD151" i="23"/>
  <c r="AD152" i="23"/>
  <c r="AD153" i="23"/>
  <c r="AD154" i="23"/>
  <c r="AD155" i="23"/>
  <c r="AD156" i="23"/>
  <c r="AD157" i="23"/>
  <c r="AD158" i="23"/>
  <c r="AD159" i="23"/>
  <c r="AD160" i="23"/>
  <c r="AD161" i="23"/>
  <c r="AD162" i="23"/>
  <c r="AD163" i="23"/>
  <c r="AD164" i="23"/>
  <c r="AD165" i="23"/>
  <c r="AD166" i="23"/>
  <c r="AD167" i="23"/>
  <c r="AD168" i="23"/>
  <c r="AD169" i="23"/>
  <c r="AD170" i="23"/>
  <c r="AD171" i="23"/>
  <c r="AD172" i="23"/>
  <c r="AD173" i="23"/>
  <c r="AD174" i="23"/>
  <c r="AD175" i="23"/>
  <c r="AD176" i="23"/>
  <c r="AD177" i="23"/>
  <c r="AD178" i="23"/>
  <c r="AD179" i="23"/>
  <c r="AD180" i="23"/>
  <c r="AD181" i="23"/>
  <c r="AD182" i="23"/>
  <c r="AD183" i="23"/>
  <c r="AD184" i="23"/>
  <c r="AD185" i="23"/>
  <c r="AD186" i="23"/>
  <c r="AD187" i="23"/>
  <c r="AD188" i="23"/>
  <c r="AD189" i="23"/>
  <c r="AD190" i="23"/>
  <c r="AD191" i="23"/>
  <c r="AD192" i="23"/>
  <c r="AD193" i="23"/>
  <c r="AD194" i="23"/>
  <c r="AD457" i="23"/>
  <c r="U457" i="23"/>
  <c r="V457" i="23"/>
  <c r="W457" i="23"/>
  <c r="Y457" i="23"/>
  <c r="Z457" i="23"/>
  <c r="AA457" i="23"/>
  <c r="AJ457" i="23" s="1"/>
  <c r="AE457" i="23"/>
  <c r="AG457" i="23"/>
  <c r="AI457" i="23"/>
  <c r="AL457" i="23"/>
  <c r="AN457" i="23"/>
  <c r="AO457" i="23"/>
  <c r="AP457" i="23"/>
  <c r="AQ457" i="23"/>
  <c r="AR457" i="23"/>
  <c r="J457" i="23"/>
  <c r="F457" i="23"/>
  <c r="C457" i="23"/>
  <c r="Z456" i="23"/>
  <c r="M455" i="1"/>
  <c r="M456" i="1"/>
  <c r="S457" i="1"/>
  <c r="M10945" i="3"/>
  <c r="L10945" i="3"/>
  <c r="J10945" i="3"/>
  <c r="K10945" i="3" s="1"/>
  <c r="H10945" i="3"/>
  <c r="G10945" i="3"/>
  <c r="M10944" i="3"/>
  <c r="L10944" i="3"/>
  <c r="J10944" i="3"/>
  <c r="K10944" i="3" s="1"/>
  <c r="H10944" i="3"/>
  <c r="G10944" i="3"/>
  <c r="M10943" i="3"/>
  <c r="L10943" i="3"/>
  <c r="J10943" i="3"/>
  <c r="K10943" i="3" s="1"/>
  <c r="H10943" i="3"/>
  <c r="G10943" i="3"/>
  <c r="M10942" i="3"/>
  <c r="L10942" i="3"/>
  <c r="J10942" i="3"/>
  <c r="K10942" i="3" s="1"/>
  <c r="H10942" i="3"/>
  <c r="G10942" i="3"/>
  <c r="M10941" i="3"/>
  <c r="L10941" i="3"/>
  <c r="J10941" i="3"/>
  <c r="K10941" i="3" s="1"/>
  <c r="H10941" i="3"/>
  <c r="G10941" i="3"/>
  <c r="M10940" i="3"/>
  <c r="L10940" i="3"/>
  <c r="J10940" i="3"/>
  <c r="K10940" i="3" s="1"/>
  <c r="H10940" i="3"/>
  <c r="G10940" i="3"/>
  <c r="M10939" i="3"/>
  <c r="L10939" i="3"/>
  <c r="J10939" i="3"/>
  <c r="K10939" i="3" s="1"/>
  <c r="H10939" i="3"/>
  <c r="G10939" i="3"/>
  <c r="M10938" i="3"/>
  <c r="L10938" i="3"/>
  <c r="J10938" i="3"/>
  <c r="K10938" i="3" s="1"/>
  <c r="H10938" i="3"/>
  <c r="G10938" i="3"/>
  <c r="M10937" i="3"/>
  <c r="L10937" i="3"/>
  <c r="J10937" i="3"/>
  <c r="K10937" i="3" s="1"/>
  <c r="H10937" i="3"/>
  <c r="G10937" i="3"/>
  <c r="M10936" i="3"/>
  <c r="L10936" i="3"/>
  <c r="J10936" i="3"/>
  <c r="K10936" i="3" s="1"/>
  <c r="H10936" i="3"/>
  <c r="G10936" i="3"/>
  <c r="M10935" i="3"/>
  <c r="L10935" i="3"/>
  <c r="J10935" i="3"/>
  <c r="K10935" i="3" s="1"/>
  <c r="H10935" i="3"/>
  <c r="G10935" i="3"/>
  <c r="M10934" i="3"/>
  <c r="L10934" i="3"/>
  <c r="J10934" i="3"/>
  <c r="K10934" i="3" s="1"/>
  <c r="H10934" i="3"/>
  <c r="G10934" i="3"/>
  <c r="M10933" i="3"/>
  <c r="L10933" i="3"/>
  <c r="J10933" i="3"/>
  <c r="K10933" i="3" s="1"/>
  <c r="H10933" i="3"/>
  <c r="G10933" i="3"/>
  <c r="M10932" i="3"/>
  <c r="L10932" i="3"/>
  <c r="J10932" i="3"/>
  <c r="K10932" i="3" s="1"/>
  <c r="H10932" i="3"/>
  <c r="G10932" i="3"/>
  <c r="M10931" i="3"/>
  <c r="L10931" i="3"/>
  <c r="J10931" i="3"/>
  <c r="K10931" i="3" s="1"/>
  <c r="H10931" i="3"/>
  <c r="G10931" i="3"/>
  <c r="M10930" i="3"/>
  <c r="L10930" i="3"/>
  <c r="J10930" i="3"/>
  <c r="K10930" i="3" s="1"/>
  <c r="H10930" i="3"/>
  <c r="G10930" i="3"/>
  <c r="M10929" i="3"/>
  <c r="L10929" i="3"/>
  <c r="J10929" i="3"/>
  <c r="K10929" i="3" s="1"/>
  <c r="H10929" i="3"/>
  <c r="G10929" i="3"/>
  <c r="M10928" i="3"/>
  <c r="L10928" i="3"/>
  <c r="J10928" i="3"/>
  <c r="K10928" i="3" s="1"/>
  <c r="H10928" i="3"/>
  <c r="G10928" i="3"/>
  <c r="M10927" i="3"/>
  <c r="L10927" i="3"/>
  <c r="J10927" i="3"/>
  <c r="K10927" i="3" s="1"/>
  <c r="H10927" i="3"/>
  <c r="G10927" i="3"/>
  <c r="M10926" i="3"/>
  <c r="L10926" i="3"/>
  <c r="J10926" i="3"/>
  <c r="K10926" i="3" s="1"/>
  <c r="H10926" i="3"/>
  <c r="G10926" i="3"/>
  <c r="M10925" i="3"/>
  <c r="L10925" i="3"/>
  <c r="J10925" i="3"/>
  <c r="K10925" i="3" s="1"/>
  <c r="H10925" i="3"/>
  <c r="G10925" i="3"/>
  <c r="M10924" i="3"/>
  <c r="L10924" i="3"/>
  <c r="J10924" i="3"/>
  <c r="K10924" i="3" s="1"/>
  <c r="H10924" i="3"/>
  <c r="G10924" i="3"/>
  <c r="M10923" i="3"/>
  <c r="L10923" i="3"/>
  <c r="J10923" i="3"/>
  <c r="K10923" i="3" s="1"/>
  <c r="H10923" i="3"/>
  <c r="G10923" i="3"/>
  <c r="M10922" i="3"/>
  <c r="L10922" i="3"/>
  <c r="J10922" i="3"/>
  <c r="K10922" i="3" s="1"/>
  <c r="H10922" i="3"/>
  <c r="G10922" i="3"/>
  <c r="F457" i="1"/>
  <c r="I10941" i="3" l="1"/>
  <c r="I10945" i="3"/>
  <c r="AC457" i="23"/>
  <c r="I10923" i="3"/>
  <c r="I10925" i="3"/>
  <c r="I10927" i="3"/>
  <c r="I10929" i="3"/>
  <c r="I10931" i="3"/>
  <c r="I10933" i="3"/>
  <c r="I10935" i="3"/>
  <c r="I10937" i="3"/>
  <c r="I10939" i="3"/>
  <c r="I10943" i="3"/>
  <c r="I10922" i="3"/>
  <c r="I10924" i="3"/>
  <c r="I10926" i="3"/>
  <c r="I10928" i="3"/>
  <c r="I10930" i="3"/>
  <c r="I10932" i="3"/>
  <c r="I10934" i="3"/>
  <c r="I10936" i="3"/>
  <c r="I10938" i="3"/>
  <c r="I10940" i="3"/>
  <c r="I10942" i="3"/>
  <c r="I10944" i="3"/>
  <c r="AD456" i="23" l="1"/>
  <c r="AE456" i="23"/>
  <c r="AG456" i="23"/>
  <c r="AI456" i="23"/>
  <c r="AL456" i="23"/>
  <c r="AN456" i="23"/>
  <c r="AO456" i="23"/>
  <c r="AP456" i="23"/>
  <c r="AQ456" i="23"/>
  <c r="AR456" i="23"/>
  <c r="U456" i="23"/>
  <c r="V456" i="23"/>
  <c r="W456" i="23"/>
  <c r="Y456" i="23"/>
  <c r="AA456" i="23"/>
  <c r="J456" i="23"/>
  <c r="F456" i="23"/>
  <c r="C456" i="23"/>
  <c r="AA455" i="23"/>
  <c r="AB469" i="23"/>
  <c r="AB456" i="23"/>
  <c r="Z455" i="23"/>
  <c r="V455" i="23"/>
  <c r="W455" i="23"/>
  <c r="X455" i="23"/>
  <c r="Y455" i="23"/>
  <c r="AD455" i="23"/>
  <c r="AE455" i="23"/>
  <c r="AG455" i="23"/>
  <c r="AI455" i="23"/>
  <c r="AL455" i="23"/>
  <c r="AN455" i="23"/>
  <c r="AO455" i="23"/>
  <c r="AP455" i="23"/>
  <c r="AQ455" i="23"/>
  <c r="AR455" i="23"/>
  <c r="U455" i="23"/>
  <c r="M10921" i="3"/>
  <c r="L10921" i="3"/>
  <c r="J10921" i="3"/>
  <c r="K10921" i="3" s="1"/>
  <c r="H10921" i="3"/>
  <c r="G10921" i="3"/>
  <c r="M10920" i="3"/>
  <c r="L10920" i="3"/>
  <c r="J10920" i="3"/>
  <c r="K10920" i="3" s="1"/>
  <c r="H10920" i="3"/>
  <c r="G10920" i="3"/>
  <c r="I10920" i="3" s="1"/>
  <c r="M10919" i="3"/>
  <c r="L10919" i="3"/>
  <c r="J10919" i="3"/>
  <c r="K10919" i="3" s="1"/>
  <c r="H10919" i="3"/>
  <c r="G10919" i="3"/>
  <c r="M10918" i="3"/>
  <c r="L10918" i="3"/>
  <c r="J10918" i="3"/>
  <c r="K10918" i="3" s="1"/>
  <c r="H10918" i="3"/>
  <c r="G10918" i="3"/>
  <c r="M10917" i="3"/>
  <c r="L10917" i="3"/>
  <c r="J10917" i="3"/>
  <c r="K10917" i="3" s="1"/>
  <c r="H10917" i="3"/>
  <c r="G10917" i="3"/>
  <c r="M10916" i="3"/>
  <c r="L10916" i="3"/>
  <c r="J10916" i="3"/>
  <c r="K10916" i="3" s="1"/>
  <c r="H10916" i="3"/>
  <c r="G10916" i="3"/>
  <c r="I10916" i="3" s="1"/>
  <c r="M10915" i="3"/>
  <c r="L10915" i="3"/>
  <c r="J10915" i="3"/>
  <c r="K10915" i="3" s="1"/>
  <c r="H10915" i="3"/>
  <c r="G10915" i="3"/>
  <c r="M10914" i="3"/>
  <c r="L10914" i="3"/>
  <c r="J10914" i="3"/>
  <c r="K10914" i="3" s="1"/>
  <c r="H10914" i="3"/>
  <c r="G10914" i="3"/>
  <c r="M10913" i="3"/>
  <c r="L10913" i="3"/>
  <c r="J10913" i="3"/>
  <c r="K10913" i="3" s="1"/>
  <c r="H10913" i="3"/>
  <c r="G10913" i="3"/>
  <c r="M10912" i="3"/>
  <c r="L10912" i="3"/>
  <c r="J10912" i="3"/>
  <c r="K10912" i="3" s="1"/>
  <c r="H10912" i="3"/>
  <c r="G10912" i="3"/>
  <c r="I10912" i="3" s="1"/>
  <c r="M10911" i="3"/>
  <c r="L10911" i="3"/>
  <c r="J10911" i="3"/>
  <c r="K10911" i="3" s="1"/>
  <c r="H10911" i="3"/>
  <c r="G10911" i="3"/>
  <c r="M10910" i="3"/>
  <c r="L10910" i="3"/>
  <c r="J10910" i="3"/>
  <c r="K10910" i="3" s="1"/>
  <c r="H10910" i="3"/>
  <c r="G10910" i="3"/>
  <c r="M10909" i="3"/>
  <c r="L10909" i="3"/>
  <c r="J10909" i="3"/>
  <c r="K10909" i="3" s="1"/>
  <c r="H10909" i="3"/>
  <c r="G10909" i="3"/>
  <c r="M10908" i="3"/>
  <c r="L10908" i="3"/>
  <c r="J10908" i="3"/>
  <c r="K10908" i="3" s="1"/>
  <c r="H10908" i="3"/>
  <c r="G10908" i="3"/>
  <c r="M10907" i="3"/>
  <c r="L10907" i="3"/>
  <c r="J10907" i="3"/>
  <c r="K10907" i="3" s="1"/>
  <c r="H10907" i="3"/>
  <c r="G10907" i="3"/>
  <c r="M10906" i="3"/>
  <c r="L10906" i="3"/>
  <c r="J10906" i="3"/>
  <c r="K10906" i="3" s="1"/>
  <c r="H10906" i="3"/>
  <c r="G10906" i="3"/>
  <c r="M10905" i="3"/>
  <c r="L10905" i="3"/>
  <c r="J10905" i="3"/>
  <c r="K10905" i="3" s="1"/>
  <c r="H10905" i="3"/>
  <c r="G10905" i="3"/>
  <c r="M10904" i="3"/>
  <c r="L10904" i="3"/>
  <c r="J10904" i="3"/>
  <c r="K10904" i="3" s="1"/>
  <c r="H10904" i="3"/>
  <c r="G10904" i="3"/>
  <c r="M10903" i="3"/>
  <c r="L10903" i="3"/>
  <c r="J10903" i="3"/>
  <c r="K10903" i="3" s="1"/>
  <c r="H10903" i="3"/>
  <c r="G10903" i="3"/>
  <c r="M10902" i="3"/>
  <c r="L10902" i="3"/>
  <c r="J10902" i="3"/>
  <c r="K10902" i="3" s="1"/>
  <c r="H10902" i="3"/>
  <c r="G10902" i="3"/>
  <c r="M10901" i="3"/>
  <c r="L10901" i="3"/>
  <c r="J10901" i="3"/>
  <c r="K10901" i="3" s="1"/>
  <c r="H10901" i="3"/>
  <c r="G10901" i="3"/>
  <c r="M10900" i="3"/>
  <c r="L10900" i="3"/>
  <c r="J10900" i="3"/>
  <c r="K10900" i="3" s="1"/>
  <c r="H10900" i="3"/>
  <c r="G10900" i="3"/>
  <c r="M10899" i="3"/>
  <c r="L10899" i="3"/>
  <c r="J10899" i="3"/>
  <c r="K10899" i="3" s="1"/>
  <c r="H10899" i="3"/>
  <c r="G10899" i="3"/>
  <c r="M10898" i="3"/>
  <c r="L10898" i="3"/>
  <c r="J10898" i="3"/>
  <c r="K10898" i="3" s="1"/>
  <c r="H10898" i="3"/>
  <c r="G10898" i="3"/>
  <c r="S456" i="1"/>
  <c r="F456" i="1"/>
  <c r="F8" i="5"/>
  <c r="F9" i="5"/>
  <c r="E3" i="5"/>
  <c r="E4" i="5"/>
  <c r="F10" i="5" s="1"/>
  <c r="E5" i="5"/>
  <c r="F11" i="5"/>
  <c r="F12" i="5"/>
  <c r="F13" i="5"/>
  <c r="F14" i="5"/>
  <c r="F15" i="5"/>
  <c r="F16" i="5"/>
  <c r="F17" i="5"/>
  <c r="F18" i="5"/>
  <c r="F19" i="5"/>
  <c r="F20" i="5"/>
  <c r="F21" i="5"/>
  <c r="E6" i="5"/>
  <c r="E7" i="5"/>
  <c r="E8" i="5"/>
  <c r="E9" i="5"/>
  <c r="E10" i="5"/>
  <c r="E11" i="5"/>
  <c r="E12" i="5"/>
  <c r="E13" i="5"/>
  <c r="E14" i="5"/>
  <c r="E15" i="5"/>
  <c r="E16" i="5"/>
  <c r="F22" i="5" s="1"/>
  <c r="E17" i="5"/>
  <c r="E18" i="5"/>
  <c r="F24" i="5" s="1"/>
  <c r="E19" i="5"/>
  <c r="E20" i="5"/>
  <c r="F26" i="5" s="1"/>
  <c r="E21" i="5"/>
  <c r="E22" i="5"/>
  <c r="F28" i="5" s="1"/>
  <c r="E23" i="5"/>
  <c r="E24" i="5"/>
  <c r="F30" i="5" s="1"/>
  <c r="E25" i="5"/>
  <c r="E26" i="5"/>
  <c r="F32" i="5" s="1"/>
  <c r="E27" i="5"/>
  <c r="E28" i="5"/>
  <c r="F34" i="5" s="1"/>
  <c r="E29" i="5"/>
  <c r="E30" i="5"/>
  <c r="F36" i="5" s="1"/>
  <c r="E31" i="5"/>
  <c r="E32" i="5"/>
  <c r="F38" i="5" s="1"/>
  <c r="E33" i="5"/>
  <c r="E34" i="5"/>
  <c r="F40" i="5" s="1"/>
  <c r="E35" i="5"/>
  <c r="E36" i="5"/>
  <c r="F42" i="5" s="1"/>
  <c r="E37" i="5"/>
  <c r="E38" i="5"/>
  <c r="F44" i="5" s="1"/>
  <c r="E39" i="5"/>
  <c r="E40" i="5"/>
  <c r="F46" i="5" s="1"/>
  <c r="E41" i="5"/>
  <c r="E42" i="5"/>
  <c r="F48" i="5" s="1"/>
  <c r="E43" i="5"/>
  <c r="E44" i="5"/>
  <c r="F50" i="5" s="1"/>
  <c r="E45" i="5"/>
  <c r="E46" i="5"/>
  <c r="F52" i="5" s="1"/>
  <c r="E47" i="5"/>
  <c r="E48" i="5"/>
  <c r="F54" i="5" s="1"/>
  <c r="E49" i="5"/>
  <c r="E50" i="5"/>
  <c r="F56" i="5" s="1"/>
  <c r="E51" i="5"/>
  <c r="E52" i="5"/>
  <c r="F58" i="5" s="1"/>
  <c r="E53" i="5"/>
  <c r="E54" i="5"/>
  <c r="F60" i="5" s="1"/>
  <c r="E55" i="5"/>
  <c r="E56" i="5"/>
  <c r="E57" i="5"/>
  <c r="E58" i="5"/>
  <c r="E59" i="5"/>
  <c r="E60" i="5"/>
  <c r="E61" i="5"/>
  <c r="F67" i="5" s="1"/>
  <c r="E62" i="5"/>
  <c r="F68" i="5" s="1"/>
  <c r="E63" i="5"/>
  <c r="E64" i="5"/>
  <c r="F70" i="5" s="1"/>
  <c r="E65" i="5"/>
  <c r="E66" i="5"/>
  <c r="F72" i="5" s="1"/>
  <c r="E67" i="5"/>
  <c r="E68" i="5"/>
  <c r="F74" i="5" s="1"/>
  <c r="E69" i="5"/>
  <c r="E70" i="5"/>
  <c r="F76" i="5" s="1"/>
  <c r="E71" i="5"/>
  <c r="E72" i="5"/>
  <c r="F78" i="5" s="1"/>
  <c r="E73" i="5"/>
  <c r="E74" i="5"/>
  <c r="F80" i="5" s="1"/>
  <c r="E75" i="5"/>
  <c r="E76" i="5"/>
  <c r="F82" i="5" s="1"/>
  <c r="E77" i="5"/>
  <c r="E78" i="5"/>
  <c r="F84" i="5" s="1"/>
  <c r="E79" i="5"/>
  <c r="E80" i="5"/>
  <c r="F86" i="5" s="1"/>
  <c r="E81" i="5"/>
  <c r="E82" i="5"/>
  <c r="F88" i="5" s="1"/>
  <c r="E83" i="5"/>
  <c r="E84" i="5"/>
  <c r="F90" i="5" s="1"/>
  <c r="E85" i="5"/>
  <c r="E86" i="5"/>
  <c r="F92" i="5" s="1"/>
  <c r="E87" i="5"/>
  <c r="E88" i="5"/>
  <c r="F94" i="5" s="1"/>
  <c r="E89" i="5"/>
  <c r="E90" i="5"/>
  <c r="F96" i="5" s="1"/>
  <c r="E91" i="5"/>
  <c r="E92" i="5"/>
  <c r="F98" i="5" s="1"/>
  <c r="E93" i="5"/>
  <c r="E94" i="5"/>
  <c r="F100" i="5" s="1"/>
  <c r="E95" i="5"/>
  <c r="E96" i="5"/>
  <c r="F102" i="5" s="1"/>
  <c r="E97" i="5"/>
  <c r="E98" i="5"/>
  <c r="F104" i="5" s="1"/>
  <c r="E99" i="5"/>
  <c r="E100" i="5"/>
  <c r="F106" i="5" s="1"/>
  <c r="E101" i="5"/>
  <c r="E102" i="5"/>
  <c r="F108" i="5" s="1"/>
  <c r="E103" i="5"/>
  <c r="E104" i="5"/>
  <c r="F110" i="5" s="1"/>
  <c r="E105" i="5"/>
  <c r="E106" i="5"/>
  <c r="F112" i="5" s="1"/>
  <c r="E107" i="5"/>
  <c r="E108" i="5"/>
  <c r="F114" i="5" s="1"/>
  <c r="E109" i="5"/>
  <c r="E110" i="5"/>
  <c r="F116" i="5" s="1"/>
  <c r="E111" i="5"/>
  <c r="E112" i="5"/>
  <c r="F118" i="5" s="1"/>
  <c r="E113" i="5"/>
  <c r="E114" i="5"/>
  <c r="F120" i="5" s="1"/>
  <c r="E115" i="5"/>
  <c r="E116" i="5"/>
  <c r="F122" i="5" s="1"/>
  <c r="E117" i="5"/>
  <c r="E118" i="5"/>
  <c r="F124" i="5" s="1"/>
  <c r="E119" i="5"/>
  <c r="E120" i="5"/>
  <c r="F126" i="5" s="1"/>
  <c r="E121" i="5"/>
  <c r="E122" i="5"/>
  <c r="F128" i="5" s="1"/>
  <c r="E123" i="5"/>
  <c r="E124" i="5"/>
  <c r="F130" i="5" s="1"/>
  <c r="E125" i="5"/>
  <c r="E126" i="5"/>
  <c r="F132" i="5" s="1"/>
  <c r="E127" i="5"/>
  <c r="E128" i="5"/>
  <c r="F134" i="5" s="1"/>
  <c r="E129" i="5"/>
  <c r="E130" i="5"/>
  <c r="F136" i="5" s="1"/>
  <c r="E131" i="5"/>
  <c r="E132" i="5"/>
  <c r="F138" i="5" s="1"/>
  <c r="E133" i="5"/>
  <c r="E134" i="5"/>
  <c r="F140" i="5" s="1"/>
  <c r="E135" i="5"/>
  <c r="E136" i="5"/>
  <c r="F142" i="5" s="1"/>
  <c r="E137" i="5"/>
  <c r="E138" i="5"/>
  <c r="F144" i="5" s="1"/>
  <c r="E139" i="5"/>
  <c r="E140" i="5"/>
  <c r="F146" i="5" s="1"/>
  <c r="E141" i="5"/>
  <c r="E142" i="5"/>
  <c r="F148" i="5" s="1"/>
  <c r="E143" i="5"/>
  <c r="E144" i="5"/>
  <c r="F150" i="5" s="1"/>
  <c r="F23" i="5"/>
  <c r="F25" i="5"/>
  <c r="F27" i="5"/>
  <c r="F29" i="5"/>
  <c r="F31" i="5"/>
  <c r="F33" i="5"/>
  <c r="F35" i="5"/>
  <c r="F37" i="5"/>
  <c r="F39" i="5"/>
  <c r="F41" i="5"/>
  <c r="F43" i="5"/>
  <c r="F45" i="5"/>
  <c r="F47" i="5"/>
  <c r="F49" i="5"/>
  <c r="F51" i="5"/>
  <c r="F53" i="5"/>
  <c r="F55" i="5"/>
  <c r="F57" i="5"/>
  <c r="F59" i="5"/>
  <c r="F61" i="5"/>
  <c r="F65" i="5"/>
  <c r="F69" i="5"/>
  <c r="F71" i="5"/>
  <c r="F73" i="5"/>
  <c r="F75" i="5"/>
  <c r="F77" i="5"/>
  <c r="F79" i="5"/>
  <c r="F81" i="5"/>
  <c r="F83" i="5"/>
  <c r="F85" i="5"/>
  <c r="F87" i="5"/>
  <c r="F89" i="5"/>
  <c r="F91" i="5"/>
  <c r="F93" i="5"/>
  <c r="F95" i="5"/>
  <c r="F97" i="5"/>
  <c r="F99" i="5"/>
  <c r="F101" i="5"/>
  <c r="F103" i="5"/>
  <c r="F105" i="5"/>
  <c r="F107" i="5"/>
  <c r="F109" i="5"/>
  <c r="F111" i="5"/>
  <c r="F113" i="5"/>
  <c r="F115" i="5"/>
  <c r="F117" i="5"/>
  <c r="F119" i="5"/>
  <c r="F121" i="5"/>
  <c r="F123" i="5"/>
  <c r="F125" i="5"/>
  <c r="F127" i="5"/>
  <c r="F129" i="5"/>
  <c r="F131" i="5"/>
  <c r="F133" i="5"/>
  <c r="F135" i="5"/>
  <c r="F137" i="5"/>
  <c r="F139" i="5"/>
  <c r="F141" i="5"/>
  <c r="F143" i="5"/>
  <c r="F145" i="5"/>
  <c r="F147" i="5"/>
  <c r="F149" i="5"/>
  <c r="F151" i="5"/>
  <c r="F152" i="5"/>
  <c r="F153" i="5"/>
  <c r="F154" i="5"/>
  <c r="F155" i="5"/>
  <c r="F156" i="5"/>
  <c r="F157" i="5"/>
  <c r="F158" i="5"/>
  <c r="F159" i="5"/>
  <c r="F160" i="5"/>
  <c r="F161" i="5"/>
  <c r="F162" i="5"/>
  <c r="F163" i="5"/>
  <c r="F164" i="5"/>
  <c r="E145" i="5"/>
  <c r="E146" i="5"/>
  <c r="E147" i="5"/>
  <c r="E148" i="5"/>
  <c r="E149" i="5"/>
  <c r="E150" i="5"/>
  <c r="E151" i="5"/>
  <c r="E152" i="5"/>
  <c r="E153" i="5"/>
  <c r="E154" i="5"/>
  <c r="E155" i="5"/>
  <c r="E156" i="5"/>
  <c r="E157" i="5"/>
  <c r="E158" i="5"/>
  <c r="E159" i="5"/>
  <c r="F165" i="5" s="1"/>
  <c r="E160" i="5"/>
  <c r="F166" i="5" s="1"/>
  <c r="E161" i="5"/>
  <c r="E162" i="5"/>
  <c r="E163" i="5"/>
  <c r="F168" i="5" s="1"/>
  <c r="E164" i="5"/>
  <c r="F170" i="5" s="1"/>
  <c r="E165" i="5"/>
  <c r="F167"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E244" i="5"/>
  <c r="E245" i="5"/>
  <c r="E246" i="5"/>
  <c r="E247" i="5"/>
  <c r="E248" i="5"/>
  <c r="E249" i="5"/>
  <c r="E250" i="5"/>
  <c r="E251" i="5"/>
  <c r="E252" i="5"/>
  <c r="E253" i="5"/>
  <c r="M451" i="1"/>
  <c r="M452" i="1"/>
  <c r="M453" i="1"/>
  <c r="M454" i="1"/>
  <c r="S455" i="1"/>
  <c r="F455" i="1"/>
  <c r="M10897" i="3"/>
  <c r="L10897" i="3"/>
  <c r="J10897" i="3"/>
  <c r="K10897" i="3" s="1"/>
  <c r="H10897" i="3"/>
  <c r="G10897" i="3"/>
  <c r="M10896" i="3"/>
  <c r="L10896" i="3"/>
  <c r="J10896" i="3"/>
  <c r="K10896" i="3" s="1"/>
  <c r="H10896" i="3"/>
  <c r="G10896" i="3"/>
  <c r="M10895" i="3"/>
  <c r="L10895" i="3"/>
  <c r="J10895" i="3"/>
  <c r="K10895" i="3" s="1"/>
  <c r="H10895" i="3"/>
  <c r="G10895" i="3"/>
  <c r="M10894" i="3"/>
  <c r="L10894" i="3"/>
  <c r="J10894" i="3"/>
  <c r="K10894" i="3" s="1"/>
  <c r="H10894" i="3"/>
  <c r="G10894" i="3"/>
  <c r="M10893" i="3"/>
  <c r="L10893" i="3"/>
  <c r="J10893" i="3"/>
  <c r="K10893" i="3" s="1"/>
  <c r="H10893" i="3"/>
  <c r="G10893" i="3"/>
  <c r="M10892" i="3"/>
  <c r="L10892" i="3"/>
  <c r="J10892" i="3"/>
  <c r="K10892" i="3" s="1"/>
  <c r="H10892" i="3"/>
  <c r="G10892" i="3"/>
  <c r="M10891" i="3"/>
  <c r="L10891" i="3"/>
  <c r="J10891" i="3"/>
  <c r="K10891" i="3" s="1"/>
  <c r="H10891" i="3"/>
  <c r="G10891" i="3"/>
  <c r="M10890" i="3"/>
  <c r="L10890" i="3"/>
  <c r="J10890" i="3"/>
  <c r="K10890" i="3" s="1"/>
  <c r="H10890" i="3"/>
  <c r="G10890" i="3"/>
  <c r="M10889" i="3"/>
  <c r="L10889" i="3"/>
  <c r="J10889" i="3"/>
  <c r="K10889" i="3" s="1"/>
  <c r="H10889" i="3"/>
  <c r="G10889" i="3"/>
  <c r="M10888" i="3"/>
  <c r="L10888" i="3"/>
  <c r="J10888" i="3"/>
  <c r="K10888" i="3" s="1"/>
  <c r="H10888" i="3"/>
  <c r="G10888" i="3"/>
  <c r="M10887" i="3"/>
  <c r="L10887" i="3"/>
  <c r="J10887" i="3"/>
  <c r="K10887" i="3" s="1"/>
  <c r="H10887" i="3"/>
  <c r="G10887" i="3"/>
  <c r="M10886" i="3"/>
  <c r="L10886" i="3"/>
  <c r="J10886" i="3"/>
  <c r="K10886" i="3" s="1"/>
  <c r="H10886" i="3"/>
  <c r="G10886" i="3"/>
  <c r="M10885" i="3"/>
  <c r="L10885" i="3"/>
  <c r="J10885" i="3"/>
  <c r="K10885" i="3" s="1"/>
  <c r="H10885" i="3"/>
  <c r="G10885" i="3"/>
  <c r="M10884" i="3"/>
  <c r="L10884" i="3"/>
  <c r="J10884" i="3"/>
  <c r="K10884" i="3" s="1"/>
  <c r="H10884" i="3"/>
  <c r="G10884" i="3"/>
  <c r="M10883" i="3"/>
  <c r="L10883" i="3"/>
  <c r="J10883" i="3"/>
  <c r="K10883" i="3" s="1"/>
  <c r="H10883" i="3"/>
  <c r="G10883" i="3"/>
  <c r="M10882" i="3"/>
  <c r="L10882" i="3"/>
  <c r="J10882" i="3"/>
  <c r="K10882" i="3" s="1"/>
  <c r="H10882" i="3"/>
  <c r="G10882" i="3"/>
  <c r="M10881" i="3"/>
  <c r="L10881" i="3"/>
  <c r="J10881" i="3"/>
  <c r="K10881" i="3" s="1"/>
  <c r="H10881" i="3"/>
  <c r="G10881" i="3"/>
  <c r="M10880" i="3"/>
  <c r="L10880" i="3"/>
  <c r="J10880" i="3"/>
  <c r="K10880" i="3" s="1"/>
  <c r="H10880" i="3"/>
  <c r="G10880" i="3"/>
  <c r="M10879" i="3"/>
  <c r="L10879" i="3"/>
  <c r="J10879" i="3"/>
  <c r="K10879" i="3" s="1"/>
  <c r="H10879" i="3"/>
  <c r="G10879" i="3"/>
  <c r="M10878" i="3"/>
  <c r="L10878" i="3"/>
  <c r="J10878" i="3"/>
  <c r="K10878" i="3" s="1"/>
  <c r="H10878" i="3"/>
  <c r="G10878" i="3"/>
  <c r="M10877" i="3"/>
  <c r="L10877" i="3"/>
  <c r="J10877" i="3"/>
  <c r="K10877" i="3" s="1"/>
  <c r="H10877" i="3"/>
  <c r="G10877" i="3"/>
  <c r="M10876" i="3"/>
  <c r="L10876" i="3"/>
  <c r="J10876" i="3"/>
  <c r="K10876" i="3" s="1"/>
  <c r="H10876" i="3"/>
  <c r="G10876" i="3"/>
  <c r="M10875" i="3"/>
  <c r="L10875" i="3"/>
  <c r="J10875" i="3"/>
  <c r="K10875" i="3" s="1"/>
  <c r="H10875" i="3"/>
  <c r="G10875" i="3"/>
  <c r="M10874" i="3"/>
  <c r="L10874" i="3"/>
  <c r="J10874" i="3"/>
  <c r="K10874" i="3" s="1"/>
  <c r="H10874" i="3"/>
  <c r="G10874" i="3"/>
  <c r="S454" i="23"/>
  <c r="U454" i="23"/>
  <c r="V454" i="23"/>
  <c r="W454" i="23"/>
  <c r="X454" i="23"/>
  <c r="Y454" i="23"/>
  <c r="Z454" i="23"/>
  <c r="AA454" i="23"/>
  <c r="AC454" i="23" s="1"/>
  <c r="AD454" i="23"/>
  <c r="AE454" i="23"/>
  <c r="AG454" i="23"/>
  <c r="AI454" i="23"/>
  <c r="AL454" i="23"/>
  <c r="AN454" i="23"/>
  <c r="AO454" i="23"/>
  <c r="AP454" i="23"/>
  <c r="AQ454" i="23"/>
  <c r="AR454" i="23"/>
  <c r="AT454" i="23"/>
  <c r="J454" i="23"/>
  <c r="F454" i="23"/>
  <c r="C454" i="23"/>
  <c r="F454" i="1"/>
  <c r="S454" i="1"/>
  <c r="M10873" i="3"/>
  <c r="L10873" i="3"/>
  <c r="J10873" i="3"/>
  <c r="K10873" i="3" s="1"/>
  <c r="H10873" i="3"/>
  <c r="G10873" i="3"/>
  <c r="M10872" i="3"/>
  <c r="L10872" i="3"/>
  <c r="J10872" i="3"/>
  <c r="K10872" i="3" s="1"/>
  <c r="H10872" i="3"/>
  <c r="G10872" i="3"/>
  <c r="M10871" i="3"/>
  <c r="L10871" i="3"/>
  <c r="J10871" i="3"/>
  <c r="K10871" i="3" s="1"/>
  <c r="H10871" i="3"/>
  <c r="G10871" i="3"/>
  <c r="M10870" i="3"/>
  <c r="L10870" i="3"/>
  <c r="J10870" i="3"/>
  <c r="K10870" i="3" s="1"/>
  <c r="H10870" i="3"/>
  <c r="G10870" i="3"/>
  <c r="M10869" i="3"/>
  <c r="L10869" i="3"/>
  <c r="J10869" i="3"/>
  <c r="K10869" i="3" s="1"/>
  <c r="H10869" i="3"/>
  <c r="G10869" i="3"/>
  <c r="M10868" i="3"/>
  <c r="L10868" i="3"/>
  <c r="J10868" i="3"/>
  <c r="K10868" i="3" s="1"/>
  <c r="H10868" i="3"/>
  <c r="G10868" i="3"/>
  <c r="M10867" i="3"/>
  <c r="L10867" i="3"/>
  <c r="J10867" i="3"/>
  <c r="K10867" i="3" s="1"/>
  <c r="H10867" i="3"/>
  <c r="G10867" i="3"/>
  <c r="M10866" i="3"/>
  <c r="L10866" i="3"/>
  <c r="J10866" i="3"/>
  <c r="K10866" i="3" s="1"/>
  <c r="H10866" i="3"/>
  <c r="G10866" i="3"/>
  <c r="M10865" i="3"/>
  <c r="L10865" i="3"/>
  <c r="J10865" i="3"/>
  <c r="K10865" i="3" s="1"/>
  <c r="H10865" i="3"/>
  <c r="G10865" i="3"/>
  <c r="I10865" i="3" s="1"/>
  <c r="M10864" i="3"/>
  <c r="L10864" i="3"/>
  <c r="J10864" i="3"/>
  <c r="K10864" i="3" s="1"/>
  <c r="H10864" i="3"/>
  <c r="G10864" i="3"/>
  <c r="M10863" i="3"/>
  <c r="L10863" i="3"/>
  <c r="J10863" i="3"/>
  <c r="K10863" i="3" s="1"/>
  <c r="H10863" i="3"/>
  <c r="G10863" i="3"/>
  <c r="M10862" i="3"/>
  <c r="L10862" i="3"/>
  <c r="J10862" i="3"/>
  <c r="K10862" i="3" s="1"/>
  <c r="H10862" i="3"/>
  <c r="G10862" i="3"/>
  <c r="M10861" i="3"/>
  <c r="L10861" i="3"/>
  <c r="J10861" i="3"/>
  <c r="K10861" i="3" s="1"/>
  <c r="H10861" i="3"/>
  <c r="G10861" i="3"/>
  <c r="I10861" i="3" s="1"/>
  <c r="M10860" i="3"/>
  <c r="L10860" i="3"/>
  <c r="J10860" i="3"/>
  <c r="K10860" i="3" s="1"/>
  <c r="H10860" i="3"/>
  <c r="G10860" i="3"/>
  <c r="M10859" i="3"/>
  <c r="L10859" i="3"/>
  <c r="J10859" i="3"/>
  <c r="K10859" i="3" s="1"/>
  <c r="H10859" i="3"/>
  <c r="G10859" i="3"/>
  <c r="M10858" i="3"/>
  <c r="L10858" i="3"/>
  <c r="J10858" i="3"/>
  <c r="K10858" i="3" s="1"/>
  <c r="H10858" i="3"/>
  <c r="G10858" i="3"/>
  <c r="M10857" i="3"/>
  <c r="L10857" i="3"/>
  <c r="J10857" i="3"/>
  <c r="K10857" i="3" s="1"/>
  <c r="H10857" i="3"/>
  <c r="G10857" i="3"/>
  <c r="M10856" i="3"/>
  <c r="L10856" i="3"/>
  <c r="J10856" i="3"/>
  <c r="K10856" i="3" s="1"/>
  <c r="H10856" i="3"/>
  <c r="G10856" i="3"/>
  <c r="M10855" i="3"/>
  <c r="L10855" i="3"/>
  <c r="J10855" i="3"/>
  <c r="K10855" i="3" s="1"/>
  <c r="H10855" i="3"/>
  <c r="G10855" i="3"/>
  <c r="M10854" i="3"/>
  <c r="L10854" i="3"/>
  <c r="J10854" i="3"/>
  <c r="K10854" i="3" s="1"/>
  <c r="H10854" i="3"/>
  <c r="I10854" i="3" s="1"/>
  <c r="G10854" i="3"/>
  <c r="M10853" i="3"/>
  <c r="L10853" i="3"/>
  <c r="J10853" i="3"/>
  <c r="K10853" i="3" s="1"/>
  <c r="H10853" i="3"/>
  <c r="G10853" i="3"/>
  <c r="M10852" i="3"/>
  <c r="L10852" i="3"/>
  <c r="J10852" i="3"/>
  <c r="K10852" i="3" s="1"/>
  <c r="H10852" i="3"/>
  <c r="G10852" i="3"/>
  <c r="M10851" i="3"/>
  <c r="L10851" i="3"/>
  <c r="J10851" i="3"/>
  <c r="K10851" i="3" s="1"/>
  <c r="H10851" i="3"/>
  <c r="G10851" i="3"/>
  <c r="M10850" i="3"/>
  <c r="L10850" i="3"/>
  <c r="J10850" i="3"/>
  <c r="K10850" i="3" s="1"/>
  <c r="H10850" i="3"/>
  <c r="G10850" i="3"/>
  <c r="Y453" i="23"/>
  <c r="Y452" i="23"/>
  <c r="AD453" i="23"/>
  <c r="S453" i="23"/>
  <c r="U453" i="23"/>
  <c r="V453" i="23"/>
  <c r="W453" i="23"/>
  <c r="Z453" i="23"/>
  <c r="AA453" i="23"/>
  <c r="AG453" i="23"/>
  <c r="AL453" i="23"/>
  <c r="AN453" i="23"/>
  <c r="AO453" i="23"/>
  <c r="AP453" i="23"/>
  <c r="AT453" i="23"/>
  <c r="F453" i="23"/>
  <c r="M10849" i="3"/>
  <c r="L10849" i="3"/>
  <c r="J10849" i="3"/>
  <c r="K10849" i="3" s="1"/>
  <c r="H10849" i="3"/>
  <c r="I10849" i="3" s="1"/>
  <c r="G10849" i="3"/>
  <c r="M10848" i="3"/>
  <c r="L10848" i="3"/>
  <c r="J10848" i="3"/>
  <c r="K10848" i="3" s="1"/>
  <c r="H10848" i="3"/>
  <c r="G10848" i="3"/>
  <c r="M10847" i="3"/>
  <c r="L10847" i="3"/>
  <c r="J10847" i="3"/>
  <c r="K10847" i="3" s="1"/>
  <c r="H10847" i="3"/>
  <c r="G10847" i="3"/>
  <c r="M10846" i="3"/>
  <c r="L10846" i="3"/>
  <c r="J10846" i="3"/>
  <c r="K10846" i="3" s="1"/>
  <c r="H10846" i="3"/>
  <c r="G10846" i="3"/>
  <c r="M10845" i="3"/>
  <c r="L10845" i="3"/>
  <c r="J10845" i="3"/>
  <c r="K10845" i="3" s="1"/>
  <c r="H10845" i="3"/>
  <c r="I10845" i="3" s="1"/>
  <c r="G10845" i="3"/>
  <c r="M10844" i="3"/>
  <c r="L10844" i="3"/>
  <c r="J10844" i="3"/>
  <c r="K10844" i="3" s="1"/>
  <c r="H10844" i="3"/>
  <c r="G10844" i="3"/>
  <c r="M10843" i="3"/>
  <c r="L10843" i="3"/>
  <c r="J10843" i="3"/>
  <c r="K10843" i="3" s="1"/>
  <c r="H10843" i="3"/>
  <c r="G10843" i="3"/>
  <c r="M10842" i="3"/>
  <c r="L10842" i="3"/>
  <c r="J10842" i="3"/>
  <c r="K10842" i="3" s="1"/>
  <c r="H10842" i="3"/>
  <c r="G10842" i="3"/>
  <c r="M10841" i="3"/>
  <c r="L10841" i="3"/>
  <c r="J10841" i="3"/>
  <c r="K10841" i="3" s="1"/>
  <c r="H10841" i="3"/>
  <c r="I10841" i="3" s="1"/>
  <c r="G10841" i="3"/>
  <c r="M10840" i="3"/>
  <c r="L10840" i="3"/>
  <c r="J10840" i="3"/>
  <c r="K10840" i="3" s="1"/>
  <c r="H10840" i="3"/>
  <c r="G10840" i="3"/>
  <c r="M10839" i="3"/>
  <c r="L10839" i="3"/>
  <c r="J10839" i="3"/>
  <c r="K10839" i="3" s="1"/>
  <c r="H10839" i="3"/>
  <c r="G10839" i="3"/>
  <c r="M10838" i="3"/>
  <c r="L10838" i="3"/>
  <c r="J10838" i="3"/>
  <c r="K10838" i="3" s="1"/>
  <c r="H10838" i="3"/>
  <c r="G10838" i="3"/>
  <c r="M10837" i="3"/>
  <c r="L10837" i="3"/>
  <c r="J10837" i="3"/>
  <c r="K10837" i="3" s="1"/>
  <c r="H10837" i="3"/>
  <c r="G10837" i="3"/>
  <c r="M10836" i="3"/>
  <c r="L10836" i="3"/>
  <c r="J10836" i="3"/>
  <c r="K10836" i="3" s="1"/>
  <c r="H10836" i="3"/>
  <c r="G10836" i="3"/>
  <c r="I10836" i="3" s="1"/>
  <c r="M10835" i="3"/>
  <c r="L10835" i="3"/>
  <c r="J10835" i="3"/>
  <c r="K10835" i="3" s="1"/>
  <c r="H10835" i="3"/>
  <c r="G10835" i="3"/>
  <c r="M10834" i="3"/>
  <c r="L10834" i="3"/>
  <c r="J10834" i="3"/>
  <c r="K10834" i="3" s="1"/>
  <c r="H10834" i="3"/>
  <c r="G10834" i="3"/>
  <c r="M10833" i="3"/>
  <c r="L10833" i="3"/>
  <c r="J10833" i="3"/>
  <c r="K10833" i="3" s="1"/>
  <c r="H10833" i="3"/>
  <c r="G10833" i="3"/>
  <c r="M10832" i="3"/>
  <c r="L10832" i="3"/>
  <c r="J10832" i="3"/>
  <c r="K10832" i="3" s="1"/>
  <c r="H10832" i="3"/>
  <c r="G10832" i="3"/>
  <c r="M10831" i="3"/>
  <c r="L10831" i="3"/>
  <c r="J10831" i="3"/>
  <c r="K10831" i="3" s="1"/>
  <c r="H10831" i="3"/>
  <c r="G10831" i="3"/>
  <c r="M10830" i="3"/>
  <c r="L10830" i="3"/>
  <c r="J10830" i="3"/>
  <c r="K10830" i="3" s="1"/>
  <c r="H10830" i="3"/>
  <c r="G10830" i="3"/>
  <c r="M10829" i="3"/>
  <c r="L10829" i="3"/>
  <c r="J10829" i="3"/>
  <c r="K10829" i="3" s="1"/>
  <c r="H10829" i="3"/>
  <c r="G10829" i="3"/>
  <c r="M10828" i="3"/>
  <c r="L10828" i="3"/>
  <c r="J10828" i="3"/>
  <c r="K10828" i="3" s="1"/>
  <c r="H10828" i="3"/>
  <c r="G10828" i="3"/>
  <c r="M10827" i="3"/>
  <c r="L10827" i="3"/>
  <c r="J10827" i="3"/>
  <c r="K10827" i="3" s="1"/>
  <c r="H10827" i="3"/>
  <c r="G10827" i="3"/>
  <c r="M10826" i="3"/>
  <c r="L10826" i="3"/>
  <c r="J10826" i="3"/>
  <c r="K10826" i="3" s="1"/>
  <c r="H10826" i="3"/>
  <c r="G10826" i="3"/>
  <c r="S453" i="1"/>
  <c r="F453" i="1"/>
  <c r="W28" i="23"/>
  <c r="W22" i="23"/>
  <c r="W23" i="23"/>
  <c r="W24" i="23"/>
  <c r="W25" i="23"/>
  <c r="W26" i="23"/>
  <c r="W27" i="23"/>
  <c r="W21" i="23"/>
  <c r="W29" i="23"/>
  <c r="W30" i="23"/>
  <c r="W31" i="23"/>
  <c r="W32" i="23"/>
  <c r="W33" i="23"/>
  <c r="W34" i="23"/>
  <c r="W35" i="23"/>
  <c r="W36" i="23"/>
  <c r="W37" i="23"/>
  <c r="W38" i="23"/>
  <c r="W39" i="23"/>
  <c r="W40" i="23"/>
  <c r="W41" i="23"/>
  <c r="W42" i="23"/>
  <c r="W43" i="23"/>
  <c r="W44" i="23"/>
  <c r="W45" i="23"/>
  <c r="W46" i="23"/>
  <c r="W47" i="23"/>
  <c r="W48" i="23"/>
  <c r="W12" i="23"/>
  <c r="W13" i="23"/>
  <c r="W14" i="23"/>
  <c r="W15" i="23"/>
  <c r="W16" i="23"/>
  <c r="W17" i="23"/>
  <c r="W18" i="23"/>
  <c r="W19" i="23"/>
  <c r="W20" i="23"/>
  <c r="W49" i="23"/>
  <c r="W50" i="23"/>
  <c r="W51" i="23"/>
  <c r="W52" i="23"/>
  <c r="W53" i="23"/>
  <c r="W54" i="23"/>
  <c r="W55" i="23"/>
  <c r="W56" i="23"/>
  <c r="W57" i="23"/>
  <c r="W58" i="23"/>
  <c r="W59" i="23"/>
  <c r="W60" i="23"/>
  <c r="W61" i="23"/>
  <c r="W62" i="23"/>
  <c r="W63" i="23"/>
  <c r="W64" i="23"/>
  <c r="W2" i="23"/>
  <c r="W3" i="23"/>
  <c r="W4" i="23"/>
  <c r="W5" i="23"/>
  <c r="W6" i="23"/>
  <c r="W7" i="23"/>
  <c r="W8" i="23"/>
  <c r="W9" i="23"/>
  <c r="W10" i="23"/>
  <c r="W11" i="23"/>
  <c r="W65" i="23"/>
  <c r="W66" i="23"/>
  <c r="W67" i="23"/>
  <c r="W68" i="23"/>
  <c r="W69" i="23"/>
  <c r="W70" i="23"/>
  <c r="W71" i="23"/>
  <c r="W72" i="23"/>
  <c r="W73" i="23"/>
  <c r="W74" i="23"/>
  <c r="W75" i="23"/>
  <c r="W76" i="23"/>
  <c r="W77" i="23"/>
  <c r="W78" i="23"/>
  <c r="W79" i="23"/>
  <c r="W80" i="23"/>
  <c r="W81" i="23"/>
  <c r="W82" i="23"/>
  <c r="W83" i="23"/>
  <c r="W84" i="23"/>
  <c r="W85" i="23"/>
  <c r="W86" i="23"/>
  <c r="W87" i="23"/>
  <c r="W88" i="23"/>
  <c r="W89" i="23"/>
  <c r="W90" i="23"/>
  <c r="W91" i="23"/>
  <c r="W92" i="23"/>
  <c r="W93" i="23"/>
  <c r="W94" i="23"/>
  <c r="W95" i="23"/>
  <c r="W96" i="23"/>
  <c r="W97" i="23"/>
  <c r="W98" i="23"/>
  <c r="W99" i="23"/>
  <c r="W100" i="23"/>
  <c r="W101" i="23"/>
  <c r="W102" i="23"/>
  <c r="W103" i="23"/>
  <c r="W104" i="23"/>
  <c r="W105" i="23"/>
  <c r="W106" i="23"/>
  <c r="W107" i="23"/>
  <c r="W108" i="23"/>
  <c r="W109" i="23"/>
  <c r="W110" i="23"/>
  <c r="W111" i="23"/>
  <c r="W112" i="23"/>
  <c r="W113" i="23"/>
  <c r="W114" i="23"/>
  <c r="W115" i="23"/>
  <c r="W116" i="23"/>
  <c r="W117" i="23"/>
  <c r="W118" i="23"/>
  <c r="W119" i="23"/>
  <c r="W120" i="23"/>
  <c r="W121" i="23"/>
  <c r="W122" i="23"/>
  <c r="W123" i="23"/>
  <c r="W124" i="23"/>
  <c r="W125" i="23"/>
  <c r="W126" i="23"/>
  <c r="W127" i="23"/>
  <c r="W128" i="23"/>
  <c r="W129" i="23"/>
  <c r="W130" i="23"/>
  <c r="W131" i="23"/>
  <c r="W132" i="23"/>
  <c r="W133" i="23"/>
  <c r="W134" i="23"/>
  <c r="W135" i="23"/>
  <c r="W136" i="23"/>
  <c r="W137" i="23"/>
  <c r="W138" i="23"/>
  <c r="W167" i="23"/>
  <c r="W168" i="23"/>
  <c r="W169" i="23"/>
  <c r="W170" i="23"/>
  <c r="W171" i="23"/>
  <c r="W172" i="23"/>
  <c r="W173" i="23"/>
  <c r="W174" i="23"/>
  <c r="W175" i="23"/>
  <c r="W176" i="23"/>
  <c r="W177" i="23"/>
  <c r="W178" i="23"/>
  <c r="W179" i="23"/>
  <c r="W180" i="23"/>
  <c r="W181" i="23"/>
  <c r="W182" i="23"/>
  <c r="W183" i="23"/>
  <c r="W184" i="23"/>
  <c r="W185" i="23"/>
  <c r="W186" i="23"/>
  <c r="W187" i="23"/>
  <c r="W188" i="23"/>
  <c r="W189" i="23"/>
  <c r="W190" i="23"/>
  <c r="W191" i="23"/>
  <c r="W192" i="23"/>
  <c r="W193" i="23"/>
  <c r="W194" i="23"/>
  <c r="W195" i="23"/>
  <c r="W196" i="23"/>
  <c r="W197" i="23"/>
  <c r="W198" i="23"/>
  <c r="W199" i="23"/>
  <c r="W200" i="23"/>
  <c r="W201" i="23"/>
  <c r="W202" i="23"/>
  <c r="W203" i="23"/>
  <c r="W204" i="23"/>
  <c r="W205" i="23"/>
  <c r="W206" i="23"/>
  <c r="W207" i="23"/>
  <c r="W208" i="23"/>
  <c r="W209" i="23"/>
  <c r="W210" i="23"/>
  <c r="W211" i="23"/>
  <c r="W212" i="23"/>
  <c r="W213" i="23"/>
  <c r="W214" i="23"/>
  <c r="W215" i="23"/>
  <c r="W216" i="23"/>
  <c r="W217" i="23"/>
  <c r="W218" i="23"/>
  <c r="W219" i="23"/>
  <c r="W220" i="23"/>
  <c r="W221" i="23"/>
  <c r="W222" i="23"/>
  <c r="W223" i="23"/>
  <c r="W224" i="23"/>
  <c r="W225" i="23"/>
  <c r="W226" i="23"/>
  <c r="W227" i="23"/>
  <c r="W228" i="23"/>
  <c r="W229" i="23"/>
  <c r="W230" i="23"/>
  <c r="W231" i="23"/>
  <c r="W232" i="23"/>
  <c r="W233" i="23"/>
  <c r="W234" i="23"/>
  <c r="W235" i="23"/>
  <c r="W236" i="23"/>
  <c r="W237" i="23"/>
  <c r="W238" i="23"/>
  <c r="W239" i="23"/>
  <c r="W240" i="23"/>
  <c r="W241" i="23"/>
  <c r="W242" i="23"/>
  <c r="W243" i="23"/>
  <c r="W244" i="23"/>
  <c r="W245" i="23"/>
  <c r="W246" i="23"/>
  <c r="W247" i="23"/>
  <c r="W248" i="23"/>
  <c r="W249" i="23"/>
  <c r="W250" i="23"/>
  <c r="W251" i="23"/>
  <c r="W252" i="23"/>
  <c r="W253" i="23"/>
  <c r="W254" i="23"/>
  <c r="W255" i="23"/>
  <c r="W256" i="23"/>
  <c r="W257" i="23"/>
  <c r="W258" i="23"/>
  <c r="W259" i="23"/>
  <c r="W260" i="23"/>
  <c r="W261" i="23"/>
  <c r="W262" i="23"/>
  <c r="W263" i="23"/>
  <c r="W264" i="23"/>
  <c r="W265" i="23"/>
  <c r="W266" i="23"/>
  <c r="W267" i="23"/>
  <c r="W268" i="23"/>
  <c r="W269" i="23"/>
  <c r="W270" i="23"/>
  <c r="W271" i="23"/>
  <c r="W272" i="23"/>
  <c r="W273" i="23"/>
  <c r="W274" i="23"/>
  <c r="W275" i="23"/>
  <c r="W276" i="23"/>
  <c r="W277" i="23"/>
  <c r="W278" i="23"/>
  <c r="W279" i="23"/>
  <c r="W280" i="23"/>
  <c r="W281" i="23"/>
  <c r="W282" i="23"/>
  <c r="W283" i="23"/>
  <c r="W284" i="23"/>
  <c r="W285" i="23"/>
  <c r="W286" i="23"/>
  <c r="W287" i="23"/>
  <c r="W288" i="23"/>
  <c r="W289" i="23"/>
  <c r="W290" i="23"/>
  <c r="W291" i="23"/>
  <c r="W292" i="23"/>
  <c r="W293" i="23"/>
  <c r="W294" i="23"/>
  <c r="W295" i="23"/>
  <c r="W296" i="23"/>
  <c r="W297" i="23"/>
  <c r="W298" i="23"/>
  <c r="W299" i="23"/>
  <c r="W300" i="23"/>
  <c r="W301" i="23"/>
  <c r="W302" i="23"/>
  <c r="W303" i="23"/>
  <c r="W304" i="23"/>
  <c r="W305" i="23"/>
  <c r="W306" i="23"/>
  <c r="W307" i="23"/>
  <c r="W308" i="23"/>
  <c r="W309" i="23"/>
  <c r="W310" i="23"/>
  <c r="W311" i="23"/>
  <c r="W312" i="23"/>
  <c r="W313" i="23"/>
  <c r="W314" i="23"/>
  <c r="W315" i="23"/>
  <c r="W316" i="23"/>
  <c r="W317" i="23"/>
  <c r="W318" i="23"/>
  <c r="W319" i="23"/>
  <c r="W320" i="23"/>
  <c r="W321" i="23"/>
  <c r="W322" i="23"/>
  <c r="W323" i="23"/>
  <c r="W324" i="23"/>
  <c r="W325" i="23"/>
  <c r="W326" i="23"/>
  <c r="W327" i="23"/>
  <c r="W328" i="23"/>
  <c r="W329" i="23"/>
  <c r="W330" i="23"/>
  <c r="W331" i="23"/>
  <c r="W332" i="23"/>
  <c r="W333" i="23"/>
  <c r="W334" i="23"/>
  <c r="W335" i="23"/>
  <c r="W336" i="23"/>
  <c r="W337" i="23"/>
  <c r="W338" i="23"/>
  <c r="W339" i="23"/>
  <c r="W340" i="23"/>
  <c r="W341" i="23"/>
  <c r="W342" i="23"/>
  <c r="W343" i="23"/>
  <c r="W344" i="23"/>
  <c r="W345" i="23"/>
  <c r="W346" i="23"/>
  <c r="W347" i="23"/>
  <c r="W348" i="23"/>
  <c r="W349" i="23"/>
  <c r="W350" i="23"/>
  <c r="W351" i="23"/>
  <c r="W352" i="23"/>
  <c r="W353" i="23"/>
  <c r="W354" i="23"/>
  <c r="W355" i="23"/>
  <c r="W356" i="23"/>
  <c r="W357" i="23"/>
  <c r="W358" i="23"/>
  <c r="W359" i="23"/>
  <c r="W360" i="23"/>
  <c r="W361" i="23"/>
  <c r="W362" i="23"/>
  <c r="W363" i="23"/>
  <c r="W364" i="23"/>
  <c r="W365" i="23"/>
  <c r="W366" i="23"/>
  <c r="W367" i="23"/>
  <c r="W368" i="23"/>
  <c r="W369" i="23"/>
  <c r="W370" i="23"/>
  <c r="W371" i="23"/>
  <c r="W372" i="23"/>
  <c r="W373" i="23"/>
  <c r="W374" i="23"/>
  <c r="W375" i="23"/>
  <c r="W376" i="23"/>
  <c r="W377" i="23"/>
  <c r="W378" i="23"/>
  <c r="W379" i="23"/>
  <c r="W380" i="23"/>
  <c r="W381" i="23"/>
  <c r="W382" i="23"/>
  <c r="W383" i="23"/>
  <c r="W384" i="23"/>
  <c r="W385" i="23"/>
  <c r="W386" i="23"/>
  <c r="W387" i="23"/>
  <c r="W388" i="23"/>
  <c r="W389" i="23"/>
  <c r="W390" i="23"/>
  <c r="W391" i="23"/>
  <c r="W392" i="23"/>
  <c r="W393" i="23"/>
  <c r="W394" i="23"/>
  <c r="W395" i="23"/>
  <c r="W396" i="23"/>
  <c r="W397" i="23"/>
  <c r="W398" i="23"/>
  <c r="W399" i="23"/>
  <c r="W400" i="23"/>
  <c r="W401" i="23"/>
  <c r="W402" i="23"/>
  <c r="W403" i="23"/>
  <c r="W404" i="23"/>
  <c r="W405" i="23"/>
  <c r="W406" i="23"/>
  <c r="W407" i="23"/>
  <c r="W408" i="23"/>
  <c r="W409" i="23"/>
  <c r="W410" i="23"/>
  <c r="W411" i="23"/>
  <c r="W412" i="23"/>
  <c r="W413" i="23"/>
  <c r="W414" i="23"/>
  <c r="W415" i="23"/>
  <c r="W416" i="23"/>
  <c r="W417" i="23"/>
  <c r="W418" i="23"/>
  <c r="W419" i="23"/>
  <c r="W420" i="23"/>
  <c r="W421" i="23"/>
  <c r="W422" i="23"/>
  <c r="W423" i="23"/>
  <c r="W424" i="23"/>
  <c r="W425" i="23"/>
  <c r="W426" i="23"/>
  <c r="W427" i="23"/>
  <c r="W428" i="23"/>
  <c r="W429" i="23"/>
  <c r="W430" i="23"/>
  <c r="W431" i="23"/>
  <c r="W432" i="23"/>
  <c r="W433" i="23"/>
  <c r="W434" i="23"/>
  <c r="W435" i="23"/>
  <c r="W436" i="23"/>
  <c r="W437" i="23"/>
  <c r="W438" i="23"/>
  <c r="W439" i="23"/>
  <c r="W440" i="23"/>
  <c r="W441" i="23"/>
  <c r="W442" i="23"/>
  <c r="W443" i="23"/>
  <c r="W444" i="23"/>
  <c r="W445" i="23"/>
  <c r="W446" i="23"/>
  <c r="W447" i="23"/>
  <c r="W448" i="23"/>
  <c r="W449" i="23"/>
  <c r="W450" i="23"/>
  <c r="W451" i="23"/>
  <c r="W452" i="23"/>
  <c r="V2" i="23"/>
  <c r="V3" i="23"/>
  <c r="V4" i="23"/>
  <c r="V5" i="23"/>
  <c r="V6" i="23"/>
  <c r="V7" i="23"/>
  <c r="V8" i="23"/>
  <c r="V9" i="23"/>
  <c r="V10" i="23"/>
  <c r="V11" i="23"/>
  <c r="V12" i="23"/>
  <c r="V13" i="23"/>
  <c r="V14" i="23"/>
  <c r="V15" i="23"/>
  <c r="V16" i="23"/>
  <c r="V17" i="23"/>
  <c r="V18" i="23"/>
  <c r="V19" i="23"/>
  <c r="V20" i="23"/>
  <c r="V21" i="23"/>
  <c r="V22" i="23"/>
  <c r="V23" i="23"/>
  <c r="V24" i="23"/>
  <c r="V25" i="23"/>
  <c r="V26" i="23"/>
  <c r="V27" i="23"/>
  <c r="V28" i="23"/>
  <c r="V29" i="23"/>
  <c r="V30" i="23"/>
  <c r="V31" i="23"/>
  <c r="V32" i="23"/>
  <c r="V33" i="23"/>
  <c r="V34" i="23"/>
  <c r="V35" i="23"/>
  <c r="V36" i="23"/>
  <c r="V37" i="23"/>
  <c r="V38" i="23"/>
  <c r="V39" i="23"/>
  <c r="V40" i="23"/>
  <c r="V41" i="23"/>
  <c r="V42" i="23"/>
  <c r="V43" i="23"/>
  <c r="V44" i="23"/>
  <c r="V45" i="23"/>
  <c r="V46" i="23"/>
  <c r="V47" i="23"/>
  <c r="V48" i="23"/>
  <c r="V49" i="23"/>
  <c r="V50" i="23"/>
  <c r="V51" i="23"/>
  <c r="V52" i="23"/>
  <c r="V53" i="23"/>
  <c r="V54" i="23"/>
  <c r="V55" i="23"/>
  <c r="V56" i="23"/>
  <c r="V57" i="23"/>
  <c r="V58" i="23"/>
  <c r="V59" i="23"/>
  <c r="V60" i="23"/>
  <c r="V61" i="23"/>
  <c r="V62" i="23"/>
  <c r="V63" i="23"/>
  <c r="V64" i="23"/>
  <c r="V65" i="23"/>
  <c r="V66" i="23"/>
  <c r="V67" i="23"/>
  <c r="V68" i="23"/>
  <c r="V69" i="23"/>
  <c r="V70" i="23"/>
  <c r="V71" i="23"/>
  <c r="V72" i="23"/>
  <c r="V73" i="23"/>
  <c r="V74" i="23"/>
  <c r="V75" i="23"/>
  <c r="V76" i="23"/>
  <c r="V77" i="23"/>
  <c r="V78" i="23"/>
  <c r="V79" i="23"/>
  <c r="V80" i="23"/>
  <c r="V81" i="23"/>
  <c r="V82" i="23"/>
  <c r="V83" i="23"/>
  <c r="V84" i="23"/>
  <c r="V85" i="23"/>
  <c r="V86" i="23"/>
  <c r="V87" i="23"/>
  <c r="V88" i="23"/>
  <c r="V89" i="23"/>
  <c r="V90" i="23"/>
  <c r="V91" i="23"/>
  <c r="V92" i="23"/>
  <c r="V93" i="23"/>
  <c r="V94" i="23"/>
  <c r="V95" i="23"/>
  <c r="V96" i="23"/>
  <c r="V97" i="23"/>
  <c r="V98" i="23"/>
  <c r="V99" i="23"/>
  <c r="V100" i="23"/>
  <c r="V101" i="23"/>
  <c r="V102" i="23"/>
  <c r="V103" i="23"/>
  <c r="V104" i="23"/>
  <c r="V105" i="23"/>
  <c r="V106" i="23"/>
  <c r="V107" i="23"/>
  <c r="V108" i="23"/>
  <c r="V109" i="23"/>
  <c r="V110" i="23"/>
  <c r="V111" i="23"/>
  <c r="V112" i="23"/>
  <c r="V113" i="23"/>
  <c r="V114" i="23"/>
  <c r="V115" i="23"/>
  <c r="V116" i="23"/>
  <c r="V117" i="23"/>
  <c r="V118" i="23"/>
  <c r="V119" i="23"/>
  <c r="V120" i="23"/>
  <c r="V121" i="23"/>
  <c r="V122" i="23"/>
  <c r="V123" i="23"/>
  <c r="V124" i="23"/>
  <c r="V125" i="23"/>
  <c r="V126" i="23"/>
  <c r="V127" i="23"/>
  <c r="V128" i="23"/>
  <c r="V129" i="23"/>
  <c r="V130" i="23"/>
  <c r="V131" i="23"/>
  <c r="V132" i="23"/>
  <c r="V133" i="23"/>
  <c r="V134" i="23"/>
  <c r="V135" i="23"/>
  <c r="V136" i="23"/>
  <c r="V137" i="23"/>
  <c r="V138" i="23"/>
  <c r="V140" i="23"/>
  <c r="V141" i="23"/>
  <c r="V142" i="23"/>
  <c r="V143" i="23"/>
  <c r="V144" i="23"/>
  <c r="V145" i="23"/>
  <c r="V146" i="23"/>
  <c r="V147" i="23"/>
  <c r="V148" i="23"/>
  <c r="V149" i="23"/>
  <c r="V150" i="23"/>
  <c r="V151" i="23"/>
  <c r="V152" i="23"/>
  <c r="V153" i="23"/>
  <c r="V154" i="23"/>
  <c r="V155" i="23"/>
  <c r="V156" i="23"/>
  <c r="V157" i="23"/>
  <c r="V158" i="23"/>
  <c r="V159" i="23"/>
  <c r="V160" i="23"/>
  <c r="V161" i="23"/>
  <c r="V162" i="23"/>
  <c r="V163" i="23"/>
  <c r="V164" i="23"/>
  <c r="V165" i="23"/>
  <c r="V166" i="23"/>
  <c r="V167" i="23"/>
  <c r="V168" i="23"/>
  <c r="V169" i="23"/>
  <c r="V170" i="23"/>
  <c r="V171" i="23"/>
  <c r="V172" i="23"/>
  <c r="V173" i="23"/>
  <c r="V174" i="23"/>
  <c r="V175" i="23"/>
  <c r="V176" i="23"/>
  <c r="V177" i="23"/>
  <c r="V178" i="23"/>
  <c r="V179" i="23"/>
  <c r="V180" i="23"/>
  <c r="V181" i="23"/>
  <c r="V182" i="23"/>
  <c r="V183" i="23"/>
  <c r="V184" i="23"/>
  <c r="V185" i="23"/>
  <c r="V186" i="23"/>
  <c r="V187" i="23"/>
  <c r="V188" i="23"/>
  <c r="V189" i="23"/>
  <c r="V190" i="23"/>
  <c r="V191" i="23"/>
  <c r="V192" i="23"/>
  <c r="V193" i="23"/>
  <c r="V194" i="23"/>
  <c r="V195" i="23"/>
  <c r="V196" i="23"/>
  <c r="V197" i="23"/>
  <c r="V198" i="23"/>
  <c r="V199" i="23"/>
  <c r="V200" i="23"/>
  <c r="V201" i="23"/>
  <c r="V202" i="23"/>
  <c r="V203" i="23"/>
  <c r="V204" i="23"/>
  <c r="V205" i="23"/>
  <c r="V206" i="23"/>
  <c r="V207" i="23"/>
  <c r="V208" i="23"/>
  <c r="V209" i="23"/>
  <c r="V210" i="23"/>
  <c r="V211" i="23"/>
  <c r="V212" i="23"/>
  <c r="V213" i="23"/>
  <c r="V214" i="23"/>
  <c r="V215" i="23"/>
  <c r="V216" i="23"/>
  <c r="V217" i="23"/>
  <c r="V218" i="23"/>
  <c r="V219" i="23"/>
  <c r="V220" i="23"/>
  <c r="V221" i="23"/>
  <c r="V222" i="23"/>
  <c r="V223" i="23"/>
  <c r="V224" i="23"/>
  <c r="V225" i="23"/>
  <c r="V226" i="23"/>
  <c r="V227" i="23"/>
  <c r="V228" i="23"/>
  <c r="V229" i="23"/>
  <c r="V230" i="23"/>
  <c r="V231" i="23"/>
  <c r="V232" i="23"/>
  <c r="V233" i="23"/>
  <c r="V234" i="23"/>
  <c r="V235" i="23"/>
  <c r="V236" i="23"/>
  <c r="V237" i="23"/>
  <c r="V238" i="23"/>
  <c r="V239" i="23"/>
  <c r="V240" i="23"/>
  <c r="V241" i="23"/>
  <c r="V242" i="23"/>
  <c r="V243" i="23"/>
  <c r="V244" i="23"/>
  <c r="V245" i="23"/>
  <c r="V246" i="23"/>
  <c r="V247" i="23"/>
  <c r="V248" i="23"/>
  <c r="V249" i="23"/>
  <c r="V250" i="23"/>
  <c r="V251" i="23"/>
  <c r="V252" i="23"/>
  <c r="V253" i="23"/>
  <c r="V254" i="23"/>
  <c r="V255" i="23"/>
  <c r="V256" i="23"/>
  <c r="V257" i="23"/>
  <c r="V258" i="23"/>
  <c r="V259" i="23"/>
  <c r="V260" i="23"/>
  <c r="V261" i="23"/>
  <c r="V262" i="23"/>
  <c r="V263" i="23"/>
  <c r="V264" i="23"/>
  <c r="V265" i="23"/>
  <c r="V266" i="23"/>
  <c r="V267" i="23"/>
  <c r="V268" i="23"/>
  <c r="V269" i="23"/>
  <c r="V270" i="23"/>
  <c r="V271" i="23"/>
  <c r="V272" i="23"/>
  <c r="V273" i="23"/>
  <c r="V274" i="23"/>
  <c r="V275" i="23"/>
  <c r="V276" i="23"/>
  <c r="V277" i="23"/>
  <c r="V278" i="23"/>
  <c r="V279" i="23"/>
  <c r="V280" i="23"/>
  <c r="V281" i="23"/>
  <c r="V282" i="23"/>
  <c r="V283" i="23"/>
  <c r="V284" i="23"/>
  <c r="V285" i="23"/>
  <c r="V286" i="23"/>
  <c r="V287" i="23"/>
  <c r="V288" i="23"/>
  <c r="V289" i="23"/>
  <c r="V290" i="23"/>
  <c r="V291" i="23"/>
  <c r="V292" i="23"/>
  <c r="V293" i="23"/>
  <c r="V294" i="23"/>
  <c r="V295" i="23"/>
  <c r="V296" i="23"/>
  <c r="V297" i="23"/>
  <c r="V298" i="23"/>
  <c r="V299" i="23"/>
  <c r="V300" i="23"/>
  <c r="V301" i="23"/>
  <c r="V302" i="23"/>
  <c r="V303" i="23"/>
  <c r="V304" i="23"/>
  <c r="V305" i="23"/>
  <c r="V306" i="23"/>
  <c r="V307" i="23"/>
  <c r="V308" i="23"/>
  <c r="V309" i="23"/>
  <c r="V310" i="23"/>
  <c r="V311" i="23"/>
  <c r="V312" i="23"/>
  <c r="V313" i="23"/>
  <c r="V314" i="23"/>
  <c r="V315" i="23"/>
  <c r="V316" i="23"/>
  <c r="V317" i="23"/>
  <c r="V318" i="23"/>
  <c r="V319" i="23"/>
  <c r="V320" i="23"/>
  <c r="V321" i="23"/>
  <c r="V322" i="23"/>
  <c r="V323" i="23"/>
  <c r="V324" i="23"/>
  <c r="V325" i="23"/>
  <c r="V326" i="23"/>
  <c r="V327" i="23"/>
  <c r="V328" i="23"/>
  <c r="V329" i="23"/>
  <c r="V330" i="23"/>
  <c r="V331" i="23"/>
  <c r="V332" i="23"/>
  <c r="V333" i="23"/>
  <c r="V334" i="23"/>
  <c r="V335" i="23"/>
  <c r="V336" i="23"/>
  <c r="V337" i="23"/>
  <c r="V338" i="23"/>
  <c r="V339" i="23"/>
  <c r="V340" i="23"/>
  <c r="V341" i="23"/>
  <c r="V342" i="23"/>
  <c r="V343" i="23"/>
  <c r="V344" i="23"/>
  <c r="V345" i="23"/>
  <c r="V346" i="23"/>
  <c r="V347" i="23"/>
  <c r="V348" i="23"/>
  <c r="V349" i="23"/>
  <c r="V350" i="23"/>
  <c r="V351" i="23"/>
  <c r="V352" i="23"/>
  <c r="V353" i="23"/>
  <c r="V354" i="23"/>
  <c r="V355" i="23"/>
  <c r="V356" i="23"/>
  <c r="V357" i="23"/>
  <c r="V358" i="23"/>
  <c r="V359" i="23"/>
  <c r="V360" i="23"/>
  <c r="V361" i="23"/>
  <c r="V362" i="23"/>
  <c r="V363" i="23"/>
  <c r="V364" i="23"/>
  <c r="V365" i="23"/>
  <c r="V366" i="23"/>
  <c r="V367" i="23"/>
  <c r="V368" i="23"/>
  <c r="V369" i="23"/>
  <c r="V370" i="23"/>
  <c r="V371" i="23"/>
  <c r="V372" i="23"/>
  <c r="V373" i="23"/>
  <c r="V374" i="23"/>
  <c r="V375" i="23"/>
  <c r="V376" i="23"/>
  <c r="V377" i="23"/>
  <c r="V378" i="23"/>
  <c r="V379" i="23"/>
  <c r="V380" i="23"/>
  <c r="V381" i="23"/>
  <c r="V382" i="23"/>
  <c r="V383" i="23"/>
  <c r="V384" i="23"/>
  <c r="V385" i="23"/>
  <c r="V386" i="23"/>
  <c r="V387" i="23"/>
  <c r="V388" i="23"/>
  <c r="V389" i="23"/>
  <c r="V390" i="23"/>
  <c r="V391" i="23"/>
  <c r="V392" i="23"/>
  <c r="V393" i="23"/>
  <c r="V394" i="23"/>
  <c r="V395" i="23"/>
  <c r="V396" i="23"/>
  <c r="V397" i="23"/>
  <c r="V398" i="23"/>
  <c r="V399" i="23"/>
  <c r="V400" i="23"/>
  <c r="V401" i="23"/>
  <c r="V402" i="23"/>
  <c r="V403" i="23"/>
  <c r="V404" i="23"/>
  <c r="V405" i="23"/>
  <c r="V406" i="23"/>
  <c r="V407" i="23"/>
  <c r="V408" i="23"/>
  <c r="V409" i="23"/>
  <c r="V410" i="23"/>
  <c r="V411" i="23"/>
  <c r="V412" i="23"/>
  <c r="V413" i="23"/>
  <c r="V414" i="23"/>
  <c r="V415" i="23"/>
  <c r="V416" i="23"/>
  <c r="V417" i="23"/>
  <c r="V418" i="23"/>
  <c r="V419" i="23"/>
  <c r="V420" i="23"/>
  <c r="V421" i="23"/>
  <c r="V422" i="23"/>
  <c r="V423" i="23"/>
  <c r="V424" i="23"/>
  <c r="V425" i="23"/>
  <c r="V426" i="23"/>
  <c r="V427" i="23"/>
  <c r="V428" i="23"/>
  <c r="V429" i="23"/>
  <c r="V430" i="23"/>
  <c r="V431" i="23"/>
  <c r="V432" i="23"/>
  <c r="V433" i="23"/>
  <c r="V434" i="23"/>
  <c r="V435" i="23"/>
  <c r="V436" i="23"/>
  <c r="V437" i="23"/>
  <c r="V438" i="23"/>
  <c r="V439" i="23"/>
  <c r="V440" i="23"/>
  <c r="V441" i="23"/>
  <c r="V442" i="23"/>
  <c r="V443" i="23"/>
  <c r="V444" i="23"/>
  <c r="V445" i="23"/>
  <c r="V446" i="23"/>
  <c r="V447" i="23"/>
  <c r="V448" i="23"/>
  <c r="V449" i="23"/>
  <c r="V450" i="23"/>
  <c r="V451" i="23"/>
  <c r="V452" i="23"/>
  <c r="U2" i="23"/>
  <c r="U3" i="23"/>
  <c r="U4" i="23"/>
  <c r="U5" i="23"/>
  <c r="U14" i="23"/>
  <c r="U15" i="23"/>
  <c r="U16" i="23"/>
  <c r="U17" i="23"/>
  <c r="U18" i="23"/>
  <c r="U19" i="23"/>
  <c r="U20" i="23"/>
  <c r="U21" i="23"/>
  <c r="U22" i="23"/>
  <c r="U23" i="23"/>
  <c r="U24" i="23"/>
  <c r="U25" i="23"/>
  <c r="U26" i="23"/>
  <c r="U27" i="23"/>
  <c r="U28" i="23"/>
  <c r="U29" i="23"/>
  <c r="U30" i="23"/>
  <c r="U31" i="23"/>
  <c r="U32" i="23"/>
  <c r="U33" i="23"/>
  <c r="U34" i="23"/>
  <c r="U35" i="23"/>
  <c r="U36" i="23"/>
  <c r="U37" i="23"/>
  <c r="U38" i="23"/>
  <c r="U39" i="23"/>
  <c r="U40" i="23"/>
  <c r="U41" i="23"/>
  <c r="U42" i="23"/>
  <c r="U43" i="23"/>
  <c r="U44" i="23"/>
  <c r="U45" i="23"/>
  <c r="U46" i="23"/>
  <c r="U47" i="23"/>
  <c r="U48" i="23"/>
  <c r="U49" i="23"/>
  <c r="U50" i="23"/>
  <c r="U51" i="23"/>
  <c r="U52" i="23"/>
  <c r="U53" i="23"/>
  <c r="U54" i="23"/>
  <c r="U55" i="23"/>
  <c r="U56" i="23"/>
  <c r="U57" i="23"/>
  <c r="U58" i="23"/>
  <c r="U59" i="23"/>
  <c r="U60" i="23"/>
  <c r="U61" i="23"/>
  <c r="U62" i="23"/>
  <c r="U63" i="23"/>
  <c r="U64" i="23"/>
  <c r="U65" i="23"/>
  <c r="U66" i="23"/>
  <c r="U67" i="23"/>
  <c r="U68" i="23"/>
  <c r="U69" i="23"/>
  <c r="U70" i="23"/>
  <c r="U71" i="23"/>
  <c r="U72" i="23"/>
  <c r="U73" i="23"/>
  <c r="U74" i="23"/>
  <c r="U75" i="23"/>
  <c r="U76" i="23"/>
  <c r="U77" i="23"/>
  <c r="U78" i="23"/>
  <c r="U79" i="23"/>
  <c r="U80" i="23"/>
  <c r="U81" i="23"/>
  <c r="U82" i="23"/>
  <c r="U83" i="23"/>
  <c r="U84" i="23"/>
  <c r="U85" i="23"/>
  <c r="U86" i="23"/>
  <c r="U87" i="23"/>
  <c r="U88" i="23"/>
  <c r="U89" i="23"/>
  <c r="U90" i="23"/>
  <c r="U91" i="23"/>
  <c r="U92" i="23"/>
  <c r="U93" i="23"/>
  <c r="U94" i="23"/>
  <c r="U95" i="23"/>
  <c r="U96" i="23"/>
  <c r="U97" i="23"/>
  <c r="U98" i="23"/>
  <c r="U99" i="23"/>
  <c r="U100" i="23"/>
  <c r="U101" i="23"/>
  <c r="U102" i="23"/>
  <c r="U103" i="23"/>
  <c r="U104" i="23"/>
  <c r="U105" i="23"/>
  <c r="U106" i="23"/>
  <c r="U107" i="23"/>
  <c r="U108" i="23"/>
  <c r="U109" i="23"/>
  <c r="U110" i="23"/>
  <c r="U111" i="23"/>
  <c r="U112" i="23"/>
  <c r="U113" i="23"/>
  <c r="U114" i="23"/>
  <c r="U115" i="23"/>
  <c r="U116" i="23"/>
  <c r="U117" i="23"/>
  <c r="U118" i="23"/>
  <c r="U119" i="23"/>
  <c r="U120" i="23"/>
  <c r="U121" i="23"/>
  <c r="U122" i="23"/>
  <c r="U123" i="23"/>
  <c r="U124" i="23"/>
  <c r="U125" i="23"/>
  <c r="U126" i="23"/>
  <c r="U127" i="23"/>
  <c r="U128" i="23"/>
  <c r="U129" i="23"/>
  <c r="U130" i="23"/>
  <c r="U131" i="23"/>
  <c r="U132" i="23"/>
  <c r="U133" i="23"/>
  <c r="U134" i="23"/>
  <c r="U135" i="23"/>
  <c r="U136" i="23"/>
  <c r="U137" i="23"/>
  <c r="U138" i="23"/>
  <c r="U153" i="23"/>
  <c r="U154" i="23"/>
  <c r="U155" i="23"/>
  <c r="U156" i="23"/>
  <c r="U157" i="23"/>
  <c r="U158" i="23"/>
  <c r="U159" i="23"/>
  <c r="U160" i="23"/>
  <c r="U161" i="23"/>
  <c r="U162" i="23"/>
  <c r="U163" i="23"/>
  <c r="U164" i="23"/>
  <c r="U165" i="23"/>
  <c r="U166" i="23"/>
  <c r="U167" i="23"/>
  <c r="U168" i="23"/>
  <c r="U169" i="23"/>
  <c r="U170" i="23"/>
  <c r="U171" i="23"/>
  <c r="U172" i="23"/>
  <c r="U173" i="23"/>
  <c r="U174" i="23"/>
  <c r="U175" i="23"/>
  <c r="U176" i="23"/>
  <c r="U177" i="23"/>
  <c r="U178" i="23"/>
  <c r="U179" i="23"/>
  <c r="U180" i="23"/>
  <c r="U181" i="23"/>
  <c r="U182" i="23"/>
  <c r="U183" i="23"/>
  <c r="U184" i="23"/>
  <c r="U185" i="23"/>
  <c r="U186" i="23"/>
  <c r="U187" i="23"/>
  <c r="U188" i="23"/>
  <c r="U189" i="23"/>
  <c r="U190" i="23"/>
  <c r="U191" i="23"/>
  <c r="U192" i="23"/>
  <c r="U193" i="23"/>
  <c r="U194" i="23"/>
  <c r="U195" i="23"/>
  <c r="U196" i="23"/>
  <c r="U197" i="23"/>
  <c r="U198" i="23"/>
  <c r="U199" i="23"/>
  <c r="U200" i="23"/>
  <c r="U201" i="23"/>
  <c r="U202" i="23"/>
  <c r="U203" i="23"/>
  <c r="U204" i="23"/>
  <c r="U205" i="23"/>
  <c r="U206" i="23"/>
  <c r="U207" i="23"/>
  <c r="U208" i="23"/>
  <c r="U209" i="23"/>
  <c r="U210" i="23"/>
  <c r="U211" i="23"/>
  <c r="U212" i="23"/>
  <c r="U213" i="23"/>
  <c r="U214" i="23"/>
  <c r="U215" i="23"/>
  <c r="U216" i="23"/>
  <c r="U217" i="23"/>
  <c r="U218" i="23"/>
  <c r="U219" i="23"/>
  <c r="U220" i="23"/>
  <c r="U221" i="23"/>
  <c r="U222" i="23"/>
  <c r="U223" i="23"/>
  <c r="U224" i="23"/>
  <c r="U225" i="23"/>
  <c r="U226" i="23"/>
  <c r="U227" i="23"/>
  <c r="U228" i="23"/>
  <c r="U229" i="23"/>
  <c r="U230" i="23"/>
  <c r="U231" i="23"/>
  <c r="U232" i="23"/>
  <c r="U233" i="23"/>
  <c r="U234" i="23"/>
  <c r="U235" i="23"/>
  <c r="U236" i="23"/>
  <c r="U237" i="23"/>
  <c r="U238" i="23"/>
  <c r="U239" i="23"/>
  <c r="U240" i="23"/>
  <c r="U241" i="23"/>
  <c r="U242" i="23"/>
  <c r="U243" i="23"/>
  <c r="U244" i="23"/>
  <c r="U245" i="23"/>
  <c r="U246" i="23"/>
  <c r="U247" i="23"/>
  <c r="U248" i="23"/>
  <c r="U249" i="23"/>
  <c r="U250" i="23"/>
  <c r="U251" i="23"/>
  <c r="U252" i="23"/>
  <c r="U253" i="23"/>
  <c r="U254" i="23"/>
  <c r="U255" i="23"/>
  <c r="U256" i="23"/>
  <c r="U257" i="23"/>
  <c r="U258" i="23"/>
  <c r="U259" i="23"/>
  <c r="U260" i="23"/>
  <c r="U261" i="23"/>
  <c r="U262" i="23"/>
  <c r="U263" i="23"/>
  <c r="U264" i="23"/>
  <c r="U265" i="23"/>
  <c r="U266" i="23"/>
  <c r="U267" i="23"/>
  <c r="U268" i="23"/>
  <c r="U269" i="23"/>
  <c r="U270" i="23"/>
  <c r="U271" i="23"/>
  <c r="U272" i="23"/>
  <c r="U273" i="23"/>
  <c r="U274" i="23"/>
  <c r="U275" i="23"/>
  <c r="U276" i="23"/>
  <c r="U277" i="23"/>
  <c r="U278" i="23"/>
  <c r="U279" i="23"/>
  <c r="U280" i="23"/>
  <c r="U281" i="23"/>
  <c r="U282" i="23"/>
  <c r="U283" i="23"/>
  <c r="U284" i="23"/>
  <c r="U285" i="23"/>
  <c r="U286" i="23"/>
  <c r="U287" i="23"/>
  <c r="U288" i="23"/>
  <c r="U289" i="23"/>
  <c r="U290" i="23"/>
  <c r="U291" i="23"/>
  <c r="U292" i="23"/>
  <c r="U293" i="23"/>
  <c r="U294" i="23"/>
  <c r="U295" i="23"/>
  <c r="U296" i="23"/>
  <c r="U297" i="23"/>
  <c r="U298" i="23"/>
  <c r="U299" i="23"/>
  <c r="U300" i="23"/>
  <c r="U301" i="23"/>
  <c r="U302" i="23"/>
  <c r="U303" i="23"/>
  <c r="U304" i="23"/>
  <c r="U305" i="23"/>
  <c r="U306" i="23"/>
  <c r="U307" i="23"/>
  <c r="U308" i="23"/>
  <c r="U309" i="23"/>
  <c r="U310" i="23"/>
  <c r="U311" i="23"/>
  <c r="U312" i="23"/>
  <c r="U313" i="23"/>
  <c r="U314" i="23"/>
  <c r="U315" i="23"/>
  <c r="U316" i="23"/>
  <c r="U317" i="23"/>
  <c r="U318" i="23"/>
  <c r="U319" i="23"/>
  <c r="U320" i="23"/>
  <c r="U321" i="23"/>
  <c r="U322" i="23"/>
  <c r="U323" i="23"/>
  <c r="U324" i="23"/>
  <c r="U325" i="23"/>
  <c r="U326" i="23"/>
  <c r="U327" i="23"/>
  <c r="U328" i="23"/>
  <c r="U329" i="23"/>
  <c r="U330" i="23"/>
  <c r="U331" i="23"/>
  <c r="U332" i="23"/>
  <c r="U333" i="23"/>
  <c r="U334" i="23"/>
  <c r="U335" i="23"/>
  <c r="U336" i="23"/>
  <c r="U337" i="23"/>
  <c r="U338" i="23"/>
  <c r="U339" i="23"/>
  <c r="U340" i="23"/>
  <c r="U341" i="23"/>
  <c r="U342" i="23"/>
  <c r="U343" i="23"/>
  <c r="U344" i="23"/>
  <c r="U345" i="23"/>
  <c r="U346" i="23"/>
  <c r="U347" i="23"/>
  <c r="U348" i="23"/>
  <c r="U349" i="23"/>
  <c r="U350" i="23"/>
  <c r="U351" i="23"/>
  <c r="U352" i="23"/>
  <c r="U353" i="23"/>
  <c r="U354" i="23"/>
  <c r="U355" i="23"/>
  <c r="U356" i="23"/>
  <c r="U357" i="23"/>
  <c r="U358" i="23"/>
  <c r="U359" i="23"/>
  <c r="U360" i="23"/>
  <c r="U361" i="23"/>
  <c r="U362" i="23"/>
  <c r="U363" i="23"/>
  <c r="U364" i="23"/>
  <c r="U365" i="23"/>
  <c r="U366" i="23"/>
  <c r="U367" i="23"/>
  <c r="U368" i="23"/>
  <c r="U369" i="23"/>
  <c r="U370" i="23"/>
  <c r="U371" i="23"/>
  <c r="U372" i="23"/>
  <c r="U373" i="23"/>
  <c r="U374" i="23"/>
  <c r="U375" i="23"/>
  <c r="U376" i="23"/>
  <c r="U377" i="23"/>
  <c r="U378" i="23"/>
  <c r="U379" i="23"/>
  <c r="U380" i="23"/>
  <c r="U381" i="23"/>
  <c r="U382" i="23"/>
  <c r="U383" i="23"/>
  <c r="U384" i="23"/>
  <c r="U385" i="23"/>
  <c r="U386" i="23"/>
  <c r="U387" i="23"/>
  <c r="U388" i="23"/>
  <c r="U389" i="23"/>
  <c r="U390" i="23"/>
  <c r="U391" i="23"/>
  <c r="U392" i="23"/>
  <c r="U393" i="23"/>
  <c r="U394" i="23"/>
  <c r="U395" i="23"/>
  <c r="U396" i="23"/>
  <c r="U397" i="23"/>
  <c r="U398" i="23"/>
  <c r="U399" i="23"/>
  <c r="U400" i="23"/>
  <c r="U401" i="23"/>
  <c r="U402" i="23"/>
  <c r="U403" i="23"/>
  <c r="U404" i="23"/>
  <c r="U405" i="23"/>
  <c r="U406" i="23"/>
  <c r="U407" i="23"/>
  <c r="U408" i="23"/>
  <c r="U409" i="23"/>
  <c r="U410" i="23"/>
  <c r="U411" i="23"/>
  <c r="U412" i="23"/>
  <c r="U413" i="23"/>
  <c r="U414" i="23"/>
  <c r="U415" i="23"/>
  <c r="U416" i="23"/>
  <c r="U417" i="23"/>
  <c r="U418" i="23"/>
  <c r="U419" i="23"/>
  <c r="U420" i="23"/>
  <c r="U421" i="23"/>
  <c r="U422" i="23"/>
  <c r="U423" i="23"/>
  <c r="U424" i="23"/>
  <c r="U425" i="23"/>
  <c r="U426" i="23"/>
  <c r="U427" i="23"/>
  <c r="U428" i="23"/>
  <c r="U429" i="23"/>
  <c r="U430" i="23"/>
  <c r="U431" i="23"/>
  <c r="U432" i="23"/>
  <c r="U433" i="23"/>
  <c r="U434" i="23"/>
  <c r="U435" i="23"/>
  <c r="U436" i="23"/>
  <c r="U437" i="23"/>
  <c r="U438" i="23"/>
  <c r="U439" i="23"/>
  <c r="U440" i="23"/>
  <c r="U441" i="23"/>
  <c r="U442" i="23"/>
  <c r="U443" i="23"/>
  <c r="U444" i="23"/>
  <c r="U445" i="23"/>
  <c r="U446" i="23"/>
  <c r="U447" i="23"/>
  <c r="U448" i="23"/>
  <c r="U449" i="23"/>
  <c r="U450" i="23"/>
  <c r="U451" i="23"/>
  <c r="U452" i="23"/>
  <c r="B25" i="16"/>
  <c r="L26" i="15"/>
  <c r="G10810" i="3"/>
  <c r="AL452" i="23"/>
  <c r="AD195" i="23"/>
  <c r="AD196" i="23"/>
  <c r="AD197" i="23"/>
  <c r="AD198" i="23"/>
  <c r="AD199" i="23"/>
  <c r="AD200" i="23"/>
  <c r="AD201" i="23"/>
  <c r="AD202" i="23"/>
  <c r="AD203" i="23"/>
  <c r="AD204" i="23"/>
  <c r="AD205" i="23"/>
  <c r="AD206" i="23"/>
  <c r="AD207" i="23"/>
  <c r="AD208" i="23"/>
  <c r="AD209" i="23"/>
  <c r="AD210" i="23"/>
  <c r="AD211" i="23"/>
  <c r="AD212" i="23"/>
  <c r="AD213" i="23"/>
  <c r="AD214" i="23"/>
  <c r="AD215" i="23"/>
  <c r="AD216" i="23"/>
  <c r="AD217" i="23"/>
  <c r="AD218" i="23"/>
  <c r="AD219" i="23"/>
  <c r="AD220" i="23"/>
  <c r="AD221" i="23"/>
  <c r="AD222" i="23"/>
  <c r="AD223" i="23"/>
  <c r="AD224" i="23"/>
  <c r="AD225" i="23"/>
  <c r="AD226" i="23"/>
  <c r="AD227" i="23"/>
  <c r="AD228" i="23"/>
  <c r="AD229" i="23"/>
  <c r="AD230" i="23"/>
  <c r="AD231" i="23"/>
  <c r="AD232" i="23"/>
  <c r="AD233" i="23"/>
  <c r="AD234" i="23"/>
  <c r="AD235" i="23"/>
  <c r="AD236" i="23"/>
  <c r="AD237" i="23"/>
  <c r="AD238" i="23"/>
  <c r="AD239" i="23"/>
  <c r="AD240" i="23"/>
  <c r="AD241" i="23"/>
  <c r="AD242" i="23"/>
  <c r="AD243" i="23"/>
  <c r="AD244" i="23"/>
  <c r="AD245" i="23"/>
  <c r="AD246" i="23"/>
  <c r="AD247" i="23"/>
  <c r="AD248" i="23"/>
  <c r="AD249" i="23"/>
  <c r="AD250" i="23"/>
  <c r="AD251" i="23"/>
  <c r="AD252" i="23"/>
  <c r="AD253" i="23"/>
  <c r="AD254" i="23"/>
  <c r="AD255" i="23"/>
  <c r="AD256" i="23"/>
  <c r="AD257" i="23"/>
  <c r="AD258" i="23"/>
  <c r="AD259" i="23"/>
  <c r="AD260" i="23"/>
  <c r="AD261" i="23"/>
  <c r="AD262" i="23"/>
  <c r="AD263" i="23"/>
  <c r="AD264" i="23"/>
  <c r="AD265" i="23"/>
  <c r="AD266" i="23"/>
  <c r="AD267" i="23"/>
  <c r="AD268" i="23"/>
  <c r="AD269" i="23"/>
  <c r="AD270" i="23"/>
  <c r="AD271" i="23"/>
  <c r="AD272" i="23"/>
  <c r="AD273" i="23"/>
  <c r="AD274" i="23"/>
  <c r="AD275" i="23"/>
  <c r="AD276" i="23"/>
  <c r="AD277" i="23"/>
  <c r="AD278" i="23"/>
  <c r="AD279" i="23"/>
  <c r="AD280" i="23"/>
  <c r="AD281" i="23"/>
  <c r="AD282" i="23"/>
  <c r="AD283" i="23"/>
  <c r="AD284" i="23"/>
  <c r="AD285" i="23"/>
  <c r="AD286" i="23"/>
  <c r="AD287" i="23"/>
  <c r="AD288" i="23"/>
  <c r="AD289" i="23"/>
  <c r="AD290" i="23"/>
  <c r="AD291" i="23"/>
  <c r="AD292" i="23"/>
  <c r="AD293" i="23"/>
  <c r="AD294" i="23"/>
  <c r="AD295" i="23"/>
  <c r="AD296" i="23"/>
  <c r="AD297" i="23"/>
  <c r="AD298" i="23"/>
  <c r="AD299" i="23"/>
  <c r="AD300" i="23"/>
  <c r="AD301" i="23"/>
  <c r="AD302" i="23"/>
  <c r="AD303" i="23"/>
  <c r="AD304" i="23"/>
  <c r="AD305" i="23"/>
  <c r="AD306" i="23"/>
  <c r="AD307" i="23"/>
  <c r="AD308" i="23"/>
  <c r="AD309" i="23"/>
  <c r="AD310" i="23"/>
  <c r="AD311" i="23"/>
  <c r="AD312" i="23"/>
  <c r="AD313" i="23"/>
  <c r="AD314" i="23"/>
  <c r="AD315" i="23"/>
  <c r="AD316" i="23"/>
  <c r="AD317" i="23"/>
  <c r="AD318" i="23"/>
  <c r="AD319" i="23"/>
  <c r="AD320" i="23"/>
  <c r="AD321" i="23"/>
  <c r="AD322" i="23"/>
  <c r="AD323" i="23"/>
  <c r="AD324" i="23"/>
  <c r="AD325" i="23"/>
  <c r="AD326" i="23"/>
  <c r="AD327" i="23"/>
  <c r="AD328" i="23"/>
  <c r="AD329" i="23"/>
  <c r="AD330" i="23"/>
  <c r="AD331" i="23"/>
  <c r="AD332" i="23"/>
  <c r="AD333" i="23"/>
  <c r="AD334" i="23"/>
  <c r="AD335" i="23"/>
  <c r="AD336" i="23"/>
  <c r="AD337" i="23"/>
  <c r="AD338" i="23"/>
  <c r="AD339" i="23"/>
  <c r="AD340" i="23"/>
  <c r="AD341" i="23"/>
  <c r="AD342" i="23"/>
  <c r="AD343" i="23"/>
  <c r="AD344" i="23"/>
  <c r="AD345" i="23"/>
  <c r="AD346" i="23"/>
  <c r="AD347" i="23"/>
  <c r="AD348" i="23"/>
  <c r="AD349" i="23"/>
  <c r="AD350" i="23"/>
  <c r="AD351" i="23"/>
  <c r="AD352" i="23"/>
  <c r="AD353" i="23"/>
  <c r="AD354" i="23"/>
  <c r="AD355" i="23"/>
  <c r="AD356" i="23"/>
  <c r="AD357" i="23"/>
  <c r="AD358" i="23"/>
  <c r="AD359" i="23"/>
  <c r="AD360" i="23"/>
  <c r="AD361" i="23"/>
  <c r="AD362" i="23"/>
  <c r="AD363" i="23"/>
  <c r="AD364" i="23"/>
  <c r="AD365" i="23"/>
  <c r="AD366" i="23"/>
  <c r="AD367" i="23"/>
  <c r="AD368" i="23"/>
  <c r="AD369" i="23"/>
  <c r="AD370" i="23"/>
  <c r="AD371" i="23"/>
  <c r="AD372" i="23"/>
  <c r="AD373" i="23"/>
  <c r="AD374" i="23"/>
  <c r="AD375" i="23"/>
  <c r="AD376" i="23"/>
  <c r="AD377" i="23"/>
  <c r="AD378" i="23"/>
  <c r="AD379" i="23"/>
  <c r="AD380" i="23"/>
  <c r="AD381" i="23"/>
  <c r="AD382" i="23"/>
  <c r="AD383" i="23"/>
  <c r="AD384" i="23"/>
  <c r="AD385" i="23"/>
  <c r="AD386" i="23"/>
  <c r="AD387" i="23"/>
  <c r="AD388" i="23"/>
  <c r="AD389" i="23"/>
  <c r="AD390" i="23"/>
  <c r="AD391" i="23"/>
  <c r="AD392" i="23"/>
  <c r="AD393" i="23"/>
  <c r="AD394" i="23"/>
  <c r="AD395" i="23"/>
  <c r="AD396" i="23"/>
  <c r="AD397" i="23"/>
  <c r="AD398" i="23"/>
  <c r="AD399" i="23"/>
  <c r="AD400" i="23"/>
  <c r="AD401" i="23"/>
  <c r="AD402" i="23"/>
  <c r="AD403" i="23"/>
  <c r="AD404" i="23"/>
  <c r="AD405" i="23"/>
  <c r="AD406" i="23"/>
  <c r="AD407" i="23"/>
  <c r="AD408" i="23"/>
  <c r="AD409" i="23"/>
  <c r="AD410" i="23"/>
  <c r="AD411" i="23"/>
  <c r="AD412" i="23"/>
  <c r="AD413" i="23"/>
  <c r="AD414" i="23"/>
  <c r="AD415" i="23"/>
  <c r="AD416" i="23"/>
  <c r="AD417" i="23"/>
  <c r="AD418" i="23"/>
  <c r="AD419" i="23"/>
  <c r="AD420" i="23"/>
  <c r="AD421" i="23"/>
  <c r="AD422" i="23"/>
  <c r="AD423" i="23"/>
  <c r="AD424" i="23"/>
  <c r="AD425" i="23"/>
  <c r="AD426" i="23"/>
  <c r="AD427" i="23"/>
  <c r="AD428" i="23"/>
  <c r="AD429" i="23"/>
  <c r="AD430" i="23"/>
  <c r="AD431" i="23"/>
  <c r="AD432" i="23"/>
  <c r="AD433" i="23"/>
  <c r="AD434" i="23"/>
  <c r="AD435" i="23"/>
  <c r="AD436" i="23"/>
  <c r="AD437" i="23"/>
  <c r="AD438" i="23"/>
  <c r="AD439" i="23"/>
  <c r="AD440" i="23"/>
  <c r="AD441" i="23"/>
  <c r="AD442" i="23"/>
  <c r="AD443" i="23"/>
  <c r="AD444" i="23"/>
  <c r="AD445" i="23"/>
  <c r="AD446" i="23"/>
  <c r="AD447" i="23"/>
  <c r="AD448" i="23"/>
  <c r="AD449" i="23"/>
  <c r="AD450" i="23"/>
  <c r="AD451" i="23"/>
  <c r="AD452" i="23"/>
  <c r="AT452" i="23"/>
  <c r="D25" i="33"/>
  <c r="AG452" i="23"/>
  <c r="AN452" i="23"/>
  <c r="AO452" i="23"/>
  <c r="AP452" i="23"/>
  <c r="S452" i="23"/>
  <c r="Z452" i="23"/>
  <c r="AA452" i="23"/>
  <c r="F452" i="23"/>
  <c r="M10825" i="3"/>
  <c r="L10825" i="3"/>
  <c r="J10825" i="3"/>
  <c r="K10825" i="3" s="1"/>
  <c r="H10825" i="3"/>
  <c r="G10825" i="3"/>
  <c r="M10824" i="3"/>
  <c r="L10824" i="3"/>
  <c r="J10824" i="3"/>
  <c r="K10824" i="3" s="1"/>
  <c r="H10824" i="3"/>
  <c r="G10824" i="3"/>
  <c r="M10823" i="3"/>
  <c r="L10823" i="3"/>
  <c r="J10823" i="3"/>
  <c r="K10823" i="3" s="1"/>
  <c r="H10823" i="3"/>
  <c r="G10823" i="3"/>
  <c r="M10822" i="3"/>
  <c r="L10822" i="3"/>
  <c r="J10822" i="3"/>
  <c r="K10822" i="3" s="1"/>
  <c r="H10822" i="3"/>
  <c r="G10822" i="3"/>
  <c r="M10821" i="3"/>
  <c r="L10821" i="3"/>
  <c r="J10821" i="3"/>
  <c r="K10821" i="3" s="1"/>
  <c r="H10821" i="3"/>
  <c r="G10821" i="3"/>
  <c r="M10820" i="3"/>
  <c r="L10820" i="3"/>
  <c r="J10820" i="3"/>
  <c r="K10820" i="3" s="1"/>
  <c r="H10820" i="3"/>
  <c r="G10820" i="3"/>
  <c r="M10819" i="3"/>
  <c r="L10819" i="3"/>
  <c r="J10819" i="3"/>
  <c r="K10819" i="3" s="1"/>
  <c r="H10819" i="3"/>
  <c r="G10819" i="3"/>
  <c r="M10818" i="3"/>
  <c r="L10818" i="3"/>
  <c r="J10818" i="3"/>
  <c r="K10818" i="3" s="1"/>
  <c r="H10818" i="3"/>
  <c r="G10818" i="3"/>
  <c r="M10817" i="3"/>
  <c r="L10817" i="3"/>
  <c r="J10817" i="3"/>
  <c r="K10817" i="3" s="1"/>
  <c r="H10817" i="3"/>
  <c r="G10817" i="3"/>
  <c r="M10816" i="3"/>
  <c r="L10816" i="3"/>
  <c r="J10816" i="3"/>
  <c r="K10816" i="3" s="1"/>
  <c r="H10816" i="3"/>
  <c r="G10816" i="3"/>
  <c r="M10815" i="3"/>
  <c r="L10815" i="3"/>
  <c r="J10815" i="3"/>
  <c r="K10815" i="3" s="1"/>
  <c r="H10815" i="3"/>
  <c r="G10815" i="3"/>
  <c r="M10814" i="3"/>
  <c r="L10814" i="3"/>
  <c r="J10814" i="3"/>
  <c r="K10814" i="3" s="1"/>
  <c r="H10814" i="3"/>
  <c r="G10814" i="3"/>
  <c r="M10813" i="3"/>
  <c r="L10813" i="3"/>
  <c r="J10813" i="3"/>
  <c r="K10813" i="3" s="1"/>
  <c r="H10813" i="3"/>
  <c r="G10813" i="3"/>
  <c r="M10812" i="3"/>
  <c r="L10812" i="3"/>
  <c r="J10812" i="3"/>
  <c r="K10812" i="3" s="1"/>
  <c r="H10812" i="3"/>
  <c r="G10812" i="3"/>
  <c r="M10811" i="3"/>
  <c r="L10811" i="3"/>
  <c r="J10811" i="3"/>
  <c r="K10811" i="3" s="1"/>
  <c r="H10811" i="3"/>
  <c r="G10811" i="3"/>
  <c r="M10810" i="3"/>
  <c r="L10810" i="3"/>
  <c r="J10810" i="3"/>
  <c r="K10810" i="3" s="1"/>
  <c r="H10810" i="3"/>
  <c r="M10809" i="3"/>
  <c r="L10809" i="3"/>
  <c r="J10809" i="3"/>
  <c r="K10809" i="3" s="1"/>
  <c r="H10809" i="3"/>
  <c r="G10809" i="3"/>
  <c r="M10808" i="3"/>
  <c r="L10808" i="3"/>
  <c r="J10808" i="3"/>
  <c r="K10808" i="3" s="1"/>
  <c r="H10808" i="3"/>
  <c r="G10808" i="3"/>
  <c r="M10807" i="3"/>
  <c r="L10807" i="3"/>
  <c r="J10807" i="3"/>
  <c r="K10807" i="3" s="1"/>
  <c r="H10807" i="3"/>
  <c r="G10807" i="3"/>
  <c r="M10806" i="3"/>
  <c r="L10806" i="3"/>
  <c r="J10806" i="3"/>
  <c r="K10806" i="3" s="1"/>
  <c r="H10806" i="3"/>
  <c r="G10806" i="3"/>
  <c r="M10805" i="3"/>
  <c r="L10805" i="3"/>
  <c r="J10805" i="3"/>
  <c r="K10805" i="3" s="1"/>
  <c r="H10805" i="3"/>
  <c r="G10805" i="3"/>
  <c r="M10804" i="3"/>
  <c r="L10804" i="3"/>
  <c r="J10804" i="3"/>
  <c r="K10804" i="3" s="1"/>
  <c r="H10804" i="3"/>
  <c r="G10804" i="3"/>
  <c r="M10803" i="3"/>
  <c r="L10803" i="3"/>
  <c r="J10803" i="3"/>
  <c r="K10803" i="3" s="1"/>
  <c r="H10803" i="3"/>
  <c r="G10803" i="3"/>
  <c r="M10802" i="3"/>
  <c r="L10802" i="3"/>
  <c r="J10802" i="3"/>
  <c r="K10802" i="3" s="1"/>
  <c r="H10802" i="3"/>
  <c r="G10802" i="3"/>
  <c r="S452" i="1"/>
  <c r="F452" i="1"/>
  <c r="AA8" i="23"/>
  <c r="K2" i="23"/>
  <c r="K3" i="23"/>
  <c r="K4" i="23"/>
  <c r="K5" i="23"/>
  <c r="K6" i="23"/>
  <c r="K7" i="23"/>
  <c r="K8" i="23"/>
  <c r="K9" i="23"/>
  <c r="K10" i="23"/>
  <c r="K11" i="23"/>
  <c r="K12" i="23"/>
  <c r="K13" i="23"/>
  <c r="K14" i="23"/>
  <c r="K15" i="23"/>
  <c r="K16" i="23"/>
  <c r="K17" i="23"/>
  <c r="K18" i="23"/>
  <c r="K19" i="23"/>
  <c r="K20" i="23"/>
  <c r="K21" i="23"/>
  <c r="K22" i="23"/>
  <c r="K23" i="23"/>
  <c r="K24" i="23"/>
  <c r="K25" i="23"/>
  <c r="K26" i="23"/>
  <c r="K27" i="23"/>
  <c r="K28" i="23"/>
  <c r="K29" i="23"/>
  <c r="K30" i="23"/>
  <c r="K31" i="23"/>
  <c r="K32" i="23"/>
  <c r="K33" i="23"/>
  <c r="K34" i="23"/>
  <c r="K35" i="23"/>
  <c r="K36" i="23"/>
  <c r="K37" i="23"/>
  <c r="K38" i="23"/>
  <c r="K39" i="23"/>
  <c r="K40" i="23"/>
  <c r="K41" i="23"/>
  <c r="K42" i="23"/>
  <c r="K43" i="23"/>
  <c r="K44" i="23"/>
  <c r="K45" i="23"/>
  <c r="K46" i="23"/>
  <c r="K47" i="23"/>
  <c r="K48" i="23"/>
  <c r="K49" i="23"/>
  <c r="K50" i="23"/>
  <c r="K51" i="23"/>
  <c r="K52" i="23"/>
  <c r="K53" i="23"/>
  <c r="K54" i="23"/>
  <c r="K55" i="23"/>
  <c r="K56" i="23"/>
  <c r="K57" i="23"/>
  <c r="K58" i="23"/>
  <c r="K59" i="23"/>
  <c r="K60" i="23"/>
  <c r="K61" i="23"/>
  <c r="K62" i="23"/>
  <c r="K63" i="23"/>
  <c r="K64" i="23"/>
  <c r="K65" i="23"/>
  <c r="K66" i="23"/>
  <c r="K67" i="23"/>
  <c r="K68" i="23"/>
  <c r="K69" i="23"/>
  <c r="K70" i="23"/>
  <c r="K71" i="23"/>
  <c r="K72" i="23"/>
  <c r="K73" i="23"/>
  <c r="K74" i="23"/>
  <c r="K75" i="23"/>
  <c r="K76" i="23"/>
  <c r="K77" i="23"/>
  <c r="K78" i="23"/>
  <c r="K79" i="23"/>
  <c r="K80" i="23"/>
  <c r="K81" i="23"/>
  <c r="K82" i="23"/>
  <c r="K83" i="23"/>
  <c r="K84" i="23"/>
  <c r="K85" i="23"/>
  <c r="K86" i="23"/>
  <c r="K87" i="23"/>
  <c r="K88" i="23"/>
  <c r="K89" i="23"/>
  <c r="K90" i="23"/>
  <c r="K91" i="23"/>
  <c r="K92" i="23"/>
  <c r="K93" i="23"/>
  <c r="K94" i="23"/>
  <c r="K95" i="23"/>
  <c r="K96" i="23"/>
  <c r="K97" i="23"/>
  <c r="K98" i="23"/>
  <c r="K99" i="23"/>
  <c r="K100" i="23"/>
  <c r="K101" i="23"/>
  <c r="K102" i="23"/>
  <c r="K103" i="23"/>
  <c r="K104" i="23"/>
  <c r="K105" i="23"/>
  <c r="K106" i="23"/>
  <c r="K107" i="23"/>
  <c r="K108" i="23"/>
  <c r="K109" i="23"/>
  <c r="K110" i="23"/>
  <c r="K111" i="23"/>
  <c r="K112" i="23"/>
  <c r="K115" i="23"/>
  <c r="K116" i="23"/>
  <c r="K117" i="23"/>
  <c r="K118" i="23"/>
  <c r="K121" i="23"/>
  <c r="K127" i="23"/>
  <c r="K128" i="23"/>
  <c r="K129" i="23"/>
  <c r="K130" i="23"/>
  <c r="K131" i="23"/>
  <c r="K132" i="23"/>
  <c r="K133" i="23"/>
  <c r="K134" i="23"/>
  <c r="K135" i="23"/>
  <c r="K137" i="23"/>
  <c r="S446" i="23"/>
  <c r="Y446" i="23"/>
  <c r="Z446" i="23"/>
  <c r="AA446" i="23"/>
  <c r="AM453" i="23" s="1"/>
  <c r="AG446" i="23"/>
  <c r="AL446" i="23"/>
  <c r="AN446" i="23"/>
  <c r="AO446" i="23"/>
  <c r="AP446" i="23"/>
  <c r="AT446" i="23"/>
  <c r="S447" i="23"/>
  <c r="Y447" i="23"/>
  <c r="Z447" i="23"/>
  <c r="AA447" i="23"/>
  <c r="AS454" i="23" s="1"/>
  <c r="AG447" i="23"/>
  <c r="AL447" i="23"/>
  <c r="AN447" i="23"/>
  <c r="AO447" i="23"/>
  <c r="AP447" i="23"/>
  <c r="AT447" i="23"/>
  <c r="S448" i="23"/>
  <c r="Y448" i="23"/>
  <c r="Z448" i="23"/>
  <c r="AA448" i="23"/>
  <c r="AG448" i="23"/>
  <c r="AL448" i="23"/>
  <c r="AN448" i="23"/>
  <c r="AO448" i="23"/>
  <c r="AP448" i="23"/>
  <c r="AT448" i="23"/>
  <c r="S449" i="23"/>
  <c r="Y449" i="23"/>
  <c r="Z449" i="23"/>
  <c r="AA449" i="23"/>
  <c r="AH456" i="23" s="1"/>
  <c r="AG449" i="23"/>
  <c r="AL449" i="23"/>
  <c r="AN449" i="23"/>
  <c r="AO449" i="23"/>
  <c r="AP449" i="23"/>
  <c r="AT449" i="23"/>
  <c r="S450" i="23"/>
  <c r="Y450" i="23"/>
  <c r="Z450" i="23"/>
  <c r="AA450" i="23"/>
  <c r="AG450" i="23"/>
  <c r="AL450" i="23"/>
  <c r="AN450" i="23"/>
  <c r="AO450" i="23"/>
  <c r="AP450" i="23"/>
  <c r="AT450" i="23"/>
  <c r="S451" i="23"/>
  <c r="Y451" i="23"/>
  <c r="Z451" i="23"/>
  <c r="AA451" i="23"/>
  <c r="AG451" i="23"/>
  <c r="AL451" i="23"/>
  <c r="AN451" i="23"/>
  <c r="AO451" i="23"/>
  <c r="AP451" i="23"/>
  <c r="AT451" i="23"/>
  <c r="F451" i="23"/>
  <c r="F450" i="23"/>
  <c r="F449" i="23"/>
  <c r="F448" i="23"/>
  <c r="F447" i="23"/>
  <c r="F446" i="23"/>
  <c r="M10801" i="3"/>
  <c r="L10801" i="3"/>
  <c r="J10801" i="3"/>
  <c r="K10801" i="3" s="1"/>
  <c r="H10801" i="3"/>
  <c r="G10801" i="3"/>
  <c r="M10800" i="3"/>
  <c r="L10800" i="3"/>
  <c r="J10800" i="3"/>
  <c r="K10800" i="3" s="1"/>
  <c r="H10800" i="3"/>
  <c r="G10800" i="3"/>
  <c r="M10799" i="3"/>
  <c r="L10799" i="3"/>
  <c r="J10799" i="3"/>
  <c r="K10799" i="3" s="1"/>
  <c r="H10799" i="3"/>
  <c r="G10799" i="3"/>
  <c r="M10798" i="3"/>
  <c r="L10798" i="3"/>
  <c r="J10798" i="3"/>
  <c r="K10798" i="3" s="1"/>
  <c r="H10798" i="3"/>
  <c r="G10798" i="3"/>
  <c r="M10797" i="3"/>
  <c r="L10797" i="3"/>
  <c r="J10797" i="3"/>
  <c r="K10797" i="3" s="1"/>
  <c r="H10797" i="3"/>
  <c r="G10797" i="3"/>
  <c r="M10796" i="3"/>
  <c r="L10796" i="3"/>
  <c r="J10796" i="3"/>
  <c r="K10796" i="3" s="1"/>
  <c r="H10796" i="3"/>
  <c r="G10796" i="3"/>
  <c r="M10795" i="3"/>
  <c r="L10795" i="3"/>
  <c r="J10795" i="3"/>
  <c r="K10795" i="3" s="1"/>
  <c r="H10795" i="3"/>
  <c r="G10795" i="3"/>
  <c r="M10794" i="3"/>
  <c r="L10794" i="3"/>
  <c r="J10794" i="3"/>
  <c r="K10794" i="3" s="1"/>
  <c r="H10794" i="3"/>
  <c r="G10794" i="3"/>
  <c r="M10793" i="3"/>
  <c r="L10793" i="3"/>
  <c r="J10793" i="3"/>
  <c r="K10793" i="3" s="1"/>
  <c r="H10793" i="3"/>
  <c r="G10793" i="3"/>
  <c r="M10792" i="3"/>
  <c r="L10792" i="3"/>
  <c r="J10792" i="3"/>
  <c r="K10792" i="3" s="1"/>
  <c r="H10792" i="3"/>
  <c r="G10792" i="3"/>
  <c r="M10791" i="3"/>
  <c r="L10791" i="3"/>
  <c r="J10791" i="3"/>
  <c r="K10791" i="3" s="1"/>
  <c r="H10791" i="3"/>
  <c r="G10791" i="3"/>
  <c r="M10790" i="3"/>
  <c r="L10790" i="3"/>
  <c r="J10790" i="3"/>
  <c r="K10790" i="3" s="1"/>
  <c r="H10790" i="3"/>
  <c r="G10790" i="3"/>
  <c r="M10789" i="3"/>
  <c r="L10789" i="3"/>
  <c r="J10789" i="3"/>
  <c r="K10789" i="3" s="1"/>
  <c r="H10789" i="3"/>
  <c r="G10789" i="3"/>
  <c r="M10788" i="3"/>
  <c r="L10788" i="3"/>
  <c r="J10788" i="3"/>
  <c r="K10788" i="3" s="1"/>
  <c r="H10788" i="3"/>
  <c r="G10788" i="3"/>
  <c r="M10787" i="3"/>
  <c r="L10787" i="3"/>
  <c r="J10787" i="3"/>
  <c r="K10787" i="3" s="1"/>
  <c r="H10787" i="3"/>
  <c r="G10787" i="3"/>
  <c r="M10786" i="3"/>
  <c r="L10786" i="3"/>
  <c r="J10786" i="3"/>
  <c r="K10786" i="3" s="1"/>
  <c r="H10786" i="3"/>
  <c r="G10786" i="3"/>
  <c r="M10785" i="3"/>
  <c r="L10785" i="3"/>
  <c r="J10785" i="3"/>
  <c r="K10785" i="3" s="1"/>
  <c r="H10785" i="3"/>
  <c r="G10785" i="3"/>
  <c r="M10784" i="3"/>
  <c r="L10784" i="3"/>
  <c r="J10784" i="3"/>
  <c r="K10784" i="3" s="1"/>
  <c r="H10784" i="3"/>
  <c r="G10784" i="3"/>
  <c r="M10783" i="3"/>
  <c r="L10783" i="3"/>
  <c r="J10783" i="3"/>
  <c r="K10783" i="3" s="1"/>
  <c r="H10783" i="3"/>
  <c r="G10783" i="3"/>
  <c r="M10782" i="3"/>
  <c r="L10782" i="3"/>
  <c r="J10782" i="3"/>
  <c r="K10782" i="3" s="1"/>
  <c r="H10782" i="3"/>
  <c r="G10782" i="3"/>
  <c r="M10781" i="3"/>
  <c r="L10781" i="3"/>
  <c r="J10781" i="3"/>
  <c r="K10781" i="3" s="1"/>
  <c r="H10781" i="3"/>
  <c r="G10781" i="3"/>
  <c r="M10780" i="3"/>
  <c r="L10780" i="3"/>
  <c r="J10780" i="3"/>
  <c r="K10780" i="3" s="1"/>
  <c r="H10780" i="3"/>
  <c r="G10780" i="3"/>
  <c r="M10779" i="3"/>
  <c r="L10779" i="3"/>
  <c r="J10779" i="3"/>
  <c r="K10779" i="3" s="1"/>
  <c r="H10779" i="3"/>
  <c r="G10779" i="3"/>
  <c r="M10778" i="3"/>
  <c r="L10778" i="3"/>
  <c r="J10778" i="3"/>
  <c r="K10778" i="3" s="1"/>
  <c r="H10778" i="3"/>
  <c r="G10778" i="3"/>
  <c r="M449" i="1"/>
  <c r="M450" i="1"/>
  <c r="S451" i="1"/>
  <c r="F451" i="1"/>
  <c r="S450" i="1"/>
  <c r="M10777" i="3"/>
  <c r="L10777" i="3"/>
  <c r="J10777" i="3"/>
  <c r="K10777" i="3" s="1"/>
  <c r="H10777" i="3"/>
  <c r="G10777" i="3"/>
  <c r="M10776" i="3"/>
  <c r="L10776" i="3"/>
  <c r="J10776" i="3"/>
  <c r="K10776" i="3" s="1"/>
  <c r="H10776" i="3"/>
  <c r="G10776" i="3"/>
  <c r="M10775" i="3"/>
  <c r="L10775" i="3"/>
  <c r="J10775" i="3"/>
  <c r="K10775" i="3" s="1"/>
  <c r="H10775" i="3"/>
  <c r="G10775" i="3"/>
  <c r="M10774" i="3"/>
  <c r="L10774" i="3"/>
  <c r="J10774" i="3"/>
  <c r="K10774" i="3" s="1"/>
  <c r="H10774" i="3"/>
  <c r="G10774" i="3"/>
  <c r="M10773" i="3"/>
  <c r="L10773" i="3"/>
  <c r="J10773" i="3"/>
  <c r="K10773" i="3" s="1"/>
  <c r="H10773" i="3"/>
  <c r="G10773" i="3"/>
  <c r="M10772" i="3"/>
  <c r="L10772" i="3"/>
  <c r="J10772" i="3"/>
  <c r="K10772" i="3" s="1"/>
  <c r="H10772" i="3"/>
  <c r="G10772" i="3"/>
  <c r="M10771" i="3"/>
  <c r="L10771" i="3"/>
  <c r="J10771" i="3"/>
  <c r="K10771" i="3" s="1"/>
  <c r="H10771" i="3"/>
  <c r="G10771" i="3"/>
  <c r="M10770" i="3"/>
  <c r="L10770" i="3"/>
  <c r="J10770" i="3"/>
  <c r="K10770" i="3" s="1"/>
  <c r="H10770" i="3"/>
  <c r="G10770" i="3"/>
  <c r="M10769" i="3"/>
  <c r="L10769" i="3"/>
  <c r="J10769" i="3"/>
  <c r="K10769" i="3" s="1"/>
  <c r="H10769" i="3"/>
  <c r="G10769" i="3"/>
  <c r="M10768" i="3"/>
  <c r="L10768" i="3"/>
  <c r="J10768" i="3"/>
  <c r="K10768" i="3" s="1"/>
  <c r="H10768" i="3"/>
  <c r="G10768" i="3"/>
  <c r="M10767" i="3"/>
  <c r="L10767" i="3"/>
  <c r="J10767" i="3"/>
  <c r="K10767" i="3" s="1"/>
  <c r="H10767" i="3"/>
  <c r="G10767" i="3"/>
  <c r="M10766" i="3"/>
  <c r="L10766" i="3"/>
  <c r="J10766" i="3"/>
  <c r="K10766" i="3" s="1"/>
  <c r="H10766" i="3"/>
  <c r="G10766" i="3"/>
  <c r="M10765" i="3"/>
  <c r="L10765" i="3"/>
  <c r="J10765" i="3"/>
  <c r="K10765" i="3" s="1"/>
  <c r="H10765" i="3"/>
  <c r="G10765" i="3"/>
  <c r="M10764" i="3"/>
  <c r="L10764" i="3"/>
  <c r="J10764" i="3"/>
  <c r="K10764" i="3" s="1"/>
  <c r="H10764" i="3"/>
  <c r="G10764" i="3"/>
  <c r="M10763" i="3"/>
  <c r="L10763" i="3"/>
  <c r="J10763" i="3"/>
  <c r="K10763" i="3" s="1"/>
  <c r="H10763" i="3"/>
  <c r="G10763" i="3"/>
  <c r="M10762" i="3"/>
  <c r="L10762" i="3"/>
  <c r="J10762" i="3"/>
  <c r="K10762" i="3" s="1"/>
  <c r="H10762" i="3"/>
  <c r="G10762" i="3"/>
  <c r="M10761" i="3"/>
  <c r="L10761" i="3"/>
  <c r="J10761" i="3"/>
  <c r="K10761" i="3" s="1"/>
  <c r="H10761" i="3"/>
  <c r="G10761" i="3"/>
  <c r="M10760" i="3"/>
  <c r="L10760" i="3"/>
  <c r="J10760" i="3"/>
  <c r="K10760" i="3" s="1"/>
  <c r="H10760" i="3"/>
  <c r="G10760" i="3"/>
  <c r="M10759" i="3"/>
  <c r="L10759" i="3"/>
  <c r="J10759" i="3"/>
  <c r="K10759" i="3" s="1"/>
  <c r="H10759" i="3"/>
  <c r="G10759" i="3"/>
  <c r="M10758" i="3"/>
  <c r="L10758" i="3"/>
  <c r="J10758" i="3"/>
  <c r="K10758" i="3" s="1"/>
  <c r="H10758" i="3"/>
  <c r="G10758" i="3"/>
  <c r="M10757" i="3"/>
  <c r="L10757" i="3"/>
  <c r="J10757" i="3"/>
  <c r="K10757" i="3" s="1"/>
  <c r="H10757" i="3"/>
  <c r="G10757" i="3"/>
  <c r="M10756" i="3"/>
  <c r="L10756" i="3"/>
  <c r="J10756" i="3"/>
  <c r="K10756" i="3" s="1"/>
  <c r="H10756" i="3"/>
  <c r="G10756" i="3"/>
  <c r="M10755" i="3"/>
  <c r="L10755" i="3"/>
  <c r="J10755" i="3"/>
  <c r="K10755" i="3" s="1"/>
  <c r="H10755" i="3"/>
  <c r="G10755" i="3"/>
  <c r="M10754" i="3"/>
  <c r="L10754" i="3"/>
  <c r="J10754" i="3"/>
  <c r="K10754" i="3" s="1"/>
  <c r="H10754" i="3"/>
  <c r="G10754" i="3"/>
  <c r="F450" i="1"/>
  <c r="M444" i="1"/>
  <c r="M445" i="1"/>
  <c r="M446" i="1"/>
  <c r="M447" i="1"/>
  <c r="M448" i="1"/>
  <c r="M10753" i="3"/>
  <c r="L10753" i="3"/>
  <c r="J10753" i="3"/>
  <c r="K10753" i="3" s="1"/>
  <c r="H10753" i="3"/>
  <c r="G10753" i="3"/>
  <c r="M10752" i="3"/>
  <c r="L10752" i="3"/>
  <c r="J10752" i="3"/>
  <c r="K10752" i="3" s="1"/>
  <c r="H10752" i="3"/>
  <c r="G10752" i="3"/>
  <c r="M10751" i="3"/>
  <c r="L10751" i="3"/>
  <c r="J10751" i="3"/>
  <c r="K10751" i="3" s="1"/>
  <c r="H10751" i="3"/>
  <c r="G10751" i="3"/>
  <c r="M10750" i="3"/>
  <c r="L10750" i="3"/>
  <c r="J10750" i="3"/>
  <c r="K10750" i="3" s="1"/>
  <c r="H10750" i="3"/>
  <c r="G10750" i="3"/>
  <c r="M10749" i="3"/>
  <c r="L10749" i="3"/>
  <c r="J10749" i="3"/>
  <c r="K10749" i="3" s="1"/>
  <c r="H10749" i="3"/>
  <c r="G10749" i="3"/>
  <c r="M10748" i="3"/>
  <c r="L10748" i="3"/>
  <c r="J10748" i="3"/>
  <c r="K10748" i="3" s="1"/>
  <c r="H10748" i="3"/>
  <c r="G10748" i="3"/>
  <c r="M10747" i="3"/>
  <c r="L10747" i="3"/>
  <c r="J10747" i="3"/>
  <c r="K10747" i="3" s="1"/>
  <c r="H10747" i="3"/>
  <c r="G10747" i="3"/>
  <c r="M10746" i="3"/>
  <c r="L10746" i="3"/>
  <c r="J10746" i="3"/>
  <c r="K10746" i="3" s="1"/>
  <c r="H10746" i="3"/>
  <c r="G10746" i="3"/>
  <c r="M10745" i="3"/>
  <c r="L10745" i="3"/>
  <c r="J10745" i="3"/>
  <c r="K10745" i="3" s="1"/>
  <c r="H10745" i="3"/>
  <c r="G10745" i="3"/>
  <c r="M10744" i="3"/>
  <c r="L10744" i="3"/>
  <c r="J10744" i="3"/>
  <c r="K10744" i="3" s="1"/>
  <c r="H10744" i="3"/>
  <c r="G10744" i="3"/>
  <c r="M10743" i="3"/>
  <c r="L10743" i="3"/>
  <c r="J10743" i="3"/>
  <c r="K10743" i="3" s="1"/>
  <c r="H10743" i="3"/>
  <c r="G10743" i="3"/>
  <c r="M10742" i="3"/>
  <c r="L10742" i="3"/>
  <c r="J10742" i="3"/>
  <c r="K10742" i="3" s="1"/>
  <c r="H10742" i="3"/>
  <c r="G10742" i="3"/>
  <c r="M10741" i="3"/>
  <c r="L10741" i="3"/>
  <c r="J10741" i="3"/>
  <c r="K10741" i="3" s="1"/>
  <c r="H10741" i="3"/>
  <c r="G10741" i="3"/>
  <c r="M10740" i="3"/>
  <c r="L10740" i="3"/>
  <c r="J10740" i="3"/>
  <c r="K10740" i="3" s="1"/>
  <c r="H10740" i="3"/>
  <c r="G10740" i="3"/>
  <c r="M10739" i="3"/>
  <c r="L10739" i="3"/>
  <c r="J10739" i="3"/>
  <c r="K10739" i="3" s="1"/>
  <c r="H10739" i="3"/>
  <c r="G10739" i="3"/>
  <c r="M10738" i="3"/>
  <c r="L10738" i="3"/>
  <c r="J10738" i="3"/>
  <c r="K10738" i="3" s="1"/>
  <c r="H10738" i="3"/>
  <c r="G10738" i="3"/>
  <c r="M10737" i="3"/>
  <c r="L10737" i="3"/>
  <c r="J10737" i="3"/>
  <c r="K10737" i="3" s="1"/>
  <c r="H10737" i="3"/>
  <c r="G10737" i="3"/>
  <c r="M10736" i="3"/>
  <c r="L10736" i="3"/>
  <c r="J10736" i="3"/>
  <c r="K10736" i="3" s="1"/>
  <c r="H10736" i="3"/>
  <c r="G10736" i="3"/>
  <c r="M10735" i="3"/>
  <c r="L10735" i="3"/>
  <c r="J10735" i="3"/>
  <c r="K10735" i="3" s="1"/>
  <c r="H10735" i="3"/>
  <c r="G10735" i="3"/>
  <c r="M10734" i="3"/>
  <c r="L10734" i="3"/>
  <c r="J10734" i="3"/>
  <c r="K10734" i="3" s="1"/>
  <c r="H10734" i="3"/>
  <c r="G10734" i="3"/>
  <c r="M10733" i="3"/>
  <c r="L10733" i="3"/>
  <c r="J10733" i="3"/>
  <c r="K10733" i="3" s="1"/>
  <c r="H10733" i="3"/>
  <c r="G10733" i="3"/>
  <c r="M10732" i="3"/>
  <c r="L10732" i="3"/>
  <c r="J10732" i="3"/>
  <c r="K10732" i="3" s="1"/>
  <c r="H10732" i="3"/>
  <c r="G10732" i="3"/>
  <c r="M10731" i="3"/>
  <c r="L10731" i="3"/>
  <c r="J10731" i="3"/>
  <c r="K10731" i="3" s="1"/>
  <c r="H10731" i="3"/>
  <c r="G10731" i="3"/>
  <c r="I10731" i="3" s="1"/>
  <c r="M10730" i="3"/>
  <c r="L10730" i="3"/>
  <c r="J10730" i="3"/>
  <c r="K10730" i="3" s="1"/>
  <c r="H10730" i="3"/>
  <c r="G10730" i="3"/>
  <c r="S449" i="1"/>
  <c r="F449" i="1"/>
  <c r="M10729" i="3"/>
  <c r="L10729" i="3"/>
  <c r="J10729" i="3"/>
  <c r="K10729" i="3" s="1"/>
  <c r="H10729" i="3"/>
  <c r="G10729" i="3"/>
  <c r="M10728" i="3"/>
  <c r="L10728" i="3"/>
  <c r="J10728" i="3"/>
  <c r="K10728" i="3" s="1"/>
  <c r="H10728" i="3"/>
  <c r="G10728" i="3"/>
  <c r="M10727" i="3"/>
  <c r="L10727" i="3"/>
  <c r="J10727" i="3"/>
  <c r="K10727" i="3" s="1"/>
  <c r="H10727" i="3"/>
  <c r="G10727" i="3"/>
  <c r="M10726" i="3"/>
  <c r="L10726" i="3"/>
  <c r="J10726" i="3"/>
  <c r="K10726" i="3" s="1"/>
  <c r="H10726" i="3"/>
  <c r="G10726" i="3"/>
  <c r="M10725" i="3"/>
  <c r="L10725" i="3"/>
  <c r="J10725" i="3"/>
  <c r="K10725" i="3" s="1"/>
  <c r="H10725" i="3"/>
  <c r="G10725" i="3"/>
  <c r="M10724" i="3"/>
  <c r="L10724" i="3"/>
  <c r="J10724" i="3"/>
  <c r="K10724" i="3" s="1"/>
  <c r="H10724" i="3"/>
  <c r="G10724" i="3"/>
  <c r="M10723" i="3"/>
  <c r="L10723" i="3"/>
  <c r="J10723" i="3"/>
  <c r="K10723" i="3" s="1"/>
  <c r="H10723" i="3"/>
  <c r="G10723" i="3"/>
  <c r="M10722" i="3"/>
  <c r="L10722" i="3"/>
  <c r="J10722" i="3"/>
  <c r="K10722" i="3" s="1"/>
  <c r="H10722" i="3"/>
  <c r="G10722" i="3"/>
  <c r="M10721" i="3"/>
  <c r="L10721" i="3"/>
  <c r="J10721" i="3"/>
  <c r="K10721" i="3" s="1"/>
  <c r="H10721" i="3"/>
  <c r="G10721" i="3"/>
  <c r="M10720" i="3"/>
  <c r="L10720" i="3"/>
  <c r="J10720" i="3"/>
  <c r="K10720" i="3" s="1"/>
  <c r="H10720" i="3"/>
  <c r="G10720" i="3"/>
  <c r="M10719" i="3"/>
  <c r="L10719" i="3"/>
  <c r="J10719" i="3"/>
  <c r="K10719" i="3" s="1"/>
  <c r="H10719" i="3"/>
  <c r="G10719" i="3"/>
  <c r="M10718" i="3"/>
  <c r="L10718" i="3"/>
  <c r="J10718" i="3"/>
  <c r="K10718" i="3" s="1"/>
  <c r="H10718" i="3"/>
  <c r="G10718" i="3"/>
  <c r="M10717" i="3"/>
  <c r="L10717" i="3"/>
  <c r="J10717" i="3"/>
  <c r="K10717" i="3" s="1"/>
  <c r="H10717" i="3"/>
  <c r="G10717" i="3"/>
  <c r="M10716" i="3"/>
  <c r="L10716" i="3"/>
  <c r="J10716" i="3"/>
  <c r="K10716" i="3" s="1"/>
  <c r="H10716" i="3"/>
  <c r="G10716" i="3"/>
  <c r="M10715" i="3"/>
  <c r="L10715" i="3"/>
  <c r="J10715" i="3"/>
  <c r="K10715" i="3" s="1"/>
  <c r="H10715" i="3"/>
  <c r="G10715" i="3"/>
  <c r="M10714" i="3"/>
  <c r="L10714" i="3"/>
  <c r="J10714" i="3"/>
  <c r="K10714" i="3" s="1"/>
  <c r="H10714" i="3"/>
  <c r="G10714" i="3"/>
  <c r="M10713" i="3"/>
  <c r="L10713" i="3"/>
  <c r="J10713" i="3"/>
  <c r="K10713" i="3" s="1"/>
  <c r="H10713" i="3"/>
  <c r="G10713" i="3"/>
  <c r="M10712" i="3"/>
  <c r="L10712" i="3"/>
  <c r="J10712" i="3"/>
  <c r="K10712" i="3" s="1"/>
  <c r="H10712" i="3"/>
  <c r="G10712" i="3"/>
  <c r="M10711" i="3"/>
  <c r="L10711" i="3"/>
  <c r="J10711" i="3"/>
  <c r="K10711" i="3" s="1"/>
  <c r="H10711" i="3"/>
  <c r="G10711" i="3"/>
  <c r="M10710" i="3"/>
  <c r="L10710" i="3"/>
  <c r="J10710" i="3"/>
  <c r="K10710" i="3" s="1"/>
  <c r="H10710" i="3"/>
  <c r="G10710" i="3"/>
  <c r="M10709" i="3"/>
  <c r="L10709" i="3"/>
  <c r="J10709" i="3"/>
  <c r="K10709" i="3" s="1"/>
  <c r="H10709" i="3"/>
  <c r="G10709" i="3"/>
  <c r="M10708" i="3"/>
  <c r="L10708" i="3"/>
  <c r="J10708" i="3"/>
  <c r="K10708" i="3" s="1"/>
  <c r="H10708" i="3"/>
  <c r="G10708" i="3"/>
  <c r="M10707" i="3"/>
  <c r="L10707" i="3"/>
  <c r="J10707" i="3"/>
  <c r="K10707" i="3" s="1"/>
  <c r="H10707" i="3"/>
  <c r="G10707" i="3"/>
  <c r="M10706" i="3"/>
  <c r="L10706" i="3"/>
  <c r="J10706" i="3"/>
  <c r="K10706" i="3" s="1"/>
  <c r="H10706" i="3"/>
  <c r="G10706" i="3"/>
  <c r="S448" i="1"/>
  <c r="F448" i="1"/>
  <c r="M10705" i="3"/>
  <c r="L10705" i="3"/>
  <c r="J10705" i="3"/>
  <c r="K10705" i="3" s="1"/>
  <c r="H10705" i="3"/>
  <c r="G10705" i="3"/>
  <c r="M10704" i="3"/>
  <c r="L10704" i="3"/>
  <c r="J10704" i="3"/>
  <c r="K10704" i="3" s="1"/>
  <c r="H10704" i="3"/>
  <c r="G10704" i="3"/>
  <c r="M10703" i="3"/>
  <c r="L10703" i="3"/>
  <c r="J10703" i="3"/>
  <c r="K10703" i="3" s="1"/>
  <c r="H10703" i="3"/>
  <c r="G10703" i="3"/>
  <c r="M10702" i="3"/>
  <c r="L10702" i="3"/>
  <c r="J10702" i="3"/>
  <c r="K10702" i="3" s="1"/>
  <c r="H10702" i="3"/>
  <c r="G10702" i="3"/>
  <c r="M10701" i="3"/>
  <c r="L10701" i="3"/>
  <c r="J10701" i="3"/>
  <c r="K10701" i="3" s="1"/>
  <c r="H10701" i="3"/>
  <c r="G10701" i="3"/>
  <c r="M10700" i="3"/>
  <c r="L10700" i="3"/>
  <c r="J10700" i="3"/>
  <c r="K10700" i="3" s="1"/>
  <c r="H10700" i="3"/>
  <c r="G10700" i="3"/>
  <c r="M10699" i="3"/>
  <c r="L10699" i="3"/>
  <c r="J10699" i="3"/>
  <c r="K10699" i="3" s="1"/>
  <c r="H10699" i="3"/>
  <c r="G10699" i="3"/>
  <c r="M10698" i="3"/>
  <c r="L10698" i="3"/>
  <c r="J10698" i="3"/>
  <c r="K10698" i="3" s="1"/>
  <c r="H10698" i="3"/>
  <c r="G10698" i="3"/>
  <c r="M10697" i="3"/>
  <c r="L10697" i="3"/>
  <c r="J10697" i="3"/>
  <c r="K10697" i="3" s="1"/>
  <c r="H10697" i="3"/>
  <c r="G10697" i="3"/>
  <c r="M10696" i="3"/>
  <c r="L10696" i="3"/>
  <c r="J10696" i="3"/>
  <c r="K10696" i="3" s="1"/>
  <c r="H10696" i="3"/>
  <c r="G10696" i="3"/>
  <c r="M10695" i="3"/>
  <c r="L10695" i="3"/>
  <c r="J10695" i="3"/>
  <c r="K10695" i="3" s="1"/>
  <c r="H10695" i="3"/>
  <c r="G10695" i="3"/>
  <c r="M10694" i="3"/>
  <c r="L10694" i="3"/>
  <c r="J10694" i="3"/>
  <c r="K10694" i="3" s="1"/>
  <c r="H10694" i="3"/>
  <c r="G10694" i="3"/>
  <c r="M10693" i="3"/>
  <c r="L10693" i="3"/>
  <c r="J10693" i="3"/>
  <c r="K10693" i="3" s="1"/>
  <c r="H10693" i="3"/>
  <c r="G10693" i="3"/>
  <c r="M10692" i="3"/>
  <c r="L10692" i="3"/>
  <c r="J10692" i="3"/>
  <c r="K10692" i="3" s="1"/>
  <c r="H10692" i="3"/>
  <c r="G10692" i="3"/>
  <c r="M10691" i="3"/>
  <c r="L10691" i="3"/>
  <c r="J10691" i="3"/>
  <c r="K10691" i="3" s="1"/>
  <c r="H10691" i="3"/>
  <c r="G10691" i="3"/>
  <c r="M10690" i="3"/>
  <c r="L10690" i="3"/>
  <c r="J10690" i="3"/>
  <c r="K10690" i="3" s="1"/>
  <c r="H10690" i="3"/>
  <c r="G10690" i="3"/>
  <c r="M10689" i="3"/>
  <c r="L10689" i="3"/>
  <c r="J10689" i="3"/>
  <c r="K10689" i="3" s="1"/>
  <c r="H10689" i="3"/>
  <c r="G10689" i="3"/>
  <c r="M10688" i="3"/>
  <c r="L10688" i="3"/>
  <c r="J10688" i="3"/>
  <c r="K10688" i="3" s="1"/>
  <c r="H10688" i="3"/>
  <c r="G10688" i="3"/>
  <c r="M10687" i="3"/>
  <c r="L10687" i="3"/>
  <c r="J10687" i="3"/>
  <c r="K10687" i="3" s="1"/>
  <c r="H10687" i="3"/>
  <c r="G10687" i="3"/>
  <c r="M10686" i="3"/>
  <c r="L10686" i="3"/>
  <c r="J10686" i="3"/>
  <c r="K10686" i="3" s="1"/>
  <c r="H10686" i="3"/>
  <c r="G10686" i="3"/>
  <c r="M10685" i="3"/>
  <c r="L10685" i="3"/>
  <c r="J10685" i="3"/>
  <c r="K10685" i="3" s="1"/>
  <c r="H10685" i="3"/>
  <c r="G10685" i="3"/>
  <c r="M10684" i="3"/>
  <c r="L10684" i="3"/>
  <c r="J10684" i="3"/>
  <c r="K10684" i="3" s="1"/>
  <c r="H10684" i="3"/>
  <c r="G10684" i="3"/>
  <c r="M10683" i="3"/>
  <c r="L10683" i="3"/>
  <c r="J10683" i="3"/>
  <c r="K10683" i="3" s="1"/>
  <c r="H10683" i="3"/>
  <c r="G10683" i="3"/>
  <c r="M10682" i="3"/>
  <c r="L10682" i="3"/>
  <c r="J10682" i="3"/>
  <c r="K10682" i="3" s="1"/>
  <c r="H10682" i="3"/>
  <c r="G10682" i="3"/>
  <c r="S447" i="1"/>
  <c r="F447" i="1"/>
  <c r="AC456" i="23" l="1"/>
  <c r="AS453" i="23"/>
  <c r="AJ455" i="23"/>
  <c r="AM462" i="23"/>
  <c r="AH462" i="23"/>
  <c r="AC455" i="23"/>
  <c r="AM458" i="23"/>
  <c r="AH458" i="23"/>
  <c r="AH460" i="23"/>
  <c r="AM460" i="23"/>
  <c r="AJ454" i="23"/>
  <c r="AH461" i="23"/>
  <c r="AM461" i="23"/>
  <c r="AM463" i="23"/>
  <c r="AM459" i="23"/>
  <c r="AH459" i="23"/>
  <c r="K456" i="23"/>
  <c r="AJ456" i="23"/>
  <c r="AH457" i="23"/>
  <c r="AM457" i="23"/>
  <c r="AH453" i="23"/>
  <c r="AM454" i="23"/>
  <c r="AH454" i="23"/>
  <c r="AM455" i="23"/>
  <c r="AH455" i="23"/>
  <c r="AM456" i="23"/>
  <c r="I10734" i="3"/>
  <c r="I10858" i="3"/>
  <c r="I10862" i="3"/>
  <c r="I10834" i="3"/>
  <c r="I10838" i="3"/>
  <c r="I10859" i="3"/>
  <c r="I10876" i="3"/>
  <c r="I10880" i="3"/>
  <c r="I10884" i="3"/>
  <c r="I10888" i="3"/>
  <c r="I10868" i="3"/>
  <c r="I10872" i="3"/>
  <c r="I10852" i="3"/>
  <c r="I10855" i="3"/>
  <c r="I10877" i="3"/>
  <c r="I10900" i="3"/>
  <c r="I10904" i="3"/>
  <c r="I10908" i="3"/>
  <c r="I10839" i="3"/>
  <c r="I10843" i="3"/>
  <c r="I10847" i="3"/>
  <c r="I10866" i="3"/>
  <c r="I10870" i="3"/>
  <c r="I10882" i="3"/>
  <c r="I10886" i="3"/>
  <c r="I10857" i="3"/>
  <c r="I10863" i="3"/>
  <c r="I10871" i="3"/>
  <c r="I10875" i="3"/>
  <c r="I10878" i="3"/>
  <c r="I10879" i="3"/>
  <c r="I10887" i="3"/>
  <c r="I10890" i="3"/>
  <c r="I10893" i="3"/>
  <c r="I10898" i="3"/>
  <c r="I10902" i="3"/>
  <c r="I10906" i="3"/>
  <c r="I10910" i="3"/>
  <c r="I10914" i="3"/>
  <c r="I10918" i="3"/>
  <c r="I10817" i="3"/>
  <c r="I10826" i="3"/>
  <c r="I10828" i="3"/>
  <c r="I10830" i="3"/>
  <c r="I10832" i="3"/>
  <c r="I10850" i="3"/>
  <c r="I10856" i="3"/>
  <c r="I10860" i="3"/>
  <c r="I10867" i="3"/>
  <c r="I10869" i="3"/>
  <c r="I10883" i="3"/>
  <c r="I10894" i="3"/>
  <c r="I10895" i="3"/>
  <c r="I10851" i="3"/>
  <c r="I10853" i="3"/>
  <c r="I10864" i="3"/>
  <c r="I10896" i="3"/>
  <c r="I10899" i="3"/>
  <c r="I10901" i="3"/>
  <c r="I10903" i="3"/>
  <c r="I10905" i="3"/>
  <c r="I10907" i="3"/>
  <c r="I10909" i="3"/>
  <c r="I10911" i="3"/>
  <c r="I10913" i="3"/>
  <c r="I10915" i="3"/>
  <c r="I10917" i="3"/>
  <c r="I10919" i="3"/>
  <c r="I10921" i="3"/>
  <c r="F63" i="5"/>
  <c r="F66" i="5"/>
  <c r="F62" i="5"/>
  <c r="F64" i="5"/>
  <c r="F169" i="5"/>
  <c r="I10891" i="3"/>
  <c r="I10897" i="3"/>
  <c r="I10874" i="3"/>
  <c r="I10881" i="3"/>
  <c r="I10885" i="3"/>
  <c r="I10889" i="3"/>
  <c r="I10892" i="3"/>
  <c r="I10873" i="3"/>
  <c r="AE453" i="23"/>
  <c r="AI453" i="23" s="1"/>
  <c r="I10840" i="3"/>
  <c r="I10842" i="3"/>
  <c r="I10844" i="3"/>
  <c r="I10846" i="3"/>
  <c r="I10848" i="3"/>
  <c r="I10827" i="3"/>
  <c r="I10829" i="3"/>
  <c r="I10831" i="3"/>
  <c r="I10833" i="3"/>
  <c r="I10835" i="3"/>
  <c r="I10837" i="3"/>
  <c r="I10809" i="3"/>
  <c r="I10777" i="3"/>
  <c r="I10755" i="3"/>
  <c r="I10759" i="3"/>
  <c r="I10763" i="3"/>
  <c r="I10767" i="3"/>
  <c r="I10771" i="3"/>
  <c r="I10775" i="3"/>
  <c r="I10780" i="3"/>
  <c r="I10792" i="3"/>
  <c r="I10796" i="3"/>
  <c r="I10739" i="3"/>
  <c r="I10742" i="3"/>
  <c r="I10753" i="3"/>
  <c r="I10825" i="3"/>
  <c r="I10735" i="3"/>
  <c r="I10756" i="3"/>
  <c r="I10760" i="3"/>
  <c r="I10764" i="3"/>
  <c r="I10768" i="3"/>
  <c r="I10772" i="3"/>
  <c r="I10776" i="3"/>
  <c r="I10789" i="3"/>
  <c r="I10807" i="3"/>
  <c r="I10815" i="3"/>
  <c r="I10823" i="3"/>
  <c r="I10738" i="3"/>
  <c r="I10744" i="3"/>
  <c r="I10747" i="3"/>
  <c r="I10757" i="3"/>
  <c r="I10761" i="3"/>
  <c r="I10765" i="3"/>
  <c r="I10769" i="3"/>
  <c r="I10773" i="3"/>
  <c r="I10786" i="3"/>
  <c r="I10790" i="3"/>
  <c r="I10805" i="3"/>
  <c r="I10813" i="3"/>
  <c r="I10821" i="3"/>
  <c r="I10698" i="3"/>
  <c r="I10730" i="3"/>
  <c r="I10736" i="3"/>
  <c r="I10754" i="3"/>
  <c r="I10758" i="3"/>
  <c r="I10762" i="3"/>
  <c r="I10766" i="3"/>
  <c r="I10770" i="3"/>
  <c r="I10774" i="3"/>
  <c r="I10783" i="3"/>
  <c r="I10791" i="3"/>
  <c r="I10795" i="3"/>
  <c r="I10799" i="3"/>
  <c r="I10803" i="3"/>
  <c r="I10811" i="3"/>
  <c r="I10819" i="3"/>
  <c r="I10804" i="3"/>
  <c r="I10808" i="3"/>
  <c r="I10812" i="3"/>
  <c r="I10816" i="3"/>
  <c r="I10820" i="3"/>
  <c r="I10824" i="3"/>
  <c r="I10802" i="3"/>
  <c r="I10806" i="3"/>
  <c r="I10810" i="3"/>
  <c r="I10814" i="3"/>
  <c r="I10818" i="3"/>
  <c r="I10822" i="3"/>
  <c r="I10778" i="3"/>
  <c r="I10781" i="3"/>
  <c r="I10784" i="3"/>
  <c r="I10787" i="3"/>
  <c r="I10793" i="3"/>
  <c r="I10797" i="3"/>
  <c r="I10800" i="3"/>
  <c r="I10779" i="3"/>
  <c r="I10782" i="3"/>
  <c r="I10785" i="3"/>
  <c r="I10788" i="3"/>
  <c r="I10794" i="3"/>
  <c r="I10798" i="3"/>
  <c r="I10801" i="3"/>
  <c r="I10732" i="3"/>
  <c r="I10693" i="3"/>
  <c r="I10700" i="3"/>
  <c r="I10743" i="3"/>
  <c r="I10749" i="3"/>
  <c r="I10740" i="3"/>
  <c r="I10751" i="3"/>
  <c r="I10746" i="3"/>
  <c r="I10750" i="3"/>
  <c r="I10733" i="3"/>
  <c r="I10737" i="3"/>
  <c r="I10741" i="3"/>
  <c r="I10745" i="3"/>
  <c r="I10748" i="3"/>
  <c r="I10752" i="3"/>
  <c r="I10692" i="3"/>
  <c r="I10701" i="3"/>
  <c r="I10684" i="3"/>
  <c r="I10687" i="3"/>
  <c r="I10697" i="3"/>
  <c r="I10702" i="3"/>
  <c r="I10694" i="3"/>
  <c r="I10696" i="3"/>
  <c r="I10683" i="3"/>
  <c r="I10688" i="3"/>
  <c r="I10691" i="3"/>
  <c r="I10695" i="3"/>
  <c r="I10699" i="3"/>
  <c r="I10703" i="3"/>
  <c r="I10706" i="3"/>
  <c r="I10708" i="3"/>
  <c r="I10710" i="3"/>
  <c r="I10712" i="3"/>
  <c r="I10714" i="3"/>
  <c r="I10716" i="3"/>
  <c r="I10718" i="3"/>
  <c r="I10720" i="3"/>
  <c r="I10722" i="3"/>
  <c r="I10724" i="3"/>
  <c r="I10726" i="3"/>
  <c r="I10728" i="3"/>
  <c r="I10707" i="3"/>
  <c r="I10709" i="3"/>
  <c r="I10711" i="3"/>
  <c r="I10713" i="3"/>
  <c r="I10715" i="3"/>
  <c r="I10717" i="3"/>
  <c r="I10719" i="3"/>
  <c r="I10721" i="3"/>
  <c r="I10723" i="3"/>
  <c r="I10725" i="3"/>
  <c r="I10727" i="3"/>
  <c r="I10729" i="3"/>
  <c r="I10686" i="3"/>
  <c r="I10690" i="3"/>
  <c r="I10685" i="3"/>
  <c r="I10689" i="3"/>
  <c r="I10705" i="3"/>
  <c r="I10682" i="3"/>
  <c r="I10704" i="3"/>
  <c r="K457" i="23" l="1"/>
  <c r="S446" i="1"/>
  <c r="F446" i="1"/>
  <c r="M10681" i="3"/>
  <c r="L10681" i="3"/>
  <c r="J10681" i="3"/>
  <c r="K10681" i="3" s="1"/>
  <c r="H10681" i="3"/>
  <c r="G10681" i="3"/>
  <c r="M10680" i="3"/>
  <c r="L10680" i="3"/>
  <c r="J10680" i="3"/>
  <c r="K10680" i="3" s="1"/>
  <c r="H10680" i="3"/>
  <c r="G10680" i="3"/>
  <c r="M10679" i="3"/>
  <c r="L10679" i="3"/>
  <c r="J10679" i="3"/>
  <c r="K10679" i="3" s="1"/>
  <c r="H10679" i="3"/>
  <c r="G10679" i="3"/>
  <c r="M10678" i="3"/>
  <c r="L10678" i="3"/>
  <c r="J10678" i="3"/>
  <c r="K10678" i="3" s="1"/>
  <c r="H10678" i="3"/>
  <c r="G10678" i="3"/>
  <c r="M10677" i="3"/>
  <c r="L10677" i="3"/>
  <c r="J10677" i="3"/>
  <c r="K10677" i="3" s="1"/>
  <c r="H10677" i="3"/>
  <c r="G10677" i="3"/>
  <c r="M10676" i="3"/>
  <c r="L10676" i="3"/>
  <c r="J10676" i="3"/>
  <c r="K10676" i="3" s="1"/>
  <c r="H10676" i="3"/>
  <c r="G10676" i="3"/>
  <c r="M10675" i="3"/>
  <c r="L10675" i="3"/>
  <c r="J10675" i="3"/>
  <c r="K10675" i="3" s="1"/>
  <c r="H10675" i="3"/>
  <c r="G10675" i="3"/>
  <c r="M10674" i="3"/>
  <c r="L10674" i="3"/>
  <c r="J10674" i="3"/>
  <c r="K10674" i="3" s="1"/>
  <c r="H10674" i="3"/>
  <c r="G10674" i="3"/>
  <c r="M10673" i="3"/>
  <c r="L10673" i="3"/>
  <c r="J10673" i="3"/>
  <c r="K10673" i="3" s="1"/>
  <c r="H10673" i="3"/>
  <c r="G10673" i="3"/>
  <c r="M10672" i="3"/>
  <c r="L10672" i="3"/>
  <c r="J10672" i="3"/>
  <c r="K10672" i="3" s="1"/>
  <c r="H10672" i="3"/>
  <c r="G10672" i="3"/>
  <c r="M10671" i="3"/>
  <c r="L10671" i="3"/>
  <c r="J10671" i="3"/>
  <c r="K10671" i="3" s="1"/>
  <c r="H10671" i="3"/>
  <c r="G10671" i="3"/>
  <c r="M10670" i="3"/>
  <c r="L10670" i="3"/>
  <c r="J10670" i="3"/>
  <c r="K10670" i="3" s="1"/>
  <c r="H10670" i="3"/>
  <c r="G10670" i="3"/>
  <c r="M10669" i="3"/>
  <c r="L10669" i="3"/>
  <c r="J10669" i="3"/>
  <c r="K10669" i="3" s="1"/>
  <c r="H10669" i="3"/>
  <c r="G10669" i="3"/>
  <c r="M10668" i="3"/>
  <c r="L10668" i="3"/>
  <c r="J10668" i="3"/>
  <c r="K10668" i="3" s="1"/>
  <c r="H10668" i="3"/>
  <c r="G10668" i="3"/>
  <c r="M10667" i="3"/>
  <c r="L10667" i="3"/>
  <c r="J10667" i="3"/>
  <c r="K10667" i="3" s="1"/>
  <c r="H10667" i="3"/>
  <c r="G10667" i="3"/>
  <c r="M10666" i="3"/>
  <c r="L10666" i="3"/>
  <c r="J10666" i="3"/>
  <c r="K10666" i="3" s="1"/>
  <c r="H10666" i="3"/>
  <c r="G10666" i="3"/>
  <c r="M10665" i="3"/>
  <c r="L10665" i="3"/>
  <c r="J10665" i="3"/>
  <c r="K10665" i="3" s="1"/>
  <c r="H10665" i="3"/>
  <c r="G10665" i="3"/>
  <c r="M10664" i="3"/>
  <c r="L10664" i="3"/>
  <c r="J10664" i="3"/>
  <c r="K10664" i="3" s="1"/>
  <c r="H10664" i="3"/>
  <c r="G10664" i="3"/>
  <c r="M10663" i="3"/>
  <c r="L10663" i="3"/>
  <c r="J10663" i="3"/>
  <c r="K10663" i="3" s="1"/>
  <c r="H10663" i="3"/>
  <c r="G10663" i="3"/>
  <c r="M10662" i="3"/>
  <c r="L10662" i="3"/>
  <c r="J10662" i="3"/>
  <c r="K10662" i="3" s="1"/>
  <c r="H10662" i="3"/>
  <c r="G10662" i="3"/>
  <c r="M10661" i="3"/>
  <c r="L10661" i="3"/>
  <c r="J10661" i="3"/>
  <c r="K10661" i="3" s="1"/>
  <c r="H10661" i="3"/>
  <c r="G10661" i="3"/>
  <c r="M10660" i="3"/>
  <c r="L10660" i="3"/>
  <c r="J10660" i="3"/>
  <c r="K10660" i="3" s="1"/>
  <c r="H10660" i="3"/>
  <c r="G10660" i="3"/>
  <c r="M10659" i="3"/>
  <c r="L10659" i="3"/>
  <c r="J10659" i="3"/>
  <c r="K10659" i="3" s="1"/>
  <c r="H10659" i="3"/>
  <c r="G10659" i="3"/>
  <c r="M10658" i="3"/>
  <c r="L10658" i="3"/>
  <c r="J10658" i="3"/>
  <c r="K10658" i="3" s="1"/>
  <c r="H10658" i="3"/>
  <c r="G10658" i="3"/>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S444" i="23"/>
  <c r="Y444" i="23"/>
  <c r="Z444" i="23"/>
  <c r="AE451" i="23" s="1"/>
  <c r="AI451" i="23" s="1"/>
  <c r="AA444" i="23"/>
  <c r="AG444" i="23"/>
  <c r="AL444" i="23"/>
  <c r="AN444" i="23"/>
  <c r="AO444" i="23"/>
  <c r="AP444" i="23"/>
  <c r="AT444" i="23"/>
  <c r="S445" i="23"/>
  <c r="Y445" i="23"/>
  <c r="Z445" i="23"/>
  <c r="AA445" i="23"/>
  <c r="AG445" i="23"/>
  <c r="AL445" i="23"/>
  <c r="AN445" i="23"/>
  <c r="AO445" i="23"/>
  <c r="AP445" i="23"/>
  <c r="AT445" i="23"/>
  <c r="F445" i="23"/>
  <c r="F444" i="23"/>
  <c r="S445" i="1"/>
  <c r="F445" i="1"/>
  <c r="M10657" i="3"/>
  <c r="L10657" i="3"/>
  <c r="J10657" i="3"/>
  <c r="K10657" i="3" s="1"/>
  <c r="H10657" i="3"/>
  <c r="G10657" i="3"/>
  <c r="M10656" i="3"/>
  <c r="L10656" i="3"/>
  <c r="J10656" i="3"/>
  <c r="K10656" i="3" s="1"/>
  <c r="H10656" i="3"/>
  <c r="G10656" i="3"/>
  <c r="M10655" i="3"/>
  <c r="L10655" i="3"/>
  <c r="J10655" i="3"/>
  <c r="K10655" i="3" s="1"/>
  <c r="H10655" i="3"/>
  <c r="G10655" i="3"/>
  <c r="M10654" i="3"/>
  <c r="L10654" i="3"/>
  <c r="J10654" i="3"/>
  <c r="K10654" i="3" s="1"/>
  <c r="H10654" i="3"/>
  <c r="G10654" i="3"/>
  <c r="M10653" i="3"/>
  <c r="L10653" i="3"/>
  <c r="J10653" i="3"/>
  <c r="K10653" i="3" s="1"/>
  <c r="H10653" i="3"/>
  <c r="G10653" i="3"/>
  <c r="M10652" i="3"/>
  <c r="L10652" i="3"/>
  <c r="J10652" i="3"/>
  <c r="K10652" i="3" s="1"/>
  <c r="H10652" i="3"/>
  <c r="G10652" i="3"/>
  <c r="M10651" i="3"/>
  <c r="L10651" i="3"/>
  <c r="J10651" i="3"/>
  <c r="K10651" i="3" s="1"/>
  <c r="H10651" i="3"/>
  <c r="G10651" i="3"/>
  <c r="M10650" i="3"/>
  <c r="L10650" i="3"/>
  <c r="J10650" i="3"/>
  <c r="K10650" i="3" s="1"/>
  <c r="H10650" i="3"/>
  <c r="G10650" i="3"/>
  <c r="M10649" i="3"/>
  <c r="L10649" i="3"/>
  <c r="J10649" i="3"/>
  <c r="K10649" i="3" s="1"/>
  <c r="H10649" i="3"/>
  <c r="G10649" i="3"/>
  <c r="M10648" i="3"/>
  <c r="L10648" i="3"/>
  <c r="J10648" i="3"/>
  <c r="K10648" i="3" s="1"/>
  <c r="H10648" i="3"/>
  <c r="G10648" i="3"/>
  <c r="M10647" i="3"/>
  <c r="L10647" i="3"/>
  <c r="J10647" i="3"/>
  <c r="K10647" i="3" s="1"/>
  <c r="H10647" i="3"/>
  <c r="G10647" i="3"/>
  <c r="M10646" i="3"/>
  <c r="L10646" i="3"/>
  <c r="J10646" i="3"/>
  <c r="K10646" i="3" s="1"/>
  <c r="H10646" i="3"/>
  <c r="G10646" i="3"/>
  <c r="M10645" i="3"/>
  <c r="L10645" i="3"/>
  <c r="J10645" i="3"/>
  <c r="K10645" i="3" s="1"/>
  <c r="H10645" i="3"/>
  <c r="G10645" i="3"/>
  <c r="M10644" i="3"/>
  <c r="L10644" i="3"/>
  <c r="J10644" i="3"/>
  <c r="K10644" i="3" s="1"/>
  <c r="H10644" i="3"/>
  <c r="G10644" i="3"/>
  <c r="M10643" i="3"/>
  <c r="L10643" i="3"/>
  <c r="J10643" i="3"/>
  <c r="K10643" i="3" s="1"/>
  <c r="H10643" i="3"/>
  <c r="G10643" i="3"/>
  <c r="M10642" i="3"/>
  <c r="L10642" i="3"/>
  <c r="J10642" i="3"/>
  <c r="K10642" i="3" s="1"/>
  <c r="H10642" i="3"/>
  <c r="G10642" i="3"/>
  <c r="M10641" i="3"/>
  <c r="L10641" i="3"/>
  <c r="J10641" i="3"/>
  <c r="K10641" i="3" s="1"/>
  <c r="H10641" i="3"/>
  <c r="G10641" i="3"/>
  <c r="M10640" i="3"/>
  <c r="L10640" i="3"/>
  <c r="J10640" i="3"/>
  <c r="K10640" i="3" s="1"/>
  <c r="H10640" i="3"/>
  <c r="G10640" i="3"/>
  <c r="M10639" i="3"/>
  <c r="L10639" i="3"/>
  <c r="J10639" i="3"/>
  <c r="K10639" i="3" s="1"/>
  <c r="H10639" i="3"/>
  <c r="G10639" i="3"/>
  <c r="M10638" i="3"/>
  <c r="L10638" i="3"/>
  <c r="J10638" i="3"/>
  <c r="K10638" i="3" s="1"/>
  <c r="H10638" i="3"/>
  <c r="G10638" i="3"/>
  <c r="M10637" i="3"/>
  <c r="L10637" i="3"/>
  <c r="J10637" i="3"/>
  <c r="K10637" i="3" s="1"/>
  <c r="H10637" i="3"/>
  <c r="G10637" i="3"/>
  <c r="M10636" i="3"/>
  <c r="L10636" i="3"/>
  <c r="J10636" i="3"/>
  <c r="K10636" i="3" s="1"/>
  <c r="H10636" i="3"/>
  <c r="G10636" i="3"/>
  <c r="M10635" i="3"/>
  <c r="L10635" i="3"/>
  <c r="J10635" i="3"/>
  <c r="K10635" i="3" s="1"/>
  <c r="H10635" i="3"/>
  <c r="G10635" i="3"/>
  <c r="M10634" i="3"/>
  <c r="L10634" i="3"/>
  <c r="J10634" i="3"/>
  <c r="K10634" i="3" s="1"/>
  <c r="H10634" i="3"/>
  <c r="G10634" i="3"/>
  <c r="P441" i="1"/>
  <c r="N441" i="1"/>
  <c r="N442" i="1"/>
  <c r="P442" i="1"/>
  <c r="N443" i="1"/>
  <c r="P443" i="1"/>
  <c r="M442" i="1"/>
  <c r="M443" i="1"/>
  <c r="M10633" i="3"/>
  <c r="L10633" i="3"/>
  <c r="J10633" i="3"/>
  <c r="K10633" i="3" s="1"/>
  <c r="H10633" i="3"/>
  <c r="G10633" i="3"/>
  <c r="M10632" i="3"/>
  <c r="L10632" i="3"/>
  <c r="J10632" i="3"/>
  <c r="K10632" i="3" s="1"/>
  <c r="H10632" i="3"/>
  <c r="G10632" i="3"/>
  <c r="M10631" i="3"/>
  <c r="L10631" i="3"/>
  <c r="J10631" i="3"/>
  <c r="K10631" i="3" s="1"/>
  <c r="H10631" i="3"/>
  <c r="G10631" i="3"/>
  <c r="M10630" i="3"/>
  <c r="L10630" i="3"/>
  <c r="J10630" i="3"/>
  <c r="K10630" i="3" s="1"/>
  <c r="H10630" i="3"/>
  <c r="G10630" i="3"/>
  <c r="M10629" i="3"/>
  <c r="L10629" i="3"/>
  <c r="J10629" i="3"/>
  <c r="K10629" i="3" s="1"/>
  <c r="H10629" i="3"/>
  <c r="G10629" i="3"/>
  <c r="M10628" i="3"/>
  <c r="L10628" i="3"/>
  <c r="J10628" i="3"/>
  <c r="K10628" i="3" s="1"/>
  <c r="H10628" i="3"/>
  <c r="G10628" i="3"/>
  <c r="M10627" i="3"/>
  <c r="L10627" i="3"/>
  <c r="J10627" i="3"/>
  <c r="K10627" i="3" s="1"/>
  <c r="H10627" i="3"/>
  <c r="G10627" i="3"/>
  <c r="M10626" i="3"/>
  <c r="L10626" i="3"/>
  <c r="J10626" i="3"/>
  <c r="K10626" i="3" s="1"/>
  <c r="H10626" i="3"/>
  <c r="G10626" i="3"/>
  <c r="M10625" i="3"/>
  <c r="L10625" i="3"/>
  <c r="J10625" i="3"/>
  <c r="K10625" i="3" s="1"/>
  <c r="H10625" i="3"/>
  <c r="G10625" i="3"/>
  <c r="M10624" i="3"/>
  <c r="L10624" i="3"/>
  <c r="J10624" i="3"/>
  <c r="K10624" i="3" s="1"/>
  <c r="H10624" i="3"/>
  <c r="G10624" i="3"/>
  <c r="M10623" i="3"/>
  <c r="L10623" i="3"/>
  <c r="J10623" i="3"/>
  <c r="K10623" i="3" s="1"/>
  <c r="H10623" i="3"/>
  <c r="G10623" i="3"/>
  <c r="M10622" i="3"/>
  <c r="L10622" i="3"/>
  <c r="J10622" i="3"/>
  <c r="K10622" i="3" s="1"/>
  <c r="H10622" i="3"/>
  <c r="G10622" i="3"/>
  <c r="M10621" i="3"/>
  <c r="L10621" i="3"/>
  <c r="J10621" i="3"/>
  <c r="K10621" i="3" s="1"/>
  <c r="H10621" i="3"/>
  <c r="G10621" i="3"/>
  <c r="M10620" i="3"/>
  <c r="L10620" i="3"/>
  <c r="J10620" i="3"/>
  <c r="K10620" i="3" s="1"/>
  <c r="H10620" i="3"/>
  <c r="G10620" i="3"/>
  <c r="M10619" i="3"/>
  <c r="L10619" i="3"/>
  <c r="J10619" i="3"/>
  <c r="K10619" i="3" s="1"/>
  <c r="H10619" i="3"/>
  <c r="G10619" i="3"/>
  <c r="M10618" i="3"/>
  <c r="L10618" i="3"/>
  <c r="J10618" i="3"/>
  <c r="K10618" i="3" s="1"/>
  <c r="H10618" i="3"/>
  <c r="G10618" i="3"/>
  <c r="M10617" i="3"/>
  <c r="L10617" i="3"/>
  <c r="J10617" i="3"/>
  <c r="K10617" i="3" s="1"/>
  <c r="H10617" i="3"/>
  <c r="G10617" i="3"/>
  <c r="M10616" i="3"/>
  <c r="L10616" i="3"/>
  <c r="J10616" i="3"/>
  <c r="K10616" i="3" s="1"/>
  <c r="H10616" i="3"/>
  <c r="G10616" i="3"/>
  <c r="M10615" i="3"/>
  <c r="L10615" i="3"/>
  <c r="J10615" i="3"/>
  <c r="K10615" i="3" s="1"/>
  <c r="H10615" i="3"/>
  <c r="G10615" i="3"/>
  <c r="M10614" i="3"/>
  <c r="L10614" i="3"/>
  <c r="J10614" i="3"/>
  <c r="K10614" i="3" s="1"/>
  <c r="H10614" i="3"/>
  <c r="G10614" i="3"/>
  <c r="M10613" i="3"/>
  <c r="L10613" i="3"/>
  <c r="J10613" i="3"/>
  <c r="K10613" i="3" s="1"/>
  <c r="H10613" i="3"/>
  <c r="G10613" i="3"/>
  <c r="M10612" i="3"/>
  <c r="L10612" i="3"/>
  <c r="J10612" i="3"/>
  <c r="K10612" i="3" s="1"/>
  <c r="H10612" i="3"/>
  <c r="G10612" i="3"/>
  <c r="M10611" i="3"/>
  <c r="L10611" i="3"/>
  <c r="J10611" i="3"/>
  <c r="K10611" i="3" s="1"/>
  <c r="H10611" i="3"/>
  <c r="G10611" i="3"/>
  <c r="M10610" i="3"/>
  <c r="L10610" i="3"/>
  <c r="J10610" i="3"/>
  <c r="K10610" i="3" s="1"/>
  <c r="H10610" i="3"/>
  <c r="G10610" i="3"/>
  <c r="S444" i="1"/>
  <c r="F444" i="1"/>
  <c r="AB4" i="12"/>
  <c r="AB3" i="12"/>
  <c r="AM3" i="12"/>
  <c r="AM4" i="12"/>
  <c r="AM5" i="12"/>
  <c r="AM6" i="12"/>
  <c r="AM7" i="12"/>
  <c r="AM8" i="12"/>
  <c r="AM9" i="12"/>
  <c r="AM10" i="12"/>
  <c r="AM11" i="12"/>
  <c r="AM12" i="12"/>
  <c r="AM13" i="12"/>
  <c r="AM14" i="12"/>
  <c r="AM15" i="12"/>
  <c r="AM16" i="12"/>
  <c r="AM17" i="12"/>
  <c r="AM18" i="12"/>
  <c r="AM19" i="12"/>
  <c r="AM20" i="12"/>
  <c r="AM21" i="12"/>
  <c r="AM22" i="12"/>
  <c r="AM23" i="12"/>
  <c r="AM24" i="12"/>
  <c r="AM25" i="12"/>
  <c r="AM26" i="12"/>
  <c r="AG443" i="23"/>
  <c r="AL443" i="23"/>
  <c r="AN443" i="23"/>
  <c r="AO443" i="23"/>
  <c r="AP443" i="23"/>
  <c r="AT443" i="23"/>
  <c r="S443" i="23"/>
  <c r="Y443" i="23"/>
  <c r="Z443" i="23"/>
  <c r="AE450" i="23" s="1"/>
  <c r="AI450" i="23" s="1"/>
  <c r="F443" i="23"/>
  <c r="K458" i="23" l="1"/>
  <c r="AE452" i="23"/>
  <c r="AI452" i="23" s="1"/>
  <c r="AS451" i="23"/>
  <c r="AM451" i="23"/>
  <c r="AH451" i="23"/>
  <c r="AH452" i="23"/>
  <c r="AM452" i="23"/>
  <c r="AS452" i="23"/>
  <c r="I10646" i="3"/>
  <c r="I10648" i="3"/>
  <c r="I10652" i="3"/>
  <c r="I10658" i="3"/>
  <c r="I10613" i="3"/>
  <c r="I10617" i="3"/>
  <c r="I10621" i="3"/>
  <c r="I10625" i="3"/>
  <c r="I10647" i="3"/>
  <c r="I10678" i="3"/>
  <c r="I10664" i="3"/>
  <c r="I10671" i="3"/>
  <c r="I10675" i="3"/>
  <c r="I10679" i="3"/>
  <c r="I10655" i="3"/>
  <c r="I10672" i="3"/>
  <c r="I10645" i="3"/>
  <c r="I10649" i="3"/>
  <c r="I10662" i="3"/>
  <c r="I10666" i="3"/>
  <c r="I10680" i="3"/>
  <c r="I10611" i="3"/>
  <c r="I10615" i="3"/>
  <c r="I10619" i="3"/>
  <c r="I10623" i="3"/>
  <c r="I10627" i="3"/>
  <c r="I10650" i="3"/>
  <c r="I10654" i="3"/>
  <c r="I10667" i="3"/>
  <c r="I10670" i="3"/>
  <c r="I10674" i="3"/>
  <c r="I10657" i="3"/>
  <c r="I10610" i="3"/>
  <c r="I10612" i="3"/>
  <c r="I10614" i="3"/>
  <c r="I10616" i="3"/>
  <c r="I10618" i="3"/>
  <c r="I10635" i="3"/>
  <c r="I10637" i="3"/>
  <c r="I10639" i="3"/>
  <c r="I10641" i="3"/>
  <c r="I10643" i="3"/>
  <c r="I10656" i="3"/>
  <c r="I10628" i="3"/>
  <c r="I10630" i="3"/>
  <c r="I10632" i="3"/>
  <c r="I10644" i="3"/>
  <c r="I10651" i="3"/>
  <c r="I10653" i="3"/>
  <c r="I10660" i="3"/>
  <c r="I10668" i="3"/>
  <c r="I10676" i="3"/>
  <c r="I10659" i="3"/>
  <c r="I10663" i="3"/>
  <c r="I10661" i="3"/>
  <c r="I10665" i="3"/>
  <c r="I10669" i="3"/>
  <c r="I10673" i="3"/>
  <c r="I10677" i="3"/>
  <c r="I10681" i="3"/>
  <c r="I10634" i="3"/>
  <c r="I10636" i="3"/>
  <c r="I10638" i="3"/>
  <c r="I10640" i="3"/>
  <c r="I10642" i="3"/>
  <c r="I10620" i="3"/>
  <c r="I10622" i="3"/>
  <c r="I10624" i="3"/>
  <c r="I10626" i="3"/>
  <c r="I10629" i="3"/>
  <c r="I10631" i="3"/>
  <c r="I10633" i="3"/>
  <c r="K459" i="23" l="1"/>
  <c r="S443" i="1"/>
  <c r="F443" i="1"/>
  <c r="M10609" i="3"/>
  <c r="L10609" i="3"/>
  <c r="J10609" i="3"/>
  <c r="K10609" i="3" s="1"/>
  <c r="H10609" i="3"/>
  <c r="G10609" i="3"/>
  <c r="M10608" i="3"/>
  <c r="L10608" i="3"/>
  <c r="J10608" i="3"/>
  <c r="K10608" i="3" s="1"/>
  <c r="H10608" i="3"/>
  <c r="G10608" i="3"/>
  <c r="M10607" i="3"/>
  <c r="L10607" i="3"/>
  <c r="J10607" i="3"/>
  <c r="K10607" i="3" s="1"/>
  <c r="H10607" i="3"/>
  <c r="G10607" i="3"/>
  <c r="M10606" i="3"/>
  <c r="L10606" i="3"/>
  <c r="J10606" i="3"/>
  <c r="K10606" i="3" s="1"/>
  <c r="H10606" i="3"/>
  <c r="G10606" i="3"/>
  <c r="M10605" i="3"/>
  <c r="L10605" i="3"/>
  <c r="J10605" i="3"/>
  <c r="K10605" i="3" s="1"/>
  <c r="H10605" i="3"/>
  <c r="G10605" i="3"/>
  <c r="M10604" i="3"/>
  <c r="L10604" i="3"/>
  <c r="J10604" i="3"/>
  <c r="K10604" i="3" s="1"/>
  <c r="H10604" i="3"/>
  <c r="G10604" i="3"/>
  <c r="M10603" i="3"/>
  <c r="L10603" i="3"/>
  <c r="J10603" i="3"/>
  <c r="K10603" i="3" s="1"/>
  <c r="H10603" i="3"/>
  <c r="G10603" i="3"/>
  <c r="M10602" i="3"/>
  <c r="L10602" i="3"/>
  <c r="J10602" i="3"/>
  <c r="K10602" i="3" s="1"/>
  <c r="H10602" i="3"/>
  <c r="G10602" i="3"/>
  <c r="M10601" i="3"/>
  <c r="L10601" i="3"/>
  <c r="J10601" i="3"/>
  <c r="K10601" i="3" s="1"/>
  <c r="H10601" i="3"/>
  <c r="G10601" i="3"/>
  <c r="M10600" i="3"/>
  <c r="L10600" i="3"/>
  <c r="J10600" i="3"/>
  <c r="K10600" i="3" s="1"/>
  <c r="H10600" i="3"/>
  <c r="G10600" i="3"/>
  <c r="M10599" i="3"/>
  <c r="L10599" i="3"/>
  <c r="J10599" i="3"/>
  <c r="K10599" i="3" s="1"/>
  <c r="H10599" i="3"/>
  <c r="G10599" i="3"/>
  <c r="M10598" i="3"/>
  <c r="L10598" i="3"/>
  <c r="J10598" i="3"/>
  <c r="K10598" i="3" s="1"/>
  <c r="H10598" i="3"/>
  <c r="G10598" i="3"/>
  <c r="M10597" i="3"/>
  <c r="L10597" i="3"/>
  <c r="J10597" i="3"/>
  <c r="K10597" i="3" s="1"/>
  <c r="H10597" i="3"/>
  <c r="G10597" i="3"/>
  <c r="M10596" i="3"/>
  <c r="L10596" i="3"/>
  <c r="J10596" i="3"/>
  <c r="K10596" i="3" s="1"/>
  <c r="H10596" i="3"/>
  <c r="G10596" i="3"/>
  <c r="M10595" i="3"/>
  <c r="L10595" i="3"/>
  <c r="J10595" i="3"/>
  <c r="K10595" i="3" s="1"/>
  <c r="H10595" i="3"/>
  <c r="G10595" i="3"/>
  <c r="M10594" i="3"/>
  <c r="L10594" i="3"/>
  <c r="J10594" i="3"/>
  <c r="K10594" i="3" s="1"/>
  <c r="H10594" i="3"/>
  <c r="G10594" i="3"/>
  <c r="M10593" i="3"/>
  <c r="L10593" i="3"/>
  <c r="J10593" i="3"/>
  <c r="K10593" i="3" s="1"/>
  <c r="H10593" i="3"/>
  <c r="G10593" i="3"/>
  <c r="M10592" i="3"/>
  <c r="L10592" i="3"/>
  <c r="J10592" i="3"/>
  <c r="K10592" i="3" s="1"/>
  <c r="H10592" i="3"/>
  <c r="G10592" i="3"/>
  <c r="M10591" i="3"/>
  <c r="L10591" i="3"/>
  <c r="J10591" i="3"/>
  <c r="K10591" i="3" s="1"/>
  <c r="H10591" i="3"/>
  <c r="G10591" i="3"/>
  <c r="M10590" i="3"/>
  <c r="L10590" i="3"/>
  <c r="J10590" i="3"/>
  <c r="K10590" i="3" s="1"/>
  <c r="H10590" i="3"/>
  <c r="G10590" i="3"/>
  <c r="M10589" i="3"/>
  <c r="L10589" i="3"/>
  <c r="J10589" i="3"/>
  <c r="K10589" i="3" s="1"/>
  <c r="H10589" i="3"/>
  <c r="G10589" i="3"/>
  <c r="M10588" i="3"/>
  <c r="L10588" i="3"/>
  <c r="J10588" i="3"/>
  <c r="K10588" i="3" s="1"/>
  <c r="H10588" i="3"/>
  <c r="G10588" i="3"/>
  <c r="M10587" i="3"/>
  <c r="L10587" i="3"/>
  <c r="J10587" i="3"/>
  <c r="K10587" i="3" s="1"/>
  <c r="H10587" i="3"/>
  <c r="G10587" i="3"/>
  <c r="M10586" i="3"/>
  <c r="L10586" i="3"/>
  <c r="J10586" i="3"/>
  <c r="K10586" i="3" s="1"/>
  <c r="H10586" i="3"/>
  <c r="G10586" i="3"/>
  <c r="K460" i="23" l="1"/>
  <c r="I10588" i="3"/>
  <c r="I10592" i="3"/>
  <c r="I10596" i="3"/>
  <c r="I10600" i="3"/>
  <c r="I10604" i="3"/>
  <c r="I10586" i="3"/>
  <c r="I10590" i="3"/>
  <c r="I10594" i="3"/>
  <c r="I10598" i="3"/>
  <c r="I10602" i="3"/>
  <c r="I10606" i="3"/>
  <c r="I10609" i="3"/>
  <c r="I10608" i="3"/>
  <c r="I10587" i="3"/>
  <c r="I10589" i="3"/>
  <c r="I10591" i="3"/>
  <c r="I10593" i="3"/>
  <c r="I10595" i="3"/>
  <c r="I10597" i="3"/>
  <c r="I10599" i="3"/>
  <c r="I10601" i="3"/>
  <c r="I10603" i="3"/>
  <c r="I10605" i="3"/>
  <c r="I10607" i="3"/>
  <c r="L10562" i="3"/>
  <c r="L10563" i="3"/>
  <c r="L10564" i="3"/>
  <c r="L10565" i="3"/>
  <c r="L10566" i="3"/>
  <c r="L10567" i="3"/>
  <c r="L10568" i="3"/>
  <c r="L10569" i="3"/>
  <c r="L10571" i="3"/>
  <c r="L10572" i="3"/>
  <c r="L10573" i="3"/>
  <c r="L10574" i="3"/>
  <c r="L10575" i="3"/>
  <c r="L10576" i="3"/>
  <c r="L10577" i="3"/>
  <c r="L10578" i="3"/>
  <c r="L10579" i="3"/>
  <c r="L10580" i="3"/>
  <c r="L10581" i="3"/>
  <c r="L10582" i="3"/>
  <c r="L10583" i="3"/>
  <c r="L10584" i="3"/>
  <c r="L10585" i="3"/>
  <c r="L10570" i="3"/>
  <c r="O27" i="15"/>
  <c r="AA443" i="23"/>
  <c r="S441" i="23"/>
  <c r="Y441" i="23"/>
  <c r="Z441" i="23"/>
  <c r="AE448" i="23" s="1"/>
  <c r="AI448" i="23" s="1"/>
  <c r="AA441" i="23"/>
  <c r="AG441" i="23"/>
  <c r="AL441" i="23"/>
  <c r="AN441" i="23"/>
  <c r="AO441" i="23"/>
  <c r="AP441" i="23"/>
  <c r="AT441" i="23"/>
  <c r="S442" i="23"/>
  <c r="Y442" i="23"/>
  <c r="Z442" i="23"/>
  <c r="AE449" i="23" s="1"/>
  <c r="AI449" i="23" s="1"/>
  <c r="AA442" i="23"/>
  <c r="AG442" i="23"/>
  <c r="AL442" i="23"/>
  <c r="AN442" i="23"/>
  <c r="AO442" i="23"/>
  <c r="AP442" i="23"/>
  <c r="AT442" i="23"/>
  <c r="F442" i="23"/>
  <c r="F441" i="23"/>
  <c r="M10585" i="3"/>
  <c r="J10585" i="3"/>
  <c r="K10585" i="3" s="1"/>
  <c r="H10585" i="3"/>
  <c r="G10585" i="3"/>
  <c r="M10584" i="3"/>
  <c r="J10584" i="3"/>
  <c r="K10584" i="3" s="1"/>
  <c r="H10584" i="3"/>
  <c r="G10584" i="3"/>
  <c r="M10583" i="3"/>
  <c r="J10583" i="3"/>
  <c r="K10583" i="3" s="1"/>
  <c r="H10583" i="3"/>
  <c r="G10583" i="3"/>
  <c r="M10582" i="3"/>
  <c r="J10582" i="3"/>
  <c r="K10582" i="3" s="1"/>
  <c r="H10582" i="3"/>
  <c r="G10582" i="3"/>
  <c r="M10581" i="3"/>
  <c r="J10581" i="3"/>
  <c r="K10581" i="3" s="1"/>
  <c r="H10581" i="3"/>
  <c r="G10581" i="3"/>
  <c r="M10580" i="3"/>
  <c r="J10580" i="3"/>
  <c r="K10580" i="3" s="1"/>
  <c r="H10580" i="3"/>
  <c r="G10580" i="3"/>
  <c r="M10579" i="3"/>
  <c r="J10579" i="3"/>
  <c r="K10579" i="3" s="1"/>
  <c r="H10579" i="3"/>
  <c r="G10579" i="3"/>
  <c r="M10578" i="3"/>
  <c r="J10578" i="3"/>
  <c r="K10578" i="3" s="1"/>
  <c r="H10578" i="3"/>
  <c r="G10578" i="3"/>
  <c r="M10577" i="3"/>
  <c r="J10577" i="3"/>
  <c r="K10577" i="3" s="1"/>
  <c r="H10577" i="3"/>
  <c r="G10577" i="3"/>
  <c r="M10576" i="3"/>
  <c r="J10576" i="3"/>
  <c r="K10576" i="3" s="1"/>
  <c r="H10576" i="3"/>
  <c r="G10576" i="3"/>
  <c r="M10575" i="3"/>
  <c r="J10575" i="3"/>
  <c r="K10575" i="3" s="1"/>
  <c r="H10575" i="3"/>
  <c r="G10575" i="3"/>
  <c r="M10574" i="3"/>
  <c r="J10574" i="3"/>
  <c r="K10574" i="3" s="1"/>
  <c r="H10574" i="3"/>
  <c r="G10574" i="3"/>
  <c r="M10573" i="3"/>
  <c r="J10573" i="3"/>
  <c r="K10573" i="3" s="1"/>
  <c r="H10573" i="3"/>
  <c r="G10573" i="3"/>
  <c r="M10572" i="3"/>
  <c r="J10572" i="3"/>
  <c r="K10572" i="3" s="1"/>
  <c r="H10572" i="3"/>
  <c r="G10572" i="3"/>
  <c r="M10571" i="3"/>
  <c r="J10571" i="3"/>
  <c r="K10571" i="3" s="1"/>
  <c r="H10571" i="3"/>
  <c r="G10571" i="3"/>
  <c r="M10570" i="3"/>
  <c r="J10570" i="3"/>
  <c r="K10570" i="3" s="1"/>
  <c r="H10570" i="3"/>
  <c r="G10570" i="3"/>
  <c r="M10569" i="3"/>
  <c r="J10569" i="3"/>
  <c r="K10569" i="3" s="1"/>
  <c r="H10569" i="3"/>
  <c r="G10569" i="3"/>
  <c r="M10568" i="3"/>
  <c r="J10568" i="3"/>
  <c r="K10568" i="3" s="1"/>
  <c r="H10568" i="3"/>
  <c r="G10568" i="3"/>
  <c r="M10567" i="3"/>
  <c r="J10567" i="3"/>
  <c r="K10567" i="3" s="1"/>
  <c r="H10567" i="3"/>
  <c r="G10567" i="3"/>
  <c r="M10566" i="3"/>
  <c r="J10566" i="3"/>
  <c r="K10566" i="3" s="1"/>
  <c r="H10566" i="3"/>
  <c r="G10566" i="3"/>
  <c r="M10565" i="3"/>
  <c r="J10565" i="3"/>
  <c r="K10565" i="3" s="1"/>
  <c r="H10565" i="3"/>
  <c r="G10565" i="3"/>
  <c r="M10564" i="3"/>
  <c r="J10564" i="3"/>
  <c r="K10564" i="3" s="1"/>
  <c r="H10564" i="3"/>
  <c r="G10564" i="3"/>
  <c r="M10563" i="3"/>
  <c r="J10563" i="3"/>
  <c r="K10563" i="3" s="1"/>
  <c r="H10563" i="3"/>
  <c r="G10563" i="3"/>
  <c r="M10562" i="3"/>
  <c r="J10562" i="3"/>
  <c r="K10562" i="3" s="1"/>
  <c r="H10562" i="3"/>
  <c r="G10562" i="3"/>
  <c r="F10562" i="3"/>
  <c r="F10586" i="3" s="1"/>
  <c r="F10610" i="3" s="1"/>
  <c r="F10634" i="3" s="1"/>
  <c r="F10658" i="3" s="1"/>
  <c r="F10682" i="3" s="1"/>
  <c r="F10706" i="3" s="1"/>
  <c r="F10730" i="3" s="1"/>
  <c r="F10754" i="3" s="1"/>
  <c r="F10778" i="3" s="1"/>
  <c r="F10802" i="3" s="1"/>
  <c r="F10826" i="3" s="1"/>
  <c r="F10850" i="3" s="1"/>
  <c r="F10874" i="3" s="1"/>
  <c r="F10898" i="3" s="1"/>
  <c r="F10922" i="3" s="1"/>
  <c r="F10946" i="3" s="1"/>
  <c r="F10970" i="3" s="1"/>
  <c r="S442" i="1"/>
  <c r="F442" i="1"/>
  <c r="N433" i="1"/>
  <c r="N438" i="1"/>
  <c r="P438" i="1"/>
  <c r="M438" i="1"/>
  <c r="M441" i="1"/>
  <c r="S441" i="1"/>
  <c r="M10561" i="3"/>
  <c r="L10561" i="3"/>
  <c r="J10561" i="3"/>
  <c r="K10561" i="3" s="1"/>
  <c r="H10561" i="3"/>
  <c r="G10561" i="3"/>
  <c r="M10560" i="3"/>
  <c r="L10560" i="3"/>
  <c r="J10560" i="3"/>
  <c r="K10560" i="3" s="1"/>
  <c r="H10560" i="3"/>
  <c r="G10560" i="3"/>
  <c r="M10559" i="3"/>
  <c r="L10559" i="3"/>
  <c r="J10559" i="3"/>
  <c r="K10559" i="3" s="1"/>
  <c r="H10559" i="3"/>
  <c r="G10559" i="3"/>
  <c r="M10558" i="3"/>
  <c r="L10558" i="3"/>
  <c r="J10558" i="3"/>
  <c r="K10558" i="3" s="1"/>
  <c r="H10558" i="3"/>
  <c r="G10558" i="3"/>
  <c r="M10557" i="3"/>
  <c r="L10557" i="3"/>
  <c r="J10557" i="3"/>
  <c r="K10557" i="3" s="1"/>
  <c r="H10557" i="3"/>
  <c r="G10557" i="3"/>
  <c r="M10556" i="3"/>
  <c r="L10556" i="3"/>
  <c r="J10556" i="3"/>
  <c r="K10556" i="3" s="1"/>
  <c r="H10556" i="3"/>
  <c r="G10556" i="3"/>
  <c r="M10555" i="3"/>
  <c r="L10555" i="3"/>
  <c r="J10555" i="3"/>
  <c r="K10555" i="3" s="1"/>
  <c r="H10555" i="3"/>
  <c r="G10555" i="3"/>
  <c r="M10554" i="3"/>
  <c r="L10554" i="3"/>
  <c r="J10554" i="3"/>
  <c r="K10554" i="3" s="1"/>
  <c r="H10554" i="3"/>
  <c r="G10554" i="3"/>
  <c r="M10553" i="3"/>
  <c r="L10553" i="3"/>
  <c r="J10553" i="3"/>
  <c r="K10553" i="3" s="1"/>
  <c r="H10553" i="3"/>
  <c r="G10553" i="3"/>
  <c r="M10552" i="3"/>
  <c r="L10552" i="3"/>
  <c r="J10552" i="3"/>
  <c r="K10552" i="3" s="1"/>
  <c r="H10552" i="3"/>
  <c r="G10552" i="3"/>
  <c r="M10551" i="3"/>
  <c r="L10551" i="3"/>
  <c r="J10551" i="3"/>
  <c r="K10551" i="3" s="1"/>
  <c r="H10551" i="3"/>
  <c r="G10551" i="3"/>
  <c r="M10550" i="3"/>
  <c r="L10550" i="3"/>
  <c r="J10550" i="3"/>
  <c r="K10550" i="3" s="1"/>
  <c r="H10550" i="3"/>
  <c r="G10550" i="3"/>
  <c r="M10549" i="3"/>
  <c r="L10549" i="3"/>
  <c r="J10549" i="3"/>
  <c r="K10549" i="3" s="1"/>
  <c r="H10549" i="3"/>
  <c r="G10549" i="3"/>
  <c r="M10548" i="3"/>
  <c r="L10548" i="3"/>
  <c r="J10548" i="3"/>
  <c r="K10548" i="3" s="1"/>
  <c r="H10548" i="3"/>
  <c r="G10548" i="3"/>
  <c r="M10547" i="3"/>
  <c r="L10547" i="3"/>
  <c r="J10547" i="3"/>
  <c r="K10547" i="3" s="1"/>
  <c r="H10547" i="3"/>
  <c r="G10547" i="3"/>
  <c r="M10546" i="3"/>
  <c r="L10546" i="3"/>
  <c r="J10546" i="3"/>
  <c r="K10546" i="3" s="1"/>
  <c r="H10546" i="3"/>
  <c r="G10546" i="3"/>
  <c r="M10545" i="3"/>
  <c r="L10545" i="3"/>
  <c r="J10545" i="3"/>
  <c r="K10545" i="3" s="1"/>
  <c r="H10545" i="3"/>
  <c r="G10545" i="3"/>
  <c r="M10544" i="3"/>
  <c r="L10544" i="3"/>
  <c r="J10544" i="3"/>
  <c r="K10544" i="3" s="1"/>
  <c r="H10544" i="3"/>
  <c r="G10544" i="3"/>
  <c r="M10543" i="3"/>
  <c r="L10543" i="3"/>
  <c r="J10543" i="3"/>
  <c r="K10543" i="3" s="1"/>
  <c r="H10543" i="3"/>
  <c r="G10543" i="3"/>
  <c r="M10542" i="3"/>
  <c r="L10542" i="3"/>
  <c r="J10542" i="3"/>
  <c r="K10542" i="3" s="1"/>
  <c r="H10542" i="3"/>
  <c r="G10542" i="3"/>
  <c r="M10541" i="3"/>
  <c r="L10541" i="3"/>
  <c r="J10541" i="3"/>
  <c r="K10541" i="3" s="1"/>
  <c r="H10541" i="3"/>
  <c r="G10541" i="3"/>
  <c r="M10540" i="3"/>
  <c r="L10540" i="3"/>
  <c r="J10540" i="3"/>
  <c r="K10540" i="3" s="1"/>
  <c r="H10540" i="3"/>
  <c r="G10540" i="3"/>
  <c r="M10539" i="3"/>
  <c r="L10539" i="3"/>
  <c r="J10539" i="3"/>
  <c r="K10539" i="3" s="1"/>
  <c r="H10539" i="3"/>
  <c r="G10539" i="3"/>
  <c r="M10538" i="3"/>
  <c r="L10538" i="3"/>
  <c r="J10538" i="3"/>
  <c r="K10538" i="3" s="1"/>
  <c r="H10538" i="3"/>
  <c r="G10538" i="3"/>
  <c r="F441" i="1"/>
  <c r="AT440" i="23"/>
  <c r="S440" i="23"/>
  <c r="Y440" i="23"/>
  <c r="Z440" i="23"/>
  <c r="AA440" i="23"/>
  <c r="AG440" i="23"/>
  <c r="AL440" i="23"/>
  <c r="AN440" i="23"/>
  <c r="AO440" i="23"/>
  <c r="AP440" i="23"/>
  <c r="F440" i="23"/>
  <c r="M10537" i="3"/>
  <c r="L10537" i="3"/>
  <c r="J10537" i="3"/>
  <c r="K10537" i="3" s="1"/>
  <c r="H10537" i="3"/>
  <c r="G10537" i="3"/>
  <c r="M10536" i="3"/>
  <c r="L10536" i="3"/>
  <c r="J10536" i="3"/>
  <c r="K10536" i="3" s="1"/>
  <c r="H10536" i="3"/>
  <c r="G10536" i="3"/>
  <c r="M10535" i="3"/>
  <c r="L10535" i="3"/>
  <c r="J10535" i="3"/>
  <c r="K10535" i="3" s="1"/>
  <c r="H10535" i="3"/>
  <c r="G10535" i="3"/>
  <c r="M10534" i="3"/>
  <c r="L10534" i="3"/>
  <c r="J10534" i="3"/>
  <c r="K10534" i="3" s="1"/>
  <c r="H10534" i="3"/>
  <c r="G10534" i="3"/>
  <c r="M10533" i="3"/>
  <c r="L10533" i="3"/>
  <c r="J10533" i="3"/>
  <c r="K10533" i="3" s="1"/>
  <c r="H10533" i="3"/>
  <c r="G10533" i="3"/>
  <c r="M10532" i="3"/>
  <c r="L10532" i="3"/>
  <c r="J10532" i="3"/>
  <c r="K10532" i="3" s="1"/>
  <c r="H10532" i="3"/>
  <c r="G10532" i="3"/>
  <c r="M10531" i="3"/>
  <c r="L10531" i="3"/>
  <c r="J10531" i="3"/>
  <c r="K10531" i="3" s="1"/>
  <c r="H10531" i="3"/>
  <c r="G10531" i="3"/>
  <c r="M10530" i="3"/>
  <c r="L10530" i="3"/>
  <c r="J10530" i="3"/>
  <c r="K10530" i="3" s="1"/>
  <c r="H10530" i="3"/>
  <c r="G10530" i="3"/>
  <c r="M10529" i="3"/>
  <c r="L10529" i="3"/>
  <c r="J10529" i="3"/>
  <c r="K10529" i="3" s="1"/>
  <c r="H10529" i="3"/>
  <c r="G10529" i="3"/>
  <c r="M10528" i="3"/>
  <c r="L10528" i="3"/>
  <c r="J10528" i="3"/>
  <c r="K10528" i="3" s="1"/>
  <c r="H10528" i="3"/>
  <c r="G10528" i="3"/>
  <c r="M10527" i="3"/>
  <c r="L10527" i="3"/>
  <c r="J10527" i="3"/>
  <c r="K10527" i="3" s="1"/>
  <c r="H10527" i="3"/>
  <c r="G10527" i="3"/>
  <c r="M10526" i="3"/>
  <c r="L10526" i="3"/>
  <c r="J10526" i="3"/>
  <c r="K10526" i="3" s="1"/>
  <c r="H10526" i="3"/>
  <c r="G10526" i="3"/>
  <c r="M10525" i="3"/>
  <c r="L10525" i="3"/>
  <c r="J10525" i="3"/>
  <c r="K10525" i="3" s="1"/>
  <c r="H10525" i="3"/>
  <c r="G10525" i="3"/>
  <c r="M10524" i="3"/>
  <c r="L10524" i="3"/>
  <c r="J10524" i="3"/>
  <c r="K10524" i="3" s="1"/>
  <c r="H10524" i="3"/>
  <c r="G10524" i="3"/>
  <c r="M10523" i="3"/>
  <c r="L10523" i="3"/>
  <c r="J10523" i="3"/>
  <c r="K10523" i="3" s="1"/>
  <c r="H10523" i="3"/>
  <c r="G10523" i="3"/>
  <c r="M10522" i="3"/>
  <c r="L10522" i="3"/>
  <c r="J10522" i="3"/>
  <c r="K10522" i="3" s="1"/>
  <c r="H10522" i="3"/>
  <c r="G10522" i="3"/>
  <c r="M10521" i="3"/>
  <c r="L10521" i="3"/>
  <c r="J10521" i="3"/>
  <c r="K10521" i="3" s="1"/>
  <c r="H10521" i="3"/>
  <c r="G10521" i="3"/>
  <c r="M10520" i="3"/>
  <c r="L10520" i="3"/>
  <c r="J10520" i="3"/>
  <c r="K10520" i="3" s="1"/>
  <c r="H10520" i="3"/>
  <c r="G10520" i="3"/>
  <c r="M10519" i="3"/>
  <c r="L10519" i="3"/>
  <c r="J10519" i="3"/>
  <c r="K10519" i="3" s="1"/>
  <c r="H10519" i="3"/>
  <c r="G10519" i="3"/>
  <c r="M10518" i="3"/>
  <c r="L10518" i="3"/>
  <c r="J10518" i="3"/>
  <c r="K10518" i="3" s="1"/>
  <c r="H10518" i="3"/>
  <c r="G10518" i="3"/>
  <c r="M10517" i="3"/>
  <c r="L10517" i="3"/>
  <c r="J10517" i="3"/>
  <c r="K10517" i="3" s="1"/>
  <c r="H10517" i="3"/>
  <c r="G10517" i="3"/>
  <c r="M10516" i="3"/>
  <c r="L10516" i="3"/>
  <c r="J10516" i="3"/>
  <c r="K10516" i="3" s="1"/>
  <c r="H10516" i="3"/>
  <c r="G10516" i="3"/>
  <c r="M10515" i="3"/>
  <c r="L10515" i="3"/>
  <c r="J10515" i="3"/>
  <c r="K10515" i="3" s="1"/>
  <c r="H10515" i="3"/>
  <c r="G10515" i="3"/>
  <c r="M10514" i="3"/>
  <c r="L10514" i="3"/>
  <c r="J10514" i="3"/>
  <c r="K10514" i="3" s="1"/>
  <c r="H10514" i="3"/>
  <c r="G10514" i="3"/>
  <c r="S440" i="1"/>
  <c r="F440" i="1"/>
  <c r="AA439" i="23"/>
  <c r="S439" i="23"/>
  <c r="Y439" i="23"/>
  <c r="Z439" i="23"/>
  <c r="AG439" i="23"/>
  <c r="AL439" i="23"/>
  <c r="AN439" i="23"/>
  <c r="AO439" i="23"/>
  <c r="AP439" i="23"/>
  <c r="AT439" i="23"/>
  <c r="J439" i="23"/>
  <c r="J440" i="23" s="1"/>
  <c r="J441" i="23" s="1"/>
  <c r="J442" i="23" s="1"/>
  <c r="J443" i="23" s="1"/>
  <c r="J444" i="23" s="1"/>
  <c r="J445" i="23" s="1"/>
  <c r="J446" i="23" s="1"/>
  <c r="J447" i="23" s="1"/>
  <c r="J448" i="23" s="1"/>
  <c r="J449" i="23" s="1"/>
  <c r="J450" i="23" s="1"/>
  <c r="J451" i="23" s="1"/>
  <c r="J452" i="23" s="1"/>
  <c r="J453" i="23" s="1"/>
  <c r="F439" i="23"/>
  <c r="E439" i="23"/>
  <c r="C439" i="23"/>
  <c r="C440" i="23" s="1"/>
  <c r="M10513" i="3"/>
  <c r="L10513" i="3"/>
  <c r="J10513" i="3"/>
  <c r="K10513" i="3" s="1"/>
  <c r="H10513" i="3"/>
  <c r="G10513" i="3"/>
  <c r="M10512" i="3"/>
  <c r="L10512" i="3"/>
  <c r="J10512" i="3"/>
  <c r="K10512" i="3" s="1"/>
  <c r="H10512" i="3"/>
  <c r="G10512" i="3"/>
  <c r="M10511" i="3"/>
  <c r="L10511" i="3"/>
  <c r="J10511" i="3"/>
  <c r="K10511" i="3" s="1"/>
  <c r="H10511" i="3"/>
  <c r="G10511" i="3"/>
  <c r="M10510" i="3"/>
  <c r="L10510" i="3"/>
  <c r="J10510" i="3"/>
  <c r="K10510" i="3" s="1"/>
  <c r="H10510" i="3"/>
  <c r="G10510" i="3"/>
  <c r="M10509" i="3"/>
  <c r="L10509" i="3"/>
  <c r="J10509" i="3"/>
  <c r="K10509" i="3" s="1"/>
  <c r="H10509" i="3"/>
  <c r="G10509" i="3"/>
  <c r="M10508" i="3"/>
  <c r="L10508" i="3"/>
  <c r="J10508" i="3"/>
  <c r="K10508" i="3" s="1"/>
  <c r="H10508" i="3"/>
  <c r="G10508" i="3"/>
  <c r="M10507" i="3"/>
  <c r="L10507" i="3"/>
  <c r="J10507" i="3"/>
  <c r="K10507" i="3" s="1"/>
  <c r="H10507" i="3"/>
  <c r="G10507" i="3"/>
  <c r="M10506" i="3"/>
  <c r="L10506" i="3"/>
  <c r="J10506" i="3"/>
  <c r="K10506" i="3" s="1"/>
  <c r="H10506" i="3"/>
  <c r="G10506" i="3"/>
  <c r="M10505" i="3"/>
  <c r="L10505" i="3"/>
  <c r="J10505" i="3"/>
  <c r="K10505" i="3" s="1"/>
  <c r="H10505" i="3"/>
  <c r="G10505" i="3"/>
  <c r="M10504" i="3"/>
  <c r="L10504" i="3"/>
  <c r="J10504" i="3"/>
  <c r="K10504" i="3" s="1"/>
  <c r="H10504" i="3"/>
  <c r="G10504" i="3"/>
  <c r="M10503" i="3"/>
  <c r="L10503" i="3"/>
  <c r="J10503" i="3"/>
  <c r="K10503" i="3" s="1"/>
  <c r="H10503" i="3"/>
  <c r="G10503" i="3"/>
  <c r="M10502" i="3"/>
  <c r="L10502" i="3"/>
  <c r="J10502" i="3"/>
  <c r="K10502" i="3" s="1"/>
  <c r="H10502" i="3"/>
  <c r="G10502" i="3"/>
  <c r="M10501" i="3"/>
  <c r="L10501" i="3"/>
  <c r="J10501" i="3"/>
  <c r="K10501" i="3" s="1"/>
  <c r="H10501" i="3"/>
  <c r="G10501" i="3"/>
  <c r="M10500" i="3"/>
  <c r="L10500" i="3"/>
  <c r="J10500" i="3"/>
  <c r="K10500" i="3" s="1"/>
  <c r="H10500" i="3"/>
  <c r="G10500" i="3"/>
  <c r="M10499" i="3"/>
  <c r="L10499" i="3"/>
  <c r="J10499" i="3"/>
  <c r="K10499" i="3" s="1"/>
  <c r="H10499" i="3"/>
  <c r="G10499" i="3"/>
  <c r="M10498" i="3"/>
  <c r="L10498" i="3"/>
  <c r="J10498" i="3"/>
  <c r="K10498" i="3" s="1"/>
  <c r="H10498" i="3"/>
  <c r="G10498" i="3"/>
  <c r="M10497" i="3"/>
  <c r="L10497" i="3"/>
  <c r="J10497" i="3"/>
  <c r="K10497" i="3" s="1"/>
  <c r="H10497" i="3"/>
  <c r="G10497" i="3"/>
  <c r="M10496" i="3"/>
  <c r="L10496" i="3"/>
  <c r="J10496" i="3"/>
  <c r="K10496" i="3" s="1"/>
  <c r="H10496" i="3"/>
  <c r="G10496" i="3"/>
  <c r="M10495" i="3"/>
  <c r="L10495" i="3"/>
  <c r="J10495" i="3"/>
  <c r="K10495" i="3" s="1"/>
  <c r="H10495" i="3"/>
  <c r="G10495" i="3"/>
  <c r="M10494" i="3"/>
  <c r="L10494" i="3"/>
  <c r="J10494" i="3"/>
  <c r="K10494" i="3" s="1"/>
  <c r="H10494" i="3"/>
  <c r="G10494" i="3"/>
  <c r="M10493" i="3"/>
  <c r="L10493" i="3"/>
  <c r="J10493" i="3"/>
  <c r="K10493" i="3" s="1"/>
  <c r="H10493" i="3"/>
  <c r="G10493" i="3"/>
  <c r="M10492" i="3"/>
  <c r="L10492" i="3"/>
  <c r="J10492" i="3"/>
  <c r="K10492" i="3" s="1"/>
  <c r="H10492" i="3"/>
  <c r="G10492" i="3"/>
  <c r="M10491" i="3"/>
  <c r="L10491" i="3"/>
  <c r="J10491" i="3"/>
  <c r="K10491" i="3" s="1"/>
  <c r="H10491" i="3"/>
  <c r="G10491" i="3"/>
  <c r="M10490" i="3"/>
  <c r="L10490" i="3"/>
  <c r="J10490" i="3"/>
  <c r="K10490" i="3" s="1"/>
  <c r="H10490" i="3"/>
  <c r="G10490" i="3"/>
  <c r="S439" i="1"/>
  <c r="F439" i="1"/>
  <c r="AA438" i="23"/>
  <c r="AA428" i="23"/>
  <c r="AA429" i="23"/>
  <c r="AA430" i="23"/>
  <c r="AA431" i="23"/>
  <c r="AH438" i="23" s="1"/>
  <c r="AA432" i="23"/>
  <c r="AH439" i="23" s="1"/>
  <c r="AA433" i="23"/>
  <c r="AM440" i="23" s="1"/>
  <c r="AA434" i="23"/>
  <c r="AA435" i="23"/>
  <c r="AS442" i="23" s="1"/>
  <c r="AA436" i="23"/>
  <c r="AA437" i="23"/>
  <c r="Z12" i="20"/>
  <c r="Z13" i="20"/>
  <c r="Z11" i="20"/>
  <c r="L10299" i="3"/>
  <c r="U8" i="20"/>
  <c r="V8" i="20"/>
  <c r="W8" i="20"/>
  <c r="V9" i="20"/>
  <c r="W10" i="20"/>
  <c r="W9" i="20"/>
  <c r="V10" i="20"/>
  <c r="U9" i="20"/>
  <c r="U10" i="20"/>
  <c r="L10468" i="3"/>
  <c r="L10469" i="3"/>
  <c r="L10470" i="3"/>
  <c r="L10471" i="3"/>
  <c r="L10472" i="3"/>
  <c r="L10473" i="3"/>
  <c r="L10474" i="3"/>
  <c r="L10475" i="3"/>
  <c r="L10476" i="3"/>
  <c r="L10477" i="3"/>
  <c r="L10478" i="3"/>
  <c r="L10479" i="3"/>
  <c r="L10480" i="3"/>
  <c r="L10481" i="3"/>
  <c r="L10482" i="3"/>
  <c r="L10483" i="3"/>
  <c r="L10484" i="3"/>
  <c r="L10485" i="3"/>
  <c r="L10486" i="3"/>
  <c r="L10487" i="3"/>
  <c r="L10488" i="3"/>
  <c r="L10489" i="3"/>
  <c r="L10466" i="3"/>
  <c r="L10467" i="3"/>
  <c r="L10179" i="3"/>
  <c r="L10180" i="3"/>
  <c r="L10181" i="3"/>
  <c r="L10182" i="3"/>
  <c r="L10183" i="3"/>
  <c r="L10184" i="3"/>
  <c r="L10185" i="3"/>
  <c r="L10186" i="3"/>
  <c r="L10187" i="3"/>
  <c r="L10188" i="3"/>
  <c r="L10189" i="3"/>
  <c r="L10190" i="3"/>
  <c r="L10191" i="3"/>
  <c r="L10192" i="3"/>
  <c r="L10193" i="3"/>
  <c r="L10194" i="3"/>
  <c r="L10195" i="3"/>
  <c r="L10196" i="3"/>
  <c r="L10197" i="3"/>
  <c r="L10198" i="3"/>
  <c r="L10199" i="3"/>
  <c r="L10200" i="3"/>
  <c r="L10201" i="3"/>
  <c r="L10202" i="3"/>
  <c r="L10203" i="3"/>
  <c r="L10204" i="3"/>
  <c r="L10205" i="3"/>
  <c r="L10206" i="3"/>
  <c r="L10207" i="3"/>
  <c r="L10208" i="3"/>
  <c r="L10209" i="3"/>
  <c r="L10210" i="3"/>
  <c r="L10211" i="3"/>
  <c r="L10212" i="3"/>
  <c r="L10213" i="3"/>
  <c r="L10214" i="3"/>
  <c r="L10215" i="3"/>
  <c r="L10216" i="3"/>
  <c r="L10217" i="3"/>
  <c r="L10218" i="3"/>
  <c r="L10219" i="3"/>
  <c r="L10220" i="3"/>
  <c r="L10221" i="3"/>
  <c r="L10222" i="3"/>
  <c r="L10223" i="3"/>
  <c r="L10224" i="3"/>
  <c r="L10225" i="3"/>
  <c r="L10226" i="3"/>
  <c r="L10227" i="3"/>
  <c r="L10228" i="3"/>
  <c r="L10229" i="3"/>
  <c r="L10230" i="3"/>
  <c r="L10231" i="3"/>
  <c r="L10232" i="3"/>
  <c r="L10233" i="3"/>
  <c r="L10234" i="3"/>
  <c r="L10235" i="3"/>
  <c r="L10236" i="3"/>
  <c r="L10237" i="3"/>
  <c r="L10238" i="3"/>
  <c r="L10239" i="3"/>
  <c r="L10240" i="3"/>
  <c r="L10241" i="3"/>
  <c r="L10242" i="3"/>
  <c r="L10243" i="3"/>
  <c r="L10244" i="3"/>
  <c r="L10245" i="3"/>
  <c r="L10246" i="3"/>
  <c r="L10247" i="3"/>
  <c r="L10248" i="3"/>
  <c r="L10249" i="3"/>
  <c r="L10250" i="3"/>
  <c r="L10251" i="3"/>
  <c r="L10252" i="3"/>
  <c r="L10253" i="3"/>
  <c r="L10254" i="3"/>
  <c r="L10255" i="3"/>
  <c r="L10256" i="3"/>
  <c r="L10257" i="3"/>
  <c r="L10258" i="3"/>
  <c r="L10259" i="3"/>
  <c r="L10260" i="3"/>
  <c r="L10261" i="3"/>
  <c r="L10262" i="3"/>
  <c r="L10263" i="3"/>
  <c r="L10264" i="3"/>
  <c r="L10265" i="3"/>
  <c r="L10266" i="3"/>
  <c r="L10267" i="3"/>
  <c r="L10268" i="3"/>
  <c r="L10269" i="3"/>
  <c r="L10270" i="3"/>
  <c r="L10271" i="3"/>
  <c r="L10272" i="3"/>
  <c r="L10273" i="3"/>
  <c r="L10274" i="3"/>
  <c r="L10275" i="3"/>
  <c r="L10276" i="3"/>
  <c r="L10277" i="3"/>
  <c r="L10278" i="3"/>
  <c r="L10279" i="3"/>
  <c r="L10280" i="3"/>
  <c r="L10281" i="3"/>
  <c r="L10282" i="3"/>
  <c r="L10283" i="3"/>
  <c r="L10284" i="3"/>
  <c r="L10285" i="3"/>
  <c r="L10286" i="3"/>
  <c r="L10287" i="3"/>
  <c r="L10288" i="3"/>
  <c r="L10289" i="3"/>
  <c r="L10290" i="3"/>
  <c r="L10291" i="3"/>
  <c r="L10292" i="3"/>
  <c r="L10293" i="3"/>
  <c r="L10294" i="3"/>
  <c r="L10295" i="3"/>
  <c r="L10296" i="3"/>
  <c r="L10297" i="3"/>
  <c r="L10298" i="3"/>
  <c r="L10300" i="3"/>
  <c r="L10301" i="3"/>
  <c r="L10302" i="3"/>
  <c r="L10303" i="3"/>
  <c r="L10304" i="3"/>
  <c r="L10305" i="3"/>
  <c r="L10306" i="3"/>
  <c r="L10307" i="3"/>
  <c r="L10308" i="3"/>
  <c r="L10309" i="3"/>
  <c r="L10310" i="3"/>
  <c r="L10311" i="3"/>
  <c r="L10312" i="3"/>
  <c r="L10313" i="3"/>
  <c r="L10314" i="3"/>
  <c r="L10315" i="3"/>
  <c r="L10316" i="3"/>
  <c r="L10317" i="3"/>
  <c r="L10318" i="3"/>
  <c r="L10319" i="3"/>
  <c r="L10320" i="3"/>
  <c r="L10321" i="3"/>
  <c r="L10322" i="3"/>
  <c r="L10323" i="3"/>
  <c r="L10324" i="3"/>
  <c r="L10325" i="3"/>
  <c r="L10326" i="3"/>
  <c r="L10327" i="3"/>
  <c r="L10328" i="3"/>
  <c r="L10329" i="3"/>
  <c r="L10330" i="3"/>
  <c r="L10331" i="3"/>
  <c r="L10332" i="3"/>
  <c r="L10333" i="3"/>
  <c r="L10334" i="3"/>
  <c r="L10335" i="3"/>
  <c r="L10336" i="3"/>
  <c r="L10337" i="3"/>
  <c r="L10338" i="3"/>
  <c r="L10339" i="3"/>
  <c r="L10340" i="3"/>
  <c r="L10341" i="3"/>
  <c r="L10342" i="3"/>
  <c r="L10343" i="3"/>
  <c r="L10344" i="3"/>
  <c r="L10345" i="3"/>
  <c r="L10346" i="3"/>
  <c r="L10347" i="3"/>
  <c r="L10348" i="3"/>
  <c r="L10349" i="3"/>
  <c r="L10350" i="3"/>
  <c r="L10351" i="3"/>
  <c r="L10352" i="3"/>
  <c r="L10353" i="3"/>
  <c r="L10354" i="3"/>
  <c r="L10355" i="3"/>
  <c r="L10356" i="3"/>
  <c r="L10357" i="3"/>
  <c r="L10358" i="3"/>
  <c r="L10359" i="3"/>
  <c r="L10360" i="3"/>
  <c r="L10361" i="3"/>
  <c r="L10362" i="3"/>
  <c r="L10363" i="3"/>
  <c r="L10364" i="3"/>
  <c r="L10365" i="3"/>
  <c r="L10366" i="3"/>
  <c r="L10367" i="3"/>
  <c r="L10368" i="3"/>
  <c r="L10369" i="3"/>
  <c r="L10370" i="3"/>
  <c r="L10371" i="3"/>
  <c r="L10372" i="3"/>
  <c r="L10373" i="3"/>
  <c r="L10374" i="3"/>
  <c r="L10375" i="3"/>
  <c r="L10376" i="3"/>
  <c r="L10377" i="3"/>
  <c r="L10378" i="3"/>
  <c r="L10379" i="3"/>
  <c r="L10380" i="3"/>
  <c r="L10381" i="3"/>
  <c r="L10382" i="3"/>
  <c r="L10383" i="3"/>
  <c r="L10384" i="3"/>
  <c r="L10385" i="3"/>
  <c r="L10386" i="3"/>
  <c r="L10387" i="3"/>
  <c r="L10388" i="3"/>
  <c r="L10389" i="3"/>
  <c r="L10390" i="3"/>
  <c r="L10391" i="3"/>
  <c r="L10392" i="3"/>
  <c r="L10393" i="3"/>
  <c r="L10394" i="3"/>
  <c r="L10395" i="3"/>
  <c r="L10396" i="3"/>
  <c r="L10397" i="3"/>
  <c r="L10398" i="3"/>
  <c r="L10399" i="3"/>
  <c r="L10400" i="3"/>
  <c r="L10401" i="3"/>
  <c r="L10402" i="3"/>
  <c r="L10403" i="3"/>
  <c r="L10404" i="3"/>
  <c r="L10405" i="3"/>
  <c r="L10406" i="3"/>
  <c r="L10407" i="3"/>
  <c r="L10408" i="3"/>
  <c r="L10409" i="3"/>
  <c r="L10410" i="3"/>
  <c r="L10411" i="3"/>
  <c r="L10412" i="3"/>
  <c r="L10413" i="3"/>
  <c r="L10414" i="3"/>
  <c r="L10415" i="3"/>
  <c r="L10416" i="3"/>
  <c r="L10417" i="3"/>
  <c r="L10418" i="3"/>
  <c r="L10419" i="3"/>
  <c r="L10420" i="3"/>
  <c r="L10421" i="3"/>
  <c r="L10422" i="3"/>
  <c r="L10423" i="3"/>
  <c r="L10424" i="3"/>
  <c r="L10425" i="3"/>
  <c r="L10426" i="3"/>
  <c r="L10427" i="3"/>
  <c r="L10428" i="3"/>
  <c r="L10429" i="3"/>
  <c r="L10430" i="3"/>
  <c r="L10431" i="3"/>
  <c r="L10432" i="3"/>
  <c r="L10433" i="3"/>
  <c r="L10434" i="3"/>
  <c r="L10435" i="3"/>
  <c r="L10436" i="3"/>
  <c r="L10437" i="3"/>
  <c r="L10438" i="3"/>
  <c r="L10439" i="3"/>
  <c r="L10440" i="3"/>
  <c r="L10441" i="3"/>
  <c r="L10442" i="3"/>
  <c r="L10443" i="3"/>
  <c r="L10444" i="3"/>
  <c r="L10445" i="3"/>
  <c r="L10446" i="3"/>
  <c r="L10447" i="3"/>
  <c r="L10448" i="3"/>
  <c r="L10449" i="3"/>
  <c r="L10450" i="3"/>
  <c r="L10451" i="3"/>
  <c r="L10452" i="3"/>
  <c r="L10453" i="3"/>
  <c r="L10454" i="3"/>
  <c r="L10455" i="3"/>
  <c r="L10456" i="3"/>
  <c r="L10457" i="3"/>
  <c r="L10458" i="3"/>
  <c r="L10459" i="3"/>
  <c r="L10460" i="3"/>
  <c r="L10461" i="3"/>
  <c r="L10462" i="3"/>
  <c r="L10463" i="3"/>
  <c r="L10464" i="3"/>
  <c r="L10465" i="3"/>
  <c r="L10178" i="3"/>
  <c r="R437" i="23"/>
  <c r="X447" i="23" s="1"/>
  <c r="S437" i="23"/>
  <c r="Y437" i="23"/>
  <c r="Z437" i="23"/>
  <c r="AG437" i="23"/>
  <c r="AL437" i="23"/>
  <c r="AN437" i="23"/>
  <c r="AO437" i="23"/>
  <c r="AP437" i="23"/>
  <c r="AT437" i="23"/>
  <c r="R438" i="23"/>
  <c r="X448" i="23" s="1"/>
  <c r="S438" i="23"/>
  <c r="T438" i="23"/>
  <c r="Y438" i="23"/>
  <c r="Z438" i="23"/>
  <c r="AG438" i="23"/>
  <c r="AL438" i="23"/>
  <c r="AN438" i="23"/>
  <c r="AO438" i="23"/>
  <c r="AP438" i="23"/>
  <c r="AT438" i="23"/>
  <c r="P433" i="1"/>
  <c r="P434" i="1"/>
  <c r="P435" i="1"/>
  <c r="P436" i="1"/>
  <c r="P437" i="1"/>
  <c r="N434" i="1"/>
  <c r="N435" i="1"/>
  <c r="O441" i="1" s="1"/>
  <c r="N436" i="1"/>
  <c r="N437" i="1"/>
  <c r="O443" i="1" s="1"/>
  <c r="M434" i="1"/>
  <c r="M435" i="1"/>
  <c r="M436" i="1"/>
  <c r="M437" i="1"/>
  <c r="S438" i="1"/>
  <c r="F438" i="1"/>
  <c r="M10489" i="3"/>
  <c r="J10489" i="3"/>
  <c r="K10489" i="3" s="1"/>
  <c r="H10489" i="3"/>
  <c r="G10489" i="3"/>
  <c r="M10488" i="3"/>
  <c r="J10488" i="3"/>
  <c r="K10488" i="3" s="1"/>
  <c r="H10488" i="3"/>
  <c r="G10488" i="3"/>
  <c r="M10487" i="3"/>
  <c r="J10487" i="3"/>
  <c r="K10487" i="3" s="1"/>
  <c r="H10487" i="3"/>
  <c r="G10487" i="3"/>
  <c r="M10486" i="3"/>
  <c r="J10486" i="3"/>
  <c r="K10486" i="3" s="1"/>
  <c r="H10486" i="3"/>
  <c r="G10486" i="3"/>
  <c r="M10485" i="3"/>
  <c r="J10485" i="3"/>
  <c r="K10485" i="3" s="1"/>
  <c r="H10485" i="3"/>
  <c r="G10485" i="3"/>
  <c r="M10484" i="3"/>
  <c r="J10484" i="3"/>
  <c r="K10484" i="3" s="1"/>
  <c r="H10484" i="3"/>
  <c r="G10484" i="3"/>
  <c r="M10483" i="3"/>
  <c r="J10483" i="3"/>
  <c r="K10483" i="3" s="1"/>
  <c r="H10483" i="3"/>
  <c r="G10483" i="3"/>
  <c r="M10482" i="3"/>
  <c r="J10482" i="3"/>
  <c r="K10482" i="3" s="1"/>
  <c r="H10482" i="3"/>
  <c r="G10482" i="3"/>
  <c r="M10481" i="3"/>
  <c r="J10481" i="3"/>
  <c r="K10481" i="3" s="1"/>
  <c r="H10481" i="3"/>
  <c r="G10481" i="3"/>
  <c r="M10480" i="3"/>
  <c r="J10480" i="3"/>
  <c r="K10480" i="3" s="1"/>
  <c r="H10480" i="3"/>
  <c r="G10480" i="3"/>
  <c r="M10479" i="3"/>
  <c r="J10479" i="3"/>
  <c r="K10479" i="3" s="1"/>
  <c r="H10479" i="3"/>
  <c r="G10479" i="3"/>
  <c r="M10478" i="3"/>
  <c r="J10478" i="3"/>
  <c r="K10478" i="3" s="1"/>
  <c r="H10478" i="3"/>
  <c r="G10478" i="3"/>
  <c r="M10477" i="3"/>
  <c r="J10477" i="3"/>
  <c r="K10477" i="3" s="1"/>
  <c r="H10477" i="3"/>
  <c r="G10477" i="3"/>
  <c r="M10476" i="3"/>
  <c r="J10476" i="3"/>
  <c r="K10476" i="3" s="1"/>
  <c r="H10476" i="3"/>
  <c r="G10476" i="3"/>
  <c r="M10475" i="3"/>
  <c r="J10475" i="3"/>
  <c r="K10475" i="3" s="1"/>
  <c r="H10475" i="3"/>
  <c r="G10475" i="3"/>
  <c r="M10474" i="3"/>
  <c r="J10474" i="3"/>
  <c r="K10474" i="3" s="1"/>
  <c r="H10474" i="3"/>
  <c r="G10474" i="3"/>
  <c r="M10473" i="3"/>
  <c r="J10473" i="3"/>
  <c r="K10473" i="3" s="1"/>
  <c r="H10473" i="3"/>
  <c r="G10473" i="3"/>
  <c r="M10472" i="3"/>
  <c r="J10472" i="3"/>
  <c r="K10472" i="3" s="1"/>
  <c r="H10472" i="3"/>
  <c r="G10472" i="3"/>
  <c r="M10471" i="3"/>
  <c r="J10471" i="3"/>
  <c r="K10471" i="3" s="1"/>
  <c r="H10471" i="3"/>
  <c r="G10471" i="3"/>
  <c r="M10470" i="3"/>
  <c r="J10470" i="3"/>
  <c r="K10470" i="3" s="1"/>
  <c r="H10470" i="3"/>
  <c r="G10470" i="3"/>
  <c r="M10469" i="3"/>
  <c r="J10469" i="3"/>
  <c r="K10469" i="3" s="1"/>
  <c r="H10469" i="3"/>
  <c r="G10469" i="3"/>
  <c r="M10468" i="3"/>
  <c r="J10468" i="3"/>
  <c r="K10468" i="3" s="1"/>
  <c r="H10468" i="3"/>
  <c r="G10468" i="3"/>
  <c r="M10467" i="3"/>
  <c r="J10467" i="3"/>
  <c r="H10467" i="3"/>
  <c r="G10467" i="3"/>
  <c r="M10466" i="3"/>
  <c r="J10466" i="3"/>
  <c r="H10466" i="3"/>
  <c r="G10466" i="3"/>
  <c r="K461" i="23" l="1"/>
  <c r="O442" i="1"/>
  <c r="O438" i="1"/>
  <c r="AE446" i="23"/>
  <c r="AE447" i="23"/>
  <c r="AI447" i="23" s="1"/>
  <c r="AJ453" i="23"/>
  <c r="AB453" i="23"/>
  <c r="AC453" i="23" s="1"/>
  <c r="AM446" i="23"/>
  <c r="AH446" i="23"/>
  <c r="AS446" i="23"/>
  <c r="AM448" i="23"/>
  <c r="AH448" i="23"/>
  <c r="AS448" i="23"/>
  <c r="AS450" i="23"/>
  <c r="AM450" i="23"/>
  <c r="AH450" i="23"/>
  <c r="AI446" i="23"/>
  <c r="AJ452" i="23"/>
  <c r="AB451" i="23"/>
  <c r="AC451" i="23" s="1"/>
  <c r="AJ450" i="23"/>
  <c r="AS447" i="23"/>
  <c r="AM447" i="23"/>
  <c r="AH447" i="23"/>
  <c r="AS449" i="23"/>
  <c r="AM449" i="23"/>
  <c r="AH449" i="23"/>
  <c r="AB452" i="23"/>
  <c r="AC452" i="23" s="1"/>
  <c r="AJ451" i="23"/>
  <c r="E440" i="23"/>
  <c r="T440" i="23" s="1"/>
  <c r="I10562" i="3"/>
  <c r="I10570" i="3"/>
  <c r="I10582" i="3"/>
  <c r="K10466" i="3"/>
  <c r="Q10634" i="3"/>
  <c r="K10467" i="3"/>
  <c r="Q10635" i="3"/>
  <c r="I10580" i="3"/>
  <c r="I10584" i="3"/>
  <c r="AK445" i="23"/>
  <c r="AH441" i="23"/>
  <c r="AE444" i="23"/>
  <c r="AI444" i="23" s="1"/>
  <c r="AM444" i="23"/>
  <c r="AS444" i="23"/>
  <c r="AH444" i="23"/>
  <c r="AH442" i="23"/>
  <c r="AS443" i="23"/>
  <c r="AH443" i="23"/>
  <c r="AM443" i="23"/>
  <c r="AH440" i="23"/>
  <c r="AS441" i="23"/>
  <c r="AE445" i="23"/>
  <c r="AI445" i="23" s="1"/>
  <c r="AH445" i="23"/>
  <c r="AS445" i="23"/>
  <c r="AM445" i="23"/>
  <c r="AK444" i="23"/>
  <c r="AM441" i="23"/>
  <c r="C441" i="23"/>
  <c r="AH437" i="23"/>
  <c r="AS439" i="23"/>
  <c r="AS440" i="23"/>
  <c r="AM442" i="23"/>
  <c r="AM439" i="23"/>
  <c r="T439" i="23"/>
  <c r="R439" i="23"/>
  <c r="I10564" i="3"/>
  <c r="I10566" i="3"/>
  <c r="I10568" i="3"/>
  <c r="I10572" i="3"/>
  <c r="I10574" i="3"/>
  <c r="I10576" i="3"/>
  <c r="I10578" i="3"/>
  <c r="I10563" i="3"/>
  <c r="I10565" i="3"/>
  <c r="I10567" i="3"/>
  <c r="I10569" i="3"/>
  <c r="I10571" i="3"/>
  <c r="I10573" i="3"/>
  <c r="I10575" i="3"/>
  <c r="I10577" i="3"/>
  <c r="I10579" i="3"/>
  <c r="I10581" i="3"/>
  <c r="I10583" i="3"/>
  <c r="I10585" i="3"/>
  <c r="I10561" i="3"/>
  <c r="I10514" i="3"/>
  <c r="I10516" i="3"/>
  <c r="I10518" i="3"/>
  <c r="I10520" i="3"/>
  <c r="I10522" i="3"/>
  <c r="I10524" i="3"/>
  <c r="I10526" i="3"/>
  <c r="I10528" i="3"/>
  <c r="I10530" i="3"/>
  <c r="I10532" i="3"/>
  <c r="I10534" i="3"/>
  <c r="I10536" i="3"/>
  <c r="I10538" i="3"/>
  <c r="I10540" i="3"/>
  <c r="I10542" i="3"/>
  <c r="I10544" i="3"/>
  <c r="I10546" i="3"/>
  <c r="I10548" i="3"/>
  <c r="I10550" i="3"/>
  <c r="I10552" i="3"/>
  <c r="I10554" i="3"/>
  <c r="I10556" i="3"/>
  <c r="I10558" i="3"/>
  <c r="I10560" i="3"/>
  <c r="I10539" i="3"/>
  <c r="I10541" i="3"/>
  <c r="I10543" i="3"/>
  <c r="I10545" i="3"/>
  <c r="I10547" i="3"/>
  <c r="I10549" i="3"/>
  <c r="I10551" i="3"/>
  <c r="I10553" i="3"/>
  <c r="I10555" i="3"/>
  <c r="I10557" i="3"/>
  <c r="I10559" i="3"/>
  <c r="I10515" i="3"/>
  <c r="I10517" i="3"/>
  <c r="I10519" i="3"/>
  <c r="I10521" i="3"/>
  <c r="I10523" i="3"/>
  <c r="I10525" i="3"/>
  <c r="I10527" i="3"/>
  <c r="I10529" i="3"/>
  <c r="I10531" i="3"/>
  <c r="I10533" i="3"/>
  <c r="I10535" i="3"/>
  <c r="I10537" i="3"/>
  <c r="I10473" i="3"/>
  <c r="I10481" i="3"/>
  <c r="I10485" i="3"/>
  <c r="I10489" i="3"/>
  <c r="I10490" i="3"/>
  <c r="I10492" i="3"/>
  <c r="I10494" i="3"/>
  <c r="I10496" i="3"/>
  <c r="I10498" i="3"/>
  <c r="I10500" i="3"/>
  <c r="I10502" i="3"/>
  <c r="I10504" i="3"/>
  <c r="I10506" i="3"/>
  <c r="I10508" i="3"/>
  <c r="I10510" i="3"/>
  <c r="I10512" i="3"/>
  <c r="I10491" i="3"/>
  <c r="I10493" i="3"/>
  <c r="I10495" i="3"/>
  <c r="I10497" i="3"/>
  <c r="I10499" i="3"/>
  <c r="I10501" i="3"/>
  <c r="I10503" i="3"/>
  <c r="I10505" i="3"/>
  <c r="I10507" i="3"/>
  <c r="I10509" i="3"/>
  <c r="I10511" i="3"/>
  <c r="I10513" i="3"/>
  <c r="AS438" i="23"/>
  <c r="AM437" i="23"/>
  <c r="AS437" i="23"/>
  <c r="AM438" i="23"/>
  <c r="I10469" i="3"/>
  <c r="I10477" i="3"/>
  <c r="I10471" i="3"/>
  <c r="I10475" i="3"/>
  <c r="I10479" i="3"/>
  <c r="I10483" i="3"/>
  <c r="I10487" i="3"/>
  <c r="I10467" i="3"/>
  <c r="I10466" i="3"/>
  <c r="I10468" i="3"/>
  <c r="I10470" i="3"/>
  <c r="I10472" i="3"/>
  <c r="I10474" i="3"/>
  <c r="I10476" i="3"/>
  <c r="I10478" i="3"/>
  <c r="I10480" i="3"/>
  <c r="I10482" i="3"/>
  <c r="I10484" i="3"/>
  <c r="I10486" i="3"/>
  <c r="I10488" i="3"/>
  <c r="M10465" i="3"/>
  <c r="J10465" i="3"/>
  <c r="K10465" i="3" s="1"/>
  <c r="H10465" i="3"/>
  <c r="G10465" i="3"/>
  <c r="M10464" i="3"/>
  <c r="J10464" i="3"/>
  <c r="K10464" i="3" s="1"/>
  <c r="H10464" i="3"/>
  <c r="G10464" i="3"/>
  <c r="M10463" i="3"/>
  <c r="J10463" i="3"/>
  <c r="K10463" i="3" s="1"/>
  <c r="H10463" i="3"/>
  <c r="G10463" i="3"/>
  <c r="M10462" i="3"/>
  <c r="J10462" i="3"/>
  <c r="K10462" i="3" s="1"/>
  <c r="H10462" i="3"/>
  <c r="G10462" i="3"/>
  <c r="M10461" i="3"/>
  <c r="J10461" i="3"/>
  <c r="K10461" i="3" s="1"/>
  <c r="H10461" i="3"/>
  <c r="G10461" i="3"/>
  <c r="M10460" i="3"/>
  <c r="J10460" i="3"/>
  <c r="K10460" i="3" s="1"/>
  <c r="H10460" i="3"/>
  <c r="G10460" i="3"/>
  <c r="M10459" i="3"/>
  <c r="J10459" i="3"/>
  <c r="K10459" i="3" s="1"/>
  <c r="H10459" i="3"/>
  <c r="G10459" i="3"/>
  <c r="M10458" i="3"/>
  <c r="J10458" i="3"/>
  <c r="K10458" i="3" s="1"/>
  <c r="H10458" i="3"/>
  <c r="G10458" i="3"/>
  <c r="M10457" i="3"/>
  <c r="J10457" i="3"/>
  <c r="K10457" i="3" s="1"/>
  <c r="H10457" i="3"/>
  <c r="G10457" i="3"/>
  <c r="M10456" i="3"/>
  <c r="J10456" i="3"/>
  <c r="K10456" i="3" s="1"/>
  <c r="H10456" i="3"/>
  <c r="G10456" i="3"/>
  <c r="M10455" i="3"/>
  <c r="J10455" i="3"/>
  <c r="K10455" i="3" s="1"/>
  <c r="H10455" i="3"/>
  <c r="G10455" i="3"/>
  <c r="M10454" i="3"/>
  <c r="J10454" i="3"/>
  <c r="K10454" i="3" s="1"/>
  <c r="H10454" i="3"/>
  <c r="G10454" i="3"/>
  <c r="M10453" i="3"/>
  <c r="J10453" i="3"/>
  <c r="K10453" i="3" s="1"/>
  <c r="H10453" i="3"/>
  <c r="G10453" i="3"/>
  <c r="M10452" i="3"/>
  <c r="J10452" i="3"/>
  <c r="K10452" i="3" s="1"/>
  <c r="H10452" i="3"/>
  <c r="G10452" i="3"/>
  <c r="M10451" i="3"/>
  <c r="J10451" i="3"/>
  <c r="K10451" i="3" s="1"/>
  <c r="H10451" i="3"/>
  <c r="G10451" i="3"/>
  <c r="M10450" i="3"/>
  <c r="J10450" i="3"/>
  <c r="K10450" i="3" s="1"/>
  <c r="H10450" i="3"/>
  <c r="G10450" i="3"/>
  <c r="M10449" i="3"/>
  <c r="J10449" i="3"/>
  <c r="K10449" i="3" s="1"/>
  <c r="H10449" i="3"/>
  <c r="G10449" i="3"/>
  <c r="M10448" i="3"/>
  <c r="J10448" i="3"/>
  <c r="K10448" i="3" s="1"/>
  <c r="H10448" i="3"/>
  <c r="G10448" i="3"/>
  <c r="M10447" i="3"/>
  <c r="J10447" i="3"/>
  <c r="K10447" i="3" s="1"/>
  <c r="H10447" i="3"/>
  <c r="G10447" i="3"/>
  <c r="M10446" i="3"/>
  <c r="J10446" i="3"/>
  <c r="K10446" i="3" s="1"/>
  <c r="H10446" i="3"/>
  <c r="G10446" i="3"/>
  <c r="M10445" i="3"/>
  <c r="J10445" i="3"/>
  <c r="K10445" i="3" s="1"/>
  <c r="H10445" i="3"/>
  <c r="G10445" i="3"/>
  <c r="M10444" i="3"/>
  <c r="J10444" i="3"/>
  <c r="K10444" i="3" s="1"/>
  <c r="H10444" i="3"/>
  <c r="G10444" i="3"/>
  <c r="M10443" i="3"/>
  <c r="J10443" i="3"/>
  <c r="K10443" i="3" s="1"/>
  <c r="H10443" i="3"/>
  <c r="G10443" i="3"/>
  <c r="M10442" i="3"/>
  <c r="J10442" i="3"/>
  <c r="K10442" i="3" s="1"/>
  <c r="H10442" i="3"/>
  <c r="G10442" i="3"/>
  <c r="S437" i="1"/>
  <c r="F437" i="1"/>
  <c r="M10419" i="3"/>
  <c r="S436" i="23"/>
  <c r="Y436" i="23"/>
  <c r="Z436" i="23"/>
  <c r="AG436" i="23"/>
  <c r="AH436" i="23"/>
  <c r="AL436" i="23"/>
  <c r="AM436" i="23"/>
  <c r="AN436" i="23"/>
  <c r="AO436" i="23"/>
  <c r="AP436" i="23"/>
  <c r="AT436" i="23"/>
  <c r="F436" i="23"/>
  <c r="M10441" i="3"/>
  <c r="J10441" i="3"/>
  <c r="K10441" i="3" s="1"/>
  <c r="H10441" i="3"/>
  <c r="G10441" i="3"/>
  <c r="M10440" i="3"/>
  <c r="J10440" i="3"/>
  <c r="K10440" i="3" s="1"/>
  <c r="H10440" i="3"/>
  <c r="G10440" i="3"/>
  <c r="M10439" i="3"/>
  <c r="J10439" i="3"/>
  <c r="K10439" i="3" s="1"/>
  <c r="H10439" i="3"/>
  <c r="G10439" i="3"/>
  <c r="M10438" i="3"/>
  <c r="J10438" i="3"/>
  <c r="K10438" i="3" s="1"/>
  <c r="H10438" i="3"/>
  <c r="G10438" i="3"/>
  <c r="M10437" i="3"/>
  <c r="J10437" i="3"/>
  <c r="K10437" i="3" s="1"/>
  <c r="H10437" i="3"/>
  <c r="G10437" i="3"/>
  <c r="M10436" i="3"/>
  <c r="J10436" i="3"/>
  <c r="K10436" i="3" s="1"/>
  <c r="H10436" i="3"/>
  <c r="G10436" i="3"/>
  <c r="M10435" i="3"/>
  <c r="J10435" i="3"/>
  <c r="K10435" i="3" s="1"/>
  <c r="H10435" i="3"/>
  <c r="G10435" i="3"/>
  <c r="M10434" i="3"/>
  <c r="J10434" i="3"/>
  <c r="K10434" i="3" s="1"/>
  <c r="H10434" i="3"/>
  <c r="G10434" i="3"/>
  <c r="M10433" i="3"/>
  <c r="J10433" i="3"/>
  <c r="K10433" i="3" s="1"/>
  <c r="H10433" i="3"/>
  <c r="G10433" i="3"/>
  <c r="M10432" i="3"/>
  <c r="J10432" i="3"/>
  <c r="K10432" i="3" s="1"/>
  <c r="H10432" i="3"/>
  <c r="G10432" i="3"/>
  <c r="M10431" i="3"/>
  <c r="J10431" i="3"/>
  <c r="K10431" i="3" s="1"/>
  <c r="H10431" i="3"/>
  <c r="G10431" i="3"/>
  <c r="M10430" i="3"/>
  <c r="J10430" i="3"/>
  <c r="K10430" i="3" s="1"/>
  <c r="H10430" i="3"/>
  <c r="G10430" i="3"/>
  <c r="M10429" i="3"/>
  <c r="J10429" i="3"/>
  <c r="K10429" i="3" s="1"/>
  <c r="H10429" i="3"/>
  <c r="G10429" i="3"/>
  <c r="M10428" i="3"/>
  <c r="J10428" i="3"/>
  <c r="K10428" i="3" s="1"/>
  <c r="H10428" i="3"/>
  <c r="G10428" i="3"/>
  <c r="M10427" i="3"/>
  <c r="J10427" i="3"/>
  <c r="K10427" i="3" s="1"/>
  <c r="H10427" i="3"/>
  <c r="G10427" i="3"/>
  <c r="M10426" i="3"/>
  <c r="J10426" i="3"/>
  <c r="K10426" i="3" s="1"/>
  <c r="H10426" i="3"/>
  <c r="G10426" i="3"/>
  <c r="M10425" i="3"/>
  <c r="J10425" i="3"/>
  <c r="K10425" i="3" s="1"/>
  <c r="H10425" i="3"/>
  <c r="G10425" i="3"/>
  <c r="M10424" i="3"/>
  <c r="J10424" i="3"/>
  <c r="K10424" i="3" s="1"/>
  <c r="H10424" i="3"/>
  <c r="G10424" i="3"/>
  <c r="M10423" i="3"/>
  <c r="J10423" i="3"/>
  <c r="K10423" i="3" s="1"/>
  <c r="H10423" i="3"/>
  <c r="G10423" i="3"/>
  <c r="M10422" i="3"/>
  <c r="J10422" i="3"/>
  <c r="K10422" i="3" s="1"/>
  <c r="H10422" i="3"/>
  <c r="G10422" i="3"/>
  <c r="M10421" i="3"/>
  <c r="J10421" i="3"/>
  <c r="K10421" i="3" s="1"/>
  <c r="H10421" i="3"/>
  <c r="G10421" i="3"/>
  <c r="M10420" i="3"/>
  <c r="J10420" i="3"/>
  <c r="K10420" i="3" s="1"/>
  <c r="H10420" i="3"/>
  <c r="G10420" i="3"/>
  <c r="J10419" i="3"/>
  <c r="K10419" i="3" s="1"/>
  <c r="H10419" i="3"/>
  <c r="G10419" i="3"/>
  <c r="M10418" i="3"/>
  <c r="J10418" i="3"/>
  <c r="K10418" i="3" s="1"/>
  <c r="H10418" i="3"/>
  <c r="G10418" i="3"/>
  <c r="S436" i="1"/>
  <c r="F436" i="1"/>
  <c r="AT432" i="23"/>
  <c r="AT433" i="23"/>
  <c r="AT434" i="23"/>
  <c r="AS435" i="23"/>
  <c r="AT435" i="23"/>
  <c r="Z435" i="23"/>
  <c r="S434" i="23"/>
  <c r="Y434" i="23"/>
  <c r="Z434" i="23"/>
  <c r="AG434" i="23"/>
  <c r="AL434" i="23"/>
  <c r="AN434" i="23"/>
  <c r="AO434" i="23"/>
  <c r="AP434" i="23"/>
  <c r="S435" i="23"/>
  <c r="Y435" i="23"/>
  <c r="AG435" i="23"/>
  <c r="AH435" i="23"/>
  <c r="AL435" i="23"/>
  <c r="AM435" i="23"/>
  <c r="AN435" i="23"/>
  <c r="AO435" i="23"/>
  <c r="AP435" i="23"/>
  <c r="F435" i="23"/>
  <c r="F434" i="23"/>
  <c r="G10395" i="3"/>
  <c r="M10417" i="3"/>
  <c r="J10417" i="3"/>
  <c r="K10417" i="3" s="1"/>
  <c r="H10417" i="3"/>
  <c r="G10417" i="3"/>
  <c r="M10416" i="3"/>
  <c r="J10416" i="3"/>
  <c r="K10416" i="3" s="1"/>
  <c r="H10416" i="3"/>
  <c r="G10416" i="3"/>
  <c r="M10415" i="3"/>
  <c r="J10415" i="3"/>
  <c r="K10415" i="3" s="1"/>
  <c r="H10415" i="3"/>
  <c r="G10415" i="3"/>
  <c r="M10414" i="3"/>
  <c r="J10414" i="3"/>
  <c r="K10414" i="3" s="1"/>
  <c r="H10414" i="3"/>
  <c r="G10414" i="3"/>
  <c r="M10413" i="3"/>
  <c r="J10413" i="3"/>
  <c r="K10413" i="3" s="1"/>
  <c r="H10413" i="3"/>
  <c r="G10413" i="3"/>
  <c r="M10412" i="3"/>
  <c r="J10412" i="3"/>
  <c r="K10412" i="3" s="1"/>
  <c r="H10412" i="3"/>
  <c r="G10412" i="3"/>
  <c r="M10411" i="3"/>
  <c r="J10411" i="3"/>
  <c r="K10411" i="3" s="1"/>
  <c r="H10411" i="3"/>
  <c r="G10411" i="3"/>
  <c r="M10410" i="3"/>
  <c r="J10410" i="3"/>
  <c r="K10410" i="3" s="1"/>
  <c r="H10410" i="3"/>
  <c r="G10410" i="3"/>
  <c r="M10409" i="3"/>
  <c r="J10409" i="3"/>
  <c r="K10409" i="3" s="1"/>
  <c r="H10409" i="3"/>
  <c r="G10409" i="3"/>
  <c r="M10408" i="3"/>
  <c r="J10408" i="3"/>
  <c r="K10408" i="3" s="1"/>
  <c r="H10408" i="3"/>
  <c r="G10408" i="3"/>
  <c r="M10407" i="3"/>
  <c r="J10407" i="3"/>
  <c r="K10407" i="3" s="1"/>
  <c r="H10407" i="3"/>
  <c r="G10407" i="3"/>
  <c r="M10406" i="3"/>
  <c r="J10406" i="3"/>
  <c r="K10406" i="3" s="1"/>
  <c r="H10406" i="3"/>
  <c r="G10406" i="3"/>
  <c r="M10405" i="3"/>
  <c r="J10405" i="3"/>
  <c r="K10405" i="3" s="1"/>
  <c r="H10405" i="3"/>
  <c r="G10405" i="3"/>
  <c r="M10404" i="3"/>
  <c r="J10404" i="3"/>
  <c r="K10404" i="3" s="1"/>
  <c r="H10404" i="3"/>
  <c r="G10404" i="3"/>
  <c r="M10403" i="3"/>
  <c r="J10403" i="3"/>
  <c r="K10403" i="3" s="1"/>
  <c r="H10403" i="3"/>
  <c r="G10403" i="3"/>
  <c r="M10402" i="3"/>
  <c r="J10402" i="3"/>
  <c r="K10402" i="3" s="1"/>
  <c r="H10402" i="3"/>
  <c r="G10402" i="3"/>
  <c r="M10401" i="3"/>
  <c r="J10401" i="3"/>
  <c r="K10401" i="3" s="1"/>
  <c r="H10401" i="3"/>
  <c r="G10401" i="3"/>
  <c r="M10400" i="3"/>
  <c r="J10400" i="3"/>
  <c r="K10400" i="3" s="1"/>
  <c r="H10400" i="3"/>
  <c r="G10400" i="3"/>
  <c r="M10399" i="3"/>
  <c r="J10399" i="3"/>
  <c r="K10399" i="3" s="1"/>
  <c r="H10399" i="3"/>
  <c r="G10399" i="3"/>
  <c r="M10398" i="3"/>
  <c r="J10398" i="3"/>
  <c r="K10398" i="3" s="1"/>
  <c r="H10398" i="3"/>
  <c r="G10398" i="3"/>
  <c r="M10397" i="3"/>
  <c r="J10397" i="3"/>
  <c r="K10397" i="3" s="1"/>
  <c r="H10397" i="3"/>
  <c r="G10397" i="3"/>
  <c r="M10396" i="3"/>
  <c r="J10396" i="3"/>
  <c r="K10396" i="3" s="1"/>
  <c r="H10396" i="3"/>
  <c r="G10396" i="3"/>
  <c r="M10395" i="3"/>
  <c r="J10395" i="3"/>
  <c r="K10395" i="3" s="1"/>
  <c r="H10395" i="3"/>
  <c r="M10394" i="3"/>
  <c r="J10394" i="3"/>
  <c r="K10394" i="3" s="1"/>
  <c r="H10394" i="3"/>
  <c r="G10394" i="3"/>
  <c r="S435" i="1"/>
  <c r="F435" i="1"/>
  <c r="M10393" i="3"/>
  <c r="J10393" i="3"/>
  <c r="K10393" i="3" s="1"/>
  <c r="H10393" i="3"/>
  <c r="G10393" i="3"/>
  <c r="M10392" i="3"/>
  <c r="J10392" i="3"/>
  <c r="K10392" i="3" s="1"/>
  <c r="H10392" i="3"/>
  <c r="G10392" i="3"/>
  <c r="M10391" i="3"/>
  <c r="J10391" i="3"/>
  <c r="K10391" i="3" s="1"/>
  <c r="H10391" i="3"/>
  <c r="G10391" i="3"/>
  <c r="M10390" i="3"/>
  <c r="J10390" i="3"/>
  <c r="K10390" i="3" s="1"/>
  <c r="H10390" i="3"/>
  <c r="G10390" i="3"/>
  <c r="M10389" i="3"/>
  <c r="J10389" i="3"/>
  <c r="K10389" i="3" s="1"/>
  <c r="H10389" i="3"/>
  <c r="G10389" i="3"/>
  <c r="M10388" i="3"/>
  <c r="J10388" i="3"/>
  <c r="K10388" i="3" s="1"/>
  <c r="H10388" i="3"/>
  <c r="G10388" i="3"/>
  <c r="M10387" i="3"/>
  <c r="J10387" i="3"/>
  <c r="K10387" i="3" s="1"/>
  <c r="H10387" i="3"/>
  <c r="G10387" i="3"/>
  <c r="M10386" i="3"/>
  <c r="J10386" i="3"/>
  <c r="K10386" i="3" s="1"/>
  <c r="H10386" i="3"/>
  <c r="G10386" i="3"/>
  <c r="M10385" i="3"/>
  <c r="J10385" i="3"/>
  <c r="K10385" i="3" s="1"/>
  <c r="H10385" i="3"/>
  <c r="G10385" i="3"/>
  <c r="M10384" i="3"/>
  <c r="J10384" i="3"/>
  <c r="K10384" i="3" s="1"/>
  <c r="H10384" i="3"/>
  <c r="G10384" i="3"/>
  <c r="M10383" i="3"/>
  <c r="J10383" i="3"/>
  <c r="K10383" i="3" s="1"/>
  <c r="H10383" i="3"/>
  <c r="G10383" i="3"/>
  <c r="M10382" i="3"/>
  <c r="J10382" i="3"/>
  <c r="K10382" i="3" s="1"/>
  <c r="H10382" i="3"/>
  <c r="G10382" i="3"/>
  <c r="M10381" i="3"/>
  <c r="J10381" i="3"/>
  <c r="K10381" i="3" s="1"/>
  <c r="H10381" i="3"/>
  <c r="G10381" i="3"/>
  <c r="M10380" i="3"/>
  <c r="J10380" i="3"/>
  <c r="K10380" i="3" s="1"/>
  <c r="H10380" i="3"/>
  <c r="G10380" i="3"/>
  <c r="M10379" i="3"/>
  <c r="J10379" i="3"/>
  <c r="K10379" i="3" s="1"/>
  <c r="H10379" i="3"/>
  <c r="G10379" i="3"/>
  <c r="M10378" i="3"/>
  <c r="J10378" i="3"/>
  <c r="K10378" i="3" s="1"/>
  <c r="H10378" i="3"/>
  <c r="G10378" i="3"/>
  <c r="M10377" i="3"/>
  <c r="J10377" i="3"/>
  <c r="K10377" i="3" s="1"/>
  <c r="H10377" i="3"/>
  <c r="G10377" i="3"/>
  <c r="M10376" i="3"/>
  <c r="J10376" i="3"/>
  <c r="K10376" i="3" s="1"/>
  <c r="H10376" i="3"/>
  <c r="G10376" i="3"/>
  <c r="M10375" i="3"/>
  <c r="J10375" i="3"/>
  <c r="K10375" i="3" s="1"/>
  <c r="H10375" i="3"/>
  <c r="G10375" i="3"/>
  <c r="M10374" i="3"/>
  <c r="J10374" i="3"/>
  <c r="K10374" i="3" s="1"/>
  <c r="H10374" i="3"/>
  <c r="G10374" i="3"/>
  <c r="M10373" i="3"/>
  <c r="J10373" i="3"/>
  <c r="K10373" i="3" s="1"/>
  <c r="H10373" i="3"/>
  <c r="G10373" i="3"/>
  <c r="M10372" i="3"/>
  <c r="J10372" i="3"/>
  <c r="K10372" i="3" s="1"/>
  <c r="H10372" i="3"/>
  <c r="G10372" i="3"/>
  <c r="M10371" i="3"/>
  <c r="J10371" i="3"/>
  <c r="K10371" i="3" s="1"/>
  <c r="H10371" i="3"/>
  <c r="G10371" i="3"/>
  <c r="M10370" i="3"/>
  <c r="J10370" i="3"/>
  <c r="K10370" i="3" s="1"/>
  <c r="H10370" i="3"/>
  <c r="G10370" i="3"/>
  <c r="S434" i="1"/>
  <c r="F434" i="1"/>
  <c r="S433" i="23"/>
  <c r="S428" i="23"/>
  <c r="S429" i="23"/>
  <c r="S430" i="23"/>
  <c r="S431" i="23"/>
  <c r="S432" i="23"/>
  <c r="Y429" i="23"/>
  <c r="Y430" i="23"/>
  <c r="Y431" i="23"/>
  <c r="Y432" i="23"/>
  <c r="Y433" i="23"/>
  <c r="M433" i="1"/>
  <c r="M430" i="1"/>
  <c r="N430" i="1"/>
  <c r="P430" i="1"/>
  <c r="M431" i="1"/>
  <c r="N431" i="1"/>
  <c r="O437" i="1" s="1"/>
  <c r="P431" i="1"/>
  <c r="M429" i="1"/>
  <c r="AL433" i="23"/>
  <c r="AN433" i="23"/>
  <c r="AO433" i="23"/>
  <c r="AP433" i="23"/>
  <c r="AG433" i="23"/>
  <c r="F433" i="23"/>
  <c r="M10369" i="3"/>
  <c r="J10369" i="3"/>
  <c r="K10369" i="3" s="1"/>
  <c r="H10369" i="3"/>
  <c r="G10369" i="3"/>
  <c r="M10368" i="3"/>
  <c r="J10368" i="3"/>
  <c r="K10368" i="3" s="1"/>
  <c r="H10368" i="3"/>
  <c r="G10368" i="3"/>
  <c r="M10367" i="3"/>
  <c r="J10367" i="3"/>
  <c r="K10367" i="3" s="1"/>
  <c r="H10367" i="3"/>
  <c r="G10367" i="3"/>
  <c r="M10366" i="3"/>
  <c r="J10366" i="3"/>
  <c r="K10366" i="3" s="1"/>
  <c r="H10366" i="3"/>
  <c r="G10366" i="3"/>
  <c r="M10365" i="3"/>
  <c r="J10365" i="3"/>
  <c r="K10365" i="3" s="1"/>
  <c r="H10365" i="3"/>
  <c r="G10365" i="3"/>
  <c r="M10364" i="3"/>
  <c r="J10364" i="3"/>
  <c r="K10364" i="3" s="1"/>
  <c r="H10364" i="3"/>
  <c r="G10364" i="3"/>
  <c r="M10363" i="3"/>
  <c r="J10363" i="3"/>
  <c r="K10363" i="3" s="1"/>
  <c r="H10363" i="3"/>
  <c r="G10363" i="3"/>
  <c r="M10362" i="3"/>
  <c r="J10362" i="3"/>
  <c r="K10362" i="3" s="1"/>
  <c r="H10362" i="3"/>
  <c r="G10362" i="3"/>
  <c r="M10361" i="3"/>
  <c r="J10361" i="3"/>
  <c r="K10361" i="3" s="1"/>
  <c r="H10361" i="3"/>
  <c r="G10361" i="3"/>
  <c r="M10360" i="3"/>
  <c r="J10360" i="3"/>
  <c r="K10360" i="3" s="1"/>
  <c r="H10360" i="3"/>
  <c r="G10360" i="3"/>
  <c r="M10359" i="3"/>
  <c r="J10359" i="3"/>
  <c r="K10359" i="3" s="1"/>
  <c r="H10359" i="3"/>
  <c r="G10359" i="3"/>
  <c r="M10358" i="3"/>
  <c r="J10358" i="3"/>
  <c r="K10358" i="3" s="1"/>
  <c r="H10358" i="3"/>
  <c r="G10358" i="3"/>
  <c r="M10357" i="3"/>
  <c r="J10357" i="3"/>
  <c r="K10357" i="3" s="1"/>
  <c r="H10357" i="3"/>
  <c r="G10357" i="3"/>
  <c r="M10356" i="3"/>
  <c r="J10356" i="3"/>
  <c r="K10356" i="3" s="1"/>
  <c r="H10356" i="3"/>
  <c r="G10356" i="3"/>
  <c r="M10355" i="3"/>
  <c r="J10355" i="3"/>
  <c r="K10355" i="3" s="1"/>
  <c r="H10355" i="3"/>
  <c r="G10355" i="3"/>
  <c r="M10354" i="3"/>
  <c r="J10354" i="3"/>
  <c r="K10354" i="3" s="1"/>
  <c r="H10354" i="3"/>
  <c r="G10354" i="3"/>
  <c r="M10353" i="3"/>
  <c r="J10353" i="3"/>
  <c r="K10353" i="3" s="1"/>
  <c r="H10353" i="3"/>
  <c r="G10353" i="3"/>
  <c r="M10352" i="3"/>
  <c r="J10352" i="3"/>
  <c r="K10352" i="3" s="1"/>
  <c r="H10352" i="3"/>
  <c r="G10352" i="3"/>
  <c r="M10351" i="3"/>
  <c r="J10351" i="3"/>
  <c r="K10351" i="3" s="1"/>
  <c r="H10351" i="3"/>
  <c r="G10351" i="3"/>
  <c r="M10350" i="3"/>
  <c r="J10350" i="3"/>
  <c r="K10350" i="3" s="1"/>
  <c r="H10350" i="3"/>
  <c r="G10350" i="3"/>
  <c r="M10349" i="3"/>
  <c r="J10349" i="3"/>
  <c r="K10349" i="3" s="1"/>
  <c r="H10349" i="3"/>
  <c r="G10349" i="3"/>
  <c r="M10348" i="3"/>
  <c r="J10348" i="3"/>
  <c r="K10348" i="3" s="1"/>
  <c r="H10348" i="3"/>
  <c r="G10348" i="3"/>
  <c r="M10347" i="3"/>
  <c r="J10347" i="3"/>
  <c r="K10347" i="3" s="1"/>
  <c r="H10347" i="3"/>
  <c r="G10347" i="3"/>
  <c r="M10346" i="3"/>
  <c r="J10346" i="3"/>
  <c r="K10346" i="3" s="1"/>
  <c r="H10346" i="3"/>
  <c r="G10346" i="3"/>
  <c r="S433" i="1"/>
  <c r="F433" i="1"/>
  <c r="AG432" i="23"/>
  <c r="AL432" i="23"/>
  <c r="AN432" i="23"/>
  <c r="AO432" i="23"/>
  <c r="AP432" i="23"/>
  <c r="F432" i="23"/>
  <c r="S432" i="1"/>
  <c r="F432" i="1"/>
  <c r="M10345" i="3"/>
  <c r="J10345" i="3"/>
  <c r="K10345" i="3" s="1"/>
  <c r="H10345" i="3"/>
  <c r="G10345" i="3"/>
  <c r="M10344" i="3"/>
  <c r="J10344" i="3"/>
  <c r="K10344" i="3" s="1"/>
  <c r="H10344" i="3"/>
  <c r="G10344" i="3"/>
  <c r="M10343" i="3"/>
  <c r="J10343" i="3"/>
  <c r="K10343" i="3" s="1"/>
  <c r="H10343" i="3"/>
  <c r="G10343" i="3"/>
  <c r="M10342" i="3"/>
  <c r="J10342" i="3"/>
  <c r="K10342" i="3" s="1"/>
  <c r="H10342" i="3"/>
  <c r="G10342" i="3"/>
  <c r="M10341" i="3"/>
  <c r="J10341" i="3"/>
  <c r="K10341" i="3" s="1"/>
  <c r="H10341" i="3"/>
  <c r="G10341" i="3"/>
  <c r="M10340" i="3"/>
  <c r="J10340" i="3"/>
  <c r="K10340" i="3" s="1"/>
  <c r="H10340" i="3"/>
  <c r="G10340" i="3"/>
  <c r="M10339" i="3"/>
  <c r="J10339" i="3"/>
  <c r="K10339" i="3" s="1"/>
  <c r="H10339" i="3"/>
  <c r="G10339" i="3"/>
  <c r="M10338" i="3"/>
  <c r="J10338" i="3"/>
  <c r="K10338" i="3" s="1"/>
  <c r="H10338" i="3"/>
  <c r="G10338" i="3"/>
  <c r="M10337" i="3"/>
  <c r="J10337" i="3"/>
  <c r="K10337" i="3" s="1"/>
  <c r="H10337" i="3"/>
  <c r="G10337" i="3"/>
  <c r="M10336" i="3"/>
  <c r="J10336" i="3"/>
  <c r="K10336" i="3" s="1"/>
  <c r="H10336" i="3"/>
  <c r="G10336" i="3"/>
  <c r="M10335" i="3"/>
  <c r="J10335" i="3"/>
  <c r="K10335" i="3" s="1"/>
  <c r="H10335" i="3"/>
  <c r="G10335" i="3"/>
  <c r="M10334" i="3"/>
  <c r="J10334" i="3"/>
  <c r="K10334" i="3" s="1"/>
  <c r="H10334" i="3"/>
  <c r="G10334" i="3"/>
  <c r="M10333" i="3"/>
  <c r="J10333" i="3"/>
  <c r="K10333" i="3" s="1"/>
  <c r="H10333" i="3"/>
  <c r="G10333" i="3"/>
  <c r="M10332" i="3"/>
  <c r="J10332" i="3"/>
  <c r="K10332" i="3" s="1"/>
  <c r="H10332" i="3"/>
  <c r="G10332" i="3"/>
  <c r="M10331" i="3"/>
  <c r="J10331" i="3"/>
  <c r="K10331" i="3" s="1"/>
  <c r="H10331" i="3"/>
  <c r="G10331" i="3"/>
  <c r="M10330" i="3"/>
  <c r="J10330" i="3"/>
  <c r="K10330" i="3" s="1"/>
  <c r="H10330" i="3"/>
  <c r="G10330" i="3"/>
  <c r="M10329" i="3"/>
  <c r="J10329" i="3"/>
  <c r="K10329" i="3" s="1"/>
  <c r="H10329" i="3"/>
  <c r="G10329" i="3"/>
  <c r="M10328" i="3"/>
  <c r="J10328" i="3"/>
  <c r="K10328" i="3" s="1"/>
  <c r="H10328" i="3"/>
  <c r="G10328" i="3"/>
  <c r="M10327" i="3"/>
  <c r="J10327" i="3"/>
  <c r="K10327" i="3" s="1"/>
  <c r="H10327" i="3"/>
  <c r="G10327" i="3"/>
  <c r="M10326" i="3"/>
  <c r="J10326" i="3"/>
  <c r="K10326" i="3" s="1"/>
  <c r="H10326" i="3"/>
  <c r="G10326" i="3"/>
  <c r="M10325" i="3"/>
  <c r="J10325" i="3"/>
  <c r="K10325" i="3" s="1"/>
  <c r="H10325" i="3"/>
  <c r="G10325" i="3"/>
  <c r="M10324" i="3"/>
  <c r="J10324" i="3"/>
  <c r="K10324" i="3" s="1"/>
  <c r="H10324" i="3"/>
  <c r="G10324" i="3"/>
  <c r="M10323" i="3"/>
  <c r="J10323" i="3"/>
  <c r="K10323" i="3" s="1"/>
  <c r="H10323" i="3"/>
  <c r="G10323" i="3"/>
  <c r="M10322" i="3"/>
  <c r="J10322" i="3"/>
  <c r="K10322" i="3" s="1"/>
  <c r="H10322" i="3"/>
  <c r="G10322" i="3"/>
  <c r="AL213" i="23"/>
  <c r="AL214" i="23"/>
  <c r="AL215" i="23"/>
  <c r="AL216" i="23"/>
  <c r="AL217" i="23"/>
  <c r="AL218" i="23"/>
  <c r="AL219" i="23"/>
  <c r="AL220" i="23"/>
  <c r="AL221" i="23"/>
  <c r="AL222" i="23"/>
  <c r="AL223" i="23"/>
  <c r="AL224" i="23"/>
  <c r="AL225" i="23"/>
  <c r="AL226" i="23"/>
  <c r="AL227" i="23"/>
  <c r="AL228" i="23"/>
  <c r="AL229" i="23"/>
  <c r="AL230" i="23"/>
  <c r="AL231" i="23"/>
  <c r="AL232" i="23"/>
  <c r="AL233" i="23"/>
  <c r="AL234" i="23"/>
  <c r="AL235" i="23"/>
  <c r="AL236" i="23"/>
  <c r="AL237" i="23"/>
  <c r="AL238" i="23"/>
  <c r="AL239" i="23"/>
  <c r="AL240" i="23"/>
  <c r="AL241" i="23"/>
  <c r="AL242" i="23"/>
  <c r="AL243" i="23"/>
  <c r="AL244" i="23"/>
  <c r="AL245" i="23"/>
  <c r="AL246" i="23"/>
  <c r="AL247" i="23"/>
  <c r="AL248" i="23"/>
  <c r="AL249" i="23"/>
  <c r="AL250" i="23"/>
  <c r="AL251" i="23"/>
  <c r="AL252" i="23"/>
  <c r="AL253" i="23"/>
  <c r="AL254" i="23"/>
  <c r="AL255" i="23"/>
  <c r="AL256" i="23"/>
  <c r="AL257" i="23"/>
  <c r="AL258" i="23"/>
  <c r="AL259" i="23"/>
  <c r="AL260" i="23"/>
  <c r="AL261" i="23"/>
  <c r="AL262" i="23"/>
  <c r="AL263" i="23"/>
  <c r="AL264" i="23"/>
  <c r="AL265" i="23"/>
  <c r="AL266" i="23"/>
  <c r="AL267" i="23"/>
  <c r="AL268" i="23"/>
  <c r="AL269" i="23"/>
  <c r="AL270" i="23"/>
  <c r="AL271" i="23"/>
  <c r="AL272" i="23"/>
  <c r="AL273" i="23"/>
  <c r="AL274" i="23"/>
  <c r="AL275" i="23"/>
  <c r="AL276" i="23"/>
  <c r="AL277" i="23"/>
  <c r="AL278" i="23"/>
  <c r="AL279" i="23"/>
  <c r="AL280" i="23"/>
  <c r="AL281" i="23"/>
  <c r="AL282" i="23"/>
  <c r="AL283" i="23"/>
  <c r="AL284" i="23"/>
  <c r="AL285" i="23"/>
  <c r="AL286" i="23"/>
  <c r="AL287" i="23"/>
  <c r="AL288" i="23"/>
  <c r="AL289" i="23"/>
  <c r="AL290" i="23"/>
  <c r="AL291" i="23"/>
  <c r="AL292" i="23"/>
  <c r="AL293" i="23"/>
  <c r="AL294" i="23"/>
  <c r="AL295" i="23"/>
  <c r="AL296" i="23"/>
  <c r="AL297" i="23"/>
  <c r="AL298" i="23"/>
  <c r="AL299" i="23"/>
  <c r="AL300" i="23"/>
  <c r="AL301" i="23"/>
  <c r="AL302" i="23"/>
  <c r="AL303" i="23"/>
  <c r="AL304" i="23"/>
  <c r="AL305" i="23"/>
  <c r="AL306" i="23"/>
  <c r="AL307" i="23"/>
  <c r="AL308" i="23"/>
  <c r="AL309" i="23"/>
  <c r="AL310" i="23"/>
  <c r="AL311" i="23"/>
  <c r="AL312" i="23"/>
  <c r="AL313" i="23"/>
  <c r="AL314" i="23"/>
  <c r="AL315" i="23"/>
  <c r="AL316" i="23"/>
  <c r="AL317" i="23"/>
  <c r="AL318" i="23"/>
  <c r="AL319" i="23"/>
  <c r="AL320" i="23"/>
  <c r="AL321" i="23"/>
  <c r="AL322" i="23"/>
  <c r="AL323" i="23"/>
  <c r="AL324" i="23"/>
  <c r="AL325" i="23"/>
  <c r="AL326" i="23"/>
  <c r="AL327" i="23"/>
  <c r="AL328" i="23"/>
  <c r="AL329" i="23"/>
  <c r="AL330" i="23"/>
  <c r="AL331" i="23"/>
  <c r="AL332" i="23"/>
  <c r="AL333" i="23"/>
  <c r="AL334" i="23"/>
  <c r="AL335" i="23"/>
  <c r="AL336" i="23"/>
  <c r="AL337" i="23"/>
  <c r="AL338" i="23"/>
  <c r="AL339" i="23"/>
  <c r="AL340" i="23"/>
  <c r="AL341" i="23"/>
  <c r="AL342" i="23"/>
  <c r="AL343" i="23"/>
  <c r="AL344" i="23"/>
  <c r="AL345" i="23"/>
  <c r="AL346" i="23"/>
  <c r="AL347" i="23"/>
  <c r="AL348" i="23"/>
  <c r="AL349" i="23"/>
  <c r="AL350" i="23"/>
  <c r="AL351" i="23"/>
  <c r="AL352" i="23"/>
  <c r="AL353" i="23"/>
  <c r="AL354" i="23"/>
  <c r="AL355" i="23"/>
  <c r="AL356" i="23"/>
  <c r="AL357" i="23"/>
  <c r="AL358" i="23"/>
  <c r="AL359" i="23"/>
  <c r="AL360" i="23"/>
  <c r="AL361" i="23"/>
  <c r="AL362" i="23"/>
  <c r="AL363" i="23"/>
  <c r="AL364" i="23"/>
  <c r="AL365" i="23"/>
  <c r="AL366" i="23"/>
  <c r="AL367" i="23"/>
  <c r="AL368" i="23"/>
  <c r="AL369" i="23"/>
  <c r="AL370" i="23"/>
  <c r="AL371" i="23"/>
  <c r="AL372" i="23"/>
  <c r="AL373" i="23"/>
  <c r="AL374" i="23"/>
  <c r="AL375" i="23"/>
  <c r="AL376" i="23"/>
  <c r="AL377" i="23"/>
  <c r="AL378" i="23"/>
  <c r="AL379" i="23"/>
  <c r="AL380" i="23"/>
  <c r="AL381" i="23"/>
  <c r="AL382" i="23"/>
  <c r="AL383" i="23"/>
  <c r="AL384" i="23"/>
  <c r="AL385" i="23"/>
  <c r="AL386" i="23"/>
  <c r="AL387" i="23"/>
  <c r="AL388" i="23"/>
  <c r="AL389" i="23"/>
  <c r="AL390" i="23"/>
  <c r="AL391" i="23"/>
  <c r="AL392" i="23"/>
  <c r="AL393" i="23"/>
  <c r="AL394" i="23"/>
  <c r="AL395" i="23"/>
  <c r="AL396" i="23"/>
  <c r="AL397" i="23"/>
  <c r="AL398" i="23"/>
  <c r="AL399" i="23"/>
  <c r="AL400" i="23"/>
  <c r="AL401" i="23"/>
  <c r="AL402" i="23"/>
  <c r="AL403" i="23"/>
  <c r="AL404" i="23"/>
  <c r="AL405" i="23"/>
  <c r="AL406" i="23"/>
  <c r="AL407" i="23"/>
  <c r="AL408" i="23"/>
  <c r="AL409" i="23"/>
  <c r="AL410" i="23"/>
  <c r="AL411" i="23"/>
  <c r="AL412" i="23"/>
  <c r="AL413" i="23"/>
  <c r="AL414" i="23"/>
  <c r="AL415" i="23"/>
  <c r="AL416" i="23"/>
  <c r="AL417" i="23"/>
  <c r="AL418" i="23"/>
  <c r="AL419" i="23"/>
  <c r="AL420" i="23"/>
  <c r="AL421" i="23"/>
  <c r="AL422" i="23"/>
  <c r="AL423" i="23"/>
  <c r="AL424" i="23"/>
  <c r="AL425" i="23"/>
  <c r="AL426" i="23"/>
  <c r="AL427" i="23"/>
  <c r="AL431" i="23"/>
  <c r="AP431" i="23"/>
  <c r="AP411" i="23"/>
  <c r="AP412" i="23"/>
  <c r="AP413" i="23"/>
  <c r="AP414" i="23"/>
  <c r="AP415" i="23"/>
  <c r="AP416" i="23"/>
  <c r="AP417" i="23"/>
  <c r="AP418" i="23"/>
  <c r="AP419" i="23"/>
  <c r="AP420" i="23"/>
  <c r="AP421" i="23"/>
  <c r="AP422" i="23"/>
  <c r="AP423" i="23"/>
  <c r="AP424" i="23"/>
  <c r="AP425" i="23"/>
  <c r="AP426" i="23"/>
  <c r="AP427" i="23"/>
  <c r="AP428" i="23"/>
  <c r="AP429" i="23"/>
  <c r="AP430" i="23"/>
  <c r="AO431" i="23"/>
  <c r="AL430" i="23"/>
  <c r="AN430" i="23"/>
  <c r="AO430" i="23"/>
  <c r="AT430" i="23"/>
  <c r="AN431" i="23"/>
  <c r="AT431" i="23"/>
  <c r="AA424" i="23"/>
  <c r="AH431" i="23" s="1"/>
  <c r="AG430" i="23"/>
  <c r="AG431" i="23"/>
  <c r="J431" i="23"/>
  <c r="J432" i="23" s="1"/>
  <c r="J433" i="23" s="1"/>
  <c r="J434" i="23" s="1"/>
  <c r="J435" i="23" s="1"/>
  <c r="J436" i="23" s="1"/>
  <c r="F431" i="23"/>
  <c r="J430" i="23"/>
  <c r="F430" i="23"/>
  <c r="F429" i="23"/>
  <c r="AL429" i="23"/>
  <c r="AN429" i="23"/>
  <c r="AO429" i="23"/>
  <c r="AT429" i="23"/>
  <c r="AG429" i="23"/>
  <c r="J430" i="1"/>
  <c r="J431" i="1"/>
  <c r="J432" i="1" s="1"/>
  <c r="J433" i="1" s="1"/>
  <c r="J434" i="1" s="1"/>
  <c r="J435" i="1" s="1"/>
  <c r="J436" i="1" s="1"/>
  <c r="J437" i="1" s="1"/>
  <c r="J438" i="1" s="1"/>
  <c r="J439" i="1" s="1"/>
  <c r="J440" i="1" s="1"/>
  <c r="J441" i="1" s="1"/>
  <c r="J442" i="1" s="1"/>
  <c r="J443" i="1" s="1"/>
  <c r="J444" i="1" s="1"/>
  <c r="J445" i="1" s="1"/>
  <c r="J446" i="1" s="1"/>
  <c r="J447" i="1" s="1"/>
  <c r="J448" i="1" s="1"/>
  <c r="J449" i="1" s="1"/>
  <c r="J450" i="1" s="1"/>
  <c r="J451" i="1" s="1"/>
  <c r="J452" i="1" s="1"/>
  <c r="J453" i="1" s="1"/>
  <c r="J454" i="1" s="1"/>
  <c r="J455" i="1" s="1"/>
  <c r="J456" i="1" s="1"/>
  <c r="J457" i="1" s="1"/>
  <c r="J458" i="1" s="1"/>
  <c r="J459" i="1" s="1"/>
  <c r="J460" i="1" s="1"/>
  <c r="J461" i="1" s="1"/>
  <c r="J462" i="1" s="1"/>
  <c r="J463" i="1" s="1"/>
  <c r="M10321" i="3"/>
  <c r="J10321" i="3"/>
  <c r="K10321" i="3" s="1"/>
  <c r="H10321" i="3"/>
  <c r="G10321" i="3"/>
  <c r="M10320" i="3"/>
  <c r="J10320" i="3"/>
  <c r="K10320" i="3" s="1"/>
  <c r="H10320" i="3"/>
  <c r="G10320" i="3"/>
  <c r="M10319" i="3"/>
  <c r="J10319" i="3"/>
  <c r="K10319" i="3" s="1"/>
  <c r="H10319" i="3"/>
  <c r="G10319" i="3"/>
  <c r="M10318" i="3"/>
  <c r="J10318" i="3"/>
  <c r="K10318" i="3" s="1"/>
  <c r="H10318" i="3"/>
  <c r="G10318" i="3"/>
  <c r="M10317" i="3"/>
  <c r="J10317" i="3"/>
  <c r="K10317" i="3" s="1"/>
  <c r="H10317" i="3"/>
  <c r="G10317" i="3"/>
  <c r="M10316" i="3"/>
  <c r="J10316" i="3"/>
  <c r="K10316" i="3" s="1"/>
  <c r="H10316" i="3"/>
  <c r="G10316" i="3"/>
  <c r="M10315" i="3"/>
  <c r="J10315" i="3"/>
  <c r="K10315" i="3" s="1"/>
  <c r="H10315" i="3"/>
  <c r="G10315" i="3"/>
  <c r="M10314" i="3"/>
  <c r="J10314" i="3"/>
  <c r="K10314" i="3" s="1"/>
  <c r="H10314" i="3"/>
  <c r="G10314" i="3"/>
  <c r="M10313" i="3"/>
  <c r="J10313" i="3"/>
  <c r="K10313" i="3" s="1"/>
  <c r="H10313" i="3"/>
  <c r="G10313" i="3"/>
  <c r="M10312" i="3"/>
  <c r="J10312" i="3"/>
  <c r="K10312" i="3" s="1"/>
  <c r="H10312" i="3"/>
  <c r="G10312" i="3"/>
  <c r="M10311" i="3"/>
  <c r="J10311" i="3"/>
  <c r="K10311" i="3" s="1"/>
  <c r="H10311" i="3"/>
  <c r="G10311" i="3"/>
  <c r="M10310" i="3"/>
  <c r="J10310" i="3"/>
  <c r="K10310" i="3" s="1"/>
  <c r="H10310" i="3"/>
  <c r="G10310" i="3"/>
  <c r="M10309" i="3"/>
  <c r="J10309" i="3"/>
  <c r="K10309" i="3" s="1"/>
  <c r="H10309" i="3"/>
  <c r="G10309" i="3"/>
  <c r="M10308" i="3"/>
  <c r="J10308" i="3"/>
  <c r="K10308" i="3" s="1"/>
  <c r="H10308" i="3"/>
  <c r="G10308" i="3"/>
  <c r="M10307" i="3"/>
  <c r="J10307" i="3"/>
  <c r="K10307" i="3" s="1"/>
  <c r="H10307" i="3"/>
  <c r="G10307" i="3"/>
  <c r="M10306" i="3"/>
  <c r="J10306" i="3"/>
  <c r="K10306" i="3" s="1"/>
  <c r="H10306" i="3"/>
  <c r="G10306" i="3"/>
  <c r="M10305" i="3"/>
  <c r="J10305" i="3"/>
  <c r="K10305" i="3" s="1"/>
  <c r="H10305" i="3"/>
  <c r="G10305" i="3"/>
  <c r="M10304" i="3"/>
  <c r="J10304" i="3"/>
  <c r="K10304" i="3" s="1"/>
  <c r="H10304" i="3"/>
  <c r="G10304" i="3"/>
  <c r="M10303" i="3"/>
  <c r="J10303" i="3"/>
  <c r="K10303" i="3" s="1"/>
  <c r="H10303" i="3"/>
  <c r="G10303" i="3"/>
  <c r="M10302" i="3"/>
  <c r="J10302" i="3"/>
  <c r="K10302" i="3" s="1"/>
  <c r="H10302" i="3"/>
  <c r="G10302" i="3"/>
  <c r="M10301" i="3"/>
  <c r="J10301" i="3"/>
  <c r="K10301" i="3" s="1"/>
  <c r="H10301" i="3"/>
  <c r="G10301" i="3"/>
  <c r="M10300" i="3"/>
  <c r="J10300" i="3"/>
  <c r="K10300" i="3" s="1"/>
  <c r="H10300" i="3"/>
  <c r="G10300" i="3"/>
  <c r="M10299" i="3"/>
  <c r="J10299" i="3"/>
  <c r="K10299" i="3" s="1"/>
  <c r="H10299" i="3"/>
  <c r="G10299" i="3"/>
  <c r="M10298" i="3"/>
  <c r="J10298" i="3"/>
  <c r="K10298" i="3" s="1"/>
  <c r="H10298" i="3"/>
  <c r="G10298" i="3"/>
  <c r="S431" i="1"/>
  <c r="F431" i="1"/>
  <c r="K462" i="23" l="1"/>
  <c r="K463" i="23"/>
  <c r="AJ448" i="23"/>
  <c r="AJ449" i="23"/>
  <c r="E441" i="23"/>
  <c r="T441" i="23" s="1"/>
  <c r="AJ447" i="23"/>
  <c r="X449" i="23"/>
  <c r="AK446" i="23"/>
  <c r="R440" i="23"/>
  <c r="AE441" i="23"/>
  <c r="AI441" i="23" s="1"/>
  <c r="AE443" i="23"/>
  <c r="AI443" i="23" s="1"/>
  <c r="C442" i="23"/>
  <c r="C443" i="23" s="1"/>
  <c r="AE442" i="23"/>
  <c r="AI442" i="23" s="1"/>
  <c r="I10445" i="3"/>
  <c r="I10449" i="3"/>
  <c r="I10453" i="3"/>
  <c r="I10457" i="3"/>
  <c r="I10461" i="3"/>
  <c r="I10465" i="3"/>
  <c r="O436" i="1"/>
  <c r="AM431" i="23"/>
  <c r="I10370" i="3"/>
  <c r="I10394" i="3"/>
  <c r="I10343" i="3"/>
  <c r="I10396" i="3"/>
  <c r="I10443" i="3"/>
  <c r="I10447" i="3"/>
  <c r="I10451" i="3"/>
  <c r="I10455" i="3"/>
  <c r="I10459" i="3"/>
  <c r="I10463" i="3"/>
  <c r="I10385" i="3"/>
  <c r="I10389" i="3"/>
  <c r="I10442" i="3"/>
  <c r="I10444" i="3"/>
  <c r="I10446" i="3"/>
  <c r="I10448" i="3"/>
  <c r="I10450" i="3"/>
  <c r="I10452" i="3"/>
  <c r="I10454" i="3"/>
  <c r="I10456" i="3"/>
  <c r="I10458" i="3"/>
  <c r="I10460" i="3"/>
  <c r="I10462" i="3"/>
  <c r="I10464" i="3"/>
  <c r="AS436" i="23"/>
  <c r="I10418" i="3"/>
  <c r="I10420" i="3"/>
  <c r="I10422" i="3"/>
  <c r="I10424" i="3"/>
  <c r="I10426" i="3"/>
  <c r="I10428" i="3"/>
  <c r="I10430" i="3"/>
  <c r="I10432" i="3"/>
  <c r="I10434" i="3"/>
  <c r="I10436" i="3"/>
  <c r="I10438" i="3"/>
  <c r="I10440" i="3"/>
  <c r="I10419" i="3"/>
  <c r="I10421" i="3"/>
  <c r="I10423" i="3"/>
  <c r="I10425" i="3"/>
  <c r="I10427" i="3"/>
  <c r="I10429" i="3"/>
  <c r="I10431" i="3"/>
  <c r="I10433" i="3"/>
  <c r="I10435" i="3"/>
  <c r="I10437" i="3"/>
  <c r="I10439" i="3"/>
  <c r="I10441" i="3"/>
  <c r="I10369" i="3"/>
  <c r="I10400" i="3"/>
  <c r="I10404" i="3"/>
  <c r="I10408" i="3"/>
  <c r="I10412" i="3"/>
  <c r="I10416" i="3"/>
  <c r="I10345" i="3"/>
  <c r="I10387" i="3"/>
  <c r="I10391" i="3"/>
  <c r="I10398" i="3"/>
  <c r="I10402" i="3"/>
  <c r="I10406" i="3"/>
  <c r="I10410" i="3"/>
  <c r="I10414" i="3"/>
  <c r="I10341" i="3"/>
  <c r="I10325" i="3"/>
  <c r="I10327" i="3"/>
  <c r="I10329" i="3"/>
  <c r="I10331" i="3"/>
  <c r="I10333" i="3"/>
  <c r="I10372" i="3"/>
  <c r="I10322" i="3"/>
  <c r="I10324" i="3"/>
  <c r="I10375" i="3"/>
  <c r="I10377" i="3"/>
  <c r="I10379" i="3"/>
  <c r="I10381" i="3"/>
  <c r="I10383" i="3"/>
  <c r="I10395" i="3"/>
  <c r="I10397" i="3"/>
  <c r="I10399" i="3"/>
  <c r="I10401" i="3"/>
  <c r="I10403" i="3"/>
  <c r="I10405" i="3"/>
  <c r="I10407" i="3"/>
  <c r="I10409" i="3"/>
  <c r="I10411" i="3"/>
  <c r="I10413" i="3"/>
  <c r="I10415" i="3"/>
  <c r="I10417" i="3"/>
  <c r="I10373" i="3"/>
  <c r="I10374" i="3"/>
  <c r="I10376" i="3"/>
  <c r="I10378" i="3"/>
  <c r="I10380" i="3"/>
  <c r="I10382" i="3"/>
  <c r="I10384" i="3"/>
  <c r="I10386" i="3"/>
  <c r="I10388" i="3"/>
  <c r="I10390" i="3"/>
  <c r="I10392" i="3"/>
  <c r="I10371" i="3"/>
  <c r="I10393" i="3"/>
  <c r="I10346" i="3"/>
  <c r="I10348" i="3"/>
  <c r="I10350" i="3"/>
  <c r="I10352" i="3"/>
  <c r="I10354" i="3"/>
  <c r="I10356" i="3"/>
  <c r="I10358" i="3"/>
  <c r="I10360" i="3"/>
  <c r="I10362" i="3"/>
  <c r="I10364" i="3"/>
  <c r="I10366" i="3"/>
  <c r="I10368" i="3"/>
  <c r="I10347" i="3"/>
  <c r="I10349" i="3"/>
  <c r="I10351" i="3"/>
  <c r="I10353" i="3"/>
  <c r="I10355" i="3"/>
  <c r="I10357" i="3"/>
  <c r="I10359" i="3"/>
  <c r="I10361" i="3"/>
  <c r="I10363" i="3"/>
  <c r="I10365" i="3"/>
  <c r="I10367" i="3"/>
  <c r="I10326" i="3"/>
  <c r="I10328" i="3"/>
  <c r="I10330" i="3"/>
  <c r="I10332" i="3"/>
  <c r="I10334" i="3"/>
  <c r="I10336" i="3"/>
  <c r="I10338" i="3"/>
  <c r="I10340" i="3"/>
  <c r="I10342" i="3"/>
  <c r="I10344" i="3"/>
  <c r="I10323" i="3"/>
  <c r="I10335" i="3"/>
  <c r="I10337" i="3"/>
  <c r="I10339" i="3"/>
  <c r="I10318" i="3"/>
  <c r="AS431" i="23"/>
  <c r="I10321" i="3"/>
  <c r="I10310" i="3"/>
  <c r="I10312" i="3"/>
  <c r="I10314" i="3"/>
  <c r="I10316" i="3"/>
  <c r="I10320" i="3"/>
  <c r="I10298" i="3"/>
  <c r="I10300" i="3"/>
  <c r="I10302" i="3"/>
  <c r="I10304" i="3"/>
  <c r="I10306" i="3"/>
  <c r="I10308" i="3"/>
  <c r="I10299" i="3"/>
  <c r="I10301" i="3"/>
  <c r="I10303" i="3"/>
  <c r="I10305" i="3"/>
  <c r="I10307" i="3"/>
  <c r="I10309" i="3"/>
  <c r="I10311" i="3"/>
  <c r="I10313" i="3"/>
  <c r="I10315" i="3"/>
  <c r="I10317" i="3"/>
  <c r="I10319" i="3"/>
  <c r="R441" i="23" l="1"/>
  <c r="X450" i="23"/>
  <c r="AK447" i="23"/>
  <c r="X451" i="23"/>
  <c r="AK448" i="23"/>
  <c r="E442" i="23"/>
  <c r="R442" i="23" s="1"/>
  <c r="C444" i="23"/>
  <c r="T442" i="23"/>
  <c r="N427" i="1"/>
  <c r="P427" i="1"/>
  <c r="N428" i="1"/>
  <c r="P428" i="1"/>
  <c r="N429" i="1"/>
  <c r="O435" i="1" s="1"/>
  <c r="P429" i="1"/>
  <c r="M427" i="1"/>
  <c r="M428" i="1"/>
  <c r="M10297" i="3"/>
  <c r="J10297" i="3"/>
  <c r="K10297" i="3" s="1"/>
  <c r="H10297" i="3"/>
  <c r="G10297" i="3"/>
  <c r="M10296" i="3"/>
  <c r="J10296" i="3"/>
  <c r="K10296" i="3" s="1"/>
  <c r="H10296" i="3"/>
  <c r="G10296" i="3"/>
  <c r="M10295" i="3"/>
  <c r="J10295" i="3"/>
  <c r="K10295" i="3" s="1"/>
  <c r="H10295" i="3"/>
  <c r="G10295" i="3"/>
  <c r="M10294" i="3"/>
  <c r="J10294" i="3"/>
  <c r="K10294" i="3" s="1"/>
  <c r="H10294" i="3"/>
  <c r="G10294" i="3"/>
  <c r="M10293" i="3"/>
  <c r="J10293" i="3"/>
  <c r="K10293" i="3" s="1"/>
  <c r="H10293" i="3"/>
  <c r="G10293" i="3"/>
  <c r="M10292" i="3"/>
  <c r="J10292" i="3"/>
  <c r="K10292" i="3" s="1"/>
  <c r="H10292" i="3"/>
  <c r="G10292" i="3"/>
  <c r="M10291" i="3"/>
  <c r="J10291" i="3"/>
  <c r="K10291" i="3" s="1"/>
  <c r="H10291" i="3"/>
  <c r="G10291" i="3"/>
  <c r="M10290" i="3"/>
  <c r="J10290" i="3"/>
  <c r="K10290" i="3" s="1"/>
  <c r="H10290" i="3"/>
  <c r="G10290" i="3"/>
  <c r="M10289" i="3"/>
  <c r="J10289" i="3"/>
  <c r="K10289" i="3" s="1"/>
  <c r="H10289" i="3"/>
  <c r="G10289" i="3"/>
  <c r="M10288" i="3"/>
  <c r="J10288" i="3"/>
  <c r="K10288" i="3" s="1"/>
  <c r="H10288" i="3"/>
  <c r="G10288" i="3"/>
  <c r="M10287" i="3"/>
  <c r="J10287" i="3"/>
  <c r="K10287" i="3" s="1"/>
  <c r="H10287" i="3"/>
  <c r="G10287" i="3"/>
  <c r="M10286" i="3"/>
  <c r="J10286" i="3"/>
  <c r="K10286" i="3" s="1"/>
  <c r="H10286" i="3"/>
  <c r="G10286" i="3"/>
  <c r="M10285" i="3"/>
  <c r="J10285" i="3"/>
  <c r="K10285" i="3" s="1"/>
  <c r="H10285" i="3"/>
  <c r="G10285" i="3"/>
  <c r="M10284" i="3"/>
  <c r="J10284" i="3"/>
  <c r="K10284" i="3" s="1"/>
  <c r="H10284" i="3"/>
  <c r="G10284" i="3"/>
  <c r="M10283" i="3"/>
  <c r="J10283" i="3"/>
  <c r="K10283" i="3" s="1"/>
  <c r="H10283" i="3"/>
  <c r="G10283" i="3"/>
  <c r="M10282" i="3"/>
  <c r="J10282" i="3"/>
  <c r="K10282" i="3" s="1"/>
  <c r="H10282" i="3"/>
  <c r="G10282" i="3"/>
  <c r="M10281" i="3"/>
  <c r="J10281" i="3"/>
  <c r="K10281" i="3" s="1"/>
  <c r="H10281" i="3"/>
  <c r="G10281" i="3"/>
  <c r="M10280" i="3"/>
  <c r="J10280" i="3"/>
  <c r="K10280" i="3" s="1"/>
  <c r="H10280" i="3"/>
  <c r="G10280" i="3"/>
  <c r="M10279" i="3"/>
  <c r="J10279" i="3"/>
  <c r="K10279" i="3" s="1"/>
  <c r="H10279" i="3"/>
  <c r="G10279" i="3"/>
  <c r="M10278" i="3"/>
  <c r="J10278" i="3"/>
  <c r="K10278" i="3" s="1"/>
  <c r="H10278" i="3"/>
  <c r="G10278" i="3"/>
  <c r="M10277" i="3"/>
  <c r="J10277" i="3"/>
  <c r="K10277" i="3" s="1"/>
  <c r="H10277" i="3"/>
  <c r="G10277" i="3"/>
  <c r="M10276" i="3"/>
  <c r="J10276" i="3"/>
  <c r="K10276" i="3" s="1"/>
  <c r="H10276" i="3"/>
  <c r="G10276" i="3"/>
  <c r="M10275" i="3"/>
  <c r="J10275" i="3"/>
  <c r="K10275" i="3" s="1"/>
  <c r="H10275" i="3"/>
  <c r="G10275" i="3"/>
  <c r="M10274" i="3"/>
  <c r="J10274" i="3"/>
  <c r="K10274" i="3" s="1"/>
  <c r="H10274" i="3"/>
  <c r="G10274" i="3"/>
  <c r="S430" i="1"/>
  <c r="F430" i="1"/>
  <c r="M10273" i="3"/>
  <c r="J10273" i="3"/>
  <c r="K10273" i="3" s="1"/>
  <c r="H10273" i="3"/>
  <c r="G10273" i="3"/>
  <c r="M10272" i="3"/>
  <c r="J10272" i="3"/>
  <c r="K10272" i="3" s="1"/>
  <c r="H10272" i="3"/>
  <c r="G10272" i="3"/>
  <c r="M10271" i="3"/>
  <c r="J10271" i="3"/>
  <c r="K10271" i="3" s="1"/>
  <c r="H10271" i="3"/>
  <c r="G10271" i="3"/>
  <c r="M10270" i="3"/>
  <c r="J10270" i="3"/>
  <c r="K10270" i="3" s="1"/>
  <c r="H10270" i="3"/>
  <c r="G10270" i="3"/>
  <c r="M10269" i="3"/>
  <c r="J10269" i="3"/>
  <c r="K10269" i="3" s="1"/>
  <c r="H10269" i="3"/>
  <c r="G10269" i="3"/>
  <c r="M10268" i="3"/>
  <c r="J10268" i="3"/>
  <c r="K10268" i="3" s="1"/>
  <c r="H10268" i="3"/>
  <c r="G10268" i="3"/>
  <c r="M10267" i="3"/>
  <c r="J10267" i="3"/>
  <c r="K10267" i="3" s="1"/>
  <c r="H10267" i="3"/>
  <c r="G10267" i="3"/>
  <c r="M10266" i="3"/>
  <c r="J10266" i="3"/>
  <c r="K10266" i="3" s="1"/>
  <c r="H10266" i="3"/>
  <c r="G10266" i="3"/>
  <c r="M10265" i="3"/>
  <c r="J10265" i="3"/>
  <c r="K10265" i="3" s="1"/>
  <c r="H10265" i="3"/>
  <c r="G10265" i="3"/>
  <c r="M10264" i="3"/>
  <c r="J10264" i="3"/>
  <c r="K10264" i="3" s="1"/>
  <c r="H10264" i="3"/>
  <c r="G10264" i="3"/>
  <c r="M10263" i="3"/>
  <c r="J10263" i="3"/>
  <c r="K10263" i="3" s="1"/>
  <c r="H10263" i="3"/>
  <c r="G10263" i="3"/>
  <c r="M10262" i="3"/>
  <c r="J10262" i="3"/>
  <c r="K10262" i="3" s="1"/>
  <c r="H10262" i="3"/>
  <c r="G10262" i="3"/>
  <c r="M10261" i="3"/>
  <c r="J10261" i="3"/>
  <c r="K10261" i="3" s="1"/>
  <c r="H10261" i="3"/>
  <c r="G10261" i="3"/>
  <c r="M10260" i="3"/>
  <c r="J10260" i="3"/>
  <c r="K10260" i="3" s="1"/>
  <c r="H10260" i="3"/>
  <c r="G10260" i="3"/>
  <c r="M10259" i="3"/>
  <c r="J10259" i="3"/>
  <c r="K10259" i="3" s="1"/>
  <c r="H10259" i="3"/>
  <c r="G10259" i="3"/>
  <c r="M10258" i="3"/>
  <c r="J10258" i="3"/>
  <c r="K10258" i="3" s="1"/>
  <c r="H10258" i="3"/>
  <c r="G10258" i="3"/>
  <c r="M10257" i="3"/>
  <c r="J10257" i="3"/>
  <c r="K10257" i="3" s="1"/>
  <c r="H10257" i="3"/>
  <c r="G10257" i="3"/>
  <c r="M10256" i="3"/>
  <c r="J10256" i="3"/>
  <c r="K10256" i="3" s="1"/>
  <c r="H10256" i="3"/>
  <c r="G10256" i="3"/>
  <c r="M10255" i="3"/>
  <c r="J10255" i="3"/>
  <c r="K10255" i="3" s="1"/>
  <c r="H10255" i="3"/>
  <c r="G10255" i="3"/>
  <c r="M10254" i="3"/>
  <c r="J10254" i="3"/>
  <c r="K10254" i="3" s="1"/>
  <c r="H10254" i="3"/>
  <c r="G10254" i="3"/>
  <c r="M10253" i="3"/>
  <c r="J10253" i="3"/>
  <c r="K10253" i="3" s="1"/>
  <c r="H10253" i="3"/>
  <c r="G10253" i="3"/>
  <c r="M10252" i="3"/>
  <c r="J10252" i="3"/>
  <c r="K10252" i="3" s="1"/>
  <c r="H10252" i="3"/>
  <c r="G10252" i="3"/>
  <c r="M10251" i="3"/>
  <c r="J10251" i="3"/>
  <c r="K10251" i="3" s="1"/>
  <c r="H10251" i="3"/>
  <c r="G10251" i="3"/>
  <c r="M10250" i="3"/>
  <c r="J10250" i="3"/>
  <c r="K10250" i="3" s="1"/>
  <c r="H10250" i="3"/>
  <c r="G10250" i="3"/>
  <c r="S429" i="1"/>
  <c r="F429" i="1"/>
  <c r="W2" i="15"/>
  <c r="AL428" i="23"/>
  <c r="M10227" i="3"/>
  <c r="AO417" i="23"/>
  <c r="AO418" i="23"/>
  <c r="AO419" i="23"/>
  <c r="AO420" i="23"/>
  <c r="AO421" i="23"/>
  <c r="AO422" i="23"/>
  <c r="AO423" i="23"/>
  <c r="AO424" i="23"/>
  <c r="AO425" i="23"/>
  <c r="AO426" i="23"/>
  <c r="AO427" i="23"/>
  <c r="AO428" i="23"/>
  <c r="Y428" i="23"/>
  <c r="Z428" i="23"/>
  <c r="AG428" i="23"/>
  <c r="AN428" i="23"/>
  <c r="AT428" i="23"/>
  <c r="F428" i="23"/>
  <c r="M10249" i="3"/>
  <c r="M10248" i="3"/>
  <c r="M10247" i="3"/>
  <c r="M10246" i="3"/>
  <c r="M10245" i="3"/>
  <c r="M10244" i="3"/>
  <c r="M10243" i="3"/>
  <c r="M10242" i="3"/>
  <c r="M10241" i="3"/>
  <c r="M10240" i="3"/>
  <c r="M10239" i="3"/>
  <c r="M10238" i="3"/>
  <c r="M10237" i="3"/>
  <c r="M10236" i="3"/>
  <c r="M10235" i="3"/>
  <c r="M10234" i="3"/>
  <c r="M10233" i="3"/>
  <c r="M10232" i="3"/>
  <c r="M10231" i="3"/>
  <c r="M10230" i="3"/>
  <c r="M10229" i="3"/>
  <c r="M10228" i="3"/>
  <c r="M10226" i="3"/>
  <c r="J10249" i="3"/>
  <c r="K10249" i="3" s="1"/>
  <c r="H10249" i="3"/>
  <c r="G10249" i="3"/>
  <c r="J10248" i="3"/>
  <c r="K10248" i="3" s="1"/>
  <c r="H10248" i="3"/>
  <c r="G10248" i="3"/>
  <c r="J10247" i="3"/>
  <c r="K10247" i="3" s="1"/>
  <c r="H10247" i="3"/>
  <c r="G10247" i="3"/>
  <c r="J10246" i="3"/>
  <c r="K10246" i="3" s="1"/>
  <c r="H10246" i="3"/>
  <c r="G10246" i="3"/>
  <c r="J10245" i="3"/>
  <c r="K10245" i="3" s="1"/>
  <c r="H10245" i="3"/>
  <c r="G10245" i="3"/>
  <c r="J10244" i="3"/>
  <c r="K10244" i="3" s="1"/>
  <c r="H10244" i="3"/>
  <c r="G10244" i="3"/>
  <c r="J10243" i="3"/>
  <c r="K10243" i="3" s="1"/>
  <c r="H10243" i="3"/>
  <c r="G10243" i="3"/>
  <c r="J10242" i="3"/>
  <c r="K10242" i="3" s="1"/>
  <c r="H10242" i="3"/>
  <c r="G10242" i="3"/>
  <c r="J10241" i="3"/>
  <c r="K10241" i="3" s="1"/>
  <c r="H10241" i="3"/>
  <c r="G10241" i="3"/>
  <c r="J10240" i="3"/>
  <c r="K10240" i="3" s="1"/>
  <c r="H10240" i="3"/>
  <c r="G10240" i="3"/>
  <c r="J10239" i="3"/>
  <c r="K10239" i="3" s="1"/>
  <c r="H10239" i="3"/>
  <c r="G10239" i="3"/>
  <c r="J10238" i="3"/>
  <c r="K10238" i="3" s="1"/>
  <c r="H10238" i="3"/>
  <c r="G10238" i="3"/>
  <c r="J10237" i="3"/>
  <c r="K10237" i="3" s="1"/>
  <c r="H10237" i="3"/>
  <c r="G10237" i="3"/>
  <c r="J10236" i="3"/>
  <c r="K10236" i="3" s="1"/>
  <c r="H10236" i="3"/>
  <c r="G10236" i="3"/>
  <c r="J10235" i="3"/>
  <c r="K10235" i="3" s="1"/>
  <c r="H10235" i="3"/>
  <c r="G10235" i="3"/>
  <c r="J10234" i="3"/>
  <c r="K10234" i="3" s="1"/>
  <c r="H10234" i="3"/>
  <c r="G10234" i="3"/>
  <c r="J10233" i="3"/>
  <c r="K10233" i="3" s="1"/>
  <c r="H10233" i="3"/>
  <c r="G10233" i="3"/>
  <c r="J10232" i="3"/>
  <c r="K10232" i="3" s="1"/>
  <c r="H10232" i="3"/>
  <c r="G10232" i="3"/>
  <c r="J10231" i="3"/>
  <c r="K10231" i="3" s="1"/>
  <c r="H10231" i="3"/>
  <c r="G10231" i="3"/>
  <c r="J10230" i="3"/>
  <c r="K10230" i="3" s="1"/>
  <c r="H10230" i="3"/>
  <c r="G10230" i="3"/>
  <c r="J10229" i="3"/>
  <c r="K10229" i="3" s="1"/>
  <c r="H10229" i="3"/>
  <c r="G10229" i="3"/>
  <c r="J10228" i="3"/>
  <c r="K10228" i="3" s="1"/>
  <c r="H10228" i="3"/>
  <c r="G10228" i="3"/>
  <c r="J10227" i="3"/>
  <c r="K10227" i="3" s="1"/>
  <c r="H10227" i="3"/>
  <c r="G10227" i="3"/>
  <c r="J10226" i="3"/>
  <c r="K10226" i="3" s="1"/>
  <c r="H10226" i="3"/>
  <c r="G10226" i="3"/>
  <c r="S428" i="1"/>
  <c r="F428" i="1"/>
  <c r="AA427" i="23"/>
  <c r="Z429" i="23"/>
  <c r="Z430" i="23"/>
  <c r="Z431" i="23"/>
  <c r="AG427" i="23"/>
  <c r="M10225" i="3"/>
  <c r="M10224" i="3"/>
  <c r="M10223" i="3"/>
  <c r="M10222" i="3"/>
  <c r="M10221" i="3"/>
  <c r="M10220" i="3"/>
  <c r="M10219" i="3"/>
  <c r="M10218" i="3"/>
  <c r="M10217" i="3"/>
  <c r="M10216" i="3"/>
  <c r="M10215" i="3"/>
  <c r="M10214" i="3"/>
  <c r="M10213" i="3"/>
  <c r="M10212" i="3"/>
  <c r="M10211" i="3"/>
  <c r="M10210" i="3"/>
  <c r="M10209" i="3"/>
  <c r="M10208" i="3"/>
  <c r="M10207" i="3"/>
  <c r="M10206" i="3"/>
  <c r="M10205" i="3"/>
  <c r="M10204" i="3"/>
  <c r="M10203" i="3"/>
  <c r="M10202" i="3"/>
  <c r="M10201" i="3"/>
  <c r="M10200" i="3"/>
  <c r="M10199" i="3"/>
  <c r="M10198" i="3"/>
  <c r="M10197" i="3"/>
  <c r="M10196" i="3"/>
  <c r="M10195" i="3"/>
  <c r="M10194" i="3"/>
  <c r="M10193" i="3"/>
  <c r="M10192" i="3"/>
  <c r="M10191" i="3"/>
  <c r="M10190" i="3"/>
  <c r="M10189" i="3"/>
  <c r="M10188" i="3"/>
  <c r="M10187" i="3"/>
  <c r="M10186" i="3"/>
  <c r="M10185" i="3"/>
  <c r="M10184" i="3"/>
  <c r="M10183" i="3"/>
  <c r="M10182" i="3"/>
  <c r="M10181" i="3"/>
  <c r="M10180" i="3"/>
  <c r="M10179" i="3"/>
  <c r="M10178" i="3"/>
  <c r="S426" i="23"/>
  <c r="S427" i="23"/>
  <c r="Y426" i="23"/>
  <c r="Z426" i="23"/>
  <c r="AA426" i="23"/>
  <c r="AG426" i="23"/>
  <c r="AN426" i="23"/>
  <c r="AT426" i="23"/>
  <c r="Y427" i="23"/>
  <c r="Z427" i="23"/>
  <c r="AN427" i="23"/>
  <c r="AT427" i="23"/>
  <c r="F427" i="23"/>
  <c r="F426" i="23"/>
  <c r="N425" i="1"/>
  <c r="P425" i="1"/>
  <c r="N426" i="1"/>
  <c r="P426" i="1"/>
  <c r="M425" i="1"/>
  <c r="M426" i="1"/>
  <c r="S427" i="1"/>
  <c r="F427" i="1"/>
  <c r="J10225" i="3"/>
  <c r="K10225" i="3" s="1"/>
  <c r="H10225" i="3"/>
  <c r="G10225" i="3"/>
  <c r="J10224" i="3"/>
  <c r="K10224" i="3" s="1"/>
  <c r="H10224" i="3"/>
  <c r="G10224" i="3"/>
  <c r="J10223" i="3"/>
  <c r="K10223" i="3" s="1"/>
  <c r="H10223" i="3"/>
  <c r="G10223" i="3"/>
  <c r="J10222" i="3"/>
  <c r="K10222" i="3" s="1"/>
  <c r="H10222" i="3"/>
  <c r="G10222" i="3"/>
  <c r="J10221" i="3"/>
  <c r="K10221" i="3" s="1"/>
  <c r="H10221" i="3"/>
  <c r="G10221" i="3"/>
  <c r="J10220" i="3"/>
  <c r="K10220" i="3" s="1"/>
  <c r="H10220" i="3"/>
  <c r="G10220" i="3"/>
  <c r="J10219" i="3"/>
  <c r="K10219" i="3" s="1"/>
  <c r="H10219" i="3"/>
  <c r="G10219" i="3"/>
  <c r="J10218" i="3"/>
  <c r="K10218" i="3" s="1"/>
  <c r="H10218" i="3"/>
  <c r="G10218" i="3"/>
  <c r="J10217" i="3"/>
  <c r="K10217" i="3" s="1"/>
  <c r="H10217" i="3"/>
  <c r="G10217" i="3"/>
  <c r="J10216" i="3"/>
  <c r="K10216" i="3" s="1"/>
  <c r="H10216" i="3"/>
  <c r="G10216" i="3"/>
  <c r="J10215" i="3"/>
  <c r="K10215" i="3" s="1"/>
  <c r="H10215" i="3"/>
  <c r="G10215" i="3"/>
  <c r="J10214" i="3"/>
  <c r="K10214" i="3" s="1"/>
  <c r="H10214" i="3"/>
  <c r="G10214" i="3"/>
  <c r="J10213" i="3"/>
  <c r="K10213" i="3" s="1"/>
  <c r="H10213" i="3"/>
  <c r="G10213" i="3"/>
  <c r="J10212" i="3"/>
  <c r="K10212" i="3" s="1"/>
  <c r="H10212" i="3"/>
  <c r="G10212" i="3"/>
  <c r="J10211" i="3"/>
  <c r="K10211" i="3" s="1"/>
  <c r="H10211" i="3"/>
  <c r="G10211" i="3"/>
  <c r="J10210" i="3"/>
  <c r="K10210" i="3" s="1"/>
  <c r="H10210" i="3"/>
  <c r="G10210" i="3"/>
  <c r="J10209" i="3"/>
  <c r="K10209" i="3" s="1"/>
  <c r="H10209" i="3"/>
  <c r="G10209" i="3"/>
  <c r="J10208" i="3"/>
  <c r="K10208" i="3" s="1"/>
  <c r="H10208" i="3"/>
  <c r="G10208" i="3"/>
  <c r="J10207" i="3"/>
  <c r="K10207" i="3" s="1"/>
  <c r="H10207" i="3"/>
  <c r="G10207" i="3"/>
  <c r="J10206" i="3"/>
  <c r="K10206" i="3" s="1"/>
  <c r="H10206" i="3"/>
  <c r="G10206" i="3"/>
  <c r="J10205" i="3"/>
  <c r="K10205" i="3" s="1"/>
  <c r="H10205" i="3"/>
  <c r="G10205" i="3"/>
  <c r="J10204" i="3"/>
  <c r="K10204" i="3" s="1"/>
  <c r="H10204" i="3"/>
  <c r="G10204" i="3"/>
  <c r="J10203" i="3"/>
  <c r="K10203" i="3" s="1"/>
  <c r="H10203" i="3"/>
  <c r="G10203" i="3"/>
  <c r="J10202" i="3"/>
  <c r="K10202" i="3" s="1"/>
  <c r="H10202" i="3"/>
  <c r="G10202" i="3"/>
  <c r="O431" i="1" l="1"/>
  <c r="X452" i="23"/>
  <c r="AK449" i="23"/>
  <c r="AR448" i="23"/>
  <c r="AR447" i="23"/>
  <c r="AR452" i="23"/>
  <c r="AR451" i="23"/>
  <c r="AR449" i="23"/>
  <c r="AR450" i="23"/>
  <c r="E443" i="23"/>
  <c r="C445" i="23"/>
  <c r="C446" i="23" s="1"/>
  <c r="AJ444" i="23"/>
  <c r="AJ443" i="23"/>
  <c r="AJ442" i="23"/>
  <c r="AJ439" i="23"/>
  <c r="AJ440" i="23"/>
  <c r="AJ441" i="23"/>
  <c r="O433" i="1"/>
  <c r="O434" i="1"/>
  <c r="AM434" i="23"/>
  <c r="AH434" i="23"/>
  <c r="AS434" i="23"/>
  <c r="AS433" i="23"/>
  <c r="AH433" i="23"/>
  <c r="AM433" i="23"/>
  <c r="AE436" i="23"/>
  <c r="AI436" i="23" s="1"/>
  <c r="AE438" i="23"/>
  <c r="AI438" i="23" s="1"/>
  <c r="AE434" i="23"/>
  <c r="AI434" i="23" s="1"/>
  <c r="AE437" i="23"/>
  <c r="AI437" i="23" s="1"/>
  <c r="AE435" i="23"/>
  <c r="AI435" i="23" s="1"/>
  <c r="I10283" i="3"/>
  <c r="I10277" i="3"/>
  <c r="I10280" i="3"/>
  <c r="I10281" i="3"/>
  <c r="I10285" i="3"/>
  <c r="I10288" i="3"/>
  <c r="I10289" i="3"/>
  <c r="I10274" i="3"/>
  <c r="I10291" i="3"/>
  <c r="I10293" i="3"/>
  <c r="I10275" i="3"/>
  <c r="I10282" i="3"/>
  <c r="I10290" i="3"/>
  <c r="I10296" i="3"/>
  <c r="I10276" i="3"/>
  <c r="I10278" i="3"/>
  <c r="I10287" i="3"/>
  <c r="I10292" i="3"/>
  <c r="I10294" i="3"/>
  <c r="I10279" i="3"/>
  <c r="I10284" i="3"/>
  <c r="I10286" i="3"/>
  <c r="I10295" i="3"/>
  <c r="I10297" i="3"/>
  <c r="I10250" i="3"/>
  <c r="I10252" i="3"/>
  <c r="I10254" i="3"/>
  <c r="I10256" i="3"/>
  <c r="I10258" i="3"/>
  <c r="I10260" i="3"/>
  <c r="I10262" i="3"/>
  <c r="I10264" i="3"/>
  <c r="I10266" i="3"/>
  <c r="I10268" i="3"/>
  <c r="I10270" i="3"/>
  <c r="I10272" i="3"/>
  <c r="I10251" i="3"/>
  <c r="I10253" i="3"/>
  <c r="I10255" i="3"/>
  <c r="I10257" i="3"/>
  <c r="I10259" i="3"/>
  <c r="I10261" i="3"/>
  <c r="I10263" i="3"/>
  <c r="I10265" i="3"/>
  <c r="I10267" i="3"/>
  <c r="I10269" i="3"/>
  <c r="I10271" i="3"/>
  <c r="I10273" i="3"/>
  <c r="I10239" i="3"/>
  <c r="I10226" i="3"/>
  <c r="I10249" i="3"/>
  <c r="I10241" i="3"/>
  <c r="I10243" i="3"/>
  <c r="I10244" i="3"/>
  <c r="I10218" i="3"/>
  <c r="I10220" i="3"/>
  <c r="I10222" i="3"/>
  <c r="I10224" i="3"/>
  <c r="I10229" i="3"/>
  <c r="I10231" i="3"/>
  <c r="I10233" i="3"/>
  <c r="I10235" i="3"/>
  <c r="I10236" i="3"/>
  <c r="I10247" i="3"/>
  <c r="I10228" i="3"/>
  <c r="I10230" i="3"/>
  <c r="I10237" i="3"/>
  <c r="I10238" i="3"/>
  <c r="I10245" i="3"/>
  <c r="I10246" i="3"/>
  <c r="I10227" i="3"/>
  <c r="I10232" i="3"/>
  <c r="I10240" i="3"/>
  <c r="I10248" i="3"/>
  <c r="I10234" i="3"/>
  <c r="I10242" i="3"/>
  <c r="I10202" i="3"/>
  <c r="I10203" i="3"/>
  <c r="I10204" i="3"/>
  <c r="I10205" i="3"/>
  <c r="I10206" i="3"/>
  <c r="I10207" i="3"/>
  <c r="I10208" i="3"/>
  <c r="I10209" i="3"/>
  <c r="I10210" i="3"/>
  <c r="I10211" i="3"/>
  <c r="I10212" i="3"/>
  <c r="I10213" i="3"/>
  <c r="I10214" i="3"/>
  <c r="I10215" i="3"/>
  <c r="I10216" i="3"/>
  <c r="I10217" i="3"/>
  <c r="I10219" i="3"/>
  <c r="I10221" i="3"/>
  <c r="I10223" i="3"/>
  <c r="I10225" i="3"/>
  <c r="C447" i="23" l="1"/>
  <c r="E444" i="23"/>
  <c r="T443" i="23"/>
  <c r="R443" i="23"/>
  <c r="J10201" i="3"/>
  <c r="K10201" i="3" s="1"/>
  <c r="H10201" i="3"/>
  <c r="G10201" i="3"/>
  <c r="J10200" i="3"/>
  <c r="K10200" i="3" s="1"/>
  <c r="H10200" i="3"/>
  <c r="G10200" i="3"/>
  <c r="J10199" i="3"/>
  <c r="K10199" i="3" s="1"/>
  <c r="H10199" i="3"/>
  <c r="G10199" i="3"/>
  <c r="J10198" i="3"/>
  <c r="K10198" i="3" s="1"/>
  <c r="H10198" i="3"/>
  <c r="G10198" i="3"/>
  <c r="J10197" i="3"/>
  <c r="K10197" i="3" s="1"/>
  <c r="H10197" i="3"/>
  <c r="G10197" i="3"/>
  <c r="J10196" i="3"/>
  <c r="K10196" i="3" s="1"/>
  <c r="H10196" i="3"/>
  <c r="G10196" i="3"/>
  <c r="J10195" i="3"/>
  <c r="K10195" i="3" s="1"/>
  <c r="H10195" i="3"/>
  <c r="G10195" i="3"/>
  <c r="J10194" i="3"/>
  <c r="K10194" i="3" s="1"/>
  <c r="H10194" i="3"/>
  <c r="G10194" i="3"/>
  <c r="J10193" i="3"/>
  <c r="K10193" i="3" s="1"/>
  <c r="H10193" i="3"/>
  <c r="G10193" i="3"/>
  <c r="J10192" i="3"/>
  <c r="K10192" i="3" s="1"/>
  <c r="H10192" i="3"/>
  <c r="G10192" i="3"/>
  <c r="J10191" i="3"/>
  <c r="K10191" i="3" s="1"/>
  <c r="H10191" i="3"/>
  <c r="G10191" i="3"/>
  <c r="J10190" i="3"/>
  <c r="K10190" i="3" s="1"/>
  <c r="H10190" i="3"/>
  <c r="G10190" i="3"/>
  <c r="J10189" i="3"/>
  <c r="K10189" i="3" s="1"/>
  <c r="H10189" i="3"/>
  <c r="G10189" i="3"/>
  <c r="J10188" i="3"/>
  <c r="K10188" i="3" s="1"/>
  <c r="H10188" i="3"/>
  <c r="G10188" i="3"/>
  <c r="J10187" i="3"/>
  <c r="K10187" i="3" s="1"/>
  <c r="H10187" i="3"/>
  <c r="G10187" i="3"/>
  <c r="J10186" i="3"/>
  <c r="K10186" i="3" s="1"/>
  <c r="H10186" i="3"/>
  <c r="G10186" i="3"/>
  <c r="J10185" i="3"/>
  <c r="K10185" i="3" s="1"/>
  <c r="H10185" i="3"/>
  <c r="G10185" i="3"/>
  <c r="J10184" i="3"/>
  <c r="K10184" i="3" s="1"/>
  <c r="H10184" i="3"/>
  <c r="G10184" i="3"/>
  <c r="J10183" i="3"/>
  <c r="K10183" i="3" s="1"/>
  <c r="H10183" i="3"/>
  <c r="G10183" i="3"/>
  <c r="J10182" i="3"/>
  <c r="K10182" i="3" s="1"/>
  <c r="H10182" i="3"/>
  <c r="G10182" i="3"/>
  <c r="J10181" i="3"/>
  <c r="K10181" i="3" s="1"/>
  <c r="H10181" i="3"/>
  <c r="G10181" i="3"/>
  <c r="J10180" i="3"/>
  <c r="K10180" i="3" s="1"/>
  <c r="H10180" i="3"/>
  <c r="G10180" i="3"/>
  <c r="J10179" i="3"/>
  <c r="K10179" i="3" s="1"/>
  <c r="H10179" i="3"/>
  <c r="G10179" i="3"/>
  <c r="J10178" i="3"/>
  <c r="K10178" i="3" s="1"/>
  <c r="H10178" i="3"/>
  <c r="G10178" i="3"/>
  <c r="S426" i="1"/>
  <c r="F426" i="1"/>
  <c r="G10155" i="3"/>
  <c r="S425" i="23"/>
  <c r="Y425" i="23"/>
  <c r="Z425" i="23"/>
  <c r="AA425" i="23"/>
  <c r="AG425" i="23"/>
  <c r="AN425" i="23"/>
  <c r="AT425" i="23"/>
  <c r="F425" i="23"/>
  <c r="J10177" i="3"/>
  <c r="K10177" i="3" s="1"/>
  <c r="H10177" i="3"/>
  <c r="G10177" i="3"/>
  <c r="J10176" i="3"/>
  <c r="K10176" i="3" s="1"/>
  <c r="H10176" i="3"/>
  <c r="G10176" i="3"/>
  <c r="J10175" i="3"/>
  <c r="K10175" i="3" s="1"/>
  <c r="H10175" i="3"/>
  <c r="G10175" i="3"/>
  <c r="J10174" i="3"/>
  <c r="K10174" i="3" s="1"/>
  <c r="H10174" i="3"/>
  <c r="G10174" i="3"/>
  <c r="J10173" i="3"/>
  <c r="K10173" i="3" s="1"/>
  <c r="H10173" i="3"/>
  <c r="G10173" i="3"/>
  <c r="J10172" i="3"/>
  <c r="K10172" i="3" s="1"/>
  <c r="H10172" i="3"/>
  <c r="G10172" i="3"/>
  <c r="J10171" i="3"/>
  <c r="K10171" i="3" s="1"/>
  <c r="H10171" i="3"/>
  <c r="G10171" i="3"/>
  <c r="J10170" i="3"/>
  <c r="K10170" i="3" s="1"/>
  <c r="H10170" i="3"/>
  <c r="G10170" i="3"/>
  <c r="J10169" i="3"/>
  <c r="K10169" i="3" s="1"/>
  <c r="H10169" i="3"/>
  <c r="G10169" i="3"/>
  <c r="J10168" i="3"/>
  <c r="K10168" i="3" s="1"/>
  <c r="H10168" i="3"/>
  <c r="G10168" i="3"/>
  <c r="J10167" i="3"/>
  <c r="K10167" i="3" s="1"/>
  <c r="H10167" i="3"/>
  <c r="G10167" i="3"/>
  <c r="J10166" i="3"/>
  <c r="K10166" i="3" s="1"/>
  <c r="H10166" i="3"/>
  <c r="G10166" i="3"/>
  <c r="J10165" i="3"/>
  <c r="K10165" i="3" s="1"/>
  <c r="H10165" i="3"/>
  <c r="G10165" i="3"/>
  <c r="J10164" i="3"/>
  <c r="K10164" i="3" s="1"/>
  <c r="H10164" i="3"/>
  <c r="G10164" i="3"/>
  <c r="J10163" i="3"/>
  <c r="K10163" i="3" s="1"/>
  <c r="H10163" i="3"/>
  <c r="G10163" i="3"/>
  <c r="J10162" i="3"/>
  <c r="K10162" i="3" s="1"/>
  <c r="H10162" i="3"/>
  <c r="G10162" i="3"/>
  <c r="J10161" i="3"/>
  <c r="K10161" i="3" s="1"/>
  <c r="H10161" i="3"/>
  <c r="G10161" i="3"/>
  <c r="J10160" i="3"/>
  <c r="K10160" i="3" s="1"/>
  <c r="H10160" i="3"/>
  <c r="G10160" i="3"/>
  <c r="J10159" i="3"/>
  <c r="K10159" i="3" s="1"/>
  <c r="H10159" i="3"/>
  <c r="G10159" i="3"/>
  <c r="J10158" i="3"/>
  <c r="K10158" i="3" s="1"/>
  <c r="H10158" i="3"/>
  <c r="G10158" i="3"/>
  <c r="J10157" i="3"/>
  <c r="K10157" i="3" s="1"/>
  <c r="H10157" i="3"/>
  <c r="G10157" i="3"/>
  <c r="J10156" i="3"/>
  <c r="K10156" i="3" s="1"/>
  <c r="H10156" i="3"/>
  <c r="G10156" i="3"/>
  <c r="J10155" i="3"/>
  <c r="K10155" i="3" s="1"/>
  <c r="H10155" i="3"/>
  <c r="J10154" i="3"/>
  <c r="K10154" i="3" s="1"/>
  <c r="H10154" i="3"/>
  <c r="G10154" i="3"/>
  <c r="P418" i="1"/>
  <c r="N422" i="1"/>
  <c r="P422" i="1"/>
  <c r="N423" i="1"/>
  <c r="P423" i="1"/>
  <c r="N424" i="1"/>
  <c r="O430" i="1" s="1"/>
  <c r="P424" i="1"/>
  <c r="M422" i="1"/>
  <c r="M423" i="1"/>
  <c r="M424" i="1"/>
  <c r="S425" i="1"/>
  <c r="F425" i="1"/>
  <c r="S424" i="23"/>
  <c r="Y424" i="23"/>
  <c r="Z424" i="23"/>
  <c r="AG424" i="23"/>
  <c r="AN424" i="23"/>
  <c r="AT424" i="23"/>
  <c r="F424" i="23"/>
  <c r="J10153" i="3"/>
  <c r="K10153" i="3" s="1"/>
  <c r="H10153" i="3"/>
  <c r="G10153" i="3"/>
  <c r="J10152" i="3"/>
  <c r="K10152" i="3" s="1"/>
  <c r="H10152" i="3"/>
  <c r="G10152" i="3"/>
  <c r="J10151" i="3"/>
  <c r="K10151" i="3" s="1"/>
  <c r="H10151" i="3"/>
  <c r="G10151" i="3"/>
  <c r="J10150" i="3"/>
  <c r="K10150" i="3" s="1"/>
  <c r="H10150" i="3"/>
  <c r="G10150" i="3"/>
  <c r="J10149" i="3"/>
  <c r="K10149" i="3" s="1"/>
  <c r="H10149" i="3"/>
  <c r="G10149" i="3"/>
  <c r="J10148" i="3"/>
  <c r="K10148" i="3" s="1"/>
  <c r="H10148" i="3"/>
  <c r="G10148" i="3"/>
  <c r="J10147" i="3"/>
  <c r="K10147" i="3" s="1"/>
  <c r="H10147" i="3"/>
  <c r="G10147" i="3"/>
  <c r="J10146" i="3"/>
  <c r="K10146" i="3" s="1"/>
  <c r="H10146" i="3"/>
  <c r="G10146" i="3"/>
  <c r="J10145" i="3"/>
  <c r="K10145" i="3" s="1"/>
  <c r="H10145" i="3"/>
  <c r="G10145" i="3"/>
  <c r="J10144" i="3"/>
  <c r="K10144" i="3" s="1"/>
  <c r="H10144" i="3"/>
  <c r="G10144" i="3"/>
  <c r="J10143" i="3"/>
  <c r="K10143" i="3" s="1"/>
  <c r="H10143" i="3"/>
  <c r="G10143" i="3"/>
  <c r="J10142" i="3"/>
  <c r="K10142" i="3" s="1"/>
  <c r="H10142" i="3"/>
  <c r="G10142" i="3"/>
  <c r="J10141" i="3"/>
  <c r="K10141" i="3" s="1"/>
  <c r="H10141" i="3"/>
  <c r="G10141" i="3"/>
  <c r="J10140" i="3"/>
  <c r="K10140" i="3" s="1"/>
  <c r="H10140" i="3"/>
  <c r="G10140" i="3"/>
  <c r="J10139" i="3"/>
  <c r="K10139" i="3" s="1"/>
  <c r="H10139" i="3"/>
  <c r="G10139" i="3"/>
  <c r="J10138" i="3"/>
  <c r="K10138" i="3" s="1"/>
  <c r="H10138" i="3"/>
  <c r="G10138" i="3"/>
  <c r="J10137" i="3"/>
  <c r="K10137" i="3" s="1"/>
  <c r="H10137" i="3"/>
  <c r="G10137" i="3"/>
  <c r="J10136" i="3"/>
  <c r="K10136" i="3" s="1"/>
  <c r="H10136" i="3"/>
  <c r="G10136" i="3"/>
  <c r="J10135" i="3"/>
  <c r="K10135" i="3" s="1"/>
  <c r="H10135" i="3"/>
  <c r="G10135" i="3"/>
  <c r="J10134" i="3"/>
  <c r="K10134" i="3" s="1"/>
  <c r="H10134" i="3"/>
  <c r="G10134" i="3"/>
  <c r="J10133" i="3"/>
  <c r="K10133" i="3" s="1"/>
  <c r="H10133" i="3"/>
  <c r="G10133" i="3"/>
  <c r="J10132" i="3"/>
  <c r="K10132" i="3" s="1"/>
  <c r="H10132" i="3"/>
  <c r="G10132" i="3"/>
  <c r="J10131" i="3"/>
  <c r="K10131" i="3" s="1"/>
  <c r="H10131" i="3"/>
  <c r="G10131" i="3"/>
  <c r="J10130" i="3"/>
  <c r="K10130" i="3" s="1"/>
  <c r="H10130" i="3"/>
  <c r="G10130" i="3"/>
  <c r="S424" i="1"/>
  <c r="F424" i="1"/>
  <c r="AT80" i="23"/>
  <c r="AT81" i="23"/>
  <c r="AT82" i="23"/>
  <c r="AT83" i="23"/>
  <c r="AT84" i="23"/>
  <c r="AT85" i="23"/>
  <c r="AT86" i="23"/>
  <c r="AT87" i="23"/>
  <c r="AT88" i="23"/>
  <c r="AT89" i="23"/>
  <c r="AT90" i="23"/>
  <c r="AT91" i="23"/>
  <c r="AT92" i="23"/>
  <c r="AT93" i="23"/>
  <c r="AT94" i="23"/>
  <c r="AT95" i="23"/>
  <c r="AT96" i="23"/>
  <c r="AT97" i="23"/>
  <c r="AT98" i="23"/>
  <c r="AT99" i="23"/>
  <c r="AT100" i="23"/>
  <c r="AT101" i="23"/>
  <c r="AT102" i="23"/>
  <c r="AT103" i="23"/>
  <c r="AT104" i="23"/>
  <c r="AT105" i="23"/>
  <c r="AT106" i="23"/>
  <c r="AT107" i="23"/>
  <c r="AT108" i="23"/>
  <c r="AT109" i="23"/>
  <c r="AT110" i="23"/>
  <c r="AT111" i="23"/>
  <c r="AT112" i="23"/>
  <c r="AT113" i="23"/>
  <c r="AT114" i="23"/>
  <c r="AT115" i="23"/>
  <c r="AT116" i="23"/>
  <c r="AT117" i="23"/>
  <c r="AT118" i="23"/>
  <c r="AT119" i="23"/>
  <c r="AT120" i="23"/>
  <c r="AT121" i="23"/>
  <c r="AT122" i="23"/>
  <c r="AT123" i="23"/>
  <c r="AT124" i="23"/>
  <c r="AT125" i="23"/>
  <c r="AT126" i="23"/>
  <c r="AT127" i="23"/>
  <c r="AT128" i="23"/>
  <c r="AT129" i="23"/>
  <c r="AT130" i="23"/>
  <c r="AT131" i="23"/>
  <c r="AT132" i="23"/>
  <c r="AT133" i="23"/>
  <c r="AT134" i="23"/>
  <c r="AT135" i="23"/>
  <c r="AT136" i="23"/>
  <c r="AT137" i="23"/>
  <c r="AT138" i="23"/>
  <c r="AT233" i="23"/>
  <c r="AT234" i="23"/>
  <c r="AT235" i="23"/>
  <c r="AT236" i="23"/>
  <c r="AT237" i="23"/>
  <c r="AT238" i="23"/>
  <c r="AT239" i="23"/>
  <c r="AT240" i="23"/>
  <c r="AT241" i="23"/>
  <c r="AT242" i="23"/>
  <c r="AT243" i="23"/>
  <c r="AT244" i="23"/>
  <c r="AT245" i="23"/>
  <c r="AT246" i="23"/>
  <c r="AT247" i="23"/>
  <c r="AT248" i="23"/>
  <c r="AT249" i="23"/>
  <c r="AT250" i="23"/>
  <c r="AT251" i="23"/>
  <c r="AT252" i="23"/>
  <c r="AT253" i="23"/>
  <c r="AT254" i="23"/>
  <c r="AT255" i="23"/>
  <c r="AT256" i="23"/>
  <c r="AT257" i="23"/>
  <c r="AT258" i="23"/>
  <c r="AT259" i="23"/>
  <c r="AT260" i="23"/>
  <c r="AT261" i="23"/>
  <c r="AT262" i="23"/>
  <c r="AT263" i="23"/>
  <c r="AT264" i="23"/>
  <c r="AT265" i="23"/>
  <c r="AT266" i="23"/>
  <c r="AT267" i="23"/>
  <c r="AT268" i="23"/>
  <c r="AT269" i="23"/>
  <c r="AT270" i="23"/>
  <c r="AT271" i="23"/>
  <c r="AT272" i="23"/>
  <c r="AT273" i="23"/>
  <c r="AT274" i="23"/>
  <c r="AT275" i="23"/>
  <c r="AT276" i="23"/>
  <c r="AT277" i="23"/>
  <c r="AT278" i="23"/>
  <c r="AT279" i="23"/>
  <c r="AT280" i="23"/>
  <c r="AT281" i="23"/>
  <c r="AT282" i="23"/>
  <c r="AT283" i="23"/>
  <c r="AT284" i="23"/>
  <c r="AT285" i="23"/>
  <c r="AT286" i="23"/>
  <c r="AT287" i="23"/>
  <c r="AT288" i="23"/>
  <c r="AT289" i="23"/>
  <c r="AT290" i="23"/>
  <c r="AT291" i="23"/>
  <c r="AT292" i="23"/>
  <c r="AT293" i="23"/>
  <c r="AT294" i="23"/>
  <c r="AT295" i="23"/>
  <c r="AT296" i="23"/>
  <c r="AT297" i="23"/>
  <c r="AT298" i="23"/>
  <c r="AT299" i="23"/>
  <c r="AT300" i="23"/>
  <c r="AT301" i="23"/>
  <c r="AT302" i="23"/>
  <c r="AT303" i="23"/>
  <c r="AT304" i="23"/>
  <c r="AT305" i="23"/>
  <c r="AT306" i="23"/>
  <c r="AT307" i="23"/>
  <c r="AT308" i="23"/>
  <c r="AT309" i="23"/>
  <c r="AT310" i="23"/>
  <c r="AT311" i="23"/>
  <c r="AT312" i="23"/>
  <c r="AT313" i="23"/>
  <c r="AT314" i="23"/>
  <c r="AT315" i="23"/>
  <c r="AT316" i="23"/>
  <c r="AT317" i="23"/>
  <c r="AT318" i="23"/>
  <c r="AT319" i="23"/>
  <c r="AT320" i="23"/>
  <c r="AT321" i="23"/>
  <c r="AT322" i="23"/>
  <c r="AT323" i="23"/>
  <c r="AT324" i="23"/>
  <c r="AT325" i="23"/>
  <c r="AT326" i="23"/>
  <c r="AT327" i="23"/>
  <c r="AT328" i="23"/>
  <c r="AT329" i="23"/>
  <c r="AT330" i="23"/>
  <c r="AT331" i="23"/>
  <c r="AT332" i="23"/>
  <c r="AT333" i="23"/>
  <c r="AT334" i="23"/>
  <c r="AT335" i="23"/>
  <c r="AT336" i="23"/>
  <c r="AT337" i="23"/>
  <c r="AT338" i="23"/>
  <c r="AT339" i="23"/>
  <c r="AT340" i="23"/>
  <c r="AT341" i="23"/>
  <c r="AT342" i="23"/>
  <c r="AT343" i="23"/>
  <c r="AT344" i="23"/>
  <c r="AT345" i="23"/>
  <c r="AT346" i="23"/>
  <c r="AT347" i="23"/>
  <c r="AT348" i="23"/>
  <c r="AT349" i="23"/>
  <c r="AT350" i="23"/>
  <c r="AT351" i="23"/>
  <c r="AT352" i="23"/>
  <c r="AT353" i="23"/>
  <c r="AT354" i="23"/>
  <c r="AT355" i="23"/>
  <c r="AT356" i="23"/>
  <c r="AT357" i="23"/>
  <c r="AT358" i="23"/>
  <c r="AT359" i="23"/>
  <c r="AT360" i="23"/>
  <c r="AT361" i="23"/>
  <c r="AT362" i="23"/>
  <c r="AT363" i="23"/>
  <c r="AT364" i="23"/>
  <c r="AT365" i="23"/>
  <c r="AT366" i="23"/>
  <c r="AT367" i="23"/>
  <c r="AT368" i="23"/>
  <c r="AT369" i="23"/>
  <c r="AT370" i="23"/>
  <c r="AT371" i="23"/>
  <c r="AT372" i="23"/>
  <c r="AT373" i="23"/>
  <c r="AT374" i="23"/>
  <c r="AT375" i="23"/>
  <c r="AT376" i="23"/>
  <c r="AT377" i="23"/>
  <c r="AT378" i="23"/>
  <c r="AT379" i="23"/>
  <c r="AT380" i="23"/>
  <c r="AT381" i="23"/>
  <c r="AT382" i="23"/>
  <c r="AT383" i="23"/>
  <c r="AT384" i="23"/>
  <c r="AT385" i="23"/>
  <c r="AT386" i="23"/>
  <c r="AT387" i="23"/>
  <c r="AT388" i="23"/>
  <c r="AT389" i="23"/>
  <c r="AT390" i="23"/>
  <c r="AT391" i="23"/>
  <c r="AT392" i="23"/>
  <c r="AT393" i="23"/>
  <c r="AT394" i="23"/>
  <c r="AT395" i="23"/>
  <c r="AT396" i="23"/>
  <c r="AT397" i="23"/>
  <c r="AT398" i="23"/>
  <c r="AT399" i="23"/>
  <c r="AT400" i="23"/>
  <c r="AT401" i="23"/>
  <c r="AT402" i="23"/>
  <c r="AT403" i="23"/>
  <c r="AT404" i="23"/>
  <c r="AT405" i="23"/>
  <c r="AT406" i="23"/>
  <c r="AT407" i="23"/>
  <c r="AT408" i="23"/>
  <c r="AT409" i="23"/>
  <c r="AT410" i="23"/>
  <c r="AT411" i="23"/>
  <c r="AT412" i="23"/>
  <c r="AT413" i="23"/>
  <c r="AT414" i="23"/>
  <c r="AT415" i="23"/>
  <c r="AT416" i="23"/>
  <c r="AT417" i="23"/>
  <c r="AT418" i="23"/>
  <c r="AT419" i="23"/>
  <c r="AT420" i="23"/>
  <c r="AT421" i="23"/>
  <c r="AT422" i="23"/>
  <c r="AT423" i="23"/>
  <c r="AA423" i="23"/>
  <c r="S423" i="23"/>
  <c r="Y423" i="23"/>
  <c r="Z423" i="23"/>
  <c r="AG423" i="23"/>
  <c r="AN423" i="23"/>
  <c r="F423" i="23"/>
  <c r="AK450" i="23" l="1"/>
  <c r="X453" i="23"/>
  <c r="E445" i="23"/>
  <c r="R444" i="23"/>
  <c r="T444" i="23"/>
  <c r="AR446" i="23"/>
  <c r="C448" i="23"/>
  <c r="AR444" i="23"/>
  <c r="AR445" i="23"/>
  <c r="AJ437" i="23"/>
  <c r="AJ438" i="23"/>
  <c r="I10155" i="3"/>
  <c r="AS432" i="23"/>
  <c r="AE430" i="23"/>
  <c r="AI430" i="23" s="1"/>
  <c r="AJ436" i="23"/>
  <c r="O429" i="1"/>
  <c r="O428" i="1"/>
  <c r="AH430" i="23"/>
  <c r="AH432" i="23"/>
  <c r="AE431" i="23"/>
  <c r="AI431" i="23" s="1"/>
  <c r="AS430" i="23"/>
  <c r="AM430" i="23"/>
  <c r="AM432" i="23"/>
  <c r="I10159" i="3"/>
  <c r="I10163" i="3"/>
  <c r="I10167" i="3"/>
  <c r="I10171" i="3"/>
  <c r="I10175" i="3"/>
  <c r="I10153" i="3"/>
  <c r="I10141" i="3"/>
  <c r="I10157" i="3"/>
  <c r="I10161" i="3"/>
  <c r="I10165" i="3"/>
  <c r="I10169" i="3"/>
  <c r="I10173" i="3"/>
  <c r="I10177" i="3"/>
  <c r="I10184" i="3"/>
  <c r="I10188" i="3"/>
  <c r="I10196" i="3"/>
  <c r="I10198" i="3"/>
  <c r="I10200" i="3"/>
  <c r="I10178" i="3"/>
  <c r="I10179" i="3"/>
  <c r="I10180" i="3"/>
  <c r="I10181" i="3"/>
  <c r="I10182" i="3"/>
  <c r="I10183" i="3"/>
  <c r="I10185" i="3"/>
  <c r="I10186" i="3"/>
  <c r="I10187" i="3"/>
  <c r="I10189" i="3"/>
  <c r="I10190" i="3"/>
  <c r="I10191" i="3"/>
  <c r="I10192" i="3"/>
  <c r="I10193" i="3"/>
  <c r="I10194" i="3"/>
  <c r="I10195" i="3"/>
  <c r="I10197" i="3"/>
  <c r="I10199" i="3"/>
  <c r="I10201" i="3"/>
  <c r="I10154" i="3"/>
  <c r="I10156" i="3"/>
  <c r="I10158" i="3"/>
  <c r="I10160" i="3"/>
  <c r="I10162" i="3"/>
  <c r="I10164" i="3"/>
  <c r="I10166" i="3"/>
  <c r="I10168" i="3"/>
  <c r="I10170" i="3"/>
  <c r="I10172" i="3"/>
  <c r="I10174" i="3"/>
  <c r="I10176" i="3"/>
  <c r="I10131" i="3"/>
  <c r="I10133" i="3"/>
  <c r="I10135" i="3"/>
  <c r="I10137" i="3"/>
  <c r="I10139" i="3"/>
  <c r="I10143" i="3"/>
  <c r="I10145" i="3"/>
  <c r="I10147" i="3"/>
  <c r="I10149" i="3"/>
  <c r="I10150" i="3"/>
  <c r="I10130" i="3"/>
  <c r="I10132" i="3"/>
  <c r="I10134" i="3"/>
  <c r="I10136" i="3"/>
  <c r="I10138" i="3"/>
  <c r="I10140" i="3"/>
  <c r="I10142" i="3"/>
  <c r="I10144" i="3"/>
  <c r="I10151" i="3"/>
  <c r="I10152" i="3"/>
  <c r="I10146" i="3"/>
  <c r="I10148" i="3"/>
  <c r="AK451" i="23" l="1"/>
  <c r="AF444" i="23"/>
  <c r="C449" i="23"/>
  <c r="K446" i="23"/>
  <c r="AB460" i="23" s="1"/>
  <c r="AC460" i="23" s="1"/>
  <c r="T445" i="23"/>
  <c r="R445" i="23"/>
  <c r="AA422" i="23"/>
  <c r="S422" i="23"/>
  <c r="Y422" i="23"/>
  <c r="Z422" i="23"/>
  <c r="AG422" i="23"/>
  <c r="AN422" i="23"/>
  <c r="F422" i="23"/>
  <c r="J10129" i="3"/>
  <c r="K10129" i="3" s="1"/>
  <c r="H10129" i="3"/>
  <c r="G10129" i="3"/>
  <c r="J10128" i="3"/>
  <c r="K10128" i="3" s="1"/>
  <c r="H10128" i="3"/>
  <c r="G10128" i="3"/>
  <c r="J10127" i="3"/>
  <c r="K10127" i="3" s="1"/>
  <c r="H10127" i="3"/>
  <c r="G10127" i="3"/>
  <c r="J10126" i="3"/>
  <c r="K10126" i="3" s="1"/>
  <c r="H10126" i="3"/>
  <c r="G10126" i="3"/>
  <c r="J10125" i="3"/>
  <c r="K10125" i="3" s="1"/>
  <c r="H10125" i="3"/>
  <c r="G10125" i="3"/>
  <c r="J10124" i="3"/>
  <c r="K10124" i="3" s="1"/>
  <c r="H10124" i="3"/>
  <c r="G10124" i="3"/>
  <c r="J10123" i="3"/>
  <c r="K10123" i="3" s="1"/>
  <c r="H10123" i="3"/>
  <c r="G10123" i="3"/>
  <c r="J10122" i="3"/>
  <c r="K10122" i="3" s="1"/>
  <c r="H10122" i="3"/>
  <c r="G10122" i="3"/>
  <c r="J10121" i="3"/>
  <c r="K10121" i="3" s="1"/>
  <c r="H10121" i="3"/>
  <c r="G10121" i="3"/>
  <c r="J10120" i="3"/>
  <c r="K10120" i="3" s="1"/>
  <c r="H10120" i="3"/>
  <c r="G10120" i="3"/>
  <c r="J10119" i="3"/>
  <c r="K10119" i="3" s="1"/>
  <c r="H10119" i="3"/>
  <c r="G10119" i="3"/>
  <c r="J10118" i="3"/>
  <c r="K10118" i="3" s="1"/>
  <c r="H10118" i="3"/>
  <c r="G10118" i="3"/>
  <c r="J10117" i="3"/>
  <c r="K10117" i="3" s="1"/>
  <c r="H10117" i="3"/>
  <c r="G10117" i="3"/>
  <c r="J10116" i="3"/>
  <c r="K10116" i="3" s="1"/>
  <c r="H10116" i="3"/>
  <c r="G10116" i="3"/>
  <c r="J10115" i="3"/>
  <c r="K10115" i="3" s="1"/>
  <c r="H10115" i="3"/>
  <c r="G10115" i="3"/>
  <c r="J10114" i="3"/>
  <c r="K10114" i="3" s="1"/>
  <c r="H10114" i="3"/>
  <c r="G10114" i="3"/>
  <c r="J10113" i="3"/>
  <c r="K10113" i="3" s="1"/>
  <c r="H10113" i="3"/>
  <c r="G10113" i="3"/>
  <c r="J10112" i="3"/>
  <c r="K10112" i="3" s="1"/>
  <c r="H10112" i="3"/>
  <c r="G10112" i="3"/>
  <c r="J10111" i="3"/>
  <c r="K10111" i="3" s="1"/>
  <c r="H10111" i="3"/>
  <c r="G10111" i="3"/>
  <c r="J10110" i="3"/>
  <c r="K10110" i="3" s="1"/>
  <c r="H10110" i="3"/>
  <c r="G10110" i="3"/>
  <c r="J10109" i="3"/>
  <c r="K10109" i="3" s="1"/>
  <c r="H10109" i="3"/>
  <c r="G10109" i="3"/>
  <c r="J10108" i="3"/>
  <c r="K10108" i="3" s="1"/>
  <c r="H10108" i="3"/>
  <c r="G10108" i="3"/>
  <c r="J10107" i="3"/>
  <c r="K10107" i="3" s="1"/>
  <c r="H10107" i="3"/>
  <c r="G10107" i="3"/>
  <c r="J10106" i="3"/>
  <c r="K10106" i="3" s="1"/>
  <c r="H10106" i="3"/>
  <c r="G10106" i="3"/>
  <c r="S423" i="1"/>
  <c r="F423" i="1"/>
  <c r="BS54" i="18"/>
  <c r="BR54" i="18"/>
  <c r="BR55" i="18"/>
  <c r="BQ55" i="18"/>
  <c r="BQ54" i="18"/>
  <c r="BP55" i="18"/>
  <c r="BP54" i="18"/>
  <c r="BT29" i="18"/>
  <c r="BV29" i="18" s="1"/>
  <c r="BT28" i="18"/>
  <c r="BV28" i="18" s="1"/>
  <c r="BT33" i="18"/>
  <c r="BT32" i="18"/>
  <c r="BV32" i="18" s="1"/>
  <c r="BT31" i="18"/>
  <c r="BV31" i="18" s="1"/>
  <c r="BT30" i="18"/>
  <c r="BV30" i="18" s="1"/>
  <c r="BT16" i="18"/>
  <c r="BT17" i="18"/>
  <c r="BT18" i="18"/>
  <c r="BT19" i="18"/>
  <c r="BT20" i="18"/>
  <c r="BT21" i="18"/>
  <c r="BT22" i="18"/>
  <c r="BT23" i="18"/>
  <c r="BT24" i="18"/>
  <c r="BT15" i="18"/>
  <c r="J9361" i="3"/>
  <c r="K9361" i="3" s="1"/>
  <c r="J9360" i="3"/>
  <c r="K9360" i="3" s="1"/>
  <c r="J9359" i="3"/>
  <c r="K9359" i="3" s="1"/>
  <c r="J9358" i="3"/>
  <c r="K9358" i="3" s="1"/>
  <c r="J9357" i="3"/>
  <c r="K9357" i="3" s="1"/>
  <c r="J9356" i="3"/>
  <c r="K9356" i="3" s="1"/>
  <c r="J9355" i="3"/>
  <c r="K9355" i="3" s="1"/>
  <c r="J9354" i="3"/>
  <c r="K9354" i="3" s="1"/>
  <c r="J9353" i="3"/>
  <c r="K9353" i="3" s="1"/>
  <c r="J9352" i="3"/>
  <c r="K9352" i="3" s="1"/>
  <c r="J9351" i="3"/>
  <c r="K9351" i="3" s="1"/>
  <c r="J9350" i="3"/>
  <c r="K9350" i="3" s="1"/>
  <c r="J9349" i="3"/>
  <c r="K9349" i="3" s="1"/>
  <c r="J9348" i="3"/>
  <c r="K9348" i="3" s="1"/>
  <c r="J9347" i="3"/>
  <c r="K9347" i="3" s="1"/>
  <c r="J9346" i="3"/>
  <c r="K9346" i="3" s="1"/>
  <c r="J9345" i="3"/>
  <c r="K9345" i="3" s="1"/>
  <c r="J9344" i="3"/>
  <c r="K9344" i="3" s="1"/>
  <c r="J9343" i="3"/>
  <c r="K9343" i="3" s="1"/>
  <c r="J9342" i="3"/>
  <c r="K9342" i="3" s="1"/>
  <c r="J9341" i="3"/>
  <c r="K9341" i="3" s="1"/>
  <c r="J9340" i="3"/>
  <c r="K9340" i="3" s="1"/>
  <c r="J9339" i="3"/>
  <c r="K9339" i="3" s="1"/>
  <c r="J9338" i="3"/>
  <c r="K9338" i="3" s="1"/>
  <c r="J9385" i="3"/>
  <c r="K9385" i="3" s="1"/>
  <c r="J9384" i="3"/>
  <c r="K9384" i="3" s="1"/>
  <c r="J9383" i="3"/>
  <c r="K9383" i="3" s="1"/>
  <c r="J9382" i="3"/>
  <c r="K9382" i="3" s="1"/>
  <c r="J9381" i="3"/>
  <c r="K9381" i="3" s="1"/>
  <c r="J9380" i="3"/>
  <c r="K9380" i="3" s="1"/>
  <c r="J9379" i="3"/>
  <c r="K9379" i="3" s="1"/>
  <c r="J9378" i="3"/>
  <c r="K9378" i="3" s="1"/>
  <c r="J9377" i="3"/>
  <c r="K9377" i="3" s="1"/>
  <c r="J9376" i="3"/>
  <c r="K9376" i="3" s="1"/>
  <c r="J9375" i="3"/>
  <c r="K9375" i="3" s="1"/>
  <c r="J9374" i="3"/>
  <c r="K9374" i="3" s="1"/>
  <c r="J9373" i="3"/>
  <c r="K9373" i="3" s="1"/>
  <c r="J9372" i="3"/>
  <c r="K9372" i="3" s="1"/>
  <c r="J9371" i="3"/>
  <c r="K9371" i="3" s="1"/>
  <c r="J9370" i="3"/>
  <c r="K9370" i="3" s="1"/>
  <c r="J9369" i="3"/>
  <c r="K9369" i="3" s="1"/>
  <c r="J9368" i="3"/>
  <c r="K9368" i="3" s="1"/>
  <c r="J9367" i="3"/>
  <c r="K9367" i="3" s="1"/>
  <c r="J9366" i="3"/>
  <c r="K9366" i="3" s="1"/>
  <c r="J9365" i="3"/>
  <c r="K9365" i="3" s="1"/>
  <c r="J9364" i="3"/>
  <c r="K9364" i="3" s="1"/>
  <c r="J9363" i="3"/>
  <c r="K9363" i="3" s="1"/>
  <c r="J9362" i="3"/>
  <c r="K9362" i="3" s="1"/>
  <c r="J9409" i="3"/>
  <c r="K9409" i="3" s="1"/>
  <c r="J9408" i="3"/>
  <c r="K9408" i="3" s="1"/>
  <c r="J9407" i="3"/>
  <c r="K9407" i="3" s="1"/>
  <c r="J9406" i="3"/>
  <c r="K9406" i="3" s="1"/>
  <c r="J9405" i="3"/>
  <c r="K9405" i="3" s="1"/>
  <c r="J9404" i="3"/>
  <c r="K9404" i="3" s="1"/>
  <c r="J9403" i="3"/>
  <c r="K9403" i="3" s="1"/>
  <c r="J9402" i="3"/>
  <c r="K9402" i="3" s="1"/>
  <c r="J9401" i="3"/>
  <c r="K9401" i="3" s="1"/>
  <c r="J9400" i="3"/>
  <c r="K9400" i="3" s="1"/>
  <c r="J9399" i="3"/>
  <c r="K9399" i="3" s="1"/>
  <c r="J9398" i="3"/>
  <c r="K9398" i="3" s="1"/>
  <c r="J9397" i="3"/>
  <c r="K9397" i="3" s="1"/>
  <c r="J9396" i="3"/>
  <c r="K9396" i="3" s="1"/>
  <c r="J9395" i="3"/>
  <c r="K9395" i="3" s="1"/>
  <c r="J9394" i="3"/>
  <c r="K9394" i="3" s="1"/>
  <c r="J9393" i="3"/>
  <c r="K9393" i="3" s="1"/>
  <c r="J9392" i="3"/>
  <c r="K9392" i="3" s="1"/>
  <c r="J9391" i="3"/>
  <c r="K9391" i="3" s="1"/>
  <c r="J9390" i="3"/>
  <c r="K9390" i="3" s="1"/>
  <c r="J9389" i="3"/>
  <c r="K9389" i="3" s="1"/>
  <c r="J9388" i="3"/>
  <c r="K9388" i="3" s="1"/>
  <c r="J9387" i="3"/>
  <c r="K9387" i="3" s="1"/>
  <c r="J9386" i="3"/>
  <c r="K9386" i="3" s="1"/>
  <c r="J9433" i="3"/>
  <c r="K9433" i="3" s="1"/>
  <c r="J9432" i="3"/>
  <c r="K9432" i="3" s="1"/>
  <c r="J9431" i="3"/>
  <c r="K9431" i="3" s="1"/>
  <c r="J9430" i="3"/>
  <c r="K9430" i="3" s="1"/>
  <c r="J9429" i="3"/>
  <c r="K9429" i="3" s="1"/>
  <c r="J9428" i="3"/>
  <c r="K9428" i="3" s="1"/>
  <c r="J9427" i="3"/>
  <c r="K9427" i="3" s="1"/>
  <c r="J9426" i="3"/>
  <c r="K9426" i="3" s="1"/>
  <c r="J9425" i="3"/>
  <c r="K9425" i="3" s="1"/>
  <c r="J9424" i="3"/>
  <c r="K9424" i="3" s="1"/>
  <c r="J9423" i="3"/>
  <c r="K9423" i="3" s="1"/>
  <c r="J9422" i="3"/>
  <c r="K9422" i="3" s="1"/>
  <c r="J9421" i="3"/>
  <c r="K9421" i="3" s="1"/>
  <c r="J9420" i="3"/>
  <c r="K9420" i="3" s="1"/>
  <c r="J9419" i="3"/>
  <c r="K9419" i="3" s="1"/>
  <c r="J9418" i="3"/>
  <c r="K9418" i="3" s="1"/>
  <c r="J9417" i="3"/>
  <c r="K9417" i="3" s="1"/>
  <c r="J9416" i="3"/>
  <c r="K9416" i="3" s="1"/>
  <c r="J9415" i="3"/>
  <c r="K9415" i="3" s="1"/>
  <c r="J9414" i="3"/>
  <c r="K9414" i="3" s="1"/>
  <c r="J9413" i="3"/>
  <c r="K9413" i="3" s="1"/>
  <c r="J9412" i="3"/>
  <c r="K9412" i="3" s="1"/>
  <c r="J9411" i="3"/>
  <c r="K9411" i="3" s="1"/>
  <c r="J9410" i="3"/>
  <c r="K9410" i="3" s="1"/>
  <c r="J9457" i="3"/>
  <c r="K9457" i="3" s="1"/>
  <c r="J9456" i="3"/>
  <c r="K9456" i="3" s="1"/>
  <c r="J9455" i="3"/>
  <c r="K9455" i="3" s="1"/>
  <c r="J9454" i="3"/>
  <c r="K9454" i="3" s="1"/>
  <c r="J9453" i="3"/>
  <c r="K9453" i="3" s="1"/>
  <c r="J9452" i="3"/>
  <c r="K9452" i="3" s="1"/>
  <c r="J9451" i="3"/>
  <c r="K9451" i="3" s="1"/>
  <c r="J9450" i="3"/>
  <c r="K9450" i="3" s="1"/>
  <c r="J9449" i="3"/>
  <c r="K9449" i="3" s="1"/>
  <c r="J9448" i="3"/>
  <c r="K9448" i="3" s="1"/>
  <c r="J9447" i="3"/>
  <c r="K9447" i="3" s="1"/>
  <c r="J9446" i="3"/>
  <c r="K9446" i="3" s="1"/>
  <c r="J9445" i="3"/>
  <c r="K9445" i="3" s="1"/>
  <c r="J9444" i="3"/>
  <c r="K9444" i="3" s="1"/>
  <c r="J9443" i="3"/>
  <c r="K9443" i="3" s="1"/>
  <c r="J9442" i="3"/>
  <c r="K9442" i="3" s="1"/>
  <c r="J9441" i="3"/>
  <c r="K9441" i="3" s="1"/>
  <c r="J9440" i="3"/>
  <c r="K9440" i="3" s="1"/>
  <c r="J9439" i="3"/>
  <c r="K9439" i="3" s="1"/>
  <c r="J9438" i="3"/>
  <c r="K9438" i="3" s="1"/>
  <c r="J9437" i="3"/>
  <c r="K9437" i="3" s="1"/>
  <c r="J9436" i="3"/>
  <c r="K9436" i="3" s="1"/>
  <c r="J9435" i="3"/>
  <c r="K9435" i="3" s="1"/>
  <c r="J9434" i="3"/>
  <c r="K9434" i="3" s="1"/>
  <c r="J9481" i="3"/>
  <c r="K9481" i="3" s="1"/>
  <c r="J9480" i="3"/>
  <c r="K9480" i="3" s="1"/>
  <c r="J9479" i="3"/>
  <c r="K9479" i="3" s="1"/>
  <c r="J9478" i="3"/>
  <c r="K9478" i="3" s="1"/>
  <c r="J9477" i="3"/>
  <c r="K9477" i="3" s="1"/>
  <c r="J9476" i="3"/>
  <c r="K9476" i="3" s="1"/>
  <c r="J9475" i="3"/>
  <c r="K9475" i="3" s="1"/>
  <c r="J9474" i="3"/>
  <c r="K9474" i="3" s="1"/>
  <c r="J9473" i="3"/>
  <c r="K9473" i="3" s="1"/>
  <c r="J9472" i="3"/>
  <c r="K9472" i="3" s="1"/>
  <c r="J9471" i="3"/>
  <c r="K9471" i="3" s="1"/>
  <c r="J9470" i="3"/>
  <c r="K9470" i="3" s="1"/>
  <c r="J9469" i="3"/>
  <c r="K9469" i="3" s="1"/>
  <c r="J9468" i="3"/>
  <c r="K9468" i="3" s="1"/>
  <c r="J9467" i="3"/>
  <c r="K9467" i="3" s="1"/>
  <c r="J9466" i="3"/>
  <c r="K9466" i="3" s="1"/>
  <c r="J9465" i="3"/>
  <c r="K9465" i="3" s="1"/>
  <c r="J9464" i="3"/>
  <c r="K9464" i="3" s="1"/>
  <c r="J9463" i="3"/>
  <c r="K9463" i="3" s="1"/>
  <c r="J9462" i="3"/>
  <c r="K9462" i="3" s="1"/>
  <c r="J9461" i="3"/>
  <c r="K9461" i="3" s="1"/>
  <c r="J9460" i="3"/>
  <c r="K9460" i="3" s="1"/>
  <c r="J9459" i="3"/>
  <c r="K9459" i="3" s="1"/>
  <c r="J9458" i="3"/>
  <c r="K9458" i="3" s="1"/>
  <c r="J9505" i="3"/>
  <c r="K9505" i="3" s="1"/>
  <c r="J9504" i="3"/>
  <c r="K9504" i="3" s="1"/>
  <c r="J9503" i="3"/>
  <c r="K9503" i="3" s="1"/>
  <c r="J9502" i="3"/>
  <c r="K9502" i="3" s="1"/>
  <c r="J9501" i="3"/>
  <c r="K9501" i="3" s="1"/>
  <c r="J9500" i="3"/>
  <c r="K9500" i="3" s="1"/>
  <c r="J9499" i="3"/>
  <c r="K9499" i="3" s="1"/>
  <c r="J9498" i="3"/>
  <c r="K9498" i="3" s="1"/>
  <c r="J9497" i="3"/>
  <c r="K9497" i="3" s="1"/>
  <c r="J9496" i="3"/>
  <c r="K9496" i="3" s="1"/>
  <c r="J9495" i="3"/>
  <c r="K9495" i="3" s="1"/>
  <c r="J9494" i="3"/>
  <c r="K9494" i="3" s="1"/>
  <c r="J9493" i="3"/>
  <c r="K9493" i="3" s="1"/>
  <c r="J9492" i="3"/>
  <c r="K9492" i="3" s="1"/>
  <c r="J9491" i="3"/>
  <c r="K9491" i="3" s="1"/>
  <c r="J9490" i="3"/>
  <c r="K9490" i="3" s="1"/>
  <c r="J9489" i="3"/>
  <c r="K9489" i="3" s="1"/>
  <c r="J9488" i="3"/>
  <c r="K9488" i="3" s="1"/>
  <c r="J9487" i="3"/>
  <c r="K9487" i="3" s="1"/>
  <c r="J9486" i="3"/>
  <c r="K9486" i="3" s="1"/>
  <c r="J9485" i="3"/>
  <c r="K9485" i="3" s="1"/>
  <c r="J9484" i="3"/>
  <c r="K9484" i="3" s="1"/>
  <c r="J9483" i="3"/>
  <c r="K9483" i="3" s="1"/>
  <c r="J9482" i="3"/>
  <c r="K9482" i="3" s="1"/>
  <c r="J9529" i="3"/>
  <c r="K9529" i="3" s="1"/>
  <c r="J9528" i="3"/>
  <c r="K9528" i="3" s="1"/>
  <c r="J9527" i="3"/>
  <c r="K9527" i="3" s="1"/>
  <c r="J9526" i="3"/>
  <c r="K9526" i="3" s="1"/>
  <c r="J9525" i="3"/>
  <c r="K9525" i="3" s="1"/>
  <c r="J9524" i="3"/>
  <c r="K9524" i="3" s="1"/>
  <c r="J9523" i="3"/>
  <c r="K9523" i="3" s="1"/>
  <c r="J9522" i="3"/>
  <c r="K9522" i="3" s="1"/>
  <c r="J9521" i="3"/>
  <c r="K9521" i="3" s="1"/>
  <c r="J9520" i="3"/>
  <c r="K9520" i="3" s="1"/>
  <c r="J9519" i="3"/>
  <c r="K9519" i="3" s="1"/>
  <c r="J9518" i="3"/>
  <c r="K9518" i="3" s="1"/>
  <c r="J9517" i="3"/>
  <c r="K9517" i="3" s="1"/>
  <c r="J9516" i="3"/>
  <c r="K9516" i="3" s="1"/>
  <c r="J9515" i="3"/>
  <c r="K9515" i="3" s="1"/>
  <c r="J9514" i="3"/>
  <c r="K9514" i="3" s="1"/>
  <c r="J9513" i="3"/>
  <c r="K9513" i="3" s="1"/>
  <c r="J9512" i="3"/>
  <c r="K9512" i="3" s="1"/>
  <c r="J9511" i="3"/>
  <c r="K9511" i="3" s="1"/>
  <c r="J9510" i="3"/>
  <c r="K9510" i="3" s="1"/>
  <c r="J9509" i="3"/>
  <c r="K9509" i="3" s="1"/>
  <c r="J9508" i="3"/>
  <c r="K9508" i="3" s="1"/>
  <c r="J9507" i="3"/>
  <c r="K9507" i="3" s="1"/>
  <c r="J9506" i="3"/>
  <c r="K9506" i="3" s="1"/>
  <c r="J9553" i="3"/>
  <c r="K9553" i="3" s="1"/>
  <c r="J9552" i="3"/>
  <c r="K9552" i="3" s="1"/>
  <c r="J9551" i="3"/>
  <c r="K9551" i="3" s="1"/>
  <c r="J9550" i="3"/>
  <c r="K9550" i="3" s="1"/>
  <c r="J9549" i="3"/>
  <c r="K9549" i="3" s="1"/>
  <c r="J9548" i="3"/>
  <c r="K9548" i="3" s="1"/>
  <c r="J9547" i="3"/>
  <c r="K9547" i="3" s="1"/>
  <c r="J9546" i="3"/>
  <c r="K9546" i="3" s="1"/>
  <c r="J9545" i="3"/>
  <c r="K9545" i="3" s="1"/>
  <c r="J9544" i="3"/>
  <c r="K9544" i="3" s="1"/>
  <c r="J9543" i="3"/>
  <c r="K9543" i="3" s="1"/>
  <c r="J9542" i="3"/>
  <c r="K9542" i="3" s="1"/>
  <c r="J9541" i="3"/>
  <c r="K9541" i="3" s="1"/>
  <c r="J9540" i="3"/>
  <c r="K9540" i="3" s="1"/>
  <c r="J9539" i="3"/>
  <c r="K9539" i="3" s="1"/>
  <c r="J9538" i="3"/>
  <c r="K9538" i="3" s="1"/>
  <c r="J9537" i="3"/>
  <c r="K9537" i="3" s="1"/>
  <c r="J9536" i="3"/>
  <c r="K9536" i="3" s="1"/>
  <c r="J9535" i="3"/>
  <c r="K9535" i="3" s="1"/>
  <c r="J9534" i="3"/>
  <c r="K9534" i="3" s="1"/>
  <c r="J9533" i="3"/>
  <c r="K9533" i="3" s="1"/>
  <c r="J9532" i="3"/>
  <c r="K9532" i="3" s="1"/>
  <c r="J9531" i="3"/>
  <c r="K9531" i="3" s="1"/>
  <c r="J9530" i="3"/>
  <c r="K9530" i="3" s="1"/>
  <c r="J9577" i="3"/>
  <c r="K9577" i="3" s="1"/>
  <c r="J9576" i="3"/>
  <c r="K9576" i="3" s="1"/>
  <c r="J9575" i="3"/>
  <c r="K9575" i="3" s="1"/>
  <c r="J9574" i="3"/>
  <c r="K9574" i="3" s="1"/>
  <c r="J9573" i="3"/>
  <c r="K9573" i="3" s="1"/>
  <c r="J9572" i="3"/>
  <c r="K9572" i="3" s="1"/>
  <c r="J9571" i="3"/>
  <c r="K9571" i="3" s="1"/>
  <c r="J9570" i="3"/>
  <c r="K9570" i="3" s="1"/>
  <c r="J9569" i="3"/>
  <c r="K9569" i="3" s="1"/>
  <c r="J9568" i="3"/>
  <c r="K9568" i="3" s="1"/>
  <c r="J9567" i="3"/>
  <c r="K9567" i="3" s="1"/>
  <c r="J9566" i="3"/>
  <c r="K9566" i="3" s="1"/>
  <c r="J9565" i="3"/>
  <c r="K9565" i="3" s="1"/>
  <c r="J9564" i="3"/>
  <c r="K9564" i="3" s="1"/>
  <c r="J9563" i="3"/>
  <c r="K9563" i="3" s="1"/>
  <c r="J9562" i="3"/>
  <c r="K9562" i="3" s="1"/>
  <c r="J9561" i="3"/>
  <c r="K9561" i="3" s="1"/>
  <c r="J9560" i="3"/>
  <c r="K9560" i="3" s="1"/>
  <c r="J9559" i="3"/>
  <c r="K9559" i="3" s="1"/>
  <c r="J9558" i="3"/>
  <c r="K9558" i="3" s="1"/>
  <c r="J9557" i="3"/>
  <c r="K9557" i="3" s="1"/>
  <c r="J9556" i="3"/>
  <c r="K9556" i="3" s="1"/>
  <c r="J9555" i="3"/>
  <c r="K9555" i="3" s="1"/>
  <c r="J9554" i="3"/>
  <c r="K9554" i="3" s="1"/>
  <c r="J9601" i="3"/>
  <c r="K9601" i="3" s="1"/>
  <c r="J9600" i="3"/>
  <c r="K9600" i="3" s="1"/>
  <c r="J9599" i="3"/>
  <c r="K9599" i="3" s="1"/>
  <c r="J9598" i="3"/>
  <c r="K9598" i="3" s="1"/>
  <c r="J9597" i="3"/>
  <c r="K9597" i="3" s="1"/>
  <c r="J9596" i="3"/>
  <c r="K9596" i="3" s="1"/>
  <c r="J9595" i="3"/>
  <c r="K9595" i="3" s="1"/>
  <c r="J9594" i="3"/>
  <c r="K9594" i="3" s="1"/>
  <c r="J9593" i="3"/>
  <c r="K9593" i="3" s="1"/>
  <c r="J9592" i="3"/>
  <c r="K9592" i="3" s="1"/>
  <c r="J9591" i="3"/>
  <c r="K9591" i="3" s="1"/>
  <c r="J9590" i="3"/>
  <c r="K9590" i="3" s="1"/>
  <c r="J9589" i="3"/>
  <c r="K9589" i="3" s="1"/>
  <c r="J9588" i="3"/>
  <c r="K9588" i="3" s="1"/>
  <c r="J9587" i="3"/>
  <c r="K9587" i="3" s="1"/>
  <c r="J9586" i="3"/>
  <c r="K9586" i="3" s="1"/>
  <c r="J9585" i="3"/>
  <c r="K9585" i="3" s="1"/>
  <c r="J9584" i="3"/>
  <c r="K9584" i="3" s="1"/>
  <c r="J9583" i="3"/>
  <c r="K9583" i="3" s="1"/>
  <c r="J9582" i="3"/>
  <c r="K9582" i="3" s="1"/>
  <c r="J9581" i="3"/>
  <c r="K9581" i="3" s="1"/>
  <c r="J9580" i="3"/>
  <c r="K9580" i="3" s="1"/>
  <c r="J9579" i="3"/>
  <c r="K9579" i="3" s="1"/>
  <c r="J9578" i="3"/>
  <c r="K9578" i="3" s="1"/>
  <c r="J9625" i="3"/>
  <c r="K9625" i="3" s="1"/>
  <c r="J9624" i="3"/>
  <c r="K9624" i="3" s="1"/>
  <c r="J9623" i="3"/>
  <c r="K9623" i="3" s="1"/>
  <c r="J9622" i="3"/>
  <c r="K9622" i="3" s="1"/>
  <c r="J9621" i="3"/>
  <c r="K9621" i="3" s="1"/>
  <c r="J9620" i="3"/>
  <c r="K9620" i="3" s="1"/>
  <c r="J9619" i="3"/>
  <c r="K9619" i="3" s="1"/>
  <c r="J9618" i="3"/>
  <c r="K9618" i="3" s="1"/>
  <c r="J9617" i="3"/>
  <c r="K9617" i="3" s="1"/>
  <c r="J9616" i="3"/>
  <c r="K9616" i="3" s="1"/>
  <c r="J9615" i="3"/>
  <c r="K9615" i="3" s="1"/>
  <c r="J9614" i="3"/>
  <c r="K9614" i="3" s="1"/>
  <c r="J9613" i="3"/>
  <c r="K9613" i="3" s="1"/>
  <c r="J9612" i="3"/>
  <c r="K9612" i="3" s="1"/>
  <c r="J9611" i="3"/>
  <c r="K9611" i="3" s="1"/>
  <c r="J9610" i="3"/>
  <c r="K9610" i="3" s="1"/>
  <c r="J9609" i="3"/>
  <c r="K9609" i="3" s="1"/>
  <c r="J9608" i="3"/>
  <c r="K9608" i="3" s="1"/>
  <c r="J9607" i="3"/>
  <c r="K9607" i="3" s="1"/>
  <c r="J9606" i="3"/>
  <c r="K9606" i="3" s="1"/>
  <c r="J9605" i="3"/>
  <c r="K9605" i="3" s="1"/>
  <c r="J9604" i="3"/>
  <c r="K9604" i="3" s="1"/>
  <c r="J9603" i="3"/>
  <c r="K9603" i="3" s="1"/>
  <c r="J9602" i="3"/>
  <c r="K9602" i="3" s="1"/>
  <c r="J9649" i="3"/>
  <c r="K9649" i="3" s="1"/>
  <c r="J9648" i="3"/>
  <c r="K9648" i="3" s="1"/>
  <c r="J9647" i="3"/>
  <c r="K9647" i="3" s="1"/>
  <c r="J9646" i="3"/>
  <c r="K9646" i="3" s="1"/>
  <c r="J9645" i="3"/>
  <c r="K9645" i="3" s="1"/>
  <c r="J9644" i="3"/>
  <c r="K9644" i="3" s="1"/>
  <c r="J9643" i="3"/>
  <c r="K9643" i="3" s="1"/>
  <c r="J9642" i="3"/>
  <c r="K9642" i="3" s="1"/>
  <c r="J9641" i="3"/>
  <c r="K9641" i="3" s="1"/>
  <c r="J9640" i="3"/>
  <c r="K9640" i="3" s="1"/>
  <c r="J9639" i="3"/>
  <c r="K9639" i="3" s="1"/>
  <c r="J9638" i="3"/>
  <c r="K9638" i="3" s="1"/>
  <c r="J9637" i="3"/>
  <c r="K9637" i="3" s="1"/>
  <c r="J9636" i="3"/>
  <c r="K9636" i="3" s="1"/>
  <c r="J9635" i="3"/>
  <c r="K9635" i="3" s="1"/>
  <c r="J9634" i="3"/>
  <c r="K9634" i="3" s="1"/>
  <c r="J9633" i="3"/>
  <c r="K9633" i="3" s="1"/>
  <c r="J9632" i="3"/>
  <c r="K9632" i="3" s="1"/>
  <c r="J9631" i="3"/>
  <c r="K9631" i="3" s="1"/>
  <c r="J9630" i="3"/>
  <c r="K9630" i="3" s="1"/>
  <c r="J9629" i="3"/>
  <c r="K9629" i="3" s="1"/>
  <c r="J9628" i="3"/>
  <c r="K9628" i="3" s="1"/>
  <c r="J9627" i="3"/>
  <c r="K9627" i="3" s="1"/>
  <c r="J9626" i="3"/>
  <c r="K9626" i="3" s="1"/>
  <c r="J9673" i="3"/>
  <c r="K9673" i="3" s="1"/>
  <c r="J9672" i="3"/>
  <c r="K9672" i="3" s="1"/>
  <c r="J9671" i="3"/>
  <c r="K9671" i="3" s="1"/>
  <c r="J9670" i="3"/>
  <c r="K9670" i="3" s="1"/>
  <c r="J9669" i="3"/>
  <c r="K9669" i="3" s="1"/>
  <c r="J9668" i="3"/>
  <c r="K9668" i="3" s="1"/>
  <c r="J9667" i="3"/>
  <c r="K9667" i="3" s="1"/>
  <c r="J9666" i="3"/>
  <c r="K9666" i="3" s="1"/>
  <c r="J9665" i="3"/>
  <c r="K9665" i="3" s="1"/>
  <c r="J9664" i="3"/>
  <c r="K9664" i="3" s="1"/>
  <c r="J9663" i="3"/>
  <c r="K9663" i="3" s="1"/>
  <c r="J9662" i="3"/>
  <c r="K9662" i="3" s="1"/>
  <c r="J9661" i="3"/>
  <c r="K9661" i="3" s="1"/>
  <c r="J9660" i="3"/>
  <c r="K9660" i="3" s="1"/>
  <c r="J9659" i="3"/>
  <c r="K9659" i="3" s="1"/>
  <c r="J9658" i="3"/>
  <c r="K9658" i="3" s="1"/>
  <c r="J9657" i="3"/>
  <c r="K9657" i="3" s="1"/>
  <c r="J9656" i="3"/>
  <c r="K9656" i="3" s="1"/>
  <c r="J9655" i="3"/>
  <c r="K9655" i="3" s="1"/>
  <c r="J9654" i="3"/>
  <c r="K9654" i="3" s="1"/>
  <c r="J9653" i="3"/>
  <c r="K9653" i="3" s="1"/>
  <c r="J9652" i="3"/>
  <c r="K9652" i="3" s="1"/>
  <c r="J9651" i="3"/>
  <c r="K9651" i="3" s="1"/>
  <c r="J9650" i="3"/>
  <c r="K9650" i="3" s="1"/>
  <c r="J9697" i="3"/>
  <c r="K9697" i="3" s="1"/>
  <c r="J9696" i="3"/>
  <c r="K9696" i="3" s="1"/>
  <c r="J9695" i="3"/>
  <c r="K9695" i="3" s="1"/>
  <c r="J9694" i="3"/>
  <c r="K9694" i="3" s="1"/>
  <c r="J9693" i="3"/>
  <c r="K9693" i="3" s="1"/>
  <c r="J9692" i="3"/>
  <c r="K9692" i="3" s="1"/>
  <c r="J9691" i="3"/>
  <c r="K9691" i="3" s="1"/>
  <c r="J9690" i="3"/>
  <c r="K9690" i="3" s="1"/>
  <c r="J9689" i="3"/>
  <c r="K9689" i="3" s="1"/>
  <c r="J9688" i="3"/>
  <c r="K9688" i="3" s="1"/>
  <c r="J9687" i="3"/>
  <c r="K9687" i="3" s="1"/>
  <c r="J9686" i="3"/>
  <c r="K9686" i="3" s="1"/>
  <c r="J9685" i="3"/>
  <c r="K9685" i="3" s="1"/>
  <c r="J9684" i="3"/>
  <c r="K9684" i="3" s="1"/>
  <c r="J9683" i="3"/>
  <c r="K9683" i="3" s="1"/>
  <c r="J9682" i="3"/>
  <c r="K9682" i="3" s="1"/>
  <c r="J9681" i="3"/>
  <c r="K9681" i="3" s="1"/>
  <c r="J9680" i="3"/>
  <c r="K9680" i="3" s="1"/>
  <c r="J9679" i="3"/>
  <c r="K9679" i="3" s="1"/>
  <c r="J9678" i="3"/>
  <c r="K9678" i="3" s="1"/>
  <c r="J9677" i="3"/>
  <c r="K9677" i="3" s="1"/>
  <c r="J9676" i="3"/>
  <c r="K9676" i="3" s="1"/>
  <c r="J9675" i="3"/>
  <c r="K9675" i="3" s="1"/>
  <c r="J9674" i="3"/>
  <c r="K9674" i="3" s="1"/>
  <c r="J9721" i="3"/>
  <c r="K9721" i="3" s="1"/>
  <c r="J9720" i="3"/>
  <c r="K9720" i="3" s="1"/>
  <c r="J9719" i="3"/>
  <c r="K9719" i="3" s="1"/>
  <c r="J9718" i="3"/>
  <c r="K9718" i="3" s="1"/>
  <c r="J9717" i="3"/>
  <c r="K9717" i="3" s="1"/>
  <c r="J9716" i="3"/>
  <c r="K9716" i="3" s="1"/>
  <c r="J9715" i="3"/>
  <c r="K9715" i="3" s="1"/>
  <c r="J9714" i="3"/>
  <c r="K9714" i="3" s="1"/>
  <c r="J9713" i="3"/>
  <c r="K9713" i="3" s="1"/>
  <c r="J9712" i="3"/>
  <c r="K9712" i="3" s="1"/>
  <c r="J9711" i="3"/>
  <c r="K9711" i="3" s="1"/>
  <c r="J9710" i="3"/>
  <c r="K9710" i="3" s="1"/>
  <c r="J9709" i="3"/>
  <c r="K9709" i="3" s="1"/>
  <c r="J9708" i="3"/>
  <c r="K9708" i="3" s="1"/>
  <c r="J9707" i="3"/>
  <c r="K9707" i="3" s="1"/>
  <c r="J9706" i="3"/>
  <c r="K9706" i="3" s="1"/>
  <c r="J9705" i="3"/>
  <c r="K9705" i="3" s="1"/>
  <c r="J9704" i="3"/>
  <c r="K9704" i="3" s="1"/>
  <c r="J9703" i="3"/>
  <c r="K9703" i="3" s="1"/>
  <c r="J9702" i="3"/>
  <c r="K9702" i="3" s="1"/>
  <c r="J9701" i="3"/>
  <c r="K9701" i="3" s="1"/>
  <c r="J9700" i="3"/>
  <c r="K9700" i="3" s="1"/>
  <c r="J9699" i="3"/>
  <c r="K9699" i="3" s="1"/>
  <c r="J9698" i="3"/>
  <c r="K9698" i="3" s="1"/>
  <c r="J9745" i="3"/>
  <c r="K9745" i="3" s="1"/>
  <c r="J9744" i="3"/>
  <c r="K9744" i="3" s="1"/>
  <c r="J9743" i="3"/>
  <c r="K9743" i="3" s="1"/>
  <c r="J9742" i="3"/>
  <c r="K9742" i="3" s="1"/>
  <c r="J9741" i="3"/>
  <c r="K9741" i="3" s="1"/>
  <c r="J9740" i="3"/>
  <c r="K9740" i="3" s="1"/>
  <c r="J9739" i="3"/>
  <c r="K9739" i="3" s="1"/>
  <c r="J9738" i="3"/>
  <c r="K9738" i="3" s="1"/>
  <c r="J9737" i="3"/>
  <c r="K9737" i="3" s="1"/>
  <c r="J9736" i="3"/>
  <c r="K9736" i="3" s="1"/>
  <c r="J9735" i="3"/>
  <c r="K9735" i="3" s="1"/>
  <c r="J9734" i="3"/>
  <c r="K9734" i="3" s="1"/>
  <c r="J9733" i="3"/>
  <c r="K9733" i="3" s="1"/>
  <c r="J9732" i="3"/>
  <c r="K9732" i="3" s="1"/>
  <c r="J9731" i="3"/>
  <c r="K9731" i="3" s="1"/>
  <c r="J9730" i="3"/>
  <c r="K9730" i="3" s="1"/>
  <c r="J9729" i="3"/>
  <c r="K9729" i="3" s="1"/>
  <c r="J9728" i="3"/>
  <c r="K9728" i="3" s="1"/>
  <c r="J9727" i="3"/>
  <c r="K9727" i="3" s="1"/>
  <c r="J9726" i="3"/>
  <c r="K9726" i="3" s="1"/>
  <c r="J9725" i="3"/>
  <c r="K9725" i="3" s="1"/>
  <c r="J9724" i="3"/>
  <c r="K9724" i="3" s="1"/>
  <c r="J9723" i="3"/>
  <c r="K9723" i="3" s="1"/>
  <c r="J9722" i="3"/>
  <c r="K9722" i="3" s="1"/>
  <c r="J9769" i="3"/>
  <c r="K9769" i="3" s="1"/>
  <c r="J9768" i="3"/>
  <c r="K9768" i="3" s="1"/>
  <c r="J9767" i="3"/>
  <c r="K9767" i="3" s="1"/>
  <c r="J9766" i="3"/>
  <c r="K9766" i="3" s="1"/>
  <c r="J9765" i="3"/>
  <c r="K9765" i="3" s="1"/>
  <c r="J9764" i="3"/>
  <c r="K9764" i="3" s="1"/>
  <c r="J9763" i="3"/>
  <c r="K9763" i="3" s="1"/>
  <c r="J9762" i="3"/>
  <c r="K9762" i="3" s="1"/>
  <c r="J9761" i="3"/>
  <c r="K9761" i="3" s="1"/>
  <c r="J9760" i="3"/>
  <c r="K9760" i="3" s="1"/>
  <c r="J9759" i="3"/>
  <c r="K9759" i="3" s="1"/>
  <c r="J9758" i="3"/>
  <c r="K9758" i="3" s="1"/>
  <c r="J9757" i="3"/>
  <c r="K9757" i="3" s="1"/>
  <c r="J9756" i="3"/>
  <c r="K9756" i="3" s="1"/>
  <c r="J9755" i="3"/>
  <c r="K9755" i="3" s="1"/>
  <c r="J9754" i="3"/>
  <c r="K9754" i="3" s="1"/>
  <c r="J9753" i="3"/>
  <c r="K9753" i="3" s="1"/>
  <c r="J9752" i="3"/>
  <c r="K9752" i="3" s="1"/>
  <c r="J9751" i="3"/>
  <c r="K9751" i="3" s="1"/>
  <c r="J9750" i="3"/>
  <c r="K9750" i="3" s="1"/>
  <c r="J9749" i="3"/>
  <c r="K9749" i="3" s="1"/>
  <c r="J9748" i="3"/>
  <c r="K9748" i="3" s="1"/>
  <c r="J9747" i="3"/>
  <c r="K9747" i="3" s="1"/>
  <c r="J9746" i="3"/>
  <c r="K9746" i="3" s="1"/>
  <c r="J9793" i="3"/>
  <c r="K9793" i="3" s="1"/>
  <c r="J9792" i="3"/>
  <c r="K9792" i="3" s="1"/>
  <c r="J9791" i="3"/>
  <c r="K9791" i="3" s="1"/>
  <c r="J9790" i="3"/>
  <c r="K9790" i="3" s="1"/>
  <c r="J9789" i="3"/>
  <c r="K9789" i="3" s="1"/>
  <c r="J9788" i="3"/>
  <c r="K9788" i="3" s="1"/>
  <c r="J9787" i="3"/>
  <c r="K9787" i="3" s="1"/>
  <c r="J9786" i="3"/>
  <c r="K9786" i="3" s="1"/>
  <c r="J9785" i="3"/>
  <c r="K9785" i="3" s="1"/>
  <c r="J9784" i="3"/>
  <c r="K9784" i="3" s="1"/>
  <c r="J9783" i="3"/>
  <c r="K9783" i="3" s="1"/>
  <c r="J9782" i="3"/>
  <c r="K9782" i="3" s="1"/>
  <c r="J9781" i="3"/>
  <c r="K9781" i="3" s="1"/>
  <c r="J9780" i="3"/>
  <c r="K9780" i="3" s="1"/>
  <c r="J9779" i="3"/>
  <c r="K9779" i="3" s="1"/>
  <c r="J9778" i="3"/>
  <c r="K9778" i="3" s="1"/>
  <c r="J9777" i="3"/>
  <c r="K9777" i="3" s="1"/>
  <c r="J9776" i="3"/>
  <c r="K9776" i="3" s="1"/>
  <c r="J9775" i="3"/>
  <c r="K9775" i="3" s="1"/>
  <c r="J9774" i="3"/>
  <c r="K9774" i="3" s="1"/>
  <c r="J9773" i="3"/>
  <c r="K9773" i="3" s="1"/>
  <c r="J9772" i="3"/>
  <c r="K9772" i="3" s="1"/>
  <c r="J9771" i="3"/>
  <c r="K9771" i="3" s="1"/>
  <c r="J9770" i="3"/>
  <c r="K9770" i="3" s="1"/>
  <c r="J9817" i="3"/>
  <c r="K9817" i="3" s="1"/>
  <c r="J9816" i="3"/>
  <c r="K9816" i="3" s="1"/>
  <c r="J9815" i="3"/>
  <c r="K9815" i="3" s="1"/>
  <c r="J9814" i="3"/>
  <c r="K9814" i="3" s="1"/>
  <c r="J9813" i="3"/>
  <c r="K9813" i="3" s="1"/>
  <c r="J9812" i="3"/>
  <c r="K9812" i="3" s="1"/>
  <c r="J9811" i="3"/>
  <c r="K9811" i="3" s="1"/>
  <c r="J9810" i="3"/>
  <c r="K9810" i="3" s="1"/>
  <c r="J9809" i="3"/>
  <c r="K9809" i="3" s="1"/>
  <c r="J9808" i="3"/>
  <c r="K9808" i="3" s="1"/>
  <c r="J9807" i="3"/>
  <c r="K9807" i="3" s="1"/>
  <c r="J9806" i="3"/>
  <c r="K9806" i="3" s="1"/>
  <c r="J9805" i="3"/>
  <c r="K9805" i="3" s="1"/>
  <c r="J9804" i="3"/>
  <c r="K9804" i="3" s="1"/>
  <c r="J9803" i="3"/>
  <c r="K9803" i="3" s="1"/>
  <c r="J9802" i="3"/>
  <c r="K9802" i="3" s="1"/>
  <c r="J9801" i="3"/>
  <c r="K9801" i="3" s="1"/>
  <c r="J9800" i="3"/>
  <c r="K9800" i="3" s="1"/>
  <c r="J9799" i="3"/>
  <c r="K9799" i="3" s="1"/>
  <c r="J9798" i="3"/>
  <c r="K9798" i="3" s="1"/>
  <c r="J9797" i="3"/>
  <c r="K9797" i="3" s="1"/>
  <c r="J9796" i="3"/>
  <c r="K9796" i="3" s="1"/>
  <c r="J9795" i="3"/>
  <c r="K9795" i="3" s="1"/>
  <c r="J9794" i="3"/>
  <c r="K9794" i="3" s="1"/>
  <c r="J9841" i="3"/>
  <c r="K9841" i="3" s="1"/>
  <c r="J9840" i="3"/>
  <c r="K9840" i="3" s="1"/>
  <c r="J9839" i="3"/>
  <c r="K9839" i="3" s="1"/>
  <c r="J9838" i="3"/>
  <c r="K9838" i="3" s="1"/>
  <c r="J9837" i="3"/>
  <c r="K9837" i="3" s="1"/>
  <c r="J9836" i="3"/>
  <c r="K9836" i="3" s="1"/>
  <c r="J9835" i="3"/>
  <c r="K9835" i="3" s="1"/>
  <c r="J9834" i="3"/>
  <c r="K9834" i="3" s="1"/>
  <c r="J9833" i="3"/>
  <c r="K9833" i="3" s="1"/>
  <c r="J9832" i="3"/>
  <c r="K9832" i="3" s="1"/>
  <c r="J9831" i="3"/>
  <c r="K9831" i="3" s="1"/>
  <c r="J9830" i="3"/>
  <c r="K9830" i="3" s="1"/>
  <c r="J9829" i="3"/>
  <c r="K9829" i="3" s="1"/>
  <c r="J9828" i="3"/>
  <c r="K9828" i="3" s="1"/>
  <c r="J9827" i="3"/>
  <c r="K9827" i="3" s="1"/>
  <c r="J9826" i="3"/>
  <c r="K9826" i="3" s="1"/>
  <c r="J9825" i="3"/>
  <c r="K9825" i="3" s="1"/>
  <c r="J9824" i="3"/>
  <c r="K9824" i="3" s="1"/>
  <c r="J9823" i="3"/>
  <c r="K9823" i="3" s="1"/>
  <c r="J9822" i="3"/>
  <c r="K9822" i="3" s="1"/>
  <c r="J9821" i="3"/>
  <c r="K9821" i="3" s="1"/>
  <c r="J9820" i="3"/>
  <c r="K9820" i="3" s="1"/>
  <c r="J9819" i="3"/>
  <c r="K9819" i="3" s="1"/>
  <c r="J9818" i="3"/>
  <c r="K9818" i="3" s="1"/>
  <c r="J9865" i="3"/>
  <c r="K9865" i="3" s="1"/>
  <c r="J9864" i="3"/>
  <c r="K9864" i="3" s="1"/>
  <c r="J9863" i="3"/>
  <c r="K9863" i="3" s="1"/>
  <c r="J9862" i="3"/>
  <c r="K9862" i="3" s="1"/>
  <c r="J9861" i="3"/>
  <c r="K9861" i="3" s="1"/>
  <c r="J9860" i="3"/>
  <c r="K9860" i="3" s="1"/>
  <c r="J9859" i="3"/>
  <c r="K9859" i="3" s="1"/>
  <c r="J9858" i="3"/>
  <c r="K9858" i="3" s="1"/>
  <c r="J9857" i="3"/>
  <c r="K9857" i="3" s="1"/>
  <c r="J9856" i="3"/>
  <c r="K9856" i="3" s="1"/>
  <c r="J9855" i="3"/>
  <c r="K9855" i="3" s="1"/>
  <c r="J9854" i="3"/>
  <c r="K9854" i="3" s="1"/>
  <c r="J9853" i="3"/>
  <c r="K9853" i="3" s="1"/>
  <c r="J9852" i="3"/>
  <c r="K9852" i="3" s="1"/>
  <c r="J9851" i="3"/>
  <c r="K9851" i="3" s="1"/>
  <c r="J9850" i="3"/>
  <c r="K9850" i="3" s="1"/>
  <c r="J9849" i="3"/>
  <c r="K9849" i="3" s="1"/>
  <c r="J9848" i="3"/>
  <c r="K9848" i="3" s="1"/>
  <c r="J9847" i="3"/>
  <c r="K9847" i="3" s="1"/>
  <c r="J9846" i="3"/>
  <c r="K9846" i="3" s="1"/>
  <c r="J9845" i="3"/>
  <c r="K9845" i="3" s="1"/>
  <c r="J9844" i="3"/>
  <c r="K9844" i="3" s="1"/>
  <c r="J9843" i="3"/>
  <c r="K9843" i="3" s="1"/>
  <c r="J9842" i="3"/>
  <c r="K9842" i="3" s="1"/>
  <c r="J9889" i="3"/>
  <c r="K9889" i="3" s="1"/>
  <c r="J9888" i="3"/>
  <c r="K9888" i="3" s="1"/>
  <c r="J9887" i="3"/>
  <c r="K9887" i="3" s="1"/>
  <c r="J9886" i="3"/>
  <c r="K9886" i="3" s="1"/>
  <c r="J9885" i="3"/>
  <c r="K9885" i="3" s="1"/>
  <c r="J9884" i="3"/>
  <c r="K9884" i="3" s="1"/>
  <c r="J9883" i="3"/>
  <c r="K9883" i="3" s="1"/>
  <c r="J9882" i="3"/>
  <c r="K9882" i="3" s="1"/>
  <c r="J9881" i="3"/>
  <c r="K9881" i="3" s="1"/>
  <c r="J9880" i="3"/>
  <c r="K9880" i="3" s="1"/>
  <c r="J9879" i="3"/>
  <c r="K9879" i="3" s="1"/>
  <c r="J9878" i="3"/>
  <c r="K9878" i="3" s="1"/>
  <c r="J9877" i="3"/>
  <c r="K9877" i="3" s="1"/>
  <c r="J9876" i="3"/>
  <c r="K9876" i="3" s="1"/>
  <c r="J9875" i="3"/>
  <c r="K9875" i="3" s="1"/>
  <c r="J9874" i="3"/>
  <c r="K9874" i="3" s="1"/>
  <c r="J9873" i="3"/>
  <c r="K9873" i="3" s="1"/>
  <c r="J9872" i="3"/>
  <c r="K9872" i="3" s="1"/>
  <c r="J9871" i="3"/>
  <c r="K9871" i="3" s="1"/>
  <c r="J9870" i="3"/>
  <c r="K9870" i="3" s="1"/>
  <c r="J9869" i="3"/>
  <c r="K9869" i="3" s="1"/>
  <c r="J9868" i="3"/>
  <c r="K9868" i="3" s="1"/>
  <c r="J9867" i="3"/>
  <c r="K9867" i="3" s="1"/>
  <c r="J9866" i="3"/>
  <c r="K9866" i="3" s="1"/>
  <c r="J9913" i="3"/>
  <c r="K9913" i="3" s="1"/>
  <c r="J9912" i="3"/>
  <c r="K9912" i="3" s="1"/>
  <c r="J9911" i="3"/>
  <c r="K9911" i="3" s="1"/>
  <c r="J9910" i="3"/>
  <c r="K9910" i="3" s="1"/>
  <c r="J9909" i="3"/>
  <c r="K9909" i="3" s="1"/>
  <c r="J9908" i="3"/>
  <c r="K9908" i="3" s="1"/>
  <c r="J9907" i="3"/>
  <c r="K9907" i="3" s="1"/>
  <c r="J9906" i="3"/>
  <c r="K9906" i="3" s="1"/>
  <c r="J9905" i="3"/>
  <c r="K9905" i="3" s="1"/>
  <c r="J9904" i="3"/>
  <c r="K9904" i="3" s="1"/>
  <c r="J9903" i="3"/>
  <c r="K9903" i="3" s="1"/>
  <c r="J9902" i="3"/>
  <c r="K9902" i="3" s="1"/>
  <c r="J9901" i="3"/>
  <c r="K9901" i="3" s="1"/>
  <c r="J9900" i="3"/>
  <c r="K9900" i="3" s="1"/>
  <c r="J9899" i="3"/>
  <c r="K9899" i="3" s="1"/>
  <c r="J9898" i="3"/>
  <c r="K9898" i="3" s="1"/>
  <c r="J9897" i="3"/>
  <c r="K9897" i="3" s="1"/>
  <c r="J9896" i="3"/>
  <c r="K9896" i="3" s="1"/>
  <c r="J9895" i="3"/>
  <c r="K9895" i="3" s="1"/>
  <c r="J9894" i="3"/>
  <c r="K9894" i="3" s="1"/>
  <c r="J9893" i="3"/>
  <c r="K9893" i="3" s="1"/>
  <c r="J9892" i="3"/>
  <c r="K9892" i="3" s="1"/>
  <c r="J9891" i="3"/>
  <c r="K9891" i="3" s="1"/>
  <c r="J9890" i="3"/>
  <c r="K9890" i="3" s="1"/>
  <c r="J9937" i="3"/>
  <c r="K9937" i="3" s="1"/>
  <c r="J9936" i="3"/>
  <c r="K9936" i="3" s="1"/>
  <c r="J9935" i="3"/>
  <c r="K9935" i="3" s="1"/>
  <c r="J9934" i="3"/>
  <c r="K9934" i="3" s="1"/>
  <c r="J9933" i="3"/>
  <c r="K9933" i="3" s="1"/>
  <c r="J9932" i="3"/>
  <c r="K9932" i="3" s="1"/>
  <c r="J9931" i="3"/>
  <c r="K9931" i="3" s="1"/>
  <c r="J9930" i="3"/>
  <c r="K9930" i="3" s="1"/>
  <c r="J9929" i="3"/>
  <c r="K9929" i="3" s="1"/>
  <c r="J9928" i="3"/>
  <c r="K9928" i="3" s="1"/>
  <c r="J9927" i="3"/>
  <c r="K9927" i="3" s="1"/>
  <c r="J9926" i="3"/>
  <c r="K9926" i="3" s="1"/>
  <c r="J9925" i="3"/>
  <c r="K9925" i="3" s="1"/>
  <c r="J9924" i="3"/>
  <c r="K9924" i="3" s="1"/>
  <c r="J9923" i="3"/>
  <c r="K9923" i="3" s="1"/>
  <c r="J9922" i="3"/>
  <c r="K9922" i="3" s="1"/>
  <c r="J9921" i="3"/>
  <c r="K9921" i="3" s="1"/>
  <c r="J9920" i="3"/>
  <c r="K9920" i="3" s="1"/>
  <c r="J9919" i="3"/>
  <c r="K9919" i="3" s="1"/>
  <c r="J9918" i="3"/>
  <c r="K9918" i="3" s="1"/>
  <c r="J9917" i="3"/>
  <c r="K9917" i="3" s="1"/>
  <c r="J9916" i="3"/>
  <c r="K9916" i="3" s="1"/>
  <c r="J9915" i="3"/>
  <c r="K9915" i="3" s="1"/>
  <c r="J9914" i="3"/>
  <c r="K9914" i="3" s="1"/>
  <c r="J9961" i="3"/>
  <c r="K9961" i="3" s="1"/>
  <c r="J9960" i="3"/>
  <c r="K9960" i="3" s="1"/>
  <c r="J9959" i="3"/>
  <c r="K9959" i="3" s="1"/>
  <c r="J9958" i="3"/>
  <c r="K9958" i="3" s="1"/>
  <c r="J9957" i="3"/>
  <c r="K9957" i="3" s="1"/>
  <c r="J9956" i="3"/>
  <c r="K9956" i="3" s="1"/>
  <c r="J9955" i="3"/>
  <c r="K9955" i="3" s="1"/>
  <c r="J9954" i="3"/>
  <c r="K9954" i="3" s="1"/>
  <c r="J9953" i="3"/>
  <c r="K9953" i="3" s="1"/>
  <c r="J9952" i="3"/>
  <c r="K9952" i="3" s="1"/>
  <c r="J9951" i="3"/>
  <c r="K9951" i="3" s="1"/>
  <c r="J9950" i="3"/>
  <c r="K9950" i="3" s="1"/>
  <c r="J9949" i="3"/>
  <c r="K9949" i="3" s="1"/>
  <c r="J9948" i="3"/>
  <c r="K9948" i="3" s="1"/>
  <c r="J9947" i="3"/>
  <c r="K9947" i="3" s="1"/>
  <c r="J9946" i="3"/>
  <c r="K9946" i="3" s="1"/>
  <c r="J9945" i="3"/>
  <c r="K9945" i="3" s="1"/>
  <c r="J9944" i="3"/>
  <c r="K9944" i="3" s="1"/>
  <c r="J9943" i="3"/>
  <c r="K9943" i="3" s="1"/>
  <c r="J9942" i="3"/>
  <c r="K9942" i="3" s="1"/>
  <c r="J9941" i="3"/>
  <c r="K9941" i="3" s="1"/>
  <c r="J9940" i="3"/>
  <c r="K9940" i="3" s="1"/>
  <c r="J9939" i="3"/>
  <c r="K9939" i="3" s="1"/>
  <c r="J9938" i="3"/>
  <c r="K9938" i="3" s="1"/>
  <c r="J9985" i="3"/>
  <c r="K9985" i="3" s="1"/>
  <c r="J9984" i="3"/>
  <c r="K9984" i="3" s="1"/>
  <c r="J9983" i="3"/>
  <c r="K9983" i="3" s="1"/>
  <c r="J9982" i="3"/>
  <c r="K9982" i="3" s="1"/>
  <c r="J9981" i="3"/>
  <c r="K9981" i="3" s="1"/>
  <c r="J9980" i="3"/>
  <c r="K9980" i="3" s="1"/>
  <c r="J9979" i="3"/>
  <c r="K9979" i="3" s="1"/>
  <c r="J9978" i="3"/>
  <c r="K9978" i="3" s="1"/>
  <c r="J9977" i="3"/>
  <c r="K9977" i="3" s="1"/>
  <c r="J9976" i="3"/>
  <c r="K9976" i="3" s="1"/>
  <c r="J9975" i="3"/>
  <c r="K9975" i="3" s="1"/>
  <c r="J9974" i="3"/>
  <c r="K9974" i="3" s="1"/>
  <c r="J9973" i="3"/>
  <c r="K9973" i="3" s="1"/>
  <c r="J9972" i="3"/>
  <c r="K9972" i="3" s="1"/>
  <c r="J9971" i="3"/>
  <c r="K9971" i="3" s="1"/>
  <c r="J9970" i="3"/>
  <c r="K9970" i="3" s="1"/>
  <c r="J9969" i="3"/>
  <c r="K9969" i="3" s="1"/>
  <c r="J9968" i="3"/>
  <c r="K9968" i="3" s="1"/>
  <c r="J9967" i="3"/>
  <c r="K9967" i="3" s="1"/>
  <c r="J9966" i="3"/>
  <c r="K9966" i="3" s="1"/>
  <c r="J9965" i="3"/>
  <c r="K9965" i="3" s="1"/>
  <c r="J9964" i="3"/>
  <c r="K9964" i="3" s="1"/>
  <c r="J9963" i="3"/>
  <c r="K9963" i="3" s="1"/>
  <c r="J9962" i="3"/>
  <c r="K9962" i="3" s="1"/>
  <c r="J10009" i="3"/>
  <c r="K10009" i="3" s="1"/>
  <c r="J10008" i="3"/>
  <c r="K10008" i="3" s="1"/>
  <c r="J10007" i="3"/>
  <c r="K10007" i="3" s="1"/>
  <c r="J10006" i="3"/>
  <c r="K10006" i="3" s="1"/>
  <c r="J10005" i="3"/>
  <c r="K10005" i="3" s="1"/>
  <c r="J10004" i="3"/>
  <c r="K10004" i="3" s="1"/>
  <c r="J10003" i="3"/>
  <c r="K10003" i="3" s="1"/>
  <c r="J10002" i="3"/>
  <c r="K10002" i="3" s="1"/>
  <c r="J10001" i="3"/>
  <c r="K10001" i="3" s="1"/>
  <c r="J10000" i="3"/>
  <c r="K10000" i="3" s="1"/>
  <c r="J9999" i="3"/>
  <c r="K9999" i="3" s="1"/>
  <c r="J9998" i="3"/>
  <c r="K9998" i="3" s="1"/>
  <c r="J9997" i="3"/>
  <c r="K9997" i="3" s="1"/>
  <c r="J9996" i="3"/>
  <c r="K9996" i="3" s="1"/>
  <c r="J9995" i="3"/>
  <c r="K9995" i="3" s="1"/>
  <c r="J9994" i="3"/>
  <c r="K9994" i="3" s="1"/>
  <c r="J9993" i="3"/>
  <c r="K9993" i="3" s="1"/>
  <c r="J9992" i="3"/>
  <c r="K9992" i="3" s="1"/>
  <c r="J9991" i="3"/>
  <c r="K9991" i="3" s="1"/>
  <c r="J9990" i="3"/>
  <c r="K9990" i="3" s="1"/>
  <c r="J9989" i="3"/>
  <c r="K9989" i="3" s="1"/>
  <c r="J9988" i="3"/>
  <c r="K9988" i="3" s="1"/>
  <c r="J9987" i="3"/>
  <c r="K9987" i="3" s="1"/>
  <c r="J9986" i="3"/>
  <c r="K9986" i="3" s="1"/>
  <c r="J10033" i="3"/>
  <c r="K10033" i="3" s="1"/>
  <c r="J10032" i="3"/>
  <c r="K10032" i="3" s="1"/>
  <c r="J10031" i="3"/>
  <c r="K10031" i="3" s="1"/>
  <c r="J10030" i="3"/>
  <c r="K10030" i="3" s="1"/>
  <c r="J10029" i="3"/>
  <c r="K10029" i="3" s="1"/>
  <c r="J10028" i="3"/>
  <c r="K10028" i="3" s="1"/>
  <c r="J10027" i="3"/>
  <c r="K10027" i="3" s="1"/>
  <c r="J10026" i="3"/>
  <c r="K10026" i="3" s="1"/>
  <c r="J10025" i="3"/>
  <c r="K10025" i="3" s="1"/>
  <c r="J10024" i="3"/>
  <c r="K10024" i="3" s="1"/>
  <c r="J10023" i="3"/>
  <c r="K10023" i="3" s="1"/>
  <c r="J10022" i="3"/>
  <c r="K10022" i="3" s="1"/>
  <c r="J10021" i="3"/>
  <c r="K10021" i="3" s="1"/>
  <c r="J10020" i="3"/>
  <c r="K10020" i="3" s="1"/>
  <c r="J10019" i="3"/>
  <c r="K10019" i="3" s="1"/>
  <c r="J10018" i="3"/>
  <c r="K10018" i="3" s="1"/>
  <c r="J10017" i="3"/>
  <c r="K10017" i="3" s="1"/>
  <c r="J10016" i="3"/>
  <c r="K10016" i="3" s="1"/>
  <c r="J10015" i="3"/>
  <c r="K10015" i="3" s="1"/>
  <c r="J10014" i="3"/>
  <c r="K10014" i="3" s="1"/>
  <c r="J10013" i="3"/>
  <c r="K10013" i="3" s="1"/>
  <c r="J10012" i="3"/>
  <c r="K10012" i="3" s="1"/>
  <c r="J10011" i="3"/>
  <c r="K10011" i="3" s="1"/>
  <c r="J10010" i="3"/>
  <c r="K10010" i="3" s="1"/>
  <c r="J10105" i="3"/>
  <c r="K10105" i="3" s="1"/>
  <c r="J10104" i="3"/>
  <c r="K10104" i="3" s="1"/>
  <c r="J10103" i="3"/>
  <c r="K10103" i="3" s="1"/>
  <c r="J10102" i="3"/>
  <c r="K10102" i="3" s="1"/>
  <c r="J10101" i="3"/>
  <c r="K10101" i="3" s="1"/>
  <c r="J10100" i="3"/>
  <c r="K10100" i="3" s="1"/>
  <c r="J10099" i="3"/>
  <c r="K10099" i="3" s="1"/>
  <c r="J10098" i="3"/>
  <c r="K10098" i="3" s="1"/>
  <c r="J10097" i="3"/>
  <c r="K10097" i="3" s="1"/>
  <c r="J10096" i="3"/>
  <c r="K10096" i="3" s="1"/>
  <c r="J10095" i="3"/>
  <c r="K10095" i="3" s="1"/>
  <c r="J10094" i="3"/>
  <c r="K10094" i="3" s="1"/>
  <c r="J10093" i="3"/>
  <c r="K10093" i="3" s="1"/>
  <c r="J10092" i="3"/>
  <c r="K10092" i="3" s="1"/>
  <c r="J10091" i="3"/>
  <c r="K10091" i="3" s="1"/>
  <c r="J10090" i="3"/>
  <c r="K10090" i="3" s="1"/>
  <c r="J10089" i="3"/>
  <c r="K10089" i="3" s="1"/>
  <c r="J10088" i="3"/>
  <c r="K10088" i="3" s="1"/>
  <c r="J10087" i="3"/>
  <c r="K10087" i="3" s="1"/>
  <c r="J10086" i="3"/>
  <c r="K10086" i="3" s="1"/>
  <c r="J10085" i="3"/>
  <c r="K10085" i="3" s="1"/>
  <c r="J10084" i="3"/>
  <c r="K10084" i="3" s="1"/>
  <c r="J10083" i="3"/>
  <c r="K10083" i="3" s="1"/>
  <c r="J10082" i="3"/>
  <c r="K10082" i="3" s="1"/>
  <c r="H10105" i="3"/>
  <c r="G10105" i="3"/>
  <c r="H10104" i="3"/>
  <c r="G10104" i="3"/>
  <c r="H10103" i="3"/>
  <c r="G10103" i="3"/>
  <c r="H10102" i="3"/>
  <c r="G10102" i="3"/>
  <c r="H10101" i="3"/>
  <c r="G10101" i="3"/>
  <c r="H10100" i="3"/>
  <c r="G10100" i="3"/>
  <c r="H10099" i="3"/>
  <c r="G10099" i="3"/>
  <c r="H10098" i="3"/>
  <c r="G10098" i="3"/>
  <c r="H10097" i="3"/>
  <c r="G10097" i="3"/>
  <c r="H10096" i="3"/>
  <c r="G10096" i="3"/>
  <c r="H10095" i="3"/>
  <c r="G10095" i="3"/>
  <c r="H10094" i="3"/>
  <c r="G10094" i="3"/>
  <c r="H10093" i="3"/>
  <c r="G10093" i="3"/>
  <c r="H10092" i="3"/>
  <c r="G10092" i="3"/>
  <c r="H10091" i="3"/>
  <c r="G10091" i="3"/>
  <c r="H10090" i="3"/>
  <c r="G10090" i="3"/>
  <c r="H10089" i="3"/>
  <c r="G10089" i="3"/>
  <c r="H10088" i="3"/>
  <c r="G10088" i="3"/>
  <c r="H10087" i="3"/>
  <c r="G10087" i="3"/>
  <c r="H10086" i="3"/>
  <c r="G10086" i="3"/>
  <c r="H10085" i="3"/>
  <c r="G10085" i="3"/>
  <c r="H10084" i="3"/>
  <c r="G10084" i="3"/>
  <c r="H10083" i="3"/>
  <c r="G10083" i="3"/>
  <c r="H10082" i="3"/>
  <c r="G10082" i="3"/>
  <c r="N421" i="1"/>
  <c r="O427" i="1" s="1"/>
  <c r="M421" i="1"/>
  <c r="P421" i="1"/>
  <c r="S422" i="1"/>
  <c r="F422" i="1"/>
  <c r="K447" i="23" l="1"/>
  <c r="AB461" i="23" s="1"/>
  <c r="AC461" i="23" s="1"/>
  <c r="T446" i="23"/>
  <c r="R446" i="23"/>
  <c r="X456" i="23" s="1"/>
  <c r="C450" i="23"/>
  <c r="AK452" i="23"/>
  <c r="AF445" i="23"/>
  <c r="AR443" i="23"/>
  <c r="AE429" i="23"/>
  <c r="AI429" i="23" s="1"/>
  <c r="AJ435" i="23"/>
  <c r="AH429" i="23"/>
  <c r="AS429" i="23"/>
  <c r="AM429" i="23"/>
  <c r="I10129" i="3"/>
  <c r="I10095" i="3"/>
  <c r="I10097" i="3"/>
  <c r="I10088" i="3"/>
  <c r="I10092" i="3"/>
  <c r="I10096" i="3"/>
  <c r="I10104" i="3"/>
  <c r="I10114" i="3"/>
  <c r="I10116" i="3"/>
  <c r="I10118" i="3"/>
  <c r="I10126" i="3"/>
  <c r="I10128" i="3"/>
  <c r="I10093" i="3"/>
  <c r="I10106" i="3"/>
  <c r="I10107" i="3"/>
  <c r="I10108" i="3"/>
  <c r="I10109" i="3"/>
  <c r="I10110" i="3"/>
  <c r="I10111" i="3"/>
  <c r="I10112" i="3"/>
  <c r="I10113" i="3"/>
  <c r="I10115" i="3"/>
  <c r="I10117" i="3"/>
  <c r="I10119" i="3"/>
  <c r="I10120" i="3"/>
  <c r="I10121" i="3"/>
  <c r="I10122" i="3"/>
  <c r="I10123" i="3"/>
  <c r="I10124" i="3"/>
  <c r="I10125" i="3"/>
  <c r="I10127" i="3"/>
  <c r="I10082" i="3"/>
  <c r="I10086" i="3"/>
  <c r="I10090" i="3"/>
  <c r="I10094" i="3"/>
  <c r="I10098" i="3"/>
  <c r="I10102" i="3"/>
  <c r="I10083" i="3"/>
  <c r="I10085" i="3"/>
  <c r="I10089" i="3"/>
  <c r="I10091" i="3"/>
  <c r="I10099" i="3"/>
  <c r="I10101" i="3"/>
  <c r="I10103" i="3"/>
  <c r="I10105" i="3"/>
  <c r="I10084" i="3"/>
  <c r="I10087" i="3"/>
  <c r="I10100" i="3"/>
  <c r="AF446" i="23" l="1"/>
  <c r="AK453" i="23"/>
  <c r="C451" i="23"/>
  <c r="K448" i="23"/>
  <c r="AB462" i="23" s="1"/>
  <c r="AC462" i="23" s="1"/>
  <c r="T447" i="23"/>
  <c r="R447" i="23"/>
  <c r="AN402" i="23"/>
  <c r="AN403" i="23"/>
  <c r="AN404" i="23"/>
  <c r="AN405" i="23"/>
  <c r="AN406" i="23"/>
  <c r="AN407" i="23"/>
  <c r="AN408" i="23"/>
  <c r="AN409" i="23"/>
  <c r="AN410" i="23"/>
  <c r="AN411" i="23"/>
  <c r="AN412" i="23"/>
  <c r="AN413" i="23"/>
  <c r="AN414" i="23"/>
  <c r="AN415" i="23"/>
  <c r="AN416" i="23"/>
  <c r="AN417" i="23"/>
  <c r="Y421" i="23"/>
  <c r="Z421" i="23"/>
  <c r="AA421" i="23"/>
  <c r="AG421" i="23"/>
  <c r="AN421" i="23"/>
  <c r="S421" i="23"/>
  <c r="F421" i="23"/>
  <c r="J10081" i="3"/>
  <c r="K10081" i="3" s="1"/>
  <c r="H10081" i="3"/>
  <c r="G10081" i="3"/>
  <c r="J10080" i="3"/>
  <c r="K10080" i="3" s="1"/>
  <c r="H10080" i="3"/>
  <c r="G10080" i="3"/>
  <c r="J10079" i="3"/>
  <c r="K10079" i="3" s="1"/>
  <c r="H10079" i="3"/>
  <c r="G10079" i="3"/>
  <c r="J10078" i="3"/>
  <c r="K10078" i="3" s="1"/>
  <c r="H10078" i="3"/>
  <c r="G10078" i="3"/>
  <c r="J10077" i="3"/>
  <c r="K10077" i="3" s="1"/>
  <c r="H10077" i="3"/>
  <c r="G10077" i="3"/>
  <c r="J10076" i="3"/>
  <c r="K10076" i="3" s="1"/>
  <c r="H10076" i="3"/>
  <c r="G10076" i="3"/>
  <c r="J10075" i="3"/>
  <c r="K10075" i="3" s="1"/>
  <c r="H10075" i="3"/>
  <c r="G10075" i="3"/>
  <c r="J10074" i="3"/>
  <c r="K10074" i="3" s="1"/>
  <c r="H10074" i="3"/>
  <c r="G10074" i="3"/>
  <c r="J10073" i="3"/>
  <c r="K10073" i="3" s="1"/>
  <c r="H10073" i="3"/>
  <c r="G10073" i="3"/>
  <c r="J10072" i="3"/>
  <c r="K10072" i="3" s="1"/>
  <c r="H10072" i="3"/>
  <c r="G10072" i="3"/>
  <c r="J10071" i="3"/>
  <c r="K10071" i="3" s="1"/>
  <c r="H10071" i="3"/>
  <c r="G10071" i="3"/>
  <c r="J10070" i="3"/>
  <c r="K10070" i="3" s="1"/>
  <c r="H10070" i="3"/>
  <c r="G10070" i="3"/>
  <c r="J10069" i="3"/>
  <c r="K10069" i="3" s="1"/>
  <c r="H10069" i="3"/>
  <c r="G10069" i="3"/>
  <c r="J10068" i="3"/>
  <c r="K10068" i="3" s="1"/>
  <c r="H10068" i="3"/>
  <c r="G10068" i="3"/>
  <c r="J10067" i="3"/>
  <c r="K10067" i="3" s="1"/>
  <c r="H10067" i="3"/>
  <c r="G10067" i="3"/>
  <c r="J10066" i="3"/>
  <c r="K10066" i="3" s="1"/>
  <c r="H10066" i="3"/>
  <c r="G10066" i="3"/>
  <c r="J10065" i="3"/>
  <c r="K10065" i="3" s="1"/>
  <c r="H10065" i="3"/>
  <c r="G10065" i="3"/>
  <c r="J10064" i="3"/>
  <c r="K10064" i="3" s="1"/>
  <c r="H10064" i="3"/>
  <c r="G10064" i="3"/>
  <c r="J10063" i="3"/>
  <c r="K10063" i="3" s="1"/>
  <c r="H10063" i="3"/>
  <c r="G10063" i="3"/>
  <c r="J10062" i="3"/>
  <c r="K10062" i="3" s="1"/>
  <c r="H10062" i="3"/>
  <c r="G10062" i="3"/>
  <c r="J10061" i="3"/>
  <c r="K10061" i="3" s="1"/>
  <c r="H10061" i="3"/>
  <c r="G10061" i="3"/>
  <c r="J10060" i="3"/>
  <c r="K10060" i="3" s="1"/>
  <c r="H10060" i="3"/>
  <c r="G10060" i="3"/>
  <c r="J10059" i="3"/>
  <c r="K10059" i="3" s="1"/>
  <c r="H10059" i="3"/>
  <c r="G10059" i="3"/>
  <c r="J10058" i="3"/>
  <c r="K10058" i="3" s="1"/>
  <c r="H10058" i="3"/>
  <c r="G10058" i="3"/>
  <c r="S421" i="1"/>
  <c r="F421" i="1"/>
  <c r="Z400" i="23"/>
  <c r="J10035" i="3"/>
  <c r="K10035" i="3" s="1"/>
  <c r="J10036" i="3"/>
  <c r="K10036" i="3" s="1"/>
  <c r="J10037" i="3"/>
  <c r="K10037" i="3" s="1"/>
  <c r="J10038" i="3"/>
  <c r="K10038" i="3" s="1"/>
  <c r="J10039" i="3"/>
  <c r="K10039" i="3" s="1"/>
  <c r="J10040" i="3"/>
  <c r="K10040" i="3" s="1"/>
  <c r="J10041" i="3"/>
  <c r="K10041" i="3" s="1"/>
  <c r="J10042" i="3"/>
  <c r="K10042" i="3" s="1"/>
  <c r="J10043" i="3"/>
  <c r="K10043" i="3" s="1"/>
  <c r="J10044" i="3"/>
  <c r="K10044" i="3" s="1"/>
  <c r="J10045" i="3"/>
  <c r="K10045" i="3" s="1"/>
  <c r="J10046" i="3"/>
  <c r="K10046" i="3" s="1"/>
  <c r="J10047" i="3"/>
  <c r="K10047" i="3" s="1"/>
  <c r="J10048" i="3"/>
  <c r="K10048" i="3" s="1"/>
  <c r="J10049" i="3"/>
  <c r="K10049" i="3" s="1"/>
  <c r="J10050" i="3"/>
  <c r="K10050" i="3" s="1"/>
  <c r="J10051" i="3"/>
  <c r="K10051" i="3" s="1"/>
  <c r="J10052" i="3"/>
  <c r="K10052" i="3" s="1"/>
  <c r="J10053" i="3"/>
  <c r="K10053" i="3" s="1"/>
  <c r="J10054" i="3"/>
  <c r="K10054" i="3" s="1"/>
  <c r="J10055" i="3"/>
  <c r="K10055" i="3" s="1"/>
  <c r="J10056" i="3"/>
  <c r="K10056" i="3" s="1"/>
  <c r="J10057" i="3"/>
  <c r="K10057" i="3" s="1"/>
  <c r="J10034" i="3"/>
  <c r="K10034" i="3" s="1"/>
  <c r="AN419" i="23"/>
  <c r="AN420" i="23"/>
  <c r="AN418" i="23"/>
  <c r="Y418" i="23"/>
  <c r="Z418" i="23"/>
  <c r="AA418" i="23"/>
  <c r="AG418" i="23"/>
  <c r="Y419" i="23"/>
  <c r="Z419" i="23"/>
  <c r="AA419" i="23"/>
  <c r="AG419" i="23"/>
  <c r="Y420" i="23"/>
  <c r="Z420" i="23"/>
  <c r="AA420" i="23"/>
  <c r="AG420" i="23"/>
  <c r="S420" i="23"/>
  <c r="P420" i="23"/>
  <c r="F420" i="23"/>
  <c r="S419" i="23"/>
  <c r="P419" i="23"/>
  <c r="F419" i="23"/>
  <c r="S418" i="23"/>
  <c r="P418" i="23"/>
  <c r="F418" i="23"/>
  <c r="N419" i="1"/>
  <c r="O425" i="1" s="1"/>
  <c r="P419" i="1"/>
  <c r="N420" i="1"/>
  <c r="P420" i="1"/>
  <c r="M419" i="1"/>
  <c r="M420" i="1"/>
  <c r="H10057" i="3"/>
  <c r="G10057" i="3"/>
  <c r="F10057" i="3"/>
  <c r="F10081" i="3" s="1"/>
  <c r="F10105" i="3" s="1"/>
  <c r="F10129" i="3" s="1"/>
  <c r="F10153" i="3" s="1"/>
  <c r="F10177" i="3" s="1"/>
  <c r="F10201" i="3" s="1"/>
  <c r="F10225" i="3" s="1"/>
  <c r="F10249" i="3" s="1"/>
  <c r="F10273" i="3" s="1"/>
  <c r="F10297" i="3" s="1"/>
  <c r="F10321" i="3" s="1"/>
  <c r="F10345" i="3" s="1"/>
  <c r="F10369" i="3" s="1"/>
  <c r="F10393" i="3" s="1"/>
  <c r="F10417" i="3" s="1"/>
  <c r="F10441" i="3" s="1"/>
  <c r="F10465" i="3" s="1"/>
  <c r="F10489" i="3" s="1"/>
  <c r="F10513" i="3" s="1"/>
  <c r="F10537" i="3" s="1"/>
  <c r="F10561" i="3" s="1"/>
  <c r="F10585" i="3" s="1"/>
  <c r="F10609" i="3" s="1"/>
  <c r="F10633" i="3" s="1"/>
  <c r="F10657" i="3" s="1"/>
  <c r="F10681" i="3" s="1"/>
  <c r="F10705" i="3" s="1"/>
  <c r="F10729" i="3" s="1"/>
  <c r="F10753" i="3" s="1"/>
  <c r="F10777" i="3" s="1"/>
  <c r="F10801" i="3" s="1"/>
  <c r="F10825" i="3" s="1"/>
  <c r="F10849" i="3" s="1"/>
  <c r="F10873" i="3" s="1"/>
  <c r="F10897" i="3" s="1"/>
  <c r="F10921" i="3" s="1"/>
  <c r="F10945" i="3" s="1"/>
  <c r="F10969" i="3" s="1"/>
  <c r="F10993" i="3" s="1"/>
  <c r="H10056" i="3"/>
  <c r="G10056" i="3"/>
  <c r="F10056" i="3"/>
  <c r="F10080" i="3" s="1"/>
  <c r="F10104" i="3" s="1"/>
  <c r="F10128" i="3" s="1"/>
  <c r="F10152" i="3" s="1"/>
  <c r="F10176" i="3" s="1"/>
  <c r="F10200" i="3" s="1"/>
  <c r="F10224" i="3" s="1"/>
  <c r="F10248" i="3" s="1"/>
  <c r="F10272" i="3" s="1"/>
  <c r="F10296" i="3" s="1"/>
  <c r="F10320" i="3" s="1"/>
  <c r="F10344" i="3" s="1"/>
  <c r="F10368" i="3" s="1"/>
  <c r="F10392" i="3" s="1"/>
  <c r="F10416" i="3" s="1"/>
  <c r="F10440" i="3" s="1"/>
  <c r="F10464" i="3" s="1"/>
  <c r="F10488" i="3" s="1"/>
  <c r="F10512" i="3" s="1"/>
  <c r="F10536" i="3" s="1"/>
  <c r="F10560" i="3" s="1"/>
  <c r="F10584" i="3" s="1"/>
  <c r="F10608" i="3" s="1"/>
  <c r="F10632" i="3" s="1"/>
  <c r="F10656" i="3" s="1"/>
  <c r="F10680" i="3" s="1"/>
  <c r="F10704" i="3" s="1"/>
  <c r="F10728" i="3" s="1"/>
  <c r="F10752" i="3" s="1"/>
  <c r="F10776" i="3" s="1"/>
  <c r="F10800" i="3" s="1"/>
  <c r="F10824" i="3" s="1"/>
  <c r="F10848" i="3" s="1"/>
  <c r="F10872" i="3" s="1"/>
  <c r="F10896" i="3" s="1"/>
  <c r="F10920" i="3" s="1"/>
  <c r="F10944" i="3" s="1"/>
  <c r="F10968" i="3" s="1"/>
  <c r="F10992" i="3" s="1"/>
  <c r="H10055" i="3"/>
  <c r="G10055" i="3"/>
  <c r="F10055" i="3"/>
  <c r="F10079" i="3" s="1"/>
  <c r="F10103" i="3" s="1"/>
  <c r="F10127" i="3" s="1"/>
  <c r="F10151" i="3" s="1"/>
  <c r="F10175" i="3" s="1"/>
  <c r="F10199" i="3" s="1"/>
  <c r="F10223" i="3" s="1"/>
  <c r="F10247" i="3" s="1"/>
  <c r="F10271" i="3" s="1"/>
  <c r="F10295" i="3" s="1"/>
  <c r="F10319" i="3" s="1"/>
  <c r="F10343" i="3" s="1"/>
  <c r="F10367" i="3" s="1"/>
  <c r="F10391" i="3" s="1"/>
  <c r="F10415" i="3" s="1"/>
  <c r="F10439" i="3" s="1"/>
  <c r="F10463" i="3" s="1"/>
  <c r="F10487" i="3" s="1"/>
  <c r="F10511" i="3" s="1"/>
  <c r="F10535" i="3" s="1"/>
  <c r="F10559" i="3" s="1"/>
  <c r="F10583" i="3" s="1"/>
  <c r="F10607" i="3" s="1"/>
  <c r="F10631" i="3" s="1"/>
  <c r="F10655" i="3" s="1"/>
  <c r="F10679" i="3" s="1"/>
  <c r="F10703" i="3" s="1"/>
  <c r="F10727" i="3" s="1"/>
  <c r="F10751" i="3" s="1"/>
  <c r="F10775" i="3" s="1"/>
  <c r="F10799" i="3" s="1"/>
  <c r="F10823" i="3" s="1"/>
  <c r="F10847" i="3" s="1"/>
  <c r="F10871" i="3" s="1"/>
  <c r="F10895" i="3" s="1"/>
  <c r="F10919" i="3" s="1"/>
  <c r="F10943" i="3" s="1"/>
  <c r="F10967" i="3" s="1"/>
  <c r="F10991" i="3" s="1"/>
  <c r="H10054" i="3"/>
  <c r="G10054" i="3"/>
  <c r="F10054" i="3"/>
  <c r="F10078" i="3" s="1"/>
  <c r="F10102" i="3" s="1"/>
  <c r="F10126" i="3" s="1"/>
  <c r="F10150" i="3" s="1"/>
  <c r="F10174" i="3" s="1"/>
  <c r="F10198" i="3" s="1"/>
  <c r="F10222" i="3" s="1"/>
  <c r="F10246" i="3" s="1"/>
  <c r="F10270" i="3" s="1"/>
  <c r="F10294" i="3" s="1"/>
  <c r="F10318" i="3" s="1"/>
  <c r="F10342" i="3" s="1"/>
  <c r="F10366" i="3" s="1"/>
  <c r="F10390" i="3" s="1"/>
  <c r="F10414" i="3" s="1"/>
  <c r="F10438" i="3" s="1"/>
  <c r="F10462" i="3" s="1"/>
  <c r="F10486" i="3" s="1"/>
  <c r="F10510" i="3" s="1"/>
  <c r="F10534" i="3" s="1"/>
  <c r="F10558" i="3" s="1"/>
  <c r="F10582" i="3" s="1"/>
  <c r="F10606" i="3" s="1"/>
  <c r="F10630" i="3" s="1"/>
  <c r="F10654" i="3" s="1"/>
  <c r="F10678" i="3" s="1"/>
  <c r="F10702" i="3" s="1"/>
  <c r="F10726" i="3" s="1"/>
  <c r="F10750" i="3" s="1"/>
  <c r="F10774" i="3" s="1"/>
  <c r="F10798" i="3" s="1"/>
  <c r="F10822" i="3" s="1"/>
  <c r="F10846" i="3" s="1"/>
  <c r="F10870" i="3" s="1"/>
  <c r="F10894" i="3" s="1"/>
  <c r="F10918" i="3" s="1"/>
  <c r="F10942" i="3" s="1"/>
  <c r="F10966" i="3" s="1"/>
  <c r="F10990" i="3" s="1"/>
  <c r="H10053" i="3"/>
  <c r="G10053" i="3"/>
  <c r="F10053" i="3"/>
  <c r="F10077" i="3" s="1"/>
  <c r="F10101" i="3" s="1"/>
  <c r="F10125" i="3" s="1"/>
  <c r="F10149" i="3" s="1"/>
  <c r="F10173" i="3" s="1"/>
  <c r="F10197" i="3" s="1"/>
  <c r="F10221" i="3" s="1"/>
  <c r="F10245" i="3" s="1"/>
  <c r="F10269" i="3" s="1"/>
  <c r="F10293" i="3" s="1"/>
  <c r="F10317" i="3" s="1"/>
  <c r="F10341" i="3" s="1"/>
  <c r="F10365" i="3" s="1"/>
  <c r="F10389" i="3" s="1"/>
  <c r="F10413" i="3" s="1"/>
  <c r="F10437" i="3" s="1"/>
  <c r="F10461" i="3" s="1"/>
  <c r="F10485" i="3" s="1"/>
  <c r="F10509" i="3" s="1"/>
  <c r="F10533" i="3" s="1"/>
  <c r="F10557" i="3" s="1"/>
  <c r="F10581" i="3" s="1"/>
  <c r="F10605" i="3" s="1"/>
  <c r="F10629" i="3" s="1"/>
  <c r="F10653" i="3" s="1"/>
  <c r="F10677" i="3" s="1"/>
  <c r="F10701" i="3" s="1"/>
  <c r="F10725" i="3" s="1"/>
  <c r="F10749" i="3" s="1"/>
  <c r="F10773" i="3" s="1"/>
  <c r="F10797" i="3" s="1"/>
  <c r="F10821" i="3" s="1"/>
  <c r="F10845" i="3" s="1"/>
  <c r="F10869" i="3" s="1"/>
  <c r="F10893" i="3" s="1"/>
  <c r="F10917" i="3" s="1"/>
  <c r="F10941" i="3" s="1"/>
  <c r="F10965" i="3" s="1"/>
  <c r="F10989" i="3" s="1"/>
  <c r="H10052" i="3"/>
  <c r="G10052" i="3"/>
  <c r="F10052" i="3"/>
  <c r="F10076" i="3" s="1"/>
  <c r="F10100" i="3" s="1"/>
  <c r="F10124" i="3" s="1"/>
  <c r="F10148" i="3" s="1"/>
  <c r="F10172" i="3" s="1"/>
  <c r="F10196" i="3" s="1"/>
  <c r="F10220" i="3" s="1"/>
  <c r="F10244" i="3" s="1"/>
  <c r="F10268" i="3" s="1"/>
  <c r="F10292" i="3" s="1"/>
  <c r="F10316" i="3" s="1"/>
  <c r="F10340" i="3" s="1"/>
  <c r="F10364" i="3" s="1"/>
  <c r="F10388" i="3" s="1"/>
  <c r="F10412" i="3" s="1"/>
  <c r="F10436" i="3" s="1"/>
  <c r="F10460" i="3" s="1"/>
  <c r="F10484" i="3" s="1"/>
  <c r="F10508" i="3" s="1"/>
  <c r="F10532" i="3" s="1"/>
  <c r="F10556" i="3" s="1"/>
  <c r="F10580" i="3" s="1"/>
  <c r="F10604" i="3" s="1"/>
  <c r="F10628" i="3" s="1"/>
  <c r="F10652" i="3" s="1"/>
  <c r="F10676" i="3" s="1"/>
  <c r="F10700" i="3" s="1"/>
  <c r="F10724" i="3" s="1"/>
  <c r="F10748" i="3" s="1"/>
  <c r="F10772" i="3" s="1"/>
  <c r="F10796" i="3" s="1"/>
  <c r="F10820" i="3" s="1"/>
  <c r="F10844" i="3" s="1"/>
  <c r="F10868" i="3" s="1"/>
  <c r="F10892" i="3" s="1"/>
  <c r="F10916" i="3" s="1"/>
  <c r="F10940" i="3" s="1"/>
  <c r="F10964" i="3" s="1"/>
  <c r="F10988" i="3" s="1"/>
  <c r="H10051" i="3"/>
  <c r="G10051" i="3"/>
  <c r="F10051" i="3"/>
  <c r="F10075" i="3" s="1"/>
  <c r="F10099" i="3" s="1"/>
  <c r="F10123" i="3" s="1"/>
  <c r="F10147" i="3" s="1"/>
  <c r="F10171" i="3" s="1"/>
  <c r="F10195" i="3" s="1"/>
  <c r="F10219" i="3" s="1"/>
  <c r="F10243" i="3" s="1"/>
  <c r="F10267" i="3" s="1"/>
  <c r="F10291" i="3" s="1"/>
  <c r="F10315" i="3" s="1"/>
  <c r="F10339" i="3" s="1"/>
  <c r="F10363" i="3" s="1"/>
  <c r="F10387" i="3" s="1"/>
  <c r="F10411" i="3" s="1"/>
  <c r="F10435" i="3" s="1"/>
  <c r="F10459" i="3" s="1"/>
  <c r="F10483" i="3" s="1"/>
  <c r="F10507" i="3" s="1"/>
  <c r="F10531" i="3" s="1"/>
  <c r="F10555" i="3" s="1"/>
  <c r="F10579" i="3" s="1"/>
  <c r="F10603" i="3" s="1"/>
  <c r="F10627" i="3" s="1"/>
  <c r="F10651" i="3" s="1"/>
  <c r="F10675" i="3" s="1"/>
  <c r="F10699" i="3" s="1"/>
  <c r="F10723" i="3" s="1"/>
  <c r="F10747" i="3" s="1"/>
  <c r="F10771" i="3" s="1"/>
  <c r="F10795" i="3" s="1"/>
  <c r="F10819" i="3" s="1"/>
  <c r="F10843" i="3" s="1"/>
  <c r="F10867" i="3" s="1"/>
  <c r="F10891" i="3" s="1"/>
  <c r="F10915" i="3" s="1"/>
  <c r="F10939" i="3" s="1"/>
  <c r="F10963" i="3" s="1"/>
  <c r="F10987" i="3" s="1"/>
  <c r="H10050" i="3"/>
  <c r="G10050" i="3"/>
  <c r="F10050" i="3"/>
  <c r="F10074" i="3" s="1"/>
  <c r="F10098" i="3" s="1"/>
  <c r="F10122" i="3" s="1"/>
  <c r="F10146" i="3" s="1"/>
  <c r="F10170" i="3" s="1"/>
  <c r="F10194" i="3" s="1"/>
  <c r="F10218" i="3" s="1"/>
  <c r="F10242" i="3" s="1"/>
  <c r="F10266" i="3" s="1"/>
  <c r="F10290" i="3" s="1"/>
  <c r="F10314" i="3" s="1"/>
  <c r="F10338" i="3" s="1"/>
  <c r="F10362" i="3" s="1"/>
  <c r="F10386" i="3" s="1"/>
  <c r="F10410" i="3" s="1"/>
  <c r="F10434" i="3" s="1"/>
  <c r="F10458" i="3" s="1"/>
  <c r="F10482" i="3" s="1"/>
  <c r="F10506" i="3" s="1"/>
  <c r="F10530" i="3" s="1"/>
  <c r="F10554" i="3" s="1"/>
  <c r="F10578" i="3" s="1"/>
  <c r="F10602" i="3" s="1"/>
  <c r="F10626" i="3" s="1"/>
  <c r="F10650" i="3" s="1"/>
  <c r="F10674" i="3" s="1"/>
  <c r="F10698" i="3" s="1"/>
  <c r="F10722" i="3" s="1"/>
  <c r="F10746" i="3" s="1"/>
  <c r="F10770" i="3" s="1"/>
  <c r="F10794" i="3" s="1"/>
  <c r="F10818" i="3" s="1"/>
  <c r="F10842" i="3" s="1"/>
  <c r="F10866" i="3" s="1"/>
  <c r="F10890" i="3" s="1"/>
  <c r="F10914" i="3" s="1"/>
  <c r="F10938" i="3" s="1"/>
  <c r="F10962" i="3" s="1"/>
  <c r="F10986" i="3" s="1"/>
  <c r="H10049" i="3"/>
  <c r="G10049" i="3"/>
  <c r="F10049" i="3"/>
  <c r="F10073" i="3" s="1"/>
  <c r="F10097" i="3" s="1"/>
  <c r="F10121" i="3" s="1"/>
  <c r="F10145" i="3" s="1"/>
  <c r="F10169" i="3" s="1"/>
  <c r="F10193" i="3" s="1"/>
  <c r="F10217" i="3" s="1"/>
  <c r="F10241" i="3" s="1"/>
  <c r="F10265" i="3" s="1"/>
  <c r="F10289" i="3" s="1"/>
  <c r="F10313" i="3" s="1"/>
  <c r="F10337" i="3" s="1"/>
  <c r="F10361" i="3" s="1"/>
  <c r="F10385" i="3" s="1"/>
  <c r="F10409" i="3" s="1"/>
  <c r="F10433" i="3" s="1"/>
  <c r="F10457" i="3" s="1"/>
  <c r="F10481" i="3" s="1"/>
  <c r="F10505" i="3" s="1"/>
  <c r="F10529" i="3" s="1"/>
  <c r="F10553" i="3" s="1"/>
  <c r="F10577" i="3" s="1"/>
  <c r="F10601" i="3" s="1"/>
  <c r="F10625" i="3" s="1"/>
  <c r="F10649" i="3" s="1"/>
  <c r="F10673" i="3" s="1"/>
  <c r="F10697" i="3" s="1"/>
  <c r="F10721" i="3" s="1"/>
  <c r="F10745" i="3" s="1"/>
  <c r="F10769" i="3" s="1"/>
  <c r="F10793" i="3" s="1"/>
  <c r="F10817" i="3" s="1"/>
  <c r="F10841" i="3" s="1"/>
  <c r="F10865" i="3" s="1"/>
  <c r="F10889" i="3" s="1"/>
  <c r="F10913" i="3" s="1"/>
  <c r="F10937" i="3" s="1"/>
  <c r="F10961" i="3" s="1"/>
  <c r="F10985" i="3" s="1"/>
  <c r="H10048" i="3"/>
  <c r="G10048" i="3"/>
  <c r="F10048" i="3"/>
  <c r="F10072" i="3" s="1"/>
  <c r="F10096" i="3" s="1"/>
  <c r="F10120" i="3" s="1"/>
  <c r="F10144" i="3" s="1"/>
  <c r="F10168" i="3" s="1"/>
  <c r="F10192" i="3" s="1"/>
  <c r="F10216" i="3" s="1"/>
  <c r="F10240" i="3" s="1"/>
  <c r="F10264" i="3" s="1"/>
  <c r="F10288" i="3" s="1"/>
  <c r="F10312" i="3" s="1"/>
  <c r="F10336" i="3" s="1"/>
  <c r="F10360" i="3" s="1"/>
  <c r="F10384" i="3" s="1"/>
  <c r="F10408" i="3" s="1"/>
  <c r="F10432" i="3" s="1"/>
  <c r="F10456" i="3" s="1"/>
  <c r="F10480" i="3" s="1"/>
  <c r="F10504" i="3" s="1"/>
  <c r="F10528" i="3" s="1"/>
  <c r="F10552" i="3" s="1"/>
  <c r="F10576" i="3" s="1"/>
  <c r="F10600" i="3" s="1"/>
  <c r="F10624" i="3" s="1"/>
  <c r="F10648" i="3" s="1"/>
  <c r="F10672" i="3" s="1"/>
  <c r="F10696" i="3" s="1"/>
  <c r="F10720" i="3" s="1"/>
  <c r="F10744" i="3" s="1"/>
  <c r="F10768" i="3" s="1"/>
  <c r="F10792" i="3" s="1"/>
  <c r="F10816" i="3" s="1"/>
  <c r="F10840" i="3" s="1"/>
  <c r="F10864" i="3" s="1"/>
  <c r="F10888" i="3" s="1"/>
  <c r="F10912" i="3" s="1"/>
  <c r="F10936" i="3" s="1"/>
  <c r="F10960" i="3" s="1"/>
  <c r="F10984" i="3" s="1"/>
  <c r="H10047" i="3"/>
  <c r="G10047" i="3"/>
  <c r="F10047" i="3"/>
  <c r="F10071" i="3" s="1"/>
  <c r="F10095" i="3" s="1"/>
  <c r="F10119" i="3" s="1"/>
  <c r="F10143" i="3" s="1"/>
  <c r="F10167" i="3" s="1"/>
  <c r="F10191" i="3" s="1"/>
  <c r="F10215" i="3" s="1"/>
  <c r="F10239" i="3" s="1"/>
  <c r="F10263" i="3" s="1"/>
  <c r="F10287" i="3" s="1"/>
  <c r="F10311" i="3" s="1"/>
  <c r="F10335" i="3" s="1"/>
  <c r="F10359" i="3" s="1"/>
  <c r="F10383" i="3" s="1"/>
  <c r="F10407" i="3" s="1"/>
  <c r="F10431" i="3" s="1"/>
  <c r="F10455" i="3" s="1"/>
  <c r="F10479" i="3" s="1"/>
  <c r="F10503" i="3" s="1"/>
  <c r="F10527" i="3" s="1"/>
  <c r="F10551" i="3" s="1"/>
  <c r="F10575" i="3" s="1"/>
  <c r="F10599" i="3" s="1"/>
  <c r="F10623" i="3" s="1"/>
  <c r="F10647" i="3" s="1"/>
  <c r="F10671" i="3" s="1"/>
  <c r="F10695" i="3" s="1"/>
  <c r="F10719" i="3" s="1"/>
  <c r="F10743" i="3" s="1"/>
  <c r="F10767" i="3" s="1"/>
  <c r="F10791" i="3" s="1"/>
  <c r="F10815" i="3" s="1"/>
  <c r="F10839" i="3" s="1"/>
  <c r="F10863" i="3" s="1"/>
  <c r="F10887" i="3" s="1"/>
  <c r="F10911" i="3" s="1"/>
  <c r="F10935" i="3" s="1"/>
  <c r="F10959" i="3" s="1"/>
  <c r="F10983" i="3" s="1"/>
  <c r="H10046" i="3"/>
  <c r="G10046" i="3"/>
  <c r="F10046" i="3"/>
  <c r="F10070" i="3" s="1"/>
  <c r="F10094" i="3" s="1"/>
  <c r="F10118" i="3" s="1"/>
  <c r="F10142" i="3" s="1"/>
  <c r="F10166" i="3" s="1"/>
  <c r="F10190" i="3" s="1"/>
  <c r="F10214" i="3" s="1"/>
  <c r="F10238" i="3" s="1"/>
  <c r="F10262" i="3" s="1"/>
  <c r="F10286" i="3" s="1"/>
  <c r="F10310" i="3" s="1"/>
  <c r="F10334" i="3" s="1"/>
  <c r="F10358" i="3" s="1"/>
  <c r="F10382" i="3" s="1"/>
  <c r="F10406" i="3" s="1"/>
  <c r="F10430" i="3" s="1"/>
  <c r="F10454" i="3" s="1"/>
  <c r="F10478" i="3" s="1"/>
  <c r="F10502" i="3" s="1"/>
  <c r="F10526" i="3" s="1"/>
  <c r="F10550" i="3" s="1"/>
  <c r="F10574" i="3" s="1"/>
  <c r="F10598" i="3" s="1"/>
  <c r="F10622" i="3" s="1"/>
  <c r="F10646" i="3" s="1"/>
  <c r="F10670" i="3" s="1"/>
  <c r="F10694" i="3" s="1"/>
  <c r="F10718" i="3" s="1"/>
  <c r="F10742" i="3" s="1"/>
  <c r="F10766" i="3" s="1"/>
  <c r="F10790" i="3" s="1"/>
  <c r="F10814" i="3" s="1"/>
  <c r="F10838" i="3" s="1"/>
  <c r="F10862" i="3" s="1"/>
  <c r="F10886" i="3" s="1"/>
  <c r="F10910" i="3" s="1"/>
  <c r="F10934" i="3" s="1"/>
  <c r="F10958" i="3" s="1"/>
  <c r="F10982" i="3" s="1"/>
  <c r="H10045" i="3"/>
  <c r="G10045" i="3"/>
  <c r="F10045" i="3"/>
  <c r="F10069" i="3" s="1"/>
  <c r="F10093" i="3" s="1"/>
  <c r="F10117" i="3" s="1"/>
  <c r="F10141" i="3" s="1"/>
  <c r="F10165" i="3" s="1"/>
  <c r="F10189" i="3" s="1"/>
  <c r="F10213" i="3" s="1"/>
  <c r="F10237" i="3" s="1"/>
  <c r="F10261" i="3" s="1"/>
  <c r="F10285" i="3" s="1"/>
  <c r="F10309" i="3" s="1"/>
  <c r="F10333" i="3" s="1"/>
  <c r="F10357" i="3" s="1"/>
  <c r="F10381" i="3" s="1"/>
  <c r="F10405" i="3" s="1"/>
  <c r="F10429" i="3" s="1"/>
  <c r="F10453" i="3" s="1"/>
  <c r="F10477" i="3" s="1"/>
  <c r="F10501" i="3" s="1"/>
  <c r="F10525" i="3" s="1"/>
  <c r="F10549" i="3" s="1"/>
  <c r="F10573" i="3" s="1"/>
  <c r="F10597" i="3" s="1"/>
  <c r="F10621" i="3" s="1"/>
  <c r="F10645" i="3" s="1"/>
  <c r="F10669" i="3" s="1"/>
  <c r="F10693" i="3" s="1"/>
  <c r="F10717" i="3" s="1"/>
  <c r="F10741" i="3" s="1"/>
  <c r="F10765" i="3" s="1"/>
  <c r="F10789" i="3" s="1"/>
  <c r="F10813" i="3" s="1"/>
  <c r="F10837" i="3" s="1"/>
  <c r="F10861" i="3" s="1"/>
  <c r="F10885" i="3" s="1"/>
  <c r="F10909" i="3" s="1"/>
  <c r="F10933" i="3" s="1"/>
  <c r="F10957" i="3" s="1"/>
  <c r="F10981" i="3" s="1"/>
  <c r="H10044" i="3"/>
  <c r="G10044" i="3"/>
  <c r="F10044" i="3"/>
  <c r="F10068" i="3" s="1"/>
  <c r="F10092" i="3" s="1"/>
  <c r="F10116" i="3" s="1"/>
  <c r="F10140" i="3" s="1"/>
  <c r="F10164" i="3" s="1"/>
  <c r="F10188" i="3" s="1"/>
  <c r="F10212" i="3" s="1"/>
  <c r="F10236" i="3" s="1"/>
  <c r="F10260" i="3" s="1"/>
  <c r="F10284" i="3" s="1"/>
  <c r="F10308" i="3" s="1"/>
  <c r="F10332" i="3" s="1"/>
  <c r="F10356" i="3" s="1"/>
  <c r="F10380" i="3" s="1"/>
  <c r="F10404" i="3" s="1"/>
  <c r="F10428" i="3" s="1"/>
  <c r="F10452" i="3" s="1"/>
  <c r="F10476" i="3" s="1"/>
  <c r="F10500" i="3" s="1"/>
  <c r="F10524" i="3" s="1"/>
  <c r="F10548" i="3" s="1"/>
  <c r="F10572" i="3" s="1"/>
  <c r="F10596" i="3" s="1"/>
  <c r="F10620" i="3" s="1"/>
  <c r="F10644" i="3" s="1"/>
  <c r="F10668" i="3" s="1"/>
  <c r="F10692" i="3" s="1"/>
  <c r="F10716" i="3" s="1"/>
  <c r="F10740" i="3" s="1"/>
  <c r="F10764" i="3" s="1"/>
  <c r="F10788" i="3" s="1"/>
  <c r="F10812" i="3" s="1"/>
  <c r="F10836" i="3" s="1"/>
  <c r="F10860" i="3" s="1"/>
  <c r="F10884" i="3" s="1"/>
  <c r="F10908" i="3" s="1"/>
  <c r="F10932" i="3" s="1"/>
  <c r="F10956" i="3" s="1"/>
  <c r="F10980" i="3" s="1"/>
  <c r="H10043" i="3"/>
  <c r="G10043" i="3"/>
  <c r="F10043" i="3"/>
  <c r="F10067" i="3" s="1"/>
  <c r="F10091" i="3" s="1"/>
  <c r="F10115" i="3" s="1"/>
  <c r="F10139" i="3" s="1"/>
  <c r="F10163" i="3" s="1"/>
  <c r="F10187" i="3" s="1"/>
  <c r="F10211" i="3" s="1"/>
  <c r="F10235" i="3" s="1"/>
  <c r="F10259" i="3" s="1"/>
  <c r="F10283" i="3" s="1"/>
  <c r="F10307" i="3" s="1"/>
  <c r="F10331" i="3" s="1"/>
  <c r="F10355" i="3" s="1"/>
  <c r="F10379" i="3" s="1"/>
  <c r="F10403" i="3" s="1"/>
  <c r="F10427" i="3" s="1"/>
  <c r="F10451" i="3" s="1"/>
  <c r="F10475" i="3" s="1"/>
  <c r="F10499" i="3" s="1"/>
  <c r="F10523" i="3" s="1"/>
  <c r="F10547" i="3" s="1"/>
  <c r="F10571" i="3" s="1"/>
  <c r="F10595" i="3" s="1"/>
  <c r="F10619" i="3" s="1"/>
  <c r="F10643" i="3" s="1"/>
  <c r="F10667" i="3" s="1"/>
  <c r="F10691" i="3" s="1"/>
  <c r="F10715" i="3" s="1"/>
  <c r="F10739" i="3" s="1"/>
  <c r="F10763" i="3" s="1"/>
  <c r="F10787" i="3" s="1"/>
  <c r="F10811" i="3" s="1"/>
  <c r="F10835" i="3" s="1"/>
  <c r="F10859" i="3" s="1"/>
  <c r="F10883" i="3" s="1"/>
  <c r="F10907" i="3" s="1"/>
  <c r="F10931" i="3" s="1"/>
  <c r="F10955" i="3" s="1"/>
  <c r="F10979" i="3" s="1"/>
  <c r="H10042" i="3"/>
  <c r="G10042" i="3"/>
  <c r="F10042" i="3"/>
  <c r="F10066" i="3" s="1"/>
  <c r="F10090" i="3" s="1"/>
  <c r="F10114" i="3" s="1"/>
  <c r="F10138" i="3" s="1"/>
  <c r="F10162" i="3" s="1"/>
  <c r="F10186" i="3" s="1"/>
  <c r="F10210" i="3" s="1"/>
  <c r="F10234" i="3" s="1"/>
  <c r="F10258" i="3" s="1"/>
  <c r="F10282" i="3" s="1"/>
  <c r="F10306" i="3" s="1"/>
  <c r="F10330" i="3" s="1"/>
  <c r="F10354" i="3" s="1"/>
  <c r="F10378" i="3" s="1"/>
  <c r="F10402" i="3" s="1"/>
  <c r="F10426" i="3" s="1"/>
  <c r="F10450" i="3" s="1"/>
  <c r="F10474" i="3" s="1"/>
  <c r="F10498" i="3" s="1"/>
  <c r="F10522" i="3" s="1"/>
  <c r="F10546" i="3" s="1"/>
  <c r="F10570" i="3" s="1"/>
  <c r="F10594" i="3" s="1"/>
  <c r="F10618" i="3" s="1"/>
  <c r="F10642" i="3" s="1"/>
  <c r="F10666" i="3" s="1"/>
  <c r="F10690" i="3" s="1"/>
  <c r="F10714" i="3" s="1"/>
  <c r="F10738" i="3" s="1"/>
  <c r="F10762" i="3" s="1"/>
  <c r="F10786" i="3" s="1"/>
  <c r="F10810" i="3" s="1"/>
  <c r="F10834" i="3" s="1"/>
  <c r="F10858" i="3" s="1"/>
  <c r="F10882" i="3" s="1"/>
  <c r="F10906" i="3" s="1"/>
  <c r="F10930" i="3" s="1"/>
  <c r="F10954" i="3" s="1"/>
  <c r="F10978" i="3" s="1"/>
  <c r="H10041" i="3"/>
  <c r="G10041" i="3"/>
  <c r="F10041" i="3"/>
  <c r="F10065" i="3" s="1"/>
  <c r="F10089" i="3" s="1"/>
  <c r="F10113" i="3" s="1"/>
  <c r="F10137" i="3" s="1"/>
  <c r="F10161" i="3" s="1"/>
  <c r="F10185" i="3" s="1"/>
  <c r="F10209" i="3" s="1"/>
  <c r="F10233" i="3" s="1"/>
  <c r="F10257" i="3" s="1"/>
  <c r="F10281" i="3" s="1"/>
  <c r="F10305" i="3" s="1"/>
  <c r="F10329" i="3" s="1"/>
  <c r="F10353" i="3" s="1"/>
  <c r="F10377" i="3" s="1"/>
  <c r="F10401" i="3" s="1"/>
  <c r="F10425" i="3" s="1"/>
  <c r="F10449" i="3" s="1"/>
  <c r="F10473" i="3" s="1"/>
  <c r="F10497" i="3" s="1"/>
  <c r="F10521" i="3" s="1"/>
  <c r="F10545" i="3" s="1"/>
  <c r="F10569" i="3" s="1"/>
  <c r="F10593" i="3" s="1"/>
  <c r="F10617" i="3" s="1"/>
  <c r="F10641" i="3" s="1"/>
  <c r="F10665" i="3" s="1"/>
  <c r="F10689" i="3" s="1"/>
  <c r="F10713" i="3" s="1"/>
  <c r="F10737" i="3" s="1"/>
  <c r="F10761" i="3" s="1"/>
  <c r="F10785" i="3" s="1"/>
  <c r="F10809" i="3" s="1"/>
  <c r="F10833" i="3" s="1"/>
  <c r="F10857" i="3" s="1"/>
  <c r="F10881" i="3" s="1"/>
  <c r="F10905" i="3" s="1"/>
  <c r="F10929" i="3" s="1"/>
  <c r="F10953" i="3" s="1"/>
  <c r="F10977" i="3" s="1"/>
  <c r="H10040" i="3"/>
  <c r="G10040" i="3"/>
  <c r="F10040" i="3"/>
  <c r="F10064" i="3" s="1"/>
  <c r="F10088" i="3" s="1"/>
  <c r="F10112" i="3" s="1"/>
  <c r="F10136" i="3" s="1"/>
  <c r="F10160" i="3" s="1"/>
  <c r="F10184" i="3" s="1"/>
  <c r="F10208" i="3" s="1"/>
  <c r="F10232" i="3" s="1"/>
  <c r="F10256" i="3" s="1"/>
  <c r="F10280" i="3" s="1"/>
  <c r="F10304" i="3" s="1"/>
  <c r="F10328" i="3" s="1"/>
  <c r="F10352" i="3" s="1"/>
  <c r="F10376" i="3" s="1"/>
  <c r="F10400" i="3" s="1"/>
  <c r="F10424" i="3" s="1"/>
  <c r="F10448" i="3" s="1"/>
  <c r="F10472" i="3" s="1"/>
  <c r="F10496" i="3" s="1"/>
  <c r="F10520" i="3" s="1"/>
  <c r="F10544" i="3" s="1"/>
  <c r="F10568" i="3" s="1"/>
  <c r="F10592" i="3" s="1"/>
  <c r="F10616" i="3" s="1"/>
  <c r="F10640" i="3" s="1"/>
  <c r="F10664" i="3" s="1"/>
  <c r="F10688" i="3" s="1"/>
  <c r="F10712" i="3" s="1"/>
  <c r="F10736" i="3" s="1"/>
  <c r="F10760" i="3" s="1"/>
  <c r="F10784" i="3" s="1"/>
  <c r="F10808" i="3" s="1"/>
  <c r="F10832" i="3" s="1"/>
  <c r="F10856" i="3" s="1"/>
  <c r="F10880" i="3" s="1"/>
  <c r="F10904" i="3" s="1"/>
  <c r="F10928" i="3" s="1"/>
  <c r="F10952" i="3" s="1"/>
  <c r="F10976" i="3" s="1"/>
  <c r="H10039" i="3"/>
  <c r="G10039" i="3"/>
  <c r="F10039" i="3"/>
  <c r="F10063" i="3" s="1"/>
  <c r="F10087" i="3" s="1"/>
  <c r="F10111" i="3" s="1"/>
  <c r="F10135" i="3" s="1"/>
  <c r="F10159" i="3" s="1"/>
  <c r="F10183" i="3" s="1"/>
  <c r="F10207" i="3" s="1"/>
  <c r="F10231" i="3" s="1"/>
  <c r="F10255" i="3" s="1"/>
  <c r="F10279" i="3" s="1"/>
  <c r="F10303" i="3" s="1"/>
  <c r="F10327" i="3" s="1"/>
  <c r="F10351" i="3" s="1"/>
  <c r="F10375" i="3" s="1"/>
  <c r="F10399" i="3" s="1"/>
  <c r="F10423" i="3" s="1"/>
  <c r="F10447" i="3" s="1"/>
  <c r="F10471" i="3" s="1"/>
  <c r="F10495" i="3" s="1"/>
  <c r="F10519" i="3" s="1"/>
  <c r="F10543" i="3" s="1"/>
  <c r="F10567" i="3" s="1"/>
  <c r="F10591" i="3" s="1"/>
  <c r="F10615" i="3" s="1"/>
  <c r="F10639" i="3" s="1"/>
  <c r="F10663" i="3" s="1"/>
  <c r="F10687" i="3" s="1"/>
  <c r="F10711" i="3" s="1"/>
  <c r="F10735" i="3" s="1"/>
  <c r="F10759" i="3" s="1"/>
  <c r="F10783" i="3" s="1"/>
  <c r="F10807" i="3" s="1"/>
  <c r="F10831" i="3" s="1"/>
  <c r="F10855" i="3" s="1"/>
  <c r="F10879" i="3" s="1"/>
  <c r="F10903" i="3" s="1"/>
  <c r="F10927" i="3" s="1"/>
  <c r="F10951" i="3" s="1"/>
  <c r="F10975" i="3" s="1"/>
  <c r="H10038" i="3"/>
  <c r="G10038" i="3"/>
  <c r="F10038" i="3"/>
  <c r="F10062" i="3" s="1"/>
  <c r="F10086" i="3" s="1"/>
  <c r="F10110" i="3" s="1"/>
  <c r="F10134" i="3" s="1"/>
  <c r="F10158" i="3" s="1"/>
  <c r="F10182" i="3" s="1"/>
  <c r="F10206" i="3" s="1"/>
  <c r="F10230" i="3" s="1"/>
  <c r="F10254" i="3" s="1"/>
  <c r="F10278" i="3" s="1"/>
  <c r="F10302" i="3" s="1"/>
  <c r="F10326" i="3" s="1"/>
  <c r="F10350" i="3" s="1"/>
  <c r="F10374" i="3" s="1"/>
  <c r="F10398" i="3" s="1"/>
  <c r="F10422" i="3" s="1"/>
  <c r="F10446" i="3" s="1"/>
  <c r="F10470" i="3" s="1"/>
  <c r="F10494" i="3" s="1"/>
  <c r="F10518" i="3" s="1"/>
  <c r="F10542" i="3" s="1"/>
  <c r="F10566" i="3" s="1"/>
  <c r="F10590" i="3" s="1"/>
  <c r="F10614" i="3" s="1"/>
  <c r="F10638" i="3" s="1"/>
  <c r="F10662" i="3" s="1"/>
  <c r="F10686" i="3" s="1"/>
  <c r="F10710" i="3" s="1"/>
  <c r="F10734" i="3" s="1"/>
  <c r="F10758" i="3" s="1"/>
  <c r="F10782" i="3" s="1"/>
  <c r="F10806" i="3" s="1"/>
  <c r="F10830" i="3" s="1"/>
  <c r="F10854" i="3" s="1"/>
  <c r="F10878" i="3" s="1"/>
  <c r="F10902" i="3" s="1"/>
  <c r="F10926" i="3" s="1"/>
  <c r="F10950" i="3" s="1"/>
  <c r="F10974" i="3" s="1"/>
  <c r="H10037" i="3"/>
  <c r="G10037" i="3"/>
  <c r="F10037" i="3"/>
  <c r="F10061" i="3" s="1"/>
  <c r="F10085" i="3" s="1"/>
  <c r="F10109" i="3" s="1"/>
  <c r="F10133" i="3" s="1"/>
  <c r="F10157" i="3" s="1"/>
  <c r="F10181" i="3" s="1"/>
  <c r="F10205" i="3" s="1"/>
  <c r="F10229" i="3" s="1"/>
  <c r="F10253" i="3" s="1"/>
  <c r="F10277" i="3" s="1"/>
  <c r="F10301" i="3" s="1"/>
  <c r="F10325" i="3" s="1"/>
  <c r="F10349" i="3" s="1"/>
  <c r="F10373" i="3" s="1"/>
  <c r="F10397" i="3" s="1"/>
  <c r="F10421" i="3" s="1"/>
  <c r="F10445" i="3" s="1"/>
  <c r="F10469" i="3" s="1"/>
  <c r="F10493" i="3" s="1"/>
  <c r="F10517" i="3" s="1"/>
  <c r="F10541" i="3" s="1"/>
  <c r="F10565" i="3" s="1"/>
  <c r="F10589" i="3" s="1"/>
  <c r="F10613" i="3" s="1"/>
  <c r="F10637" i="3" s="1"/>
  <c r="F10661" i="3" s="1"/>
  <c r="F10685" i="3" s="1"/>
  <c r="F10709" i="3" s="1"/>
  <c r="F10733" i="3" s="1"/>
  <c r="F10757" i="3" s="1"/>
  <c r="F10781" i="3" s="1"/>
  <c r="F10805" i="3" s="1"/>
  <c r="F10829" i="3" s="1"/>
  <c r="F10853" i="3" s="1"/>
  <c r="F10877" i="3" s="1"/>
  <c r="F10901" i="3" s="1"/>
  <c r="F10925" i="3" s="1"/>
  <c r="F10949" i="3" s="1"/>
  <c r="F10973" i="3" s="1"/>
  <c r="H10036" i="3"/>
  <c r="G10036" i="3"/>
  <c r="F10036" i="3"/>
  <c r="F10060" i="3" s="1"/>
  <c r="F10084" i="3" s="1"/>
  <c r="F10108" i="3" s="1"/>
  <c r="F10132" i="3" s="1"/>
  <c r="F10156" i="3" s="1"/>
  <c r="F10180" i="3" s="1"/>
  <c r="F10204" i="3" s="1"/>
  <c r="F10228" i="3" s="1"/>
  <c r="F10252" i="3" s="1"/>
  <c r="F10276" i="3" s="1"/>
  <c r="F10300" i="3" s="1"/>
  <c r="F10324" i="3" s="1"/>
  <c r="F10348" i="3" s="1"/>
  <c r="F10372" i="3" s="1"/>
  <c r="F10396" i="3" s="1"/>
  <c r="F10420" i="3" s="1"/>
  <c r="F10444" i="3" s="1"/>
  <c r="F10468" i="3" s="1"/>
  <c r="F10492" i="3" s="1"/>
  <c r="F10516" i="3" s="1"/>
  <c r="F10540" i="3" s="1"/>
  <c r="F10564" i="3" s="1"/>
  <c r="F10588" i="3" s="1"/>
  <c r="F10612" i="3" s="1"/>
  <c r="F10636" i="3" s="1"/>
  <c r="F10660" i="3" s="1"/>
  <c r="F10684" i="3" s="1"/>
  <c r="F10708" i="3" s="1"/>
  <c r="F10732" i="3" s="1"/>
  <c r="F10756" i="3" s="1"/>
  <c r="F10780" i="3" s="1"/>
  <c r="F10804" i="3" s="1"/>
  <c r="F10828" i="3" s="1"/>
  <c r="F10852" i="3" s="1"/>
  <c r="F10876" i="3" s="1"/>
  <c r="F10900" i="3" s="1"/>
  <c r="F10924" i="3" s="1"/>
  <c r="F10948" i="3" s="1"/>
  <c r="F10972" i="3" s="1"/>
  <c r="H10035" i="3"/>
  <c r="G10035" i="3"/>
  <c r="F10035" i="3"/>
  <c r="F10059" i="3" s="1"/>
  <c r="F10083" i="3" s="1"/>
  <c r="F10107" i="3" s="1"/>
  <c r="F10131" i="3" s="1"/>
  <c r="F10155" i="3" s="1"/>
  <c r="F10179" i="3" s="1"/>
  <c r="F10203" i="3" s="1"/>
  <c r="F10227" i="3" s="1"/>
  <c r="F10251" i="3" s="1"/>
  <c r="F10275" i="3" s="1"/>
  <c r="F10299" i="3" s="1"/>
  <c r="F10323" i="3" s="1"/>
  <c r="F10347" i="3" s="1"/>
  <c r="F10371" i="3" s="1"/>
  <c r="F10395" i="3" s="1"/>
  <c r="F10419" i="3" s="1"/>
  <c r="F10443" i="3" s="1"/>
  <c r="F10467" i="3" s="1"/>
  <c r="F10491" i="3" s="1"/>
  <c r="F10515" i="3" s="1"/>
  <c r="F10539" i="3" s="1"/>
  <c r="F10563" i="3" s="1"/>
  <c r="F10587" i="3" s="1"/>
  <c r="F10611" i="3" s="1"/>
  <c r="F10635" i="3" s="1"/>
  <c r="F10659" i="3" s="1"/>
  <c r="F10683" i="3" s="1"/>
  <c r="F10707" i="3" s="1"/>
  <c r="F10731" i="3" s="1"/>
  <c r="F10755" i="3" s="1"/>
  <c r="F10779" i="3" s="1"/>
  <c r="F10803" i="3" s="1"/>
  <c r="F10827" i="3" s="1"/>
  <c r="F10851" i="3" s="1"/>
  <c r="F10875" i="3" s="1"/>
  <c r="F10899" i="3" s="1"/>
  <c r="F10923" i="3" s="1"/>
  <c r="F10947" i="3" s="1"/>
  <c r="F10971" i="3" s="1"/>
  <c r="H10034" i="3"/>
  <c r="G10034" i="3"/>
  <c r="F10034" i="3"/>
  <c r="F10058" i="3" s="1"/>
  <c r="F10082" i="3" s="1"/>
  <c r="F10106" i="3" s="1"/>
  <c r="F10130" i="3" s="1"/>
  <c r="F10178" i="3" s="1"/>
  <c r="F10202" i="3" s="1"/>
  <c r="F10226" i="3" s="1"/>
  <c r="F10250" i="3" s="1"/>
  <c r="F10274" i="3" s="1"/>
  <c r="F10298" i="3" s="1"/>
  <c r="F10322" i="3" s="1"/>
  <c r="F10346" i="3" s="1"/>
  <c r="F10370" i="3" s="1"/>
  <c r="F10394" i="3" s="1"/>
  <c r="F10418" i="3" s="1"/>
  <c r="F10442" i="3" s="1"/>
  <c r="F10466" i="3" s="1"/>
  <c r="F10490" i="3" s="1"/>
  <c r="F10514" i="3" s="1"/>
  <c r="S420" i="1"/>
  <c r="F420" i="1"/>
  <c r="C70" i="31"/>
  <c r="D70" i="31" s="1"/>
  <c r="C71" i="31" s="1"/>
  <c r="D71" i="31" s="1"/>
  <c r="C72" i="31" s="1"/>
  <c r="D72" i="31" s="1"/>
  <c r="C73" i="31" s="1"/>
  <c r="D73" i="31" s="1"/>
  <c r="C74" i="31" s="1"/>
  <c r="D74" i="31" s="1"/>
  <c r="C75" i="31" s="1"/>
  <c r="D75" i="31" s="1"/>
  <c r="C76" i="31" s="1"/>
  <c r="D76" i="31" s="1"/>
  <c r="C77" i="31" s="1"/>
  <c r="D77" i="31" s="1"/>
  <c r="C78" i="31" s="1"/>
  <c r="D78" i="31" s="1"/>
  <c r="C79" i="31" s="1"/>
  <c r="D79" i="31" s="1"/>
  <c r="C80" i="31" s="1"/>
  <c r="D80" i="31" s="1"/>
  <c r="C81" i="31" s="1"/>
  <c r="D81" i="31" s="1"/>
  <c r="C82" i="31" s="1"/>
  <c r="D82" i="31" s="1"/>
  <c r="C83" i="31" s="1"/>
  <c r="D83" i="31" s="1"/>
  <c r="C84" i="31" s="1"/>
  <c r="D84" i="31" s="1"/>
  <c r="C85" i="31" s="1"/>
  <c r="D85" i="31" s="1"/>
  <c r="C86" i="31" s="1"/>
  <c r="D86" i="31" s="1"/>
  <c r="C87" i="31" s="1"/>
  <c r="D87" i="31" s="1"/>
  <c r="C88" i="31" s="1"/>
  <c r="D88" i="31" s="1"/>
  <c r="C89" i="31" s="1"/>
  <c r="D89" i="31" s="1"/>
  <c r="C90" i="31" s="1"/>
  <c r="D90" i="31" s="1"/>
  <c r="C91" i="31" s="1"/>
  <c r="D91" i="31" s="1"/>
  <c r="C92" i="31" s="1"/>
  <c r="D92" i="31" s="1"/>
  <c r="C93" i="31" s="1"/>
  <c r="D93" i="31" s="1"/>
  <c r="C94" i="31" s="1"/>
  <c r="D94" i="31" s="1"/>
  <c r="C95" i="31" s="1"/>
  <c r="D95" i="31" s="1"/>
  <c r="C96" i="31" s="1"/>
  <c r="D96" i="31" s="1"/>
  <c r="C97" i="31" s="1"/>
  <c r="D97" i="31" s="1"/>
  <c r="C98" i="31" s="1"/>
  <c r="D98" i="31" s="1"/>
  <c r="C99" i="31" s="1"/>
  <c r="D99" i="31" s="1"/>
  <c r="C100" i="31" s="1"/>
  <c r="D100" i="31" s="1"/>
  <c r="C101" i="31" s="1"/>
  <c r="D101" i="31" s="1"/>
  <c r="C102" i="31" s="1"/>
  <c r="D102" i="31" s="1"/>
  <c r="C103" i="31" s="1"/>
  <c r="D103" i="31" s="1"/>
  <c r="C104" i="31" s="1"/>
  <c r="D104" i="31" s="1"/>
  <c r="C105" i="31" s="1"/>
  <c r="D105" i="31" s="1"/>
  <c r="C106" i="31" s="1"/>
  <c r="D106" i="31" s="1"/>
  <c r="C68" i="31"/>
  <c r="D67" i="31"/>
  <c r="D66" i="31"/>
  <c r="C66" i="31" s="1"/>
  <c r="D65" i="31" s="1"/>
  <c r="C65" i="31" s="1"/>
  <c r="D64" i="31" s="1"/>
  <c r="C64" i="31" s="1"/>
  <c r="D63" i="31" s="1"/>
  <c r="C63" i="31" s="1"/>
  <c r="D62" i="31" s="1"/>
  <c r="C62" i="31" s="1"/>
  <c r="D61" i="31" s="1"/>
  <c r="C61" i="31" s="1"/>
  <c r="D60" i="31" s="1"/>
  <c r="C60" i="31" s="1"/>
  <c r="D59" i="31" s="1"/>
  <c r="C59" i="31" s="1"/>
  <c r="D58" i="31" s="1"/>
  <c r="C58" i="31" s="1"/>
  <c r="D57" i="31" s="1"/>
  <c r="C57" i="31" s="1"/>
  <c r="D56" i="31" s="1"/>
  <c r="C56" i="31" s="1"/>
  <c r="D55" i="31" s="1"/>
  <c r="C55" i="31" s="1"/>
  <c r="D54" i="31" s="1"/>
  <c r="C54" i="31" s="1"/>
  <c r="D53" i="31" s="1"/>
  <c r="C53" i="31" s="1"/>
  <c r="D52" i="31" s="1"/>
  <c r="C52" i="31" s="1"/>
  <c r="D51" i="31" s="1"/>
  <c r="C51" i="31" s="1"/>
  <c r="D50" i="31" s="1"/>
  <c r="C50" i="31" s="1"/>
  <c r="D49" i="31" s="1"/>
  <c r="C49" i="31" s="1"/>
  <c r="D48" i="31" s="1"/>
  <c r="C48" i="31" s="1"/>
  <c r="D47" i="31" s="1"/>
  <c r="C47" i="31" s="1"/>
  <c r="D46" i="31" s="1"/>
  <c r="C46" i="31" s="1"/>
  <c r="D45" i="31" s="1"/>
  <c r="C45" i="31" s="1"/>
  <c r="D44" i="31" s="1"/>
  <c r="C44" i="31" s="1"/>
  <c r="D43" i="31" s="1"/>
  <c r="C43" i="31" s="1"/>
  <c r="D42" i="31" s="1"/>
  <c r="C42" i="31" s="1"/>
  <c r="D41" i="31" s="1"/>
  <c r="C41" i="31" s="1"/>
  <c r="D40" i="31" s="1"/>
  <c r="C40" i="31" s="1"/>
  <c r="D39" i="31" s="1"/>
  <c r="C39" i="31" s="1"/>
  <c r="D38" i="31" s="1"/>
  <c r="C38" i="31" s="1"/>
  <c r="D37" i="31" s="1"/>
  <c r="C37" i="31" s="1"/>
  <c r="D36" i="31" s="1"/>
  <c r="C36" i="31" s="1"/>
  <c r="D35" i="31" s="1"/>
  <c r="C35" i="31" s="1"/>
  <c r="D34" i="31" s="1"/>
  <c r="C34" i="31" s="1"/>
  <c r="D33" i="31" s="1"/>
  <c r="C33" i="31" s="1"/>
  <c r="D32" i="31" s="1"/>
  <c r="C32" i="31" s="1"/>
  <c r="D31" i="31" s="1"/>
  <c r="C31" i="31" s="1"/>
  <c r="D30" i="31" s="1"/>
  <c r="C30" i="31" s="1"/>
  <c r="D29" i="31" s="1"/>
  <c r="C29" i="31" s="1"/>
  <c r="D28" i="31" s="1"/>
  <c r="C28" i="31" s="1"/>
  <c r="D27" i="31" s="1"/>
  <c r="C27" i="31" s="1"/>
  <c r="D26" i="31" s="1"/>
  <c r="C26" i="31" s="1"/>
  <c r="D25" i="31" s="1"/>
  <c r="C25" i="31" s="1"/>
  <c r="D24" i="31" s="1"/>
  <c r="C24" i="31" s="1"/>
  <c r="D23" i="31" s="1"/>
  <c r="C23" i="31" s="1"/>
  <c r="D22" i="31" s="1"/>
  <c r="C22" i="31" s="1"/>
  <c r="D21" i="31" s="1"/>
  <c r="C21" i="31" s="1"/>
  <c r="D20" i="31" s="1"/>
  <c r="C20" i="31" s="1"/>
  <c r="D19" i="31" s="1"/>
  <c r="C19" i="31" s="1"/>
  <c r="D18" i="31" s="1"/>
  <c r="C18" i="31" s="1"/>
  <c r="D17" i="31" s="1"/>
  <c r="C17" i="31" s="1"/>
  <c r="D16" i="31" s="1"/>
  <c r="C16" i="31" s="1"/>
  <c r="D15" i="31" s="1"/>
  <c r="C15" i="31" s="1"/>
  <c r="D14" i="31" s="1"/>
  <c r="C14" i="31" s="1"/>
  <c r="D13" i="31" s="1"/>
  <c r="C13" i="31" s="1"/>
  <c r="D12" i="31" s="1"/>
  <c r="C12" i="31" s="1"/>
  <c r="D11" i="31" s="1"/>
  <c r="C11" i="31" s="1"/>
  <c r="D10" i="31" s="1"/>
  <c r="C10" i="31" s="1"/>
  <c r="D9" i="31" s="1"/>
  <c r="C9" i="31" s="1"/>
  <c r="D8" i="31" s="1"/>
  <c r="C8" i="31" s="1"/>
  <c r="D7" i="31" s="1"/>
  <c r="C7" i="31" s="1"/>
  <c r="D6" i="31" s="1"/>
  <c r="C6" i="31" s="1"/>
  <c r="D5" i="31" s="1"/>
  <c r="C5" i="31" s="1"/>
  <c r="D4" i="31" s="1"/>
  <c r="C4" i="31" s="1"/>
  <c r="D3" i="31" s="1"/>
  <c r="C3" i="31" s="1"/>
  <c r="D2" i="31" s="1"/>
  <c r="C2" i="31" s="1"/>
  <c r="AF447" i="23" l="1"/>
  <c r="X457" i="23"/>
  <c r="AK454" i="23"/>
  <c r="K449" i="23"/>
  <c r="AC463" i="23" s="1"/>
  <c r="R448" i="23"/>
  <c r="T448" i="23"/>
  <c r="C452" i="23"/>
  <c r="C453" i="23" s="1"/>
  <c r="AR441" i="23"/>
  <c r="AR440" i="23"/>
  <c r="AJ431" i="23"/>
  <c r="AR439" i="23"/>
  <c r="AR421" i="23"/>
  <c r="AR442" i="23"/>
  <c r="AE427" i="23"/>
  <c r="AI427" i="23" s="1"/>
  <c r="AJ433" i="23"/>
  <c r="AE426" i="23"/>
  <c r="AI426" i="23" s="1"/>
  <c r="AJ432" i="23"/>
  <c r="AE428" i="23"/>
  <c r="AI428" i="23" s="1"/>
  <c r="AJ434" i="23"/>
  <c r="O419" i="23"/>
  <c r="I10038" i="3"/>
  <c r="I10042" i="3"/>
  <c r="O426" i="1"/>
  <c r="AH428" i="23"/>
  <c r="AH427" i="23"/>
  <c r="AH426" i="23"/>
  <c r="AH425" i="23"/>
  <c r="AS428" i="23"/>
  <c r="AM428" i="23"/>
  <c r="AS427" i="23"/>
  <c r="AM427" i="23"/>
  <c r="AS426" i="23"/>
  <c r="AM426" i="23"/>
  <c r="AM425" i="23"/>
  <c r="I10066" i="3"/>
  <c r="I10058" i="3"/>
  <c r="I10046" i="3"/>
  <c r="O420" i="23"/>
  <c r="AS425" i="23"/>
  <c r="AE425" i="23"/>
  <c r="AI425" i="23" s="1"/>
  <c r="O418" i="23"/>
  <c r="I10035" i="3"/>
  <c r="I10047" i="3"/>
  <c r="I10051" i="3"/>
  <c r="I10055" i="3"/>
  <c r="I10039" i="3"/>
  <c r="I10043" i="3"/>
  <c r="I10070" i="3"/>
  <c r="I10036" i="3"/>
  <c r="I10040" i="3"/>
  <c r="I10044" i="3"/>
  <c r="I10048" i="3"/>
  <c r="I10052" i="3"/>
  <c r="I10056" i="3"/>
  <c r="I10060" i="3"/>
  <c r="I10064" i="3"/>
  <c r="I10076" i="3"/>
  <c r="I10037" i="3"/>
  <c r="I10041" i="3"/>
  <c r="I10045" i="3"/>
  <c r="I10049" i="3"/>
  <c r="I10053" i="3"/>
  <c r="I10057" i="3"/>
  <c r="I10073" i="3"/>
  <c r="I10077" i="3"/>
  <c r="I10078" i="3"/>
  <c r="I10050" i="3"/>
  <c r="I10054" i="3"/>
  <c r="I10061" i="3"/>
  <c r="I10062" i="3"/>
  <c r="I10074" i="3"/>
  <c r="I10081" i="3"/>
  <c r="I10034" i="3"/>
  <c r="I10065" i="3"/>
  <c r="I10072" i="3"/>
  <c r="I10080" i="3"/>
  <c r="I10068" i="3"/>
  <c r="I10069" i="3"/>
  <c r="AO401" i="23"/>
  <c r="I10059" i="3"/>
  <c r="I10063" i="3"/>
  <c r="I10067" i="3"/>
  <c r="I10071" i="3"/>
  <c r="I10075" i="3"/>
  <c r="I10079" i="3"/>
  <c r="AF448" i="23" l="1"/>
  <c r="X458" i="23"/>
  <c r="AK455" i="23"/>
  <c r="AF455" i="23"/>
  <c r="K450" i="23"/>
  <c r="T449" i="23"/>
  <c r="R449" i="23"/>
  <c r="Z432" i="23"/>
  <c r="Z433" i="23"/>
  <c r="H10033" i="3"/>
  <c r="G10033" i="3"/>
  <c r="H10032" i="3"/>
  <c r="G10032" i="3"/>
  <c r="H10031" i="3"/>
  <c r="G10031" i="3"/>
  <c r="H10030" i="3"/>
  <c r="G10030" i="3"/>
  <c r="H10029" i="3"/>
  <c r="G10029" i="3"/>
  <c r="H10028" i="3"/>
  <c r="G10028" i="3"/>
  <c r="H10027" i="3"/>
  <c r="G10027" i="3"/>
  <c r="H10026" i="3"/>
  <c r="G10026" i="3"/>
  <c r="H10025" i="3"/>
  <c r="G10025" i="3"/>
  <c r="H10024" i="3"/>
  <c r="G10024" i="3"/>
  <c r="H10023" i="3"/>
  <c r="G10023" i="3"/>
  <c r="H10022" i="3"/>
  <c r="G10022" i="3"/>
  <c r="H10021" i="3"/>
  <c r="G10021" i="3"/>
  <c r="H10020" i="3"/>
  <c r="G10020" i="3"/>
  <c r="H10019" i="3"/>
  <c r="G10019" i="3"/>
  <c r="H10018" i="3"/>
  <c r="G10018" i="3"/>
  <c r="H10017" i="3"/>
  <c r="G10017" i="3"/>
  <c r="H10016" i="3"/>
  <c r="G10016" i="3"/>
  <c r="H10015" i="3"/>
  <c r="G10015" i="3"/>
  <c r="H10014" i="3"/>
  <c r="G10014" i="3"/>
  <c r="H10013" i="3"/>
  <c r="G10013" i="3"/>
  <c r="H10012" i="3"/>
  <c r="G10012" i="3"/>
  <c r="H10011" i="3"/>
  <c r="G10011" i="3"/>
  <c r="H10010" i="3"/>
  <c r="G10010" i="3"/>
  <c r="S419" i="1"/>
  <c r="F419" i="1"/>
  <c r="N418" i="1"/>
  <c r="O424" i="1" s="1"/>
  <c r="M418" i="1"/>
  <c r="AF449" i="23" l="1"/>
  <c r="X459" i="23"/>
  <c r="AF456" i="23"/>
  <c r="AK456" i="23"/>
  <c r="AR453" i="23"/>
  <c r="AE439" i="23"/>
  <c r="K451" i="23"/>
  <c r="AB465" i="23" s="1"/>
  <c r="T450" i="23"/>
  <c r="R450" i="23"/>
  <c r="AJ446" i="23"/>
  <c r="AJ445" i="23"/>
  <c r="AE440" i="23"/>
  <c r="AI440" i="23" s="1"/>
  <c r="AI439" i="23"/>
  <c r="AE433" i="23"/>
  <c r="AI433" i="23" s="1"/>
  <c r="AE432" i="23"/>
  <c r="AI432" i="23" s="1"/>
  <c r="I10010" i="3"/>
  <c r="I10012" i="3"/>
  <c r="I10014" i="3"/>
  <c r="I10016" i="3"/>
  <c r="I10018" i="3"/>
  <c r="I10020" i="3"/>
  <c r="I10022" i="3"/>
  <c r="I10024" i="3"/>
  <c r="I10026" i="3"/>
  <c r="I10028" i="3"/>
  <c r="I10030" i="3"/>
  <c r="I10032" i="3"/>
  <c r="I10033" i="3"/>
  <c r="I10011" i="3"/>
  <c r="I10013" i="3"/>
  <c r="I10015" i="3"/>
  <c r="I10017" i="3"/>
  <c r="I10019" i="3"/>
  <c r="I10021" i="3"/>
  <c r="I10023" i="3"/>
  <c r="I10025" i="3"/>
  <c r="I10027" i="3"/>
  <c r="I10029" i="3"/>
  <c r="I10031" i="3"/>
  <c r="H10009" i="3"/>
  <c r="G10009" i="3"/>
  <c r="H10008" i="3"/>
  <c r="G10008" i="3"/>
  <c r="H10007" i="3"/>
  <c r="G10007" i="3"/>
  <c r="H10006" i="3"/>
  <c r="G10006" i="3"/>
  <c r="H10005" i="3"/>
  <c r="G10005" i="3"/>
  <c r="H10004" i="3"/>
  <c r="G10004" i="3"/>
  <c r="H10003" i="3"/>
  <c r="G10003" i="3"/>
  <c r="H10002" i="3"/>
  <c r="G10002" i="3"/>
  <c r="H10001" i="3"/>
  <c r="G10001" i="3"/>
  <c r="H10000" i="3"/>
  <c r="G10000" i="3"/>
  <c r="H9999" i="3"/>
  <c r="G9999" i="3"/>
  <c r="H9998" i="3"/>
  <c r="G9998" i="3"/>
  <c r="H9997" i="3"/>
  <c r="G9997" i="3"/>
  <c r="H9996" i="3"/>
  <c r="G9996" i="3"/>
  <c r="H9995" i="3"/>
  <c r="G9995" i="3"/>
  <c r="H9994" i="3"/>
  <c r="G9994" i="3"/>
  <c r="H9993" i="3"/>
  <c r="G9993" i="3"/>
  <c r="H9992" i="3"/>
  <c r="G9992" i="3"/>
  <c r="H9991" i="3"/>
  <c r="G9991" i="3"/>
  <c r="H9990" i="3"/>
  <c r="G9990" i="3"/>
  <c r="H9989" i="3"/>
  <c r="G9989" i="3"/>
  <c r="H9988" i="3"/>
  <c r="G9988" i="3"/>
  <c r="H9987" i="3"/>
  <c r="G9987" i="3"/>
  <c r="H9986" i="3"/>
  <c r="G9986" i="3"/>
  <c r="S418" i="1"/>
  <c r="F418" i="1"/>
  <c r="P417" i="1"/>
  <c r="N417" i="1"/>
  <c r="M417" i="1"/>
  <c r="AG417" i="23"/>
  <c r="Y417" i="23"/>
  <c r="Z417" i="23"/>
  <c r="AA417" i="23"/>
  <c r="S417" i="23"/>
  <c r="F417" i="23"/>
  <c r="H9985" i="3"/>
  <c r="G9985" i="3"/>
  <c r="H9984" i="3"/>
  <c r="G9984" i="3"/>
  <c r="H9983" i="3"/>
  <c r="G9983" i="3"/>
  <c r="H9982" i="3"/>
  <c r="G9982" i="3"/>
  <c r="H9981" i="3"/>
  <c r="G9981" i="3"/>
  <c r="H9980" i="3"/>
  <c r="G9980" i="3"/>
  <c r="H9979" i="3"/>
  <c r="G9979" i="3"/>
  <c r="H9978" i="3"/>
  <c r="G9978" i="3"/>
  <c r="H9977" i="3"/>
  <c r="G9977" i="3"/>
  <c r="H9976" i="3"/>
  <c r="G9976" i="3"/>
  <c r="H9975" i="3"/>
  <c r="G9975" i="3"/>
  <c r="H9974" i="3"/>
  <c r="G9974" i="3"/>
  <c r="H9973" i="3"/>
  <c r="G9973" i="3"/>
  <c r="H9972" i="3"/>
  <c r="G9972" i="3"/>
  <c r="H9971" i="3"/>
  <c r="G9971" i="3"/>
  <c r="H9970" i="3"/>
  <c r="G9970" i="3"/>
  <c r="H9969" i="3"/>
  <c r="G9969" i="3"/>
  <c r="H9968" i="3"/>
  <c r="G9968" i="3"/>
  <c r="H9967" i="3"/>
  <c r="G9967" i="3"/>
  <c r="H9966" i="3"/>
  <c r="G9966" i="3"/>
  <c r="H9965" i="3"/>
  <c r="G9965" i="3"/>
  <c r="H9964" i="3"/>
  <c r="G9964" i="3"/>
  <c r="H9963" i="3"/>
  <c r="G9963" i="3"/>
  <c r="H9962" i="3"/>
  <c r="G9962" i="3"/>
  <c r="S417" i="1"/>
  <c r="F417" i="1"/>
  <c r="AG409" i="23"/>
  <c r="AG410" i="23"/>
  <c r="AG411" i="23"/>
  <c r="AG412" i="23"/>
  <c r="AG413" i="23"/>
  <c r="AG414" i="23"/>
  <c r="AG415" i="23"/>
  <c r="AG416" i="23"/>
  <c r="AA9" i="23"/>
  <c r="AA10" i="23"/>
  <c r="AA11" i="23"/>
  <c r="AA12" i="23"/>
  <c r="AA13" i="23"/>
  <c r="AA14" i="23"/>
  <c r="AA15" i="23"/>
  <c r="AA16" i="23"/>
  <c r="AA17" i="23"/>
  <c r="AA18" i="23"/>
  <c r="AA19" i="23"/>
  <c r="AA20" i="23"/>
  <c r="AA21" i="23"/>
  <c r="AA22" i="23"/>
  <c r="AA23" i="23"/>
  <c r="AA24" i="23"/>
  <c r="AA25" i="23"/>
  <c r="AA26" i="23"/>
  <c r="AA27" i="23"/>
  <c r="AA28" i="23"/>
  <c r="AA29" i="23"/>
  <c r="AA30" i="23"/>
  <c r="AA31" i="23"/>
  <c r="AA32" i="23"/>
  <c r="AA33" i="23"/>
  <c r="AA34" i="23"/>
  <c r="AA35" i="23"/>
  <c r="AA36" i="23"/>
  <c r="AA37" i="23"/>
  <c r="AA38" i="23"/>
  <c r="AA39" i="23"/>
  <c r="AA40" i="23"/>
  <c r="AA41" i="23"/>
  <c r="AA42" i="23"/>
  <c r="AA43" i="23"/>
  <c r="AA44" i="23"/>
  <c r="AA45" i="23"/>
  <c r="AA46" i="23"/>
  <c r="AA47" i="23"/>
  <c r="AA48" i="23"/>
  <c r="AA49" i="23"/>
  <c r="AA50" i="23"/>
  <c r="AA51" i="23"/>
  <c r="AA52" i="23"/>
  <c r="AA53" i="23"/>
  <c r="AA54" i="23"/>
  <c r="AA55" i="23"/>
  <c r="AA56" i="23"/>
  <c r="AA57" i="23"/>
  <c r="AA58" i="23"/>
  <c r="AA59" i="23"/>
  <c r="AA60" i="23"/>
  <c r="AA61" i="23"/>
  <c r="AA62" i="23"/>
  <c r="AA63" i="23"/>
  <c r="AA64" i="23"/>
  <c r="AA65" i="23"/>
  <c r="AA66" i="23"/>
  <c r="AA67" i="23"/>
  <c r="AA68" i="23"/>
  <c r="AA69" i="23"/>
  <c r="AA70" i="23"/>
  <c r="AA71" i="23"/>
  <c r="AA72" i="23"/>
  <c r="AA73" i="23"/>
  <c r="AA74" i="23"/>
  <c r="AA75" i="23"/>
  <c r="AA76" i="23"/>
  <c r="AA77" i="23"/>
  <c r="AA78" i="23"/>
  <c r="AA79" i="23"/>
  <c r="AA80" i="23"/>
  <c r="AA81" i="23"/>
  <c r="AA82" i="23"/>
  <c r="AA83" i="23"/>
  <c r="AA84" i="23"/>
  <c r="AA85" i="23"/>
  <c r="AA86" i="23"/>
  <c r="AA87" i="23"/>
  <c r="AA88" i="23"/>
  <c r="AA89" i="23"/>
  <c r="AA90" i="23"/>
  <c r="AA91" i="23"/>
  <c r="AA92" i="23"/>
  <c r="AA93" i="23"/>
  <c r="AA94" i="23"/>
  <c r="AA95" i="23"/>
  <c r="AA96" i="23"/>
  <c r="AA97" i="23"/>
  <c r="AA98" i="23"/>
  <c r="AA99" i="23"/>
  <c r="AA100" i="23"/>
  <c r="AA101" i="23"/>
  <c r="AA102" i="23"/>
  <c r="AA103" i="23"/>
  <c r="AA104" i="23"/>
  <c r="AA105" i="23"/>
  <c r="AA106" i="23"/>
  <c r="AA107" i="23"/>
  <c r="AA108" i="23"/>
  <c r="AA109" i="23"/>
  <c r="AA110" i="23"/>
  <c r="AA111" i="23"/>
  <c r="AA112" i="23"/>
  <c r="AA113" i="23"/>
  <c r="AA114" i="23"/>
  <c r="AA115" i="23"/>
  <c r="AA116" i="23"/>
  <c r="AA117" i="23"/>
  <c r="AA118" i="23"/>
  <c r="AA119" i="23"/>
  <c r="AA120" i="23"/>
  <c r="AA121" i="23"/>
  <c r="AA122" i="23"/>
  <c r="AA123" i="23"/>
  <c r="AA124" i="23"/>
  <c r="AA125" i="23"/>
  <c r="AA126" i="23"/>
  <c r="AA127" i="23"/>
  <c r="AA128" i="23"/>
  <c r="AA129" i="23"/>
  <c r="AA130" i="23"/>
  <c r="AA131" i="23"/>
  <c r="AA132" i="23"/>
  <c r="AA133" i="23"/>
  <c r="AA134" i="23"/>
  <c r="AA135" i="23"/>
  <c r="AA136" i="23"/>
  <c r="AA137" i="23"/>
  <c r="AA138" i="23"/>
  <c r="AA139" i="23"/>
  <c r="AA140" i="23"/>
  <c r="AA141" i="23"/>
  <c r="AA142" i="23"/>
  <c r="AA143" i="23"/>
  <c r="AA210" i="23"/>
  <c r="AA211" i="23"/>
  <c r="AA212" i="23"/>
  <c r="AA213" i="23"/>
  <c r="AA214" i="23"/>
  <c r="AA215" i="23"/>
  <c r="AA216" i="23"/>
  <c r="AA217" i="23"/>
  <c r="AA218" i="23"/>
  <c r="AA219" i="23"/>
  <c r="AA220" i="23"/>
  <c r="AA221" i="23"/>
  <c r="AA222" i="23"/>
  <c r="AA223" i="23"/>
  <c r="AA224" i="23"/>
  <c r="AA225" i="23"/>
  <c r="AA226" i="23"/>
  <c r="AA227" i="23"/>
  <c r="AA228" i="23"/>
  <c r="AA229" i="23"/>
  <c r="AA230" i="23"/>
  <c r="AA231" i="23"/>
  <c r="AA232" i="23"/>
  <c r="AA233" i="23"/>
  <c r="AA234" i="23"/>
  <c r="AA235" i="23"/>
  <c r="AA236" i="23"/>
  <c r="AA237" i="23"/>
  <c r="AA238" i="23"/>
  <c r="AA239" i="23"/>
  <c r="AA240" i="23"/>
  <c r="AA241" i="23"/>
  <c r="AA242" i="23"/>
  <c r="AA243" i="23"/>
  <c r="AA244" i="23"/>
  <c r="AA245" i="23"/>
  <c r="AA246" i="23"/>
  <c r="AA247" i="23"/>
  <c r="AA248" i="23"/>
  <c r="AA249" i="23"/>
  <c r="AA250" i="23"/>
  <c r="AA251" i="23"/>
  <c r="AA252" i="23"/>
  <c r="AA253" i="23"/>
  <c r="AA254" i="23"/>
  <c r="AA255" i="23"/>
  <c r="AA256" i="23"/>
  <c r="AA257" i="23"/>
  <c r="AA258" i="23"/>
  <c r="AA259" i="23"/>
  <c r="AA260" i="23"/>
  <c r="AA261" i="23"/>
  <c r="AA262" i="23"/>
  <c r="AA263" i="23"/>
  <c r="AA264" i="23"/>
  <c r="AA265" i="23"/>
  <c r="AA266" i="23"/>
  <c r="AA267" i="23"/>
  <c r="AA268" i="23"/>
  <c r="AA269" i="23"/>
  <c r="AA270" i="23"/>
  <c r="AA271" i="23"/>
  <c r="AA272" i="23"/>
  <c r="AA273" i="23"/>
  <c r="AA274" i="23"/>
  <c r="AA275" i="23"/>
  <c r="AA276" i="23"/>
  <c r="AA277" i="23"/>
  <c r="AA278" i="23"/>
  <c r="AA279" i="23"/>
  <c r="AA280" i="23"/>
  <c r="AA281" i="23"/>
  <c r="AA282" i="23"/>
  <c r="AA283" i="23"/>
  <c r="AA284" i="23"/>
  <c r="AA285" i="23"/>
  <c r="AA286" i="23"/>
  <c r="AA287" i="23"/>
  <c r="AA288" i="23"/>
  <c r="AA289" i="23"/>
  <c r="AA290" i="23"/>
  <c r="AA291" i="23"/>
  <c r="AA292" i="23"/>
  <c r="AA293" i="23"/>
  <c r="AA294" i="23"/>
  <c r="AA295" i="23"/>
  <c r="AA296" i="23"/>
  <c r="AA297" i="23"/>
  <c r="AA298" i="23"/>
  <c r="AA299" i="23"/>
  <c r="AA300" i="23"/>
  <c r="AA301" i="23"/>
  <c r="AA302" i="23"/>
  <c r="AA303" i="23"/>
  <c r="AA304" i="23"/>
  <c r="AA305" i="23"/>
  <c r="AA306" i="23"/>
  <c r="AA307" i="23"/>
  <c r="AA308" i="23"/>
  <c r="AA309" i="23"/>
  <c r="AA310" i="23"/>
  <c r="AA311" i="23"/>
  <c r="AA312" i="23"/>
  <c r="AA313" i="23"/>
  <c r="AA314" i="23"/>
  <c r="AA315" i="23"/>
  <c r="AA316" i="23"/>
  <c r="AA317" i="23"/>
  <c r="AA318" i="23"/>
  <c r="AA319" i="23"/>
  <c r="AA320" i="23"/>
  <c r="AA321" i="23"/>
  <c r="AA322" i="23"/>
  <c r="AA323" i="23"/>
  <c r="AA324" i="23"/>
  <c r="AA325" i="23"/>
  <c r="AA326" i="23"/>
  <c r="AA327" i="23"/>
  <c r="AA328" i="23"/>
  <c r="AA329" i="23"/>
  <c r="AA330" i="23"/>
  <c r="AA331" i="23"/>
  <c r="AA332" i="23"/>
  <c r="AA333" i="23"/>
  <c r="AA334" i="23"/>
  <c r="AA335" i="23"/>
  <c r="AA336" i="23"/>
  <c r="AA337" i="23"/>
  <c r="AA338" i="23"/>
  <c r="AA339" i="23"/>
  <c r="AA340" i="23"/>
  <c r="AA341" i="23"/>
  <c r="AA342" i="23"/>
  <c r="AA343" i="23"/>
  <c r="AA344" i="23"/>
  <c r="AA345" i="23"/>
  <c r="AA346" i="23"/>
  <c r="AA347" i="23"/>
  <c r="AA348" i="23"/>
  <c r="AA349" i="23"/>
  <c r="AA350" i="23"/>
  <c r="AA351" i="23"/>
  <c r="AA352" i="23"/>
  <c r="AA353" i="23"/>
  <c r="AA354" i="23"/>
  <c r="AA355" i="23"/>
  <c r="AA356" i="23"/>
  <c r="AA357" i="23"/>
  <c r="AA358" i="23"/>
  <c r="AA359" i="23"/>
  <c r="AA360" i="23"/>
  <c r="AA361" i="23"/>
  <c r="AA362" i="23"/>
  <c r="AA363" i="23"/>
  <c r="AA364" i="23"/>
  <c r="AA365" i="23"/>
  <c r="AA366" i="23"/>
  <c r="AA367" i="23"/>
  <c r="AA368" i="23"/>
  <c r="AA369" i="23"/>
  <c r="AA370" i="23"/>
  <c r="AA371" i="23"/>
  <c r="AA372" i="23"/>
  <c r="AA373" i="23"/>
  <c r="AA374" i="23"/>
  <c r="AA375" i="23"/>
  <c r="AA376" i="23"/>
  <c r="AA377" i="23"/>
  <c r="AA378" i="23"/>
  <c r="AA379" i="23"/>
  <c r="AA380" i="23"/>
  <c r="AA381" i="23"/>
  <c r="AA382" i="23"/>
  <c r="AA383" i="23"/>
  <c r="AA384" i="23"/>
  <c r="AA385" i="23"/>
  <c r="AA386" i="23"/>
  <c r="AA387" i="23"/>
  <c r="AA388" i="23"/>
  <c r="AA389" i="23"/>
  <c r="AA390" i="23"/>
  <c r="AA391" i="23"/>
  <c r="AA392" i="23"/>
  <c r="AA393" i="23"/>
  <c r="AA394" i="23"/>
  <c r="AA395" i="23"/>
  <c r="AA396" i="23"/>
  <c r="AA397" i="23"/>
  <c r="AA398" i="23"/>
  <c r="AA399" i="23"/>
  <c r="AA400" i="23"/>
  <c r="AA401" i="23"/>
  <c r="AA402" i="23"/>
  <c r="AA403" i="23"/>
  <c r="AA404" i="23"/>
  <c r="AA405" i="23"/>
  <c r="AA406" i="23"/>
  <c r="AA407" i="23"/>
  <c r="AA408" i="23"/>
  <c r="AA409" i="23"/>
  <c r="AA410" i="23"/>
  <c r="AA411" i="23"/>
  <c r="AA412" i="23"/>
  <c r="AA413" i="23"/>
  <c r="AJ413" i="23" s="1"/>
  <c r="AA414" i="23"/>
  <c r="AA415" i="23"/>
  <c r="AA416" i="23"/>
  <c r="Z9" i="23"/>
  <c r="AB23" i="23" s="1"/>
  <c r="AC23" i="23" s="1"/>
  <c r="Z10" i="23"/>
  <c r="AB24" i="23" s="1"/>
  <c r="AC24" i="23" s="1"/>
  <c r="Z11" i="23"/>
  <c r="AB25" i="23" s="1"/>
  <c r="AC25" i="23" s="1"/>
  <c r="Z12" i="23"/>
  <c r="AB26" i="23" s="1"/>
  <c r="AC26" i="23" s="1"/>
  <c r="Z13" i="23"/>
  <c r="AB27" i="23" s="1"/>
  <c r="AC27" i="23" s="1"/>
  <c r="Z14" i="23"/>
  <c r="AB28" i="23" s="1"/>
  <c r="AC28" i="23" s="1"/>
  <c r="Z15" i="23"/>
  <c r="AB29" i="23" s="1"/>
  <c r="AC29" i="23" s="1"/>
  <c r="Z16" i="23"/>
  <c r="AB30" i="23" s="1"/>
  <c r="AC30" i="23" s="1"/>
  <c r="Z17" i="23"/>
  <c r="AB31" i="23" s="1"/>
  <c r="AC31" i="23" s="1"/>
  <c r="Z18" i="23"/>
  <c r="AB32" i="23" s="1"/>
  <c r="AC32" i="23" s="1"/>
  <c r="Z19" i="23"/>
  <c r="AB33" i="23" s="1"/>
  <c r="AC33" i="23" s="1"/>
  <c r="Z20" i="23"/>
  <c r="Z21" i="23"/>
  <c r="Z22" i="23"/>
  <c r="Z23" i="23"/>
  <c r="Z24" i="23"/>
  <c r="Z25" i="23"/>
  <c r="Z26" i="23"/>
  <c r="Z27" i="23"/>
  <c r="Z28" i="23"/>
  <c r="Z29" i="23"/>
  <c r="Z30" i="23"/>
  <c r="Z31" i="23"/>
  <c r="Z32" i="23"/>
  <c r="Z33" i="23"/>
  <c r="Z34" i="23"/>
  <c r="Z35" i="23"/>
  <c r="Z36" i="23"/>
  <c r="Z37" i="23"/>
  <c r="Z38" i="23"/>
  <c r="Z39" i="23"/>
  <c r="Z40" i="23"/>
  <c r="Z41" i="23"/>
  <c r="Z42" i="23"/>
  <c r="Z43" i="23"/>
  <c r="Z44" i="23"/>
  <c r="Z45" i="23"/>
  <c r="Z46" i="23"/>
  <c r="Z47" i="23"/>
  <c r="Z48" i="23"/>
  <c r="Z49" i="23"/>
  <c r="Z50" i="23"/>
  <c r="Z51" i="23"/>
  <c r="Z52" i="23"/>
  <c r="Z53" i="23"/>
  <c r="Z54" i="23"/>
  <c r="Z55" i="23"/>
  <c r="Z56" i="23"/>
  <c r="Z57" i="23"/>
  <c r="Z58" i="23"/>
  <c r="Z59" i="23"/>
  <c r="Z60" i="23"/>
  <c r="Z61" i="23"/>
  <c r="Z62" i="23"/>
  <c r="Z63" i="23"/>
  <c r="Z64" i="23"/>
  <c r="Z65" i="23"/>
  <c r="Z66" i="23"/>
  <c r="Z67" i="23"/>
  <c r="Z68" i="23"/>
  <c r="Z69" i="23"/>
  <c r="Z70" i="23"/>
  <c r="Z71" i="23"/>
  <c r="Z72" i="23"/>
  <c r="Z73" i="23"/>
  <c r="Z74" i="23"/>
  <c r="Z75" i="23"/>
  <c r="Z76" i="23"/>
  <c r="Z77" i="23"/>
  <c r="Z78" i="23"/>
  <c r="Z79" i="23"/>
  <c r="Z80" i="23"/>
  <c r="Z81" i="23"/>
  <c r="Z82" i="23"/>
  <c r="Z83" i="23"/>
  <c r="Z84" i="23"/>
  <c r="Z85" i="23"/>
  <c r="Z86" i="23"/>
  <c r="Z87" i="23"/>
  <c r="Z88" i="23"/>
  <c r="Z89" i="23"/>
  <c r="Z90" i="23"/>
  <c r="Z91" i="23"/>
  <c r="Z92" i="23"/>
  <c r="Z93" i="23"/>
  <c r="Z94" i="23"/>
  <c r="Z95" i="23"/>
  <c r="Z96" i="23"/>
  <c r="Z97" i="23"/>
  <c r="Z98" i="23"/>
  <c r="Z99" i="23"/>
  <c r="AB113" i="23" s="1"/>
  <c r="Z100" i="23"/>
  <c r="AB114" i="23" s="1"/>
  <c r="Z101" i="23"/>
  <c r="Z102" i="23"/>
  <c r="Z103" i="23"/>
  <c r="Z104" i="23"/>
  <c r="Z105" i="23"/>
  <c r="AB119" i="23" s="1"/>
  <c r="Z106" i="23"/>
  <c r="AB120" i="23" s="1"/>
  <c r="Z107" i="23"/>
  <c r="Z108" i="23"/>
  <c r="AB122" i="23" s="1"/>
  <c r="Z109" i="23"/>
  <c r="AB123" i="23" s="1"/>
  <c r="Z110" i="23"/>
  <c r="AB124" i="23" s="1"/>
  <c r="Z111" i="23"/>
  <c r="AB125" i="23" s="1"/>
  <c r="Z112" i="23"/>
  <c r="AB126" i="23" s="1"/>
  <c r="Z113" i="23"/>
  <c r="Z114" i="23"/>
  <c r="Z115" i="23"/>
  <c r="Z116" i="23"/>
  <c r="Z117" i="23"/>
  <c r="Z118" i="23"/>
  <c r="Z119" i="23"/>
  <c r="Z120" i="23"/>
  <c r="Z121" i="23"/>
  <c r="Z122" i="23"/>
  <c r="Z123" i="23"/>
  <c r="Z124" i="23"/>
  <c r="Z125" i="23"/>
  <c r="Z126" i="23"/>
  <c r="Z127" i="23"/>
  <c r="AB141" i="23" s="1"/>
  <c r="Z128" i="23"/>
  <c r="AB142" i="23" s="1"/>
  <c r="Z129" i="23"/>
  <c r="AB143" i="23" s="1"/>
  <c r="Z130" i="23"/>
  <c r="AB144" i="23" s="1"/>
  <c r="Z131" i="23"/>
  <c r="AB145" i="23" s="1"/>
  <c r="Z132" i="23"/>
  <c r="AB146" i="23" s="1"/>
  <c r="Z133" i="23"/>
  <c r="AB147" i="23" s="1"/>
  <c r="Z134" i="23"/>
  <c r="AB148" i="23" s="1"/>
  <c r="Z135" i="23"/>
  <c r="AB149" i="23" s="1"/>
  <c r="Z136" i="23"/>
  <c r="Z137" i="23"/>
  <c r="AB151" i="23" s="1"/>
  <c r="Z138" i="23"/>
  <c r="Z146" i="23"/>
  <c r="Z147" i="23"/>
  <c r="Z148" i="23"/>
  <c r="Z149" i="23"/>
  <c r="Z150" i="23"/>
  <c r="Z151" i="23"/>
  <c r="Z152" i="23"/>
  <c r="Z153" i="23"/>
  <c r="Z154" i="23"/>
  <c r="Z155" i="23"/>
  <c r="Z156" i="23"/>
  <c r="Z157" i="23"/>
  <c r="Z158" i="23"/>
  <c r="Z159" i="23"/>
  <c r="Z160" i="23"/>
  <c r="Z161" i="23"/>
  <c r="Z162" i="23"/>
  <c r="Z163" i="23"/>
  <c r="Z164" i="23"/>
  <c r="Z165" i="23"/>
  <c r="Z166" i="23"/>
  <c r="Z167" i="23"/>
  <c r="Z168" i="23"/>
  <c r="Z169" i="23"/>
  <c r="Z170" i="23"/>
  <c r="Z171" i="23"/>
  <c r="Z172" i="23"/>
  <c r="Z173" i="23"/>
  <c r="Z174" i="23"/>
  <c r="Z175" i="23"/>
  <c r="Z176" i="23"/>
  <c r="Z177" i="23"/>
  <c r="Z178" i="23"/>
  <c r="Z179" i="23"/>
  <c r="Z180" i="23"/>
  <c r="Z181" i="23"/>
  <c r="Z182" i="23"/>
  <c r="Z183" i="23"/>
  <c r="Z184" i="23"/>
  <c r="Z185" i="23"/>
  <c r="Z186" i="23"/>
  <c r="Z187" i="23"/>
  <c r="Z188" i="23"/>
  <c r="Z189" i="23"/>
  <c r="Z190" i="23"/>
  <c r="Z191" i="23"/>
  <c r="Z192" i="23"/>
  <c r="Z193" i="23"/>
  <c r="Z194" i="23"/>
  <c r="Z195" i="23"/>
  <c r="Z196" i="23"/>
  <c r="Z197" i="23"/>
  <c r="Z198" i="23"/>
  <c r="Z199" i="23"/>
  <c r="Z200" i="23"/>
  <c r="Z201" i="23"/>
  <c r="Z202" i="23"/>
  <c r="Z203" i="23"/>
  <c r="Z204" i="23"/>
  <c r="Z205" i="23"/>
  <c r="Z206" i="23"/>
  <c r="Z207" i="23"/>
  <c r="Z208" i="23"/>
  <c r="Z209" i="23"/>
  <c r="Z210" i="23"/>
  <c r="Z211" i="23"/>
  <c r="Z212" i="23"/>
  <c r="Z213" i="23"/>
  <c r="Z214" i="23"/>
  <c r="Z215" i="23"/>
  <c r="Z216" i="23"/>
  <c r="Z217" i="23"/>
  <c r="Z218" i="23"/>
  <c r="Z219" i="23"/>
  <c r="Z220" i="23"/>
  <c r="Z221" i="23"/>
  <c r="Z222" i="23"/>
  <c r="Z223" i="23"/>
  <c r="Z224" i="23"/>
  <c r="Z225" i="23"/>
  <c r="Z226" i="23"/>
  <c r="Z227" i="23"/>
  <c r="Z228" i="23"/>
  <c r="Z229" i="23"/>
  <c r="Z230" i="23"/>
  <c r="Z231" i="23"/>
  <c r="Z232" i="23"/>
  <c r="Z233" i="23"/>
  <c r="Z234" i="23"/>
  <c r="Z235" i="23"/>
  <c r="Z236" i="23"/>
  <c r="Z237" i="23"/>
  <c r="Z238" i="23"/>
  <c r="Z239" i="23"/>
  <c r="Z240" i="23"/>
  <c r="Z241" i="23"/>
  <c r="Z242" i="23"/>
  <c r="Z243" i="23"/>
  <c r="Z244" i="23"/>
  <c r="Z245" i="23"/>
  <c r="Z246" i="23"/>
  <c r="Z247" i="23"/>
  <c r="Z248" i="23"/>
  <c r="Z249" i="23"/>
  <c r="Z250" i="23"/>
  <c r="Z251" i="23"/>
  <c r="Z252" i="23"/>
  <c r="Z253" i="23"/>
  <c r="Z254" i="23"/>
  <c r="Z255" i="23"/>
  <c r="Z256" i="23"/>
  <c r="Z257" i="23"/>
  <c r="Z258" i="23"/>
  <c r="Z259" i="23"/>
  <c r="Z260" i="23"/>
  <c r="Z261" i="23"/>
  <c r="Z262" i="23"/>
  <c r="Z263" i="23"/>
  <c r="Z264" i="23"/>
  <c r="Z265" i="23"/>
  <c r="Z266" i="23"/>
  <c r="Z267" i="23"/>
  <c r="Z268" i="23"/>
  <c r="Z269" i="23"/>
  <c r="Z270" i="23"/>
  <c r="Z271" i="23"/>
  <c r="Z272" i="23"/>
  <c r="Z273" i="23"/>
  <c r="Z274" i="23"/>
  <c r="Z275" i="23"/>
  <c r="Z276" i="23"/>
  <c r="Z277" i="23"/>
  <c r="Z278" i="23"/>
  <c r="Z279" i="23"/>
  <c r="Z280" i="23"/>
  <c r="Z281" i="23"/>
  <c r="Z282" i="23"/>
  <c r="Z283" i="23"/>
  <c r="Z284" i="23"/>
  <c r="Z285" i="23"/>
  <c r="Z286" i="23"/>
  <c r="Z287" i="23"/>
  <c r="Z288" i="23"/>
  <c r="Z289" i="23"/>
  <c r="Z290" i="23"/>
  <c r="Z291" i="23"/>
  <c r="Z292" i="23"/>
  <c r="Z293" i="23"/>
  <c r="Z294" i="23"/>
  <c r="Z295" i="23"/>
  <c r="Z296" i="23"/>
  <c r="Z297" i="23"/>
  <c r="Z298" i="23"/>
  <c r="Z299" i="23"/>
  <c r="Z300" i="23"/>
  <c r="Z301" i="23"/>
  <c r="Z302" i="23"/>
  <c r="Z303" i="23"/>
  <c r="Z304" i="23"/>
  <c r="Z305" i="23"/>
  <c r="Z306" i="23"/>
  <c r="Z307" i="23"/>
  <c r="Z308" i="23"/>
  <c r="Z309" i="23"/>
  <c r="Z310" i="23"/>
  <c r="Z311" i="23"/>
  <c r="Z312" i="23"/>
  <c r="Z313" i="23"/>
  <c r="Z314" i="23"/>
  <c r="Z315" i="23"/>
  <c r="Z316" i="23"/>
  <c r="Z317" i="23"/>
  <c r="Z318" i="23"/>
  <c r="Z319" i="23"/>
  <c r="Z320" i="23"/>
  <c r="Z321" i="23"/>
  <c r="Z322" i="23"/>
  <c r="Z323" i="23"/>
  <c r="Z324" i="23"/>
  <c r="Z325" i="23"/>
  <c r="Z326" i="23"/>
  <c r="Z327" i="23"/>
  <c r="Z328" i="23"/>
  <c r="Z329" i="23"/>
  <c r="Z330" i="23"/>
  <c r="Z331" i="23"/>
  <c r="Z332" i="23"/>
  <c r="Z333" i="23"/>
  <c r="Z334" i="23"/>
  <c r="Z335" i="23"/>
  <c r="Z336" i="23"/>
  <c r="Z337" i="23"/>
  <c r="Z338" i="23"/>
  <c r="Z339" i="23"/>
  <c r="Z340" i="23"/>
  <c r="Z341" i="23"/>
  <c r="Z342" i="23"/>
  <c r="Z343" i="23"/>
  <c r="Z344" i="23"/>
  <c r="Z345" i="23"/>
  <c r="Z346" i="23"/>
  <c r="Z347" i="23"/>
  <c r="Z348" i="23"/>
  <c r="Z349" i="23"/>
  <c r="Z350" i="23"/>
  <c r="Z351" i="23"/>
  <c r="Z352" i="23"/>
  <c r="Z353" i="23"/>
  <c r="Z354" i="23"/>
  <c r="Z355" i="23"/>
  <c r="Z356" i="23"/>
  <c r="Z357" i="23"/>
  <c r="Z358" i="23"/>
  <c r="Z359" i="23"/>
  <c r="Z360" i="23"/>
  <c r="Z361" i="23"/>
  <c r="Z362" i="23"/>
  <c r="Z363" i="23"/>
  <c r="Z364" i="23"/>
  <c r="Z365" i="23"/>
  <c r="Z366" i="23"/>
  <c r="Z367" i="23"/>
  <c r="Z368" i="23"/>
  <c r="Z369" i="23"/>
  <c r="Z370" i="23"/>
  <c r="Z371" i="23"/>
  <c r="Z372" i="23"/>
  <c r="Z373" i="23"/>
  <c r="Z374" i="23"/>
  <c r="Z375" i="23"/>
  <c r="Z376" i="23"/>
  <c r="Z377" i="23"/>
  <c r="Z378" i="23"/>
  <c r="Z379" i="23"/>
  <c r="Z380" i="23"/>
  <c r="Z381" i="23"/>
  <c r="Z382" i="23"/>
  <c r="Z383" i="23"/>
  <c r="Z384" i="23"/>
  <c r="Z385" i="23"/>
  <c r="Z386" i="23"/>
  <c r="Z387" i="23"/>
  <c r="Z388" i="23"/>
  <c r="Z389" i="23"/>
  <c r="Z390" i="23"/>
  <c r="Z391" i="23"/>
  <c r="Z392" i="23"/>
  <c r="Z393" i="23"/>
  <c r="Z394" i="23"/>
  <c r="Z395" i="23"/>
  <c r="Z396" i="23"/>
  <c r="Z397" i="23"/>
  <c r="Z398" i="23"/>
  <c r="Z399" i="23"/>
  <c r="Z401" i="23"/>
  <c r="Z402" i="23"/>
  <c r="Z403" i="23"/>
  <c r="Z404" i="23"/>
  <c r="Z405" i="23"/>
  <c r="Z406" i="23"/>
  <c r="Z407" i="23"/>
  <c r="Z408" i="23"/>
  <c r="Z409" i="23"/>
  <c r="Z410" i="23"/>
  <c r="Z411" i="23"/>
  <c r="Z412" i="23"/>
  <c r="Z413" i="23"/>
  <c r="Z414" i="23"/>
  <c r="Z415" i="23"/>
  <c r="Z416" i="23"/>
  <c r="Z8" i="23"/>
  <c r="Y409" i="23"/>
  <c r="Y410" i="23"/>
  <c r="Y411" i="23"/>
  <c r="Y412" i="23"/>
  <c r="Y413" i="23"/>
  <c r="Y414" i="23"/>
  <c r="Y415" i="23"/>
  <c r="Y416" i="23"/>
  <c r="Y408" i="23"/>
  <c r="S398" i="23"/>
  <c r="S399" i="23"/>
  <c r="S400" i="23"/>
  <c r="S401" i="23"/>
  <c r="S402" i="23"/>
  <c r="S403" i="23"/>
  <c r="S404" i="23"/>
  <c r="S405" i="23"/>
  <c r="S406" i="23"/>
  <c r="S407" i="23"/>
  <c r="S408" i="23"/>
  <c r="S409" i="23"/>
  <c r="S410" i="23"/>
  <c r="S411" i="23"/>
  <c r="S412" i="23"/>
  <c r="S413" i="23"/>
  <c r="S414" i="23"/>
  <c r="S415" i="23"/>
  <c r="S416" i="23"/>
  <c r="F416" i="23"/>
  <c r="F415" i="23"/>
  <c r="F414" i="23"/>
  <c r="F413" i="23"/>
  <c r="F412" i="23"/>
  <c r="F411" i="23"/>
  <c r="F410" i="23"/>
  <c r="F409" i="23"/>
  <c r="H9961" i="3"/>
  <c r="G9961" i="3"/>
  <c r="H9960" i="3"/>
  <c r="G9960" i="3"/>
  <c r="H9959" i="3"/>
  <c r="G9959" i="3"/>
  <c r="H9958" i="3"/>
  <c r="G9958" i="3"/>
  <c r="H9957" i="3"/>
  <c r="G9957" i="3"/>
  <c r="H9956" i="3"/>
  <c r="G9956" i="3"/>
  <c r="H9955" i="3"/>
  <c r="G9955" i="3"/>
  <c r="H9954" i="3"/>
  <c r="G9954" i="3"/>
  <c r="H9953" i="3"/>
  <c r="G9953" i="3"/>
  <c r="H9952" i="3"/>
  <c r="G9952" i="3"/>
  <c r="H9951" i="3"/>
  <c r="G9951" i="3"/>
  <c r="H9950" i="3"/>
  <c r="G9950" i="3"/>
  <c r="H9949" i="3"/>
  <c r="G9949" i="3"/>
  <c r="H9948" i="3"/>
  <c r="G9948" i="3"/>
  <c r="H9947" i="3"/>
  <c r="G9947" i="3"/>
  <c r="H9946" i="3"/>
  <c r="G9946" i="3"/>
  <c r="H9945" i="3"/>
  <c r="G9945" i="3"/>
  <c r="H9944" i="3"/>
  <c r="G9944" i="3"/>
  <c r="H9943" i="3"/>
  <c r="G9943" i="3"/>
  <c r="H9942" i="3"/>
  <c r="G9942" i="3"/>
  <c r="H9941" i="3"/>
  <c r="G9941" i="3"/>
  <c r="H9940" i="3"/>
  <c r="G9940" i="3"/>
  <c r="H9939" i="3"/>
  <c r="G9939" i="3"/>
  <c r="H9938" i="3"/>
  <c r="G9938" i="3"/>
  <c r="S416" i="1"/>
  <c r="F416" i="1"/>
  <c r="N414" i="1"/>
  <c r="O420" i="1" s="1"/>
  <c r="N415" i="1"/>
  <c r="M414" i="1"/>
  <c r="M415" i="1"/>
  <c r="S415" i="1"/>
  <c r="F415" i="1"/>
  <c r="H9937" i="3"/>
  <c r="G9937" i="3"/>
  <c r="H9936" i="3"/>
  <c r="G9936" i="3"/>
  <c r="H9935" i="3"/>
  <c r="G9935" i="3"/>
  <c r="H9934" i="3"/>
  <c r="G9934" i="3"/>
  <c r="H9933" i="3"/>
  <c r="G9933" i="3"/>
  <c r="H9932" i="3"/>
  <c r="G9932" i="3"/>
  <c r="H9931" i="3"/>
  <c r="G9931" i="3"/>
  <c r="H9930" i="3"/>
  <c r="G9930" i="3"/>
  <c r="H9929" i="3"/>
  <c r="G9929" i="3"/>
  <c r="H9928" i="3"/>
  <c r="G9928" i="3"/>
  <c r="H9927" i="3"/>
  <c r="G9927" i="3"/>
  <c r="H9926" i="3"/>
  <c r="G9926" i="3"/>
  <c r="H9925" i="3"/>
  <c r="G9925" i="3"/>
  <c r="H9924" i="3"/>
  <c r="G9924" i="3"/>
  <c r="H9923" i="3"/>
  <c r="G9923" i="3"/>
  <c r="H9922" i="3"/>
  <c r="G9922" i="3"/>
  <c r="H9921" i="3"/>
  <c r="G9921" i="3"/>
  <c r="H9920" i="3"/>
  <c r="G9920" i="3"/>
  <c r="H9919" i="3"/>
  <c r="G9919" i="3"/>
  <c r="H9918" i="3"/>
  <c r="G9918" i="3"/>
  <c r="H9917" i="3"/>
  <c r="G9917" i="3"/>
  <c r="H9916" i="3"/>
  <c r="G9916" i="3"/>
  <c r="H9915" i="3"/>
  <c r="G9915" i="3"/>
  <c r="H9914" i="3"/>
  <c r="G9914" i="3"/>
  <c r="AF450" i="23" l="1"/>
  <c r="X460" i="23"/>
  <c r="AK457" i="23"/>
  <c r="AF457" i="23"/>
  <c r="AB130" i="23"/>
  <c r="AC130" i="23" s="1"/>
  <c r="AB118" i="23"/>
  <c r="AC118" i="23" s="1"/>
  <c r="AB106" i="23"/>
  <c r="AC106" i="23" s="1"/>
  <c r="AB94" i="23"/>
  <c r="AC94" i="23" s="1"/>
  <c r="AB82" i="23"/>
  <c r="AC82" i="23" s="1"/>
  <c r="AB70" i="23"/>
  <c r="AC70" i="23" s="1"/>
  <c r="AB58" i="23"/>
  <c r="AC58" i="23" s="1"/>
  <c r="AB46" i="23"/>
  <c r="AC46" i="23" s="1"/>
  <c r="AB34" i="23"/>
  <c r="AC34" i="23" s="1"/>
  <c r="AB121" i="23"/>
  <c r="AC121" i="23" s="1"/>
  <c r="AB117" i="23"/>
  <c r="AC117" i="23" s="1"/>
  <c r="AB109" i="23"/>
  <c r="AC109" i="23" s="1"/>
  <c r="AB105" i="23"/>
  <c r="AC105" i="23" s="1"/>
  <c r="AB101" i="23"/>
  <c r="AC101" i="23" s="1"/>
  <c r="AB97" i="23"/>
  <c r="AC97" i="23" s="1"/>
  <c r="AB93" i="23"/>
  <c r="AC93" i="23" s="1"/>
  <c r="AB89" i="23"/>
  <c r="AC89" i="23" s="1"/>
  <c r="AB85" i="23"/>
  <c r="AC85" i="23" s="1"/>
  <c r="AB81" i="23"/>
  <c r="AC81" i="23" s="1"/>
  <c r="AB77" i="23"/>
  <c r="AC77" i="23" s="1"/>
  <c r="AB73" i="23"/>
  <c r="AC73" i="23" s="1"/>
  <c r="AB69" i="23"/>
  <c r="AC69" i="23" s="1"/>
  <c r="AB65" i="23"/>
  <c r="AC65" i="23" s="1"/>
  <c r="AB61" i="23"/>
  <c r="AC61" i="23" s="1"/>
  <c r="AB57" i="23"/>
  <c r="AC57" i="23" s="1"/>
  <c r="AB53" i="23"/>
  <c r="AC53" i="23" s="1"/>
  <c r="AB49" i="23"/>
  <c r="AC49" i="23" s="1"/>
  <c r="AB45" i="23"/>
  <c r="AC45" i="23" s="1"/>
  <c r="AB41" i="23"/>
  <c r="AC41" i="23" s="1"/>
  <c r="AB37" i="23"/>
  <c r="AC37" i="23" s="1"/>
  <c r="AB110" i="23"/>
  <c r="AC110" i="23" s="1"/>
  <c r="AB98" i="23"/>
  <c r="AC98" i="23" s="1"/>
  <c r="AB86" i="23"/>
  <c r="AC86" i="23" s="1"/>
  <c r="AB78" i="23"/>
  <c r="AC78" i="23" s="1"/>
  <c r="AB66" i="23"/>
  <c r="AC66" i="23" s="1"/>
  <c r="AB54" i="23"/>
  <c r="AC54" i="23" s="1"/>
  <c r="AB42" i="23"/>
  <c r="AC42" i="23" s="1"/>
  <c r="AB132" i="23"/>
  <c r="AC132" i="23" s="1"/>
  <c r="AB116" i="23"/>
  <c r="AC116" i="23" s="1"/>
  <c r="AB112" i="23"/>
  <c r="AC112" i="23" s="1"/>
  <c r="AB108" i="23"/>
  <c r="AC108" i="23" s="1"/>
  <c r="AB104" i="23"/>
  <c r="AC104" i="23" s="1"/>
  <c r="AB100" i="23"/>
  <c r="AC100" i="23" s="1"/>
  <c r="AB96" i="23"/>
  <c r="AC96" i="23" s="1"/>
  <c r="AB92" i="23"/>
  <c r="AC92" i="23" s="1"/>
  <c r="AB88" i="23"/>
  <c r="AC88" i="23" s="1"/>
  <c r="AB84" i="23"/>
  <c r="AC84" i="23" s="1"/>
  <c r="AB80" i="23"/>
  <c r="AC80" i="23" s="1"/>
  <c r="AB76" i="23"/>
  <c r="AC76" i="23" s="1"/>
  <c r="AB72" i="23"/>
  <c r="AC72" i="23" s="1"/>
  <c r="AB68" i="23"/>
  <c r="AC68" i="23" s="1"/>
  <c r="AB64" i="23"/>
  <c r="AC64" i="23" s="1"/>
  <c r="AB60" i="23"/>
  <c r="AC60" i="23" s="1"/>
  <c r="AB56" i="23"/>
  <c r="AC56" i="23" s="1"/>
  <c r="AB52" i="23"/>
  <c r="AC52" i="23" s="1"/>
  <c r="AB48" i="23"/>
  <c r="AC48" i="23" s="1"/>
  <c r="AB44" i="23"/>
  <c r="AC44" i="23" s="1"/>
  <c r="AB40" i="23"/>
  <c r="AC40" i="23" s="1"/>
  <c r="AB36" i="23"/>
  <c r="AC36" i="23" s="1"/>
  <c r="AB102" i="23"/>
  <c r="AC102" i="23" s="1"/>
  <c r="AB90" i="23"/>
  <c r="AC90" i="23" s="1"/>
  <c r="AB74" i="23"/>
  <c r="AC74" i="23" s="1"/>
  <c r="AB62" i="23"/>
  <c r="AC62" i="23" s="1"/>
  <c r="AB50" i="23"/>
  <c r="AC50" i="23" s="1"/>
  <c r="AB38" i="23"/>
  <c r="AC38" i="23" s="1"/>
  <c r="AB129" i="23"/>
  <c r="AC129" i="23" s="1"/>
  <c r="AB22" i="23"/>
  <c r="AC22" i="23" s="1"/>
  <c r="AB135" i="23"/>
  <c r="AC135" i="23" s="1"/>
  <c r="AB131" i="23"/>
  <c r="AC131" i="23" s="1"/>
  <c r="AB115" i="23"/>
  <c r="AC115" i="23" s="1"/>
  <c r="AB111" i="23"/>
  <c r="AC111" i="23" s="1"/>
  <c r="AB107" i="23"/>
  <c r="AC107" i="23" s="1"/>
  <c r="AB103" i="23"/>
  <c r="AC103" i="23" s="1"/>
  <c r="AB99" i="23"/>
  <c r="AC99" i="23" s="1"/>
  <c r="AB95" i="23"/>
  <c r="AC95" i="23" s="1"/>
  <c r="AC91" i="23"/>
  <c r="AB91" i="23"/>
  <c r="AB87" i="23"/>
  <c r="AC87" i="23" s="1"/>
  <c r="AB83" i="23"/>
  <c r="AC83" i="23" s="1"/>
  <c r="AB79" i="23"/>
  <c r="AC79" i="23" s="1"/>
  <c r="AB75" i="23"/>
  <c r="AC75" i="23" s="1"/>
  <c r="AB71" i="23"/>
  <c r="AC71" i="23" s="1"/>
  <c r="AB67" i="23"/>
  <c r="AC67" i="23" s="1"/>
  <c r="AB63" i="23"/>
  <c r="AC63" i="23" s="1"/>
  <c r="AB59" i="23"/>
  <c r="AC59" i="23" s="1"/>
  <c r="AB55" i="23"/>
  <c r="AC55" i="23" s="1"/>
  <c r="AB51" i="23"/>
  <c r="AC51" i="23" s="1"/>
  <c r="AB47" i="23"/>
  <c r="AC47" i="23" s="1"/>
  <c r="AB43" i="23"/>
  <c r="AC43" i="23" s="1"/>
  <c r="AB39" i="23"/>
  <c r="AC39" i="23" s="1"/>
  <c r="AB35" i="23"/>
  <c r="AC35" i="23" s="1"/>
  <c r="T451" i="23"/>
  <c r="R451" i="23"/>
  <c r="AH401" i="23"/>
  <c r="AH397" i="23"/>
  <c r="AH393" i="23"/>
  <c r="AH389" i="23"/>
  <c r="AH385" i="23"/>
  <c r="AH381" i="23"/>
  <c r="AH377" i="23"/>
  <c r="AH373" i="23"/>
  <c r="AH369" i="23"/>
  <c r="AH365" i="23"/>
  <c r="AH361" i="23"/>
  <c r="AH357" i="23"/>
  <c r="AH353" i="23"/>
  <c r="AH349" i="23"/>
  <c r="AH345" i="23"/>
  <c r="AH341" i="23"/>
  <c r="AH337" i="23"/>
  <c r="AH333" i="23"/>
  <c r="AH329" i="23"/>
  <c r="AH325" i="23"/>
  <c r="AH321" i="23"/>
  <c r="AJ420" i="23"/>
  <c r="AJ412" i="23"/>
  <c r="AH400" i="23"/>
  <c r="AH396" i="23"/>
  <c r="AH392" i="23"/>
  <c r="AH388" i="23"/>
  <c r="AH384" i="23"/>
  <c r="AH380" i="23"/>
  <c r="AH376" i="23"/>
  <c r="AH372" i="23"/>
  <c r="AH368" i="23"/>
  <c r="AH364" i="23"/>
  <c r="AH360" i="23"/>
  <c r="AH356" i="23"/>
  <c r="AH328" i="23"/>
  <c r="AH324" i="23"/>
  <c r="AH320" i="23"/>
  <c r="AH316" i="23"/>
  <c r="AH312" i="23"/>
  <c r="AH308" i="23"/>
  <c r="AH304" i="23"/>
  <c r="AH300" i="23"/>
  <c r="AH296" i="23"/>
  <c r="AH292" i="23"/>
  <c r="AH288" i="23"/>
  <c r="AH284" i="23"/>
  <c r="AH280" i="23"/>
  <c r="AH276" i="23"/>
  <c r="AH272" i="23"/>
  <c r="AH268" i="23"/>
  <c r="AH264" i="23"/>
  <c r="AH260" i="23"/>
  <c r="AH256" i="23"/>
  <c r="AH252" i="23"/>
  <c r="AH248" i="23"/>
  <c r="AH244" i="23"/>
  <c r="AH240" i="23"/>
  <c r="AH236" i="23"/>
  <c r="AH232" i="23"/>
  <c r="AH228" i="23"/>
  <c r="AH224" i="23"/>
  <c r="AH220" i="23"/>
  <c r="AH142" i="23"/>
  <c r="AH138" i="23"/>
  <c r="AJ423" i="23"/>
  <c r="AJ419" i="23"/>
  <c r="AR423" i="23"/>
  <c r="AE400" i="23"/>
  <c r="AI400" i="23" s="1"/>
  <c r="AJ421" i="23"/>
  <c r="AR400" i="23"/>
  <c r="AJ422" i="23"/>
  <c r="AR422" i="23"/>
  <c r="O421" i="1"/>
  <c r="AR436" i="23"/>
  <c r="AJ428" i="23"/>
  <c r="AJ416" i="23"/>
  <c r="AH408" i="23"/>
  <c r="AJ408" i="23"/>
  <c r="AR435" i="23"/>
  <c r="AJ427" i="23"/>
  <c r="AJ415" i="23"/>
  <c r="AJ407" i="23"/>
  <c r="AR434" i="23"/>
  <c r="AJ426" i="23"/>
  <c r="AR426" i="23"/>
  <c r="AJ418" i="23"/>
  <c r="AJ414" i="23"/>
  <c r="AH410" i="23"/>
  <c r="AJ410" i="23"/>
  <c r="AH406" i="23"/>
  <c r="AJ406" i="23"/>
  <c r="AH402" i="23"/>
  <c r="AH398" i="23"/>
  <c r="AH394" i="23"/>
  <c r="AH390" i="23"/>
  <c r="AH386" i="23"/>
  <c r="AH382" i="23"/>
  <c r="AH378" i="23"/>
  <c r="AH374" i="23"/>
  <c r="AH370" i="23"/>
  <c r="AH366" i="23"/>
  <c r="AH362" i="23"/>
  <c r="AH358" i="23"/>
  <c r="AH354" i="23"/>
  <c r="AH350" i="23"/>
  <c r="AH346" i="23"/>
  <c r="AH342" i="23"/>
  <c r="AH338" i="23"/>
  <c r="AH334" i="23"/>
  <c r="AH330" i="23"/>
  <c r="AH326" i="23"/>
  <c r="AH322" i="23"/>
  <c r="AH318" i="23"/>
  <c r="AH314" i="23"/>
  <c r="AH310" i="23"/>
  <c r="AH306" i="23"/>
  <c r="AH302" i="23"/>
  <c r="AH298" i="23"/>
  <c r="AH294" i="23"/>
  <c r="AH290" i="23"/>
  <c r="AH286" i="23"/>
  <c r="AH282" i="23"/>
  <c r="AH278" i="23"/>
  <c r="AH274" i="23"/>
  <c r="AH270" i="23"/>
  <c r="AH266" i="23"/>
  <c r="AH262" i="23"/>
  <c r="AH258" i="23"/>
  <c r="AH254" i="23"/>
  <c r="AH250" i="23"/>
  <c r="AH246" i="23"/>
  <c r="AH242" i="23"/>
  <c r="AH238" i="23"/>
  <c r="AH234" i="23"/>
  <c r="AH230" i="23"/>
  <c r="AH226" i="23"/>
  <c r="AH222" i="23"/>
  <c r="AH218" i="23"/>
  <c r="AH140" i="23"/>
  <c r="AJ417" i="23"/>
  <c r="AR432" i="23"/>
  <c r="AJ424" i="23"/>
  <c r="AH404" i="23"/>
  <c r="AJ404" i="23"/>
  <c r="AJ411" i="23"/>
  <c r="AJ403" i="23"/>
  <c r="AR437" i="23"/>
  <c r="AJ429" i="23"/>
  <c r="AR433" i="23"/>
  <c r="AJ425" i="23"/>
  <c r="AH409" i="23"/>
  <c r="AJ409" i="23"/>
  <c r="AH405" i="23"/>
  <c r="AJ405" i="23"/>
  <c r="AR438" i="23"/>
  <c r="AJ430" i="23"/>
  <c r="I9920" i="3"/>
  <c r="I9924" i="3"/>
  <c r="I9926" i="3"/>
  <c r="I9928" i="3"/>
  <c r="I9930" i="3"/>
  <c r="I9932" i="3"/>
  <c r="I9934" i="3"/>
  <c r="O422" i="1"/>
  <c r="O423" i="1"/>
  <c r="AH415" i="23"/>
  <c r="AH422" i="23"/>
  <c r="AH411" i="23"/>
  <c r="AH418" i="23"/>
  <c r="AM407" i="23"/>
  <c r="AH407" i="23"/>
  <c r="AM403" i="23"/>
  <c r="AH403" i="23"/>
  <c r="AM399" i="23"/>
  <c r="AH399" i="23"/>
  <c r="AM395" i="23"/>
  <c r="AH395" i="23"/>
  <c r="AM391" i="23"/>
  <c r="AH391" i="23"/>
  <c r="AM387" i="23"/>
  <c r="AH387" i="23"/>
  <c r="AM383" i="23"/>
  <c r="AH383" i="23"/>
  <c r="AM379" i="23"/>
  <c r="AH379" i="23"/>
  <c r="AM375" i="23"/>
  <c r="AH375" i="23"/>
  <c r="AM371" i="23"/>
  <c r="AH371" i="23"/>
  <c r="AM367" i="23"/>
  <c r="AH367" i="23"/>
  <c r="AM363" i="23"/>
  <c r="AH363" i="23"/>
  <c r="AM359" i="23"/>
  <c r="AH359" i="23"/>
  <c r="AM355" i="23"/>
  <c r="AH355" i="23"/>
  <c r="AM351" i="23"/>
  <c r="AH351" i="23"/>
  <c r="AM347" i="23"/>
  <c r="AH347" i="23"/>
  <c r="AM343" i="23"/>
  <c r="AH343" i="23"/>
  <c r="AM339" i="23"/>
  <c r="AH339" i="23"/>
  <c r="AM335" i="23"/>
  <c r="AH335" i="23"/>
  <c r="AM331" i="23"/>
  <c r="AH331" i="23"/>
  <c r="AM327" i="23"/>
  <c r="AH327" i="23"/>
  <c r="AM323" i="23"/>
  <c r="AH323" i="23"/>
  <c r="AM319" i="23"/>
  <c r="AH319" i="23"/>
  <c r="AM315" i="23"/>
  <c r="AH315" i="23"/>
  <c r="AM311" i="23"/>
  <c r="AH311" i="23"/>
  <c r="AM307" i="23"/>
  <c r="AH307" i="23"/>
  <c r="AM303" i="23"/>
  <c r="AH303" i="23"/>
  <c r="AM299" i="23"/>
  <c r="AH299" i="23"/>
  <c r="AM295" i="23"/>
  <c r="AH295" i="23"/>
  <c r="AM291" i="23"/>
  <c r="AH291" i="23"/>
  <c r="AM287" i="23"/>
  <c r="AH287" i="23"/>
  <c r="AM283" i="23"/>
  <c r="AH283" i="23"/>
  <c r="AM279" i="23"/>
  <c r="AH279" i="23"/>
  <c r="AM275" i="23"/>
  <c r="AH275" i="23"/>
  <c r="AM271" i="23"/>
  <c r="AH271" i="23"/>
  <c r="AM267" i="23"/>
  <c r="AH267" i="23"/>
  <c r="AM263" i="23"/>
  <c r="AH263" i="23"/>
  <c r="AM259" i="23"/>
  <c r="AH259" i="23"/>
  <c r="AM255" i="23"/>
  <c r="AH255" i="23"/>
  <c r="AM251" i="23"/>
  <c r="AH251" i="23"/>
  <c r="AM247" i="23"/>
  <c r="AH247" i="23"/>
  <c r="AM243" i="23"/>
  <c r="AH243" i="23"/>
  <c r="AM239" i="23"/>
  <c r="AH239" i="23"/>
  <c r="AM235" i="23"/>
  <c r="AH235" i="23"/>
  <c r="AM231" i="23"/>
  <c r="AH231" i="23"/>
  <c r="AM227" i="23"/>
  <c r="AH227" i="23"/>
  <c r="AM223" i="23"/>
  <c r="AH223" i="23"/>
  <c r="AM219" i="23"/>
  <c r="AH219" i="23"/>
  <c r="AH141" i="23"/>
  <c r="AH414" i="23"/>
  <c r="AH421" i="23"/>
  <c r="AH413" i="23"/>
  <c r="AH420" i="23"/>
  <c r="AH317" i="23"/>
  <c r="AH313" i="23"/>
  <c r="AH309" i="23"/>
  <c r="AH305" i="23"/>
  <c r="AH301" i="23"/>
  <c r="AH297" i="23"/>
  <c r="AH293" i="23"/>
  <c r="AH289" i="23"/>
  <c r="AH285" i="23"/>
  <c r="AH281" i="23"/>
  <c r="AH277" i="23"/>
  <c r="AH273" i="23"/>
  <c r="AH269" i="23"/>
  <c r="AH265" i="23"/>
  <c r="AH261" i="23"/>
  <c r="AH257" i="23"/>
  <c r="AH253" i="23"/>
  <c r="AH249" i="23"/>
  <c r="AH245" i="23"/>
  <c r="AH241" i="23"/>
  <c r="AH237" i="23"/>
  <c r="AH233" i="23"/>
  <c r="AH229" i="23"/>
  <c r="AH225" i="23"/>
  <c r="AH221" i="23"/>
  <c r="AH217" i="23"/>
  <c r="AH143" i="23"/>
  <c r="AH139" i="23"/>
  <c r="AH416" i="23"/>
  <c r="AH423" i="23"/>
  <c r="AH412" i="23"/>
  <c r="AH419" i="23"/>
  <c r="AH352" i="23"/>
  <c r="AH348" i="23"/>
  <c r="AH344" i="23"/>
  <c r="AH340" i="23"/>
  <c r="AH336" i="23"/>
  <c r="AH332" i="23"/>
  <c r="AH417" i="23"/>
  <c r="AH424" i="23"/>
  <c r="AM415" i="23"/>
  <c r="AM422" i="23"/>
  <c r="AM411" i="23"/>
  <c r="AM418" i="23"/>
  <c r="AM414" i="23"/>
  <c r="AM421" i="23"/>
  <c r="AM410" i="23"/>
  <c r="AM406" i="23"/>
  <c r="AM402" i="23"/>
  <c r="AM398" i="23"/>
  <c r="AM394" i="23"/>
  <c r="AM390" i="23"/>
  <c r="AM386" i="23"/>
  <c r="AM382" i="23"/>
  <c r="AM378" i="23"/>
  <c r="AM374" i="23"/>
  <c r="AM370" i="23"/>
  <c r="AM366" i="23"/>
  <c r="AM362" i="23"/>
  <c r="AM358" i="23"/>
  <c r="AM354" i="23"/>
  <c r="AM350" i="23"/>
  <c r="AM346" i="23"/>
  <c r="AM342" i="23"/>
  <c r="AM338" i="23"/>
  <c r="AM334" i="23"/>
  <c r="AM330" i="23"/>
  <c r="AM326" i="23"/>
  <c r="AM322" i="23"/>
  <c r="AM318" i="23"/>
  <c r="AM314" i="23"/>
  <c r="AM310" i="23"/>
  <c r="AM306" i="23"/>
  <c r="AM302" i="23"/>
  <c r="AM298" i="23"/>
  <c r="AM294" i="23"/>
  <c r="AM290" i="23"/>
  <c r="AM286" i="23"/>
  <c r="AM282" i="23"/>
  <c r="AM278" i="23"/>
  <c r="AM274" i="23"/>
  <c r="AM270" i="23"/>
  <c r="AM266" i="23"/>
  <c r="AM262" i="23"/>
  <c r="AM258" i="23"/>
  <c r="AM254" i="23"/>
  <c r="AM250" i="23"/>
  <c r="AM246" i="23"/>
  <c r="AM242" i="23"/>
  <c r="AM238" i="23"/>
  <c r="AM234" i="23"/>
  <c r="AM230" i="23"/>
  <c r="AM226" i="23"/>
  <c r="AM222" i="23"/>
  <c r="AM218" i="23"/>
  <c r="AM413" i="23"/>
  <c r="AM420" i="23"/>
  <c r="AM409" i="23"/>
  <c r="AM405" i="23"/>
  <c r="AM401" i="23"/>
  <c r="AM397" i="23"/>
  <c r="AM393" i="23"/>
  <c r="AM389" i="23"/>
  <c r="AM385" i="23"/>
  <c r="AM381" i="23"/>
  <c r="AM377" i="23"/>
  <c r="AM373" i="23"/>
  <c r="AM369" i="23"/>
  <c r="AM365" i="23"/>
  <c r="AM361" i="23"/>
  <c r="AM357" i="23"/>
  <c r="AM353" i="23"/>
  <c r="AM349" i="23"/>
  <c r="AM345" i="23"/>
  <c r="AM341" i="23"/>
  <c r="AM337" i="23"/>
  <c r="AM333" i="23"/>
  <c r="AM329" i="23"/>
  <c r="AM325" i="23"/>
  <c r="AM321" i="23"/>
  <c r="AM317" i="23"/>
  <c r="AM313" i="23"/>
  <c r="AM309" i="23"/>
  <c r="AM305" i="23"/>
  <c r="AM301" i="23"/>
  <c r="AM297" i="23"/>
  <c r="AM293" i="23"/>
  <c r="AM289" i="23"/>
  <c r="AM285" i="23"/>
  <c r="AM281" i="23"/>
  <c r="AM277" i="23"/>
  <c r="AM273" i="23"/>
  <c r="AM269" i="23"/>
  <c r="AM265" i="23"/>
  <c r="AM261" i="23"/>
  <c r="AM257" i="23"/>
  <c r="AM253" i="23"/>
  <c r="AM249" i="23"/>
  <c r="AM245" i="23"/>
  <c r="AM241" i="23"/>
  <c r="AM237" i="23"/>
  <c r="AM233" i="23"/>
  <c r="AM229" i="23"/>
  <c r="AM225" i="23"/>
  <c r="AM221" i="23"/>
  <c r="AM217" i="23"/>
  <c r="AE290" i="23"/>
  <c r="AE286" i="23"/>
  <c r="AE282" i="23"/>
  <c r="AE278" i="23"/>
  <c r="AE274" i="23"/>
  <c r="AE270" i="23"/>
  <c r="AE266" i="23"/>
  <c r="AE262" i="23"/>
  <c r="AE258" i="23"/>
  <c r="AE254" i="23"/>
  <c r="AE250" i="23"/>
  <c r="AE246" i="23"/>
  <c r="AE242" i="23"/>
  <c r="AE238" i="23"/>
  <c r="AE234" i="23"/>
  <c r="AE230" i="23"/>
  <c r="AE226" i="23"/>
  <c r="AE222" i="23"/>
  <c r="AE218" i="23"/>
  <c r="AE214" i="23"/>
  <c r="AE135" i="23"/>
  <c r="AE131" i="23"/>
  <c r="AE127" i="23"/>
  <c r="AE123" i="23"/>
  <c r="AE119" i="23"/>
  <c r="AE115" i="23"/>
  <c r="AE111" i="23"/>
  <c r="AE107" i="23"/>
  <c r="AE103" i="23"/>
  <c r="AE99" i="23"/>
  <c r="AE95" i="23"/>
  <c r="AE91" i="23"/>
  <c r="AE87" i="23"/>
  <c r="AE83" i="23"/>
  <c r="AE79" i="23"/>
  <c r="AE75" i="23"/>
  <c r="AE71" i="23"/>
  <c r="AE67" i="23"/>
  <c r="AE63" i="23"/>
  <c r="AE59" i="23"/>
  <c r="AE55" i="23"/>
  <c r="AE51" i="23"/>
  <c r="AE47" i="23"/>
  <c r="AE43" i="23"/>
  <c r="AE39" i="23"/>
  <c r="AE35" i="23"/>
  <c r="AE31" i="23"/>
  <c r="AE27" i="23"/>
  <c r="AE23" i="23"/>
  <c r="AM416" i="23"/>
  <c r="AM423" i="23"/>
  <c r="AM412" i="23"/>
  <c r="AM419" i="23"/>
  <c r="AS408" i="23"/>
  <c r="AM408" i="23"/>
  <c r="AS404" i="23"/>
  <c r="AM404" i="23"/>
  <c r="AM400" i="23"/>
  <c r="AM396" i="23"/>
  <c r="AM392" i="23"/>
  <c r="AM388" i="23"/>
  <c r="AM384" i="23"/>
  <c r="AM380" i="23"/>
  <c r="AM376" i="23"/>
  <c r="AM372" i="23"/>
  <c r="AM368" i="23"/>
  <c r="AM364" i="23"/>
  <c r="AM360" i="23"/>
  <c r="AM356" i="23"/>
  <c r="AM352" i="23"/>
  <c r="AM348" i="23"/>
  <c r="AM344" i="23"/>
  <c r="AM340" i="23"/>
  <c r="AM336" i="23"/>
  <c r="AM332" i="23"/>
  <c r="AM328" i="23"/>
  <c r="AM324" i="23"/>
  <c r="AM320" i="23"/>
  <c r="AM316" i="23"/>
  <c r="AM312" i="23"/>
  <c r="AM308" i="23"/>
  <c r="AM304" i="23"/>
  <c r="AM300" i="23"/>
  <c r="AM296" i="23"/>
  <c r="AM292" i="23"/>
  <c r="AM288" i="23"/>
  <c r="AM284" i="23"/>
  <c r="AM280" i="23"/>
  <c r="AM276" i="23"/>
  <c r="AM272" i="23"/>
  <c r="AM268" i="23"/>
  <c r="AM264" i="23"/>
  <c r="AM260" i="23"/>
  <c r="AM256" i="23"/>
  <c r="AM252" i="23"/>
  <c r="AM248" i="23"/>
  <c r="AM244" i="23"/>
  <c r="AM240" i="23"/>
  <c r="AM236" i="23"/>
  <c r="AM232" i="23"/>
  <c r="AM228" i="23"/>
  <c r="AM224" i="23"/>
  <c r="AM220" i="23"/>
  <c r="AM417" i="23"/>
  <c r="AM424" i="23"/>
  <c r="I9936" i="3"/>
  <c r="I9914" i="3"/>
  <c r="I9916" i="3"/>
  <c r="I9918" i="3"/>
  <c r="I9922" i="3"/>
  <c r="AR427" i="23"/>
  <c r="AR429" i="23"/>
  <c r="AS409" i="23"/>
  <c r="AS405" i="23"/>
  <c r="AS401" i="23"/>
  <c r="AR431" i="23"/>
  <c r="AO410" i="23"/>
  <c r="AR430" i="23"/>
  <c r="AO408" i="23"/>
  <c r="AR428" i="23"/>
  <c r="I9964" i="3"/>
  <c r="I9968" i="3"/>
  <c r="I9972" i="3"/>
  <c r="I9976" i="3"/>
  <c r="I9980" i="3"/>
  <c r="I9984" i="3"/>
  <c r="AE376" i="23"/>
  <c r="AI376" i="23" s="1"/>
  <c r="AE372" i="23"/>
  <c r="AI372" i="23" s="1"/>
  <c r="AE368" i="23"/>
  <c r="AE364" i="23"/>
  <c r="AE360" i="23"/>
  <c r="AE356" i="23"/>
  <c r="AE352" i="23"/>
  <c r="AE348" i="23"/>
  <c r="AE344" i="23"/>
  <c r="AE336" i="23"/>
  <c r="AE328" i="23"/>
  <c r="AE320" i="23"/>
  <c r="AJ327" i="23"/>
  <c r="AJ319" i="23"/>
  <c r="AE232" i="23"/>
  <c r="AE224" i="23"/>
  <c r="AE216" i="23"/>
  <c r="AE208" i="23"/>
  <c r="AE200" i="23"/>
  <c r="AE192" i="23"/>
  <c r="AE184" i="23"/>
  <c r="AE176" i="23"/>
  <c r="AE168" i="23"/>
  <c r="AE160" i="23"/>
  <c r="AE137" i="23"/>
  <c r="AE133" i="23"/>
  <c r="AE129" i="23"/>
  <c r="AE125" i="23"/>
  <c r="AE121" i="23"/>
  <c r="AE117" i="23"/>
  <c r="AE113" i="23"/>
  <c r="AE109" i="23"/>
  <c r="AE105" i="23"/>
  <c r="AE101" i="23"/>
  <c r="AE97" i="23"/>
  <c r="AE93" i="23"/>
  <c r="AE89" i="23"/>
  <c r="AE85" i="23"/>
  <c r="AE81" i="23"/>
  <c r="AE77" i="23"/>
  <c r="AE73" i="23"/>
  <c r="AE69" i="23"/>
  <c r="AE65" i="23"/>
  <c r="AE61" i="23"/>
  <c r="AE57" i="23"/>
  <c r="AE53" i="23"/>
  <c r="AE49" i="23"/>
  <c r="AE45" i="23"/>
  <c r="AE41" i="23"/>
  <c r="AE37" i="23"/>
  <c r="AE33" i="23"/>
  <c r="AE29" i="23"/>
  <c r="AE25" i="23"/>
  <c r="AE21" i="23"/>
  <c r="AS410" i="23"/>
  <c r="AS406" i="23"/>
  <c r="AS402" i="23"/>
  <c r="AE210" i="23"/>
  <c r="AJ396" i="23"/>
  <c r="AJ392" i="23"/>
  <c r="AJ388" i="23"/>
  <c r="AJ384" i="23"/>
  <c r="AJ380" i="23"/>
  <c r="AJ376" i="23"/>
  <c r="AJ372" i="23"/>
  <c r="AJ368" i="23"/>
  <c r="AJ364" i="23"/>
  <c r="AJ360" i="23"/>
  <c r="AJ356" i="23"/>
  <c r="AJ352" i="23"/>
  <c r="AJ348" i="23"/>
  <c r="AJ344" i="23"/>
  <c r="AJ340" i="23"/>
  <c r="AJ336" i="23"/>
  <c r="AJ332" i="23"/>
  <c r="AO407" i="23"/>
  <c r="AE413" i="23"/>
  <c r="AI413" i="23" s="1"/>
  <c r="AO414" i="23"/>
  <c r="AE420" i="23"/>
  <c r="AI420" i="23" s="1"/>
  <c r="AO406" i="23"/>
  <c r="AS415" i="23"/>
  <c r="AS422" i="23"/>
  <c r="AS411" i="23"/>
  <c r="AS418" i="23"/>
  <c r="AS407" i="23"/>
  <c r="AS403" i="23"/>
  <c r="AS399" i="23"/>
  <c r="AS417" i="23"/>
  <c r="AS424" i="23"/>
  <c r="AE410" i="23"/>
  <c r="AI410" i="23" s="1"/>
  <c r="AO411" i="23"/>
  <c r="AS412" i="23"/>
  <c r="AS419" i="23"/>
  <c r="AE416" i="23"/>
  <c r="AI416" i="23" s="1"/>
  <c r="AE423" i="23"/>
  <c r="AI423" i="23" s="1"/>
  <c r="AE412" i="23"/>
  <c r="AI412" i="23" s="1"/>
  <c r="AO413" i="23"/>
  <c r="AE419" i="23"/>
  <c r="AI419" i="23" s="1"/>
  <c r="AE408" i="23"/>
  <c r="AI408" i="23" s="1"/>
  <c r="AO409" i="23"/>
  <c r="AE404" i="23"/>
  <c r="AI404" i="23" s="1"/>
  <c r="AR425" i="23"/>
  <c r="AO405" i="23"/>
  <c r="AS414" i="23"/>
  <c r="AS421" i="23"/>
  <c r="AJ398" i="23"/>
  <c r="AS398" i="23"/>
  <c r="AJ394" i="23"/>
  <c r="AJ390" i="23"/>
  <c r="AJ386" i="23"/>
  <c r="AJ382" i="23"/>
  <c r="AJ378" i="23"/>
  <c r="AJ374" i="23"/>
  <c r="AJ370" i="23"/>
  <c r="AJ366" i="23"/>
  <c r="AJ362" i="23"/>
  <c r="AJ358" i="23"/>
  <c r="AJ354" i="23"/>
  <c r="AJ350" i="23"/>
  <c r="AJ346" i="23"/>
  <c r="AJ342" i="23"/>
  <c r="AJ338" i="23"/>
  <c r="AJ334" i="23"/>
  <c r="AJ286" i="23"/>
  <c r="AJ282" i="23"/>
  <c r="AJ278" i="23"/>
  <c r="AJ274" i="23"/>
  <c r="AJ270" i="23"/>
  <c r="AJ266" i="23"/>
  <c r="AJ262" i="23"/>
  <c r="AJ258" i="23"/>
  <c r="AJ254" i="23"/>
  <c r="AJ250" i="23"/>
  <c r="AJ246" i="23"/>
  <c r="AJ242" i="23"/>
  <c r="AJ238" i="23"/>
  <c r="AJ234" i="23"/>
  <c r="AJ230" i="23"/>
  <c r="AJ226" i="23"/>
  <c r="AE424" i="23"/>
  <c r="AI424" i="23" s="1"/>
  <c r="AE417" i="23"/>
  <c r="AI417" i="23" s="1"/>
  <c r="AE414" i="23"/>
  <c r="AI414" i="23" s="1"/>
  <c r="AO415" i="23"/>
  <c r="AE421" i="23"/>
  <c r="AI421" i="23" s="1"/>
  <c r="AS416" i="23"/>
  <c r="AS423" i="23"/>
  <c r="AJ400" i="23"/>
  <c r="AS400" i="23"/>
  <c r="AE422" i="23"/>
  <c r="AI422" i="23" s="1"/>
  <c r="AO416" i="23"/>
  <c r="AO412" i="23"/>
  <c r="AE418" i="23"/>
  <c r="AI418" i="23" s="1"/>
  <c r="AR424" i="23"/>
  <c r="AO404" i="23"/>
  <c r="AS413" i="23"/>
  <c r="AS420" i="23"/>
  <c r="I9986" i="3"/>
  <c r="I9988" i="3"/>
  <c r="I9992" i="3"/>
  <c r="I9996" i="3"/>
  <c r="I9998" i="3"/>
  <c r="I10000" i="3"/>
  <c r="I10004" i="3"/>
  <c r="I10008" i="3"/>
  <c r="I9995" i="3"/>
  <c r="I9999" i="3"/>
  <c r="I10003" i="3"/>
  <c r="I10007" i="3"/>
  <c r="I9939" i="3"/>
  <c r="I9941" i="3"/>
  <c r="I9943" i="3"/>
  <c r="I9945" i="3"/>
  <c r="I9947" i="3"/>
  <c r="I9949" i="3"/>
  <c r="I9951" i="3"/>
  <c r="I9953" i="3"/>
  <c r="I9955" i="3"/>
  <c r="I9957" i="3"/>
  <c r="I9959" i="3"/>
  <c r="I9961" i="3"/>
  <c r="I9963" i="3"/>
  <c r="I9965" i="3"/>
  <c r="I9967" i="3"/>
  <c r="I9969" i="3"/>
  <c r="I9973" i="3"/>
  <c r="I9977" i="3"/>
  <c r="I9979" i="3"/>
  <c r="I9981" i="3"/>
  <c r="I9983" i="3"/>
  <c r="I9985" i="3"/>
  <c r="I9987" i="3"/>
  <c r="I9991" i="3"/>
  <c r="I9938" i="3"/>
  <c r="I9940" i="3"/>
  <c r="I9942" i="3"/>
  <c r="I9944" i="3"/>
  <c r="I9946" i="3"/>
  <c r="I9948" i="3"/>
  <c r="I9950" i="3"/>
  <c r="I9952" i="3"/>
  <c r="I9954" i="3"/>
  <c r="I9956" i="3"/>
  <c r="I9958" i="3"/>
  <c r="I9960" i="3"/>
  <c r="I9971" i="3"/>
  <c r="I9975" i="3"/>
  <c r="I9990" i="3"/>
  <c r="I9994" i="3"/>
  <c r="I10002" i="3"/>
  <c r="I10006" i="3"/>
  <c r="I9915" i="3"/>
  <c r="I9917" i="3"/>
  <c r="I9919" i="3"/>
  <c r="I9921" i="3"/>
  <c r="I9923" i="3"/>
  <c r="I9925" i="3"/>
  <c r="I9927" i="3"/>
  <c r="I9929" i="3"/>
  <c r="I9931" i="3"/>
  <c r="I9933" i="3"/>
  <c r="I9935" i="3"/>
  <c r="I9937" i="3"/>
  <c r="I9962" i="3"/>
  <c r="I9966" i="3"/>
  <c r="I9970" i="3"/>
  <c r="I9974" i="3"/>
  <c r="I9978" i="3"/>
  <c r="I9982" i="3"/>
  <c r="I9989" i="3"/>
  <c r="I9993" i="3"/>
  <c r="I9997" i="3"/>
  <c r="I10001" i="3"/>
  <c r="I10005" i="3"/>
  <c r="I10009" i="3"/>
  <c r="AE409" i="23"/>
  <c r="AI409" i="23" s="1"/>
  <c r="AE405" i="23"/>
  <c r="AI405" i="23" s="1"/>
  <c r="AE373" i="23"/>
  <c r="AI373" i="23" s="1"/>
  <c r="AE369" i="23"/>
  <c r="AE365" i="23"/>
  <c r="AE361" i="23"/>
  <c r="AE357" i="23"/>
  <c r="AE353" i="23"/>
  <c r="AJ399" i="23"/>
  <c r="AJ395" i="23"/>
  <c r="AJ391" i="23"/>
  <c r="AJ387" i="23"/>
  <c r="AJ383" i="23"/>
  <c r="AJ379" i="23"/>
  <c r="AJ375" i="23"/>
  <c r="AJ371" i="23"/>
  <c r="AJ367" i="23"/>
  <c r="AJ363" i="23"/>
  <c r="AJ359" i="23"/>
  <c r="AJ355" i="23"/>
  <c r="AJ351" i="23"/>
  <c r="AJ347" i="23"/>
  <c r="AJ343" i="23"/>
  <c r="AJ339" i="23"/>
  <c r="AJ335" i="23"/>
  <c r="AJ331" i="23"/>
  <c r="AJ141" i="23"/>
  <c r="AJ137" i="23"/>
  <c r="AJ222" i="23"/>
  <c r="AJ218" i="23"/>
  <c r="AJ214" i="23"/>
  <c r="AJ210" i="23"/>
  <c r="AJ140" i="23"/>
  <c r="AJ136" i="23"/>
  <c r="AO403" i="23"/>
  <c r="AJ402" i="23"/>
  <c r="AJ330" i="23"/>
  <c r="AJ326" i="23"/>
  <c r="AJ322" i="23"/>
  <c r="AJ318" i="23"/>
  <c r="AJ314" i="23"/>
  <c r="AJ401" i="23"/>
  <c r="AJ397" i="23"/>
  <c r="AJ393" i="23"/>
  <c r="AJ389" i="23"/>
  <c r="AJ385" i="23"/>
  <c r="AJ381" i="23"/>
  <c r="AJ377" i="23"/>
  <c r="AJ373" i="23"/>
  <c r="AJ369" i="23"/>
  <c r="AJ365" i="23"/>
  <c r="AJ361" i="23"/>
  <c r="AJ357" i="23"/>
  <c r="AJ353" i="23"/>
  <c r="AJ349" i="23"/>
  <c r="AJ345" i="23"/>
  <c r="AJ341" i="23"/>
  <c r="AJ337" i="23"/>
  <c r="AJ333" i="23"/>
  <c r="AJ143" i="23"/>
  <c r="AJ139" i="23"/>
  <c r="AE396" i="23"/>
  <c r="AI396" i="23" s="1"/>
  <c r="AR417" i="23"/>
  <c r="AO397" i="23"/>
  <c r="AE384" i="23"/>
  <c r="AI384" i="23" s="1"/>
  <c r="AR405" i="23"/>
  <c r="AO385" i="23"/>
  <c r="AE380" i="23"/>
  <c r="AI380" i="23" s="1"/>
  <c r="AR401" i="23"/>
  <c r="AR412" i="23"/>
  <c r="AO392" i="23"/>
  <c r="AR408" i="23"/>
  <c r="AO388" i="23"/>
  <c r="AE392" i="23"/>
  <c r="AI392" i="23" s="1"/>
  <c r="AO393" i="23"/>
  <c r="AR413" i="23"/>
  <c r="AE406" i="23"/>
  <c r="AI406" i="23" s="1"/>
  <c r="AE402" i="23"/>
  <c r="AI402" i="23" s="1"/>
  <c r="AE398" i="23"/>
  <c r="AI398" i="23" s="1"/>
  <c r="AR419" i="23"/>
  <c r="AO399" i="23"/>
  <c r="AE394" i="23"/>
  <c r="AI394" i="23" s="1"/>
  <c r="AR415" i="23"/>
  <c r="AO395" i="23"/>
  <c r="AE390" i="23"/>
  <c r="AI390" i="23" s="1"/>
  <c r="AR411" i="23"/>
  <c r="AO391" i="23"/>
  <c r="AE386" i="23"/>
  <c r="AI386" i="23" s="1"/>
  <c r="AR407" i="23"/>
  <c r="AO387" i="23"/>
  <c r="AE382" i="23"/>
  <c r="AI382" i="23" s="1"/>
  <c r="AR403" i="23"/>
  <c r="AE378" i="23"/>
  <c r="AI378" i="23" s="1"/>
  <c r="AR399" i="23"/>
  <c r="AE374" i="23"/>
  <c r="AI374" i="23" s="1"/>
  <c r="AE370" i="23"/>
  <c r="AE366" i="23"/>
  <c r="AE362" i="23"/>
  <c r="AE358" i="23"/>
  <c r="AE354" i="23"/>
  <c r="AE350" i="23"/>
  <c r="AE346" i="23"/>
  <c r="AE342" i="23"/>
  <c r="AE338" i="23"/>
  <c r="AE334" i="23"/>
  <c r="AE330" i="23"/>
  <c r="AE326" i="23"/>
  <c r="AE322" i="23"/>
  <c r="AE318" i="23"/>
  <c r="AE314" i="23"/>
  <c r="AE388" i="23"/>
  <c r="AI388" i="23" s="1"/>
  <c r="AR409" i="23"/>
  <c r="AO389" i="23"/>
  <c r="AR420" i="23"/>
  <c r="AO400" i="23"/>
  <c r="AR416" i="23"/>
  <c r="AO396" i="23"/>
  <c r="AR404" i="23"/>
  <c r="AO384" i="23"/>
  <c r="AE401" i="23"/>
  <c r="AI401" i="23" s="1"/>
  <c r="AO402" i="23"/>
  <c r="AE397" i="23"/>
  <c r="AI397" i="23" s="1"/>
  <c r="AR418" i="23"/>
  <c r="AO398" i="23"/>
  <c r="AE393" i="23"/>
  <c r="AI393" i="23" s="1"/>
  <c r="AR414" i="23"/>
  <c r="AO394" i="23"/>
  <c r="AE389" i="23"/>
  <c r="AI389" i="23" s="1"/>
  <c r="AR410" i="23"/>
  <c r="AO390" i="23"/>
  <c r="AE385" i="23"/>
  <c r="AI385" i="23" s="1"/>
  <c r="AR406" i="23"/>
  <c r="AO386" i="23"/>
  <c r="AE381" i="23"/>
  <c r="AI381" i="23" s="1"/>
  <c r="AR402" i="23"/>
  <c r="AE377" i="23"/>
  <c r="AI377" i="23" s="1"/>
  <c r="AR398" i="23"/>
  <c r="AE349" i="23"/>
  <c r="AE345" i="23"/>
  <c r="AE341" i="23"/>
  <c r="AE337" i="23"/>
  <c r="AE333" i="23"/>
  <c r="AE329" i="23"/>
  <c r="AE325" i="23"/>
  <c r="AE321" i="23"/>
  <c r="AE298" i="23"/>
  <c r="AJ317" i="23"/>
  <c r="AE317" i="23"/>
  <c r="AE305" i="23"/>
  <c r="AJ324" i="23"/>
  <c r="AE289" i="23"/>
  <c r="AE312" i="23"/>
  <c r="AE304" i="23"/>
  <c r="AJ323" i="23"/>
  <c r="AE296" i="23"/>
  <c r="AJ315" i="23"/>
  <c r="AE280" i="23"/>
  <c r="AE272" i="23"/>
  <c r="AE256" i="23"/>
  <c r="AE248" i="23"/>
  <c r="AE240" i="23"/>
  <c r="AJ310" i="23"/>
  <c r="AJ306" i="23"/>
  <c r="AJ302" i="23"/>
  <c r="AJ298" i="23"/>
  <c r="AJ294" i="23"/>
  <c r="AJ290" i="23"/>
  <c r="AE302" i="23"/>
  <c r="AJ321" i="23"/>
  <c r="AE313" i="23"/>
  <c r="AE301" i="23"/>
  <c r="AJ320" i="23"/>
  <c r="AE285" i="23"/>
  <c r="AE288" i="23"/>
  <c r="AE264" i="23"/>
  <c r="AJ309" i="23"/>
  <c r="AJ305" i="23"/>
  <c r="AJ301" i="23"/>
  <c r="AJ297" i="23"/>
  <c r="AJ293" i="23"/>
  <c r="AJ289" i="23"/>
  <c r="AJ285" i="23"/>
  <c r="AJ281" i="23"/>
  <c r="AJ277" i="23"/>
  <c r="AJ273" i="23"/>
  <c r="AJ269" i="23"/>
  <c r="AJ265" i="23"/>
  <c r="AJ261" i="23"/>
  <c r="AJ257" i="23"/>
  <c r="AJ253" i="23"/>
  <c r="AJ249" i="23"/>
  <c r="AJ245" i="23"/>
  <c r="AJ241" i="23"/>
  <c r="AJ237" i="23"/>
  <c r="AJ233" i="23"/>
  <c r="AJ229" i="23"/>
  <c r="AJ225" i="23"/>
  <c r="AJ221" i="23"/>
  <c r="AJ217" i="23"/>
  <c r="AJ213" i="23"/>
  <c r="AE310" i="23"/>
  <c r="AJ329" i="23"/>
  <c r="AE294" i="23"/>
  <c r="AJ313" i="23"/>
  <c r="AJ308" i="23"/>
  <c r="AJ304" i="23"/>
  <c r="AJ300" i="23"/>
  <c r="AJ296" i="23"/>
  <c r="AJ292" i="23"/>
  <c r="AJ288" i="23"/>
  <c r="AJ284" i="23"/>
  <c r="AJ280" i="23"/>
  <c r="AJ276" i="23"/>
  <c r="AJ272" i="23"/>
  <c r="AJ268" i="23"/>
  <c r="AJ264" i="23"/>
  <c r="AJ260" i="23"/>
  <c r="AJ256" i="23"/>
  <c r="AJ252" i="23"/>
  <c r="AJ248" i="23"/>
  <c r="AJ244" i="23"/>
  <c r="AJ240" i="23"/>
  <c r="AJ236" i="23"/>
  <c r="AJ232" i="23"/>
  <c r="AJ228" i="23"/>
  <c r="AJ224" i="23"/>
  <c r="AJ220" i="23"/>
  <c r="AJ216" i="23"/>
  <c r="AJ212" i="23"/>
  <c r="AJ142" i="23"/>
  <c r="AJ138" i="23"/>
  <c r="AE306" i="23"/>
  <c r="AJ325" i="23"/>
  <c r="AE309" i="23"/>
  <c r="AJ328" i="23"/>
  <c r="AE297" i="23"/>
  <c r="AJ316" i="23"/>
  <c r="AE293" i="23"/>
  <c r="AJ312" i="23"/>
  <c r="AE281" i="23"/>
  <c r="AE277" i="23"/>
  <c r="AE273" i="23"/>
  <c r="AE269" i="23"/>
  <c r="AE265" i="23"/>
  <c r="AE261" i="23"/>
  <c r="AE257" i="23"/>
  <c r="AE253" i="23"/>
  <c r="AE249" i="23"/>
  <c r="AE245" i="23"/>
  <c r="AE241" i="23"/>
  <c r="AE237" i="23"/>
  <c r="AE233" i="23"/>
  <c r="AE229" i="23"/>
  <c r="AE225" i="23"/>
  <c r="AE221" i="23"/>
  <c r="AE217" i="23"/>
  <c r="AE213" i="23"/>
  <c r="AE209" i="23"/>
  <c r="AE205" i="23"/>
  <c r="AE201" i="23"/>
  <c r="AE197" i="23"/>
  <c r="AE193" i="23"/>
  <c r="AE189" i="23"/>
  <c r="AE185" i="23"/>
  <c r="AE181" i="23"/>
  <c r="AE177" i="23"/>
  <c r="AE173" i="23"/>
  <c r="AE169" i="23"/>
  <c r="AE165" i="23"/>
  <c r="AE161" i="23"/>
  <c r="AJ311" i="23"/>
  <c r="AJ307" i="23"/>
  <c r="AJ303" i="23"/>
  <c r="AJ299" i="23"/>
  <c r="AJ295" i="23"/>
  <c r="AJ291" i="23"/>
  <c r="AJ287" i="23"/>
  <c r="AJ283" i="23"/>
  <c r="AJ279" i="23"/>
  <c r="AJ275" i="23"/>
  <c r="AJ271" i="23"/>
  <c r="AJ267" i="23"/>
  <c r="AJ263" i="23"/>
  <c r="AJ259" i="23"/>
  <c r="AJ255" i="23"/>
  <c r="AJ251" i="23"/>
  <c r="AJ247" i="23"/>
  <c r="AJ243" i="23"/>
  <c r="AJ239" i="23"/>
  <c r="AJ235" i="23"/>
  <c r="AJ231" i="23"/>
  <c r="AJ227" i="23"/>
  <c r="AJ223" i="23"/>
  <c r="AJ219" i="23"/>
  <c r="AJ215" i="23"/>
  <c r="AJ211" i="23"/>
  <c r="AE157" i="23"/>
  <c r="AE153" i="23"/>
  <c r="AE138" i="23"/>
  <c r="AE134" i="23"/>
  <c r="AE130" i="23"/>
  <c r="AE126" i="23"/>
  <c r="AE122" i="23"/>
  <c r="AE118" i="23"/>
  <c r="AE114" i="23"/>
  <c r="AE110" i="23"/>
  <c r="AE106" i="23"/>
  <c r="AE102" i="23"/>
  <c r="AE98" i="23"/>
  <c r="AE94" i="23"/>
  <c r="AE90" i="23"/>
  <c r="AE86" i="23"/>
  <c r="AE82" i="23"/>
  <c r="AE78" i="23"/>
  <c r="AE74" i="23"/>
  <c r="AE70" i="23"/>
  <c r="AE66" i="23"/>
  <c r="AE62" i="23"/>
  <c r="AE58" i="23"/>
  <c r="AE54" i="23"/>
  <c r="AE50" i="23"/>
  <c r="AE46" i="23"/>
  <c r="AE42" i="23"/>
  <c r="AE38" i="23"/>
  <c r="AE34" i="23"/>
  <c r="AE30" i="23"/>
  <c r="AE26" i="23"/>
  <c r="AE22" i="23"/>
  <c r="AE252" i="23"/>
  <c r="AE259" i="23"/>
  <c r="AE164" i="23"/>
  <c r="AE171" i="23"/>
  <c r="AE340" i="23"/>
  <c r="AE347" i="23"/>
  <c r="AE332" i="23"/>
  <c r="AE339" i="23"/>
  <c r="AE308" i="23"/>
  <c r="AE315" i="23"/>
  <c r="AE300" i="23"/>
  <c r="AE307" i="23"/>
  <c r="AE292" i="23"/>
  <c r="AE299" i="23"/>
  <c r="AE284" i="23"/>
  <c r="AE291" i="23"/>
  <c r="AE260" i="23"/>
  <c r="AE267" i="23"/>
  <c r="AE236" i="23"/>
  <c r="AE243" i="23"/>
  <c r="AE228" i="23"/>
  <c r="AE235" i="23"/>
  <c r="AE204" i="23"/>
  <c r="AE211" i="23"/>
  <c r="AE196" i="23"/>
  <c r="AE203" i="23"/>
  <c r="AE172" i="23"/>
  <c r="AE179" i="23"/>
  <c r="AE156" i="23"/>
  <c r="AE163" i="23"/>
  <c r="AE155" i="23"/>
  <c r="AE415" i="23"/>
  <c r="AI415" i="23" s="1"/>
  <c r="AE411" i="23"/>
  <c r="AI411" i="23" s="1"/>
  <c r="AE407" i="23"/>
  <c r="AI407" i="23" s="1"/>
  <c r="AE403" i="23"/>
  <c r="AI403" i="23" s="1"/>
  <c r="AE399" i="23"/>
  <c r="AI399" i="23" s="1"/>
  <c r="AE395" i="23"/>
  <c r="AI395" i="23" s="1"/>
  <c r="AE391" i="23"/>
  <c r="AI391" i="23" s="1"/>
  <c r="AE387" i="23"/>
  <c r="AI387" i="23" s="1"/>
  <c r="AE383" i="23"/>
  <c r="AI383" i="23" s="1"/>
  <c r="AE379" i="23"/>
  <c r="AI379" i="23" s="1"/>
  <c r="AE375" i="23"/>
  <c r="AI375" i="23" s="1"/>
  <c r="AE371" i="23"/>
  <c r="AI371" i="23" s="1"/>
  <c r="AE367" i="23"/>
  <c r="AE363" i="23"/>
  <c r="AE359" i="23"/>
  <c r="AE355" i="23"/>
  <c r="AE351" i="23"/>
  <c r="AE343" i="23"/>
  <c r="AE335" i="23"/>
  <c r="AE327" i="23"/>
  <c r="AE319" i="23"/>
  <c r="AE311" i="23"/>
  <c r="AE303" i="23"/>
  <c r="AE295" i="23"/>
  <c r="AE287" i="23"/>
  <c r="AE279" i="23"/>
  <c r="AE271" i="23"/>
  <c r="AE263" i="23"/>
  <c r="AE255" i="23"/>
  <c r="AE247" i="23"/>
  <c r="AE239" i="23"/>
  <c r="AE231" i="23"/>
  <c r="AE223" i="23"/>
  <c r="AE215" i="23"/>
  <c r="AE207" i="23"/>
  <c r="AE199" i="23"/>
  <c r="AE191" i="23"/>
  <c r="AE183" i="23"/>
  <c r="AE175" i="23"/>
  <c r="AE167" i="23"/>
  <c r="AE159" i="23"/>
  <c r="AE324" i="23"/>
  <c r="AE331" i="23"/>
  <c r="AE316" i="23"/>
  <c r="AE323" i="23"/>
  <c r="AE276" i="23"/>
  <c r="AE283" i="23"/>
  <c r="AE268" i="23"/>
  <c r="AE275" i="23"/>
  <c r="AE244" i="23"/>
  <c r="AE251" i="23"/>
  <c r="AE220" i="23"/>
  <c r="AE227" i="23"/>
  <c r="AE212" i="23"/>
  <c r="AE219" i="23"/>
  <c r="AE188" i="23"/>
  <c r="AE195" i="23"/>
  <c r="AE180" i="23"/>
  <c r="AE187" i="23"/>
  <c r="AE136" i="23"/>
  <c r="AE132" i="23"/>
  <c r="AE128" i="23"/>
  <c r="AE124" i="23"/>
  <c r="AE120" i="23"/>
  <c r="AE116" i="23"/>
  <c r="AE112" i="23"/>
  <c r="AE108" i="23"/>
  <c r="AE104" i="23"/>
  <c r="AE100" i="23"/>
  <c r="AE96" i="23"/>
  <c r="AE92" i="23"/>
  <c r="AE88" i="23"/>
  <c r="AE84" i="23"/>
  <c r="AE80" i="23"/>
  <c r="AE76" i="23"/>
  <c r="AE72" i="23"/>
  <c r="AE68" i="23"/>
  <c r="AE64" i="23"/>
  <c r="AE60" i="23"/>
  <c r="AE56" i="23"/>
  <c r="AE52" i="23"/>
  <c r="AE48" i="23"/>
  <c r="AE44" i="23"/>
  <c r="AE40" i="23"/>
  <c r="AE36" i="23"/>
  <c r="AE32" i="23"/>
  <c r="AE28" i="23"/>
  <c r="AE24" i="23"/>
  <c r="AE206" i="23"/>
  <c r="AE202" i="23"/>
  <c r="AE198" i="23"/>
  <c r="AE194" i="23"/>
  <c r="AE190" i="23"/>
  <c r="AE186" i="23"/>
  <c r="AE182" i="23"/>
  <c r="AE178" i="23"/>
  <c r="AE174" i="23"/>
  <c r="AE170" i="23"/>
  <c r="AE166" i="23"/>
  <c r="AE162" i="23"/>
  <c r="AE158" i="23"/>
  <c r="AE154" i="23"/>
  <c r="N413" i="1"/>
  <c r="O419" i="1" s="1"/>
  <c r="M413" i="1"/>
  <c r="H9913" i="3"/>
  <c r="G9913" i="3"/>
  <c r="H9912" i="3"/>
  <c r="G9912" i="3"/>
  <c r="H9911" i="3"/>
  <c r="G9911" i="3"/>
  <c r="H9910" i="3"/>
  <c r="G9910" i="3"/>
  <c r="H9909" i="3"/>
  <c r="G9909" i="3"/>
  <c r="H9908" i="3"/>
  <c r="G9908" i="3"/>
  <c r="H9907" i="3"/>
  <c r="G9907" i="3"/>
  <c r="H9906" i="3"/>
  <c r="G9906" i="3"/>
  <c r="H9905" i="3"/>
  <c r="G9905" i="3"/>
  <c r="H9904" i="3"/>
  <c r="G9904" i="3"/>
  <c r="H9903" i="3"/>
  <c r="G9903" i="3"/>
  <c r="H9902" i="3"/>
  <c r="G9902" i="3"/>
  <c r="H9901" i="3"/>
  <c r="G9901" i="3"/>
  <c r="H9900" i="3"/>
  <c r="G9900" i="3"/>
  <c r="H9899" i="3"/>
  <c r="G9899" i="3"/>
  <c r="H9898" i="3"/>
  <c r="G9898" i="3"/>
  <c r="H9897" i="3"/>
  <c r="G9897" i="3"/>
  <c r="H9896" i="3"/>
  <c r="G9896" i="3"/>
  <c r="H9895" i="3"/>
  <c r="G9895" i="3"/>
  <c r="H9894" i="3"/>
  <c r="G9894" i="3"/>
  <c r="H9893" i="3"/>
  <c r="G9893" i="3"/>
  <c r="H9892" i="3"/>
  <c r="G9892" i="3"/>
  <c r="H9891" i="3"/>
  <c r="G9891" i="3"/>
  <c r="H9890" i="3"/>
  <c r="G9890" i="3"/>
  <c r="S414" i="1"/>
  <c r="F414" i="1"/>
  <c r="M411" i="1"/>
  <c r="M412" i="1"/>
  <c r="N411" i="1"/>
  <c r="N412" i="1"/>
  <c r="S413" i="1"/>
  <c r="H9889" i="3"/>
  <c r="G9889" i="3"/>
  <c r="H9888" i="3"/>
  <c r="G9888" i="3"/>
  <c r="H9887" i="3"/>
  <c r="G9887" i="3"/>
  <c r="H9886" i="3"/>
  <c r="G9886" i="3"/>
  <c r="H9885" i="3"/>
  <c r="G9885" i="3"/>
  <c r="H9884" i="3"/>
  <c r="G9884" i="3"/>
  <c r="H9883" i="3"/>
  <c r="G9883" i="3"/>
  <c r="H9882" i="3"/>
  <c r="G9882" i="3"/>
  <c r="H9881" i="3"/>
  <c r="G9881" i="3"/>
  <c r="H9880" i="3"/>
  <c r="G9880" i="3"/>
  <c r="H9879" i="3"/>
  <c r="G9879" i="3"/>
  <c r="H9878" i="3"/>
  <c r="G9878" i="3"/>
  <c r="H9877" i="3"/>
  <c r="G9877" i="3"/>
  <c r="H9876" i="3"/>
  <c r="G9876" i="3"/>
  <c r="H9875" i="3"/>
  <c r="G9875" i="3"/>
  <c r="H9874" i="3"/>
  <c r="G9874" i="3"/>
  <c r="H9873" i="3"/>
  <c r="G9873" i="3"/>
  <c r="H9872" i="3"/>
  <c r="G9872" i="3"/>
  <c r="H9871" i="3"/>
  <c r="G9871" i="3"/>
  <c r="H9870" i="3"/>
  <c r="G9870" i="3"/>
  <c r="H9869" i="3"/>
  <c r="G9869" i="3"/>
  <c r="H9868" i="3"/>
  <c r="G9868" i="3"/>
  <c r="H9867" i="3"/>
  <c r="G9867" i="3"/>
  <c r="H9866" i="3"/>
  <c r="G9866" i="3"/>
  <c r="F413" i="1"/>
  <c r="H9865" i="3"/>
  <c r="G9865" i="3"/>
  <c r="H9864" i="3"/>
  <c r="G9864" i="3"/>
  <c r="H9863" i="3"/>
  <c r="G9863" i="3"/>
  <c r="H9862" i="3"/>
  <c r="G9862" i="3"/>
  <c r="H9861" i="3"/>
  <c r="G9861" i="3"/>
  <c r="H9860" i="3"/>
  <c r="G9860" i="3"/>
  <c r="H9859" i="3"/>
  <c r="G9859" i="3"/>
  <c r="H9858" i="3"/>
  <c r="G9858" i="3"/>
  <c r="H9857" i="3"/>
  <c r="G9857" i="3"/>
  <c r="H9856" i="3"/>
  <c r="G9856" i="3"/>
  <c r="H9855" i="3"/>
  <c r="G9855" i="3"/>
  <c r="H9854" i="3"/>
  <c r="G9854" i="3"/>
  <c r="H9853" i="3"/>
  <c r="G9853" i="3"/>
  <c r="H9852" i="3"/>
  <c r="G9852" i="3"/>
  <c r="H9851" i="3"/>
  <c r="G9851" i="3"/>
  <c r="H9850" i="3"/>
  <c r="G9850" i="3"/>
  <c r="H9849" i="3"/>
  <c r="G9849" i="3"/>
  <c r="H9848" i="3"/>
  <c r="G9848" i="3"/>
  <c r="H9847" i="3"/>
  <c r="G9847" i="3"/>
  <c r="H9846" i="3"/>
  <c r="G9846" i="3"/>
  <c r="H9845" i="3"/>
  <c r="G9845" i="3"/>
  <c r="H9844" i="3"/>
  <c r="G9844" i="3"/>
  <c r="H9843" i="3"/>
  <c r="G9843" i="3"/>
  <c r="H9842" i="3"/>
  <c r="G9842" i="3"/>
  <c r="S412" i="1"/>
  <c r="F412"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M349" i="1"/>
  <c r="N350" i="1"/>
  <c r="N351" i="1"/>
  <c r="N352" i="1"/>
  <c r="N353" i="1"/>
  <c r="N354" i="1"/>
  <c r="N355" i="1"/>
  <c r="N356" i="1"/>
  <c r="N357" i="1"/>
  <c r="N358" i="1"/>
  <c r="N359" i="1"/>
  <c r="N360" i="1"/>
  <c r="N361" i="1"/>
  <c r="N362" i="1"/>
  <c r="N363" i="1"/>
  <c r="N364" i="1"/>
  <c r="N365" i="1"/>
  <c r="N366" i="1"/>
  <c r="N367" i="1"/>
  <c r="N368" i="1"/>
  <c r="N369" i="1"/>
  <c r="N370" i="1"/>
  <c r="M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10" i="1"/>
  <c r="N409" i="1"/>
  <c r="M406" i="1"/>
  <c r="M407" i="1"/>
  <c r="M408" i="1"/>
  <c r="M409" i="1"/>
  <c r="M410" i="1"/>
  <c r="S411" i="1"/>
  <c r="F411" i="1"/>
  <c r="H9841" i="3"/>
  <c r="G9841" i="3"/>
  <c r="H9840" i="3"/>
  <c r="G9840" i="3"/>
  <c r="H9839" i="3"/>
  <c r="G9839" i="3"/>
  <c r="H9838" i="3"/>
  <c r="G9838" i="3"/>
  <c r="H9837" i="3"/>
  <c r="G9837" i="3"/>
  <c r="H9836" i="3"/>
  <c r="G9836" i="3"/>
  <c r="H9835" i="3"/>
  <c r="G9835" i="3"/>
  <c r="H9834" i="3"/>
  <c r="G9834" i="3"/>
  <c r="H9833" i="3"/>
  <c r="G9833" i="3"/>
  <c r="H9832" i="3"/>
  <c r="G9832" i="3"/>
  <c r="H9831" i="3"/>
  <c r="G9831" i="3"/>
  <c r="H9830" i="3"/>
  <c r="G9830" i="3"/>
  <c r="H9829" i="3"/>
  <c r="G9829" i="3"/>
  <c r="H9828" i="3"/>
  <c r="G9828" i="3"/>
  <c r="H9827" i="3"/>
  <c r="G9827" i="3"/>
  <c r="H9826" i="3"/>
  <c r="G9826" i="3"/>
  <c r="H9825" i="3"/>
  <c r="G9825" i="3"/>
  <c r="H9824" i="3"/>
  <c r="G9824" i="3"/>
  <c r="H9823" i="3"/>
  <c r="G9823" i="3"/>
  <c r="H9822" i="3"/>
  <c r="G9822" i="3"/>
  <c r="H9821" i="3"/>
  <c r="G9821" i="3"/>
  <c r="H9820" i="3"/>
  <c r="G9820" i="3"/>
  <c r="H9819" i="3"/>
  <c r="G9819" i="3"/>
  <c r="H9818" i="3"/>
  <c r="G9818" i="3"/>
  <c r="H9817" i="3"/>
  <c r="G9817" i="3"/>
  <c r="H9816" i="3"/>
  <c r="G9816" i="3"/>
  <c r="H9815" i="3"/>
  <c r="G9815" i="3"/>
  <c r="H9814" i="3"/>
  <c r="G9814" i="3"/>
  <c r="H9813" i="3"/>
  <c r="G9813" i="3"/>
  <c r="H9812" i="3"/>
  <c r="G9812" i="3"/>
  <c r="H9811" i="3"/>
  <c r="G9811" i="3"/>
  <c r="H9810" i="3"/>
  <c r="G9810" i="3"/>
  <c r="H9809" i="3"/>
  <c r="G9809" i="3"/>
  <c r="H9808" i="3"/>
  <c r="G9808" i="3"/>
  <c r="H9807" i="3"/>
  <c r="G9807" i="3"/>
  <c r="H9806" i="3"/>
  <c r="G9806" i="3"/>
  <c r="H9805" i="3"/>
  <c r="G9805" i="3"/>
  <c r="H9804" i="3"/>
  <c r="G9804" i="3"/>
  <c r="H9803" i="3"/>
  <c r="G9803" i="3"/>
  <c r="H9802" i="3"/>
  <c r="G9802" i="3"/>
  <c r="H9801" i="3"/>
  <c r="G9801" i="3"/>
  <c r="H9800" i="3"/>
  <c r="G9800" i="3"/>
  <c r="H9799" i="3"/>
  <c r="G9799" i="3"/>
  <c r="H9798" i="3"/>
  <c r="G9798" i="3"/>
  <c r="H9797" i="3"/>
  <c r="G9797" i="3"/>
  <c r="H9796" i="3"/>
  <c r="G9796" i="3"/>
  <c r="H9795" i="3"/>
  <c r="G9795" i="3"/>
  <c r="H9794" i="3"/>
  <c r="G9794" i="3"/>
  <c r="S410" i="1"/>
  <c r="F410" i="1"/>
  <c r="H9793" i="3"/>
  <c r="G9793" i="3"/>
  <c r="H9792" i="3"/>
  <c r="G9792" i="3"/>
  <c r="H9791" i="3"/>
  <c r="G9791" i="3"/>
  <c r="H9790" i="3"/>
  <c r="G9790" i="3"/>
  <c r="H9789" i="3"/>
  <c r="G9789" i="3"/>
  <c r="H9788" i="3"/>
  <c r="G9788" i="3"/>
  <c r="H9787" i="3"/>
  <c r="G9787" i="3"/>
  <c r="H9786" i="3"/>
  <c r="G9786" i="3"/>
  <c r="H9785" i="3"/>
  <c r="G9785" i="3"/>
  <c r="H9784" i="3"/>
  <c r="G9784" i="3"/>
  <c r="H9783" i="3"/>
  <c r="G9783" i="3"/>
  <c r="H9782" i="3"/>
  <c r="G9782" i="3"/>
  <c r="H9781" i="3"/>
  <c r="G9781" i="3"/>
  <c r="H9780" i="3"/>
  <c r="G9780" i="3"/>
  <c r="H9779" i="3"/>
  <c r="G9779" i="3"/>
  <c r="H9778" i="3"/>
  <c r="G9778" i="3"/>
  <c r="H9777" i="3"/>
  <c r="G9777" i="3"/>
  <c r="H9776" i="3"/>
  <c r="G9776" i="3"/>
  <c r="H9775" i="3"/>
  <c r="G9775" i="3"/>
  <c r="H9774" i="3"/>
  <c r="G9774" i="3"/>
  <c r="H9773" i="3"/>
  <c r="G9773" i="3"/>
  <c r="H9772" i="3"/>
  <c r="G9772" i="3"/>
  <c r="H9771" i="3"/>
  <c r="G9771" i="3"/>
  <c r="H9770" i="3"/>
  <c r="G9770" i="3"/>
  <c r="F409" i="1"/>
  <c r="S409" i="1"/>
  <c r="AI44" i="23"/>
  <c r="AI45" i="23"/>
  <c r="AI46" i="23"/>
  <c r="AI47" i="23"/>
  <c r="AI48" i="23"/>
  <c r="AI49" i="23"/>
  <c r="AI50" i="23"/>
  <c r="AI51" i="23"/>
  <c r="AI52" i="23"/>
  <c r="AI53" i="23"/>
  <c r="AI54" i="23"/>
  <c r="AI55" i="23"/>
  <c r="AI56" i="23"/>
  <c r="AI57" i="23"/>
  <c r="AI58" i="23"/>
  <c r="AI59" i="23"/>
  <c r="AI60" i="23"/>
  <c r="AI61" i="23"/>
  <c r="AI62" i="23"/>
  <c r="AI63" i="23"/>
  <c r="AI64" i="23"/>
  <c r="AI65" i="23"/>
  <c r="AI66" i="23"/>
  <c r="AI67" i="23"/>
  <c r="AI68" i="23"/>
  <c r="AI69" i="23"/>
  <c r="AI70" i="23"/>
  <c r="AI71" i="23"/>
  <c r="AI72" i="23"/>
  <c r="AI73" i="23"/>
  <c r="AI74" i="23"/>
  <c r="AI75" i="23"/>
  <c r="AI76" i="23"/>
  <c r="AI77" i="23"/>
  <c r="AI78" i="23"/>
  <c r="AI79" i="23"/>
  <c r="AI80" i="23"/>
  <c r="AI81" i="23"/>
  <c r="AI82" i="23"/>
  <c r="AI83" i="23"/>
  <c r="AI84" i="23"/>
  <c r="AI85" i="23"/>
  <c r="AI86" i="23"/>
  <c r="AI87" i="23"/>
  <c r="AI88" i="23"/>
  <c r="AI89" i="23"/>
  <c r="AI90" i="23"/>
  <c r="AI91" i="23"/>
  <c r="AI92" i="23"/>
  <c r="AI93" i="23"/>
  <c r="AI94" i="23"/>
  <c r="AI95" i="23"/>
  <c r="AI96" i="23"/>
  <c r="AI97" i="23"/>
  <c r="AI98" i="23"/>
  <c r="AI99" i="23"/>
  <c r="AI100" i="23"/>
  <c r="AI101" i="23"/>
  <c r="AI102" i="23"/>
  <c r="AI103" i="23"/>
  <c r="AI104" i="23"/>
  <c r="AI105" i="23"/>
  <c r="AI106" i="23"/>
  <c r="AI107" i="23"/>
  <c r="AI108" i="23"/>
  <c r="AI109" i="23"/>
  <c r="AI110" i="23"/>
  <c r="AI111" i="23"/>
  <c r="AI112" i="23"/>
  <c r="AI113" i="23"/>
  <c r="AI114" i="23"/>
  <c r="AI115" i="23"/>
  <c r="AI116" i="23"/>
  <c r="AI117" i="23"/>
  <c r="AI118" i="23"/>
  <c r="AI119" i="23"/>
  <c r="AI120" i="23"/>
  <c r="AI121" i="23"/>
  <c r="AI122" i="23"/>
  <c r="AI123" i="23"/>
  <c r="AI124" i="23"/>
  <c r="AI125" i="23"/>
  <c r="AI126" i="23"/>
  <c r="AI127" i="23"/>
  <c r="AI128" i="23"/>
  <c r="AI129" i="23"/>
  <c r="AI130" i="23"/>
  <c r="AI131" i="23"/>
  <c r="AI132" i="23"/>
  <c r="AI133" i="23"/>
  <c r="AI134" i="23"/>
  <c r="AI135" i="23"/>
  <c r="AI136" i="23"/>
  <c r="AI137" i="23"/>
  <c r="AI138" i="23"/>
  <c r="AI4" i="23"/>
  <c r="AI5" i="23"/>
  <c r="AI6" i="23"/>
  <c r="AI7" i="23"/>
  <c r="AI8" i="23"/>
  <c r="AI9" i="23"/>
  <c r="AI10" i="23"/>
  <c r="AI11" i="23"/>
  <c r="AI12" i="23"/>
  <c r="AI13" i="23"/>
  <c r="AI14" i="23"/>
  <c r="AI15" i="23"/>
  <c r="AI16" i="23"/>
  <c r="AI17" i="23"/>
  <c r="AI18" i="23"/>
  <c r="AI19" i="23"/>
  <c r="AI20" i="23"/>
  <c r="AI21" i="23"/>
  <c r="AI22" i="23"/>
  <c r="AI23" i="23"/>
  <c r="AI24" i="23"/>
  <c r="AI25" i="23"/>
  <c r="AI26" i="23"/>
  <c r="AI27" i="23"/>
  <c r="AI28" i="23"/>
  <c r="AI29" i="23"/>
  <c r="AI30" i="23"/>
  <c r="AI31" i="23"/>
  <c r="AI32" i="23"/>
  <c r="AI33" i="23"/>
  <c r="AI34" i="23"/>
  <c r="AI35" i="23"/>
  <c r="AI36" i="23"/>
  <c r="AI37" i="23"/>
  <c r="AI38" i="23"/>
  <c r="AI39" i="23"/>
  <c r="AI40" i="23"/>
  <c r="AI41" i="23"/>
  <c r="AI42" i="23"/>
  <c r="AI43" i="23"/>
  <c r="AI3" i="23"/>
  <c r="AI2" i="23"/>
  <c r="AG392" i="23"/>
  <c r="AG393" i="23"/>
  <c r="AG394" i="23"/>
  <c r="AG395" i="23"/>
  <c r="AG396" i="23"/>
  <c r="AG397" i="23"/>
  <c r="AG398" i="23"/>
  <c r="AG399" i="23"/>
  <c r="AG400" i="23"/>
  <c r="AG401" i="23"/>
  <c r="AG402" i="23"/>
  <c r="AG403" i="23"/>
  <c r="AG404" i="23"/>
  <c r="AG405" i="23"/>
  <c r="AG406" i="23"/>
  <c r="AG407" i="23"/>
  <c r="AG408" i="23"/>
  <c r="F408" i="23"/>
  <c r="H9769" i="3"/>
  <c r="G9769" i="3"/>
  <c r="H9768" i="3"/>
  <c r="G9768" i="3"/>
  <c r="H9767" i="3"/>
  <c r="G9767" i="3"/>
  <c r="H9766" i="3"/>
  <c r="G9766" i="3"/>
  <c r="H9765" i="3"/>
  <c r="G9765" i="3"/>
  <c r="H9764" i="3"/>
  <c r="G9764" i="3"/>
  <c r="H9763" i="3"/>
  <c r="G9763" i="3"/>
  <c r="H9762" i="3"/>
  <c r="G9762" i="3"/>
  <c r="H9761" i="3"/>
  <c r="G9761" i="3"/>
  <c r="H9760" i="3"/>
  <c r="G9760" i="3"/>
  <c r="H9759" i="3"/>
  <c r="G9759" i="3"/>
  <c r="H9758" i="3"/>
  <c r="G9758" i="3"/>
  <c r="H9757" i="3"/>
  <c r="G9757" i="3"/>
  <c r="H9756" i="3"/>
  <c r="G9756" i="3"/>
  <c r="H9755" i="3"/>
  <c r="G9755" i="3"/>
  <c r="H9754" i="3"/>
  <c r="G9754" i="3"/>
  <c r="H9753" i="3"/>
  <c r="G9753" i="3"/>
  <c r="H9752" i="3"/>
  <c r="G9752" i="3"/>
  <c r="H9751" i="3"/>
  <c r="G9751" i="3"/>
  <c r="H9750" i="3"/>
  <c r="G9750" i="3"/>
  <c r="H9749" i="3"/>
  <c r="G9749" i="3"/>
  <c r="H9748" i="3"/>
  <c r="G9748" i="3"/>
  <c r="H9747" i="3"/>
  <c r="G9747" i="3"/>
  <c r="H9746" i="3"/>
  <c r="G9746" i="3"/>
  <c r="S408" i="1"/>
  <c r="F408" i="1"/>
  <c r="Y406" i="23"/>
  <c r="Y407" i="23"/>
  <c r="F406" i="23"/>
  <c r="F407" i="23"/>
  <c r="H9745" i="3"/>
  <c r="G9745" i="3"/>
  <c r="H9744" i="3"/>
  <c r="G9744" i="3"/>
  <c r="H9743" i="3"/>
  <c r="G9743" i="3"/>
  <c r="H9742" i="3"/>
  <c r="G9742" i="3"/>
  <c r="H9741" i="3"/>
  <c r="G9741" i="3"/>
  <c r="H9740" i="3"/>
  <c r="G9740" i="3"/>
  <c r="H9739" i="3"/>
  <c r="G9739" i="3"/>
  <c r="H9738" i="3"/>
  <c r="G9738" i="3"/>
  <c r="H9737" i="3"/>
  <c r="G9737" i="3"/>
  <c r="H9736" i="3"/>
  <c r="G9736" i="3"/>
  <c r="H9735" i="3"/>
  <c r="G9735" i="3"/>
  <c r="H9734" i="3"/>
  <c r="G9734" i="3"/>
  <c r="H9733" i="3"/>
  <c r="G9733" i="3"/>
  <c r="H9732" i="3"/>
  <c r="G9732" i="3"/>
  <c r="H9731" i="3"/>
  <c r="G9731" i="3"/>
  <c r="H9730" i="3"/>
  <c r="G9730" i="3"/>
  <c r="H9729" i="3"/>
  <c r="G9729" i="3"/>
  <c r="H9728" i="3"/>
  <c r="G9728" i="3"/>
  <c r="H9727" i="3"/>
  <c r="G9727" i="3"/>
  <c r="H9726" i="3"/>
  <c r="G9726" i="3"/>
  <c r="H9725" i="3"/>
  <c r="G9725" i="3"/>
  <c r="H9724" i="3"/>
  <c r="G9724" i="3"/>
  <c r="H9723" i="3"/>
  <c r="G9723" i="3"/>
  <c r="H9722" i="3"/>
  <c r="G9722" i="3"/>
  <c r="S407" i="1"/>
  <c r="F407" i="1"/>
  <c r="H9721" i="3"/>
  <c r="G9721" i="3"/>
  <c r="H9720" i="3"/>
  <c r="G9720" i="3"/>
  <c r="H9719" i="3"/>
  <c r="G9719" i="3"/>
  <c r="H9718" i="3"/>
  <c r="G9718" i="3"/>
  <c r="H9717" i="3"/>
  <c r="G9717" i="3"/>
  <c r="H9716" i="3"/>
  <c r="G9716" i="3"/>
  <c r="H9715" i="3"/>
  <c r="G9715" i="3"/>
  <c r="H9714" i="3"/>
  <c r="G9714" i="3"/>
  <c r="H9713" i="3"/>
  <c r="G9713" i="3"/>
  <c r="H9712" i="3"/>
  <c r="G9712" i="3"/>
  <c r="H9711" i="3"/>
  <c r="G9711" i="3"/>
  <c r="H9710" i="3"/>
  <c r="G9710" i="3"/>
  <c r="H9709" i="3"/>
  <c r="G9709" i="3"/>
  <c r="H9708" i="3"/>
  <c r="G9708" i="3"/>
  <c r="H9707" i="3"/>
  <c r="G9707" i="3"/>
  <c r="H9706" i="3"/>
  <c r="G9706" i="3"/>
  <c r="H9705" i="3"/>
  <c r="G9705" i="3"/>
  <c r="H9704" i="3"/>
  <c r="G9704" i="3"/>
  <c r="H9703" i="3"/>
  <c r="G9703" i="3"/>
  <c r="H9702" i="3"/>
  <c r="G9702" i="3"/>
  <c r="H9701" i="3"/>
  <c r="G9701" i="3"/>
  <c r="H9700" i="3"/>
  <c r="G9700" i="3"/>
  <c r="H9699" i="3"/>
  <c r="G9699" i="3"/>
  <c r="H9698" i="3"/>
  <c r="G9698" i="3"/>
  <c r="S406" i="1"/>
  <c r="F406" i="1"/>
  <c r="T453" i="23" l="1"/>
  <c r="K452" i="23"/>
  <c r="AB466" i="23" s="1"/>
  <c r="AF451" i="23"/>
  <c r="X461" i="23"/>
  <c r="AK458" i="23"/>
  <c r="AF458" i="23"/>
  <c r="T452" i="23"/>
  <c r="R452" i="23"/>
  <c r="O413" i="1"/>
  <c r="O405" i="1"/>
  <c r="O401" i="1"/>
  <c r="O397" i="1"/>
  <c r="O389" i="1"/>
  <c r="O381" i="1"/>
  <c r="O369" i="1"/>
  <c r="O361" i="1"/>
  <c r="O357" i="1"/>
  <c r="O408" i="1"/>
  <c r="O396" i="1"/>
  <c r="O388" i="1"/>
  <c r="O346" i="1"/>
  <c r="O338" i="1"/>
  <c r="O407" i="1"/>
  <c r="O403" i="1"/>
  <c r="O399" i="1"/>
  <c r="O395" i="1"/>
  <c r="O391" i="1"/>
  <c r="O387" i="1"/>
  <c r="O383" i="1"/>
  <c r="O379" i="1"/>
  <c r="O375" i="1"/>
  <c r="O371" i="1"/>
  <c r="O367" i="1"/>
  <c r="O363" i="1"/>
  <c r="O359" i="1"/>
  <c r="O356" i="1"/>
  <c r="O353" i="1"/>
  <c r="O349" i="1"/>
  <c r="O345" i="1"/>
  <c r="O341" i="1"/>
  <c r="O337" i="1"/>
  <c r="O333" i="1"/>
  <c r="O385" i="1"/>
  <c r="O404" i="1"/>
  <c r="O392" i="1"/>
  <c r="O380" i="1"/>
  <c r="O354" i="1"/>
  <c r="O342" i="1"/>
  <c r="O334" i="1"/>
  <c r="O418" i="1"/>
  <c r="O410" i="1"/>
  <c r="O406" i="1"/>
  <c r="O402" i="1"/>
  <c r="O398" i="1"/>
  <c r="O394" i="1"/>
  <c r="O390" i="1"/>
  <c r="O386" i="1"/>
  <c r="O382" i="1"/>
  <c r="O378" i="1"/>
  <c r="O352" i="1"/>
  <c r="O348" i="1"/>
  <c r="O344" i="1"/>
  <c r="O340" i="1"/>
  <c r="O336" i="1"/>
  <c r="O332" i="1"/>
  <c r="O409" i="1"/>
  <c r="O393" i="1"/>
  <c r="O377" i="1"/>
  <c r="O373" i="1"/>
  <c r="O365" i="1"/>
  <c r="O355" i="1"/>
  <c r="O351" i="1"/>
  <c r="O347" i="1"/>
  <c r="O343" i="1"/>
  <c r="O339" i="1"/>
  <c r="O335" i="1"/>
  <c r="O331" i="1"/>
  <c r="O412" i="1"/>
  <c r="O400" i="1"/>
  <c r="O384" i="1"/>
  <c r="O350" i="1"/>
  <c r="O414" i="1"/>
  <c r="O376" i="1"/>
  <c r="O372" i="1"/>
  <c r="O368" i="1"/>
  <c r="O364" i="1"/>
  <c r="O360" i="1"/>
  <c r="O411" i="1"/>
  <c r="O417" i="1"/>
  <c r="O415" i="1"/>
  <c r="O374" i="1"/>
  <c r="O370" i="1"/>
  <c r="O366" i="1"/>
  <c r="O362" i="1"/>
  <c r="O358" i="1"/>
  <c r="I9842" i="3"/>
  <c r="I9844" i="3"/>
  <c r="I9846" i="3"/>
  <c r="I9848" i="3"/>
  <c r="I9850" i="3"/>
  <c r="I9852" i="3"/>
  <c r="I9854" i="3"/>
  <c r="I9856" i="3"/>
  <c r="I9858" i="3"/>
  <c r="I9860" i="3"/>
  <c r="I9862" i="3"/>
  <c r="I9864" i="3"/>
  <c r="I9768" i="3"/>
  <c r="I9771" i="3"/>
  <c r="I9773" i="3"/>
  <c r="I9775" i="3"/>
  <c r="I9777" i="3"/>
  <c r="I9779" i="3"/>
  <c r="I9781" i="3"/>
  <c r="I9783" i="3"/>
  <c r="I9785" i="3"/>
  <c r="I9787" i="3"/>
  <c r="I9789" i="3"/>
  <c r="I9791" i="3"/>
  <c r="I9793" i="3"/>
  <c r="I9795" i="3"/>
  <c r="I9797" i="3"/>
  <c r="I9799" i="3"/>
  <c r="I9801" i="3"/>
  <c r="I9803" i="3"/>
  <c r="I9805" i="3"/>
  <c r="I9807" i="3"/>
  <c r="I9809" i="3"/>
  <c r="I9811" i="3"/>
  <c r="I9813" i="3"/>
  <c r="I9815" i="3"/>
  <c r="I9817" i="3"/>
  <c r="I9819" i="3"/>
  <c r="I9821" i="3"/>
  <c r="I9823" i="3"/>
  <c r="I9825" i="3"/>
  <c r="I9827" i="3"/>
  <c r="I9829" i="3"/>
  <c r="I9831" i="3"/>
  <c r="I9833" i="3"/>
  <c r="I9835" i="3"/>
  <c r="I9837" i="3"/>
  <c r="I9839" i="3"/>
  <c r="I9841" i="3"/>
  <c r="I9867" i="3"/>
  <c r="I9869" i="3"/>
  <c r="I9871" i="3"/>
  <c r="I9873" i="3"/>
  <c r="I9875" i="3"/>
  <c r="I9877" i="3"/>
  <c r="I9879" i="3"/>
  <c r="I9881" i="3"/>
  <c r="I9883" i="3"/>
  <c r="I9885" i="3"/>
  <c r="I9887" i="3"/>
  <c r="I9889" i="3"/>
  <c r="I9890" i="3"/>
  <c r="I9892" i="3"/>
  <c r="I9894" i="3"/>
  <c r="I9896" i="3"/>
  <c r="I9898" i="3"/>
  <c r="I9900" i="3"/>
  <c r="I9902" i="3"/>
  <c r="I9904" i="3"/>
  <c r="I9906" i="3"/>
  <c r="I9908" i="3"/>
  <c r="I9910" i="3"/>
  <c r="I9912" i="3"/>
  <c r="I9698" i="3"/>
  <c r="I9700" i="3"/>
  <c r="I9702" i="3"/>
  <c r="I9704" i="3"/>
  <c r="I9706" i="3"/>
  <c r="I9708" i="3"/>
  <c r="I9710" i="3"/>
  <c r="I9712" i="3"/>
  <c r="I9714" i="3"/>
  <c r="I9716" i="3"/>
  <c r="I9718" i="3"/>
  <c r="I9720" i="3"/>
  <c r="I9722" i="3"/>
  <c r="I9724" i="3"/>
  <c r="I9726" i="3"/>
  <c r="I9728" i="3"/>
  <c r="I9730" i="3"/>
  <c r="I9732" i="3"/>
  <c r="I9734" i="3"/>
  <c r="I9736" i="3"/>
  <c r="I9738" i="3"/>
  <c r="I9740" i="3"/>
  <c r="I9742" i="3"/>
  <c r="I9744" i="3"/>
  <c r="I9746" i="3"/>
  <c r="I9748" i="3"/>
  <c r="I9750" i="3"/>
  <c r="I9752" i="3"/>
  <c r="I9754" i="3"/>
  <c r="I9756" i="3"/>
  <c r="I9758" i="3"/>
  <c r="I9760" i="3"/>
  <c r="I9762" i="3"/>
  <c r="I9764" i="3"/>
  <c r="I9766" i="3"/>
  <c r="I9843" i="3"/>
  <c r="I9845" i="3"/>
  <c r="I9847" i="3"/>
  <c r="I9849" i="3"/>
  <c r="I9851" i="3"/>
  <c r="I9853" i="3"/>
  <c r="I9855" i="3"/>
  <c r="I9857" i="3"/>
  <c r="I9859" i="3"/>
  <c r="I9861" i="3"/>
  <c r="I9863" i="3"/>
  <c r="I9865" i="3"/>
  <c r="I9699" i="3"/>
  <c r="I9701" i="3"/>
  <c r="I9703" i="3"/>
  <c r="I9705" i="3"/>
  <c r="I9707" i="3"/>
  <c r="I9709" i="3"/>
  <c r="I9711" i="3"/>
  <c r="I9713" i="3"/>
  <c r="I9715" i="3"/>
  <c r="I9717" i="3"/>
  <c r="I9719" i="3"/>
  <c r="I9721" i="3"/>
  <c r="I9723" i="3"/>
  <c r="I9725" i="3"/>
  <c r="I9727" i="3"/>
  <c r="I9729" i="3"/>
  <c r="I9731" i="3"/>
  <c r="I9733" i="3"/>
  <c r="I9735" i="3"/>
  <c r="I9737" i="3"/>
  <c r="I9739" i="3"/>
  <c r="I9741" i="3"/>
  <c r="I9743" i="3"/>
  <c r="I9745" i="3"/>
  <c r="I9747" i="3"/>
  <c r="I9749" i="3"/>
  <c r="I9751" i="3"/>
  <c r="I9753" i="3"/>
  <c r="I9755" i="3"/>
  <c r="I9757" i="3"/>
  <c r="I9759" i="3"/>
  <c r="I9761" i="3"/>
  <c r="I9763" i="3"/>
  <c r="I9765" i="3"/>
  <c r="I9767" i="3"/>
  <c r="I9769" i="3"/>
  <c r="I9770" i="3"/>
  <c r="I9772" i="3"/>
  <c r="I9774" i="3"/>
  <c r="I9776" i="3"/>
  <c r="I9778" i="3"/>
  <c r="I9780" i="3"/>
  <c r="I9782" i="3"/>
  <c r="I9784" i="3"/>
  <c r="I9786" i="3"/>
  <c r="I9788" i="3"/>
  <c r="I9790" i="3"/>
  <c r="I9792" i="3"/>
  <c r="I9794" i="3"/>
  <c r="I9796" i="3"/>
  <c r="I9798" i="3"/>
  <c r="I9800" i="3"/>
  <c r="I9802" i="3"/>
  <c r="I9804" i="3"/>
  <c r="I9806" i="3"/>
  <c r="I9808" i="3"/>
  <c r="I9810" i="3"/>
  <c r="I9812" i="3"/>
  <c r="I9814" i="3"/>
  <c r="I9816" i="3"/>
  <c r="I9818" i="3"/>
  <c r="I9820" i="3"/>
  <c r="I9822" i="3"/>
  <c r="I9824" i="3"/>
  <c r="I9826" i="3"/>
  <c r="I9828" i="3"/>
  <c r="I9830" i="3"/>
  <c r="I9832" i="3"/>
  <c r="I9834" i="3"/>
  <c r="I9836" i="3"/>
  <c r="I9838" i="3"/>
  <c r="I9840" i="3"/>
  <c r="I9866" i="3"/>
  <c r="I9868" i="3"/>
  <c r="I9870" i="3"/>
  <c r="I9872" i="3"/>
  <c r="I9874" i="3"/>
  <c r="I9876" i="3"/>
  <c r="I9878" i="3"/>
  <c r="I9880" i="3"/>
  <c r="I9882" i="3"/>
  <c r="I9884" i="3"/>
  <c r="I9886" i="3"/>
  <c r="I9888" i="3"/>
  <c r="I9891" i="3"/>
  <c r="I9893" i="3"/>
  <c r="I9895" i="3"/>
  <c r="I9897" i="3"/>
  <c r="I9899" i="3"/>
  <c r="I9901" i="3"/>
  <c r="I9903" i="3"/>
  <c r="I9905" i="3"/>
  <c r="I9907" i="3"/>
  <c r="I9909" i="3"/>
  <c r="I9911" i="3"/>
  <c r="I9913" i="3"/>
  <c r="M404" i="1"/>
  <c r="M405" i="1"/>
  <c r="R453" i="23" l="1"/>
  <c r="AF453" i="23"/>
  <c r="X463" i="23"/>
  <c r="AF460" i="23"/>
  <c r="AK460" i="23"/>
  <c r="AF452" i="23"/>
  <c r="X462" i="23"/>
  <c r="AK459" i="23"/>
  <c r="AF459" i="23"/>
  <c r="K453" i="23"/>
  <c r="AB467" i="23" s="1"/>
  <c r="R2" i="23"/>
  <c r="R3" i="23"/>
  <c r="R4" i="23"/>
  <c r="R5" i="23"/>
  <c r="R6" i="23"/>
  <c r="R7" i="23"/>
  <c r="R8" i="23"/>
  <c r="R9" i="23"/>
  <c r="R10" i="23"/>
  <c r="R11" i="23"/>
  <c r="R12" i="23"/>
  <c r="R13" i="23"/>
  <c r="R14" i="23"/>
  <c r="R15" i="23"/>
  <c r="R16" i="23"/>
  <c r="R17" i="23"/>
  <c r="R18" i="23"/>
  <c r="R19" i="23"/>
  <c r="R20" i="23"/>
  <c r="R21" i="23"/>
  <c r="R22" i="23"/>
  <c r="R23" i="23"/>
  <c r="R24" i="23"/>
  <c r="R25" i="23"/>
  <c r="R26" i="23"/>
  <c r="R27" i="23"/>
  <c r="R28" i="23"/>
  <c r="R29" i="23"/>
  <c r="R30" i="23"/>
  <c r="R31" i="23"/>
  <c r="R32" i="23"/>
  <c r="R33" i="23"/>
  <c r="R34" i="23"/>
  <c r="R35" i="23"/>
  <c r="R36" i="23"/>
  <c r="R37" i="23"/>
  <c r="R38" i="23"/>
  <c r="R39" i="23"/>
  <c r="R40" i="23"/>
  <c r="R41" i="23"/>
  <c r="R42" i="23"/>
  <c r="R43" i="23"/>
  <c r="R44" i="23"/>
  <c r="R45" i="23"/>
  <c r="R46" i="23"/>
  <c r="R47" i="23"/>
  <c r="R48" i="23"/>
  <c r="R49" i="23"/>
  <c r="R50" i="23"/>
  <c r="R51" i="23"/>
  <c r="R52" i="23"/>
  <c r="R53" i="23"/>
  <c r="R54" i="23"/>
  <c r="R55" i="23"/>
  <c r="R56" i="23"/>
  <c r="R57" i="23"/>
  <c r="R58" i="23"/>
  <c r="R59" i="23"/>
  <c r="R60" i="23"/>
  <c r="R61" i="23"/>
  <c r="R62" i="23"/>
  <c r="R63" i="23"/>
  <c r="R64" i="23"/>
  <c r="R65" i="23"/>
  <c r="R66" i="23"/>
  <c r="R67" i="23"/>
  <c r="R68" i="23"/>
  <c r="R69" i="23"/>
  <c r="R70" i="23"/>
  <c r="R71" i="23"/>
  <c r="R72" i="23"/>
  <c r="R73" i="23"/>
  <c r="R74" i="23"/>
  <c r="R75" i="23"/>
  <c r="R76" i="23"/>
  <c r="R77" i="23"/>
  <c r="R78" i="23"/>
  <c r="R79" i="23"/>
  <c r="R80" i="23"/>
  <c r="R81" i="23"/>
  <c r="R82" i="23"/>
  <c r="R83" i="23"/>
  <c r="R84" i="23"/>
  <c r="R85" i="23"/>
  <c r="R86" i="23"/>
  <c r="R87" i="23"/>
  <c r="R88" i="23"/>
  <c r="R89" i="23"/>
  <c r="R90" i="23"/>
  <c r="R91" i="23"/>
  <c r="R92" i="23"/>
  <c r="R93" i="23"/>
  <c r="R94" i="23"/>
  <c r="R95" i="23"/>
  <c r="R96" i="23"/>
  <c r="R97" i="23"/>
  <c r="R98" i="23"/>
  <c r="R99" i="23"/>
  <c r="R100" i="23"/>
  <c r="R101" i="23"/>
  <c r="R102" i="23"/>
  <c r="R103" i="23"/>
  <c r="R104" i="23"/>
  <c r="R105" i="23"/>
  <c r="R106" i="23"/>
  <c r="R107" i="23"/>
  <c r="R108" i="23"/>
  <c r="R109" i="23"/>
  <c r="R110" i="23"/>
  <c r="R111" i="23"/>
  <c r="R112" i="23"/>
  <c r="X112" i="23" s="1"/>
  <c r="R115" i="23"/>
  <c r="X115" i="23" s="1"/>
  <c r="R116" i="23"/>
  <c r="R117" i="23"/>
  <c r="X117" i="23" s="1"/>
  <c r="R118" i="23"/>
  <c r="X118" i="23" s="1"/>
  <c r="R121" i="23"/>
  <c r="X121" i="23" s="1"/>
  <c r="R127" i="23"/>
  <c r="X127" i="23" s="1"/>
  <c r="R128" i="23"/>
  <c r="R129" i="23"/>
  <c r="X129" i="23" s="1"/>
  <c r="R130" i="23"/>
  <c r="X130" i="23" s="1"/>
  <c r="R131" i="23"/>
  <c r="X131" i="23" s="1"/>
  <c r="R132" i="23"/>
  <c r="X132" i="23" s="1"/>
  <c r="R133" i="23"/>
  <c r="X133" i="23" s="1"/>
  <c r="R134" i="23"/>
  <c r="X134" i="23" s="1"/>
  <c r="R135" i="23"/>
  <c r="X135" i="23" s="1"/>
  <c r="R137" i="23"/>
  <c r="X137" i="23" s="1"/>
  <c r="F404" i="23"/>
  <c r="F405" i="23"/>
  <c r="Y405" i="23"/>
  <c r="Y404" i="23"/>
  <c r="Y403" i="23"/>
  <c r="F403" i="23"/>
  <c r="Y402" i="23"/>
  <c r="F402" i="23"/>
  <c r="Y401" i="23"/>
  <c r="F401" i="23"/>
  <c r="O402" i="23" s="1"/>
  <c r="Y400" i="23"/>
  <c r="F400" i="23"/>
  <c r="O401" i="23" s="1"/>
  <c r="Y399" i="23"/>
  <c r="F399" i="23"/>
  <c r="Y398" i="23"/>
  <c r="F398" i="23"/>
  <c r="Y397" i="23"/>
  <c r="S397" i="23"/>
  <c r="F397" i="23"/>
  <c r="Y396" i="23"/>
  <c r="S396" i="23"/>
  <c r="F396" i="23"/>
  <c r="Y395" i="23"/>
  <c r="S395" i="23"/>
  <c r="F395" i="23"/>
  <c r="Y394" i="23"/>
  <c r="S394" i="23"/>
  <c r="F394" i="23"/>
  <c r="Y393" i="23"/>
  <c r="S393" i="23"/>
  <c r="F393" i="23"/>
  <c r="Y392" i="23"/>
  <c r="S392" i="23"/>
  <c r="F392" i="23"/>
  <c r="Y391" i="23"/>
  <c r="S391" i="23"/>
  <c r="F391" i="23"/>
  <c r="Y390" i="23"/>
  <c r="S390" i="23"/>
  <c r="J390" i="23"/>
  <c r="J391" i="23" s="1"/>
  <c r="J392" i="23" s="1"/>
  <c r="J393" i="23" s="1"/>
  <c r="J394" i="23" s="1"/>
  <c r="J395" i="23" s="1"/>
  <c r="J396" i="23" s="1"/>
  <c r="J397" i="23" s="1"/>
  <c r="J398" i="23" s="1"/>
  <c r="F390" i="23"/>
  <c r="Y389" i="23"/>
  <c r="S389" i="23"/>
  <c r="F389" i="23"/>
  <c r="Y388" i="23"/>
  <c r="S388" i="23"/>
  <c r="J388" i="23"/>
  <c r="J387" i="23" s="1"/>
  <c r="J386" i="23" s="1"/>
  <c r="J385" i="23" s="1"/>
  <c r="J384" i="23" s="1"/>
  <c r="J383" i="23" s="1"/>
  <c r="J382" i="23" s="1"/>
  <c r="J381" i="23" s="1"/>
  <c r="J380" i="23" s="1"/>
  <c r="J379" i="23" s="1"/>
  <c r="J378" i="23" s="1"/>
  <c r="J377" i="23" s="1"/>
  <c r="J376" i="23" s="1"/>
  <c r="J375" i="23" s="1"/>
  <c r="J374" i="23" s="1"/>
  <c r="J373" i="23" s="1"/>
  <c r="J372" i="23" s="1"/>
  <c r="J371" i="23" s="1"/>
  <c r="J370" i="23" s="1"/>
  <c r="J369" i="23" s="1"/>
  <c r="J368" i="23" s="1"/>
  <c r="J367" i="23" s="1"/>
  <c r="J366" i="23" s="1"/>
  <c r="J365" i="23" s="1"/>
  <c r="J364" i="23" s="1"/>
  <c r="J363" i="23" s="1"/>
  <c r="J362" i="23" s="1"/>
  <c r="J361" i="23" s="1"/>
  <c r="J360" i="23" s="1"/>
  <c r="J359" i="23" s="1"/>
  <c r="J358" i="23" s="1"/>
  <c r="J357" i="23" s="1"/>
  <c r="J356" i="23" s="1"/>
  <c r="J355" i="23" s="1"/>
  <c r="J354" i="23" s="1"/>
  <c r="J353" i="23" s="1"/>
  <c r="J352" i="23" s="1"/>
  <c r="J351" i="23" s="1"/>
  <c r="J350" i="23" s="1"/>
  <c r="J349" i="23" s="1"/>
  <c r="J348" i="23" s="1"/>
  <c r="J347" i="23" s="1"/>
  <c r="J346" i="23" s="1"/>
  <c r="J345" i="23" s="1"/>
  <c r="J344" i="23" s="1"/>
  <c r="J343" i="23" s="1"/>
  <c r="J342" i="23" s="1"/>
  <c r="J341" i="23" s="1"/>
  <c r="J340" i="23" s="1"/>
  <c r="J339" i="23" s="1"/>
  <c r="J338" i="23" s="1"/>
  <c r="J337" i="23" s="1"/>
  <c r="J336" i="23" s="1"/>
  <c r="J335" i="23" s="1"/>
  <c r="J334" i="23" s="1"/>
  <c r="J333" i="23" s="1"/>
  <c r="J332" i="23" s="1"/>
  <c r="J331" i="23" s="1"/>
  <c r="J330" i="23" s="1"/>
  <c r="J329" i="23" s="1"/>
  <c r="J328" i="23" s="1"/>
  <c r="J327" i="23" s="1"/>
  <c r="J326" i="23" s="1"/>
  <c r="J325" i="23" s="1"/>
  <c r="J324" i="23" s="1"/>
  <c r="J323" i="23" s="1"/>
  <c r="J322" i="23" s="1"/>
  <c r="J321" i="23" s="1"/>
  <c r="J320" i="23" s="1"/>
  <c r="J319" i="23" s="1"/>
  <c r="J318" i="23" s="1"/>
  <c r="J317" i="23" s="1"/>
  <c r="J316" i="23" s="1"/>
  <c r="J315" i="23" s="1"/>
  <c r="J314" i="23" s="1"/>
  <c r="J313" i="23" s="1"/>
  <c r="J312" i="23" s="1"/>
  <c r="J311" i="23" s="1"/>
  <c r="J310" i="23" s="1"/>
  <c r="J309" i="23" s="1"/>
  <c r="J308" i="23" s="1"/>
  <c r="J307" i="23" s="1"/>
  <c r="J306" i="23" s="1"/>
  <c r="J305" i="23" s="1"/>
  <c r="J304" i="23" s="1"/>
  <c r="J303" i="23" s="1"/>
  <c r="J302" i="23" s="1"/>
  <c r="J301" i="23" s="1"/>
  <c r="J300" i="23" s="1"/>
  <c r="J299" i="23" s="1"/>
  <c r="J298" i="23" s="1"/>
  <c r="J297" i="23" s="1"/>
  <c r="J296" i="23" s="1"/>
  <c r="J295" i="23" s="1"/>
  <c r="J294" i="23" s="1"/>
  <c r="J293" i="23" s="1"/>
  <c r="J292" i="23" s="1"/>
  <c r="J291" i="23" s="1"/>
  <c r="J290" i="23" s="1"/>
  <c r="J289" i="23" s="1"/>
  <c r="J288" i="23" s="1"/>
  <c r="J287" i="23" s="1"/>
  <c r="J286" i="23" s="1"/>
  <c r="J285" i="23" s="1"/>
  <c r="J284" i="23" s="1"/>
  <c r="J283" i="23" s="1"/>
  <c r="J282" i="23" s="1"/>
  <c r="J281" i="23" s="1"/>
  <c r="J280" i="23" s="1"/>
  <c r="J279" i="23" s="1"/>
  <c r="J278" i="23" s="1"/>
  <c r="J277" i="23" s="1"/>
  <c r="J276" i="23" s="1"/>
  <c r="J275" i="23" s="1"/>
  <c r="J274" i="23" s="1"/>
  <c r="J273" i="23" s="1"/>
  <c r="J272" i="23" s="1"/>
  <c r="J271" i="23" s="1"/>
  <c r="J270" i="23" s="1"/>
  <c r="J269" i="23" s="1"/>
  <c r="J268" i="23" s="1"/>
  <c r="J267" i="23" s="1"/>
  <c r="J266" i="23" s="1"/>
  <c r="J265" i="23" s="1"/>
  <c r="J264" i="23" s="1"/>
  <c r="J263" i="23" s="1"/>
  <c r="J262" i="23" s="1"/>
  <c r="J261" i="23" s="1"/>
  <c r="J260" i="23" s="1"/>
  <c r="J259" i="23" s="1"/>
  <c r="J258" i="23" s="1"/>
  <c r="J257" i="23" s="1"/>
  <c r="J256" i="23" s="1"/>
  <c r="J255" i="23" s="1"/>
  <c r="J254" i="23" s="1"/>
  <c r="J253" i="23" s="1"/>
  <c r="J252" i="23" s="1"/>
  <c r="J251" i="23" s="1"/>
  <c r="J250" i="23" s="1"/>
  <c r="J249" i="23" s="1"/>
  <c r="J248" i="23" s="1"/>
  <c r="J247" i="23" s="1"/>
  <c r="J246" i="23" s="1"/>
  <c r="J245" i="23" s="1"/>
  <c r="J244" i="23" s="1"/>
  <c r="J243" i="23" s="1"/>
  <c r="J242" i="23" s="1"/>
  <c r="J241" i="23" s="1"/>
  <c r="J240" i="23" s="1"/>
  <c r="J239" i="23" s="1"/>
  <c r="J238" i="23" s="1"/>
  <c r="J237" i="23" s="1"/>
  <c r="J236" i="23" s="1"/>
  <c r="J235" i="23" s="1"/>
  <c r="J234" i="23" s="1"/>
  <c r="J233" i="23" s="1"/>
  <c r="J232" i="23" s="1"/>
  <c r="J231" i="23" s="1"/>
  <c r="J230" i="23" s="1"/>
  <c r="J229" i="23" s="1"/>
  <c r="J228" i="23" s="1"/>
  <c r="J227" i="23" s="1"/>
  <c r="J226" i="23" s="1"/>
  <c r="J225" i="23" s="1"/>
  <c r="J224" i="23" s="1"/>
  <c r="J223" i="23" s="1"/>
  <c r="J222" i="23" s="1"/>
  <c r="J221" i="23" s="1"/>
  <c r="J220" i="23" s="1"/>
  <c r="J219" i="23" s="1"/>
  <c r="J218" i="23" s="1"/>
  <c r="J217" i="23" s="1"/>
  <c r="J216" i="23" s="1"/>
  <c r="J215" i="23" s="1"/>
  <c r="J214" i="23" s="1"/>
  <c r="J213" i="23" s="1"/>
  <c r="J212" i="23" s="1"/>
  <c r="J211" i="23" s="1"/>
  <c r="J210" i="23" s="1"/>
  <c r="J209" i="23" s="1"/>
  <c r="J208" i="23" s="1"/>
  <c r="J207" i="23" s="1"/>
  <c r="J206" i="23" s="1"/>
  <c r="J205" i="23" s="1"/>
  <c r="J204" i="23" s="1"/>
  <c r="J203" i="23" s="1"/>
  <c r="J202" i="23" s="1"/>
  <c r="J201" i="23" s="1"/>
  <c r="J200" i="23" s="1"/>
  <c r="J199" i="23" s="1"/>
  <c r="J198" i="23" s="1"/>
  <c r="J197" i="23" s="1"/>
  <c r="J196" i="23" s="1"/>
  <c r="J195" i="23" s="1"/>
  <c r="J194" i="23" s="1"/>
  <c r="J193" i="23" s="1"/>
  <c r="J192" i="23" s="1"/>
  <c r="J191" i="23" s="1"/>
  <c r="J190" i="23" s="1"/>
  <c r="J189" i="23" s="1"/>
  <c r="J188" i="23" s="1"/>
  <c r="J187" i="23" s="1"/>
  <c r="J186" i="23" s="1"/>
  <c r="J185" i="23" s="1"/>
  <c r="J184" i="23" s="1"/>
  <c r="J183" i="23" s="1"/>
  <c r="J182" i="23" s="1"/>
  <c r="J181" i="23" s="1"/>
  <c r="J180" i="23" s="1"/>
  <c r="J179" i="23" s="1"/>
  <c r="J178" i="23" s="1"/>
  <c r="J177" i="23" s="1"/>
  <c r="J176" i="23" s="1"/>
  <c r="J175" i="23" s="1"/>
  <c r="J174" i="23" s="1"/>
  <c r="J173" i="23" s="1"/>
  <c r="J172" i="23" s="1"/>
  <c r="J171" i="23" s="1"/>
  <c r="J170" i="23" s="1"/>
  <c r="F388" i="23"/>
  <c r="Y387" i="23"/>
  <c r="S387" i="23"/>
  <c r="F387" i="23"/>
  <c r="Y386" i="23"/>
  <c r="S386" i="23"/>
  <c r="F386" i="23"/>
  <c r="Y385" i="23"/>
  <c r="S385" i="23"/>
  <c r="F385" i="23"/>
  <c r="Y384" i="23"/>
  <c r="S384" i="23"/>
  <c r="F384" i="23"/>
  <c r="Y383" i="23"/>
  <c r="S383" i="23"/>
  <c r="F383" i="23"/>
  <c r="Y382" i="23"/>
  <c r="S382" i="23"/>
  <c r="F382" i="23"/>
  <c r="Y381" i="23"/>
  <c r="S381" i="23"/>
  <c r="F381" i="23"/>
  <c r="Y380" i="23"/>
  <c r="S380" i="23"/>
  <c r="F380" i="23"/>
  <c r="Y379" i="23"/>
  <c r="S379" i="23"/>
  <c r="F379" i="23"/>
  <c r="Y378" i="23"/>
  <c r="S378" i="23"/>
  <c r="F378" i="23"/>
  <c r="Y377" i="23"/>
  <c r="S377" i="23"/>
  <c r="F377" i="23"/>
  <c r="Y376" i="23"/>
  <c r="S376" i="23"/>
  <c r="F376" i="23"/>
  <c r="Y375" i="23"/>
  <c r="S375" i="23"/>
  <c r="F375" i="23"/>
  <c r="Y374" i="23"/>
  <c r="S374" i="23"/>
  <c r="F374" i="23"/>
  <c r="Y373" i="23"/>
  <c r="S373" i="23"/>
  <c r="F373" i="23"/>
  <c r="Y372" i="23"/>
  <c r="S372" i="23"/>
  <c r="F372" i="23"/>
  <c r="Y371" i="23"/>
  <c r="S371" i="23"/>
  <c r="F371" i="23"/>
  <c r="Y370" i="23"/>
  <c r="S370" i="23"/>
  <c r="F370" i="23"/>
  <c r="Y369" i="23"/>
  <c r="S369" i="23"/>
  <c r="F369" i="23"/>
  <c r="Y368" i="23"/>
  <c r="S368" i="23"/>
  <c r="F368" i="23"/>
  <c r="Y367" i="23"/>
  <c r="S367" i="23"/>
  <c r="F367" i="23"/>
  <c r="Y366" i="23"/>
  <c r="S366" i="23"/>
  <c r="F366" i="23"/>
  <c r="Y365" i="23"/>
  <c r="S365" i="23"/>
  <c r="F365" i="23"/>
  <c r="Y364" i="23"/>
  <c r="S364" i="23"/>
  <c r="F364" i="23"/>
  <c r="Y363" i="23"/>
  <c r="S363" i="23"/>
  <c r="F363" i="23"/>
  <c r="Y362" i="23"/>
  <c r="S362" i="23"/>
  <c r="F362" i="23"/>
  <c r="Y361" i="23"/>
  <c r="S361" i="23"/>
  <c r="F361" i="23"/>
  <c r="Y360" i="23"/>
  <c r="S360" i="23"/>
  <c r="F360" i="23"/>
  <c r="Y359" i="23"/>
  <c r="S359" i="23"/>
  <c r="F359" i="23"/>
  <c r="Y358" i="23"/>
  <c r="S358" i="23"/>
  <c r="F358" i="23"/>
  <c r="Y357" i="23"/>
  <c r="S357" i="23"/>
  <c r="F357" i="23"/>
  <c r="Y356" i="23"/>
  <c r="S356" i="23"/>
  <c r="F356" i="23"/>
  <c r="Y355" i="23"/>
  <c r="S355" i="23"/>
  <c r="F355" i="23"/>
  <c r="Y354" i="23"/>
  <c r="S354" i="23"/>
  <c r="F354" i="23"/>
  <c r="Y353" i="23"/>
  <c r="S353" i="23"/>
  <c r="F353" i="23"/>
  <c r="Y352" i="23"/>
  <c r="S352" i="23"/>
  <c r="F352" i="23"/>
  <c r="Y351" i="23"/>
  <c r="S351" i="23"/>
  <c r="F351" i="23"/>
  <c r="Y350" i="23"/>
  <c r="S350" i="23"/>
  <c r="F350" i="23"/>
  <c r="Y349" i="23"/>
  <c r="S349" i="23"/>
  <c r="F349" i="23"/>
  <c r="Y348" i="23"/>
  <c r="S348" i="23"/>
  <c r="F348" i="23"/>
  <c r="Y347" i="23"/>
  <c r="S347" i="23"/>
  <c r="F347" i="23"/>
  <c r="Y346" i="23"/>
  <c r="S346" i="23"/>
  <c r="F346" i="23"/>
  <c r="Y345" i="23"/>
  <c r="S345" i="23"/>
  <c r="F345" i="23"/>
  <c r="Y344" i="23"/>
  <c r="S344" i="23"/>
  <c r="F344" i="23"/>
  <c r="Y343" i="23"/>
  <c r="S343" i="23"/>
  <c r="F343" i="23"/>
  <c r="Y342" i="23"/>
  <c r="S342" i="23"/>
  <c r="F342" i="23"/>
  <c r="Y341" i="23"/>
  <c r="S341" i="23"/>
  <c r="F341" i="23"/>
  <c r="Y340" i="23"/>
  <c r="S340" i="23"/>
  <c r="F340" i="23"/>
  <c r="Y339" i="23"/>
  <c r="S339" i="23"/>
  <c r="F339" i="23"/>
  <c r="Y338" i="23"/>
  <c r="S338" i="23"/>
  <c r="F338" i="23"/>
  <c r="Y337" i="23"/>
  <c r="S337" i="23"/>
  <c r="F337" i="23"/>
  <c r="Y336" i="23"/>
  <c r="S336" i="23"/>
  <c r="F336" i="23"/>
  <c r="Y335" i="23"/>
  <c r="S335" i="23"/>
  <c r="F335" i="23"/>
  <c r="Y334" i="23"/>
  <c r="S334" i="23"/>
  <c r="F334" i="23"/>
  <c r="Y333" i="23"/>
  <c r="S333" i="23"/>
  <c r="F333" i="23"/>
  <c r="Y332" i="23"/>
  <c r="S332" i="23"/>
  <c r="F332" i="23"/>
  <c r="Y331" i="23"/>
  <c r="S331" i="23"/>
  <c r="F331" i="23"/>
  <c r="Y330" i="23"/>
  <c r="S330" i="23"/>
  <c r="F330" i="23"/>
  <c r="Y329" i="23"/>
  <c r="S329" i="23"/>
  <c r="F329" i="23"/>
  <c r="Y328" i="23"/>
  <c r="S328" i="23"/>
  <c r="F328" i="23"/>
  <c r="Y327" i="23"/>
  <c r="S327" i="23"/>
  <c r="F327" i="23"/>
  <c r="Y326" i="23"/>
  <c r="S326" i="23"/>
  <c r="F326" i="23"/>
  <c r="Y325" i="23"/>
  <c r="S325" i="23"/>
  <c r="F325" i="23"/>
  <c r="Y324" i="23"/>
  <c r="S324" i="23"/>
  <c r="F324" i="23"/>
  <c r="Y323" i="23"/>
  <c r="S323" i="23"/>
  <c r="F323" i="23"/>
  <c r="Y322" i="23"/>
  <c r="S322" i="23"/>
  <c r="F322" i="23"/>
  <c r="Y321" i="23"/>
  <c r="S321" i="23"/>
  <c r="F321" i="23"/>
  <c r="Y320" i="23"/>
  <c r="S320" i="23"/>
  <c r="F320" i="23"/>
  <c r="Y319" i="23"/>
  <c r="S319" i="23"/>
  <c r="F319" i="23"/>
  <c r="Y318" i="23"/>
  <c r="S318" i="23"/>
  <c r="F318" i="23"/>
  <c r="Y317" i="23"/>
  <c r="S317" i="23"/>
  <c r="F317" i="23"/>
  <c r="Y316" i="23"/>
  <c r="S316" i="23"/>
  <c r="F316" i="23"/>
  <c r="Y315" i="23"/>
  <c r="S315" i="23"/>
  <c r="F315" i="23"/>
  <c r="Y314" i="23"/>
  <c r="S314" i="23"/>
  <c r="F314" i="23"/>
  <c r="Y313" i="23"/>
  <c r="S313" i="23"/>
  <c r="F313" i="23"/>
  <c r="Y312" i="23"/>
  <c r="S312" i="23"/>
  <c r="F312" i="23"/>
  <c r="Y311" i="23"/>
  <c r="S311" i="23"/>
  <c r="F311" i="23"/>
  <c r="Y310" i="23"/>
  <c r="S310" i="23"/>
  <c r="F310" i="23"/>
  <c r="Y309" i="23"/>
  <c r="S309" i="23"/>
  <c r="F309" i="23"/>
  <c r="Y308" i="23"/>
  <c r="S308" i="23"/>
  <c r="F308" i="23"/>
  <c r="Y307" i="23"/>
  <c r="S307" i="23"/>
  <c r="F307" i="23"/>
  <c r="Y306" i="23"/>
  <c r="S306" i="23"/>
  <c r="F306" i="23"/>
  <c r="Y305" i="23"/>
  <c r="S305" i="23"/>
  <c r="F305" i="23"/>
  <c r="Y304" i="23"/>
  <c r="S304" i="23"/>
  <c r="F304" i="23"/>
  <c r="Y303" i="23"/>
  <c r="S303" i="23"/>
  <c r="F303" i="23"/>
  <c r="Y302" i="23"/>
  <c r="S302" i="23"/>
  <c r="F302" i="23"/>
  <c r="Y301" i="23"/>
  <c r="S301" i="23"/>
  <c r="F301" i="23"/>
  <c r="Y300" i="23"/>
  <c r="S300" i="23"/>
  <c r="F300" i="23"/>
  <c r="Y299" i="23"/>
  <c r="S299" i="23"/>
  <c r="F299" i="23"/>
  <c r="Y298" i="23"/>
  <c r="S298" i="23"/>
  <c r="F298" i="23"/>
  <c r="Y297" i="23"/>
  <c r="S297" i="23"/>
  <c r="F297" i="23"/>
  <c r="Y296" i="23"/>
  <c r="S296" i="23"/>
  <c r="F296" i="23"/>
  <c r="Y295" i="23"/>
  <c r="S295" i="23"/>
  <c r="F295" i="23"/>
  <c r="Y294" i="23"/>
  <c r="S294" i="23"/>
  <c r="F294" i="23"/>
  <c r="Y293" i="23"/>
  <c r="S293" i="23"/>
  <c r="F293" i="23"/>
  <c r="Y292" i="23"/>
  <c r="S292" i="23"/>
  <c r="F292" i="23"/>
  <c r="Y291" i="23"/>
  <c r="S291" i="23"/>
  <c r="F291" i="23"/>
  <c r="Y290" i="23"/>
  <c r="S290" i="23"/>
  <c r="F290" i="23"/>
  <c r="Y289" i="23"/>
  <c r="S289" i="23"/>
  <c r="F289" i="23"/>
  <c r="Y288" i="23"/>
  <c r="S288" i="23"/>
  <c r="F288" i="23"/>
  <c r="Y287" i="23"/>
  <c r="S287" i="23"/>
  <c r="F287" i="23"/>
  <c r="Y286" i="23"/>
  <c r="S286" i="23"/>
  <c r="F286" i="23"/>
  <c r="Y285" i="23"/>
  <c r="S285" i="23"/>
  <c r="F285" i="23"/>
  <c r="Y284" i="23"/>
  <c r="S284" i="23"/>
  <c r="F284" i="23"/>
  <c r="Y283" i="23"/>
  <c r="S283" i="23"/>
  <c r="F283" i="23"/>
  <c r="Y282" i="23"/>
  <c r="S282" i="23"/>
  <c r="F282" i="23"/>
  <c r="Y281" i="23"/>
  <c r="S281" i="23"/>
  <c r="F281" i="23"/>
  <c r="Y280" i="23"/>
  <c r="S280" i="23"/>
  <c r="F280" i="23"/>
  <c r="Y279" i="23"/>
  <c r="S279" i="23"/>
  <c r="F279" i="23"/>
  <c r="Y278" i="23"/>
  <c r="S278" i="23"/>
  <c r="F278" i="23"/>
  <c r="Y277" i="23"/>
  <c r="S277" i="23"/>
  <c r="F277" i="23"/>
  <c r="Y276" i="23"/>
  <c r="S276" i="23"/>
  <c r="F276" i="23"/>
  <c r="Y275" i="23"/>
  <c r="S275" i="23"/>
  <c r="F275" i="23"/>
  <c r="Y274" i="23"/>
  <c r="S274" i="23"/>
  <c r="F274" i="23"/>
  <c r="Y273" i="23"/>
  <c r="S273" i="23"/>
  <c r="F273" i="23"/>
  <c r="Y272" i="23"/>
  <c r="S272" i="23"/>
  <c r="F272" i="23"/>
  <c r="Y271" i="23"/>
  <c r="S271" i="23"/>
  <c r="F271" i="23"/>
  <c r="Y270" i="23"/>
  <c r="S270" i="23"/>
  <c r="F270" i="23"/>
  <c r="Y269" i="23"/>
  <c r="S269" i="23"/>
  <c r="F269" i="23"/>
  <c r="Y268" i="23"/>
  <c r="S268" i="23"/>
  <c r="F268" i="23"/>
  <c r="Y267" i="23"/>
  <c r="S267" i="23"/>
  <c r="F267" i="23"/>
  <c r="Y266" i="23"/>
  <c r="S266" i="23"/>
  <c r="F266" i="23"/>
  <c r="Y265" i="23"/>
  <c r="S265" i="23"/>
  <c r="F265" i="23"/>
  <c r="Y264" i="23"/>
  <c r="S264" i="23"/>
  <c r="F264" i="23"/>
  <c r="Y263" i="23"/>
  <c r="S263" i="23"/>
  <c r="F263" i="23"/>
  <c r="Y262" i="23"/>
  <c r="S262" i="23"/>
  <c r="F262" i="23"/>
  <c r="Y261" i="23"/>
  <c r="S261" i="23"/>
  <c r="F261" i="23"/>
  <c r="Y260" i="23"/>
  <c r="S260" i="23"/>
  <c r="F260" i="23"/>
  <c r="Y259" i="23"/>
  <c r="S259" i="23"/>
  <c r="F259" i="23"/>
  <c r="Y258" i="23"/>
  <c r="S258" i="23"/>
  <c r="F258" i="23"/>
  <c r="Y257" i="23"/>
  <c r="S257" i="23"/>
  <c r="F257" i="23"/>
  <c r="Y256" i="23"/>
  <c r="S256" i="23"/>
  <c r="F256" i="23"/>
  <c r="Y255" i="23"/>
  <c r="S255" i="23"/>
  <c r="F255" i="23"/>
  <c r="Y254" i="23"/>
  <c r="S254" i="23"/>
  <c r="F254" i="23"/>
  <c r="Y253" i="23"/>
  <c r="S253" i="23"/>
  <c r="F253" i="23"/>
  <c r="Y252" i="23"/>
  <c r="S252" i="23"/>
  <c r="F252" i="23"/>
  <c r="Y251" i="23"/>
  <c r="S251" i="23"/>
  <c r="F251" i="23"/>
  <c r="Y250" i="23"/>
  <c r="S250" i="23"/>
  <c r="F250" i="23"/>
  <c r="Y249" i="23"/>
  <c r="S249" i="23"/>
  <c r="F249" i="23"/>
  <c r="Y248" i="23"/>
  <c r="S248" i="23"/>
  <c r="F248" i="23"/>
  <c r="Y247" i="23"/>
  <c r="S247" i="23"/>
  <c r="F247" i="23"/>
  <c r="Y246" i="23"/>
  <c r="S246" i="23"/>
  <c r="F246" i="23"/>
  <c r="Y245" i="23"/>
  <c r="F245" i="23"/>
  <c r="Y244" i="23"/>
  <c r="F244" i="23"/>
  <c r="Y243" i="23"/>
  <c r="F243" i="23"/>
  <c r="Y242" i="23"/>
  <c r="F242" i="23"/>
  <c r="Y241" i="23"/>
  <c r="F241" i="23"/>
  <c r="Y240" i="23"/>
  <c r="F240" i="23"/>
  <c r="Y239" i="23"/>
  <c r="F239" i="23"/>
  <c r="Y238" i="23"/>
  <c r="F238" i="23"/>
  <c r="Y237" i="23"/>
  <c r="F237" i="23"/>
  <c r="Y236" i="23"/>
  <c r="F236" i="23"/>
  <c r="Y235" i="23"/>
  <c r="F235" i="23"/>
  <c r="Y234" i="23"/>
  <c r="F234" i="23"/>
  <c r="Y233" i="23"/>
  <c r="F233" i="23"/>
  <c r="Y232" i="23"/>
  <c r="F232" i="23"/>
  <c r="Y231" i="23"/>
  <c r="F231" i="23"/>
  <c r="Y230" i="23"/>
  <c r="F230" i="23"/>
  <c r="Y229" i="23"/>
  <c r="F229" i="23"/>
  <c r="Y228" i="23"/>
  <c r="F228" i="23"/>
  <c r="Y227" i="23"/>
  <c r="F227" i="23"/>
  <c r="Y226" i="23"/>
  <c r="F226" i="23"/>
  <c r="Y225" i="23"/>
  <c r="F225" i="23"/>
  <c r="Y224" i="23"/>
  <c r="F224" i="23"/>
  <c r="Y223" i="23"/>
  <c r="F223" i="23"/>
  <c r="Y222" i="23"/>
  <c r="F222" i="23"/>
  <c r="Y221" i="23"/>
  <c r="F221" i="23"/>
  <c r="Y220" i="23"/>
  <c r="F220" i="23"/>
  <c r="Y219" i="23"/>
  <c r="F219" i="23"/>
  <c r="Y218" i="23"/>
  <c r="F218" i="23"/>
  <c r="Y217" i="23"/>
  <c r="F217" i="23"/>
  <c r="Y216" i="23"/>
  <c r="F216" i="23"/>
  <c r="Y215" i="23"/>
  <c r="F215" i="23"/>
  <c r="Y214" i="23"/>
  <c r="F214" i="23"/>
  <c r="Y213" i="23"/>
  <c r="F213" i="23"/>
  <c r="Y212" i="23"/>
  <c r="F212" i="23"/>
  <c r="Y211" i="23"/>
  <c r="F211" i="23"/>
  <c r="Y210" i="23"/>
  <c r="F210" i="23"/>
  <c r="Y209" i="23"/>
  <c r="F209" i="23"/>
  <c r="Y208" i="23"/>
  <c r="F208" i="23"/>
  <c r="Y207" i="23"/>
  <c r="F207" i="23"/>
  <c r="Y206" i="23"/>
  <c r="F206" i="23"/>
  <c r="Y205" i="23"/>
  <c r="F205" i="23"/>
  <c r="Y204" i="23"/>
  <c r="F204" i="23"/>
  <c r="Y203" i="23"/>
  <c r="F203" i="23"/>
  <c r="D203" i="23"/>
  <c r="Y202" i="23"/>
  <c r="L202" i="23"/>
  <c r="F202" i="23"/>
  <c r="D202" i="23"/>
  <c r="Y201" i="23"/>
  <c r="L201" i="23"/>
  <c r="F201" i="23"/>
  <c r="D201" i="23"/>
  <c r="Y200" i="23"/>
  <c r="L200" i="23"/>
  <c r="F200" i="23"/>
  <c r="Y199" i="23"/>
  <c r="L199" i="23"/>
  <c r="F199" i="23"/>
  <c r="D199" i="23"/>
  <c r="Y198" i="23"/>
  <c r="L198" i="23"/>
  <c r="F198" i="23"/>
  <c r="D198" i="23"/>
  <c r="Y197" i="23"/>
  <c r="L197" i="23"/>
  <c r="F197" i="23"/>
  <c r="D197" i="23"/>
  <c r="Y196" i="23"/>
  <c r="L196" i="23"/>
  <c r="F196" i="23"/>
  <c r="D196" i="23"/>
  <c r="Y195" i="23"/>
  <c r="L195" i="23"/>
  <c r="F195" i="23"/>
  <c r="D195" i="23"/>
  <c r="Y194" i="23"/>
  <c r="L194" i="23"/>
  <c r="F194" i="23"/>
  <c r="D194" i="23"/>
  <c r="Y193" i="23"/>
  <c r="L193" i="23"/>
  <c r="F193" i="23"/>
  <c r="D193" i="23"/>
  <c r="Y192" i="23"/>
  <c r="L192" i="23"/>
  <c r="F192" i="23"/>
  <c r="D192" i="23"/>
  <c r="Y191" i="23"/>
  <c r="L191" i="23"/>
  <c r="F191" i="23"/>
  <c r="D191" i="23"/>
  <c r="Y190" i="23"/>
  <c r="L190" i="23"/>
  <c r="F190" i="23"/>
  <c r="D190" i="23"/>
  <c r="Y189" i="23"/>
  <c r="L189" i="23"/>
  <c r="F189" i="23"/>
  <c r="D189" i="23"/>
  <c r="Y188" i="23"/>
  <c r="L188" i="23"/>
  <c r="F188" i="23"/>
  <c r="D188" i="23"/>
  <c r="Y187" i="23"/>
  <c r="L187" i="23"/>
  <c r="F187" i="23"/>
  <c r="D187" i="23"/>
  <c r="Y186" i="23"/>
  <c r="L186" i="23"/>
  <c r="F186" i="23"/>
  <c r="D186" i="23"/>
  <c r="Y185" i="23"/>
  <c r="L185" i="23"/>
  <c r="F185" i="23"/>
  <c r="D185" i="23"/>
  <c r="Y184" i="23"/>
  <c r="L184" i="23"/>
  <c r="F184" i="23"/>
  <c r="D184" i="23"/>
  <c r="Y183" i="23"/>
  <c r="L183" i="23"/>
  <c r="F183" i="23"/>
  <c r="D183" i="23"/>
  <c r="Y182" i="23"/>
  <c r="L182" i="23"/>
  <c r="F182" i="23"/>
  <c r="D182" i="23"/>
  <c r="Y181" i="23"/>
  <c r="L181" i="23"/>
  <c r="F181" i="23"/>
  <c r="D181" i="23"/>
  <c r="Y180" i="23"/>
  <c r="L180" i="23"/>
  <c r="F180" i="23"/>
  <c r="D180" i="23"/>
  <c r="Y179" i="23"/>
  <c r="L179" i="23"/>
  <c r="F179" i="23"/>
  <c r="D179" i="23"/>
  <c r="Y178" i="23"/>
  <c r="L178" i="23"/>
  <c r="F178" i="23"/>
  <c r="D178" i="23"/>
  <c r="Y177" i="23"/>
  <c r="L177" i="23"/>
  <c r="F177" i="23"/>
  <c r="D177" i="23"/>
  <c r="Y176" i="23"/>
  <c r="L176" i="23"/>
  <c r="F176" i="23"/>
  <c r="D176" i="23"/>
  <c r="Y175" i="23"/>
  <c r="L175" i="23"/>
  <c r="F175" i="23"/>
  <c r="D175" i="23"/>
  <c r="Y174" i="23"/>
  <c r="L174" i="23"/>
  <c r="F174" i="23"/>
  <c r="Y173" i="23"/>
  <c r="L173" i="23"/>
  <c r="F173" i="23"/>
  <c r="D173" i="23"/>
  <c r="Y172" i="23"/>
  <c r="L172" i="23"/>
  <c r="F172" i="23"/>
  <c r="D172" i="23"/>
  <c r="Y171" i="23"/>
  <c r="L171" i="23"/>
  <c r="F171" i="23"/>
  <c r="D171" i="23"/>
  <c r="Y170" i="23"/>
  <c r="Q170" i="23"/>
  <c r="L170" i="23"/>
  <c r="F170" i="23"/>
  <c r="D170" i="23"/>
  <c r="Y169" i="23"/>
  <c r="Q169" i="23"/>
  <c r="L169" i="23"/>
  <c r="J169" i="23"/>
  <c r="F169" i="23"/>
  <c r="D169" i="23"/>
  <c r="Y168" i="23"/>
  <c r="Q168" i="23"/>
  <c r="L168" i="23"/>
  <c r="F168" i="23"/>
  <c r="D168" i="23"/>
  <c r="Y167" i="23"/>
  <c r="Q167" i="23"/>
  <c r="L167" i="23"/>
  <c r="J167" i="23"/>
  <c r="F167" i="23"/>
  <c r="D167" i="23"/>
  <c r="Y166" i="23"/>
  <c r="Q166" i="23"/>
  <c r="L166" i="23"/>
  <c r="F166" i="23"/>
  <c r="D166" i="23"/>
  <c r="Y165" i="23"/>
  <c r="Q165" i="23"/>
  <c r="L165" i="23"/>
  <c r="F165" i="23"/>
  <c r="D165" i="23"/>
  <c r="Y164" i="23"/>
  <c r="Q164" i="23"/>
  <c r="L164" i="23"/>
  <c r="F164" i="23"/>
  <c r="D164" i="23"/>
  <c r="Y163" i="23"/>
  <c r="Q163" i="23"/>
  <c r="L163" i="23"/>
  <c r="J163" i="23"/>
  <c r="F163" i="23"/>
  <c r="D163" i="23"/>
  <c r="Y162" i="23"/>
  <c r="Q162" i="23"/>
  <c r="L162" i="23"/>
  <c r="F162" i="23"/>
  <c r="D162" i="23"/>
  <c r="Y161" i="23"/>
  <c r="Q161" i="23"/>
  <c r="L161" i="23"/>
  <c r="F161" i="23"/>
  <c r="Y160" i="23"/>
  <c r="Q160" i="23"/>
  <c r="L160" i="23"/>
  <c r="F160" i="23"/>
  <c r="Y159" i="23"/>
  <c r="Q159" i="23"/>
  <c r="L159" i="23"/>
  <c r="J159" i="23"/>
  <c r="F159" i="23"/>
  <c r="Y158" i="23"/>
  <c r="Q158" i="23"/>
  <c r="L158" i="23"/>
  <c r="F158" i="23"/>
  <c r="Y157" i="23"/>
  <c r="Q157" i="23"/>
  <c r="L157" i="23"/>
  <c r="F157" i="23"/>
  <c r="D157" i="23"/>
  <c r="Y156" i="23"/>
  <c r="Q156" i="23"/>
  <c r="L156" i="23"/>
  <c r="J156" i="23"/>
  <c r="J157" i="23" s="1"/>
  <c r="F156" i="23"/>
  <c r="D156" i="23"/>
  <c r="Y155" i="23"/>
  <c r="Q155" i="23"/>
  <c r="L155" i="23"/>
  <c r="F155" i="23"/>
  <c r="Y154" i="23"/>
  <c r="Q154" i="23"/>
  <c r="L154" i="23"/>
  <c r="F154" i="23"/>
  <c r="D154" i="23"/>
  <c r="Y153" i="23"/>
  <c r="Q153" i="23"/>
  <c r="L153" i="23"/>
  <c r="F153" i="23"/>
  <c r="D153" i="23"/>
  <c r="Y152" i="23"/>
  <c r="Q152" i="23"/>
  <c r="L152" i="23"/>
  <c r="J152" i="23"/>
  <c r="F152" i="23"/>
  <c r="D152" i="23"/>
  <c r="Y151" i="23"/>
  <c r="Q151" i="23"/>
  <c r="L151" i="23"/>
  <c r="F151" i="23"/>
  <c r="D151" i="23"/>
  <c r="Y150" i="23"/>
  <c r="Q150" i="23"/>
  <c r="L150" i="23"/>
  <c r="F150" i="23"/>
  <c r="E150" i="23"/>
  <c r="Y149" i="23"/>
  <c r="Q149" i="23"/>
  <c r="L149" i="23"/>
  <c r="F149" i="23"/>
  <c r="D149" i="23"/>
  <c r="Y148" i="23"/>
  <c r="Q148" i="23"/>
  <c r="J148" i="23"/>
  <c r="F148" i="23"/>
  <c r="D148" i="23"/>
  <c r="Y147" i="23"/>
  <c r="Q147" i="23"/>
  <c r="L147" i="23"/>
  <c r="F147" i="23"/>
  <c r="Y146" i="23"/>
  <c r="Q146" i="23"/>
  <c r="L146" i="23"/>
  <c r="F146" i="23"/>
  <c r="Q145" i="23"/>
  <c r="J145" i="23"/>
  <c r="F145" i="23"/>
  <c r="D145" i="23"/>
  <c r="Q144" i="23"/>
  <c r="F144" i="23"/>
  <c r="D144" i="23"/>
  <c r="Q143" i="23"/>
  <c r="J143" i="23"/>
  <c r="F143" i="23"/>
  <c r="F142" i="23"/>
  <c r="C142" i="23"/>
  <c r="C143" i="23" s="1"/>
  <c r="Q141" i="23"/>
  <c r="F141" i="23"/>
  <c r="E141" i="23"/>
  <c r="K141" i="23" s="1"/>
  <c r="Q140" i="23"/>
  <c r="F140" i="23"/>
  <c r="F139" i="23"/>
  <c r="B139" i="23"/>
  <c r="Y138" i="23"/>
  <c r="Q138" i="23"/>
  <c r="F138" i="23"/>
  <c r="C138" i="23"/>
  <c r="K138" i="23" s="1"/>
  <c r="AB152" i="23" s="1"/>
  <c r="Y137" i="23"/>
  <c r="T137" i="23"/>
  <c r="S137" i="23"/>
  <c r="Q137" i="23"/>
  <c r="L137" i="23"/>
  <c r="F137" i="23"/>
  <c r="Y136" i="23"/>
  <c r="F136" i="23"/>
  <c r="C136" i="23"/>
  <c r="Y135" i="23"/>
  <c r="T135" i="23"/>
  <c r="S135" i="23"/>
  <c r="Q135" i="23"/>
  <c r="L135" i="23"/>
  <c r="F135" i="23"/>
  <c r="Y134" i="23"/>
  <c r="T134" i="23"/>
  <c r="S134" i="23"/>
  <c r="Q134" i="23"/>
  <c r="L134" i="23"/>
  <c r="F134" i="23"/>
  <c r="Y133" i="23"/>
  <c r="T133" i="23"/>
  <c r="S133" i="23"/>
  <c r="Q133" i="23"/>
  <c r="M133" i="23"/>
  <c r="F133" i="23"/>
  <c r="Y132" i="23"/>
  <c r="T132" i="23"/>
  <c r="S132" i="23"/>
  <c r="M132" i="23"/>
  <c r="F132" i="23"/>
  <c r="Y131" i="23"/>
  <c r="T131" i="23"/>
  <c r="S131" i="23"/>
  <c r="M131" i="23"/>
  <c r="F131" i="23"/>
  <c r="Y130" i="23"/>
  <c r="T130" i="23"/>
  <c r="S130" i="23"/>
  <c r="Q130" i="23"/>
  <c r="F130" i="23"/>
  <c r="Y129" i="23"/>
  <c r="T129" i="23"/>
  <c r="S129" i="23"/>
  <c r="Q129" i="23"/>
  <c r="F129" i="23"/>
  <c r="Y128" i="23"/>
  <c r="T128" i="23"/>
  <c r="S128" i="23"/>
  <c r="Q128" i="23"/>
  <c r="F128" i="23"/>
  <c r="Y127" i="23"/>
  <c r="T127" i="23"/>
  <c r="S127" i="23"/>
  <c r="Q127" i="23"/>
  <c r="L127" i="23"/>
  <c r="F127" i="23"/>
  <c r="Y126" i="23"/>
  <c r="Q126" i="23"/>
  <c r="F126" i="23"/>
  <c r="Y125" i="23"/>
  <c r="F125" i="23"/>
  <c r="Y124" i="23"/>
  <c r="F124" i="23"/>
  <c r="Y123" i="23"/>
  <c r="L123" i="23"/>
  <c r="F123" i="23"/>
  <c r="Y122" i="23"/>
  <c r="F122" i="23"/>
  <c r="E122" i="23"/>
  <c r="C122" i="23"/>
  <c r="C123" i="23" s="1"/>
  <c r="Y121" i="23"/>
  <c r="T121" i="23"/>
  <c r="S121" i="23"/>
  <c r="Q121" i="23"/>
  <c r="L121" i="23"/>
  <c r="F121" i="23"/>
  <c r="Y120" i="23"/>
  <c r="F120" i="23"/>
  <c r="Y119" i="23"/>
  <c r="F119" i="23"/>
  <c r="E119" i="23"/>
  <c r="C119" i="23"/>
  <c r="Y118" i="23"/>
  <c r="T118" i="23"/>
  <c r="S118" i="23"/>
  <c r="Q118" i="23"/>
  <c r="F118" i="23"/>
  <c r="Y117" i="23"/>
  <c r="T117" i="23"/>
  <c r="S117" i="23"/>
  <c r="Q117" i="23"/>
  <c r="F117" i="23"/>
  <c r="Y116" i="23"/>
  <c r="X116" i="23"/>
  <c r="T116" i="23"/>
  <c r="S116" i="23"/>
  <c r="Q116" i="23"/>
  <c r="F116" i="23"/>
  <c r="Y115" i="23"/>
  <c r="T115" i="23"/>
  <c r="S115" i="23"/>
  <c r="Q115" i="23"/>
  <c r="F115" i="23"/>
  <c r="Y114" i="23"/>
  <c r="F114" i="23"/>
  <c r="C114" i="23"/>
  <c r="Y113" i="23"/>
  <c r="Q113" i="23"/>
  <c r="F113" i="23"/>
  <c r="E113" i="23"/>
  <c r="Y112" i="23"/>
  <c r="T112" i="23"/>
  <c r="S112" i="23"/>
  <c r="Q112" i="23"/>
  <c r="F112" i="23"/>
  <c r="Y111" i="23"/>
  <c r="T111" i="23"/>
  <c r="S111" i="23"/>
  <c r="Q111" i="23"/>
  <c r="F111" i="23"/>
  <c r="Y110" i="23"/>
  <c r="T110" i="23"/>
  <c r="S110" i="23"/>
  <c r="Q110" i="23"/>
  <c r="F110" i="23"/>
  <c r="Y109" i="23"/>
  <c r="T109" i="23"/>
  <c r="S109" i="23"/>
  <c r="Q109" i="23"/>
  <c r="F109" i="23"/>
  <c r="Y108" i="23"/>
  <c r="T108" i="23"/>
  <c r="S108" i="23"/>
  <c r="Q108" i="23"/>
  <c r="F108" i="23"/>
  <c r="Y107" i="23"/>
  <c r="T107" i="23"/>
  <c r="S107" i="23"/>
  <c r="Q107" i="23"/>
  <c r="F107" i="23"/>
  <c r="Y106" i="23"/>
  <c r="T106" i="23"/>
  <c r="S106" i="23"/>
  <c r="Q106" i="23"/>
  <c r="F106" i="23"/>
  <c r="Y105" i="23"/>
  <c r="T105" i="23"/>
  <c r="S105" i="23"/>
  <c r="Q105" i="23"/>
  <c r="F105" i="23"/>
  <c r="Y104" i="23"/>
  <c r="T104" i="23"/>
  <c r="S104" i="23"/>
  <c r="Q104" i="23"/>
  <c r="F104" i="23"/>
  <c r="Y103" i="23"/>
  <c r="T103" i="23"/>
  <c r="S103" i="23"/>
  <c r="Q103" i="23"/>
  <c r="F103" i="23"/>
  <c r="Y102" i="23"/>
  <c r="T102" i="23"/>
  <c r="S102" i="23"/>
  <c r="Q102" i="23"/>
  <c r="F102" i="23"/>
  <c r="Y101" i="23"/>
  <c r="T101" i="23"/>
  <c r="S101" i="23"/>
  <c r="Q101" i="23"/>
  <c r="F101" i="23"/>
  <c r="Y100" i="23"/>
  <c r="T100" i="23"/>
  <c r="S100" i="23"/>
  <c r="Q100" i="23"/>
  <c r="F100" i="23"/>
  <c r="Y99" i="23"/>
  <c r="T99" i="23"/>
  <c r="S99" i="23"/>
  <c r="Q99" i="23"/>
  <c r="F99" i="23"/>
  <c r="Y98" i="23"/>
  <c r="T98" i="23"/>
  <c r="S98" i="23"/>
  <c r="Q98" i="23"/>
  <c r="F98" i="23"/>
  <c r="Y97" i="23"/>
  <c r="T97" i="23"/>
  <c r="S97" i="23"/>
  <c r="Q97" i="23"/>
  <c r="F97" i="23"/>
  <c r="Y96" i="23"/>
  <c r="T96" i="23"/>
  <c r="S96" i="23"/>
  <c r="Q96" i="23"/>
  <c r="F96" i="23"/>
  <c r="Y95" i="23"/>
  <c r="T95" i="23"/>
  <c r="S95" i="23"/>
  <c r="Q95" i="23"/>
  <c r="F95" i="23"/>
  <c r="Y94" i="23"/>
  <c r="T94" i="23"/>
  <c r="S94" i="23"/>
  <c r="Q94" i="23"/>
  <c r="F94" i="23"/>
  <c r="Y93" i="23"/>
  <c r="T93" i="23"/>
  <c r="S93" i="23"/>
  <c r="Q93" i="23"/>
  <c r="F93" i="23"/>
  <c r="Y92" i="23"/>
  <c r="T92" i="23"/>
  <c r="S92" i="23"/>
  <c r="Q92" i="23"/>
  <c r="F92" i="23"/>
  <c r="Y91" i="23"/>
  <c r="T91" i="23"/>
  <c r="S91" i="23"/>
  <c r="Q91" i="23"/>
  <c r="F91" i="23"/>
  <c r="Y90" i="23"/>
  <c r="T90" i="23"/>
  <c r="S90" i="23"/>
  <c r="Q90" i="23"/>
  <c r="F90" i="23"/>
  <c r="Y89" i="23"/>
  <c r="T89" i="23"/>
  <c r="S89" i="23"/>
  <c r="Q89" i="23"/>
  <c r="F89" i="23"/>
  <c r="Y88" i="23"/>
  <c r="T88" i="23"/>
  <c r="S88" i="23"/>
  <c r="Q88" i="23"/>
  <c r="F88" i="23"/>
  <c r="Y87" i="23"/>
  <c r="T87" i="23"/>
  <c r="S87" i="23"/>
  <c r="Q87" i="23"/>
  <c r="F87" i="23"/>
  <c r="Y86" i="23"/>
  <c r="T86" i="23"/>
  <c r="S86" i="23"/>
  <c r="Q86" i="23"/>
  <c r="F86" i="23"/>
  <c r="Y85" i="23"/>
  <c r="T85" i="23"/>
  <c r="S85" i="23"/>
  <c r="Q85" i="23"/>
  <c r="F85" i="23"/>
  <c r="Y84" i="23"/>
  <c r="T84" i="23"/>
  <c r="S84" i="23"/>
  <c r="Q84" i="23"/>
  <c r="F84" i="23"/>
  <c r="Y83" i="23"/>
  <c r="T83" i="23"/>
  <c r="S83" i="23"/>
  <c r="Q83" i="23"/>
  <c r="F83" i="23"/>
  <c r="Y82" i="23"/>
  <c r="T82" i="23"/>
  <c r="S82" i="23"/>
  <c r="Q82" i="23"/>
  <c r="F82" i="23"/>
  <c r="Y81" i="23"/>
  <c r="T81" i="23"/>
  <c r="S81" i="23"/>
  <c r="Q81" i="23"/>
  <c r="F81" i="23"/>
  <c r="Y80" i="23"/>
  <c r="T80" i="23"/>
  <c r="S80" i="23"/>
  <c r="Q80" i="23"/>
  <c r="F80" i="23"/>
  <c r="Y79" i="23"/>
  <c r="T79" i="23"/>
  <c r="S79" i="23"/>
  <c r="Q79" i="23"/>
  <c r="F79" i="23"/>
  <c r="Y78" i="23"/>
  <c r="T78" i="23"/>
  <c r="S78" i="23"/>
  <c r="Q78" i="23"/>
  <c r="F78" i="23"/>
  <c r="Y77" i="23"/>
  <c r="T77" i="23"/>
  <c r="S77" i="23"/>
  <c r="Q77" i="23"/>
  <c r="F77" i="23"/>
  <c r="Y76" i="23"/>
  <c r="T76" i="23"/>
  <c r="S76" i="23"/>
  <c r="Q76" i="23"/>
  <c r="F76" i="23"/>
  <c r="Y75" i="23"/>
  <c r="T75" i="23"/>
  <c r="S75" i="23"/>
  <c r="Q75" i="23"/>
  <c r="F75" i="23"/>
  <c r="Y74" i="23"/>
  <c r="T74" i="23"/>
  <c r="S74" i="23"/>
  <c r="Q74" i="23"/>
  <c r="F74" i="23"/>
  <c r="Y73" i="23"/>
  <c r="T73" i="23"/>
  <c r="S73" i="23"/>
  <c r="Q73" i="23"/>
  <c r="F73" i="23"/>
  <c r="Y72" i="23"/>
  <c r="T72" i="23"/>
  <c r="S72" i="23"/>
  <c r="Q72" i="23"/>
  <c r="F72" i="23"/>
  <c r="Y71" i="23"/>
  <c r="T71" i="23"/>
  <c r="S71" i="23"/>
  <c r="Q71" i="23"/>
  <c r="F71" i="23"/>
  <c r="Y70" i="23"/>
  <c r="T70" i="23"/>
  <c r="S70" i="23"/>
  <c r="Q70" i="23"/>
  <c r="F70" i="23"/>
  <c r="Y69" i="23"/>
  <c r="T69" i="23"/>
  <c r="S69" i="23"/>
  <c r="Q69" i="23"/>
  <c r="F69" i="23"/>
  <c r="Y68" i="23"/>
  <c r="T68" i="23"/>
  <c r="S68" i="23"/>
  <c r="Q68" i="23"/>
  <c r="F68" i="23"/>
  <c r="Y67" i="23"/>
  <c r="T67" i="23"/>
  <c r="S67" i="23"/>
  <c r="Q67" i="23"/>
  <c r="F67" i="23"/>
  <c r="Y66" i="23"/>
  <c r="T66" i="23"/>
  <c r="S66" i="23"/>
  <c r="Q66" i="23"/>
  <c r="F66" i="23"/>
  <c r="Y65" i="23"/>
  <c r="T65" i="23"/>
  <c r="S65" i="23"/>
  <c r="Q65" i="23"/>
  <c r="F65" i="23"/>
  <c r="Y64" i="23"/>
  <c r="T64" i="23"/>
  <c r="S64" i="23"/>
  <c r="Q64" i="23"/>
  <c r="F64" i="23"/>
  <c r="Y63" i="23"/>
  <c r="T63" i="23"/>
  <c r="S63" i="23"/>
  <c r="Q63" i="23"/>
  <c r="F63" i="23"/>
  <c r="Y62" i="23"/>
  <c r="T62" i="23"/>
  <c r="S62" i="23"/>
  <c r="Q62" i="23"/>
  <c r="F62" i="23"/>
  <c r="Y61" i="23"/>
  <c r="T61" i="23"/>
  <c r="S61" i="23"/>
  <c r="Q61" i="23"/>
  <c r="F61" i="23"/>
  <c r="Y60" i="23"/>
  <c r="T60" i="23"/>
  <c r="S60" i="23"/>
  <c r="Q60" i="23"/>
  <c r="F60" i="23"/>
  <c r="Y59" i="23"/>
  <c r="T59" i="23"/>
  <c r="S59" i="23"/>
  <c r="Q59" i="23"/>
  <c r="F59" i="23"/>
  <c r="Y58" i="23"/>
  <c r="T58" i="23"/>
  <c r="S58" i="23"/>
  <c r="Q58" i="23"/>
  <c r="F58" i="23"/>
  <c r="T57" i="23"/>
  <c r="S57" i="23"/>
  <c r="Q57" i="23"/>
  <c r="F57" i="23"/>
  <c r="T56" i="23"/>
  <c r="S56" i="23"/>
  <c r="Q56" i="23"/>
  <c r="F56" i="23"/>
  <c r="T55" i="23"/>
  <c r="S55" i="23"/>
  <c r="Q55" i="23"/>
  <c r="F55" i="23"/>
  <c r="T54" i="23"/>
  <c r="S54" i="23"/>
  <c r="Q54" i="23"/>
  <c r="F54" i="23"/>
  <c r="T53" i="23"/>
  <c r="S53" i="23"/>
  <c r="Q53" i="23"/>
  <c r="F53" i="23"/>
  <c r="T52" i="23"/>
  <c r="S52" i="23"/>
  <c r="Q52" i="23"/>
  <c r="F52" i="23"/>
  <c r="T51" i="23"/>
  <c r="S51" i="23"/>
  <c r="Q51" i="23"/>
  <c r="F51" i="23"/>
  <c r="T50" i="23"/>
  <c r="S50" i="23"/>
  <c r="Q50" i="23"/>
  <c r="F50" i="23"/>
  <c r="T49" i="23"/>
  <c r="S49" i="23"/>
  <c r="Q49" i="23"/>
  <c r="F49" i="23"/>
  <c r="T48" i="23"/>
  <c r="S48" i="23"/>
  <c r="Q48" i="23"/>
  <c r="F48" i="23"/>
  <c r="T47" i="23"/>
  <c r="S47" i="23"/>
  <c r="Q47" i="23"/>
  <c r="F47" i="23"/>
  <c r="T46" i="23"/>
  <c r="S46" i="23"/>
  <c r="Q46" i="23"/>
  <c r="F46" i="23"/>
  <c r="T45" i="23"/>
  <c r="S45" i="23"/>
  <c r="Q45" i="23"/>
  <c r="F45" i="23"/>
  <c r="T44" i="23"/>
  <c r="S44" i="23"/>
  <c r="Q44" i="23"/>
  <c r="F44" i="23"/>
  <c r="T43" i="23"/>
  <c r="S43" i="23"/>
  <c r="Q43" i="23"/>
  <c r="F43" i="23"/>
  <c r="T42" i="23"/>
  <c r="S42" i="23"/>
  <c r="Q42" i="23"/>
  <c r="F42" i="23"/>
  <c r="T41" i="23"/>
  <c r="S41" i="23"/>
  <c r="Q41" i="23"/>
  <c r="F41" i="23"/>
  <c r="T40" i="23"/>
  <c r="S40" i="23"/>
  <c r="Q40" i="23"/>
  <c r="F40" i="23"/>
  <c r="T39" i="23"/>
  <c r="S39" i="23"/>
  <c r="Q39" i="23"/>
  <c r="F39" i="23"/>
  <c r="T38" i="23"/>
  <c r="S38" i="23"/>
  <c r="Q38" i="23"/>
  <c r="F38" i="23"/>
  <c r="T37" i="23"/>
  <c r="S37" i="23"/>
  <c r="Q37" i="23"/>
  <c r="F37" i="23"/>
  <c r="T36" i="23"/>
  <c r="S36" i="23"/>
  <c r="Q36" i="23"/>
  <c r="F36" i="23"/>
  <c r="T35" i="23"/>
  <c r="S35" i="23"/>
  <c r="Q35" i="23"/>
  <c r="F35" i="23"/>
  <c r="T34" i="23"/>
  <c r="S34" i="23"/>
  <c r="Q34" i="23"/>
  <c r="F34" i="23"/>
  <c r="T33" i="23"/>
  <c r="S33" i="23"/>
  <c r="Q33" i="23"/>
  <c r="F33" i="23"/>
  <c r="T32" i="23"/>
  <c r="S32" i="23"/>
  <c r="Q32" i="23"/>
  <c r="F32" i="23"/>
  <c r="T31" i="23"/>
  <c r="S31" i="23"/>
  <c r="Q31" i="23"/>
  <c r="F31" i="23"/>
  <c r="T30" i="23"/>
  <c r="S30" i="23"/>
  <c r="Q30" i="23"/>
  <c r="F30" i="23"/>
  <c r="T29" i="23"/>
  <c r="S29" i="23"/>
  <c r="Q29" i="23"/>
  <c r="F29" i="23"/>
  <c r="T28" i="23"/>
  <c r="S28" i="23"/>
  <c r="Q28" i="23"/>
  <c r="F28" i="23"/>
  <c r="T27" i="23"/>
  <c r="S27" i="23"/>
  <c r="Q27" i="23"/>
  <c r="F27" i="23"/>
  <c r="T26" i="23"/>
  <c r="S26" i="23"/>
  <c r="Q26" i="23"/>
  <c r="F26" i="23"/>
  <c r="T25" i="23"/>
  <c r="S25" i="23"/>
  <c r="Q25" i="23"/>
  <c r="F25" i="23"/>
  <c r="T24" i="23"/>
  <c r="S24" i="23"/>
  <c r="Q24" i="23"/>
  <c r="F24" i="23"/>
  <c r="T23" i="23"/>
  <c r="S23" i="23"/>
  <c r="Q23" i="23"/>
  <c r="F23" i="23"/>
  <c r="T22" i="23"/>
  <c r="S22" i="23"/>
  <c r="Q22" i="23"/>
  <c r="F22" i="23"/>
  <c r="T21" i="23"/>
  <c r="S21" i="23"/>
  <c r="Q21" i="23"/>
  <c r="F21" i="23"/>
  <c r="T20" i="23"/>
  <c r="S20" i="23"/>
  <c r="Q20" i="23"/>
  <c r="F20" i="23"/>
  <c r="T19" i="23"/>
  <c r="S19" i="23"/>
  <c r="Q19" i="23"/>
  <c r="F19" i="23"/>
  <c r="T18" i="23"/>
  <c r="S18" i="23"/>
  <c r="Q18" i="23"/>
  <c r="F18" i="23"/>
  <c r="T17" i="23"/>
  <c r="S17" i="23"/>
  <c r="Q17" i="23"/>
  <c r="F17" i="23"/>
  <c r="T16" i="23"/>
  <c r="S16" i="23"/>
  <c r="F16" i="23"/>
  <c r="T15" i="23"/>
  <c r="S15" i="23"/>
  <c r="F15" i="23"/>
  <c r="T14" i="23"/>
  <c r="S14" i="23"/>
  <c r="F14" i="23"/>
  <c r="F13" i="23"/>
  <c r="F12" i="23"/>
  <c r="F11" i="23"/>
  <c r="F10" i="23"/>
  <c r="F9" i="23"/>
  <c r="F8" i="23"/>
  <c r="F7" i="23"/>
  <c r="F6" i="23"/>
  <c r="F5" i="23"/>
  <c r="F4" i="23"/>
  <c r="F3" i="23"/>
  <c r="H9697" i="3"/>
  <c r="G9697" i="3"/>
  <c r="H9696" i="3"/>
  <c r="G9696" i="3"/>
  <c r="H9695" i="3"/>
  <c r="G9695" i="3"/>
  <c r="H9694" i="3"/>
  <c r="G9694" i="3"/>
  <c r="H9693" i="3"/>
  <c r="G9693" i="3"/>
  <c r="H9692" i="3"/>
  <c r="G9692" i="3"/>
  <c r="H9691" i="3"/>
  <c r="G9691" i="3"/>
  <c r="H9690" i="3"/>
  <c r="G9690" i="3"/>
  <c r="H9689" i="3"/>
  <c r="G9689" i="3"/>
  <c r="H9688" i="3"/>
  <c r="G9688" i="3"/>
  <c r="H9687" i="3"/>
  <c r="G9687" i="3"/>
  <c r="H9686" i="3"/>
  <c r="G9686" i="3"/>
  <c r="H9685" i="3"/>
  <c r="G9685" i="3"/>
  <c r="H9684" i="3"/>
  <c r="G9684" i="3"/>
  <c r="H9683" i="3"/>
  <c r="G9683" i="3"/>
  <c r="H9682" i="3"/>
  <c r="G9682" i="3"/>
  <c r="H9681" i="3"/>
  <c r="G9681" i="3"/>
  <c r="H9680" i="3"/>
  <c r="G9680" i="3"/>
  <c r="H9679" i="3"/>
  <c r="G9679" i="3"/>
  <c r="H9678" i="3"/>
  <c r="G9678" i="3"/>
  <c r="H9677" i="3"/>
  <c r="G9677" i="3"/>
  <c r="H9676" i="3"/>
  <c r="G9676" i="3"/>
  <c r="H9675" i="3"/>
  <c r="G9675" i="3"/>
  <c r="H9674" i="3"/>
  <c r="G9674" i="3"/>
  <c r="S405" i="1"/>
  <c r="F405" i="1"/>
  <c r="M403" i="1"/>
  <c r="F404" i="1"/>
  <c r="S404" i="1"/>
  <c r="H9673" i="3"/>
  <c r="G9673" i="3"/>
  <c r="H9672" i="3"/>
  <c r="G9672" i="3"/>
  <c r="H9671" i="3"/>
  <c r="G9671" i="3"/>
  <c r="H9670" i="3"/>
  <c r="G9670" i="3"/>
  <c r="H9669" i="3"/>
  <c r="G9669" i="3"/>
  <c r="H9668" i="3"/>
  <c r="G9668" i="3"/>
  <c r="H9667" i="3"/>
  <c r="G9667" i="3"/>
  <c r="H9666" i="3"/>
  <c r="G9666" i="3"/>
  <c r="H9665" i="3"/>
  <c r="G9665" i="3"/>
  <c r="H9664" i="3"/>
  <c r="G9664" i="3"/>
  <c r="H9663" i="3"/>
  <c r="G9663" i="3"/>
  <c r="H9662" i="3"/>
  <c r="G9662" i="3"/>
  <c r="H9661" i="3"/>
  <c r="G9661" i="3"/>
  <c r="H9660" i="3"/>
  <c r="G9660" i="3"/>
  <c r="H9659" i="3"/>
  <c r="G9659" i="3"/>
  <c r="H9658" i="3"/>
  <c r="G9658" i="3"/>
  <c r="H9657" i="3"/>
  <c r="G9657" i="3"/>
  <c r="H9656" i="3"/>
  <c r="G9656" i="3"/>
  <c r="H9655" i="3"/>
  <c r="G9655" i="3"/>
  <c r="H9654" i="3"/>
  <c r="G9654" i="3"/>
  <c r="H9653" i="3"/>
  <c r="G9653" i="3"/>
  <c r="H9652" i="3"/>
  <c r="G9652" i="3"/>
  <c r="H9651" i="3"/>
  <c r="G9651" i="3"/>
  <c r="H9650" i="3"/>
  <c r="G9650" i="3"/>
  <c r="H9649" i="3"/>
  <c r="G9649" i="3"/>
  <c r="H9648" i="3"/>
  <c r="G9648" i="3"/>
  <c r="H9647" i="3"/>
  <c r="G9647" i="3"/>
  <c r="H9646" i="3"/>
  <c r="G9646" i="3"/>
  <c r="H9645" i="3"/>
  <c r="G9645" i="3"/>
  <c r="H9644" i="3"/>
  <c r="G9644" i="3"/>
  <c r="H9643" i="3"/>
  <c r="G9643" i="3"/>
  <c r="H9642" i="3"/>
  <c r="G9642" i="3"/>
  <c r="H9641" i="3"/>
  <c r="G9641" i="3"/>
  <c r="H9640" i="3"/>
  <c r="G9640" i="3"/>
  <c r="H9639" i="3"/>
  <c r="G9639" i="3"/>
  <c r="H9638" i="3"/>
  <c r="G9638" i="3"/>
  <c r="H9637" i="3"/>
  <c r="G9637" i="3"/>
  <c r="H9636" i="3"/>
  <c r="G9636" i="3"/>
  <c r="H9635" i="3"/>
  <c r="G9635" i="3"/>
  <c r="H9634" i="3"/>
  <c r="G9634" i="3"/>
  <c r="H9633" i="3"/>
  <c r="G9633" i="3"/>
  <c r="H9632" i="3"/>
  <c r="G9632" i="3"/>
  <c r="H9631" i="3"/>
  <c r="G9631" i="3"/>
  <c r="H9630" i="3"/>
  <c r="G9630" i="3"/>
  <c r="H9629" i="3"/>
  <c r="G9629" i="3"/>
  <c r="H9628" i="3"/>
  <c r="G9628" i="3"/>
  <c r="H9627" i="3"/>
  <c r="G9627" i="3"/>
  <c r="H9626" i="3"/>
  <c r="G9626" i="3"/>
  <c r="S403" i="1"/>
  <c r="F403" i="1"/>
  <c r="M395" i="1"/>
  <c r="M396" i="1"/>
  <c r="M397" i="1"/>
  <c r="M398" i="1"/>
  <c r="M399" i="1"/>
  <c r="M400" i="1"/>
  <c r="M401" i="1"/>
  <c r="M402" i="1"/>
  <c r="H9625" i="3"/>
  <c r="G9625" i="3"/>
  <c r="H9624" i="3"/>
  <c r="G9624" i="3"/>
  <c r="H9623" i="3"/>
  <c r="G9623" i="3"/>
  <c r="H9622" i="3"/>
  <c r="G9622" i="3"/>
  <c r="H9621" i="3"/>
  <c r="G9621" i="3"/>
  <c r="H9620" i="3"/>
  <c r="G9620" i="3"/>
  <c r="H9619" i="3"/>
  <c r="G9619" i="3"/>
  <c r="H9618" i="3"/>
  <c r="G9618" i="3"/>
  <c r="H9617" i="3"/>
  <c r="G9617" i="3"/>
  <c r="H9616" i="3"/>
  <c r="G9616" i="3"/>
  <c r="H9615" i="3"/>
  <c r="G9615" i="3"/>
  <c r="H9614" i="3"/>
  <c r="G9614" i="3"/>
  <c r="H9613" i="3"/>
  <c r="G9613" i="3"/>
  <c r="H9612" i="3"/>
  <c r="G9612" i="3"/>
  <c r="H9611" i="3"/>
  <c r="G9611" i="3"/>
  <c r="H9610" i="3"/>
  <c r="G9610" i="3"/>
  <c r="H9609" i="3"/>
  <c r="G9609" i="3"/>
  <c r="H9608" i="3"/>
  <c r="G9608" i="3"/>
  <c r="H9607" i="3"/>
  <c r="G9607" i="3"/>
  <c r="H9606" i="3"/>
  <c r="G9606" i="3"/>
  <c r="H9605" i="3"/>
  <c r="G9605" i="3"/>
  <c r="H9604" i="3"/>
  <c r="G9604" i="3"/>
  <c r="H9603" i="3"/>
  <c r="G9603" i="3"/>
  <c r="H9602" i="3"/>
  <c r="G9602" i="3"/>
  <c r="S402" i="1"/>
  <c r="F402" i="1"/>
  <c r="H9601" i="3"/>
  <c r="G9601" i="3"/>
  <c r="H9600" i="3"/>
  <c r="G9600" i="3"/>
  <c r="H9599" i="3"/>
  <c r="G9599" i="3"/>
  <c r="H9598" i="3"/>
  <c r="G9598" i="3"/>
  <c r="H9597" i="3"/>
  <c r="G9597" i="3"/>
  <c r="H9596" i="3"/>
  <c r="G9596" i="3"/>
  <c r="H9595" i="3"/>
  <c r="G9595" i="3"/>
  <c r="H9594" i="3"/>
  <c r="G9594" i="3"/>
  <c r="H9593" i="3"/>
  <c r="G9593" i="3"/>
  <c r="H9592" i="3"/>
  <c r="G9592" i="3"/>
  <c r="H9591" i="3"/>
  <c r="G9591" i="3"/>
  <c r="H9590" i="3"/>
  <c r="G9590" i="3"/>
  <c r="H9589" i="3"/>
  <c r="G9589" i="3"/>
  <c r="H9588" i="3"/>
  <c r="G9588" i="3"/>
  <c r="H9587" i="3"/>
  <c r="G9587" i="3"/>
  <c r="H9586" i="3"/>
  <c r="G9586" i="3"/>
  <c r="H9585" i="3"/>
  <c r="G9585" i="3"/>
  <c r="H9584" i="3"/>
  <c r="G9584" i="3"/>
  <c r="H9583" i="3"/>
  <c r="G9583" i="3"/>
  <c r="H9582" i="3"/>
  <c r="G9582" i="3"/>
  <c r="H9581" i="3"/>
  <c r="G9581" i="3"/>
  <c r="H9580" i="3"/>
  <c r="G9580" i="3"/>
  <c r="H9579" i="3"/>
  <c r="G9579" i="3"/>
  <c r="H9578" i="3"/>
  <c r="G9578" i="3"/>
  <c r="S401" i="1"/>
  <c r="F401" i="1"/>
  <c r="H9577" i="3"/>
  <c r="G9577" i="3"/>
  <c r="H9576" i="3"/>
  <c r="G9576" i="3"/>
  <c r="H9575" i="3"/>
  <c r="G9575" i="3"/>
  <c r="H9574" i="3"/>
  <c r="G9574" i="3"/>
  <c r="H9573" i="3"/>
  <c r="G9573" i="3"/>
  <c r="H9572" i="3"/>
  <c r="G9572" i="3"/>
  <c r="H9571" i="3"/>
  <c r="G9571" i="3"/>
  <c r="H9570" i="3"/>
  <c r="G9570" i="3"/>
  <c r="H9569" i="3"/>
  <c r="G9569" i="3"/>
  <c r="H9568" i="3"/>
  <c r="G9568" i="3"/>
  <c r="H9567" i="3"/>
  <c r="G9567" i="3"/>
  <c r="H9566" i="3"/>
  <c r="G9566" i="3"/>
  <c r="H9565" i="3"/>
  <c r="G9565" i="3"/>
  <c r="H9564" i="3"/>
  <c r="G9564" i="3"/>
  <c r="H9563" i="3"/>
  <c r="G9563" i="3"/>
  <c r="H9562" i="3"/>
  <c r="G9562" i="3"/>
  <c r="H9561" i="3"/>
  <c r="G9561" i="3"/>
  <c r="H9560" i="3"/>
  <c r="G9560" i="3"/>
  <c r="H9559" i="3"/>
  <c r="G9559" i="3"/>
  <c r="H9558" i="3"/>
  <c r="G9558" i="3"/>
  <c r="H9557" i="3"/>
  <c r="G9557" i="3"/>
  <c r="H9556" i="3"/>
  <c r="G9556" i="3"/>
  <c r="H9555" i="3"/>
  <c r="G9555" i="3"/>
  <c r="H9554" i="3"/>
  <c r="G9554" i="3"/>
  <c r="S400" i="1"/>
  <c r="F400" i="1"/>
  <c r="H9553" i="3"/>
  <c r="G9553" i="3"/>
  <c r="H9552" i="3"/>
  <c r="G9552" i="3"/>
  <c r="H9551" i="3"/>
  <c r="G9551" i="3"/>
  <c r="H9550" i="3"/>
  <c r="G9550" i="3"/>
  <c r="H9549" i="3"/>
  <c r="G9549" i="3"/>
  <c r="H9548" i="3"/>
  <c r="G9548" i="3"/>
  <c r="H9547" i="3"/>
  <c r="G9547" i="3"/>
  <c r="H9546" i="3"/>
  <c r="G9546" i="3"/>
  <c r="H9545" i="3"/>
  <c r="G9545" i="3"/>
  <c r="H9544" i="3"/>
  <c r="G9544" i="3"/>
  <c r="H9543" i="3"/>
  <c r="G9543" i="3"/>
  <c r="H9542" i="3"/>
  <c r="G9542" i="3"/>
  <c r="H9541" i="3"/>
  <c r="G9541" i="3"/>
  <c r="H9540" i="3"/>
  <c r="G9540" i="3"/>
  <c r="H9539" i="3"/>
  <c r="G9539" i="3"/>
  <c r="H9538" i="3"/>
  <c r="G9538" i="3"/>
  <c r="H9537" i="3"/>
  <c r="G9537" i="3"/>
  <c r="H9536" i="3"/>
  <c r="G9536" i="3"/>
  <c r="H9535" i="3"/>
  <c r="G9535" i="3"/>
  <c r="H9534" i="3"/>
  <c r="G9534" i="3"/>
  <c r="H9533" i="3"/>
  <c r="G9533" i="3"/>
  <c r="H9532" i="3"/>
  <c r="G9532" i="3"/>
  <c r="H9531" i="3"/>
  <c r="G9531" i="3"/>
  <c r="H9530" i="3"/>
  <c r="G9530" i="3"/>
  <c r="S399" i="1"/>
  <c r="F399" i="1"/>
  <c r="H9529" i="3"/>
  <c r="G9529" i="3"/>
  <c r="H9528" i="3"/>
  <c r="G9528" i="3"/>
  <c r="H9527" i="3"/>
  <c r="G9527" i="3"/>
  <c r="H9526" i="3"/>
  <c r="G9526" i="3"/>
  <c r="H9525" i="3"/>
  <c r="G9525" i="3"/>
  <c r="H9524" i="3"/>
  <c r="G9524" i="3"/>
  <c r="H9523" i="3"/>
  <c r="G9523" i="3"/>
  <c r="H9522" i="3"/>
  <c r="G9522" i="3"/>
  <c r="H9521" i="3"/>
  <c r="G9521" i="3"/>
  <c r="H9520" i="3"/>
  <c r="G9520" i="3"/>
  <c r="H9519" i="3"/>
  <c r="G9519" i="3"/>
  <c r="H9518" i="3"/>
  <c r="G9518" i="3"/>
  <c r="H9517" i="3"/>
  <c r="G9517" i="3"/>
  <c r="H9516" i="3"/>
  <c r="G9516" i="3"/>
  <c r="H9515" i="3"/>
  <c r="G9515" i="3"/>
  <c r="H9514" i="3"/>
  <c r="G9514" i="3"/>
  <c r="H9513" i="3"/>
  <c r="G9513" i="3"/>
  <c r="H9512" i="3"/>
  <c r="G9512" i="3"/>
  <c r="H9511" i="3"/>
  <c r="G9511" i="3"/>
  <c r="H9510" i="3"/>
  <c r="G9510" i="3"/>
  <c r="H9509" i="3"/>
  <c r="G9509" i="3"/>
  <c r="H9508" i="3"/>
  <c r="G9508" i="3"/>
  <c r="H9507" i="3"/>
  <c r="G9507" i="3"/>
  <c r="H9506" i="3"/>
  <c r="G9506" i="3"/>
  <c r="S398" i="1"/>
  <c r="F398" i="1"/>
  <c r="S397" i="1"/>
  <c r="F397" i="1"/>
  <c r="H9505" i="3"/>
  <c r="G9505" i="3"/>
  <c r="H9504" i="3"/>
  <c r="G9504" i="3"/>
  <c r="H9503" i="3"/>
  <c r="G9503" i="3"/>
  <c r="H9502" i="3"/>
  <c r="G9502" i="3"/>
  <c r="H9501" i="3"/>
  <c r="G9501" i="3"/>
  <c r="H9500" i="3"/>
  <c r="G9500" i="3"/>
  <c r="H9499" i="3"/>
  <c r="G9499" i="3"/>
  <c r="H9498" i="3"/>
  <c r="G9498" i="3"/>
  <c r="H9497" i="3"/>
  <c r="G9497" i="3"/>
  <c r="H9496" i="3"/>
  <c r="G9496" i="3"/>
  <c r="H9495" i="3"/>
  <c r="G9495" i="3"/>
  <c r="H9494" i="3"/>
  <c r="G9494" i="3"/>
  <c r="H9493" i="3"/>
  <c r="G9493" i="3"/>
  <c r="H9492" i="3"/>
  <c r="G9492" i="3"/>
  <c r="H9491" i="3"/>
  <c r="G9491" i="3"/>
  <c r="H9490" i="3"/>
  <c r="G9490" i="3"/>
  <c r="H9489" i="3"/>
  <c r="G9489" i="3"/>
  <c r="H9488" i="3"/>
  <c r="G9488" i="3"/>
  <c r="H9487" i="3"/>
  <c r="G9487" i="3"/>
  <c r="H9486" i="3"/>
  <c r="G9486" i="3"/>
  <c r="H9485" i="3"/>
  <c r="G9485" i="3"/>
  <c r="H9484" i="3"/>
  <c r="G9484" i="3"/>
  <c r="H9483" i="3"/>
  <c r="G9483" i="3"/>
  <c r="H9482" i="3"/>
  <c r="G9482" i="3"/>
  <c r="H9481" i="3"/>
  <c r="G9481" i="3"/>
  <c r="H9480" i="3"/>
  <c r="G9480" i="3"/>
  <c r="H9479" i="3"/>
  <c r="G9479" i="3"/>
  <c r="H9478" i="3"/>
  <c r="G9478" i="3"/>
  <c r="H9477" i="3"/>
  <c r="G9477" i="3"/>
  <c r="H9476" i="3"/>
  <c r="G9476" i="3"/>
  <c r="H9475" i="3"/>
  <c r="G9475" i="3"/>
  <c r="H9474" i="3"/>
  <c r="G9474" i="3"/>
  <c r="H9473" i="3"/>
  <c r="G9473" i="3"/>
  <c r="H9472" i="3"/>
  <c r="G9472" i="3"/>
  <c r="H9471" i="3"/>
  <c r="G9471" i="3"/>
  <c r="H9470" i="3"/>
  <c r="G9470" i="3"/>
  <c r="H9469" i="3"/>
  <c r="G9469" i="3"/>
  <c r="H9468" i="3"/>
  <c r="G9468" i="3"/>
  <c r="H9467" i="3"/>
  <c r="G9467" i="3"/>
  <c r="H9466" i="3"/>
  <c r="G9466" i="3"/>
  <c r="H9465" i="3"/>
  <c r="G9465" i="3"/>
  <c r="H9464" i="3"/>
  <c r="G9464" i="3"/>
  <c r="H9463" i="3"/>
  <c r="G9463" i="3"/>
  <c r="H9462" i="3"/>
  <c r="G9462" i="3"/>
  <c r="H9461" i="3"/>
  <c r="G9461" i="3"/>
  <c r="H9460" i="3"/>
  <c r="G9460" i="3"/>
  <c r="H9459" i="3"/>
  <c r="G9459" i="3"/>
  <c r="H9458" i="3"/>
  <c r="G9458" i="3"/>
  <c r="S396" i="1"/>
  <c r="F396" i="1"/>
  <c r="H9457" i="3"/>
  <c r="G9457" i="3"/>
  <c r="H9456" i="3"/>
  <c r="G9456" i="3"/>
  <c r="H9455" i="3"/>
  <c r="G9455" i="3"/>
  <c r="H9454" i="3"/>
  <c r="G9454" i="3"/>
  <c r="H9453" i="3"/>
  <c r="G9453" i="3"/>
  <c r="H9452" i="3"/>
  <c r="G9452" i="3"/>
  <c r="H9451" i="3"/>
  <c r="G9451" i="3"/>
  <c r="H9450" i="3"/>
  <c r="G9450" i="3"/>
  <c r="H9449" i="3"/>
  <c r="G9449" i="3"/>
  <c r="H9448" i="3"/>
  <c r="G9448" i="3"/>
  <c r="H9447" i="3"/>
  <c r="G9447" i="3"/>
  <c r="H9446" i="3"/>
  <c r="G9446" i="3"/>
  <c r="H9445" i="3"/>
  <c r="G9445" i="3"/>
  <c r="H9444" i="3"/>
  <c r="G9444" i="3"/>
  <c r="H9443" i="3"/>
  <c r="G9443" i="3"/>
  <c r="H9442" i="3"/>
  <c r="G9442" i="3"/>
  <c r="H9441" i="3"/>
  <c r="G9441" i="3"/>
  <c r="H9440" i="3"/>
  <c r="G9440" i="3"/>
  <c r="H9439" i="3"/>
  <c r="G9439" i="3"/>
  <c r="H9438" i="3"/>
  <c r="G9438" i="3"/>
  <c r="H9437" i="3"/>
  <c r="G9437" i="3"/>
  <c r="H9436" i="3"/>
  <c r="G9436" i="3"/>
  <c r="H9435" i="3"/>
  <c r="G9435" i="3"/>
  <c r="H9434" i="3"/>
  <c r="G9434" i="3"/>
  <c r="M393" i="1"/>
  <c r="M394" i="1"/>
  <c r="S395" i="1"/>
  <c r="F395" i="1"/>
  <c r="H9433" i="3"/>
  <c r="G9433" i="3"/>
  <c r="H9432" i="3"/>
  <c r="G9432" i="3"/>
  <c r="H9431" i="3"/>
  <c r="G9431" i="3"/>
  <c r="H9430" i="3"/>
  <c r="G9430" i="3"/>
  <c r="H9429" i="3"/>
  <c r="G9429" i="3"/>
  <c r="H9428" i="3"/>
  <c r="G9428" i="3"/>
  <c r="H9427" i="3"/>
  <c r="G9427" i="3"/>
  <c r="H9426" i="3"/>
  <c r="G9426" i="3"/>
  <c r="H9425" i="3"/>
  <c r="G9425" i="3"/>
  <c r="H9424" i="3"/>
  <c r="G9424" i="3"/>
  <c r="H9423" i="3"/>
  <c r="G9423" i="3"/>
  <c r="H9422" i="3"/>
  <c r="G9422" i="3"/>
  <c r="H9421" i="3"/>
  <c r="G9421" i="3"/>
  <c r="H9420" i="3"/>
  <c r="G9420" i="3"/>
  <c r="H9419" i="3"/>
  <c r="G9419" i="3"/>
  <c r="H9418" i="3"/>
  <c r="G9418" i="3"/>
  <c r="H9417" i="3"/>
  <c r="G9417" i="3"/>
  <c r="H9416" i="3"/>
  <c r="G9416" i="3"/>
  <c r="H9415" i="3"/>
  <c r="G9415" i="3"/>
  <c r="H9414" i="3"/>
  <c r="G9414" i="3"/>
  <c r="H9413" i="3"/>
  <c r="G9413" i="3"/>
  <c r="H9412" i="3"/>
  <c r="G9412" i="3"/>
  <c r="H9411" i="3"/>
  <c r="G9411" i="3"/>
  <c r="H9410" i="3"/>
  <c r="G9410" i="3"/>
  <c r="S394" i="1"/>
  <c r="F394" i="1"/>
  <c r="H9409" i="3"/>
  <c r="G9409" i="3"/>
  <c r="H9408" i="3"/>
  <c r="G9408" i="3"/>
  <c r="H9407" i="3"/>
  <c r="G9407" i="3"/>
  <c r="H9406" i="3"/>
  <c r="G9406" i="3"/>
  <c r="H9405" i="3"/>
  <c r="G9405" i="3"/>
  <c r="H9404" i="3"/>
  <c r="G9404" i="3"/>
  <c r="H9403" i="3"/>
  <c r="G9403" i="3"/>
  <c r="H9402" i="3"/>
  <c r="G9402" i="3"/>
  <c r="H9401" i="3"/>
  <c r="G9401" i="3"/>
  <c r="H9400" i="3"/>
  <c r="G9400" i="3"/>
  <c r="H9399" i="3"/>
  <c r="G9399" i="3"/>
  <c r="H9398" i="3"/>
  <c r="G9398" i="3"/>
  <c r="H9397" i="3"/>
  <c r="G9397" i="3"/>
  <c r="H9396" i="3"/>
  <c r="G9396" i="3"/>
  <c r="H9395" i="3"/>
  <c r="G9395" i="3"/>
  <c r="H9394" i="3"/>
  <c r="G9394" i="3"/>
  <c r="H9393" i="3"/>
  <c r="G9393" i="3"/>
  <c r="H9392" i="3"/>
  <c r="G9392" i="3"/>
  <c r="H9391" i="3"/>
  <c r="G9391" i="3"/>
  <c r="H9390" i="3"/>
  <c r="G9390" i="3"/>
  <c r="H9389" i="3"/>
  <c r="G9389" i="3"/>
  <c r="H9388" i="3"/>
  <c r="G9388" i="3"/>
  <c r="H9387" i="3"/>
  <c r="G9387" i="3"/>
  <c r="H9386" i="3"/>
  <c r="G9386" i="3"/>
  <c r="M391" i="1"/>
  <c r="M392" i="1"/>
  <c r="K454" i="23" l="1"/>
  <c r="AB468" i="23" s="1"/>
  <c r="R454" i="23"/>
  <c r="T454" i="23"/>
  <c r="AT213" i="23"/>
  <c r="AT214" i="23"/>
  <c r="AT215" i="23"/>
  <c r="V139" i="23"/>
  <c r="W142" i="23"/>
  <c r="W146" i="23"/>
  <c r="W150" i="23"/>
  <c r="W154" i="23"/>
  <c r="W158" i="23"/>
  <c r="W162" i="23"/>
  <c r="W166" i="23"/>
  <c r="W139" i="23"/>
  <c r="W143" i="23"/>
  <c r="W147" i="23"/>
  <c r="W151" i="23"/>
  <c r="W155" i="23"/>
  <c r="W159" i="23"/>
  <c r="W163" i="23"/>
  <c r="W145" i="23"/>
  <c r="W157" i="23"/>
  <c r="W165" i="23"/>
  <c r="W140" i="23"/>
  <c r="W144" i="23"/>
  <c r="W148" i="23"/>
  <c r="W152" i="23"/>
  <c r="W156" i="23"/>
  <c r="W160" i="23"/>
  <c r="W164" i="23"/>
  <c r="W141" i="23"/>
  <c r="W149" i="23"/>
  <c r="W153" i="23"/>
  <c r="W161" i="23"/>
  <c r="U142" i="23"/>
  <c r="U146" i="23"/>
  <c r="U150" i="23"/>
  <c r="U141" i="23"/>
  <c r="U139" i="23"/>
  <c r="U143" i="23"/>
  <c r="U147" i="23"/>
  <c r="U151" i="23"/>
  <c r="U145" i="23"/>
  <c r="U140" i="23"/>
  <c r="U144" i="23"/>
  <c r="U148" i="23"/>
  <c r="U152" i="23"/>
  <c r="U149" i="23"/>
  <c r="AT205" i="23"/>
  <c r="AT209" i="23"/>
  <c r="AT211" i="23"/>
  <c r="K119" i="23"/>
  <c r="AB133" i="23" s="1"/>
  <c r="AC133" i="23" s="1"/>
  <c r="K122" i="23"/>
  <c r="AB136" i="23" s="1"/>
  <c r="AC136" i="23" s="1"/>
  <c r="AT207" i="23"/>
  <c r="AT210" i="23"/>
  <c r="AT212" i="23"/>
  <c r="AT226" i="23"/>
  <c r="AC113" i="23"/>
  <c r="K113" i="23"/>
  <c r="AB127" i="23" s="1"/>
  <c r="AC127" i="23" s="1"/>
  <c r="K136" i="23"/>
  <c r="AC122" i="23"/>
  <c r="S141" i="23"/>
  <c r="AC141" i="23"/>
  <c r="E120" i="23"/>
  <c r="AC119" i="23"/>
  <c r="S138" i="23"/>
  <c r="I9666" i="3"/>
  <c r="I9668" i="3"/>
  <c r="I9670" i="3"/>
  <c r="I9672" i="3"/>
  <c r="I9651" i="3"/>
  <c r="I9653" i="3"/>
  <c r="I9655" i="3"/>
  <c r="I9657" i="3"/>
  <c r="I9659" i="3"/>
  <c r="I9661" i="3"/>
  <c r="I9663" i="3"/>
  <c r="I9665" i="3"/>
  <c r="I9667" i="3"/>
  <c r="I9669" i="3"/>
  <c r="I9671" i="3"/>
  <c r="I9673" i="3"/>
  <c r="I9647" i="3"/>
  <c r="I9649" i="3"/>
  <c r="I9387" i="3"/>
  <c r="I9389" i="3"/>
  <c r="I9391" i="3"/>
  <c r="I9393" i="3"/>
  <c r="I9395" i="3"/>
  <c r="I9397" i="3"/>
  <c r="I9399" i="3"/>
  <c r="I9401" i="3"/>
  <c r="I9403" i="3"/>
  <c r="I9405" i="3"/>
  <c r="I9407" i="3"/>
  <c r="I9409" i="3"/>
  <c r="I9410" i="3"/>
  <c r="I9412" i="3"/>
  <c r="I9414" i="3"/>
  <c r="I9416" i="3"/>
  <c r="I9418" i="3"/>
  <c r="I9420" i="3"/>
  <c r="I9422" i="3"/>
  <c r="I9424" i="3"/>
  <c r="I9426" i="3"/>
  <c r="I9428" i="3"/>
  <c r="I9430" i="3"/>
  <c r="I9432" i="3"/>
  <c r="I9434" i="3"/>
  <c r="I9436" i="3"/>
  <c r="I9438" i="3"/>
  <c r="I9440" i="3"/>
  <c r="I9442" i="3"/>
  <c r="I9444" i="3"/>
  <c r="I9446" i="3"/>
  <c r="I9448" i="3"/>
  <c r="I9450" i="3"/>
  <c r="I9452" i="3"/>
  <c r="I9454" i="3"/>
  <c r="I9456" i="3"/>
  <c r="I9459" i="3"/>
  <c r="I9461" i="3"/>
  <c r="I9463" i="3"/>
  <c r="I9465" i="3"/>
  <c r="I9467" i="3"/>
  <c r="I9469" i="3"/>
  <c r="I9471" i="3"/>
  <c r="I9473" i="3"/>
  <c r="I9475" i="3"/>
  <c r="I9477" i="3"/>
  <c r="I9479" i="3"/>
  <c r="I9481" i="3"/>
  <c r="I9483" i="3"/>
  <c r="I9485" i="3"/>
  <c r="I9487" i="3"/>
  <c r="I9489" i="3"/>
  <c r="I9491" i="3"/>
  <c r="I9493" i="3"/>
  <c r="I9495" i="3"/>
  <c r="I9497" i="3"/>
  <c r="I9499" i="3"/>
  <c r="I9501" i="3"/>
  <c r="I9503" i="3"/>
  <c r="I9505" i="3"/>
  <c r="I9507" i="3"/>
  <c r="I9509" i="3"/>
  <c r="I9511" i="3"/>
  <c r="I9513" i="3"/>
  <c r="I9515" i="3"/>
  <c r="I9517" i="3"/>
  <c r="I9519" i="3"/>
  <c r="I9521" i="3"/>
  <c r="I9523" i="3"/>
  <c r="I9525" i="3"/>
  <c r="I9527" i="3"/>
  <c r="I9529" i="3"/>
  <c r="I9530" i="3"/>
  <c r="I9532" i="3"/>
  <c r="I9534" i="3"/>
  <c r="I9536" i="3"/>
  <c r="I9538" i="3"/>
  <c r="I9540" i="3"/>
  <c r="I9542" i="3"/>
  <c r="I9544" i="3"/>
  <c r="I9546" i="3"/>
  <c r="I9548" i="3"/>
  <c r="I9550" i="3"/>
  <c r="I9552" i="3"/>
  <c r="I9555" i="3"/>
  <c r="I9557" i="3"/>
  <c r="I9559" i="3"/>
  <c r="I9561" i="3"/>
  <c r="I9563" i="3"/>
  <c r="I9565" i="3"/>
  <c r="I9567" i="3"/>
  <c r="I9569" i="3"/>
  <c r="I9571" i="3"/>
  <c r="I9573" i="3"/>
  <c r="I9575" i="3"/>
  <c r="I9577" i="3"/>
  <c r="I9579" i="3"/>
  <c r="I9581" i="3"/>
  <c r="I9583" i="3"/>
  <c r="I9585" i="3"/>
  <c r="I9587" i="3"/>
  <c r="I9589" i="3"/>
  <c r="I9591" i="3"/>
  <c r="I9593" i="3"/>
  <c r="I9595" i="3"/>
  <c r="I9597" i="3"/>
  <c r="I9599" i="3"/>
  <c r="I9601" i="3"/>
  <c r="I9603" i="3"/>
  <c r="I9605" i="3"/>
  <c r="I9607" i="3"/>
  <c r="I9609" i="3"/>
  <c r="I9611" i="3"/>
  <c r="I9613" i="3"/>
  <c r="I9615" i="3"/>
  <c r="I9617" i="3"/>
  <c r="I9619" i="3"/>
  <c r="AT145" i="23"/>
  <c r="AT149" i="23"/>
  <c r="AT153" i="23"/>
  <c r="AT157" i="23"/>
  <c r="AT161" i="23"/>
  <c r="AT165" i="23"/>
  <c r="AT169" i="23"/>
  <c r="AT173" i="23"/>
  <c r="AT146" i="23"/>
  <c r="AT150" i="23"/>
  <c r="AT154" i="23"/>
  <c r="AT158" i="23"/>
  <c r="AT162" i="23"/>
  <c r="AT166" i="23"/>
  <c r="AT170" i="23"/>
  <c r="AT147" i="23"/>
  <c r="AT151" i="23"/>
  <c r="AT159" i="23"/>
  <c r="AT167" i="23"/>
  <c r="AT152" i="23"/>
  <c r="AT160" i="23"/>
  <c r="AT168" i="23"/>
  <c r="AT144" i="23"/>
  <c r="AT155" i="23"/>
  <c r="AT163" i="23"/>
  <c r="AT171" i="23"/>
  <c r="AT148" i="23"/>
  <c r="AT156" i="23"/>
  <c r="AT164" i="23"/>
  <c r="AT172" i="23"/>
  <c r="AA158" i="23"/>
  <c r="AT181" i="23"/>
  <c r="AT185" i="23"/>
  <c r="AT184" i="23"/>
  <c r="AA170" i="23"/>
  <c r="AT193" i="23"/>
  <c r="AA176" i="23"/>
  <c r="AT199" i="23"/>
  <c r="AT203" i="23"/>
  <c r="AT204" i="23"/>
  <c r="AA183" i="23"/>
  <c r="AT206" i="23"/>
  <c r="AA185" i="23"/>
  <c r="AT208" i="23"/>
  <c r="AA193" i="23"/>
  <c r="AT216" i="23"/>
  <c r="AA194" i="23"/>
  <c r="AT217" i="23"/>
  <c r="AA195" i="23"/>
  <c r="AT218" i="23"/>
  <c r="AA196" i="23"/>
  <c r="AT219" i="23"/>
  <c r="AA197" i="23"/>
  <c r="AT220" i="23"/>
  <c r="AA198" i="23"/>
  <c r="AT221" i="23"/>
  <c r="AA199" i="23"/>
  <c r="AT222" i="23"/>
  <c r="AA200" i="23"/>
  <c r="AT223" i="23"/>
  <c r="AA201" i="23"/>
  <c r="AT224" i="23"/>
  <c r="AA202" i="23"/>
  <c r="AT225" i="23"/>
  <c r="AA204" i="23"/>
  <c r="AT227" i="23"/>
  <c r="AA205" i="23"/>
  <c r="AT228" i="23"/>
  <c r="AT178" i="23"/>
  <c r="AT189" i="23"/>
  <c r="AT190" i="23"/>
  <c r="AT191" i="23"/>
  <c r="AT187" i="23"/>
  <c r="AT188" i="23"/>
  <c r="AT194" i="23"/>
  <c r="AT197" i="23"/>
  <c r="AT200" i="23"/>
  <c r="AT201" i="23"/>
  <c r="AT202" i="23"/>
  <c r="AT182" i="23"/>
  <c r="AT186" i="23"/>
  <c r="AT192" i="23"/>
  <c r="AT195" i="23"/>
  <c r="AT198" i="23"/>
  <c r="AT141" i="23"/>
  <c r="AT142" i="23"/>
  <c r="AT139" i="23"/>
  <c r="AT143" i="23"/>
  <c r="AT140" i="23"/>
  <c r="AT174" i="23"/>
  <c r="AT177" i="23"/>
  <c r="AT175" i="23"/>
  <c r="AT176" i="23"/>
  <c r="AT179" i="23"/>
  <c r="AT180" i="23"/>
  <c r="AT183" i="23"/>
  <c r="AT196" i="23"/>
  <c r="AT229" i="23"/>
  <c r="AT230" i="23"/>
  <c r="AA208" i="23"/>
  <c r="AT231" i="23"/>
  <c r="AA209" i="23"/>
  <c r="AT232" i="23"/>
  <c r="I9621" i="3"/>
  <c r="I9623" i="3"/>
  <c r="I9625" i="3"/>
  <c r="I9627" i="3"/>
  <c r="I9629" i="3"/>
  <c r="I9631" i="3"/>
  <c r="I9633" i="3"/>
  <c r="I9635" i="3"/>
  <c r="I9637" i="3"/>
  <c r="I9639" i="3"/>
  <c r="I9641" i="3"/>
  <c r="I9643" i="3"/>
  <c r="I9645" i="3"/>
  <c r="I9675" i="3"/>
  <c r="I9677" i="3"/>
  <c r="I9679" i="3"/>
  <c r="I9681" i="3"/>
  <c r="I9683" i="3"/>
  <c r="I9685" i="3"/>
  <c r="I9687" i="3"/>
  <c r="I9689" i="3"/>
  <c r="I9691" i="3"/>
  <c r="I9693" i="3"/>
  <c r="I9695" i="3"/>
  <c r="I9697" i="3"/>
  <c r="I9386" i="3"/>
  <c r="I9388" i="3"/>
  <c r="I9390" i="3"/>
  <c r="I9392" i="3"/>
  <c r="I9394" i="3"/>
  <c r="I9396" i="3"/>
  <c r="I9398" i="3"/>
  <c r="I9400" i="3"/>
  <c r="I9402" i="3"/>
  <c r="I9404" i="3"/>
  <c r="I9406" i="3"/>
  <c r="I9408" i="3"/>
  <c r="I9411" i="3"/>
  <c r="I9413" i="3"/>
  <c r="I9415" i="3"/>
  <c r="I9417" i="3"/>
  <c r="I9419" i="3"/>
  <c r="I9421" i="3"/>
  <c r="I9423" i="3"/>
  <c r="I9425" i="3"/>
  <c r="I9427" i="3"/>
  <c r="I9429" i="3"/>
  <c r="I9431" i="3"/>
  <c r="I9433" i="3"/>
  <c r="I9435" i="3"/>
  <c r="I9437" i="3"/>
  <c r="I9439" i="3"/>
  <c r="I9441" i="3"/>
  <c r="I9443" i="3"/>
  <c r="I9445" i="3"/>
  <c r="I9447" i="3"/>
  <c r="I9449" i="3"/>
  <c r="I9451" i="3"/>
  <c r="I9453" i="3"/>
  <c r="I9455" i="3"/>
  <c r="I9457" i="3"/>
  <c r="I9458" i="3"/>
  <c r="I9460" i="3"/>
  <c r="I9462" i="3"/>
  <c r="I9464" i="3"/>
  <c r="I9466" i="3"/>
  <c r="I9468" i="3"/>
  <c r="I9470" i="3"/>
  <c r="I9472" i="3"/>
  <c r="I9474" i="3"/>
  <c r="I9476" i="3"/>
  <c r="I9478" i="3"/>
  <c r="I9480" i="3"/>
  <c r="I9482" i="3"/>
  <c r="I9484" i="3"/>
  <c r="I9486" i="3"/>
  <c r="I9488" i="3"/>
  <c r="I9490" i="3"/>
  <c r="I9492" i="3"/>
  <c r="I9494" i="3"/>
  <c r="I9496" i="3"/>
  <c r="I9498" i="3"/>
  <c r="I9500" i="3"/>
  <c r="I9502" i="3"/>
  <c r="I9504" i="3"/>
  <c r="I9506" i="3"/>
  <c r="I9508" i="3"/>
  <c r="I9510" i="3"/>
  <c r="I9512" i="3"/>
  <c r="I9514" i="3"/>
  <c r="I9516" i="3"/>
  <c r="I9518" i="3"/>
  <c r="I9520" i="3"/>
  <c r="I9522" i="3"/>
  <c r="I9524" i="3"/>
  <c r="I9526" i="3"/>
  <c r="I9528" i="3"/>
  <c r="I9531" i="3"/>
  <c r="I9533" i="3"/>
  <c r="I9535" i="3"/>
  <c r="I9537" i="3"/>
  <c r="I9539" i="3"/>
  <c r="I9541" i="3"/>
  <c r="I9543" i="3"/>
  <c r="I9545" i="3"/>
  <c r="I9547" i="3"/>
  <c r="I9549" i="3"/>
  <c r="I9551" i="3"/>
  <c r="I9553" i="3"/>
  <c r="I9554" i="3"/>
  <c r="I9556" i="3"/>
  <c r="I9558" i="3"/>
  <c r="I9560" i="3"/>
  <c r="I9562" i="3"/>
  <c r="I9564" i="3"/>
  <c r="I9566" i="3"/>
  <c r="I9568" i="3"/>
  <c r="I9570" i="3"/>
  <c r="I9572" i="3"/>
  <c r="I9574" i="3"/>
  <c r="I9576" i="3"/>
  <c r="I9578" i="3"/>
  <c r="I9580" i="3"/>
  <c r="I9582" i="3"/>
  <c r="I9584" i="3"/>
  <c r="I9586" i="3"/>
  <c r="I9588" i="3"/>
  <c r="I9590" i="3"/>
  <c r="I9592" i="3"/>
  <c r="I9594" i="3"/>
  <c r="I9596" i="3"/>
  <c r="I9598" i="3"/>
  <c r="I9600" i="3"/>
  <c r="I9602" i="3"/>
  <c r="I9604" i="3"/>
  <c r="I9606" i="3"/>
  <c r="I9608" i="3"/>
  <c r="I9610" i="3"/>
  <c r="I9612" i="3"/>
  <c r="I9614" i="3"/>
  <c r="I9616" i="3"/>
  <c r="I9618" i="3"/>
  <c r="I9620" i="3"/>
  <c r="I9622" i="3"/>
  <c r="I9624" i="3"/>
  <c r="I9626" i="3"/>
  <c r="I9628" i="3"/>
  <c r="I9630" i="3"/>
  <c r="I9632" i="3"/>
  <c r="I9634" i="3"/>
  <c r="I9636" i="3"/>
  <c r="I9638" i="3"/>
  <c r="I9640" i="3"/>
  <c r="I9642" i="3"/>
  <c r="I9644" i="3"/>
  <c r="I9646" i="3"/>
  <c r="I9648" i="3"/>
  <c r="I9650" i="3"/>
  <c r="I9652" i="3"/>
  <c r="I9654" i="3"/>
  <c r="I9656" i="3"/>
  <c r="I9658" i="3"/>
  <c r="I9660" i="3"/>
  <c r="I9662" i="3"/>
  <c r="I9664" i="3"/>
  <c r="I9674" i="3"/>
  <c r="I9676" i="3"/>
  <c r="I9678" i="3"/>
  <c r="I9680" i="3"/>
  <c r="I9682" i="3"/>
  <c r="I9684" i="3"/>
  <c r="I9686" i="3"/>
  <c r="I9688" i="3"/>
  <c r="I9690" i="3"/>
  <c r="I9692" i="3"/>
  <c r="I9694" i="3"/>
  <c r="I9696" i="3"/>
  <c r="AA182" i="23"/>
  <c r="AA184" i="23"/>
  <c r="AA192" i="23"/>
  <c r="AA203" i="23"/>
  <c r="AA171" i="23"/>
  <c r="AA174" i="23"/>
  <c r="AA177" i="23"/>
  <c r="AA179" i="23"/>
  <c r="AA159" i="23"/>
  <c r="AA163" i="23"/>
  <c r="AA169" i="23"/>
  <c r="AA172" i="23"/>
  <c r="AA175" i="23"/>
  <c r="AA146" i="23"/>
  <c r="AA150" i="23"/>
  <c r="AA144" i="23"/>
  <c r="AA148" i="23"/>
  <c r="AA145" i="23"/>
  <c r="AA149" i="23"/>
  <c r="AA147" i="23"/>
  <c r="AA162" i="23"/>
  <c r="AA161" i="23"/>
  <c r="AA180" i="23"/>
  <c r="AA181" i="23"/>
  <c r="AA186" i="23"/>
  <c r="AA187" i="23"/>
  <c r="AA188" i="23"/>
  <c r="AA189" i="23"/>
  <c r="AA190" i="23"/>
  <c r="AA191" i="23"/>
  <c r="AA155" i="23"/>
  <c r="AA166" i="23"/>
  <c r="AA164" i="23"/>
  <c r="AA168" i="23"/>
  <c r="AA165" i="23"/>
  <c r="AA167" i="23"/>
  <c r="AA178" i="23"/>
  <c r="Y144" i="23"/>
  <c r="Z141" i="23"/>
  <c r="AB155" i="23" s="1"/>
  <c r="Z145" i="23"/>
  <c r="Z139" i="23"/>
  <c r="Z143" i="23"/>
  <c r="Z144" i="23"/>
  <c r="Z142" i="23"/>
  <c r="Z140" i="23"/>
  <c r="AA151" i="23"/>
  <c r="AA154" i="23"/>
  <c r="AA152" i="23"/>
  <c r="AA153" i="23"/>
  <c r="AA156" i="23"/>
  <c r="AA157" i="23"/>
  <c r="E154" i="23"/>
  <c r="AA160" i="23"/>
  <c r="AH160" i="23" s="1"/>
  <c r="AA173" i="23"/>
  <c r="AA206" i="23"/>
  <c r="AA207" i="23"/>
  <c r="AF108" i="23"/>
  <c r="AF104" i="23"/>
  <c r="AF100" i="23"/>
  <c r="AF96" i="23"/>
  <c r="AF92" i="23"/>
  <c r="AF88" i="23"/>
  <c r="AF84" i="23"/>
  <c r="AF128" i="23"/>
  <c r="AF95" i="23"/>
  <c r="AF135" i="23"/>
  <c r="AF116" i="23"/>
  <c r="Q122" i="23"/>
  <c r="AF111" i="23"/>
  <c r="AF107" i="23"/>
  <c r="AF103" i="23"/>
  <c r="AF99" i="23"/>
  <c r="AF91" i="23"/>
  <c r="AF87" i="23"/>
  <c r="AF83" i="23"/>
  <c r="T122" i="23"/>
  <c r="AF115" i="23"/>
  <c r="X128" i="23"/>
  <c r="C139" i="23"/>
  <c r="K139" i="23" s="1"/>
  <c r="AF110" i="23"/>
  <c r="AF106" i="23"/>
  <c r="AF102" i="23"/>
  <c r="AF98" i="23"/>
  <c r="AF94" i="23"/>
  <c r="AF90" i="23"/>
  <c r="AF86" i="23"/>
  <c r="AF82" i="23"/>
  <c r="Y139" i="23"/>
  <c r="AF134" i="23"/>
  <c r="Y145" i="23"/>
  <c r="AF118" i="23"/>
  <c r="Y140" i="23"/>
  <c r="Y141" i="23"/>
  <c r="T136" i="23"/>
  <c r="R136" i="23"/>
  <c r="T113" i="23"/>
  <c r="R113" i="23"/>
  <c r="C120" i="23"/>
  <c r="R120" i="23" s="1"/>
  <c r="R119" i="23"/>
  <c r="S113" i="23"/>
  <c r="E114" i="23"/>
  <c r="K114" i="23" s="1"/>
  <c r="AB128" i="23" s="1"/>
  <c r="AC128" i="23" s="1"/>
  <c r="Q114" i="23"/>
  <c r="T119" i="23"/>
  <c r="S122" i="23"/>
  <c r="R122" i="23"/>
  <c r="AF129" i="23" s="1"/>
  <c r="T138" i="23"/>
  <c r="R138" i="23"/>
  <c r="AI139" i="23"/>
  <c r="AI143" i="23"/>
  <c r="AI147" i="23"/>
  <c r="AI151" i="23"/>
  <c r="AI155" i="23"/>
  <c r="AI159" i="23"/>
  <c r="AI163" i="23"/>
  <c r="AI167" i="23"/>
  <c r="AI171" i="23"/>
  <c r="AI175" i="23"/>
  <c r="AI179" i="23"/>
  <c r="AI183" i="23"/>
  <c r="AI187" i="23"/>
  <c r="AI191" i="23"/>
  <c r="AI195" i="23"/>
  <c r="AI199" i="23"/>
  <c r="AI203" i="23"/>
  <c r="AI207" i="23"/>
  <c r="AI211" i="23"/>
  <c r="AI215" i="23"/>
  <c r="AI219" i="23"/>
  <c r="AI223" i="23"/>
  <c r="AI227" i="23"/>
  <c r="AI231" i="23"/>
  <c r="AI235" i="23"/>
  <c r="AI239" i="23"/>
  <c r="AI243" i="23"/>
  <c r="AI247" i="23"/>
  <c r="AI251" i="23"/>
  <c r="AI255" i="23"/>
  <c r="AI259" i="23"/>
  <c r="AI263" i="23"/>
  <c r="AI267" i="23"/>
  <c r="AI271" i="23"/>
  <c r="AI275" i="23"/>
  <c r="AI279" i="23"/>
  <c r="AI283" i="23"/>
  <c r="AI287" i="23"/>
  <c r="AI291" i="23"/>
  <c r="AI295" i="23"/>
  <c r="AI299" i="23"/>
  <c r="AI303" i="23"/>
  <c r="AI307" i="23"/>
  <c r="AI311" i="23"/>
  <c r="AI315" i="23"/>
  <c r="AI319" i="23"/>
  <c r="AI323" i="23"/>
  <c r="AI327" i="23"/>
  <c r="AI331" i="23"/>
  <c r="AI335" i="23"/>
  <c r="AI339" i="23"/>
  <c r="AI343" i="23"/>
  <c r="AI347" i="23"/>
  <c r="AI351" i="23"/>
  <c r="AI355" i="23"/>
  <c r="AI359" i="23"/>
  <c r="AI363" i="23"/>
  <c r="AI367" i="23"/>
  <c r="AI361" i="23"/>
  <c r="AI150" i="23"/>
  <c r="AI162" i="23"/>
  <c r="AI174" i="23"/>
  <c r="AI140" i="23"/>
  <c r="AI144" i="23"/>
  <c r="AI148" i="23"/>
  <c r="AI152" i="23"/>
  <c r="AI156" i="23"/>
  <c r="AI160" i="23"/>
  <c r="AI164" i="23"/>
  <c r="AI168" i="23"/>
  <c r="AI172" i="23"/>
  <c r="AI176" i="23"/>
  <c r="AI180" i="23"/>
  <c r="AI184" i="23"/>
  <c r="AI188" i="23"/>
  <c r="AI192" i="23"/>
  <c r="AI196" i="23"/>
  <c r="AI200" i="23"/>
  <c r="AI204" i="23"/>
  <c r="AI208" i="23"/>
  <c r="AI212" i="23"/>
  <c r="AI216" i="23"/>
  <c r="AI220" i="23"/>
  <c r="AI224" i="23"/>
  <c r="AI228" i="23"/>
  <c r="AI232" i="23"/>
  <c r="AI236" i="23"/>
  <c r="AI240" i="23"/>
  <c r="AI244" i="23"/>
  <c r="AI248" i="23"/>
  <c r="AI252" i="23"/>
  <c r="AI256" i="23"/>
  <c r="AI260" i="23"/>
  <c r="AI264" i="23"/>
  <c r="AI268" i="23"/>
  <c r="AI272" i="23"/>
  <c r="AI276" i="23"/>
  <c r="AI280" i="23"/>
  <c r="AI284" i="23"/>
  <c r="AI288" i="23"/>
  <c r="AI292" i="23"/>
  <c r="AI296" i="23"/>
  <c r="AI300" i="23"/>
  <c r="AI304" i="23"/>
  <c r="AI308" i="23"/>
  <c r="AI312" i="23"/>
  <c r="AI316" i="23"/>
  <c r="AI320" i="23"/>
  <c r="AI324" i="23"/>
  <c r="AI328" i="23"/>
  <c r="AI332" i="23"/>
  <c r="AI336" i="23"/>
  <c r="AI340" i="23"/>
  <c r="AI344" i="23"/>
  <c r="AI348" i="23"/>
  <c r="AI352" i="23"/>
  <c r="AI356" i="23"/>
  <c r="AI360" i="23"/>
  <c r="AI364" i="23"/>
  <c r="AI368" i="23"/>
  <c r="AI365" i="23"/>
  <c r="AI146" i="23"/>
  <c r="AI158" i="23"/>
  <c r="AI170" i="23"/>
  <c r="AI182" i="23"/>
  <c r="AI186" i="23"/>
  <c r="AI141" i="23"/>
  <c r="AI145" i="23"/>
  <c r="AI149" i="23"/>
  <c r="AI153" i="23"/>
  <c r="AI157" i="23"/>
  <c r="AI161" i="23"/>
  <c r="AI165" i="23"/>
  <c r="AI169" i="23"/>
  <c r="AI173" i="23"/>
  <c r="AI177" i="23"/>
  <c r="AI181" i="23"/>
  <c r="AI185" i="23"/>
  <c r="AI189" i="23"/>
  <c r="AI193" i="23"/>
  <c r="AI197" i="23"/>
  <c r="AI201" i="23"/>
  <c r="AI205" i="23"/>
  <c r="AI209" i="23"/>
  <c r="AI213" i="23"/>
  <c r="AI217" i="23"/>
  <c r="AI221" i="23"/>
  <c r="AI225" i="23"/>
  <c r="AI229" i="23"/>
  <c r="AI233" i="23"/>
  <c r="AI237" i="23"/>
  <c r="AI241" i="23"/>
  <c r="AI245" i="23"/>
  <c r="AI249" i="23"/>
  <c r="AI253" i="23"/>
  <c r="AI257" i="23"/>
  <c r="AI261" i="23"/>
  <c r="AI265" i="23"/>
  <c r="AI269" i="23"/>
  <c r="AI273" i="23"/>
  <c r="AI277" i="23"/>
  <c r="AI281" i="23"/>
  <c r="AI285" i="23"/>
  <c r="AI289" i="23"/>
  <c r="AI293" i="23"/>
  <c r="AI297" i="23"/>
  <c r="AI301" i="23"/>
  <c r="AI305" i="23"/>
  <c r="AI309" i="23"/>
  <c r="AI313" i="23"/>
  <c r="AI317" i="23"/>
  <c r="AI321" i="23"/>
  <c r="AI325" i="23"/>
  <c r="AI329" i="23"/>
  <c r="AI333" i="23"/>
  <c r="AI337" i="23"/>
  <c r="AI341" i="23"/>
  <c r="AI345" i="23"/>
  <c r="AI349" i="23"/>
  <c r="AI353" i="23"/>
  <c r="AI357" i="23"/>
  <c r="AI369" i="23"/>
  <c r="AI142" i="23"/>
  <c r="AI154" i="23"/>
  <c r="AI166" i="23"/>
  <c r="AI178" i="23"/>
  <c r="AI190" i="23"/>
  <c r="AI206" i="23"/>
  <c r="AI222" i="23"/>
  <c r="AI238" i="23"/>
  <c r="AI254" i="23"/>
  <c r="AI270" i="23"/>
  <c r="AI286" i="23"/>
  <c r="AI302" i="23"/>
  <c r="AI318" i="23"/>
  <c r="AI334" i="23"/>
  <c r="AI350" i="23"/>
  <c r="AI366" i="23"/>
  <c r="AI194" i="23"/>
  <c r="AI210" i="23"/>
  <c r="AI226" i="23"/>
  <c r="AI242" i="23"/>
  <c r="AI258" i="23"/>
  <c r="AI274" i="23"/>
  <c r="AI290" i="23"/>
  <c r="AI306" i="23"/>
  <c r="AI322" i="23"/>
  <c r="AI338" i="23"/>
  <c r="AI354" i="23"/>
  <c r="AI370" i="23"/>
  <c r="AI198" i="23"/>
  <c r="AI214" i="23"/>
  <c r="AI230" i="23"/>
  <c r="AI246" i="23"/>
  <c r="AI262" i="23"/>
  <c r="AI278" i="23"/>
  <c r="AI294" i="23"/>
  <c r="AI310" i="23"/>
  <c r="AI326" i="23"/>
  <c r="AI342" i="23"/>
  <c r="AI358" i="23"/>
  <c r="AI202" i="23"/>
  <c r="AI218" i="23"/>
  <c r="AI234" i="23"/>
  <c r="AI250" i="23"/>
  <c r="AI266" i="23"/>
  <c r="AI282" i="23"/>
  <c r="AI298" i="23"/>
  <c r="AI314" i="23"/>
  <c r="AI330" i="23"/>
  <c r="AI346" i="23"/>
  <c r="AI362" i="23"/>
  <c r="T141" i="23"/>
  <c r="R141" i="23"/>
  <c r="E142" i="23"/>
  <c r="K142" i="23" s="1"/>
  <c r="Y143" i="23"/>
  <c r="E151" i="23"/>
  <c r="AF137" i="23"/>
  <c r="AF109" i="23"/>
  <c r="AF105" i="23"/>
  <c r="AF101" i="23"/>
  <c r="AF97" i="23"/>
  <c r="AF93" i="23"/>
  <c r="AF89" i="23"/>
  <c r="AF85" i="23"/>
  <c r="AF81" i="23"/>
  <c r="AF117" i="23"/>
  <c r="AF112" i="23"/>
  <c r="C144" i="23"/>
  <c r="S119" i="23"/>
  <c r="Q123" i="23"/>
  <c r="C124" i="23"/>
  <c r="S136" i="23"/>
  <c r="Y142" i="23"/>
  <c r="Q119" i="23"/>
  <c r="E123" i="23"/>
  <c r="K123" i="23" s="1"/>
  <c r="AB137" i="23" s="1"/>
  <c r="AC137" i="23" s="1"/>
  <c r="J399" i="23"/>
  <c r="J400" i="23" s="1"/>
  <c r="J401" i="23" s="1"/>
  <c r="J402" i="23" s="1"/>
  <c r="J403" i="23" s="1"/>
  <c r="N401" i="23"/>
  <c r="F393" i="1"/>
  <c r="S393" i="1"/>
  <c r="AF461" i="23" l="1"/>
  <c r="AK461" i="23"/>
  <c r="AF454" i="23"/>
  <c r="AQ453" i="23"/>
  <c r="K120" i="23"/>
  <c r="AB134" i="23" s="1"/>
  <c r="AC134" i="23" s="1"/>
  <c r="AB153" i="23"/>
  <c r="AQ452" i="23"/>
  <c r="AQ448" i="23"/>
  <c r="AQ449" i="23"/>
  <c r="AQ450" i="23"/>
  <c r="AQ447" i="23"/>
  <c r="AQ451" i="23"/>
  <c r="AQ446" i="23"/>
  <c r="AB156" i="23"/>
  <c r="AB150" i="23"/>
  <c r="L136" i="23"/>
  <c r="E152" i="23"/>
  <c r="E155" i="23"/>
  <c r="C140" i="23"/>
  <c r="S123" i="23"/>
  <c r="AC123" i="23"/>
  <c r="T142" i="23"/>
  <c r="AC142" i="23"/>
  <c r="T114" i="23"/>
  <c r="AC114" i="23"/>
  <c r="AQ443" i="23"/>
  <c r="AQ444" i="23"/>
  <c r="AQ445" i="23"/>
  <c r="AQ439" i="23"/>
  <c r="AQ441" i="23"/>
  <c r="AQ440" i="23"/>
  <c r="AQ442" i="23"/>
  <c r="AQ434" i="23"/>
  <c r="AQ433" i="23"/>
  <c r="AQ436" i="23"/>
  <c r="AQ438" i="23"/>
  <c r="AQ435" i="23"/>
  <c r="AQ437" i="23"/>
  <c r="AH161" i="23"/>
  <c r="AJ153" i="23"/>
  <c r="AH153" i="23"/>
  <c r="AQ432" i="23"/>
  <c r="AJ178" i="23"/>
  <c r="AH178" i="23"/>
  <c r="AH164" i="23"/>
  <c r="AJ190" i="23"/>
  <c r="AH190" i="23"/>
  <c r="AJ186" i="23"/>
  <c r="AH186" i="23"/>
  <c r="AH162" i="23"/>
  <c r="AJ148" i="23"/>
  <c r="AH148" i="23"/>
  <c r="AJ175" i="23"/>
  <c r="AH175" i="23"/>
  <c r="AH159" i="23"/>
  <c r="AJ171" i="23"/>
  <c r="AH171" i="23"/>
  <c r="AJ182" i="23"/>
  <c r="AH182" i="23"/>
  <c r="AJ204" i="23"/>
  <c r="AH204" i="23"/>
  <c r="AH211" i="23"/>
  <c r="AJ201" i="23"/>
  <c r="AH201" i="23"/>
  <c r="AJ199" i="23"/>
  <c r="AH199" i="23"/>
  <c r="AJ197" i="23"/>
  <c r="AH197" i="23"/>
  <c r="AJ195" i="23"/>
  <c r="AH195" i="23"/>
  <c r="AJ193" i="23"/>
  <c r="AH193" i="23"/>
  <c r="AJ183" i="23"/>
  <c r="AH183" i="23"/>
  <c r="AJ176" i="23"/>
  <c r="AH176" i="23"/>
  <c r="AH207" i="23"/>
  <c r="AH214" i="23"/>
  <c r="AJ152" i="23"/>
  <c r="AH152" i="23"/>
  <c r="AJ167" i="23"/>
  <c r="AH167" i="23"/>
  <c r="AJ166" i="23"/>
  <c r="AH166" i="23"/>
  <c r="AJ189" i="23"/>
  <c r="AH189" i="23"/>
  <c r="AJ181" i="23"/>
  <c r="AH181" i="23"/>
  <c r="AJ147" i="23"/>
  <c r="AH147" i="23"/>
  <c r="AJ144" i="23"/>
  <c r="AH144" i="23"/>
  <c r="AJ172" i="23"/>
  <c r="AH172" i="23"/>
  <c r="AJ179" i="23"/>
  <c r="AH179" i="23"/>
  <c r="AJ203" i="23"/>
  <c r="AH203" i="23"/>
  <c r="AH210" i="23"/>
  <c r="AH208" i="23"/>
  <c r="AH215" i="23"/>
  <c r="AH206" i="23"/>
  <c r="AH213" i="23"/>
  <c r="AJ157" i="23"/>
  <c r="AH157" i="23"/>
  <c r="AJ154" i="23"/>
  <c r="AH154" i="23"/>
  <c r="AJ165" i="23"/>
  <c r="AH165" i="23"/>
  <c r="AJ155" i="23"/>
  <c r="AH155" i="23"/>
  <c r="AJ188" i="23"/>
  <c r="AH188" i="23"/>
  <c r="AJ180" i="23"/>
  <c r="AH180" i="23"/>
  <c r="AJ149" i="23"/>
  <c r="AH149" i="23"/>
  <c r="AJ150" i="23"/>
  <c r="AH150" i="23"/>
  <c r="AJ169" i="23"/>
  <c r="AH169" i="23"/>
  <c r="AJ177" i="23"/>
  <c r="AH177" i="23"/>
  <c r="AJ192" i="23"/>
  <c r="AH192" i="23"/>
  <c r="AJ205" i="23"/>
  <c r="AH205" i="23"/>
  <c r="AH212" i="23"/>
  <c r="AJ202" i="23"/>
  <c r="AH202" i="23"/>
  <c r="AJ200" i="23"/>
  <c r="AH200" i="23"/>
  <c r="AJ198" i="23"/>
  <c r="AH198" i="23"/>
  <c r="AJ196" i="23"/>
  <c r="AH196" i="23"/>
  <c r="AJ194" i="23"/>
  <c r="AH194" i="23"/>
  <c r="AJ185" i="23"/>
  <c r="AH185" i="23"/>
  <c r="AJ170" i="23"/>
  <c r="AH170" i="23"/>
  <c r="AH158" i="23"/>
  <c r="AJ173" i="23"/>
  <c r="AH173" i="23"/>
  <c r="AJ156" i="23"/>
  <c r="AH156" i="23"/>
  <c r="AJ151" i="23"/>
  <c r="AH151" i="23"/>
  <c r="AJ168" i="23"/>
  <c r="AH168" i="23"/>
  <c r="AJ191" i="23"/>
  <c r="AH191" i="23"/>
  <c r="AJ187" i="23"/>
  <c r="AH187" i="23"/>
  <c r="AJ145" i="23"/>
  <c r="AH145" i="23"/>
  <c r="AJ146" i="23"/>
  <c r="AH146" i="23"/>
  <c r="AH163" i="23"/>
  <c r="AJ174" i="23"/>
  <c r="AH174" i="23"/>
  <c r="AJ184" i="23"/>
  <c r="AH184" i="23"/>
  <c r="AH209" i="23"/>
  <c r="AH216" i="23"/>
  <c r="AJ207" i="23"/>
  <c r="AM214" i="23"/>
  <c r="AJ208" i="23"/>
  <c r="AM215" i="23"/>
  <c r="AJ206" i="23"/>
  <c r="AM213" i="23"/>
  <c r="AJ209" i="23"/>
  <c r="AM216" i="23"/>
  <c r="AQ428" i="23"/>
  <c r="AQ426" i="23"/>
  <c r="AQ431" i="23"/>
  <c r="AQ429" i="23"/>
  <c r="AQ430" i="23"/>
  <c r="AQ427" i="23"/>
  <c r="AJ163" i="23"/>
  <c r="AJ160" i="23"/>
  <c r="AQ422" i="23"/>
  <c r="AQ423" i="23"/>
  <c r="AQ425" i="23"/>
  <c r="AQ424" i="23"/>
  <c r="AJ161" i="23"/>
  <c r="AQ411" i="23"/>
  <c r="AQ415" i="23"/>
  <c r="AQ398" i="23"/>
  <c r="AQ417" i="23"/>
  <c r="AQ413" i="23"/>
  <c r="AQ416" i="23"/>
  <c r="AQ396" i="23"/>
  <c r="AQ419" i="23"/>
  <c r="AQ402" i="23"/>
  <c r="AQ406" i="23"/>
  <c r="AQ401" i="23"/>
  <c r="AQ397" i="23"/>
  <c r="AQ400" i="23"/>
  <c r="AQ395" i="23"/>
  <c r="AQ399" i="23"/>
  <c r="AQ410" i="23"/>
  <c r="AQ414" i="23"/>
  <c r="AQ408" i="23"/>
  <c r="AQ404" i="23"/>
  <c r="AQ405" i="23"/>
  <c r="AQ403" i="23"/>
  <c r="AQ407" i="23"/>
  <c r="AQ418" i="23"/>
  <c r="AQ420" i="23"/>
  <c r="AQ421" i="23"/>
  <c r="AQ409" i="23"/>
  <c r="AQ412" i="23"/>
  <c r="AJ164" i="23"/>
  <c r="AJ162" i="23"/>
  <c r="AJ159" i="23"/>
  <c r="AJ158" i="23"/>
  <c r="AE145" i="23"/>
  <c r="AE152" i="23"/>
  <c r="AE144" i="23"/>
  <c r="AE151" i="23"/>
  <c r="AE141" i="23"/>
  <c r="AE148" i="23"/>
  <c r="AE142" i="23"/>
  <c r="AE149" i="23"/>
  <c r="AE143" i="23"/>
  <c r="AE150" i="23"/>
  <c r="AE140" i="23"/>
  <c r="AE147" i="23"/>
  <c r="AE139" i="23"/>
  <c r="AE146" i="23"/>
  <c r="R142" i="23"/>
  <c r="AF142" i="23" s="1"/>
  <c r="S139" i="23"/>
  <c r="R139" i="23"/>
  <c r="X139" i="23" s="1"/>
  <c r="T139" i="23"/>
  <c r="S114" i="23"/>
  <c r="S142" i="23"/>
  <c r="E143" i="23"/>
  <c r="K143" i="23" s="1"/>
  <c r="AB157" i="23" s="1"/>
  <c r="R114" i="23"/>
  <c r="AF121" i="23" s="1"/>
  <c r="AF138" i="23"/>
  <c r="X138" i="23"/>
  <c r="AF122" i="23"/>
  <c r="X122" i="23"/>
  <c r="R140" i="23"/>
  <c r="J404" i="23"/>
  <c r="Q120" i="23"/>
  <c r="R123" i="23"/>
  <c r="X141" i="23"/>
  <c r="AF141" i="23"/>
  <c r="X120" i="23"/>
  <c r="AF120" i="23"/>
  <c r="AF127" i="23"/>
  <c r="S120" i="23"/>
  <c r="T120" i="23"/>
  <c r="AF119" i="23"/>
  <c r="X119" i="23"/>
  <c r="X113" i="23"/>
  <c r="AF113" i="23"/>
  <c r="AF136" i="23"/>
  <c r="X136" i="23"/>
  <c r="C125" i="23"/>
  <c r="Q124" i="23"/>
  <c r="T123" i="23"/>
  <c r="E124" i="23"/>
  <c r="K124" i="23" s="1"/>
  <c r="AB138" i="23" s="1"/>
  <c r="AC138" i="23" s="1"/>
  <c r="C145" i="23"/>
  <c r="E156" i="23"/>
  <c r="H9385" i="3"/>
  <c r="G9385" i="3"/>
  <c r="H9384" i="3"/>
  <c r="G9384" i="3"/>
  <c r="H9383" i="3"/>
  <c r="G9383" i="3"/>
  <c r="H9382" i="3"/>
  <c r="G9382" i="3"/>
  <c r="H9381" i="3"/>
  <c r="G9381" i="3"/>
  <c r="H9380" i="3"/>
  <c r="G9380" i="3"/>
  <c r="H9379" i="3"/>
  <c r="G9379" i="3"/>
  <c r="H9378" i="3"/>
  <c r="G9378" i="3"/>
  <c r="H9377" i="3"/>
  <c r="G9377" i="3"/>
  <c r="H9376" i="3"/>
  <c r="G9376" i="3"/>
  <c r="H9375" i="3"/>
  <c r="G9375" i="3"/>
  <c r="H9374" i="3"/>
  <c r="G9374" i="3"/>
  <c r="H9373" i="3"/>
  <c r="G9373" i="3"/>
  <c r="H9372" i="3"/>
  <c r="G9372" i="3"/>
  <c r="H9371" i="3"/>
  <c r="G9371" i="3"/>
  <c r="H9370" i="3"/>
  <c r="G9370" i="3"/>
  <c r="H9369" i="3"/>
  <c r="G9369" i="3"/>
  <c r="H9368" i="3"/>
  <c r="G9368" i="3"/>
  <c r="H9367" i="3"/>
  <c r="G9367" i="3"/>
  <c r="H9366" i="3"/>
  <c r="G9366" i="3"/>
  <c r="H9365" i="3"/>
  <c r="G9365" i="3"/>
  <c r="H9364" i="3"/>
  <c r="G9364" i="3"/>
  <c r="H9363" i="3"/>
  <c r="G9363" i="3"/>
  <c r="H9362" i="3"/>
  <c r="G9362" i="3"/>
  <c r="S392" i="1"/>
  <c r="F392" i="1"/>
  <c r="H9361" i="3"/>
  <c r="G9361" i="3"/>
  <c r="H9360" i="3"/>
  <c r="G9360" i="3"/>
  <c r="H9359" i="3"/>
  <c r="G9359" i="3"/>
  <c r="H9358" i="3"/>
  <c r="G9358" i="3"/>
  <c r="H9357" i="3"/>
  <c r="G9357" i="3"/>
  <c r="H9356" i="3"/>
  <c r="G9356" i="3"/>
  <c r="H9355" i="3"/>
  <c r="G9355" i="3"/>
  <c r="H9354" i="3"/>
  <c r="G9354" i="3"/>
  <c r="H9353" i="3"/>
  <c r="G9353" i="3"/>
  <c r="H9352" i="3"/>
  <c r="G9352" i="3"/>
  <c r="H9351" i="3"/>
  <c r="G9351" i="3"/>
  <c r="H9350" i="3"/>
  <c r="G9350" i="3"/>
  <c r="H9349" i="3"/>
  <c r="G9349" i="3"/>
  <c r="H9348" i="3"/>
  <c r="G9348" i="3"/>
  <c r="H9347" i="3"/>
  <c r="G9347" i="3"/>
  <c r="H9346" i="3"/>
  <c r="G9346" i="3"/>
  <c r="H9345" i="3"/>
  <c r="G9345" i="3"/>
  <c r="H9344" i="3"/>
  <c r="G9344" i="3"/>
  <c r="H9343" i="3"/>
  <c r="G9343" i="3"/>
  <c r="H9342" i="3"/>
  <c r="G9342" i="3"/>
  <c r="H9341" i="3"/>
  <c r="G9341" i="3"/>
  <c r="H9340" i="3"/>
  <c r="G9340" i="3"/>
  <c r="H9339" i="3"/>
  <c r="G9339" i="3"/>
  <c r="H9338" i="3"/>
  <c r="G9338" i="3"/>
  <c r="M389" i="1"/>
  <c r="M390" i="1"/>
  <c r="S391" i="1"/>
  <c r="F391" i="1"/>
  <c r="T26" i="15"/>
  <c r="T3" i="15"/>
  <c r="T4" i="15"/>
  <c r="T5" i="15"/>
  <c r="T6" i="15"/>
  <c r="T7" i="15"/>
  <c r="T8" i="15"/>
  <c r="T9" i="15"/>
  <c r="T10" i="15"/>
  <c r="T11" i="15"/>
  <c r="T12" i="15"/>
  <c r="T13" i="15"/>
  <c r="T14" i="15"/>
  <c r="T15" i="15"/>
  <c r="T16" i="15"/>
  <c r="T17" i="15"/>
  <c r="T18" i="15"/>
  <c r="T19" i="15"/>
  <c r="T20" i="15"/>
  <c r="T21" i="15"/>
  <c r="T22" i="15"/>
  <c r="T23" i="15"/>
  <c r="T24" i="15"/>
  <c r="T25" i="15"/>
  <c r="T2" i="15"/>
  <c r="S26" i="15"/>
  <c r="R26" i="15"/>
  <c r="Q26" i="15"/>
  <c r="S3" i="15"/>
  <c r="S4" i="15"/>
  <c r="S5" i="15"/>
  <c r="S6" i="15"/>
  <c r="S7" i="15"/>
  <c r="S8" i="15"/>
  <c r="S9" i="15"/>
  <c r="S10" i="15"/>
  <c r="S11" i="15"/>
  <c r="S12" i="15"/>
  <c r="S13" i="15"/>
  <c r="S14" i="15"/>
  <c r="S15" i="15"/>
  <c r="S16" i="15"/>
  <c r="S17" i="15"/>
  <c r="S18" i="15"/>
  <c r="S19" i="15"/>
  <c r="S20" i="15"/>
  <c r="S21" i="15"/>
  <c r="S22" i="15"/>
  <c r="S23" i="15"/>
  <c r="S24" i="15"/>
  <c r="S25" i="15"/>
  <c r="S2" i="15"/>
  <c r="N26" i="15"/>
  <c r="O5" i="15"/>
  <c r="O9" i="15"/>
  <c r="O13" i="15"/>
  <c r="O17" i="15"/>
  <c r="O21" i="15"/>
  <c r="O25" i="15"/>
  <c r="O3" i="15"/>
  <c r="O4" i="15"/>
  <c r="O6" i="15"/>
  <c r="O7" i="15"/>
  <c r="O8" i="15"/>
  <c r="O10" i="15"/>
  <c r="O11" i="15"/>
  <c r="O12" i="15"/>
  <c r="O14" i="15"/>
  <c r="O15" i="15"/>
  <c r="O16" i="15"/>
  <c r="O18" i="15"/>
  <c r="O19" i="15"/>
  <c r="O20" i="15"/>
  <c r="O22" i="15"/>
  <c r="O23" i="15"/>
  <c r="O24" i="15"/>
  <c r="O26" i="15"/>
  <c r="O2" i="15"/>
  <c r="H9337" i="3"/>
  <c r="G9337" i="3"/>
  <c r="H9336" i="3"/>
  <c r="G9336" i="3"/>
  <c r="H9335" i="3"/>
  <c r="G9335" i="3"/>
  <c r="H9334" i="3"/>
  <c r="G9334" i="3"/>
  <c r="H9333" i="3"/>
  <c r="G9333" i="3"/>
  <c r="H9332" i="3"/>
  <c r="G9332" i="3"/>
  <c r="H9331" i="3"/>
  <c r="G9331" i="3"/>
  <c r="H9330" i="3"/>
  <c r="G9330" i="3"/>
  <c r="H9329" i="3"/>
  <c r="G9329" i="3"/>
  <c r="H9328" i="3"/>
  <c r="G9328" i="3"/>
  <c r="H9327" i="3"/>
  <c r="G9327" i="3"/>
  <c r="H9326" i="3"/>
  <c r="G9326" i="3"/>
  <c r="H9325" i="3"/>
  <c r="G9325" i="3"/>
  <c r="H9324" i="3"/>
  <c r="G9324" i="3"/>
  <c r="H9323" i="3"/>
  <c r="G9323" i="3"/>
  <c r="H9322" i="3"/>
  <c r="G9322" i="3"/>
  <c r="H9321" i="3"/>
  <c r="G9321" i="3"/>
  <c r="H9320" i="3"/>
  <c r="G9320" i="3"/>
  <c r="H9319" i="3"/>
  <c r="G9319" i="3"/>
  <c r="H9318" i="3"/>
  <c r="G9318" i="3"/>
  <c r="H9317" i="3"/>
  <c r="G9317" i="3"/>
  <c r="H9316" i="3"/>
  <c r="G9316" i="3"/>
  <c r="H9315" i="3"/>
  <c r="G9315" i="3"/>
  <c r="H9314" i="3"/>
  <c r="G9314" i="3"/>
  <c r="S390" i="1"/>
  <c r="J169" i="1"/>
  <c r="J388" i="1"/>
  <c r="J387" i="1" s="1"/>
  <c r="J386" i="1" s="1"/>
  <c r="J385" i="1" s="1"/>
  <c r="J384" i="1" s="1"/>
  <c r="J383" i="1" s="1"/>
  <c r="J382" i="1" s="1"/>
  <c r="J381" i="1" s="1"/>
  <c r="J380" i="1" s="1"/>
  <c r="J379" i="1" s="1"/>
  <c r="J378" i="1" s="1"/>
  <c r="J377" i="1" s="1"/>
  <c r="J376" i="1" s="1"/>
  <c r="J375" i="1" s="1"/>
  <c r="J374" i="1" s="1"/>
  <c r="J373" i="1" s="1"/>
  <c r="J372" i="1" s="1"/>
  <c r="J371" i="1" s="1"/>
  <c r="J370" i="1" s="1"/>
  <c r="J369" i="1" s="1"/>
  <c r="J368" i="1" s="1"/>
  <c r="J367" i="1" s="1"/>
  <c r="J366" i="1" s="1"/>
  <c r="J365" i="1" s="1"/>
  <c r="J364" i="1" s="1"/>
  <c r="J363" i="1" s="1"/>
  <c r="J362" i="1" s="1"/>
  <c r="J361" i="1" s="1"/>
  <c r="J360" i="1" s="1"/>
  <c r="J359" i="1" s="1"/>
  <c r="J358" i="1" s="1"/>
  <c r="J357" i="1" s="1"/>
  <c r="J356" i="1" s="1"/>
  <c r="J355" i="1" s="1"/>
  <c r="J354" i="1" s="1"/>
  <c r="J353" i="1" s="1"/>
  <c r="J352" i="1" s="1"/>
  <c r="J351" i="1" s="1"/>
  <c r="J350" i="1" s="1"/>
  <c r="J349" i="1" s="1"/>
  <c r="J348" i="1" s="1"/>
  <c r="J347" i="1" s="1"/>
  <c r="J346" i="1" s="1"/>
  <c r="J345" i="1" s="1"/>
  <c r="J344" i="1" s="1"/>
  <c r="J343" i="1" s="1"/>
  <c r="J342" i="1" s="1"/>
  <c r="J341" i="1" s="1"/>
  <c r="J340" i="1" s="1"/>
  <c r="J339" i="1" s="1"/>
  <c r="J338" i="1" s="1"/>
  <c r="J337" i="1" s="1"/>
  <c r="J336" i="1" s="1"/>
  <c r="J335" i="1" s="1"/>
  <c r="J334" i="1" s="1"/>
  <c r="J333" i="1" s="1"/>
  <c r="J332" i="1" s="1"/>
  <c r="J331" i="1" s="1"/>
  <c r="J330" i="1" s="1"/>
  <c r="J329" i="1" s="1"/>
  <c r="J328" i="1" s="1"/>
  <c r="J327" i="1" s="1"/>
  <c r="J326" i="1" s="1"/>
  <c r="J325" i="1" s="1"/>
  <c r="J324" i="1" s="1"/>
  <c r="J323" i="1" s="1"/>
  <c r="J322" i="1" s="1"/>
  <c r="J321" i="1" s="1"/>
  <c r="J320" i="1" s="1"/>
  <c r="J319" i="1" s="1"/>
  <c r="J318" i="1" s="1"/>
  <c r="J317" i="1" s="1"/>
  <c r="J316" i="1" s="1"/>
  <c r="J315" i="1" s="1"/>
  <c r="J314" i="1" s="1"/>
  <c r="J313" i="1" s="1"/>
  <c r="J312" i="1" s="1"/>
  <c r="J311" i="1" s="1"/>
  <c r="J310" i="1" s="1"/>
  <c r="J309" i="1" s="1"/>
  <c r="J308" i="1" s="1"/>
  <c r="J307" i="1" s="1"/>
  <c r="J306" i="1" s="1"/>
  <c r="J305" i="1" s="1"/>
  <c r="J304" i="1" s="1"/>
  <c r="J303" i="1" s="1"/>
  <c r="J302" i="1" s="1"/>
  <c r="J301" i="1" s="1"/>
  <c r="J300" i="1" s="1"/>
  <c r="J299" i="1" s="1"/>
  <c r="J298" i="1" s="1"/>
  <c r="J297" i="1" s="1"/>
  <c r="J296" i="1" s="1"/>
  <c r="J295" i="1" s="1"/>
  <c r="J294" i="1" s="1"/>
  <c r="J293" i="1" s="1"/>
  <c r="J292" i="1" s="1"/>
  <c r="J291" i="1" s="1"/>
  <c r="J290" i="1" s="1"/>
  <c r="J289" i="1" s="1"/>
  <c r="J288" i="1" s="1"/>
  <c r="J287" i="1" s="1"/>
  <c r="J286" i="1" s="1"/>
  <c r="J285" i="1" s="1"/>
  <c r="J284" i="1" s="1"/>
  <c r="J283" i="1" s="1"/>
  <c r="J282" i="1" s="1"/>
  <c r="J281" i="1" s="1"/>
  <c r="J280" i="1" s="1"/>
  <c r="J279" i="1" s="1"/>
  <c r="J278" i="1" s="1"/>
  <c r="J277" i="1" s="1"/>
  <c r="J276" i="1" s="1"/>
  <c r="J275" i="1" s="1"/>
  <c r="J274" i="1" s="1"/>
  <c r="J273" i="1" s="1"/>
  <c r="J272" i="1" s="1"/>
  <c r="J271" i="1" s="1"/>
  <c r="J270" i="1" s="1"/>
  <c r="J269" i="1" s="1"/>
  <c r="J268" i="1" s="1"/>
  <c r="J267" i="1" s="1"/>
  <c r="J266" i="1" s="1"/>
  <c r="J265" i="1" s="1"/>
  <c r="J264" i="1" s="1"/>
  <c r="J263" i="1" s="1"/>
  <c r="J262" i="1" s="1"/>
  <c r="J261" i="1" s="1"/>
  <c r="J260" i="1" s="1"/>
  <c r="J259" i="1" s="1"/>
  <c r="J258" i="1" s="1"/>
  <c r="J257" i="1" s="1"/>
  <c r="J256" i="1" s="1"/>
  <c r="J255" i="1" s="1"/>
  <c r="J254" i="1" s="1"/>
  <c r="J253" i="1" s="1"/>
  <c r="J252" i="1" s="1"/>
  <c r="J251" i="1" s="1"/>
  <c r="J250" i="1" s="1"/>
  <c r="J249" i="1" s="1"/>
  <c r="J248" i="1" s="1"/>
  <c r="J247" i="1" s="1"/>
  <c r="J246" i="1" s="1"/>
  <c r="J245" i="1" s="1"/>
  <c r="J244" i="1" s="1"/>
  <c r="J243" i="1" s="1"/>
  <c r="J242" i="1" s="1"/>
  <c r="J241" i="1" s="1"/>
  <c r="J240" i="1" s="1"/>
  <c r="J239" i="1" s="1"/>
  <c r="J238" i="1" s="1"/>
  <c r="J237" i="1" s="1"/>
  <c r="J236" i="1" s="1"/>
  <c r="J235" i="1" s="1"/>
  <c r="J234" i="1" s="1"/>
  <c r="J233" i="1" s="1"/>
  <c r="J232" i="1" s="1"/>
  <c r="J231" i="1" s="1"/>
  <c r="J230" i="1" s="1"/>
  <c r="J229" i="1" s="1"/>
  <c r="J228" i="1" s="1"/>
  <c r="J227" i="1" s="1"/>
  <c r="J226" i="1" s="1"/>
  <c r="J225" i="1" s="1"/>
  <c r="J224" i="1" s="1"/>
  <c r="J223" i="1" s="1"/>
  <c r="J222" i="1" s="1"/>
  <c r="J221" i="1" s="1"/>
  <c r="J220" i="1" s="1"/>
  <c r="J219" i="1" s="1"/>
  <c r="J218" i="1" s="1"/>
  <c r="J217" i="1" s="1"/>
  <c r="J216" i="1" s="1"/>
  <c r="J215" i="1" s="1"/>
  <c r="J214" i="1" s="1"/>
  <c r="J213" i="1" s="1"/>
  <c r="J212" i="1" s="1"/>
  <c r="J211" i="1" s="1"/>
  <c r="J210" i="1" s="1"/>
  <c r="J209" i="1" s="1"/>
  <c r="J208" i="1" s="1"/>
  <c r="J207" i="1" s="1"/>
  <c r="J206" i="1" s="1"/>
  <c r="J205" i="1" s="1"/>
  <c r="J204" i="1" s="1"/>
  <c r="J203" i="1" s="1"/>
  <c r="J202" i="1" s="1"/>
  <c r="J201" i="1" s="1"/>
  <c r="J200" i="1" s="1"/>
  <c r="J199" i="1" s="1"/>
  <c r="J198" i="1" s="1"/>
  <c r="J197" i="1" s="1"/>
  <c r="J196" i="1" s="1"/>
  <c r="J195" i="1" s="1"/>
  <c r="J194" i="1" s="1"/>
  <c r="J193" i="1" s="1"/>
  <c r="J192" i="1" s="1"/>
  <c r="J191" i="1" s="1"/>
  <c r="J190" i="1" s="1"/>
  <c r="J189" i="1" s="1"/>
  <c r="J188" i="1" s="1"/>
  <c r="J187" i="1" s="1"/>
  <c r="J186" i="1" s="1"/>
  <c r="J185" i="1" s="1"/>
  <c r="J184" i="1" s="1"/>
  <c r="J183" i="1" s="1"/>
  <c r="J182" i="1" s="1"/>
  <c r="J181" i="1" s="1"/>
  <c r="J180" i="1" s="1"/>
  <c r="J179" i="1" s="1"/>
  <c r="J178" i="1" s="1"/>
  <c r="J177" i="1" s="1"/>
  <c r="J176" i="1" s="1"/>
  <c r="J175" i="1" s="1"/>
  <c r="J174" i="1" s="1"/>
  <c r="J173" i="1" s="1"/>
  <c r="J172" i="1" s="1"/>
  <c r="J171" i="1" s="1"/>
  <c r="J170" i="1" s="1"/>
  <c r="J390" i="1"/>
  <c r="J391" i="1" s="1"/>
  <c r="J392" i="1" s="1"/>
  <c r="J393" i="1" s="1"/>
  <c r="J394" i="1" s="1"/>
  <c r="J395" i="1" s="1"/>
  <c r="J396" i="1" s="1"/>
  <c r="J397" i="1" s="1"/>
  <c r="J398" i="1" s="1"/>
  <c r="J399" i="1" s="1"/>
  <c r="J400" i="1" s="1"/>
  <c r="J401" i="1" s="1"/>
  <c r="J402" i="1" s="1"/>
  <c r="J403" i="1" s="1"/>
  <c r="J404" i="1" s="1"/>
  <c r="J405" i="1" s="1"/>
  <c r="J406" i="1" s="1"/>
  <c r="J407" i="1" s="1"/>
  <c r="J408" i="1" s="1"/>
  <c r="J409" i="1" s="1"/>
  <c r="J410" i="1" s="1"/>
  <c r="J411" i="1" s="1"/>
  <c r="J412" i="1" s="1"/>
  <c r="J413" i="1" s="1"/>
  <c r="J414" i="1" s="1"/>
  <c r="J415" i="1" s="1"/>
  <c r="J416" i="1" s="1"/>
  <c r="J417" i="1" s="1"/>
  <c r="J418" i="1" s="1"/>
  <c r="J419" i="1" s="1"/>
  <c r="J420" i="1" s="1"/>
  <c r="J421" i="1" s="1"/>
  <c r="J422" i="1" s="1"/>
  <c r="J423" i="1" s="1"/>
  <c r="J424" i="1" s="1"/>
  <c r="J425" i="1" s="1"/>
  <c r="J426" i="1" s="1"/>
  <c r="J427" i="1" s="1"/>
  <c r="J428" i="1" s="1"/>
  <c r="J429" i="1" s="1"/>
  <c r="F390" i="1"/>
  <c r="S140" i="23" l="1"/>
  <c r="K140" i="23"/>
  <c r="AB154" i="23" s="1"/>
  <c r="T140" i="23"/>
  <c r="AC120" i="23"/>
  <c r="L120" i="23"/>
  <c r="R143" i="23"/>
  <c r="X143" i="23" s="1"/>
  <c r="AC143" i="23"/>
  <c r="R124" i="23"/>
  <c r="AF124" i="23" s="1"/>
  <c r="L139" i="23"/>
  <c r="I9338" i="3"/>
  <c r="I9340" i="3"/>
  <c r="I9342" i="3"/>
  <c r="I9344" i="3"/>
  <c r="I9346" i="3"/>
  <c r="I9348" i="3"/>
  <c r="I9350" i="3"/>
  <c r="I9352" i="3"/>
  <c r="I9354" i="3"/>
  <c r="I9356" i="3"/>
  <c r="I9358" i="3"/>
  <c r="I9360" i="3"/>
  <c r="I9363" i="3"/>
  <c r="I9365" i="3"/>
  <c r="I9367" i="3"/>
  <c r="I9369" i="3"/>
  <c r="I9371" i="3"/>
  <c r="I9373" i="3"/>
  <c r="I9375" i="3"/>
  <c r="I9377" i="3"/>
  <c r="I9379" i="3"/>
  <c r="I9381" i="3"/>
  <c r="I9383" i="3"/>
  <c r="I9385" i="3"/>
  <c r="I9339" i="3"/>
  <c r="I9341" i="3"/>
  <c r="I9343" i="3"/>
  <c r="I9345" i="3"/>
  <c r="I9347" i="3"/>
  <c r="I9349" i="3"/>
  <c r="I9351" i="3"/>
  <c r="I9353" i="3"/>
  <c r="I9355" i="3"/>
  <c r="I9357" i="3"/>
  <c r="I9359" i="3"/>
  <c r="I9361" i="3"/>
  <c r="I9362" i="3"/>
  <c r="I9364" i="3"/>
  <c r="I9366" i="3"/>
  <c r="I9368" i="3"/>
  <c r="I9370" i="3"/>
  <c r="I9372" i="3"/>
  <c r="I9374" i="3"/>
  <c r="I9376" i="3"/>
  <c r="I9378" i="3"/>
  <c r="I9380" i="3"/>
  <c r="I9382" i="3"/>
  <c r="I9384" i="3"/>
  <c r="AF139" i="23"/>
  <c r="X114" i="23"/>
  <c r="T143" i="23"/>
  <c r="X142" i="23"/>
  <c r="E144" i="23"/>
  <c r="K144" i="23" s="1"/>
  <c r="AB158" i="23" s="1"/>
  <c r="AF114" i="23"/>
  <c r="S143" i="23"/>
  <c r="S124" i="23"/>
  <c r="AF123" i="23"/>
  <c r="X123" i="23"/>
  <c r="AF130" i="23"/>
  <c r="AF140" i="23"/>
  <c r="X140" i="23"/>
  <c r="J405" i="23"/>
  <c r="E157" i="23"/>
  <c r="C146" i="23"/>
  <c r="T124" i="23"/>
  <c r="E125" i="23"/>
  <c r="K125" i="23" s="1"/>
  <c r="AB139" i="23" s="1"/>
  <c r="AC139" i="23" s="1"/>
  <c r="Q125" i="23"/>
  <c r="H9313" i="3"/>
  <c r="G9313" i="3"/>
  <c r="H9312" i="3"/>
  <c r="G9312" i="3"/>
  <c r="H9311" i="3"/>
  <c r="G9311" i="3"/>
  <c r="H9310" i="3"/>
  <c r="G9310" i="3"/>
  <c r="H9309" i="3"/>
  <c r="G9309" i="3"/>
  <c r="H9308" i="3"/>
  <c r="G9308" i="3"/>
  <c r="H9307" i="3"/>
  <c r="G9307" i="3"/>
  <c r="H9306" i="3"/>
  <c r="G9306" i="3"/>
  <c r="H9305" i="3"/>
  <c r="G9305" i="3"/>
  <c r="H9304" i="3"/>
  <c r="G9304" i="3"/>
  <c r="H9303" i="3"/>
  <c r="G9303" i="3"/>
  <c r="H9302" i="3"/>
  <c r="G9302" i="3"/>
  <c r="H9301" i="3"/>
  <c r="G9301" i="3"/>
  <c r="H9300" i="3"/>
  <c r="G9300" i="3"/>
  <c r="H9299" i="3"/>
  <c r="G9299" i="3"/>
  <c r="H9298" i="3"/>
  <c r="G9298" i="3"/>
  <c r="H9297" i="3"/>
  <c r="G9297" i="3"/>
  <c r="H9296" i="3"/>
  <c r="G9296" i="3"/>
  <c r="H9295" i="3"/>
  <c r="G9295" i="3"/>
  <c r="H9294" i="3"/>
  <c r="G9294" i="3"/>
  <c r="H9293" i="3"/>
  <c r="G9293" i="3"/>
  <c r="H9292" i="3"/>
  <c r="G9292" i="3"/>
  <c r="H9291" i="3"/>
  <c r="G9291" i="3"/>
  <c r="H9290" i="3"/>
  <c r="G9290" i="3"/>
  <c r="M386" i="1"/>
  <c r="M387" i="1"/>
  <c r="M388" i="1"/>
  <c r="F389" i="1"/>
  <c r="S389" i="1"/>
  <c r="H9289" i="3"/>
  <c r="G9289" i="3"/>
  <c r="H9288" i="3"/>
  <c r="G9288" i="3"/>
  <c r="H9287" i="3"/>
  <c r="G9287" i="3"/>
  <c r="H9286" i="3"/>
  <c r="G9286" i="3"/>
  <c r="H9285" i="3"/>
  <c r="G9285" i="3"/>
  <c r="H9284" i="3"/>
  <c r="G9284" i="3"/>
  <c r="H9283" i="3"/>
  <c r="G9283" i="3"/>
  <c r="H9282" i="3"/>
  <c r="G9282" i="3"/>
  <c r="H9281" i="3"/>
  <c r="G9281" i="3"/>
  <c r="H9280" i="3"/>
  <c r="G9280" i="3"/>
  <c r="H9279" i="3"/>
  <c r="G9279" i="3"/>
  <c r="H9278" i="3"/>
  <c r="G9278" i="3"/>
  <c r="H9277" i="3"/>
  <c r="G9277" i="3"/>
  <c r="H9276" i="3"/>
  <c r="G9276" i="3"/>
  <c r="H9275" i="3"/>
  <c r="G9275" i="3"/>
  <c r="H9274" i="3"/>
  <c r="G9274" i="3"/>
  <c r="H9273" i="3"/>
  <c r="G9273" i="3"/>
  <c r="H9272" i="3"/>
  <c r="G9272" i="3"/>
  <c r="H9271" i="3"/>
  <c r="G9271" i="3"/>
  <c r="H9270" i="3"/>
  <c r="G9270" i="3"/>
  <c r="H9269" i="3"/>
  <c r="G9269" i="3"/>
  <c r="H9268" i="3"/>
  <c r="G9268" i="3"/>
  <c r="H9267" i="3"/>
  <c r="G9267" i="3"/>
  <c r="H9266" i="3"/>
  <c r="G9266" i="3"/>
  <c r="S388" i="1"/>
  <c r="F388" i="1"/>
  <c r="H9265" i="3"/>
  <c r="G9265" i="3"/>
  <c r="H9264" i="3"/>
  <c r="G9264" i="3"/>
  <c r="H9263" i="3"/>
  <c r="G9263" i="3"/>
  <c r="H9262" i="3"/>
  <c r="G9262" i="3"/>
  <c r="H9261" i="3"/>
  <c r="G9261" i="3"/>
  <c r="H9260" i="3"/>
  <c r="G9260" i="3"/>
  <c r="H9259" i="3"/>
  <c r="G9259" i="3"/>
  <c r="H9258" i="3"/>
  <c r="G9258" i="3"/>
  <c r="H9257" i="3"/>
  <c r="G9257" i="3"/>
  <c r="H9256" i="3"/>
  <c r="G9256" i="3"/>
  <c r="H9255" i="3"/>
  <c r="G9255" i="3"/>
  <c r="H9254" i="3"/>
  <c r="G9254" i="3"/>
  <c r="H9253" i="3"/>
  <c r="G9253" i="3"/>
  <c r="H9252" i="3"/>
  <c r="G9252" i="3"/>
  <c r="H9251" i="3"/>
  <c r="G9251" i="3"/>
  <c r="H9250" i="3"/>
  <c r="G9250" i="3"/>
  <c r="H9249" i="3"/>
  <c r="G9249" i="3"/>
  <c r="H9248" i="3"/>
  <c r="G9248" i="3"/>
  <c r="H9247" i="3"/>
  <c r="G9247" i="3"/>
  <c r="H9246" i="3"/>
  <c r="G9246" i="3"/>
  <c r="H9245" i="3"/>
  <c r="G9245" i="3"/>
  <c r="H9244" i="3"/>
  <c r="G9244" i="3"/>
  <c r="H9243" i="3"/>
  <c r="G9243" i="3"/>
  <c r="H9242" i="3"/>
  <c r="G9242" i="3"/>
  <c r="S387" i="1"/>
  <c r="F387" i="1"/>
  <c r="BH36" i="18"/>
  <c r="M384" i="1"/>
  <c r="M385" i="1"/>
  <c r="S386" i="1"/>
  <c r="F386" i="1"/>
  <c r="H9241" i="3"/>
  <c r="G9241" i="3"/>
  <c r="H9240" i="3"/>
  <c r="G9240" i="3"/>
  <c r="H9239" i="3"/>
  <c r="G9239" i="3"/>
  <c r="H9238" i="3"/>
  <c r="G9238" i="3"/>
  <c r="H9237" i="3"/>
  <c r="G9237" i="3"/>
  <c r="H9236" i="3"/>
  <c r="G9236" i="3"/>
  <c r="H9235" i="3"/>
  <c r="G9235" i="3"/>
  <c r="H9234" i="3"/>
  <c r="G9234" i="3"/>
  <c r="H9233" i="3"/>
  <c r="G9233" i="3"/>
  <c r="H9232" i="3"/>
  <c r="G9232" i="3"/>
  <c r="H9231" i="3"/>
  <c r="G9231" i="3"/>
  <c r="H9230" i="3"/>
  <c r="G9230" i="3"/>
  <c r="H9229" i="3"/>
  <c r="G9229" i="3"/>
  <c r="H9228" i="3"/>
  <c r="G9228" i="3"/>
  <c r="H9227" i="3"/>
  <c r="G9227" i="3"/>
  <c r="H9226" i="3"/>
  <c r="G9226" i="3"/>
  <c r="H9225" i="3"/>
  <c r="G9225" i="3"/>
  <c r="H9224" i="3"/>
  <c r="G9224" i="3"/>
  <c r="H9223" i="3"/>
  <c r="G9223" i="3"/>
  <c r="H9222" i="3"/>
  <c r="G9222" i="3"/>
  <c r="H9221" i="3"/>
  <c r="G9221" i="3"/>
  <c r="H9220" i="3"/>
  <c r="G9220" i="3"/>
  <c r="H9219" i="3"/>
  <c r="G9219" i="3"/>
  <c r="H9218" i="3"/>
  <c r="G9218" i="3"/>
  <c r="BE36" i="18"/>
  <c r="BF36" i="18"/>
  <c r="BG36" i="18"/>
  <c r="H9217" i="3"/>
  <c r="G9217" i="3"/>
  <c r="H9216" i="3"/>
  <c r="G9216" i="3"/>
  <c r="H9215" i="3"/>
  <c r="G9215" i="3"/>
  <c r="H9214" i="3"/>
  <c r="G9214" i="3"/>
  <c r="H9213" i="3"/>
  <c r="G9213" i="3"/>
  <c r="H9212" i="3"/>
  <c r="G9212" i="3"/>
  <c r="H9211" i="3"/>
  <c r="G9211" i="3"/>
  <c r="H9210" i="3"/>
  <c r="G9210" i="3"/>
  <c r="H9209" i="3"/>
  <c r="G9209" i="3"/>
  <c r="H9208" i="3"/>
  <c r="G9208" i="3"/>
  <c r="H9207" i="3"/>
  <c r="G9207" i="3"/>
  <c r="H9206" i="3"/>
  <c r="G9206" i="3"/>
  <c r="H9205" i="3"/>
  <c r="G9205" i="3"/>
  <c r="H9204" i="3"/>
  <c r="G9204" i="3"/>
  <c r="H9203" i="3"/>
  <c r="G9203" i="3"/>
  <c r="H9202" i="3"/>
  <c r="G9202" i="3"/>
  <c r="H9201" i="3"/>
  <c r="G9201" i="3"/>
  <c r="H9200" i="3"/>
  <c r="G9200" i="3"/>
  <c r="H9199" i="3"/>
  <c r="G9199" i="3"/>
  <c r="H9198" i="3"/>
  <c r="G9198" i="3"/>
  <c r="H9197" i="3"/>
  <c r="G9197" i="3"/>
  <c r="H9196" i="3"/>
  <c r="G9196" i="3"/>
  <c r="H9195" i="3"/>
  <c r="G9195" i="3"/>
  <c r="H9194" i="3"/>
  <c r="G9194" i="3"/>
  <c r="S385" i="1"/>
  <c r="F385" i="1"/>
  <c r="H9193" i="3"/>
  <c r="G9193" i="3"/>
  <c r="H9192" i="3"/>
  <c r="G9192" i="3"/>
  <c r="H9191" i="3"/>
  <c r="G9191" i="3"/>
  <c r="H9190" i="3"/>
  <c r="G9190" i="3"/>
  <c r="H9189" i="3"/>
  <c r="G9189" i="3"/>
  <c r="H9188" i="3"/>
  <c r="G9188" i="3"/>
  <c r="H9187" i="3"/>
  <c r="G9187" i="3"/>
  <c r="H9186" i="3"/>
  <c r="G9186" i="3"/>
  <c r="H9185" i="3"/>
  <c r="G9185" i="3"/>
  <c r="H9184" i="3"/>
  <c r="G9184" i="3"/>
  <c r="H9183" i="3"/>
  <c r="G9183" i="3"/>
  <c r="H9182" i="3"/>
  <c r="G9182" i="3"/>
  <c r="H9181" i="3"/>
  <c r="G9181" i="3"/>
  <c r="H9180" i="3"/>
  <c r="G9180" i="3"/>
  <c r="H9179" i="3"/>
  <c r="G9179" i="3"/>
  <c r="H9178" i="3"/>
  <c r="G9178" i="3"/>
  <c r="H9177" i="3"/>
  <c r="G9177" i="3"/>
  <c r="H9176" i="3"/>
  <c r="G9176" i="3"/>
  <c r="H9175" i="3"/>
  <c r="G9175" i="3"/>
  <c r="H9174" i="3"/>
  <c r="G9174" i="3"/>
  <c r="H9173" i="3"/>
  <c r="G9173" i="3"/>
  <c r="H9172" i="3"/>
  <c r="G9172" i="3"/>
  <c r="H9171" i="3"/>
  <c r="G9171" i="3"/>
  <c r="H9170" i="3"/>
  <c r="G9170" i="3"/>
  <c r="S384" i="1"/>
  <c r="F384" i="1"/>
  <c r="G8977" i="3"/>
  <c r="G8976" i="3"/>
  <c r="G8975" i="3"/>
  <c r="G8974" i="3"/>
  <c r="G8973" i="3"/>
  <c r="G8972" i="3"/>
  <c r="G8971" i="3"/>
  <c r="G8970" i="3"/>
  <c r="G8969" i="3"/>
  <c r="G8968" i="3"/>
  <c r="G8967" i="3"/>
  <c r="G8966" i="3"/>
  <c r="G8965" i="3"/>
  <c r="G8964" i="3"/>
  <c r="G8963" i="3"/>
  <c r="G8962" i="3"/>
  <c r="G8961" i="3"/>
  <c r="G8960" i="3"/>
  <c r="G8959" i="3"/>
  <c r="G8958" i="3"/>
  <c r="G8957" i="3"/>
  <c r="G8956" i="3"/>
  <c r="G8955" i="3"/>
  <c r="G8954" i="3"/>
  <c r="G9001" i="3"/>
  <c r="G9000" i="3"/>
  <c r="G8999" i="3"/>
  <c r="G8998" i="3"/>
  <c r="G8997" i="3"/>
  <c r="G8996" i="3"/>
  <c r="G8995" i="3"/>
  <c r="G8994" i="3"/>
  <c r="G8993" i="3"/>
  <c r="G8992" i="3"/>
  <c r="G8991" i="3"/>
  <c r="G8990" i="3"/>
  <c r="G8989" i="3"/>
  <c r="G8988" i="3"/>
  <c r="G8987" i="3"/>
  <c r="G8986" i="3"/>
  <c r="G8985" i="3"/>
  <c r="G8984" i="3"/>
  <c r="G8983" i="3"/>
  <c r="G8982" i="3"/>
  <c r="G8981" i="3"/>
  <c r="G8980" i="3"/>
  <c r="G8979" i="3"/>
  <c r="G8978" i="3"/>
  <c r="G9025" i="3"/>
  <c r="G9024" i="3"/>
  <c r="G9023" i="3"/>
  <c r="G9022" i="3"/>
  <c r="G9021" i="3"/>
  <c r="G9020" i="3"/>
  <c r="G9019" i="3"/>
  <c r="G9018" i="3"/>
  <c r="G9017" i="3"/>
  <c r="G9016" i="3"/>
  <c r="G9015" i="3"/>
  <c r="G9014" i="3"/>
  <c r="G9013" i="3"/>
  <c r="G9012" i="3"/>
  <c r="G9011" i="3"/>
  <c r="G9010" i="3"/>
  <c r="G9009" i="3"/>
  <c r="G9008" i="3"/>
  <c r="G9007" i="3"/>
  <c r="G9006" i="3"/>
  <c r="G9005" i="3"/>
  <c r="G9004" i="3"/>
  <c r="G9003" i="3"/>
  <c r="G9002" i="3"/>
  <c r="G9049" i="3"/>
  <c r="G9048" i="3"/>
  <c r="G9047" i="3"/>
  <c r="G9046" i="3"/>
  <c r="G9045" i="3"/>
  <c r="G9044" i="3"/>
  <c r="G9043" i="3"/>
  <c r="G9042" i="3"/>
  <c r="G9041" i="3"/>
  <c r="G9040" i="3"/>
  <c r="G9039" i="3"/>
  <c r="G9038" i="3"/>
  <c r="G9037" i="3"/>
  <c r="G9036" i="3"/>
  <c r="G9035" i="3"/>
  <c r="G9034" i="3"/>
  <c r="G9033" i="3"/>
  <c r="G9032" i="3"/>
  <c r="G9031" i="3"/>
  <c r="G9030" i="3"/>
  <c r="G9029" i="3"/>
  <c r="G9028" i="3"/>
  <c r="G9027" i="3"/>
  <c r="G9026" i="3"/>
  <c r="G9073" i="3"/>
  <c r="G9072" i="3"/>
  <c r="G9071" i="3"/>
  <c r="G9070" i="3"/>
  <c r="G9069" i="3"/>
  <c r="G9068" i="3"/>
  <c r="G9067" i="3"/>
  <c r="G9066" i="3"/>
  <c r="G9065" i="3"/>
  <c r="G9064" i="3"/>
  <c r="G9063" i="3"/>
  <c r="G9062" i="3"/>
  <c r="G9061" i="3"/>
  <c r="G9060" i="3"/>
  <c r="G9059" i="3"/>
  <c r="G9058" i="3"/>
  <c r="G9057" i="3"/>
  <c r="G9056" i="3"/>
  <c r="G9055" i="3"/>
  <c r="G9054" i="3"/>
  <c r="G9053" i="3"/>
  <c r="G9052" i="3"/>
  <c r="G9051" i="3"/>
  <c r="G9050" i="3"/>
  <c r="G9097" i="3"/>
  <c r="G9096" i="3"/>
  <c r="G9095" i="3"/>
  <c r="G9094" i="3"/>
  <c r="G9093" i="3"/>
  <c r="G9092" i="3"/>
  <c r="G9091" i="3"/>
  <c r="G9090" i="3"/>
  <c r="G9089" i="3"/>
  <c r="G9088" i="3"/>
  <c r="G9087" i="3"/>
  <c r="G9086" i="3"/>
  <c r="G9085" i="3"/>
  <c r="G9084" i="3"/>
  <c r="G9083" i="3"/>
  <c r="G9082" i="3"/>
  <c r="G9081" i="3"/>
  <c r="G9080" i="3"/>
  <c r="G9079" i="3"/>
  <c r="G9078" i="3"/>
  <c r="G9077" i="3"/>
  <c r="G9076" i="3"/>
  <c r="G9075" i="3"/>
  <c r="G9074" i="3"/>
  <c r="G9121" i="3"/>
  <c r="G9120" i="3"/>
  <c r="G9119" i="3"/>
  <c r="G9118" i="3"/>
  <c r="G9117" i="3"/>
  <c r="G9116" i="3"/>
  <c r="G9115" i="3"/>
  <c r="G9114" i="3"/>
  <c r="G9113" i="3"/>
  <c r="G9112" i="3"/>
  <c r="G9111" i="3"/>
  <c r="G9110" i="3"/>
  <c r="G9109" i="3"/>
  <c r="G9108" i="3"/>
  <c r="G9107" i="3"/>
  <c r="G9106" i="3"/>
  <c r="G9105" i="3"/>
  <c r="G9104" i="3"/>
  <c r="G9103" i="3"/>
  <c r="G9102" i="3"/>
  <c r="G9101" i="3"/>
  <c r="G9100" i="3"/>
  <c r="G9099" i="3"/>
  <c r="G9098" i="3"/>
  <c r="G9128" i="3"/>
  <c r="G9127" i="3"/>
  <c r="G9152" i="3"/>
  <c r="G9151" i="3"/>
  <c r="E4922" i="3"/>
  <c r="M380" i="1"/>
  <c r="M381" i="1"/>
  <c r="M382" i="1"/>
  <c r="M383" i="1"/>
  <c r="BC36" i="18"/>
  <c r="BD36" i="18"/>
  <c r="H9169" i="3"/>
  <c r="G9169" i="3"/>
  <c r="H9168" i="3"/>
  <c r="G9168" i="3"/>
  <c r="H9167" i="3"/>
  <c r="G9167" i="3"/>
  <c r="H9166" i="3"/>
  <c r="G9166" i="3"/>
  <c r="H9165" i="3"/>
  <c r="G9165" i="3"/>
  <c r="H9164" i="3"/>
  <c r="G9164" i="3"/>
  <c r="H9163" i="3"/>
  <c r="G9163" i="3"/>
  <c r="H9162" i="3"/>
  <c r="G9162" i="3"/>
  <c r="H9161" i="3"/>
  <c r="G9161" i="3"/>
  <c r="H9160" i="3"/>
  <c r="G9160" i="3"/>
  <c r="H9159" i="3"/>
  <c r="G9159" i="3"/>
  <c r="H9158" i="3"/>
  <c r="G9158" i="3"/>
  <c r="H9157" i="3"/>
  <c r="G9157" i="3"/>
  <c r="H9156" i="3"/>
  <c r="G9156" i="3"/>
  <c r="H9155" i="3"/>
  <c r="G9155" i="3"/>
  <c r="H9154" i="3"/>
  <c r="G9154" i="3"/>
  <c r="H9153" i="3"/>
  <c r="G9153" i="3"/>
  <c r="H9152" i="3"/>
  <c r="H9151" i="3"/>
  <c r="H9150" i="3"/>
  <c r="G9150" i="3"/>
  <c r="H9149" i="3"/>
  <c r="G9149" i="3"/>
  <c r="H9148" i="3"/>
  <c r="G9148" i="3"/>
  <c r="H9147" i="3"/>
  <c r="G9147" i="3"/>
  <c r="H9146" i="3"/>
  <c r="G9146" i="3"/>
  <c r="S383" i="1"/>
  <c r="F383" i="1"/>
  <c r="H9145" i="3"/>
  <c r="G9145" i="3"/>
  <c r="H9144" i="3"/>
  <c r="G9144" i="3"/>
  <c r="H9143" i="3"/>
  <c r="G9143" i="3"/>
  <c r="H9142" i="3"/>
  <c r="G9142" i="3"/>
  <c r="H9141" i="3"/>
  <c r="G9141" i="3"/>
  <c r="H9140" i="3"/>
  <c r="G9140" i="3"/>
  <c r="H9139" i="3"/>
  <c r="G9139" i="3"/>
  <c r="H9138" i="3"/>
  <c r="G9138" i="3"/>
  <c r="H9137" i="3"/>
  <c r="G9137" i="3"/>
  <c r="H9136" i="3"/>
  <c r="G9136" i="3"/>
  <c r="H9135" i="3"/>
  <c r="G9135" i="3"/>
  <c r="H9134" i="3"/>
  <c r="G9134" i="3"/>
  <c r="H9133" i="3"/>
  <c r="G9133" i="3"/>
  <c r="H9132" i="3"/>
  <c r="G9132" i="3"/>
  <c r="H9131" i="3"/>
  <c r="G9131" i="3"/>
  <c r="H9130" i="3"/>
  <c r="G9130" i="3"/>
  <c r="H9129" i="3"/>
  <c r="G9129" i="3"/>
  <c r="H9128" i="3"/>
  <c r="H9127" i="3"/>
  <c r="H9126" i="3"/>
  <c r="G9126" i="3"/>
  <c r="H9125" i="3"/>
  <c r="G9125" i="3"/>
  <c r="H9124" i="3"/>
  <c r="G9124" i="3"/>
  <c r="H9123" i="3"/>
  <c r="G9123" i="3"/>
  <c r="H9122" i="3"/>
  <c r="G9122" i="3"/>
  <c r="S382" i="1"/>
  <c r="F382" i="1"/>
  <c r="H9121" i="3"/>
  <c r="H9120" i="3"/>
  <c r="H9119" i="3"/>
  <c r="H9118" i="3"/>
  <c r="H9117" i="3"/>
  <c r="H9116" i="3"/>
  <c r="H9115" i="3"/>
  <c r="H9114" i="3"/>
  <c r="H9113" i="3"/>
  <c r="H9112" i="3"/>
  <c r="H9111" i="3"/>
  <c r="H9110" i="3"/>
  <c r="H9109" i="3"/>
  <c r="H9108" i="3"/>
  <c r="H9107" i="3"/>
  <c r="H9106" i="3"/>
  <c r="H9105" i="3"/>
  <c r="H9104" i="3"/>
  <c r="H9103" i="3"/>
  <c r="H9102" i="3"/>
  <c r="H9101" i="3"/>
  <c r="H9100" i="3"/>
  <c r="H9099" i="3"/>
  <c r="H9098" i="3"/>
  <c r="S381" i="1"/>
  <c r="F381" i="1"/>
  <c r="H9080" i="3"/>
  <c r="B36" i="18"/>
  <c r="C36" i="18"/>
  <c r="D36" i="18"/>
  <c r="E36" i="18"/>
  <c r="F36" i="18"/>
  <c r="G36" i="18"/>
  <c r="H36" i="18"/>
  <c r="I36" i="18"/>
  <c r="J36" i="18"/>
  <c r="K36" i="18"/>
  <c r="L36" i="18"/>
  <c r="M36" i="18"/>
  <c r="N36" i="18"/>
  <c r="O36" i="18"/>
  <c r="P36" i="18"/>
  <c r="Q36" i="18"/>
  <c r="R36" i="18"/>
  <c r="S36" i="18"/>
  <c r="T36" i="18"/>
  <c r="U36" i="18"/>
  <c r="V36" i="18"/>
  <c r="W36" i="18"/>
  <c r="X36" i="18"/>
  <c r="Y36" i="18"/>
  <c r="Z36" i="18"/>
  <c r="AA36" i="18"/>
  <c r="AB36" i="18"/>
  <c r="AC36" i="18"/>
  <c r="AD36" i="18"/>
  <c r="AE36" i="18"/>
  <c r="AF36" i="18"/>
  <c r="AG36" i="18"/>
  <c r="AH36" i="18"/>
  <c r="AI36" i="18"/>
  <c r="AJ36" i="18"/>
  <c r="AK36" i="18"/>
  <c r="AL36" i="18"/>
  <c r="AM36" i="18"/>
  <c r="AN36" i="18"/>
  <c r="AO36" i="18"/>
  <c r="AP36" i="18"/>
  <c r="AQ36" i="18"/>
  <c r="AR36" i="18"/>
  <c r="AS36" i="18"/>
  <c r="AT36" i="18"/>
  <c r="AU36" i="18"/>
  <c r="AV36" i="18"/>
  <c r="AW36" i="18"/>
  <c r="AX36" i="18"/>
  <c r="AY36" i="18"/>
  <c r="AZ36" i="18"/>
  <c r="BA36" i="18"/>
  <c r="BB36" i="18"/>
  <c r="M378" i="1"/>
  <c r="M379" i="1"/>
  <c r="H9097" i="3"/>
  <c r="H9096" i="3"/>
  <c r="H9095" i="3"/>
  <c r="H9094" i="3"/>
  <c r="H9093" i="3"/>
  <c r="H9092" i="3"/>
  <c r="H9091" i="3"/>
  <c r="H9090" i="3"/>
  <c r="H9089" i="3"/>
  <c r="H9088" i="3"/>
  <c r="H9087" i="3"/>
  <c r="H9086" i="3"/>
  <c r="H9085" i="3"/>
  <c r="H9084" i="3"/>
  <c r="H9083" i="3"/>
  <c r="H9082" i="3"/>
  <c r="H9081" i="3"/>
  <c r="H9079" i="3"/>
  <c r="H9078" i="3"/>
  <c r="H9077" i="3"/>
  <c r="H9076" i="3"/>
  <c r="H9075" i="3"/>
  <c r="H9074" i="3"/>
  <c r="S380" i="1"/>
  <c r="F380" i="1"/>
  <c r="H9073" i="3"/>
  <c r="H9072" i="3"/>
  <c r="H9071" i="3"/>
  <c r="H9070" i="3"/>
  <c r="H9069" i="3"/>
  <c r="H9068" i="3"/>
  <c r="H9067" i="3"/>
  <c r="H9066" i="3"/>
  <c r="H9065" i="3"/>
  <c r="H9064" i="3"/>
  <c r="H9063" i="3"/>
  <c r="H9062" i="3"/>
  <c r="H9061" i="3"/>
  <c r="H9060" i="3"/>
  <c r="H9059" i="3"/>
  <c r="H9058" i="3"/>
  <c r="H9057" i="3"/>
  <c r="H9056" i="3"/>
  <c r="H9055" i="3"/>
  <c r="H9054" i="3"/>
  <c r="H9053" i="3"/>
  <c r="H9052" i="3"/>
  <c r="H9051" i="3"/>
  <c r="H9050" i="3"/>
  <c r="S379" i="1"/>
  <c r="F379" i="1"/>
  <c r="E145" i="23" l="1"/>
  <c r="K145" i="23" s="1"/>
  <c r="AB159" i="23" s="1"/>
  <c r="R144" i="23"/>
  <c r="X144" i="23" s="1"/>
  <c r="X124" i="23"/>
  <c r="AF143" i="23"/>
  <c r="AF131" i="23"/>
  <c r="R145" i="23"/>
  <c r="AF145" i="23" s="1"/>
  <c r="AC145" i="23"/>
  <c r="S144" i="23"/>
  <c r="AC144" i="23"/>
  <c r="AC124" i="23"/>
  <c r="M124" i="23"/>
  <c r="R125" i="23"/>
  <c r="AF132" i="23" s="1"/>
  <c r="AC125" i="23"/>
  <c r="T144" i="23"/>
  <c r="J406" i="23"/>
  <c r="E126" i="23"/>
  <c r="K126" i="23" s="1"/>
  <c r="AB140" i="23" s="1"/>
  <c r="AC140" i="23" s="1"/>
  <c r="T125" i="23"/>
  <c r="E146" i="23"/>
  <c r="K146" i="23" s="1"/>
  <c r="AB160" i="23" s="1"/>
  <c r="T145" i="23"/>
  <c r="C147" i="23"/>
  <c r="S125" i="23"/>
  <c r="S145" i="23"/>
  <c r="E158" i="23"/>
  <c r="F378" i="1"/>
  <c r="S378" i="1"/>
  <c r="H9049" i="3"/>
  <c r="H9048" i="3"/>
  <c r="H9047" i="3"/>
  <c r="H9046" i="3"/>
  <c r="H9045" i="3"/>
  <c r="H9044" i="3"/>
  <c r="H9043" i="3"/>
  <c r="H9042" i="3"/>
  <c r="H9041" i="3"/>
  <c r="H9040" i="3"/>
  <c r="H9039" i="3"/>
  <c r="H9038" i="3"/>
  <c r="H9037" i="3"/>
  <c r="H9036" i="3"/>
  <c r="H9035" i="3"/>
  <c r="H9034" i="3"/>
  <c r="H9033" i="3"/>
  <c r="H9032" i="3"/>
  <c r="H9031" i="3"/>
  <c r="H9030" i="3"/>
  <c r="H9029" i="3"/>
  <c r="H9028" i="3"/>
  <c r="H9027" i="3"/>
  <c r="H9026" i="3"/>
  <c r="M375" i="1"/>
  <c r="M376" i="1"/>
  <c r="M377" i="1"/>
  <c r="H9025" i="3"/>
  <c r="H9024" i="3"/>
  <c r="H9023" i="3"/>
  <c r="H9022" i="3"/>
  <c r="H9021" i="3"/>
  <c r="H9020" i="3"/>
  <c r="H9019" i="3"/>
  <c r="H9018" i="3"/>
  <c r="H9017" i="3"/>
  <c r="H9016" i="3"/>
  <c r="H9015" i="3"/>
  <c r="H9014" i="3"/>
  <c r="H9013" i="3"/>
  <c r="H9012" i="3"/>
  <c r="H9011" i="3"/>
  <c r="H9010" i="3"/>
  <c r="H9009" i="3"/>
  <c r="H9008" i="3"/>
  <c r="H9007" i="3"/>
  <c r="H9006" i="3"/>
  <c r="H9005" i="3"/>
  <c r="H9004" i="3"/>
  <c r="H9003" i="3"/>
  <c r="H9002" i="3"/>
  <c r="H9001" i="3"/>
  <c r="H9000" i="3"/>
  <c r="H8999" i="3"/>
  <c r="H8998" i="3"/>
  <c r="H8997" i="3"/>
  <c r="H8996" i="3"/>
  <c r="H8995" i="3"/>
  <c r="H8994" i="3"/>
  <c r="H8993" i="3"/>
  <c r="H8992" i="3"/>
  <c r="H8991" i="3"/>
  <c r="H8990" i="3"/>
  <c r="H8989" i="3"/>
  <c r="H8988" i="3"/>
  <c r="H8987" i="3"/>
  <c r="H8986" i="3"/>
  <c r="H8985" i="3"/>
  <c r="H8984" i="3"/>
  <c r="H8983" i="3"/>
  <c r="H8982" i="3"/>
  <c r="H8981" i="3"/>
  <c r="H8980" i="3"/>
  <c r="H8979" i="3"/>
  <c r="H8978" i="3"/>
  <c r="F376" i="1"/>
  <c r="F377" i="1"/>
  <c r="S376" i="1"/>
  <c r="S377" i="1"/>
  <c r="M373" i="1"/>
  <c r="M374" i="1"/>
  <c r="F375" i="1"/>
  <c r="S375" i="1"/>
  <c r="H8977" i="3"/>
  <c r="H8976" i="3"/>
  <c r="H8975" i="3"/>
  <c r="H8974" i="3"/>
  <c r="H8973" i="3"/>
  <c r="H8972" i="3"/>
  <c r="H8971" i="3"/>
  <c r="H8970" i="3"/>
  <c r="H8969" i="3"/>
  <c r="H8968" i="3"/>
  <c r="H8967" i="3"/>
  <c r="H8966" i="3"/>
  <c r="H8965" i="3"/>
  <c r="H8964" i="3"/>
  <c r="H8963" i="3"/>
  <c r="H8962" i="3"/>
  <c r="H8961" i="3"/>
  <c r="H8960" i="3"/>
  <c r="H8959" i="3"/>
  <c r="H8958" i="3"/>
  <c r="H8957" i="3"/>
  <c r="H8956" i="3"/>
  <c r="H8955" i="3"/>
  <c r="H8954" i="3"/>
  <c r="S374" i="1"/>
  <c r="F374" i="1"/>
  <c r="H8953" i="3"/>
  <c r="G8953" i="3"/>
  <c r="H8952" i="3"/>
  <c r="G8952" i="3"/>
  <c r="H8951" i="3"/>
  <c r="G8951" i="3"/>
  <c r="H8950" i="3"/>
  <c r="G8950" i="3"/>
  <c r="H8949" i="3"/>
  <c r="G8949" i="3"/>
  <c r="H8948" i="3"/>
  <c r="G8948" i="3"/>
  <c r="H8947" i="3"/>
  <c r="G8947" i="3"/>
  <c r="H8946" i="3"/>
  <c r="G8946" i="3"/>
  <c r="H8945" i="3"/>
  <c r="G8945" i="3"/>
  <c r="H8944" i="3"/>
  <c r="G8944" i="3"/>
  <c r="H8943" i="3"/>
  <c r="G8943" i="3"/>
  <c r="H8942" i="3"/>
  <c r="G8942" i="3"/>
  <c r="H8941" i="3"/>
  <c r="G8941" i="3"/>
  <c r="H8940" i="3"/>
  <c r="G8940" i="3"/>
  <c r="H8939" i="3"/>
  <c r="G8939" i="3"/>
  <c r="H8938" i="3"/>
  <c r="G8938" i="3"/>
  <c r="H8937" i="3"/>
  <c r="G8937" i="3"/>
  <c r="H8936" i="3"/>
  <c r="G8936" i="3"/>
  <c r="H8935" i="3"/>
  <c r="G8935" i="3"/>
  <c r="H8934" i="3"/>
  <c r="G8934" i="3"/>
  <c r="H8933" i="3"/>
  <c r="G8933" i="3"/>
  <c r="H8932" i="3"/>
  <c r="G8932" i="3"/>
  <c r="H8931" i="3"/>
  <c r="G8931" i="3"/>
  <c r="H8930" i="3"/>
  <c r="G8930" i="3"/>
  <c r="D39" i="18"/>
  <c r="M369" i="1"/>
  <c r="M371" i="1"/>
  <c r="M372" i="1"/>
  <c r="H8929" i="3"/>
  <c r="G8929" i="3"/>
  <c r="H8928" i="3"/>
  <c r="G8928" i="3"/>
  <c r="H8927" i="3"/>
  <c r="G8927" i="3"/>
  <c r="H8926" i="3"/>
  <c r="G8926" i="3"/>
  <c r="H8925" i="3"/>
  <c r="G8925" i="3"/>
  <c r="H8924" i="3"/>
  <c r="G8924" i="3"/>
  <c r="H8923" i="3"/>
  <c r="G8923" i="3"/>
  <c r="H8922" i="3"/>
  <c r="G8922" i="3"/>
  <c r="H8921" i="3"/>
  <c r="G8921" i="3"/>
  <c r="H8920" i="3"/>
  <c r="G8920" i="3"/>
  <c r="H8919" i="3"/>
  <c r="G8919" i="3"/>
  <c r="H8918" i="3"/>
  <c r="G8918" i="3"/>
  <c r="H8917" i="3"/>
  <c r="G8917" i="3"/>
  <c r="H8916" i="3"/>
  <c r="G8916" i="3"/>
  <c r="H8915" i="3"/>
  <c r="G8915" i="3"/>
  <c r="H8914" i="3"/>
  <c r="G8914" i="3"/>
  <c r="H8913" i="3"/>
  <c r="G8913" i="3"/>
  <c r="H8912" i="3"/>
  <c r="G8912" i="3"/>
  <c r="H8911" i="3"/>
  <c r="G8911" i="3"/>
  <c r="H8910" i="3"/>
  <c r="G8910" i="3"/>
  <c r="H8909" i="3"/>
  <c r="G8909" i="3"/>
  <c r="H8908" i="3"/>
  <c r="G8908" i="3"/>
  <c r="H8907" i="3"/>
  <c r="G8907" i="3"/>
  <c r="H8906" i="3"/>
  <c r="G8906" i="3"/>
  <c r="S373" i="1"/>
  <c r="F373" i="1"/>
  <c r="H8905" i="3"/>
  <c r="G8905" i="3"/>
  <c r="H8904" i="3"/>
  <c r="G8904" i="3"/>
  <c r="H8903" i="3"/>
  <c r="G8903" i="3"/>
  <c r="H8902" i="3"/>
  <c r="G8902" i="3"/>
  <c r="H8901" i="3"/>
  <c r="G8901" i="3"/>
  <c r="H8900" i="3"/>
  <c r="G8900" i="3"/>
  <c r="H8899" i="3"/>
  <c r="G8899" i="3"/>
  <c r="H8898" i="3"/>
  <c r="G8898" i="3"/>
  <c r="H8897" i="3"/>
  <c r="G8897" i="3"/>
  <c r="H8896" i="3"/>
  <c r="G8896" i="3"/>
  <c r="H8895" i="3"/>
  <c r="G8895" i="3"/>
  <c r="H8894" i="3"/>
  <c r="G8894" i="3"/>
  <c r="H8893" i="3"/>
  <c r="G8893" i="3"/>
  <c r="H8892" i="3"/>
  <c r="G8892" i="3"/>
  <c r="H8891" i="3"/>
  <c r="G8891" i="3"/>
  <c r="H8890" i="3"/>
  <c r="G8890" i="3"/>
  <c r="H8889" i="3"/>
  <c r="G8889" i="3"/>
  <c r="H8888" i="3"/>
  <c r="G8888" i="3"/>
  <c r="H8887" i="3"/>
  <c r="G8887" i="3"/>
  <c r="H8886" i="3"/>
  <c r="G8886" i="3"/>
  <c r="H8885" i="3"/>
  <c r="G8885" i="3"/>
  <c r="H8884" i="3"/>
  <c r="G8884" i="3"/>
  <c r="H8883" i="3"/>
  <c r="G8883" i="3"/>
  <c r="H8882" i="3"/>
  <c r="G8882" i="3"/>
  <c r="S372" i="1"/>
  <c r="F372" i="1"/>
  <c r="H8881" i="3"/>
  <c r="G8881" i="3"/>
  <c r="H8880" i="3"/>
  <c r="G8880" i="3"/>
  <c r="H8879" i="3"/>
  <c r="G8879" i="3"/>
  <c r="H8878" i="3"/>
  <c r="G8878" i="3"/>
  <c r="H8877" i="3"/>
  <c r="G8877" i="3"/>
  <c r="H8876" i="3"/>
  <c r="G8876" i="3"/>
  <c r="H8875" i="3"/>
  <c r="G8875" i="3"/>
  <c r="H8874" i="3"/>
  <c r="G8874" i="3"/>
  <c r="H8873" i="3"/>
  <c r="G8873" i="3"/>
  <c r="H8872" i="3"/>
  <c r="G8872" i="3"/>
  <c r="H8871" i="3"/>
  <c r="G8871" i="3"/>
  <c r="H8870" i="3"/>
  <c r="G8870" i="3"/>
  <c r="H8869" i="3"/>
  <c r="G8869" i="3"/>
  <c r="H8868" i="3"/>
  <c r="G8868" i="3"/>
  <c r="H8867" i="3"/>
  <c r="G8867" i="3"/>
  <c r="H8866" i="3"/>
  <c r="G8866" i="3"/>
  <c r="H8865" i="3"/>
  <c r="G8865" i="3"/>
  <c r="H8864" i="3"/>
  <c r="G8864" i="3"/>
  <c r="H8863" i="3"/>
  <c r="G8863" i="3"/>
  <c r="H8862" i="3"/>
  <c r="G8862" i="3"/>
  <c r="H8861" i="3"/>
  <c r="G8861" i="3"/>
  <c r="H8860" i="3"/>
  <c r="G8860" i="3"/>
  <c r="H8859" i="3"/>
  <c r="G8859" i="3"/>
  <c r="H8858" i="3"/>
  <c r="G8858" i="3"/>
  <c r="S371" i="1"/>
  <c r="F371" i="1"/>
  <c r="H8857" i="3"/>
  <c r="G8857" i="3"/>
  <c r="H8856" i="3"/>
  <c r="G8856" i="3"/>
  <c r="H8855" i="3"/>
  <c r="G8855" i="3"/>
  <c r="H8854" i="3"/>
  <c r="G8854" i="3"/>
  <c r="H8853" i="3"/>
  <c r="G8853" i="3"/>
  <c r="H8852" i="3"/>
  <c r="G8852" i="3"/>
  <c r="H8851" i="3"/>
  <c r="G8851" i="3"/>
  <c r="H8850" i="3"/>
  <c r="G8850" i="3"/>
  <c r="H8849" i="3"/>
  <c r="G8849" i="3"/>
  <c r="H8848" i="3"/>
  <c r="G8848" i="3"/>
  <c r="H8847" i="3"/>
  <c r="G8847" i="3"/>
  <c r="H8846" i="3"/>
  <c r="G8846" i="3"/>
  <c r="H8845" i="3"/>
  <c r="G8845" i="3"/>
  <c r="H8844" i="3"/>
  <c r="G8844" i="3"/>
  <c r="H8843" i="3"/>
  <c r="G8843" i="3"/>
  <c r="H8842" i="3"/>
  <c r="G8842" i="3"/>
  <c r="H8841" i="3"/>
  <c r="G8841" i="3"/>
  <c r="H8840" i="3"/>
  <c r="G8840" i="3"/>
  <c r="H8839" i="3"/>
  <c r="G8839" i="3"/>
  <c r="H8838" i="3"/>
  <c r="G8838" i="3"/>
  <c r="H8837" i="3"/>
  <c r="G8837" i="3"/>
  <c r="H8836" i="3"/>
  <c r="G8836" i="3"/>
  <c r="H8835" i="3"/>
  <c r="G8835" i="3"/>
  <c r="H8834" i="3"/>
  <c r="G8834" i="3"/>
  <c r="S370" i="1"/>
  <c r="F370" i="1"/>
  <c r="H8833" i="3"/>
  <c r="G8833" i="3"/>
  <c r="H8832" i="3"/>
  <c r="G8832" i="3"/>
  <c r="H8831" i="3"/>
  <c r="G8831" i="3"/>
  <c r="H8830" i="3"/>
  <c r="G8830" i="3"/>
  <c r="H8829" i="3"/>
  <c r="G8829" i="3"/>
  <c r="H8828" i="3"/>
  <c r="G8828" i="3"/>
  <c r="H8827" i="3"/>
  <c r="G8827" i="3"/>
  <c r="H8826" i="3"/>
  <c r="G8826" i="3"/>
  <c r="H8825" i="3"/>
  <c r="G8825" i="3"/>
  <c r="H8824" i="3"/>
  <c r="G8824" i="3"/>
  <c r="H8823" i="3"/>
  <c r="G8823" i="3"/>
  <c r="H8822" i="3"/>
  <c r="G8822" i="3"/>
  <c r="H8821" i="3"/>
  <c r="G8821" i="3"/>
  <c r="H8820" i="3"/>
  <c r="G8820" i="3"/>
  <c r="H8819" i="3"/>
  <c r="G8819" i="3"/>
  <c r="H8818" i="3"/>
  <c r="G8818" i="3"/>
  <c r="H8817" i="3"/>
  <c r="G8817" i="3"/>
  <c r="H8816" i="3"/>
  <c r="G8816" i="3"/>
  <c r="H8815" i="3"/>
  <c r="G8815" i="3"/>
  <c r="H8814" i="3"/>
  <c r="G8814" i="3"/>
  <c r="H8813" i="3"/>
  <c r="G8813" i="3"/>
  <c r="H8812" i="3"/>
  <c r="G8812" i="3"/>
  <c r="H8811" i="3"/>
  <c r="G8811" i="3"/>
  <c r="H8810" i="3"/>
  <c r="G8810" i="3"/>
  <c r="S369" i="1"/>
  <c r="F369" i="1"/>
  <c r="M367" i="1"/>
  <c r="M368" i="1"/>
  <c r="AF144" i="23" l="1"/>
  <c r="AF125" i="23"/>
  <c r="X125" i="23"/>
  <c r="R146" i="23"/>
  <c r="AF146" i="23" s="1"/>
  <c r="AC146" i="23"/>
  <c r="R126" i="23"/>
  <c r="X126" i="23" s="1"/>
  <c r="AC126" i="23"/>
  <c r="X145" i="23"/>
  <c r="S146" i="23"/>
  <c r="J407" i="23"/>
  <c r="E147" i="23"/>
  <c r="K147" i="23" s="1"/>
  <c r="AB161" i="23" s="1"/>
  <c r="T146" i="23"/>
  <c r="E159" i="23"/>
  <c r="C148" i="23"/>
  <c r="T126" i="23"/>
  <c r="S126" i="23"/>
  <c r="H8809" i="3"/>
  <c r="G8809" i="3"/>
  <c r="H8808" i="3"/>
  <c r="G8808" i="3"/>
  <c r="H8807" i="3"/>
  <c r="G8807" i="3"/>
  <c r="H8806" i="3"/>
  <c r="G8806" i="3"/>
  <c r="H8805" i="3"/>
  <c r="G8805" i="3"/>
  <c r="H8804" i="3"/>
  <c r="G8804" i="3"/>
  <c r="H8803" i="3"/>
  <c r="G8803" i="3"/>
  <c r="H8802" i="3"/>
  <c r="G8802" i="3"/>
  <c r="H8801" i="3"/>
  <c r="G8801" i="3"/>
  <c r="H8800" i="3"/>
  <c r="G8800" i="3"/>
  <c r="H8799" i="3"/>
  <c r="G8799" i="3"/>
  <c r="H8798" i="3"/>
  <c r="G8798" i="3"/>
  <c r="H8797" i="3"/>
  <c r="G8797" i="3"/>
  <c r="H8796" i="3"/>
  <c r="G8796" i="3"/>
  <c r="H8795" i="3"/>
  <c r="G8795" i="3"/>
  <c r="H8794" i="3"/>
  <c r="G8794" i="3"/>
  <c r="H8793" i="3"/>
  <c r="G8793" i="3"/>
  <c r="H8792" i="3"/>
  <c r="G8792" i="3"/>
  <c r="H8791" i="3"/>
  <c r="G8791" i="3"/>
  <c r="H8790" i="3"/>
  <c r="G8790" i="3"/>
  <c r="H8789" i="3"/>
  <c r="G8789" i="3"/>
  <c r="H8788" i="3"/>
  <c r="G8788" i="3"/>
  <c r="H8787" i="3"/>
  <c r="G8787" i="3"/>
  <c r="H8786" i="3"/>
  <c r="G8786" i="3"/>
  <c r="S368" i="1"/>
  <c r="F368" i="1"/>
  <c r="X146" i="23" l="1"/>
  <c r="AF126" i="23"/>
  <c r="AF133" i="23"/>
  <c r="R147" i="23"/>
  <c r="AF147" i="23" s="1"/>
  <c r="AC147" i="23"/>
  <c r="S147" i="23"/>
  <c r="X147" i="23"/>
  <c r="J408" i="23"/>
  <c r="E160" i="23"/>
  <c r="C149" i="23"/>
  <c r="K149" i="23" s="1"/>
  <c r="AB163" i="23" s="1"/>
  <c r="T147" i="23"/>
  <c r="E148" i="23"/>
  <c r="K148" i="23" s="1"/>
  <c r="AB162" i="23" s="1"/>
  <c r="M365" i="1"/>
  <c r="M366" i="1"/>
  <c r="S367" i="1"/>
  <c r="F367" i="1"/>
  <c r="H8785" i="3"/>
  <c r="G8785" i="3"/>
  <c r="H8784" i="3"/>
  <c r="G8784" i="3"/>
  <c r="H8783" i="3"/>
  <c r="G8783" i="3"/>
  <c r="H8782" i="3"/>
  <c r="G8782" i="3"/>
  <c r="H8781" i="3"/>
  <c r="G8781" i="3"/>
  <c r="H8780" i="3"/>
  <c r="G8780" i="3"/>
  <c r="H8779" i="3"/>
  <c r="G8779" i="3"/>
  <c r="H8778" i="3"/>
  <c r="G8778" i="3"/>
  <c r="H8777" i="3"/>
  <c r="G8777" i="3"/>
  <c r="H8776" i="3"/>
  <c r="G8776" i="3"/>
  <c r="H8775" i="3"/>
  <c r="G8775" i="3"/>
  <c r="H8774" i="3"/>
  <c r="G8774" i="3"/>
  <c r="H8773" i="3"/>
  <c r="G8773" i="3"/>
  <c r="H8772" i="3"/>
  <c r="G8772" i="3"/>
  <c r="H8771" i="3"/>
  <c r="G8771" i="3"/>
  <c r="H8770" i="3"/>
  <c r="G8770" i="3"/>
  <c r="H8769" i="3"/>
  <c r="G8769" i="3"/>
  <c r="H8768" i="3"/>
  <c r="G8768" i="3"/>
  <c r="H8767" i="3"/>
  <c r="G8767" i="3"/>
  <c r="H8766" i="3"/>
  <c r="G8766" i="3"/>
  <c r="H8765" i="3"/>
  <c r="G8765" i="3"/>
  <c r="H8764" i="3"/>
  <c r="G8764" i="3"/>
  <c r="H8763" i="3"/>
  <c r="G8763" i="3"/>
  <c r="H8762" i="3"/>
  <c r="G8762" i="3"/>
  <c r="S366" i="1"/>
  <c r="H8761" i="3"/>
  <c r="G8761" i="3"/>
  <c r="H8760" i="3"/>
  <c r="G8760" i="3"/>
  <c r="H8759" i="3"/>
  <c r="G8759" i="3"/>
  <c r="H8758" i="3"/>
  <c r="G8758" i="3"/>
  <c r="H8757" i="3"/>
  <c r="G8757" i="3"/>
  <c r="H8756" i="3"/>
  <c r="G8756" i="3"/>
  <c r="H8755" i="3"/>
  <c r="G8755" i="3"/>
  <c r="H8754" i="3"/>
  <c r="G8754" i="3"/>
  <c r="H8753" i="3"/>
  <c r="G8753" i="3"/>
  <c r="H8752" i="3"/>
  <c r="G8752" i="3"/>
  <c r="H8751" i="3"/>
  <c r="G8751" i="3"/>
  <c r="H8750" i="3"/>
  <c r="G8750" i="3"/>
  <c r="H8749" i="3"/>
  <c r="G8749" i="3"/>
  <c r="H8748" i="3"/>
  <c r="G8748" i="3"/>
  <c r="H8747" i="3"/>
  <c r="G8747" i="3"/>
  <c r="H8746" i="3"/>
  <c r="G8746" i="3"/>
  <c r="H8745" i="3"/>
  <c r="G8745" i="3"/>
  <c r="H8744" i="3"/>
  <c r="G8744" i="3"/>
  <c r="H8743" i="3"/>
  <c r="G8743" i="3"/>
  <c r="H8742" i="3"/>
  <c r="G8742" i="3"/>
  <c r="H8741" i="3"/>
  <c r="G8741" i="3"/>
  <c r="H8740" i="3"/>
  <c r="G8740" i="3"/>
  <c r="H8739" i="3"/>
  <c r="G8739" i="3"/>
  <c r="H8738" i="3"/>
  <c r="G8738" i="3"/>
  <c r="F366" i="1"/>
  <c r="R149" i="23" l="1"/>
  <c r="X149" i="23" s="1"/>
  <c r="AC149" i="23"/>
  <c r="T148" i="23"/>
  <c r="J409" i="23"/>
  <c r="R148" i="23"/>
  <c r="S148" i="23"/>
  <c r="C150" i="23"/>
  <c r="K150" i="23" s="1"/>
  <c r="AB164" i="23" s="1"/>
  <c r="T149" i="23"/>
  <c r="S149" i="23"/>
  <c r="E161" i="23"/>
  <c r="H8737" i="3"/>
  <c r="G8737" i="3"/>
  <c r="H8736" i="3"/>
  <c r="G8736" i="3"/>
  <c r="H8735" i="3"/>
  <c r="G8735" i="3"/>
  <c r="H8734" i="3"/>
  <c r="G8734" i="3"/>
  <c r="H8733" i="3"/>
  <c r="G8733" i="3"/>
  <c r="H8732" i="3"/>
  <c r="G8732" i="3"/>
  <c r="H8731" i="3"/>
  <c r="G8731" i="3"/>
  <c r="H8730" i="3"/>
  <c r="G8730" i="3"/>
  <c r="H8729" i="3"/>
  <c r="G8729" i="3"/>
  <c r="H8728" i="3"/>
  <c r="G8728" i="3"/>
  <c r="H8727" i="3"/>
  <c r="G8727" i="3"/>
  <c r="H8726" i="3"/>
  <c r="G8726" i="3"/>
  <c r="H8725" i="3"/>
  <c r="G8725" i="3"/>
  <c r="H8724" i="3"/>
  <c r="G8724" i="3"/>
  <c r="H8723" i="3"/>
  <c r="G8723" i="3"/>
  <c r="H8722" i="3"/>
  <c r="G8722" i="3"/>
  <c r="H8721" i="3"/>
  <c r="G8721" i="3"/>
  <c r="H8720" i="3"/>
  <c r="G8720" i="3"/>
  <c r="H8719" i="3"/>
  <c r="G8719" i="3"/>
  <c r="H8718" i="3"/>
  <c r="G8718" i="3"/>
  <c r="H8717" i="3"/>
  <c r="G8717" i="3"/>
  <c r="H8716" i="3"/>
  <c r="G8716" i="3"/>
  <c r="H8715" i="3"/>
  <c r="G8715" i="3"/>
  <c r="H8714" i="3"/>
  <c r="G8714" i="3"/>
  <c r="S365" i="1"/>
  <c r="F365" i="1"/>
  <c r="H8713" i="3"/>
  <c r="G8713" i="3"/>
  <c r="H8712" i="3"/>
  <c r="G8712" i="3"/>
  <c r="H8711" i="3"/>
  <c r="G8711" i="3"/>
  <c r="H8710" i="3"/>
  <c r="G8710" i="3"/>
  <c r="H8709" i="3"/>
  <c r="G8709" i="3"/>
  <c r="H8708" i="3"/>
  <c r="G8708" i="3"/>
  <c r="H8707" i="3"/>
  <c r="G8707" i="3"/>
  <c r="H8706" i="3"/>
  <c r="G8706" i="3"/>
  <c r="H8705" i="3"/>
  <c r="G8705" i="3"/>
  <c r="H8704" i="3"/>
  <c r="G8704" i="3"/>
  <c r="H8703" i="3"/>
  <c r="G8703" i="3"/>
  <c r="H8702" i="3"/>
  <c r="G8702" i="3"/>
  <c r="H8701" i="3"/>
  <c r="G8701" i="3"/>
  <c r="H8700" i="3"/>
  <c r="G8700" i="3"/>
  <c r="H8699" i="3"/>
  <c r="G8699" i="3"/>
  <c r="H8698" i="3"/>
  <c r="G8698" i="3"/>
  <c r="H8697" i="3"/>
  <c r="G8697" i="3"/>
  <c r="H8696" i="3"/>
  <c r="G8696" i="3"/>
  <c r="H8695" i="3"/>
  <c r="G8695" i="3"/>
  <c r="H8694" i="3"/>
  <c r="G8694" i="3"/>
  <c r="H8693" i="3"/>
  <c r="G8693" i="3"/>
  <c r="H8692" i="3"/>
  <c r="G8692" i="3"/>
  <c r="H8691" i="3"/>
  <c r="G8691" i="3"/>
  <c r="H8690" i="3"/>
  <c r="G8690" i="3"/>
  <c r="M362" i="1"/>
  <c r="M363" i="1"/>
  <c r="M364" i="1"/>
  <c r="S364" i="1"/>
  <c r="F364" i="1"/>
  <c r="G8671" i="3"/>
  <c r="H8689" i="3"/>
  <c r="G8689" i="3"/>
  <c r="H8688" i="3"/>
  <c r="G8688" i="3"/>
  <c r="H8687" i="3"/>
  <c r="G8687" i="3"/>
  <c r="H8686" i="3"/>
  <c r="G8686" i="3"/>
  <c r="H8685" i="3"/>
  <c r="G8685" i="3"/>
  <c r="H8684" i="3"/>
  <c r="G8684" i="3"/>
  <c r="H8683" i="3"/>
  <c r="G8683" i="3"/>
  <c r="H8682" i="3"/>
  <c r="G8682" i="3"/>
  <c r="H8681" i="3"/>
  <c r="G8681" i="3"/>
  <c r="H8680" i="3"/>
  <c r="G8680" i="3"/>
  <c r="H8679" i="3"/>
  <c r="G8679" i="3"/>
  <c r="H8678" i="3"/>
  <c r="G8678" i="3"/>
  <c r="H8677" i="3"/>
  <c r="G8677" i="3"/>
  <c r="H8676" i="3"/>
  <c r="G8676" i="3"/>
  <c r="H8675" i="3"/>
  <c r="G8675" i="3"/>
  <c r="H8674" i="3"/>
  <c r="G8674" i="3"/>
  <c r="H8673" i="3"/>
  <c r="G8673" i="3"/>
  <c r="H8672" i="3"/>
  <c r="G8672" i="3"/>
  <c r="H8671" i="3"/>
  <c r="H8670" i="3"/>
  <c r="G8670" i="3"/>
  <c r="H8669" i="3"/>
  <c r="G8669" i="3"/>
  <c r="H8668" i="3"/>
  <c r="G8668" i="3"/>
  <c r="H8667" i="3"/>
  <c r="G8667" i="3"/>
  <c r="H8666" i="3"/>
  <c r="G8666" i="3"/>
  <c r="S363" i="1"/>
  <c r="F363" i="1"/>
  <c r="AF149" i="23" l="1"/>
  <c r="AC148" i="23"/>
  <c r="L148" i="23"/>
  <c r="R150" i="23"/>
  <c r="X150" i="23" s="1"/>
  <c r="AC150" i="23"/>
  <c r="J410" i="23"/>
  <c r="J411" i="23" s="1"/>
  <c r="J412" i="23" s="1"/>
  <c r="J413" i="23" s="1"/>
  <c r="J414" i="23" s="1"/>
  <c r="J415" i="23" s="1"/>
  <c r="J416" i="23" s="1"/>
  <c r="J417" i="23" s="1"/>
  <c r="J418" i="23" s="1"/>
  <c r="J419" i="23" s="1"/>
  <c r="J420" i="23" s="1"/>
  <c r="J421" i="23" s="1"/>
  <c r="J422" i="23" s="1"/>
  <c r="J423" i="23" s="1"/>
  <c r="J424" i="23" s="1"/>
  <c r="J425" i="23" s="1"/>
  <c r="J426" i="23" s="1"/>
  <c r="J427" i="23" s="1"/>
  <c r="J428" i="23" s="1"/>
  <c r="J429" i="23" s="1"/>
  <c r="AF148" i="23"/>
  <c r="X148" i="23"/>
  <c r="E162" i="23"/>
  <c r="C151" i="23"/>
  <c r="K151" i="23" s="1"/>
  <c r="AB165" i="23" s="1"/>
  <c r="S150" i="23"/>
  <c r="T150" i="23"/>
  <c r="M359" i="1"/>
  <c r="M360" i="1"/>
  <c r="M361" i="1"/>
  <c r="H8665" i="3"/>
  <c r="G8665" i="3"/>
  <c r="H8664" i="3"/>
  <c r="G8664" i="3"/>
  <c r="H8663" i="3"/>
  <c r="G8663" i="3"/>
  <c r="H8662" i="3"/>
  <c r="G8662" i="3"/>
  <c r="H8661" i="3"/>
  <c r="G8661" i="3"/>
  <c r="H8660" i="3"/>
  <c r="G8660" i="3"/>
  <c r="H8659" i="3"/>
  <c r="G8659" i="3"/>
  <c r="H8658" i="3"/>
  <c r="G8658" i="3"/>
  <c r="H8657" i="3"/>
  <c r="G8657" i="3"/>
  <c r="H8656" i="3"/>
  <c r="G8656" i="3"/>
  <c r="H8655" i="3"/>
  <c r="G8655" i="3"/>
  <c r="H8654" i="3"/>
  <c r="G8654" i="3"/>
  <c r="H8653" i="3"/>
  <c r="G8653" i="3"/>
  <c r="H8652" i="3"/>
  <c r="G8652" i="3"/>
  <c r="H8651" i="3"/>
  <c r="G8651" i="3"/>
  <c r="H8650" i="3"/>
  <c r="G8650" i="3"/>
  <c r="H8649" i="3"/>
  <c r="G8649" i="3"/>
  <c r="H8648" i="3"/>
  <c r="G8648" i="3"/>
  <c r="H8647" i="3"/>
  <c r="G8647" i="3"/>
  <c r="H8646" i="3"/>
  <c r="G8646" i="3"/>
  <c r="H8645" i="3"/>
  <c r="G8645" i="3"/>
  <c r="H8644" i="3"/>
  <c r="G8644" i="3"/>
  <c r="H8643" i="3"/>
  <c r="G8643" i="3"/>
  <c r="H8642" i="3"/>
  <c r="G8642" i="3"/>
  <c r="S362" i="1"/>
  <c r="F362" i="1"/>
  <c r="AF150" i="23" l="1"/>
  <c r="R151" i="23"/>
  <c r="X151" i="23" s="1"/>
  <c r="AC151" i="23"/>
  <c r="C152" i="23"/>
  <c r="K152" i="23" s="1"/>
  <c r="AB166" i="23" s="1"/>
  <c r="S151" i="23"/>
  <c r="T151" i="23"/>
  <c r="E163" i="23"/>
  <c r="H8641" i="3"/>
  <c r="G8641" i="3"/>
  <c r="H8640" i="3"/>
  <c r="G8640" i="3"/>
  <c r="H8639" i="3"/>
  <c r="G8639" i="3"/>
  <c r="H8638" i="3"/>
  <c r="G8638" i="3"/>
  <c r="H8637" i="3"/>
  <c r="G8637" i="3"/>
  <c r="H8636" i="3"/>
  <c r="G8636" i="3"/>
  <c r="H8635" i="3"/>
  <c r="G8635" i="3"/>
  <c r="H8634" i="3"/>
  <c r="G8634" i="3"/>
  <c r="H8633" i="3"/>
  <c r="G8633" i="3"/>
  <c r="H8632" i="3"/>
  <c r="G8632" i="3"/>
  <c r="H8631" i="3"/>
  <c r="G8631" i="3"/>
  <c r="H8630" i="3"/>
  <c r="G8630" i="3"/>
  <c r="H8629" i="3"/>
  <c r="G8629" i="3"/>
  <c r="H8628" i="3"/>
  <c r="G8628" i="3"/>
  <c r="H8627" i="3"/>
  <c r="G8627" i="3"/>
  <c r="H8626" i="3"/>
  <c r="G8626" i="3"/>
  <c r="H8625" i="3"/>
  <c r="G8625" i="3"/>
  <c r="H8624" i="3"/>
  <c r="G8624" i="3"/>
  <c r="H8623" i="3"/>
  <c r="G8623" i="3"/>
  <c r="H8622" i="3"/>
  <c r="G8622" i="3"/>
  <c r="H8621" i="3"/>
  <c r="G8621" i="3"/>
  <c r="H8620" i="3"/>
  <c r="G8620" i="3"/>
  <c r="H8619" i="3"/>
  <c r="G8619" i="3"/>
  <c r="H8618" i="3"/>
  <c r="G8618" i="3"/>
  <c r="S361" i="1"/>
  <c r="F361" i="1"/>
  <c r="H8617" i="3"/>
  <c r="G8617" i="3"/>
  <c r="H8616" i="3"/>
  <c r="G8616" i="3"/>
  <c r="H8615" i="3"/>
  <c r="G8615" i="3"/>
  <c r="H8614" i="3"/>
  <c r="G8614" i="3"/>
  <c r="H8613" i="3"/>
  <c r="G8613" i="3"/>
  <c r="H8612" i="3"/>
  <c r="G8612" i="3"/>
  <c r="H8611" i="3"/>
  <c r="G8611" i="3"/>
  <c r="H8610" i="3"/>
  <c r="G8610" i="3"/>
  <c r="H8609" i="3"/>
  <c r="G8609" i="3"/>
  <c r="H8608" i="3"/>
  <c r="G8608" i="3"/>
  <c r="H8607" i="3"/>
  <c r="G8607" i="3"/>
  <c r="H8606" i="3"/>
  <c r="G8606" i="3"/>
  <c r="H8605" i="3"/>
  <c r="G8605" i="3"/>
  <c r="H8604" i="3"/>
  <c r="G8604" i="3"/>
  <c r="H8603" i="3"/>
  <c r="G8603" i="3"/>
  <c r="H8602" i="3"/>
  <c r="G8602" i="3"/>
  <c r="H8601" i="3"/>
  <c r="G8601" i="3"/>
  <c r="H8600" i="3"/>
  <c r="G8600" i="3"/>
  <c r="H8599" i="3"/>
  <c r="G8599" i="3"/>
  <c r="H8598" i="3"/>
  <c r="G8598" i="3"/>
  <c r="H8597" i="3"/>
  <c r="G8597" i="3"/>
  <c r="H8596" i="3"/>
  <c r="G8596" i="3"/>
  <c r="H8595" i="3"/>
  <c r="G8595" i="3"/>
  <c r="H8594" i="3"/>
  <c r="G8594" i="3"/>
  <c r="S360" i="1"/>
  <c r="F360" i="1"/>
  <c r="G7825" i="3"/>
  <c r="G7824" i="3"/>
  <c r="G7823" i="3"/>
  <c r="G7822" i="3"/>
  <c r="G7821" i="3"/>
  <c r="G7820" i="3"/>
  <c r="G7819" i="3"/>
  <c r="G7818" i="3"/>
  <c r="G7817" i="3"/>
  <c r="G7816" i="3"/>
  <c r="G7815" i="3"/>
  <c r="G7814" i="3"/>
  <c r="G7813" i="3"/>
  <c r="G7812" i="3"/>
  <c r="G7811" i="3"/>
  <c r="G7810" i="3"/>
  <c r="G7809" i="3"/>
  <c r="G7808" i="3"/>
  <c r="G7807" i="3"/>
  <c r="G7806" i="3"/>
  <c r="G7805" i="3"/>
  <c r="G7804" i="3"/>
  <c r="G7803" i="3"/>
  <c r="G7802" i="3"/>
  <c r="G7849" i="3"/>
  <c r="G7848" i="3"/>
  <c r="G7847" i="3"/>
  <c r="G7846" i="3"/>
  <c r="G7845" i="3"/>
  <c r="G7844" i="3"/>
  <c r="G7843" i="3"/>
  <c r="G7842" i="3"/>
  <c r="G7841" i="3"/>
  <c r="G7840" i="3"/>
  <c r="G7839" i="3"/>
  <c r="G7838" i="3"/>
  <c r="G7837" i="3"/>
  <c r="G7836" i="3"/>
  <c r="G7835" i="3"/>
  <c r="G7834" i="3"/>
  <c r="G7833" i="3"/>
  <c r="G7832" i="3"/>
  <c r="G7831" i="3"/>
  <c r="G7830" i="3"/>
  <c r="G7829" i="3"/>
  <c r="G7828" i="3"/>
  <c r="G7827" i="3"/>
  <c r="G7826" i="3"/>
  <c r="G7873" i="3"/>
  <c r="G7872" i="3"/>
  <c r="G7871" i="3"/>
  <c r="G7870" i="3"/>
  <c r="G7869" i="3"/>
  <c r="G7868" i="3"/>
  <c r="G7867" i="3"/>
  <c r="G7866" i="3"/>
  <c r="G7865" i="3"/>
  <c r="G7864" i="3"/>
  <c r="G7863" i="3"/>
  <c r="G7862" i="3"/>
  <c r="G7861" i="3"/>
  <c r="G7860" i="3"/>
  <c r="G7859" i="3"/>
  <c r="G7858" i="3"/>
  <c r="G7857" i="3"/>
  <c r="G7856" i="3"/>
  <c r="G7855" i="3"/>
  <c r="G7854" i="3"/>
  <c r="G7853" i="3"/>
  <c r="G7852" i="3"/>
  <c r="G7851" i="3"/>
  <c r="G7850" i="3"/>
  <c r="G7897" i="3"/>
  <c r="G7896" i="3"/>
  <c r="G7895" i="3"/>
  <c r="G7894" i="3"/>
  <c r="G7893" i="3"/>
  <c r="G7892" i="3"/>
  <c r="G7891" i="3"/>
  <c r="G7890" i="3"/>
  <c r="G7889" i="3"/>
  <c r="G7888" i="3"/>
  <c r="G7887" i="3"/>
  <c r="G7886" i="3"/>
  <c r="G7885" i="3"/>
  <c r="G7884" i="3"/>
  <c r="G7883" i="3"/>
  <c r="G7882" i="3"/>
  <c r="G7881" i="3"/>
  <c r="G7880" i="3"/>
  <c r="G7879" i="3"/>
  <c r="G7878" i="3"/>
  <c r="G7877" i="3"/>
  <c r="G7876" i="3"/>
  <c r="G7875" i="3"/>
  <c r="G7874" i="3"/>
  <c r="G7921" i="3"/>
  <c r="G7920" i="3"/>
  <c r="G7919" i="3"/>
  <c r="G7918" i="3"/>
  <c r="G7917" i="3"/>
  <c r="G7916" i="3"/>
  <c r="G7915" i="3"/>
  <c r="G7914" i="3"/>
  <c r="G7913" i="3"/>
  <c r="G7912" i="3"/>
  <c r="G7911" i="3"/>
  <c r="G7910" i="3"/>
  <c r="G7909" i="3"/>
  <c r="G7908" i="3"/>
  <c r="G7907" i="3"/>
  <c r="G7906" i="3"/>
  <c r="G7905" i="3"/>
  <c r="G7904" i="3"/>
  <c r="G7903" i="3"/>
  <c r="G7902" i="3"/>
  <c r="G7901" i="3"/>
  <c r="G7900" i="3"/>
  <c r="G7899" i="3"/>
  <c r="G7898" i="3"/>
  <c r="G7945" i="3"/>
  <c r="G7944" i="3"/>
  <c r="G7943" i="3"/>
  <c r="G7942" i="3"/>
  <c r="G7941" i="3"/>
  <c r="G7940" i="3"/>
  <c r="G7939" i="3"/>
  <c r="G7938" i="3"/>
  <c r="G7937" i="3"/>
  <c r="G7936" i="3"/>
  <c r="G7935" i="3"/>
  <c r="G7934" i="3"/>
  <c r="G7933" i="3"/>
  <c r="G7932" i="3"/>
  <c r="G7931" i="3"/>
  <c r="G7930" i="3"/>
  <c r="G7929" i="3"/>
  <c r="G7928" i="3"/>
  <c r="G7927" i="3"/>
  <c r="G7926" i="3"/>
  <c r="G7925" i="3"/>
  <c r="G7924" i="3"/>
  <c r="G7923" i="3"/>
  <c r="G7922" i="3"/>
  <c r="G7969" i="3"/>
  <c r="G7968" i="3"/>
  <c r="G7967" i="3"/>
  <c r="G7966" i="3"/>
  <c r="G7965" i="3"/>
  <c r="G7964" i="3"/>
  <c r="G7963" i="3"/>
  <c r="G7962" i="3"/>
  <c r="G7961" i="3"/>
  <c r="G7960" i="3"/>
  <c r="G7959" i="3"/>
  <c r="G7958" i="3"/>
  <c r="G7957" i="3"/>
  <c r="G7956" i="3"/>
  <c r="G7955" i="3"/>
  <c r="G7954" i="3"/>
  <c r="G7953" i="3"/>
  <c r="G7952" i="3"/>
  <c r="G7951" i="3"/>
  <c r="G7950" i="3"/>
  <c r="G7949" i="3"/>
  <c r="G7948" i="3"/>
  <c r="G7947" i="3"/>
  <c r="G7946" i="3"/>
  <c r="G7993" i="3"/>
  <c r="G7992" i="3"/>
  <c r="G7991" i="3"/>
  <c r="G7990" i="3"/>
  <c r="G7989" i="3"/>
  <c r="G7988" i="3"/>
  <c r="G7987" i="3"/>
  <c r="G7986" i="3"/>
  <c r="G7985" i="3"/>
  <c r="G7984" i="3"/>
  <c r="G7983" i="3"/>
  <c r="G7982" i="3"/>
  <c r="G7981" i="3"/>
  <c r="G7980" i="3"/>
  <c r="G7979" i="3"/>
  <c r="G7978" i="3"/>
  <c r="G7977" i="3"/>
  <c r="G7976" i="3"/>
  <c r="G7975" i="3"/>
  <c r="G7974" i="3"/>
  <c r="G7973" i="3"/>
  <c r="G7972" i="3"/>
  <c r="G7971" i="3"/>
  <c r="G7970" i="3"/>
  <c r="G8017" i="3"/>
  <c r="G8016" i="3"/>
  <c r="G8015" i="3"/>
  <c r="G8014" i="3"/>
  <c r="G8013" i="3"/>
  <c r="G8012" i="3"/>
  <c r="G8011" i="3"/>
  <c r="G8010" i="3"/>
  <c r="G8009" i="3"/>
  <c r="G8008" i="3"/>
  <c r="G8007" i="3"/>
  <c r="G8006" i="3"/>
  <c r="G8005" i="3"/>
  <c r="G8004" i="3"/>
  <c r="G8003" i="3"/>
  <c r="G8002" i="3"/>
  <c r="G8001" i="3"/>
  <c r="G8000" i="3"/>
  <c r="G7999" i="3"/>
  <c r="G7998" i="3"/>
  <c r="G7997" i="3"/>
  <c r="G7996" i="3"/>
  <c r="G7995" i="3"/>
  <c r="G7994" i="3"/>
  <c r="G8041" i="3"/>
  <c r="G8040" i="3"/>
  <c r="G8039" i="3"/>
  <c r="G8038" i="3"/>
  <c r="G8037" i="3"/>
  <c r="G8036" i="3"/>
  <c r="G8035" i="3"/>
  <c r="G8034" i="3"/>
  <c r="G8033" i="3"/>
  <c r="G8032" i="3"/>
  <c r="G8031" i="3"/>
  <c r="G8030" i="3"/>
  <c r="G8029" i="3"/>
  <c r="G8028" i="3"/>
  <c r="G8027" i="3"/>
  <c r="G8026" i="3"/>
  <c r="G8025" i="3"/>
  <c r="G8024" i="3"/>
  <c r="G8023" i="3"/>
  <c r="G8022" i="3"/>
  <c r="G8021" i="3"/>
  <c r="G8020" i="3"/>
  <c r="G8019" i="3"/>
  <c r="G8018" i="3"/>
  <c r="G8065" i="3"/>
  <c r="G8064" i="3"/>
  <c r="G8063" i="3"/>
  <c r="G8062" i="3"/>
  <c r="G8061" i="3"/>
  <c r="G8060" i="3"/>
  <c r="G8059" i="3"/>
  <c r="G8058" i="3"/>
  <c r="G8057" i="3"/>
  <c r="G8056" i="3"/>
  <c r="G8055" i="3"/>
  <c r="G8054" i="3"/>
  <c r="G8053" i="3"/>
  <c r="G8052" i="3"/>
  <c r="G8051" i="3"/>
  <c r="G8050" i="3"/>
  <c r="G8049" i="3"/>
  <c r="G8048" i="3"/>
  <c r="G8047" i="3"/>
  <c r="G8046" i="3"/>
  <c r="G8045" i="3"/>
  <c r="G8044" i="3"/>
  <c r="G8043" i="3"/>
  <c r="G8042" i="3"/>
  <c r="G8089" i="3"/>
  <c r="G8088" i="3"/>
  <c r="G8087" i="3"/>
  <c r="G8086" i="3"/>
  <c r="G8085" i="3"/>
  <c r="G8084" i="3"/>
  <c r="G8083" i="3"/>
  <c r="G8082" i="3"/>
  <c r="G8081" i="3"/>
  <c r="G8080" i="3"/>
  <c r="G8079" i="3"/>
  <c r="G8078" i="3"/>
  <c r="G8077" i="3"/>
  <c r="G8076" i="3"/>
  <c r="G8075" i="3"/>
  <c r="G8074" i="3"/>
  <c r="G8073" i="3"/>
  <c r="G8072" i="3"/>
  <c r="G8071" i="3"/>
  <c r="G8070" i="3"/>
  <c r="G8069" i="3"/>
  <c r="G8068" i="3"/>
  <c r="G8067" i="3"/>
  <c r="G8066" i="3"/>
  <c r="G8113" i="3"/>
  <c r="G8112" i="3"/>
  <c r="G8111" i="3"/>
  <c r="G8110" i="3"/>
  <c r="G8109" i="3"/>
  <c r="G8108" i="3"/>
  <c r="G8107" i="3"/>
  <c r="G8106" i="3"/>
  <c r="G8105" i="3"/>
  <c r="G8104" i="3"/>
  <c r="G8103" i="3"/>
  <c r="G8102" i="3"/>
  <c r="G8101" i="3"/>
  <c r="G8100" i="3"/>
  <c r="G8099" i="3"/>
  <c r="G8098" i="3"/>
  <c r="G8097" i="3"/>
  <c r="G8096" i="3"/>
  <c r="G8095" i="3"/>
  <c r="G8094" i="3"/>
  <c r="G8093" i="3"/>
  <c r="G8092" i="3"/>
  <c r="G8091" i="3"/>
  <c r="G8090" i="3"/>
  <c r="G8137" i="3"/>
  <c r="G8136" i="3"/>
  <c r="G8135" i="3"/>
  <c r="G8134" i="3"/>
  <c r="G8133" i="3"/>
  <c r="G8132" i="3"/>
  <c r="G8131" i="3"/>
  <c r="G8130" i="3"/>
  <c r="G8129" i="3"/>
  <c r="G8128" i="3"/>
  <c r="G8127" i="3"/>
  <c r="G8126" i="3"/>
  <c r="G8125" i="3"/>
  <c r="G8124" i="3"/>
  <c r="G8123" i="3"/>
  <c r="G8122" i="3"/>
  <c r="G8121" i="3"/>
  <c r="G8120" i="3"/>
  <c r="G8119" i="3"/>
  <c r="G8118" i="3"/>
  <c r="G8117" i="3"/>
  <c r="G8116" i="3"/>
  <c r="G8115" i="3"/>
  <c r="G8114" i="3"/>
  <c r="G8161" i="3"/>
  <c r="G8160" i="3"/>
  <c r="G8159" i="3"/>
  <c r="G8158" i="3"/>
  <c r="G8157" i="3"/>
  <c r="G8156" i="3"/>
  <c r="G8155" i="3"/>
  <c r="G8154" i="3"/>
  <c r="G8153" i="3"/>
  <c r="G8152" i="3"/>
  <c r="G8151" i="3"/>
  <c r="G8150" i="3"/>
  <c r="G8149" i="3"/>
  <c r="G8148" i="3"/>
  <c r="G8147" i="3"/>
  <c r="G8146" i="3"/>
  <c r="G8145" i="3"/>
  <c r="G8144" i="3"/>
  <c r="G8143" i="3"/>
  <c r="G8142" i="3"/>
  <c r="G8141" i="3"/>
  <c r="G8140" i="3"/>
  <c r="G8139" i="3"/>
  <c r="G8138" i="3"/>
  <c r="G8185" i="3"/>
  <c r="G8184" i="3"/>
  <c r="G8183" i="3"/>
  <c r="G8182" i="3"/>
  <c r="G8181" i="3"/>
  <c r="G8180" i="3"/>
  <c r="G8179" i="3"/>
  <c r="G8178" i="3"/>
  <c r="G8177" i="3"/>
  <c r="G8176" i="3"/>
  <c r="G8175" i="3"/>
  <c r="G8174" i="3"/>
  <c r="G8173" i="3"/>
  <c r="G8172" i="3"/>
  <c r="G8171" i="3"/>
  <c r="G8170" i="3"/>
  <c r="G8169" i="3"/>
  <c r="G8168" i="3"/>
  <c r="G8167" i="3"/>
  <c r="G8166" i="3"/>
  <c r="G8165" i="3"/>
  <c r="G8164" i="3"/>
  <c r="G8163" i="3"/>
  <c r="G8162" i="3"/>
  <c r="G8209" i="3"/>
  <c r="G8208" i="3"/>
  <c r="G8207" i="3"/>
  <c r="G8206" i="3"/>
  <c r="G8205" i="3"/>
  <c r="G8204" i="3"/>
  <c r="G8203" i="3"/>
  <c r="G8202" i="3"/>
  <c r="G8201" i="3"/>
  <c r="G8200" i="3"/>
  <c r="G8199" i="3"/>
  <c r="G8198" i="3"/>
  <c r="G8197" i="3"/>
  <c r="G8196" i="3"/>
  <c r="G8195" i="3"/>
  <c r="G8194" i="3"/>
  <c r="G8193" i="3"/>
  <c r="G8192" i="3"/>
  <c r="G8191" i="3"/>
  <c r="G8190" i="3"/>
  <c r="G8189" i="3"/>
  <c r="G8188" i="3"/>
  <c r="G8187" i="3"/>
  <c r="G8186" i="3"/>
  <c r="G8233" i="3"/>
  <c r="G8232" i="3"/>
  <c r="G8231" i="3"/>
  <c r="G8230" i="3"/>
  <c r="G8229" i="3"/>
  <c r="G8228" i="3"/>
  <c r="G8227" i="3"/>
  <c r="G8226" i="3"/>
  <c r="G8225" i="3"/>
  <c r="G8224" i="3"/>
  <c r="G8223" i="3"/>
  <c r="G8222" i="3"/>
  <c r="G8221" i="3"/>
  <c r="G8220" i="3"/>
  <c r="G8219" i="3"/>
  <c r="G8218" i="3"/>
  <c r="G8217" i="3"/>
  <c r="G8216" i="3"/>
  <c r="G8215" i="3"/>
  <c r="G8214" i="3"/>
  <c r="G8213" i="3"/>
  <c r="G8212" i="3"/>
  <c r="G8211" i="3"/>
  <c r="G8210" i="3"/>
  <c r="G8257" i="3"/>
  <c r="G8256" i="3"/>
  <c r="G8255" i="3"/>
  <c r="G8254" i="3"/>
  <c r="G8253" i="3"/>
  <c r="G8252" i="3"/>
  <c r="G8251" i="3"/>
  <c r="G8250" i="3"/>
  <c r="G8249" i="3"/>
  <c r="G8248" i="3"/>
  <c r="G8247" i="3"/>
  <c r="G8246" i="3"/>
  <c r="G8245" i="3"/>
  <c r="G8244" i="3"/>
  <c r="G8243" i="3"/>
  <c r="G8242" i="3"/>
  <c r="G8241" i="3"/>
  <c r="G8240" i="3"/>
  <c r="G8239" i="3"/>
  <c r="G8238" i="3"/>
  <c r="G8237" i="3"/>
  <c r="G8236" i="3"/>
  <c r="G8235" i="3"/>
  <c r="G8234" i="3"/>
  <c r="G8281" i="3"/>
  <c r="G8280" i="3"/>
  <c r="G8279" i="3"/>
  <c r="G8278" i="3"/>
  <c r="G8277" i="3"/>
  <c r="G8276" i="3"/>
  <c r="G8275" i="3"/>
  <c r="G8274" i="3"/>
  <c r="G8273" i="3"/>
  <c r="G8272" i="3"/>
  <c r="G8271" i="3"/>
  <c r="G8270" i="3"/>
  <c r="G8269" i="3"/>
  <c r="G8268" i="3"/>
  <c r="G8267" i="3"/>
  <c r="G8266" i="3"/>
  <c r="G8265" i="3"/>
  <c r="G8264" i="3"/>
  <c r="G8263" i="3"/>
  <c r="G8262" i="3"/>
  <c r="G8261" i="3"/>
  <c r="G8260" i="3"/>
  <c r="G8259" i="3"/>
  <c r="G8258" i="3"/>
  <c r="G8305" i="3"/>
  <c r="G8304" i="3"/>
  <c r="G8303" i="3"/>
  <c r="G8302" i="3"/>
  <c r="G8301" i="3"/>
  <c r="G8300" i="3"/>
  <c r="G8299" i="3"/>
  <c r="G8298" i="3"/>
  <c r="G8297" i="3"/>
  <c r="G8296" i="3"/>
  <c r="G8295" i="3"/>
  <c r="G8294" i="3"/>
  <c r="G8293" i="3"/>
  <c r="G8292" i="3"/>
  <c r="G8291" i="3"/>
  <c r="G8290" i="3"/>
  <c r="G8289" i="3"/>
  <c r="G8288" i="3"/>
  <c r="G8287" i="3"/>
  <c r="G8286" i="3"/>
  <c r="G8285" i="3"/>
  <c r="G8284" i="3"/>
  <c r="G8283" i="3"/>
  <c r="G8282" i="3"/>
  <c r="G8329" i="3"/>
  <c r="G8328" i="3"/>
  <c r="G8327" i="3"/>
  <c r="G8326" i="3"/>
  <c r="G8325" i="3"/>
  <c r="G8324" i="3"/>
  <c r="G8323" i="3"/>
  <c r="G8322" i="3"/>
  <c r="G8321" i="3"/>
  <c r="G8320" i="3"/>
  <c r="G8319" i="3"/>
  <c r="G8318" i="3"/>
  <c r="G8317" i="3"/>
  <c r="G8316" i="3"/>
  <c r="G8315" i="3"/>
  <c r="G8314" i="3"/>
  <c r="G8313" i="3"/>
  <c r="G8312" i="3"/>
  <c r="G8311" i="3"/>
  <c r="G8310" i="3"/>
  <c r="G8309" i="3"/>
  <c r="G8308" i="3"/>
  <c r="G8307" i="3"/>
  <c r="G8306" i="3"/>
  <c r="G8353" i="3"/>
  <c r="G8352" i="3"/>
  <c r="G8351" i="3"/>
  <c r="G8350" i="3"/>
  <c r="G8349" i="3"/>
  <c r="G8348" i="3"/>
  <c r="G8347" i="3"/>
  <c r="G8346" i="3"/>
  <c r="G8345" i="3"/>
  <c r="G8344" i="3"/>
  <c r="G8343" i="3"/>
  <c r="G8342" i="3"/>
  <c r="G8341" i="3"/>
  <c r="G8340" i="3"/>
  <c r="G8339" i="3"/>
  <c r="G8338" i="3"/>
  <c r="G8337" i="3"/>
  <c r="G8336" i="3"/>
  <c r="G8335" i="3"/>
  <c r="G8334" i="3"/>
  <c r="G8333" i="3"/>
  <c r="G8332" i="3"/>
  <c r="G8331" i="3"/>
  <c r="G8330" i="3"/>
  <c r="G8377" i="3"/>
  <c r="G8376" i="3"/>
  <c r="G8375" i="3"/>
  <c r="G8374" i="3"/>
  <c r="G8373" i="3"/>
  <c r="G8372" i="3"/>
  <c r="G8371" i="3"/>
  <c r="G8370" i="3"/>
  <c r="G8369" i="3"/>
  <c r="G8368" i="3"/>
  <c r="G8367" i="3"/>
  <c r="G8366" i="3"/>
  <c r="G8365" i="3"/>
  <c r="G8364" i="3"/>
  <c r="G8363" i="3"/>
  <c r="G8362" i="3"/>
  <c r="G8361" i="3"/>
  <c r="G8360" i="3"/>
  <c r="G8359" i="3"/>
  <c r="G8358" i="3"/>
  <c r="G8357" i="3"/>
  <c r="G8356" i="3"/>
  <c r="G8355" i="3"/>
  <c r="G8354" i="3"/>
  <c r="G8401" i="3"/>
  <c r="G8400" i="3"/>
  <c r="G8399" i="3"/>
  <c r="G8398" i="3"/>
  <c r="G8397" i="3"/>
  <c r="G8396" i="3"/>
  <c r="G8395" i="3"/>
  <c r="G8394" i="3"/>
  <c r="G8393" i="3"/>
  <c r="G8392" i="3"/>
  <c r="G8391" i="3"/>
  <c r="G8390" i="3"/>
  <c r="G8389" i="3"/>
  <c r="G8388" i="3"/>
  <c r="G8387" i="3"/>
  <c r="G8386" i="3"/>
  <c r="G8385" i="3"/>
  <c r="G8384" i="3"/>
  <c r="G8383" i="3"/>
  <c r="G8382" i="3"/>
  <c r="G8381" i="3"/>
  <c r="G8380" i="3"/>
  <c r="G8379" i="3"/>
  <c r="G8378" i="3"/>
  <c r="G8425" i="3"/>
  <c r="G8424" i="3"/>
  <c r="G8423" i="3"/>
  <c r="G8422" i="3"/>
  <c r="G8421" i="3"/>
  <c r="G8420" i="3"/>
  <c r="G8419" i="3"/>
  <c r="G8418" i="3"/>
  <c r="G8417" i="3"/>
  <c r="G8416" i="3"/>
  <c r="G8415" i="3"/>
  <c r="G8414" i="3"/>
  <c r="G8413" i="3"/>
  <c r="G8412" i="3"/>
  <c r="G8411" i="3"/>
  <c r="G8410" i="3"/>
  <c r="G8409" i="3"/>
  <c r="G8408" i="3"/>
  <c r="G8407" i="3"/>
  <c r="G8406" i="3"/>
  <c r="G8405" i="3"/>
  <c r="G8404" i="3"/>
  <c r="G8403" i="3"/>
  <c r="G8402" i="3"/>
  <c r="G8449" i="3"/>
  <c r="G8448" i="3"/>
  <c r="G8447" i="3"/>
  <c r="G8446" i="3"/>
  <c r="G8445" i="3"/>
  <c r="G8444" i="3"/>
  <c r="G8443" i="3"/>
  <c r="G8442" i="3"/>
  <c r="G8441" i="3"/>
  <c r="G8440" i="3"/>
  <c r="G8439" i="3"/>
  <c r="G8438" i="3"/>
  <c r="G8437" i="3"/>
  <c r="G8436" i="3"/>
  <c r="G8435" i="3"/>
  <c r="G8434" i="3"/>
  <c r="G8433" i="3"/>
  <c r="G8432" i="3"/>
  <c r="G8431" i="3"/>
  <c r="G8430" i="3"/>
  <c r="G8429" i="3"/>
  <c r="G8428" i="3"/>
  <c r="G8427" i="3"/>
  <c r="G8426" i="3"/>
  <c r="G8473" i="3"/>
  <c r="G8472" i="3"/>
  <c r="G8471" i="3"/>
  <c r="G8470" i="3"/>
  <c r="G8469" i="3"/>
  <c r="G8468" i="3"/>
  <c r="G8467" i="3"/>
  <c r="G8466" i="3"/>
  <c r="G8465" i="3"/>
  <c r="G8464" i="3"/>
  <c r="G8463" i="3"/>
  <c r="G8462" i="3"/>
  <c r="G8461" i="3"/>
  <c r="G8460" i="3"/>
  <c r="G8459" i="3"/>
  <c r="G8458" i="3"/>
  <c r="G8457" i="3"/>
  <c r="G8456" i="3"/>
  <c r="G8455" i="3"/>
  <c r="G8454" i="3"/>
  <c r="G8453" i="3"/>
  <c r="G8452" i="3"/>
  <c r="G8451" i="3"/>
  <c r="G8450" i="3"/>
  <c r="G8497" i="3"/>
  <c r="G8496" i="3"/>
  <c r="G8495" i="3"/>
  <c r="G8494" i="3"/>
  <c r="G8493" i="3"/>
  <c r="G8492" i="3"/>
  <c r="G8491" i="3"/>
  <c r="G8490" i="3"/>
  <c r="G8489" i="3"/>
  <c r="G8488" i="3"/>
  <c r="G8487" i="3"/>
  <c r="G8486" i="3"/>
  <c r="G8485" i="3"/>
  <c r="G8484" i="3"/>
  <c r="G8483" i="3"/>
  <c r="G8482" i="3"/>
  <c r="G8481" i="3"/>
  <c r="G8480" i="3"/>
  <c r="G8479" i="3"/>
  <c r="G8478" i="3"/>
  <c r="G8477" i="3"/>
  <c r="G8476" i="3"/>
  <c r="G8475" i="3"/>
  <c r="G8474" i="3"/>
  <c r="G8521" i="3"/>
  <c r="G8520" i="3"/>
  <c r="G8519" i="3"/>
  <c r="G8518" i="3"/>
  <c r="G8517" i="3"/>
  <c r="G8516" i="3"/>
  <c r="G8515" i="3"/>
  <c r="G8514" i="3"/>
  <c r="G8513" i="3"/>
  <c r="G8512" i="3"/>
  <c r="G8511" i="3"/>
  <c r="G8510" i="3"/>
  <c r="G8509" i="3"/>
  <c r="G8508" i="3"/>
  <c r="G8507" i="3"/>
  <c r="G8506" i="3"/>
  <c r="G8505" i="3"/>
  <c r="G8504" i="3"/>
  <c r="G8503" i="3"/>
  <c r="G8502" i="3"/>
  <c r="G8501" i="3"/>
  <c r="G8500" i="3"/>
  <c r="G8499" i="3"/>
  <c r="G8498" i="3"/>
  <c r="G8545" i="3"/>
  <c r="G8544" i="3"/>
  <c r="G8543" i="3"/>
  <c r="G8542" i="3"/>
  <c r="G8541" i="3"/>
  <c r="G8540" i="3"/>
  <c r="G8539" i="3"/>
  <c r="G8538" i="3"/>
  <c r="G8537" i="3"/>
  <c r="G8536" i="3"/>
  <c r="G8535" i="3"/>
  <c r="G8534" i="3"/>
  <c r="G8533" i="3"/>
  <c r="G8532" i="3"/>
  <c r="G8531" i="3"/>
  <c r="G8530" i="3"/>
  <c r="G8529" i="3"/>
  <c r="G8528" i="3"/>
  <c r="G8527" i="3"/>
  <c r="G8526" i="3"/>
  <c r="G8525" i="3"/>
  <c r="G8524" i="3"/>
  <c r="G8523" i="3"/>
  <c r="G8522" i="3"/>
  <c r="G8569" i="3"/>
  <c r="G8568" i="3"/>
  <c r="G8567" i="3"/>
  <c r="G8566" i="3"/>
  <c r="G8565" i="3"/>
  <c r="G8564" i="3"/>
  <c r="G8563" i="3"/>
  <c r="G8562" i="3"/>
  <c r="G8561" i="3"/>
  <c r="G8560" i="3"/>
  <c r="G8559" i="3"/>
  <c r="G8558" i="3"/>
  <c r="G8557" i="3"/>
  <c r="G8556" i="3"/>
  <c r="G8555" i="3"/>
  <c r="G8554" i="3"/>
  <c r="G8553" i="3"/>
  <c r="G8552" i="3"/>
  <c r="G8551" i="3"/>
  <c r="G8550" i="3"/>
  <c r="G8549" i="3"/>
  <c r="G8548" i="3"/>
  <c r="G8547" i="3"/>
  <c r="G8546" i="3"/>
  <c r="G8592" i="3"/>
  <c r="G8591" i="3"/>
  <c r="G8590" i="3"/>
  <c r="G8589" i="3"/>
  <c r="G8588" i="3"/>
  <c r="G8587" i="3"/>
  <c r="G8586" i="3"/>
  <c r="G8585" i="3"/>
  <c r="G8584" i="3"/>
  <c r="G8583" i="3"/>
  <c r="G8582" i="3"/>
  <c r="G8581" i="3"/>
  <c r="G8580" i="3"/>
  <c r="G8579" i="3"/>
  <c r="G8578" i="3"/>
  <c r="G8577" i="3"/>
  <c r="G8576" i="3"/>
  <c r="G8575" i="3"/>
  <c r="G8574" i="3"/>
  <c r="G8573" i="3"/>
  <c r="G8572" i="3"/>
  <c r="G8571" i="3"/>
  <c r="G8570" i="3"/>
  <c r="G8593" i="3"/>
  <c r="AF151" i="23" l="1"/>
  <c r="R152" i="23"/>
  <c r="AF152" i="23" s="1"/>
  <c r="AC152" i="23"/>
  <c r="E164" i="23"/>
  <c r="S152" i="23"/>
  <c r="C153" i="23"/>
  <c r="K153" i="23" s="1"/>
  <c r="AB167" i="23" s="1"/>
  <c r="T152" i="23"/>
  <c r="H8593" i="3"/>
  <c r="H8592" i="3"/>
  <c r="H8591" i="3"/>
  <c r="H8590" i="3"/>
  <c r="H8589" i="3"/>
  <c r="H8588" i="3"/>
  <c r="H8587" i="3"/>
  <c r="H8586" i="3"/>
  <c r="H8585" i="3"/>
  <c r="H8584" i="3"/>
  <c r="H8583" i="3"/>
  <c r="H8582" i="3"/>
  <c r="H8581" i="3"/>
  <c r="H8580" i="3"/>
  <c r="H8579" i="3"/>
  <c r="H8578" i="3"/>
  <c r="H8577" i="3"/>
  <c r="H8576" i="3"/>
  <c r="H8575" i="3"/>
  <c r="H8574" i="3"/>
  <c r="H8573" i="3"/>
  <c r="H8572" i="3"/>
  <c r="H8571" i="3"/>
  <c r="H8570" i="3"/>
  <c r="S359" i="1"/>
  <c r="F359" i="1"/>
  <c r="M353" i="1"/>
  <c r="M354" i="1"/>
  <c r="M355" i="1"/>
  <c r="M356" i="1"/>
  <c r="M357" i="1"/>
  <c r="M358" i="1"/>
  <c r="H8569" i="3"/>
  <c r="H8568" i="3"/>
  <c r="H8567" i="3"/>
  <c r="H8566" i="3"/>
  <c r="H8565" i="3"/>
  <c r="H8564" i="3"/>
  <c r="H8563" i="3"/>
  <c r="H8562" i="3"/>
  <c r="H8561" i="3"/>
  <c r="H8560" i="3"/>
  <c r="H8559" i="3"/>
  <c r="H8558" i="3"/>
  <c r="H8557" i="3"/>
  <c r="H8556" i="3"/>
  <c r="H8555" i="3"/>
  <c r="H8554" i="3"/>
  <c r="H8553" i="3"/>
  <c r="H8552" i="3"/>
  <c r="H8551" i="3"/>
  <c r="H8550" i="3"/>
  <c r="H8549" i="3"/>
  <c r="H8548" i="3"/>
  <c r="H8547" i="3"/>
  <c r="H8546" i="3"/>
  <c r="S358" i="1"/>
  <c r="F358" i="1"/>
  <c r="H8545" i="3"/>
  <c r="H8544" i="3"/>
  <c r="H8543" i="3"/>
  <c r="H8542" i="3"/>
  <c r="H8541" i="3"/>
  <c r="H8540" i="3"/>
  <c r="H8539" i="3"/>
  <c r="H8538" i="3"/>
  <c r="H8537" i="3"/>
  <c r="H8536" i="3"/>
  <c r="H8535" i="3"/>
  <c r="H8534" i="3"/>
  <c r="H8533" i="3"/>
  <c r="H8532" i="3"/>
  <c r="H8531" i="3"/>
  <c r="H8530" i="3"/>
  <c r="H8529" i="3"/>
  <c r="H8528" i="3"/>
  <c r="H8527" i="3"/>
  <c r="H8526" i="3"/>
  <c r="H8525" i="3"/>
  <c r="H8524" i="3"/>
  <c r="H8523" i="3"/>
  <c r="H8522" i="3"/>
  <c r="S357" i="1"/>
  <c r="F357" i="1"/>
  <c r="H8521" i="3"/>
  <c r="H8520" i="3"/>
  <c r="H8519" i="3"/>
  <c r="H8518" i="3"/>
  <c r="H8517" i="3"/>
  <c r="H8516" i="3"/>
  <c r="H8515" i="3"/>
  <c r="H8514" i="3"/>
  <c r="H8513" i="3"/>
  <c r="H8512" i="3"/>
  <c r="H8511" i="3"/>
  <c r="H8510" i="3"/>
  <c r="H8509" i="3"/>
  <c r="H8508" i="3"/>
  <c r="H8507" i="3"/>
  <c r="H8506" i="3"/>
  <c r="H8505" i="3"/>
  <c r="H8504" i="3"/>
  <c r="H8503" i="3"/>
  <c r="H8502" i="3"/>
  <c r="H8501" i="3"/>
  <c r="H8500" i="3"/>
  <c r="H8499" i="3"/>
  <c r="H8498" i="3"/>
  <c r="S356" i="1"/>
  <c r="F356" i="1"/>
  <c r="H8497" i="3"/>
  <c r="H8496" i="3"/>
  <c r="H8495" i="3"/>
  <c r="H8494" i="3"/>
  <c r="H8493" i="3"/>
  <c r="H8492" i="3"/>
  <c r="H8491" i="3"/>
  <c r="H8490" i="3"/>
  <c r="H8489" i="3"/>
  <c r="H8488" i="3"/>
  <c r="H8487" i="3"/>
  <c r="H8486" i="3"/>
  <c r="H8485" i="3"/>
  <c r="H8484" i="3"/>
  <c r="H8483" i="3"/>
  <c r="H8482" i="3"/>
  <c r="H8481" i="3"/>
  <c r="H8480" i="3"/>
  <c r="H8479" i="3"/>
  <c r="H8478" i="3"/>
  <c r="H8477" i="3"/>
  <c r="H8476" i="3"/>
  <c r="H8475" i="3"/>
  <c r="H8474" i="3"/>
  <c r="F355" i="1"/>
  <c r="S355" i="1"/>
  <c r="X152" i="23" l="1"/>
  <c r="R153" i="23"/>
  <c r="AF153" i="23" s="1"/>
  <c r="AC153" i="23"/>
  <c r="S153" i="23"/>
  <c r="C154" i="23"/>
  <c r="K154" i="23" s="1"/>
  <c r="AB168" i="23" s="1"/>
  <c r="T153" i="23"/>
  <c r="E165" i="23"/>
  <c r="S354" i="1"/>
  <c r="H8473" i="3"/>
  <c r="H8472" i="3"/>
  <c r="H8471" i="3"/>
  <c r="H8470" i="3"/>
  <c r="H8469" i="3"/>
  <c r="H8468" i="3"/>
  <c r="H8467" i="3"/>
  <c r="H8466" i="3"/>
  <c r="H8465" i="3"/>
  <c r="H8464" i="3"/>
  <c r="H8463" i="3"/>
  <c r="H8462" i="3"/>
  <c r="H8461" i="3"/>
  <c r="H8460" i="3"/>
  <c r="H8459" i="3"/>
  <c r="H8458" i="3"/>
  <c r="H8457" i="3"/>
  <c r="H8456" i="3"/>
  <c r="H8455" i="3"/>
  <c r="H8454" i="3"/>
  <c r="H8453" i="3"/>
  <c r="H8452" i="3"/>
  <c r="H8451" i="3"/>
  <c r="H8450" i="3"/>
  <c r="F354" i="1"/>
  <c r="H8449" i="3"/>
  <c r="H8448" i="3"/>
  <c r="H8447" i="3"/>
  <c r="H8446" i="3"/>
  <c r="H8445" i="3"/>
  <c r="H8444" i="3"/>
  <c r="H8443" i="3"/>
  <c r="H8442" i="3"/>
  <c r="H8441" i="3"/>
  <c r="H8440" i="3"/>
  <c r="H8439" i="3"/>
  <c r="H8438" i="3"/>
  <c r="H8437" i="3"/>
  <c r="H8436" i="3"/>
  <c r="H8435" i="3"/>
  <c r="H8434" i="3"/>
  <c r="H8433" i="3"/>
  <c r="H8432" i="3"/>
  <c r="H8431" i="3"/>
  <c r="H8430" i="3"/>
  <c r="H8429" i="3"/>
  <c r="H8428" i="3"/>
  <c r="H8427" i="3"/>
  <c r="H8426" i="3"/>
  <c r="S353" i="1"/>
  <c r="F353" i="1"/>
  <c r="H8400" i="3"/>
  <c r="H8402" i="3"/>
  <c r="H7935" i="3"/>
  <c r="H7945" i="3"/>
  <c r="H7944" i="3"/>
  <c r="H7943" i="3"/>
  <c r="H7942" i="3"/>
  <c r="H7941" i="3"/>
  <c r="H7940" i="3"/>
  <c r="H7939" i="3"/>
  <c r="H7938" i="3"/>
  <c r="H7937" i="3"/>
  <c r="H7936" i="3"/>
  <c r="H7934" i="3"/>
  <c r="H7933" i="3"/>
  <c r="H7932" i="3"/>
  <c r="H7931" i="3"/>
  <c r="H7930" i="3"/>
  <c r="H7929" i="3"/>
  <c r="H7928" i="3"/>
  <c r="H7927" i="3"/>
  <c r="H7926" i="3"/>
  <c r="H7925" i="3"/>
  <c r="H7924" i="3"/>
  <c r="H7923" i="3"/>
  <c r="H7922" i="3"/>
  <c r="H7969" i="3"/>
  <c r="H7968" i="3"/>
  <c r="H7967" i="3"/>
  <c r="H7966" i="3"/>
  <c r="H7965" i="3"/>
  <c r="H7964" i="3"/>
  <c r="H7963" i="3"/>
  <c r="H7962" i="3"/>
  <c r="H7961" i="3"/>
  <c r="H7960" i="3"/>
  <c r="H7959" i="3"/>
  <c r="H7958" i="3"/>
  <c r="H7957" i="3"/>
  <c r="H7956" i="3"/>
  <c r="H7955" i="3"/>
  <c r="H7954" i="3"/>
  <c r="H7953" i="3"/>
  <c r="H7952" i="3"/>
  <c r="H7951" i="3"/>
  <c r="H7950" i="3"/>
  <c r="H7949" i="3"/>
  <c r="H7948" i="3"/>
  <c r="H7947" i="3"/>
  <c r="H7946" i="3"/>
  <c r="H7993" i="3"/>
  <c r="H7992" i="3"/>
  <c r="H7991" i="3"/>
  <c r="H7990" i="3"/>
  <c r="H7989" i="3"/>
  <c r="H7988" i="3"/>
  <c r="H7987" i="3"/>
  <c r="H7986" i="3"/>
  <c r="H7985" i="3"/>
  <c r="H7984" i="3"/>
  <c r="H7983" i="3"/>
  <c r="H7982" i="3"/>
  <c r="H7981" i="3"/>
  <c r="H7980" i="3"/>
  <c r="H7979" i="3"/>
  <c r="H7978" i="3"/>
  <c r="H7977" i="3"/>
  <c r="H7976" i="3"/>
  <c r="H7975" i="3"/>
  <c r="H7974" i="3"/>
  <c r="H7973" i="3"/>
  <c r="H7972" i="3"/>
  <c r="H7971" i="3"/>
  <c r="H7970" i="3"/>
  <c r="H8017" i="3"/>
  <c r="H8016" i="3"/>
  <c r="H8015" i="3"/>
  <c r="H8014" i="3"/>
  <c r="H8013" i="3"/>
  <c r="H8012" i="3"/>
  <c r="H8011" i="3"/>
  <c r="H8010" i="3"/>
  <c r="H8009" i="3"/>
  <c r="H8008" i="3"/>
  <c r="H8007" i="3"/>
  <c r="H8006" i="3"/>
  <c r="H8005" i="3"/>
  <c r="H8004" i="3"/>
  <c r="H8003" i="3"/>
  <c r="H8002" i="3"/>
  <c r="H8001" i="3"/>
  <c r="H8000" i="3"/>
  <c r="H7999" i="3"/>
  <c r="H7998" i="3"/>
  <c r="H7997" i="3"/>
  <c r="H7996" i="3"/>
  <c r="H7995" i="3"/>
  <c r="H7994" i="3"/>
  <c r="H8041" i="3"/>
  <c r="H8040" i="3"/>
  <c r="H8039" i="3"/>
  <c r="H8038" i="3"/>
  <c r="H8037" i="3"/>
  <c r="H8036" i="3"/>
  <c r="H8035" i="3"/>
  <c r="H8034" i="3"/>
  <c r="H8033" i="3"/>
  <c r="H8032" i="3"/>
  <c r="H8031" i="3"/>
  <c r="H8030" i="3"/>
  <c r="H8029" i="3"/>
  <c r="H8028" i="3"/>
  <c r="H8027" i="3"/>
  <c r="H8026" i="3"/>
  <c r="H8025" i="3"/>
  <c r="H8024" i="3"/>
  <c r="H8023" i="3"/>
  <c r="H8022" i="3"/>
  <c r="H8021" i="3"/>
  <c r="H8020" i="3"/>
  <c r="H8019" i="3"/>
  <c r="H8018" i="3"/>
  <c r="H8065" i="3"/>
  <c r="H8064" i="3"/>
  <c r="H8063" i="3"/>
  <c r="H8062" i="3"/>
  <c r="H8061" i="3"/>
  <c r="H8060" i="3"/>
  <c r="H8059" i="3"/>
  <c r="H8058" i="3"/>
  <c r="H8057" i="3"/>
  <c r="H8056" i="3"/>
  <c r="H8055" i="3"/>
  <c r="H8054" i="3"/>
  <c r="H8053" i="3"/>
  <c r="H8052" i="3"/>
  <c r="H8051" i="3"/>
  <c r="H8050" i="3"/>
  <c r="H8049" i="3"/>
  <c r="H8048" i="3"/>
  <c r="H8047" i="3"/>
  <c r="H8046" i="3"/>
  <c r="H8045" i="3"/>
  <c r="H8044" i="3"/>
  <c r="H8043" i="3"/>
  <c r="H8042" i="3"/>
  <c r="H8089" i="3"/>
  <c r="H8088" i="3"/>
  <c r="H8087" i="3"/>
  <c r="H8086" i="3"/>
  <c r="H8085" i="3"/>
  <c r="H8084" i="3"/>
  <c r="H8083" i="3"/>
  <c r="H8082" i="3"/>
  <c r="H8081" i="3"/>
  <c r="H8080" i="3"/>
  <c r="H8079" i="3"/>
  <c r="H8078" i="3"/>
  <c r="H8077" i="3"/>
  <c r="H8076" i="3"/>
  <c r="H8075" i="3"/>
  <c r="H8074" i="3"/>
  <c r="H8073" i="3"/>
  <c r="H8072" i="3"/>
  <c r="H8071" i="3"/>
  <c r="H8070" i="3"/>
  <c r="H8069" i="3"/>
  <c r="H8068" i="3"/>
  <c r="H8067" i="3"/>
  <c r="H8066" i="3"/>
  <c r="H8113" i="3"/>
  <c r="H8112" i="3"/>
  <c r="H8111" i="3"/>
  <c r="H8110" i="3"/>
  <c r="H8109" i="3"/>
  <c r="H8108" i="3"/>
  <c r="H8107" i="3"/>
  <c r="H8106" i="3"/>
  <c r="H8105" i="3"/>
  <c r="H8104" i="3"/>
  <c r="H8103" i="3"/>
  <c r="H8102" i="3"/>
  <c r="H8101" i="3"/>
  <c r="H8100" i="3"/>
  <c r="H8099" i="3"/>
  <c r="H8098" i="3"/>
  <c r="H8097" i="3"/>
  <c r="H8096" i="3"/>
  <c r="H8095" i="3"/>
  <c r="H8094" i="3"/>
  <c r="H8093" i="3"/>
  <c r="H8092" i="3"/>
  <c r="H8091" i="3"/>
  <c r="H8090" i="3"/>
  <c r="H8137" i="3"/>
  <c r="H8136" i="3"/>
  <c r="H8135" i="3"/>
  <c r="H8134" i="3"/>
  <c r="H8133" i="3"/>
  <c r="H8132" i="3"/>
  <c r="H8131" i="3"/>
  <c r="H8130" i="3"/>
  <c r="H8129" i="3"/>
  <c r="H8128" i="3"/>
  <c r="H8127" i="3"/>
  <c r="H8126" i="3"/>
  <c r="H8125" i="3"/>
  <c r="H8124" i="3"/>
  <c r="H8123" i="3"/>
  <c r="H8122" i="3"/>
  <c r="H8121" i="3"/>
  <c r="H8120" i="3"/>
  <c r="H8119" i="3"/>
  <c r="H8118" i="3"/>
  <c r="H8117" i="3"/>
  <c r="H8116" i="3"/>
  <c r="H8115" i="3"/>
  <c r="H8114" i="3"/>
  <c r="H8161" i="3"/>
  <c r="H8160" i="3"/>
  <c r="H8159" i="3"/>
  <c r="H8158" i="3"/>
  <c r="H8157" i="3"/>
  <c r="H8156" i="3"/>
  <c r="H8155" i="3"/>
  <c r="H8154" i="3"/>
  <c r="H8153" i="3"/>
  <c r="H8152" i="3"/>
  <c r="H8151" i="3"/>
  <c r="H8150" i="3"/>
  <c r="H8149" i="3"/>
  <c r="H8148" i="3"/>
  <c r="H8147" i="3"/>
  <c r="H8146" i="3"/>
  <c r="H8145" i="3"/>
  <c r="H8144" i="3"/>
  <c r="H8143" i="3"/>
  <c r="H8142" i="3"/>
  <c r="H8141" i="3"/>
  <c r="H8140" i="3"/>
  <c r="H8139" i="3"/>
  <c r="H8138" i="3"/>
  <c r="H8185" i="3"/>
  <c r="H8184" i="3"/>
  <c r="H8183" i="3"/>
  <c r="H8182" i="3"/>
  <c r="H8181" i="3"/>
  <c r="H8180" i="3"/>
  <c r="H8179" i="3"/>
  <c r="H8178" i="3"/>
  <c r="H8177" i="3"/>
  <c r="H8176" i="3"/>
  <c r="H8175" i="3"/>
  <c r="H8174" i="3"/>
  <c r="H8173" i="3"/>
  <c r="H8172" i="3"/>
  <c r="H8171" i="3"/>
  <c r="H8170" i="3"/>
  <c r="H8169" i="3"/>
  <c r="H8168" i="3"/>
  <c r="H8167" i="3"/>
  <c r="H8166" i="3"/>
  <c r="H8165" i="3"/>
  <c r="H8164" i="3"/>
  <c r="H8163" i="3"/>
  <c r="H8162" i="3"/>
  <c r="H8209" i="3"/>
  <c r="H8208" i="3"/>
  <c r="H8207" i="3"/>
  <c r="H8206" i="3"/>
  <c r="H8205" i="3"/>
  <c r="H8204" i="3"/>
  <c r="H8203" i="3"/>
  <c r="H8202" i="3"/>
  <c r="H8201" i="3"/>
  <c r="H8200" i="3"/>
  <c r="H8199" i="3"/>
  <c r="H8198" i="3"/>
  <c r="H8197" i="3"/>
  <c r="H8196" i="3"/>
  <c r="H8195" i="3"/>
  <c r="H8194" i="3"/>
  <c r="H8193" i="3"/>
  <c r="H8192" i="3"/>
  <c r="H8191" i="3"/>
  <c r="H8190" i="3"/>
  <c r="H8189" i="3"/>
  <c r="H8188" i="3"/>
  <c r="H8187" i="3"/>
  <c r="H8186" i="3"/>
  <c r="H8233" i="3"/>
  <c r="H8232" i="3"/>
  <c r="H8231" i="3"/>
  <c r="H8230" i="3"/>
  <c r="H8229" i="3"/>
  <c r="H8228" i="3"/>
  <c r="H8227" i="3"/>
  <c r="H8226" i="3"/>
  <c r="H8225" i="3"/>
  <c r="H8224" i="3"/>
  <c r="H8223" i="3"/>
  <c r="H8222" i="3"/>
  <c r="H8221" i="3"/>
  <c r="H8220" i="3"/>
  <c r="H8219" i="3"/>
  <c r="H8218" i="3"/>
  <c r="H8217" i="3"/>
  <c r="H8216" i="3"/>
  <c r="H8215" i="3"/>
  <c r="H8214" i="3"/>
  <c r="H8213" i="3"/>
  <c r="H8212" i="3"/>
  <c r="H8211" i="3"/>
  <c r="H8210" i="3"/>
  <c r="H8257" i="3"/>
  <c r="H8256" i="3"/>
  <c r="H8255" i="3"/>
  <c r="H8254" i="3"/>
  <c r="H8253" i="3"/>
  <c r="H8252" i="3"/>
  <c r="H8251" i="3"/>
  <c r="H8250" i="3"/>
  <c r="H8249" i="3"/>
  <c r="H8248" i="3"/>
  <c r="H8247" i="3"/>
  <c r="H8246" i="3"/>
  <c r="H8245" i="3"/>
  <c r="H8244" i="3"/>
  <c r="H8243" i="3"/>
  <c r="H8242" i="3"/>
  <c r="H8241" i="3"/>
  <c r="H8240" i="3"/>
  <c r="H8239" i="3"/>
  <c r="H8238" i="3"/>
  <c r="H8237" i="3"/>
  <c r="H8236" i="3"/>
  <c r="H8235" i="3"/>
  <c r="H8234" i="3"/>
  <c r="H8281" i="3"/>
  <c r="H8280" i="3"/>
  <c r="H8279" i="3"/>
  <c r="H8278" i="3"/>
  <c r="H8277" i="3"/>
  <c r="H8276" i="3"/>
  <c r="H8275" i="3"/>
  <c r="H8274" i="3"/>
  <c r="H8273" i="3"/>
  <c r="H8272" i="3"/>
  <c r="H8271" i="3"/>
  <c r="H8270" i="3"/>
  <c r="H8269" i="3"/>
  <c r="H8268" i="3"/>
  <c r="H8267" i="3"/>
  <c r="H8266" i="3"/>
  <c r="H8265" i="3"/>
  <c r="H8264" i="3"/>
  <c r="H8263" i="3"/>
  <c r="H8262" i="3"/>
  <c r="H8261" i="3"/>
  <c r="H8260" i="3"/>
  <c r="H8259" i="3"/>
  <c r="H8258" i="3"/>
  <c r="H8288" i="3"/>
  <c r="H8305" i="3"/>
  <c r="H8304" i="3"/>
  <c r="H8303" i="3"/>
  <c r="H8302" i="3"/>
  <c r="H8301" i="3"/>
  <c r="H8300" i="3"/>
  <c r="H8299" i="3"/>
  <c r="H8298" i="3"/>
  <c r="H8297" i="3"/>
  <c r="H8296" i="3"/>
  <c r="H8295" i="3"/>
  <c r="H8294" i="3"/>
  <c r="H8293" i="3"/>
  <c r="H8292" i="3"/>
  <c r="H8291" i="3"/>
  <c r="H8290" i="3"/>
  <c r="H8289" i="3"/>
  <c r="H8287" i="3"/>
  <c r="H8286" i="3"/>
  <c r="H8285" i="3"/>
  <c r="H8284" i="3"/>
  <c r="H8283" i="3"/>
  <c r="H8282" i="3"/>
  <c r="H8329" i="3"/>
  <c r="H8328" i="3"/>
  <c r="H8327" i="3"/>
  <c r="H8326" i="3"/>
  <c r="H8325" i="3"/>
  <c r="H8324" i="3"/>
  <c r="H8323" i="3"/>
  <c r="H8322" i="3"/>
  <c r="H8321" i="3"/>
  <c r="H8320" i="3"/>
  <c r="H8319" i="3"/>
  <c r="H8318" i="3"/>
  <c r="H8317" i="3"/>
  <c r="H8316" i="3"/>
  <c r="H8315" i="3"/>
  <c r="H8314" i="3"/>
  <c r="H8313" i="3"/>
  <c r="H8312" i="3"/>
  <c r="H8311" i="3"/>
  <c r="H8310" i="3"/>
  <c r="H8309" i="3"/>
  <c r="H8308" i="3"/>
  <c r="H8307" i="3"/>
  <c r="H8306" i="3"/>
  <c r="H8353" i="3"/>
  <c r="H8352" i="3"/>
  <c r="H8351" i="3"/>
  <c r="H8350" i="3"/>
  <c r="H8349" i="3"/>
  <c r="H8348" i="3"/>
  <c r="H8347" i="3"/>
  <c r="H8346" i="3"/>
  <c r="H8345" i="3"/>
  <c r="H8344" i="3"/>
  <c r="H8343" i="3"/>
  <c r="H8342" i="3"/>
  <c r="H8341" i="3"/>
  <c r="H8340" i="3"/>
  <c r="H8339" i="3"/>
  <c r="H8338" i="3"/>
  <c r="H8337" i="3"/>
  <c r="H8336" i="3"/>
  <c r="H8335" i="3"/>
  <c r="H8334" i="3"/>
  <c r="H8333" i="3"/>
  <c r="H8332" i="3"/>
  <c r="H8331" i="3"/>
  <c r="H8330" i="3"/>
  <c r="H8377" i="3"/>
  <c r="H8376" i="3"/>
  <c r="H8375" i="3"/>
  <c r="H8374" i="3"/>
  <c r="H8373" i="3"/>
  <c r="H8372" i="3"/>
  <c r="H8371" i="3"/>
  <c r="H8370" i="3"/>
  <c r="H8369" i="3"/>
  <c r="H8368" i="3"/>
  <c r="H8367" i="3"/>
  <c r="H8366" i="3"/>
  <c r="H8365" i="3"/>
  <c r="H8364" i="3"/>
  <c r="H8363" i="3"/>
  <c r="H8362" i="3"/>
  <c r="H8361" i="3"/>
  <c r="H8360" i="3"/>
  <c r="H8359" i="3"/>
  <c r="H8358" i="3"/>
  <c r="H8357" i="3"/>
  <c r="H8356" i="3"/>
  <c r="H8355" i="3"/>
  <c r="H8354" i="3"/>
  <c r="H8401" i="3"/>
  <c r="H8399" i="3"/>
  <c r="H8398" i="3"/>
  <c r="H8397" i="3"/>
  <c r="H8396" i="3"/>
  <c r="H8395" i="3"/>
  <c r="H8394" i="3"/>
  <c r="H8393" i="3"/>
  <c r="H8392" i="3"/>
  <c r="H8391" i="3"/>
  <c r="H8390" i="3"/>
  <c r="H8389" i="3"/>
  <c r="H8388" i="3"/>
  <c r="H8387" i="3"/>
  <c r="H8386" i="3"/>
  <c r="H8385" i="3"/>
  <c r="H8384" i="3"/>
  <c r="H8383" i="3"/>
  <c r="H8382" i="3"/>
  <c r="H8381" i="3"/>
  <c r="H8380" i="3"/>
  <c r="H8379" i="3"/>
  <c r="H8378" i="3"/>
  <c r="H8407" i="3"/>
  <c r="H8408" i="3"/>
  <c r="H8425" i="3"/>
  <c r="H8424" i="3"/>
  <c r="H8423" i="3"/>
  <c r="H8422" i="3"/>
  <c r="H8421" i="3"/>
  <c r="H8420" i="3"/>
  <c r="H8419" i="3"/>
  <c r="H8418" i="3"/>
  <c r="H8417" i="3"/>
  <c r="H8416" i="3"/>
  <c r="H8415" i="3"/>
  <c r="H8414" i="3"/>
  <c r="H8413" i="3"/>
  <c r="H8412" i="3"/>
  <c r="H8411" i="3"/>
  <c r="H8410" i="3"/>
  <c r="H8409" i="3"/>
  <c r="H8406" i="3"/>
  <c r="H8405" i="3"/>
  <c r="H8404" i="3"/>
  <c r="H8403" i="3"/>
  <c r="S351" i="1"/>
  <c r="S352" i="1"/>
  <c r="M350" i="1"/>
  <c r="M351" i="1"/>
  <c r="M352" i="1"/>
  <c r="F351" i="1"/>
  <c r="F352" i="1"/>
  <c r="S350" i="1"/>
  <c r="F350" i="1"/>
  <c r="S349" i="1"/>
  <c r="F349" i="1"/>
  <c r="M348" i="1"/>
  <c r="M347" i="1"/>
  <c r="M346" i="1"/>
  <c r="S348" i="1"/>
  <c r="F348" i="1"/>
  <c r="S347" i="1"/>
  <c r="F347" i="1"/>
  <c r="C35" i="12"/>
  <c r="M344" i="1"/>
  <c r="M345" i="1"/>
  <c r="S346" i="1"/>
  <c r="F346" i="1"/>
  <c r="S345" i="1"/>
  <c r="F345" i="1"/>
  <c r="M339" i="1"/>
  <c r="M340" i="1"/>
  <c r="M341" i="1"/>
  <c r="M342" i="1"/>
  <c r="M343" i="1"/>
  <c r="S344" i="1"/>
  <c r="F344" i="1"/>
  <c r="S343" i="1"/>
  <c r="F343" i="1"/>
  <c r="S342" i="1"/>
  <c r="F342" i="1"/>
  <c r="S341" i="1"/>
  <c r="F341" i="1"/>
  <c r="S340" i="1"/>
  <c r="H7921" i="3"/>
  <c r="H7920" i="3"/>
  <c r="H7919" i="3"/>
  <c r="H7918" i="3"/>
  <c r="H7917" i="3"/>
  <c r="H7916" i="3"/>
  <c r="H7915" i="3"/>
  <c r="H7914" i="3"/>
  <c r="H7913" i="3"/>
  <c r="H7912" i="3"/>
  <c r="H7911" i="3"/>
  <c r="H7910" i="3"/>
  <c r="H7909" i="3"/>
  <c r="H7908" i="3"/>
  <c r="H7907" i="3"/>
  <c r="H7906" i="3"/>
  <c r="H7905" i="3"/>
  <c r="H7904" i="3"/>
  <c r="H7903" i="3"/>
  <c r="H7902" i="3"/>
  <c r="H7901" i="3"/>
  <c r="H7900" i="3"/>
  <c r="H7899" i="3"/>
  <c r="H7898" i="3"/>
  <c r="F340" i="1"/>
  <c r="F7994" i="3"/>
  <c r="F7996" i="3"/>
  <c r="F7995" i="3"/>
  <c r="S339" i="1"/>
  <c r="F339" i="1"/>
  <c r="M338" i="1"/>
  <c r="S338" i="1"/>
  <c r="F338" i="1"/>
  <c r="M337" i="1"/>
  <c r="S337" i="1"/>
  <c r="F337" i="1"/>
  <c r="M335" i="1"/>
  <c r="M336" i="1"/>
  <c r="H7825" i="3"/>
  <c r="H7824" i="3"/>
  <c r="H7823" i="3"/>
  <c r="H7822" i="3"/>
  <c r="H7821" i="3"/>
  <c r="H7820" i="3"/>
  <c r="H7819" i="3"/>
  <c r="H7818" i="3"/>
  <c r="H7817" i="3"/>
  <c r="H7816" i="3"/>
  <c r="H7815" i="3"/>
  <c r="H7814" i="3"/>
  <c r="H7813" i="3"/>
  <c r="H7812" i="3"/>
  <c r="H7811" i="3"/>
  <c r="H7810" i="3"/>
  <c r="H7809" i="3"/>
  <c r="H7808" i="3"/>
  <c r="H7807" i="3"/>
  <c r="H7806" i="3"/>
  <c r="H7805" i="3"/>
  <c r="H7804" i="3"/>
  <c r="H7803" i="3"/>
  <c r="H7802" i="3"/>
  <c r="H7849" i="3"/>
  <c r="H7848" i="3"/>
  <c r="H7847" i="3"/>
  <c r="H7846" i="3"/>
  <c r="H7845" i="3"/>
  <c r="H7844" i="3"/>
  <c r="H7843" i="3"/>
  <c r="H7842" i="3"/>
  <c r="H7841" i="3"/>
  <c r="H7840" i="3"/>
  <c r="H7839" i="3"/>
  <c r="H7838" i="3"/>
  <c r="H7837" i="3"/>
  <c r="H7836" i="3"/>
  <c r="H7835" i="3"/>
  <c r="H7834" i="3"/>
  <c r="H7833" i="3"/>
  <c r="H7832" i="3"/>
  <c r="H7831" i="3"/>
  <c r="H7830" i="3"/>
  <c r="H7829" i="3"/>
  <c r="H7828" i="3"/>
  <c r="H7827" i="3"/>
  <c r="H7826" i="3"/>
  <c r="S336" i="1"/>
  <c r="F336" i="1"/>
  <c r="M333" i="1"/>
  <c r="M334" i="1"/>
  <c r="S335" i="1"/>
  <c r="F335" i="1"/>
  <c r="S334" i="1"/>
  <c r="F334" i="1"/>
  <c r="M331" i="1"/>
  <c r="M332" i="1"/>
  <c r="F333" i="1"/>
  <c r="S332" i="1"/>
  <c r="S333" i="1"/>
  <c r="F332" i="1"/>
  <c r="S331" i="1"/>
  <c r="F331" i="1"/>
  <c r="M330" i="1"/>
  <c r="X4" i="12"/>
  <c r="X5" i="12"/>
  <c r="X6" i="12"/>
  <c r="X7" i="12"/>
  <c r="X8" i="12"/>
  <c r="X9" i="12"/>
  <c r="X10" i="12"/>
  <c r="X11" i="12"/>
  <c r="X12" i="12"/>
  <c r="X13" i="12"/>
  <c r="X14" i="12"/>
  <c r="X15" i="12"/>
  <c r="X16" i="12"/>
  <c r="X17" i="12"/>
  <c r="X18" i="12"/>
  <c r="X19" i="12"/>
  <c r="X20" i="12"/>
  <c r="X21" i="12"/>
  <c r="X22" i="12"/>
  <c r="X23" i="12"/>
  <c r="X24" i="12"/>
  <c r="X25" i="12"/>
  <c r="X26" i="12"/>
  <c r="X3" i="12"/>
  <c r="H7897" i="3"/>
  <c r="H7896" i="3"/>
  <c r="H7895" i="3"/>
  <c r="H7894" i="3"/>
  <c r="H7893" i="3"/>
  <c r="H7892" i="3"/>
  <c r="H7891" i="3"/>
  <c r="H7890" i="3"/>
  <c r="H7889" i="3"/>
  <c r="H7888" i="3"/>
  <c r="H7887" i="3"/>
  <c r="H7886" i="3"/>
  <c r="H7885" i="3"/>
  <c r="H7884" i="3"/>
  <c r="H7883" i="3"/>
  <c r="H7882" i="3"/>
  <c r="H7881" i="3"/>
  <c r="H7880" i="3"/>
  <c r="H7879" i="3"/>
  <c r="H7878" i="3"/>
  <c r="H7877" i="3"/>
  <c r="H7876" i="3"/>
  <c r="H7875" i="3"/>
  <c r="H7874" i="3"/>
  <c r="S330" i="1"/>
  <c r="F330" i="1"/>
  <c r="M324" i="1"/>
  <c r="M325" i="1"/>
  <c r="M326" i="1"/>
  <c r="M327" i="1"/>
  <c r="M328" i="1"/>
  <c r="M329" i="1"/>
  <c r="H7850" i="3"/>
  <c r="H7851" i="3"/>
  <c r="H7852" i="3"/>
  <c r="H7853" i="3"/>
  <c r="H7854" i="3"/>
  <c r="H7855" i="3"/>
  <c r="H7856" i="3"/>
  <c r="H7857" i="3"/>
  <c r="H7858" i="3"/>
  <c r="H7859" i="3"/>
  <c r="H7860" i="3"/>
  <c r="H7861" i="3"/>
  <c r="H7862" i="3"/>
  <c r="H7863" i="3"/>
  <c r="H7864" i="3"/>
  <c r="H7865" i="3"/>
  <c r="H7866" i="3"/>
  <c r="H7867" i="3"/>
  <c r="H7868" i="3"/>
  <c r="H7869" i="3"/>
  <c r="H7870" i="3"/>
  <c r="H7871" i="3"/>
  <c r="H7872" i="3"/>
  <c r="H7873" i="3"/>
  <c r="S329" i="1"/>
  <c r="F329" i="1"/>
  <c r="S328" i="1"/>
  <c r="F328" i="1"/>
  <c r="S327" i="1"/>
  <c r="F327" i="1"/>
  <c r="S326" i="1"/>
  <c r="F326" i="1"/>
  <c r="S325" i="1"/>
  <c r="F325" i="1"/>
  <c r="M323" i="1"/>
  <c r="S324" i="1"/>
  <c r="F324" i="1"/>
  <c r="M320" i="1"/>
  <c r="M321" i="1"/>
  <c r="M322" i="1"/>
  <c r="S323" i="1"/>
  <c r="F323" i="1"/>
  <c r="S322" i="1"/>
  <c r="F322" i="1"/>
  <c r="S321" i="1"/>
  <c r="F321" i="1"/>
  <c r="S320" i="1"/>
  <c r="M319" i="1"/>
  <c r="F320" i="1"/>
  <c r="F319" i="1"/>
  <c r="S319" i="1"/>
  <c r="M317" i="1"/>
  <c r="M318" i="1"/>
  <c r="X153" i="23" l="1"/>
  <c r="R154" i="23"/>
  <c r="AF154" i="23" s="1"/>
  <c r="AC154" i="23"/>
  <c r="E166" i="23"/>
  <c r="C155" i="23"/>
  <c r="K155" i="23" s="1"/>
  <c r="AB169" i="23" s="1"/>
  <c r="S154" i="23"/>
  <c r="T154" i="23"/>
  <c r="S318" i="1"/>
  <c r="F318" i="1"/>
  <c r="S317" i="1"/>
  <c r="F317" i="1"/>
  <c r="M314" i="1"/>
  <c r="M315" i="1"/>
  <c r="M316" i="1"/>
  <c r="S316" i="1"/>
  <c r="F316" i="1"/>
  <c r="S315" i="1"/>
  <c r="F315" i="1"/>
  <c r="M311" i="1"/>
  <c r="M312" i="1"/>
  <c r="M313" i="1"/>
  <c r="S314" i="1"/>
  <c r="F314" i="1"/>
  <c r="S313" i="1"/>
  <c r="F313" i="1"/>
  <c r="S312" i="1"/>
  <c r="F312" i="1"/>
  <c r="S311" i="1"/>
  <c r="F311" i="1"/>
  <c r="X154" i="23" l="1"/>
  <c r="R155" i="23"/>
  <c r="AF155" i="23" s="1"/>
  <c r="AC155" i="23"/>
  <c r="C156" i="23"/>
  <c r="K156" i="23" s="1"/>
  <c r="AB170" i="23" s="1"/>
  <c r="S155" i="23"/>
  <c r="T155" i="23"/>
  <c r="E167" i="23"/>
  <c r="M309" i="1"/>
  <c r="M310" i="1"/>
  <c r="M305" i="1"/>
  <c r="M306" i="1"/>
  <c r="S310" i="1"/>
  <c r="F310" i="1"/>
  <c r="X155" i="23" l="1"/>
  <c r="R156" i="23"/>
  <c r="AF156" i="23" s="1"/>
  <c r="AC156" i="23"/>
  <c r="E168" i="23"/>
  <c r="S156" i="23"/>
  <c r="C157" i="23"/>
  <c r="K157" i="23" s="1"/>
  <c r="AB171" i="23" s="1"/>
  <c r="T156" i="23"/>
  <c r="S309" i="1"/>
  <c r="F309" i="1"/>
  <c r="X156" i="23" l="1"/>
  <c r="R157" i="23"/>
  <c r="AF157" i="23" s="1"/>
  <c r="AC157" i="23"/>
  <c r="C158" i="23"/>
  <c r="K158" i="23" s="1"/>
  <c r="AB172" i="23" s="1"/>
  <c r="S157" i="23"/>
  <c r="T157" i="23"/>
  <c r="E169" i="23"/>
  <c r="S308" i="1"/>
  <c r="F308" i="1"/>
  <c r="F307" i="1"/>
  <c r="X157" i="23" l="1"/>
  <c r="R158" i="23"/>
  <c r="AF158" i="23" s="1"/>
  <c r="AC158" i="23"/>
  <c r="E170" i="23"/>
  <c r="C159" i="23"/>
  <c r="K159" i="23" s="1"/>
  <c r="AB173" i="23" s="1"/>
  <c r="S158" i="23"/>
  <c r="T158" i="23"/>
  <c r="S307" i="1"/>
  <c r="X158" i="23" l="1"/>
  <c r="R159" i="23"/>
  <c r="AF159" i="23" s="1"/>
  <c r="AC159" i="23"/>
  <c r="C160" i="23"/>
  <c r="K160" i="23" s="1"/>
  <c r="AB174" i="23" s="1"/>
  <c r="S159" i="23"/>
  <c r="T159" i="23"/>
  <c r="E171" i="23"/>
  <c r="S306" i="1"/>
  <c r="F306" i="1"/>
  <c r="M304" i="1"/>
  <c r="S305" i="1"/>
  <c r="F305" i="1"/>
  <c r="S304" i="1"/>
  <c r="F304" i="1"/>
  <c r="X159" i="23" l="1"/>
  <c r="R160" i="23"/>
  <c r="AF160" i="23" s="1"/>
  <c r="AC160" i="23"/>
  <c r="E172" i="23"/>
  <c r="C161" i="23"/>
  <c r="K161" i="23" s="1"/>
  <c r="AB175" i="23" s="1"/>
  <c r="S160" i="23"/>
  <c r="T160" i="23"/>
  <c r="M301" i="1"/>
  <c r="M302" i="1"/>
  <c r="M303" i="1"/>
  <c r="S303" i="1"/>
  <c r="F303" i="1"/>
  <c r="S302" i="1"/>
  <c r="F302" i="1"/>
  <c r="M299" i="1"/>
  <c r="M300" i="1"/>
  <c r="S301" i="1"/>
  <c r="F301" i="1"/>
  <c r="S300" i="1"/>
  <c r="S299" i="1"/>
  <c r="F300" i="1"/>
  <c r="M296" i="1"/>
  <c r="M297" i="1"/>
  <c r="M298" i="1"/>
  <c r="S298" i="1"/>
  <c r="F299" i="1"/>
  <c r="F298" i="1"/>
  <c r="S297" i="1"/>
  <c r="F297" i="1"/>
  <c r="M295" i="1"/>
  <c r="X160" i="23" l="1"/>
  <c r="R161" i="23"/>
  <c r="AC161" i="23"/>
  <c r="AF161" i="23"/>
  <c r="C162" i="23"/>
  <c r="K162" i="23" s="1"/>
  <c r="AB176" i="23" s="1"/>
  <c r="S161" i="23"/>
  <c r="X161" i="23"/>
  <c r="T161" i="23"/>
  <c r="E173" i="23"/>
  <c r="S296" i="1"/>
  <c r="F296" i="1"/>
  <c r="R162" i="23" l="1"/>
  <c r="AF162" i="23" s="1"/>
  <c r="AC162" i="23"/>
  <c r="E174" i="23"/>
  <c r="S162" i="23"/>
  <c r="C163" i="23"/>
  <c r="K163" i="23" s="1"/>
  <c r="AB177" i="23" s="1"/>
  <c r="T162" i="23"/>
  <c r="S295" i="1"/>
  <c r="F295" i="1"/>
  <c r="R163" i="23" l="1"/>
  <c r="AF163" i="23" s="1"/>
  <c r="AC163" i="23"/>
  <c r="X162" i="23"/>
  <c r="C164" i="23"/>
  <c r="K164" i="23" s="1"/>
  <c r="AB178" i="23" s="1"/>
  <c r="S163" i="23"/>
  <c r="T163" i="23"/>
  <c r="E175" i="23"/>
  <c r="M293" i="1"/>
  <c r="M294" i="1"/>
  <c r="S294" i="1"/>
  <c r="F294" i="1"/>
  <c r="S293" i="1"/>
  <c r="F293" i="1"/>
  <c r="M288" i="1"/>
  <c r="M289" i="1"/>
  <c r="M290" i="1"/>
  <c r="M291" i="1"/>
  <c r="M292" i="1"/>
  <c r="F292" i="1"/>
  <c r="S292" i="1"/>
  <c r="S291" i="1"/>
  <c r="F291" i="1"/>
  <c r="S290" i="1"/>
  <c r="F290" i="1"/>
  <c r="S289" i="1"/>
  <c r="F289" i="1"/>
  <c r="R164" i="23" l="1"/>
  <c r="X164" i="23" s="1"/>
  <c r="AC164" i="23"/>
  <c r="X163" i="23"/>
  <c r="C165" i="23"/>
  <c r="K165" i="23" s="1"/>
  <c r="AB179" i="23" s="1"/>
  <c r="S164" i="23"/>
  <c r="T164" i="23"/>
  <c r="E176" i="23"/>
  <c r="F288" i="1"/>
  <c r="S288" i="1"/>
  <c r="M285" i="1"/>
  <c r="M286" i="1"/>
  <c r="M287"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AF164" i="23" l="1"/>
  <c r="R165" i="23"/>
  <c r="AF165" i="23" s="1"/>
  <c r="AC165" i="23"/>
  <c r="E177" i="23"/>
  <c r="S165" i="23"/>
  <c r="C166" i="23"/>
  <c r="T165" i="23"/>
  <c r="S287" i="1"/>
  <c r="S286" i="1"/>
  <c r="S285" i="1"/>
  <c r="AC166" i="23" l="1"/>
  <c r="K166" i="23"/>
  <c r="AB180" i="23" s="1"/>
  <c r="X165" i="23"/>
  <c r="S166" i="23"/>
  <c r="R166" i="23"/>
  <c r="C167" i="23"/>
  <c r="T166" i="23"/>
  <c r="E178" i="23"/>
  <c r="M284" i="1"/>
  <c r="M282" i="1"/>
  <c r="M283" i="1"/>
  <c r="S284" i="1"/>
  <c r="S283" i="1"/>
  <c r="AC167" i="23" l="1"/>
  <c r="K167" i="23"/>
  <c r="AB181" i="23" s="1"/>
  <c r="X166" i="23"/>
  <c r="AF166" i="23"/>
  <c r="C168" i="23"/>
  <c r="S167" i="23"/>
  <c r="R167" i="23"/>
  <c r="T167" i="23"/>
  <c r="E179" i="23"/>
  <c r="S282" i="1"/>
  <c r="AC168" i="23" l="1"/>
  <c r="K168" i="23"/>
  <c r="AB182" i="23" s="1"/>
  <c r="X167" i="23"/>
  <c r="AF167" i="23"/>
  <c r="E180" i="23"/>
  <c r="S168" i="23"/>
  <c r="R168" i="23"/>
  <c r="C169" i="23"/>
  <c r="T168" i="23"/>
  <c r="M277" i="1"/>
  <c r="M278" i="1"/>
  <c r="M279" i="1"/>
  <c r="M280" i="1"/>
  <c r="M281" i="1"/>
  <c r="S281" i="1"/>
  <c r="S280" i="1"/>
  <c r="S279" i="1"/>
  <c r="S278" i="1"/>
  <c r="M274" i="1"/>
  <c r="M275" i="1"/>
  <c r="M276" i="1"/>
  <c r="S277" i="1"/>
  <c r="AC169" i="23" l="1"/>
  <c r="K169" i="23"/>
  <c r="AB183" i="23" s="1"/>
  <c r="X168" i="23"/>
  <c r="AF168" i="23"/>
  <c r="E181" i="23"/>
  <c r="R169" i="23"/>
  <c r="C170" i="23"/>
  <c r="S169" i="23"/>
  <c r="T169" i="23"/>
  <c r="S276" i="1"/>
  <c r="AC170" i="23" l="1"/>
  <c r="K170" i="23"/>
  <c r="AB184" i="23" s="1"/>
  <c r="X169" i="23"/>
  <c r="AF169" i="23"/>
  <c r="S170" i="23"/>
  <c r="R170" i="23"/>
  <c r="C171" i="23"/>
  <c r="T170" i="23"/>
  <c r="E182" i="23"/>
  <c r="S275" i="1"/>
  <c r="M273" i="1"/>
  <c r="S274" i="1"/>
  <c r="AC171" i="23" l="1"/>
  <c r="K171" i="23"/>
  <c r="AB185" i="23" s="1"/>
  <c r="X170" i="23"/>
  <c r="AF170" i="23"/>
  <c r="R171" i="23"/>
  <c r="C172" i="23"/>
  <c r="Q171" i="23"/>
  <c r="S171" i="23"/>
  <c r="T171" i="23"/>
  <c r="E183" i="23"/>
  <c r="M268" i="1"/>
  <c r="M269" i="1"/>
  <c r="M270" i="1"/>
  <c r="M271" i="1"/>
  <c r="M272" i="1"/>
  <c r="E6529" i="3"/>
  <c r="E6526" i="3"/>
  <c r="E6524" i="3"/>
  <c r="E6521" i="3"/>
  <c r="E6520" i="3"/>
  <c r="E6513" i="3"/>
  <c r="E6511" i="3"/>
  <c r="E6510" i="3"/>
  <c r="E6509" i="3"/>
  <c r="E6507" i="3"/>
  <c r="E6506" i="3"/>
  <c r="E6525" i="3"/>
  <c r="E6518" i="3"/>
  <c r="S273" i="1"/>
  <c r="S272" i="1"/>
  <c r="S271" i="1"/>
  <c r="S270" i="1"/>
  <c r="S269" i="1"/>
  <c r="M264" i="1"/>
  <c r="M265" i="1"/>
  <c r="M266" i="1"/>
  <c r="M267" i="1"/>
  <c r="E6409" i="3"/>
  <c r="E6407" i="3"/>
  <c r="E6406" i="3"/>
  <c r="E6405" i="3"/>
  <c r="E6404" i="3"/>
  <c r="E6402" i="3"/>
  <c r="E6398" i="3"/>
  <c r="E6393" i="3"/>
  <c r="E6391" i="3"/>
  <c r="E6390" i="3"/>
  <c r="E6389" i="3"/>
  <c r="E6387" i="3"/>
  <c r="E6386" i="3"/>
  <c r="E6408" i="3"/>
  <c r="E6401" i="3"/>
  <c r="E6396" i="3"/>
  <c r="S268" i="1"/>
  <c r="E6385" i="3"/>
  <c r="E6383" i="3"/>
  <c r="E6381" i="3"/>
  <c r="E6377" i="3"/>
  <c r="E6376" i="3"/>
  <c r="E6374" i="3"/>
  <c r="E6371" i="3"/>
  <c r="E6367" i="3"/>
  <c r="E6366" i="3"/>
  <c r="E6363" i="3"/>
  <c r="E6362" i="3"/>
  <c r="E6380" i="3"/>
  <c r="E6372" i="3"/>
  <c r="E6369" i="3"/>
  <c r="E6365" i="3"/>
  <c r="S267" i="1"/>
  <c r="E6338" i="3"/>
  <c r="E6358" i="3"/>
  <c r="E6352" i="3"/>
  <c r="E6343" i="3"/>
  <c r="E6341" i="3"/>
  <c r="E6339" i="3"/>
  <c r="E6354" i="3"/>
  <c r="E6350" i="3"/>
  <c r="E6349" i="3"/>
  <c r="E6345" i="3"/>
  <c r="S266" i="1"/>
  <c r="E6334" i="3"/>
  <c r="E6321" i="3"/>
  <c r="E6319" i="3"/>
  <c r="E6315" i="3"/>
  <c r="E6314" i="3"/>
  <c r="E6336" i="3"/>
  <c r="E6332" i="3"/>
  <c r="E6330" i="3"/>
  <c r="E6327" i="3"/>
  <c r="E6323" i="3"/>
  <c r="E6318" i="3"/>
  <c r="E6316" i="3"/>
  <c r="S265" i="1"/>
  <c r="S264" i="1"/>
  <c r="AC172" i="23" l="1"/>
  <c r="K172" i="23"/>
  <c r="AB186" i="23" s="1"/>
  <c r="X171" i="23"/>
  <c r="AF171" i="23"/>
  <c r="S172" i="23"/>
  <c r="C173" i="23"/>
  <c r="R172" i="23"/>
  <c r="Q172" i="23"/>
  <c r="T172" i="23"/>
  <c r="E184" i="23"/>
  <c r="M260" i="1"/>
  <c r="M261" i="1"/>
  <c r="M262" i="1"/>
  <c r="M263" i="1"/>
  <c r="E6289" i="3"/>
  <c r="E6288" i="3"/>
  <c r="E6287" i="3"/>
  <c r="E6286" i="3"/>
  <c r="E6285" i="3"/>
  <c r="E6284" i="3"/>
  <c r="E6282" i="3"/>
  <c r="E6281" i="3"/>
  <c r="E6280" i="3"/>
  <c r="E6278" i="3"/>
  <c r="E6277" i="3"/>
  <c r="E6273" i="3"/>
  <c r="E6271" i="3"/>
  <c r="E6270" i="3"/>
  <c r="E6267" i="3"/>
  <c r="E6266" i="3"/>
  <c r="E6257" i="3"/>
  <c r="S263" i="1"/>
  <c r="AC173" i="23" l="1"/>
  <c r="K173" i="23"/>
  <c r="AB187" i="23" s="1"/>
  <c r="X172" i="23"/>
  <c r="AF172" i="23"/>
  <c r="E185" i="23"/>
  <c r="Q173" i="23"/>
  <c r="S173" i="23"/>
  <c r="C174" i="23"/>
  <c r="R173" i="23"/>
  <c r="T173" i="23"/>
  <c r="E6264" i="3"/>
  <c r="E6262" i="3"/>
  <c r="E6261" i="3"/>
  <c r="E6260" i="3"/>
  <c r="E6258" i="3"/>
  <c r="E6254" i="3"/>
  <c r="E6248" i="3"/>
  <c r="E6247" i="3"/>
  <c r="E6246" i="3"/>
  <c r="E6245" i="3"/>
  <c r="E6243" i="3"/>
  <c r="E6242" i="3"/>
  <c r="E6253" i="3"/>
  <c r="E6252" i="3"/>
  <c r="E6251" i="3"/>
  <c r="S262" i="1"/>
  <c r="AC174" i="23" l="1"/>
  <c r="K174" i="23"/>
  <c r="AB188" i="23" s="1"/>
  <c r="X173" i="23"/>
  <c r="AF173" i="23"/>
  <c r="S174" i="23"/>
  <c r="C175" i="23"/>
  <c r="R174" i="23"/>
  <c r="Q174" i="23"/>
  <c r="T174" i="23"/>
  <c r="E186" i="23"/>
  <c r="E6241" i="3"/>
  <c r="E6238" i="3"/>
  <c r="E6236" i="3"/>
  <c r="E6234" i="3"/>
  <c r="E6233" i="3"/>
  <c r="E6232" i="3"/>
  <c r="E6230" i="3"/>
  <c r="E6228" i="3"/>
  <c r="E6227" i="3"/>
  <c r="E6225" i="3"/>
  <c r="E6224" i="3"/>
  <c r="E6223" i="3"/>
  <c r="E6222" i="3"/>
  <c r="E6221" i="3"/>
  <c r="E6219" i="3"/>
  <c r="E6218" i="3"/>
  <c r="E6240" i="3"/>
  <c r="E6239" i="3"/>
  <c r="E6229" i="3"/>
  <c r="S261" i="1"/>
  <c r="AC175" i="23" l="1"/>
  <c r="K175" i="23"/>
  <c r="AB189" i="23" s="1"/>
  <c r="X174" i="23"/>
  <c r="AF174" i="23"/>
  <c r="S175" i="23"/>
  <c r="C176" i="23"/>
  <c r="R175" i="23"/>
  <c r="Q175" i="23"/>
  <c r="T175" i="23"/>
  <c r="E187" i="23"/>
  <c r="M258" i="1"/>
  <c r="M259" i="1"/>
  <c r="E6217" i="3"/>
  <c r="E6216" i="3"/>
  <c r="E6215" i="3"/>
  <c r="E6214" i="3"/>
  <c r="E6213" i="3"/>
  <c r="E6211" i="3"/>
  <c r="E6210" i="3"/>
  <c r="E6209" i="3"/>
  <c r="E6208" i="3"/>
  <c r="E6206" i="3"/>
  <c r="E6204" i="3"/>
  <c r="E6201" i="3"/>
  <c r="E6199" i="3"/>
  <c r="E6198" i="3"/>
  <c r="E6197" i="3"/>
  <c r="E6195" i="3"/>
  <c r="E6194" i="3"/>
  <c r="E6205" i="3"/>
  <c r="S260" i="1"/>
  <c r="E6190" i="3"/>
  <c r="E6189" i="3"/>
  <c r="E6185" i="3"/>
  <c r="E6177" i="3"/>
  <c r="E6175" i="3"/>
  <c r="E6173" i="3"/>
  <c r="E6171" i="3"/>
  <c r="E6170" i="3"/>
  <c r="E6192" i="3"/>
  <c r="E6182" i="3"/>
  <c r="S259" i="1"/>
  <c r="E6169" i="3"/>
  <c r="E6168" i="3"/>
  <c r="E6166" i="3"/>
  <c r="E6165" i="3"/>
  <c r="E6162" i="3"/>
  <c r="E6161" i="3"/>
  <c r="E6158" i="3"/>
  <c r="E6155" i="3"/>
  <c r="E6153" i="3"/>
  <c r="E6152" i="3"/>
  <c r="E6151" i="3"/>
  <c r="E6150" i="3"/>
  <c r="E6149" i="3"/>
  <c r="E6147" i="3"/>
  <c r="E6146" i="3"/>
  <c r="E6167" i="3"/>
  <c r="S258" i="1"/>
  <c r="M257" i="1"/>
  <c r="S257" i="1"/>
  <c r="E6145" i="3"/>
  <c r="E6144" i="3"/>
  <c r="E6142" i="3"/>
  <c r="E6141" i="3"/>
  <c r="E6140" i="3"/>
  <c r="E6139" i="3"/>
  <c r="E6138" i="3"/>
  <c r="E6137" i="3"/>
  <c r="E6136" i="3"/>
  <c r="E6134" i="3"/>
  <c r="E6129" i="3"/>
  <c r="E6127" i="3"/>
  <c r="E6125" i="3"/>
  <c r="E6124" i="3"/>
  <c r="E6123" i="3"/>
  <c r="E6122" i="3"/>
  <c r="E6143" i="3"/>
  <c r="E6132" i="3"/>
  <c r="E6131" i="3"/>
  <c r="E6128" i="3"/>
  <c r="AC176" i="23" l="1"/>
  <c r="K176" i="23"/>
  <c r="AB190" i="23" s="1"/>
  <c r="X175" i="23"/>
  <c r="AF175" i="23"/>
  <c r="E188" i="23"/>
  <c r="Q176" i="23"/>
  <c r="S176" i="23"/>
  <c r="R176" i="23"/>
  <c r="C177" i="23"/>
  <c r="T176" i="23"/>
  <c r="M254" i="1"/>
  <c r="M255" i="1"/>
  <c r="M256" i="1"/>
  <c r="AC177" i="23" l="1"/>
  <c r="K177" i="23"/>
  <c r="AB191" i="23" s="1"/>
  <c r="X176" i="23"/>
  <c r="AF176" i="23"/>
  <c r="C178" i="23"/>
  <c r="R177" i="23"/>
  <c r="Q177" i="23"/>
  <c r="S177" i="23"/>
  <c r="T177" i="23"/>
  <c r="E189" i="23"/>
  <c r="S256" i="1"/>
  <c r="AC178" i="23" l="1"/>
  <c r="K178" i="23"/>
  <c r="AB192" i="23" s="1"/>
  <c r="X177" i="23"/>
  <c r="AF177" i="23"/>
  <c r="E190" i="23"/>
  <c r="S178" i="23"/>
  <c r="C179" i="23"/>
  <c r="R178" i="23"/>
  <c r="Q178" i="23"/>
  <c r="T178" i="23"/>
  <c r="S255" i="1"/>
  <c r="AC179" i="23" l="1"/>
  <c r="K179" i="23"/>
  <c r="AB193" i="23" s="1"/>
  <c r="X178" i="23"/>
  <c r="AF178" i="23"/>
  <c r="S179" i="23"/>
  <c r="C180" i="23"/>
  <c r="R179" i="23"/>
  <c r="Q179" i="23"/>
  <c r="T179" i="23"/>
  <c r="E191" i="23"/>
  <c r="S254" i="1"/>
  <c r="M252" i="1"/>
  <c r="M253" i="1"/>
  <c r="M250" i="1"/>
  <c r="M251" i="1"/>
  <c r="S253" i="1"/>
  <c r="AC180" i="23" l="1"/>
  <c r="K180" i="23"/>
  <c r="AB194" i="23" s="1"/>
  <c r="X179" i="23"/>
  <c r="AF179" i="23"/>
  <c r="E192" i="23"/>
  <c r="Q180" i="23"/>
  <c r="S180" i="23"/>
  <c r="C181" i="23"/>
  <c r="R180" i="23"/>
  <c r="T180" i="23"/>
  <c r="E6022" i="3"/>
  <c r="E6018" i="3"/>
  <c r="E6017" i="3"/>
  <c r="E6014" i="3"/>
  <c r="E6012" i="3"/>
  <c r="E6009" i="3"/>
  <c r="E6007" i="3"/>
  <c r="E6003" i="3"/>
  <c r="E6020" i="3"/>
  <c r="E6013" i="3"/>
  <c r="E6008" i="3"/>
  <c r="E6005" i="3"/>
  <c r="S252" i="1"/>
  <c r="S251" i="1"/>
  <c r="E5979" i="3"/>
  <c r="E6001" i="3"/>
  <c r="E6000" i="3"/>
  <c r="E5999" i="3"/>
  <c r="E5998" i="3"/>
  <c r="E5997" i="3"/>
  <c r="E5994" i="3"/>
  <c r="E5993" i="3"/>
  <c r="E5990" i="3"/>
  <c r="E5987" i="3"/>
  <c r="E5985" i="3"/>
  <c r="E5983" i="3"/>
  <c r="E5981" i="3"/>
  <c r="E5980" i="3"/>
  <c r="E5978" i="3"/>
  <c r="E5977" i="3"/>
  <c r="E5974" i="3"/>
  <c r="E5973" i="3"/>
  <c r="E5972" i="3"/>
  <c r="E5969" i="3"/>
  <c r="E5968" i="3"/>
  <c r="E5966" i="3"/>
  <c r="E5961" i="3"/>
  <c r="E5960" i="3"/>
  <c r="E5959" i="3"/>
  <c r="E5958" i="3"/>
  <c r="E5957" i="3"/>
  <c r="E5955" i="3"/>
  <c r="E5954" i="3"/>
  <c r="E5975" i="3"/>
  <c r="M248" i="1"/>
  <c r="M249" i="1"/>
  <c r="S250" i="1"/>
  <c r="E5953" i="3"/>
  <c r="E5950" i="3"/>
  <c r="E5949" i="3"/>
  <c r="E5948" i="3"/>
  <c r="E5945" i="3"/>
  <c r="E5942" i="3"/>
  <c r="E5941" i="3"/>
  <c r="E5935" i="3"/>
  <c r="E5934" i="3"/>
  <c r="E5933" i="3"/>
  <c r="E5931" i="3"/>
  <c r="E5930" i="3"/>
  <c r="E5952" i="3"/>
  <c r="E5939" i="3"/>
  <c r="E5937" i="3"/>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S249" i="1"/>
  <c r="AC181" i="23" l="1"/>
  <c r="K181" i="23"/>
  <c r="AB195" i="23" s="1"/>
  <c r="X180" i="23"/>
  <c r="AF180" i="23"/>
  <c r="E193" i="23"/>
  <c r="C182" i="23"/>
  <c r="R181" i="23"/>
  <c r="Q181" i="23"/>
  <c r="S181" i="23"/>
  <c r="T181" i="23"/>
  <c r="M247" i="1"/>
  <c r="S248" i="1"/>
  <c r="AC182" i="23" l="1"/>
  <c r="K182" i="23"/>
  <c r="AB196" i="23" s="1"/>
  <c r="X181" i="23"/>
  <c r="AF181" i="23"/>
  <c r="S182" i="23"/>
  <c r="C183" i="23"/>
  <c r="R182" i="23"/>
  <c r="Q182" i="23"/>
  <c r="T182" i="23"/>
  <c r="E194" i="23"/>
  <c r="S247" i="1"/>
  <c r="M246" i="1"/>
  <c r="AC183" i="23" l="1"/>
  <c r="K183" i="23"/>
  <c r="AB197" i="23" s="1"/>
  <c r="X182" i="23"/>
  <c r="AF182" i="23"/>
  <c r="S183" i="23"/>
  <c r="C184" i="23"/>
  <c r="R183" i="23"/>
  <c r="Q183" i="23"/>
  <c r="T183" i="23"/>
  <c r="E195" i="23"/>
  <c r="S246" i="1"/>
  <c r="M244" i="1"/>
  <c r="M245" i="1"/>
  <c r="E5833" i="3"/>
  <c r="E5830" i="3"/>
  <c r="E5826" i="3"/>
  <c r="E5825" i="3"/>
  <c r="E5822" i="3"/>
  <c r="E5821" i="3"/>
  <c r="E5820" i="3"/>
  <c r="E5819" i="3"/>
  <c r="E5815" i="3"/>
  <c r="E5814" i="3"/>
  <c r="E5813" i="3"/>
  <c r="E5811" i="3"/>
  <c r="E5810" i="3"/>
  <c r="E5832" i="3"/>
  <c r="E5831" i="3"/>
  <c r="E5829" i="3"/>
  <c r="E5817" i="3"/>
  <c r="E5546" i="3"/>
  <c r="F5546" i="3" s="1"/>
  <c r="F5565" i="3"/>
  <c r="F5564" i="3"/>
  <c r="F5588" i="3" s="1"/>
  <c r="F5562" i="3"/>
  <c r="F5552" i="3"/>
  <c r="F5576" i="3" s="1"/>
  <c r="F5600" i="3" s="1"/>
  <c r="M243" i="1"/>
  <c r="D5762" i="3"/>
  <c r="E5809" i="3"/>
  <c r="E5807" i="3"/>
  <c r="E5806" i="3"/>
  <c r="E5805" i="3"/>
  <c r="E5803" i="3"/>
  <c r="E5802" i="3"/>
  <c r="E5801" i="3"/>
  <c r="E5800" i="3"/>
  <c r="E5798" i="3"/>
  <c r="E5797" i="3"/>
  <c r="E5795" i="3"/>
  <c r="E5793" i="3"/>
  <c r="E5791" i="3"/>
  <c r="E5790" i="3"/>
  <c r="E5787" i="3"/>
  <c r="E5786" i="3"/>
  <c r="E5808" i="3"/>
  <c r="E5789" i="3"/>
  <c r="D5807" i="3"/>
  <c r="D5831" i="3" s="1"/>
  <c r="D5855" i="3" s="1"/>
  <c r="D5879" i="3" s="1"/>
  <c r="D5903" i="3" s="1"/>
  <c r="D5927" i="3" s="1"/>
  <c r="D5951" i="3" s="1"/>
  <c r="D5975" i="3" s="1"/>
  <c r="D5999" i="3" s="1"/>
  <c r="D6023" i="3" s="1"/>
  <c r="D6047" i="3" s="1"/>
  <c r="D6071" i="3" s="1"/>
  <c r="D6095" i="3" s="1"/>
  <c r="D6119" i="3" s="1"/>
  <c r="D6143" i="3" s="1"/>
  <c r="D6167" i="3" s="1"/>
  <c r="D6191" i="3" s="1"/>
  <c r="D6215" i="3" s="1"/>
  <c r="D6239" i="3" s="1"/>
  <c r="D6263" i="3" s="1"/>
  <c r="D6287" i="3" s="1"/>
  <c r="D6311" i="3" s="1"/>
  <c r="D6335" i="3" s="1"/>
  <c r="D6359" i="3" s="1"/>
  <c r="D6383" i="3" s="1"/>
  <c r="D6407" i="3" s="1"/>
  <c r="D6431" i="3" s="1"/>
  <c r="D6455" i="3" s="1"/>
  <c r="D6479" i="3" s="1"/>
  <c r="D6503" i="3" s="1"/>
  <c r="D6527" i="3" s="1"/>
  <c r="D6551" i="3" s="1"/>
  <c r="D6575" i="3" s="1"/>
  <c r="D6599" i="3" s="1"/>
  <c r="D6623" i="3" s="1"/>
  <c r="D6647" i="3" s="1"/>
  <c r="D6671" i="3" s="1"/>
  <c r="D6695" i="3" s="1"/>
  <c r="D6719" i="3" s="1"/>
  <c r="D6743" i="3" s="1"/>
  <c r="D6767" i="3" s="1"/>
  <c r="D6791" i="3" s="1"/>
  <c r="D6815" i="3" s="1"/>
  <c r="D6839" i="3" s="1"/>
  <c r="D6863" i="3" s="1"/>
  <c r="D6887" i="3" s="1"/>
  <c r="D6911" i="3" s="1"/>
  <c r="D6935" i="3" s="1"/>
  <c r="D6959" i="3" s="1"/>
  <c r="D6983" i="3" s="1"/>
  <c r="D7007" i="3" s="1"/>
  <c r="D7031" i="3" s="1"/>
  <c r="D7055" i="3" s="1"/>
  <c r="D7079" i="3" s="1"/>
  <c r="D7103" i="3" s="1"/>
  <c r="D7127" i="3" s="1"/>
  <c r="D7151" i="3" s="1"/>
  <c r="D7175" i="3" s="1"/>
  <c r="D7199" i="3" s="1"/>
  <c r="D7223" i="3" s="1"/>
  <c r="D7247" i="3" s="1"/>
  <c r="D7271" i="3" s="1"/>
  <c r="D7295" i="3" s="1"/>
  <c r="D7319" i="3" s="1"/>
  <c r="D7343" i="3" s="1"/>
  <c r="D7367" i="3" s="1"/>
  <c r="D7391" i="3" s="1"/>
  <c r="D7415" i="3" s="1"/>
  <c r="D7439" i="3" s="1"/>
  <c r="D7463" i="3" s="1"/>
  <c r="D7487" i="3" s="1"/>
  <c r="D7511" i="3" s="1"/>
  <c r="D7535" i="3" s="1"/>
  <c r="D7559" i="3" s="1"/>
  <c r="D7583" i="3" s="1"/>
  <c r="D7607" i="3" s="1"/>
  <c r="D7631" i="3" s="1"/>
  <c r="D7655" i="3" s="1"/>
  <c r="D7679" i="3" s="1"/>
  <c r="D7703" i="3" s="1"/>
  <c r="D7727" i="3" s="1"/>
  <c r="D7751" i="3" s="1"/>
  <c r="D7775" i="3" s="1"/>
  <c r="D7799" i="3" s="1"/>
  <c r="D7823" i="3" s="1"/>
  <c r="D7847" i="3" s="1"/>
  <c r="D7871" i="3" s="1"/>
  <c r="D7895" i="3" s="1"/>
  <c r="D7919" i="3" s="1"/>
  <c r="D7943" i="3" s="1"/>
  <c r="D7967" i="3" s="1"/>
  <c r="D7991" i="3" s="1"/>
  <c r="D8015" i="3" s="1"/>
  <c r="D8039" i="3" s="1"/>
  <c r="D8063" i="3" s="1"/>
  <c r="D8087" i="3" s="1"/>
  <c r="D8111" i="3" s="1"/>
  <c r="D8135" i="3" s="1"/>
  <c r="D8159" i="3" s="1"/>
  <c r="D8183" i="3" s="1"/>
  <c r="D8207" i="3" s="1"/>
  <c r="D8231" i="3" s="1"/>
  <c r="D8255" i="3" s="1"/>
  <c r="D8279" i="3" s="1"/>
  <c r="D8303" i="3" s="1"/>
  <c r="D8327" i="3" s="1"/>
  <c r="D8351" i="3" s="1"/>
  <c r="D8375" i="3" s="1"/>
  <c r="D8399" i="3" s="1"/>
  <c r="D8423" i="3" s="1"/>
  <c r="D8447" i="3" s="1"/>
  <c r="D8471" i="3" s="1"/>
  <c r="D8495" i="3" s="1"/>
  <c r="D8519" i="3" s="1"/>
  <c r="D8543" i="3" s="1"/>
  <c r="D8567" i="3" s="1"/>
  <c r="D8591" i="3" s="1"/>
  <c r="D8615" i="3" s="1"/>
  <c r="D8639" i="3" s="1"/>
  <c r="D8663" i="3" s="1"/>
  <c r="D8687" i="3" s="1"/>
  <c r="D8711" i="3" s="1"/>
  <c r="D8735" i="3" s="1"/>
  <c r="D8759" i="3" s="1"/>
  <c r="D8783" i="3" s="1"/>
  <c r="D8807" i="3" s="1"/>
  <c r="D8831" i="3" s="1"/>
  <c r="D8855" i="3" s="1"/>
  <c r="D8879" i="3" s="1"/>
  <c r="D8903" i="3" s="1"/>
  <c r="D8927" i="3" s="1"/>
  <c r="D8951" i="3" s="1"/>
  <c r="D8975" i="3" s="1"/>
  <c r="D8999" i="3" s="1"/>
  <c r="D9023" i="3" s="1"/>
  <c r="D9047" i="3" s="1"/>
  <c r="D9071" i="3" s="1"/>
  <c r="D9095" i="3" s="1"/>
  <c r="D9119" i="3" s="1"/>
  <c r="D9143" i="3" s="1"/>
  <c r="D9167" i="3" s="1"/>
  <c r="D9191" i="3" s="1"/>
  <c r="D9215" i="3" s="1"/>
  <c r="D9239" i="3" s="1"/>
  <c r="D9263" i="3" s="1"/>
  <c r="D9287" i="3" s="1"/>
  <c r="D9311" i="3" s="1"/>
  <c r="D9335" i="3" s="1"/>
  <c r="D9359" i="3" s="1"/>
  <c r="D9383" i="3" s="1"/>
  <c r="D9407" i="3" s="1"/>
  <c r="D9431" i="3" s="1"/>
  <c r="D9455" i="3" s="1"/>
  <c r="D9479" i="3" s="1"/>
  <c r="D9503" i="3" s="1"/>
  <c r="D9527" i="3" s="1"/>
  <c r="D9551" i="3" s="1"/>
  <c r="D9575" i="3" s="1"/>
  <c r="D9599" i="3" s="1"/>
  <c r="D9623" i="3" s="1"/>
  <c r="D9647" i="3" s="1"/>
  <c r="D9671" i="3" s="1"/>
  <c r="D9695" i="3" s="1"/>
  <c r="D9719" i="3" s="1"/>
  <c r="D9743" i="3" s="1"/>
  <c r="D9767" i="3" s="1"/>
  <c r="D9791" i="3" s="1"/>
  <c r="D9815" i="3" s="1"/>
  <c r="D9839" i="3" s="1"/>
  <c r="D9863" i="3" s="1"/>
  <c r="D9887" i="3" s="1"/>
  <c r="D9911" i="3" s="1"/>
  <c r="D9935" i="3" s="1"/>
  <c r="D9959" i="3" s="1"/>
  <c r="D9983" i="3" s="1"/>
  <c r="D10007" i="3" s="1"/>
  <c r="D10031" i="3" s="1"/>
  <c r="D10055" i="3" s="1"/>
  <c r="D10079" i="3" s="1"/>
  <c r="D10103" i="3" s="1"/>
  <c r="D10127" i="3" s="1"/>
  <c r="D10151" i="3" s="1"/>
  <c r="D10175" i="3" s="1"/>
  <c r="D10199" i="3" s="1"/>
  <c r="D10223" i="3" s="1"/>
  <c r="D10247" i="3" s="1"/>
  <c r="D10271" i="3" s="1"/>
  <c r="D10295" i="3" s="1"/>
  <c r="D10319" i="3" s="1"/>
  <c r="D10343" i="3" s="1"/>
  <c r="D10367" i="3" s="1"/>
  <c r="D10391" i="3" s="1"/>
  <c r="D10415" i="3" s="1"/>
  <c r="D10439" i="3" s="1"/>
  <c r="D10463" i="3" s="1"/>
  <c r="D10487" i="3" s="1"/>
  <c r="D10511" i="3" s="1"/>
  <c r="D10535" i="3" s="1"/>
  <c r="D10559" i="3" s="1"/>
  <c r="D10583" i="3" s="1"/>
  <c r="D10607" i="3" s="1"/>
  <c r="D10631" i="3" s="1"/>
  <c r="D10655" i="3" s="1"/>
  <c r="D10679" i="3" s="1"/>
  <c r="D10703" i="3" s="1"/>
  <c r="D10727" i="3" s="1"/>
  <c r="D10751" i="3" s="1"/>
  <c r="D10775" i="3" s="1"/>
  <c r="D10799" i="3" s="1"/>
  <c r="D10823" i="3" s="1"/>
  <c r="D10847" i="3" s="1"/>
  <c r="D10871" i="3" s="1"/>
  <c r="D10895" i="3" s="1"/>
  <c r="D10919" i="3" s="1"/>
  <c r="D10943" i="3" s="1"/>
  <c r="D10967" i="3" s="1"/>
  <c r="D10991" i="3" s="1"/>
  <c r="D5806" i="3"/>
  <c r="D5830" i="3" s="1"/>
  <c r="D5854" i="3" s="1"/>
  <c r="D5878" i="3" s="1"/>
  <c r="D5902" i="3" s="1"/>
  <c r="D5926" i="3" s="1"/>
  <c r="D5950" i="3" s="1"/>
  <c r="D5974" i="3" s="1"/>
  <c r="D5998" i="3" s="1"/>
  <c r="D6022" i="3" s="1"/>
  <c r="D6046" i="3" s="1"/>
  <c r="D6070" i="3" s="1"/>
  <c r="D6094" i="3" s="1"/>
  <c r="D6118" i="3" s="1"/>
  <c r="D6142" i="3" s="1"/>
  <c r="D6166" i="3" s="1"/>
  <c r="D6190" i="3" s="1"/>
  <c r="D6214" i="3" s="1"/>
  <c r="D6238" i="3" s="1"/>
  <c r="D6262" i="3" s="1"/>
  <c r="D6286" i="3" s="1"/>
  <c r="D6310" i="3" s="1"/>
  <c r="D6334" i="3" s="1"/>
  <c r="D6358" i="3" s="1"/>
  <c r="D6382" i="3" s="1"/>
  <c r="D6406" i="3" s="1"/>
  <c r="D6430" i="3" s="1"/>
  <c r="D6454" i="3" s="1"/>
  <c r="D6478" i="3" s="1"/>
  <c r="D6502" i="3" s="1"/>
  <c r="D6526" i="3" s="1"/>
  <c r="D6550" i="3" s="1"/>
  <c r="D6574" i="3" s="1"/>
  <c r="D6598" i="3" s="1"/>
  <c r="D6622" i="3" s="1"/>
  <c r="D6646" i="3" s="1"/>
  <c r="D6670" i="3" s="1"/>
  <c r="D6694" i="3" s="1"/>
  <c r="D6718" i="3" s="1"/>
  <c r="D6742" i="3" s="1"/>
  <c r="D6766" i="3" s="1"/>
  <c r="D6790" i="3" s="1"/>
  <c r="D6814" i="3" s="1"/>
  <c r="D6838" i="3" s="1"/>
  <c r="D6862" i="3" s="1"/>
  <c r="D6886" i="3" s="1"/>
  <c r="D6910" i="3" s="1"/>
  <c r="D6934" i="3" s="1"/>
  <c r="D6958" i="3" s="1"/>
  <c r="D6982" i="3" s="1"/>
  <c r="D7006" i="3" s="1"/>
  <c r="D7030" i="3" s="1"/>
  <c r="D7054" i="3" s="1"/>
  <c r="D7078" i="3" s="1"/>
  <c r="D7102" i="3" s="1"/>
  <c r="D7126" i="3" s="1"/>
  <c r="D7150" i="3" s="1"/>
  <c r="D7174" i="3" s="1"/>
  <c r="D7198" i="3" s="1"/>
  <c r="D7222" i="3" s="1"/>
  <c r="D7246" i="3" s="1"/>
  <c r="D7270" i="3" s="1"/>
  <c r="D7294" i="3" s="1"/>
  <c r="D7318" i="3" s="1"/>
  <c r="D7342" i="3" s="1"/>
  <c r="D7366" i="3" s="1"/>
  <c r="D7390" i="3" s="1"/>
  <c r="D7414" i="3" s="1"/>
  <c r="D7438" i="3" s="1"/>
  <c r="D7462" i="3" s="1"/>
  <c r="D7486" i="3" s="1"/>
  <c r="D7510" i="3" s="1"/>
  <c r="D7534" i="3" s="1"/>
  <c r="D7558" i="3" s="1"/>
  <c r="D7582" i="3" s="1"/>
  <c r="D7606" i="3" s="1"/>
  <c r="D7630" i="3" s="1"/>
  <c r="D7654" i="3" s="1"/>
  <c r="D7678" i="3" s="1"/>
  <c r="D7702" i="3" s="1"/>
  <c r="D7726" i="3" s="1"/>
  <c r="D7750" i="3" s="1"/>
  <c r="D7774" i="3" s="1"/>
  <c r="D7798" i="3" s="1"/>
  <c r="D7822" i="3" s="1"/>
  <c r="D7846" i="3" s="1"/>
  <c r="D7870" i="3" s="1"/>
  <c r="D7894" i="3" s="1"/>
  <c r="D7918" i="3" s="1"/>
  <c r="D7942" i="3" s="1"/>
  <c r="D7966" i="3" s="1"/>
  <c r="D7990" i="3" s="1"/>
  <c r="D8014" i="3" s="1"/>
  <c r="D8038" i="3" s="1"/>
  <c r="D8062" i="3" s="1"/>
  <c r="D8086" i="3" s="1"/>
  <c r="D8110" i="3" s="1"/>
  <c r="D8134" i="3" s="1"/>
  <c r="D8158" i="3" s="1"/>
  <c r="D8182" i="3" s="1"/>
  <c r="D8206" i="3" s="1"/>
  <c r="D8230" i="3" s="1"/>
  <c r="D8254" i="3" s="1"/>
  <c r="D8278" i="3" s="1"/>
  <c r="D8302" i="3" s="1"/>
  <c r="D8326" i="3" s="1"/>
  <c r="D8350" i="3" s="1"/>
  <c r="D8374" i="3" s="1"/>
  <c r="D8398" i="3" s="1"/>
  <c r="D8422" i="3" s="1"/>
  <c r="D8446" i="3" s="1"/>
  <c r="D8470" i="3" s="1"/>
  <c r="D8494" i="3" s="1"/>
  <c r="D8518" i="3" s="1"/>
  <c r="D8542" i="3" s="1"/>
  <c r="D8566" i="3" s="1"/>
  <c r="D8590" i="3" s="1"/>
  <c r="D8614" i="3" s="1"/>
  <c r="D8638" i="3" s="1"/>
  <c r="D8662" i="3" s="1"/>
  <c r="D8686" i="3" s="1"/>
  <c r="D8710" i="3" s="1"/>
  <c r="D8734" i="3" s="1"/>
  <c r="D8758" i="3" s="1"/>
  <c r="D8782" i="3" s="1"/>
  <c r="D8806" i="3" s="1"/>
  <c r="D8830" i="3" s="1"/>
  <c r="D8854" i="3" s="1"/>
  <c r="D8878" i="3" s="1"/>
  <c r="D8902" i="3" s="1"/>
  <c r="D8926" i="3" s="1"/>
  <c r="D8950" i="3" s="1"/>
  <c r="D8974" i="3" s="1"/>
  <c r="D8998" i="3" s="1"/>
  <c r="D9022" i="3" s="1"/>
  <c r="D9046" i="3" s="1"/>
  <c r="D9070" i="3" s="1"/>
  <c r="D9094" i="3" s="1"/>
  <c r="D9118" i="3" s="1"/>
  <c r="D9142" i="3" s="1"/>
  <c r="D9166" i="3" s="1"/>
  <c r="D9190" i="3" s="1"/>
  <c r="D9214" i="3" s="1"/>
  <c r="D9238" i="3" s="1"/>
  <c r="D9262" i="3" s="1"/>
  <c r="D9286" i="3" s="1"/>
  <c r="D9310" i="3" s="1"/>
  <c r="D9334" i="3" s="1"/>
  <c r="D9358" i="3" s="1"/>
  <c r="D9382" i="3" s="1"/>
  <c r="D9406" i="3" s="1"/>
  <c r="D9430" i="3" s="1"/>
  <c r="D9454" i="3" s="1"/>
  <c r="D9478" i="3" s="1"/>
  <c r="D9502" i="3" s="1"/>
  <c r="D9526" i="3" s="1"/>
  <c r="D9550" i="3" s="1"/>
  <c r="D9574" i="3" s="1"/>
  <c r="D9598" i="3" s="1"/>
  <c r="D9622" i="3" s="1"/>
  <c r="D9646" i="3" s="1"/>
  <c r="D9670" i="3" s="1"/>
  <c r="D9694" i="3" s="1"/>
  <c r="D9718" i="3" s="1"/>
  <c r="D9742" i="3" s="1"/>
  <c r="D9766" i="3" s="1"/>
  <c r="D9790" i="3" s="1"/>
  <c r="D9814" i="3" s="1"/>
  <c r="D9838" i="3" s="1"/>
  <c r="D9862" i="3" s="1"/>
  <c r="D9886" i="3" s="1"/>
  <c r="D9910" i="3" s="1"/>
  <c r="D9934" i="3" s="1"/>
  <c r="D9958" i="3" s="1"/>
  <c r="D9982" i="3" s="1"/>
  <c r="D10006" i="3" s="1"/>
  <c r="D10030" i="3" s="1"/>
  <c r="D10054" i="3" s="1"/>
  <c r="D10078" i="3" s="1"/>
  <c r="D10102" i="3" s="1"/>
  <c r="D10126" i="3" s="1"/>
  <c r="D10150" i="3" s="1"/>
  <c r="D10174" i="3" s="1"/>
  <c r="D10198" i="3" s="1"/>
  <c r="D10222" i="3" s="1"/>
  <c r="D10246" i="3" s="1"/>
  <c r="D10270" i="3" s="1"/>
  <c r="D10294" i="3" s="1"/>
  <c r="D10318" i="3" s="1"/>
  <c r="D10342" i="3" s="1"/>
  <c r="D10366" i="3" s="1"/>
  <c r="D10390" i="3" s="1"/>
  <c r="D10414" i="3" s="1"/>
  <c r="D10438" i="3" s="1"/>
  <c r="D10462" i="3" s="1"/>
  <c r="D10486" i="3" s="1"/>
  <c r="D10510" i="3" s="1"/>
  <c r="D10534" i="3" s="1"/>
  <c r="D10558" i="3" s="1"/>
  <c r="D10582" i="3" s="1"/>
  <c r="D10606" i="3" s="1"/>
  <c r="D10630" i="3" s="1"/>
  <c r="D10654" i="3" s="1"/>
  <c r="D10678" i="3" s="1"/>
  <c r="D10702" i="3" s="1"/>
  <c r="D10726" i="3" s="1"/>
  <c r="D10750" i="3" s="1"/>
  <c r="D10774" i="3" s="1"/>
  <c r="D10798" i="3" s="1"/>
  <c r="D10822" i="3" s="1"/>
  <c r="D10846" i="3" s="1"/>
  <c r="D10870" i="3" s="1"/>
  <c r="D10894" i="3" s="1"/>
  <c r="D10918" i="3" s="1"/>
  <c r="D10942" i="3" s="1"/>
  <c r="D10966" i="3" s="1"/>
  <c r="D10990" i="3" s="1"/>
  <c r="D5804" i="3"/>
  <c r="D5828" i="3" s="1"/>
  <c r="D5852" i="3" s="1"/>
  <c r="D5876" i="3" s="1"/>
  <c r="D5900" i="3" s="1"/>
  <c r="D5924" i="3" s="1"/>
  <c r="D5948" i="3" s="1"/>
  <c r="D5972" i="3" s="1"/>
  <c r="D5996" i="3" s="1"/>
  <c r="D6020" i="3" s="1"/>
  <c r="D6044" i="3" s="1"/>
  <c r="D6068" i="3" s="1"/>
  <c r="D6092" i="3" s="1"/>
  <c r="D6116" i="3" s="1"/>
  <c r="D6140" i="3" s="1"/>
  <c r="D6164" i="3" s="1"/>
  <c r="D6188" i="3" s="1"/>
  <c r="D6212" i="3" s="1"/>
  <c r="D6236" i="3" s="1"/>
  <c r="D6260" i="3" s="1"/>
  <c r="D6284" i="3" s="1"/>
  <c r="D6308" i="3" s="1"/>
  <c r="D6332" i="3" s="1"/>
  <c r="D6356" i="3" s="1"/>
  <c r="D6380" i="3" s="1"/>
  <c r="D6404" i="3" s="1"/>
  <c r="D6428" i="3" s="1"/>
  <c r="D6452" i="3" s="1"/>
  <c r="D6476" i="3" s="1"/>
  <c r="D6500" i="3" s="1"/>
  <c r="D6524" i="3" s="1"/>
  <c r="D6548" i="3" s="1"/>
  <c r="D6572" i="3" s="1"/>
  <c r="D6596" i="3" s="1"/>
  <c r="D6620" i="3" s="1"/>
  <c r="D6644" i="3" s="1"/>
  <c r="D6668" i="3" s="1"/>
  <c r="D6692" i="3" s="1"/>
  <c r="D6716" i="3" s="1"/>
  <c r="D6740" i="3" s="1"/>
  <c r="D6764" i="3" s="1"/>
  <c r="D6788" i="3" s="1"/>
  <c r="D6812" i="3" s="1"/>
  <c r="D6836" i="3" s="1"/>
  <c r="D6860" i="3" s="1"/>
  <c r="D6884" i="3" s="1"/>
  <c r="D6908" i="3" s="1"/>
  <c r="D6932" i="3" s="1"/>
  <c r="D6956" i="3" s="1"/>
  <c r="D6980" i="3" s="1"/>
  <c r="D7004" i="3" s="1"/>
  <c r="D7028" i="3" s="1"/>
  <c r="D7052" i="3" s="1"/>
  <c r="D7076" i="3" s="1"/>
  <c r="D7100" i="3" s="1"/>
  <c r="D7124" i="3" s="1"/>
  <c r="D7148" i="3" s="1"/>
  <c r="D7172" i="3" s="1"/>
  <c r="D7196" i="3" s="1"/>
  <c r="D7220" i="3" s="1"/>
  <c r="D7244" i="3" s="1"/>
  <c r="D7268" i="3" s="1"/>
  <c r="D7292" i="3" s="1"/>
  <c r="D7316" i="3" s="1"/>
  <c r="D7340" i="3" s="1"/>
  <c r="D7364" i="3" s="1"/>
  <c r="D7388" i="3" s="1"/>
  <c r="D7412" i="3" s="1"/>
  <c r="D7436" i="3" s="1"/>
  <c r="D7460" i="3" s="1"/>
  <c r="D7484" i="3" s="1"/>
  <c r="D7508" i="3" s="1"/>
  <c r="D7532" i="3" s="1"/>
  <c r="D7556" i="3" s="1"/>
  <c r="D7580" i="3" s="1"/>
  <c r="D7604" i="3" s="1"/>
  <c r="D7628" i="3" s="1"/>
  <c r="D7652" i="3" s="1"/>
  <c r="D7676" i="3" s="1"/>
  <c r="D7700" i="3" s="1"/>
  <c r="D7724" i="3" s="1"/>
  <c r="D7748" i="3" s="1"/>
  <c r="D7772" i="3" s="1"/>
  <c r="D7796" i="3" s="1"/>
  <c r="D7820" i="3" s="1"/>
  <c r="D7844" i="3" s="1"/>
  <c r="D7868" i="3" s="1"/>
  <c r="D7892" i="3" s="1"/>
  <c r="D7916" i="3" s="1"/>
  <c r="D7940" i="3" s="1"/>
  <c r="D7964" i="3" s="1"/>
  <c r="D7988" i="3" s="1"/>
  <c r="D8012" i="3" s="1"/>
  <c r="D8036" i="3" s="1"/>
  <c r="D8060" i="3" s="1"/>
  <c r="D8084" i="3" s="1"/>
  <c r="D8108" i="3" s="1"/>
  <c r="D8132" i="3" s="1"/>
  <c r="D8156" i="3" s="1"/>
  <c r="D8180" i="3" s="1"/>
  <c r="D8204" i="3" s="1"/>
  <c r="D8228" i="3" s="1"/>
  <c r="D8252" i="3" s="1"/>
  <c r="D8276" i="3" s="1"/>
  <c r="D8300" i="3" s="1"/>
  <c r="D8324" i="3" s="1"/>
  <c r="D8348" i="3" s="1"/>
  <c r="D8372" i="3" s="1"/>
  <c r="D8396" i="3" s="1"/>
  <c r="D8420" i="3" s="1"/>
  <c r="D8444" i="3" s="1"/>
  <c r="D8468" i="3" s="1"/>
  <c r="D8492" i="3" s="1"/>
  <c r="D8516" i="3" s="1"/>
  <c r="D8540" i="3" s="1"/>
  <c r="D8564" i="3" s="1"/>
  <c r="D8588" i="3" s="1"/>
  <c r="D8612" i="3" s="1"/>
  <c r="D8636" i="3" s="1"/>
  <c r="D8660" i="3" s="1"/>
  <c r="D8684" i="3" s="1"/>
  <c r="D8708" i="3" s="1"/>
  <c r="D8732" i="3" s="1"/>
  <c r="D8756" i="3" s="1"/>
  <c r="D8780" i="3" s="1"/>
  <c r="D8804" i="3" s="1"/>
  <c r="D8828" i="3" s="1"/>
  <c r="D8852" i="3" s="1"/>
  <c r="D8876" i="3" s="1"/>
  <c r="D8900" i="3" s="1"/>
  <c r="D8924" i="3" s="1"/>
  <c r="D8948" i="3" s="1"/>
  <c r="D8972" i="3" s="1"/>
  <c r="D8996" i="3" s="1"/>
  <c r="D9020" i="3" s="1"/>
  <c r="D9044" i="3" s="1"/>
  <c r="D9068" i="3" s="1"/>
  <c r="D9092" i="3" s="1"/>
  <c r="D9116" i="3" s="1"/>
  <c r="D9140" i="3" s="1"/>
  <c r="D9164" i="3" s="1"/>
  <c r="D9188" i="3" s="1"/>
  <c r="D9212" i="3" s="1"/>
  <c r="D9236" i="3" s="1"/>
  <c r="D9260" i="3" s="1"/>
  <c r="D9284" i="3" s="1"/>
  <c r="D9308" i="3" s="1"/>
  <c r="D9332" i="3" s="1"/>
  <c r="D9356" i="3" s="1"/>
  <c r="D9380" i="3" s="1"/>
  <c r="D9404" i="3" s="1"/>
  <c r="D9428" i="3" s="1"/>
  <c r="D9452" i="3" s="1"/>
  <c r="D9476" i="3" s="1"/>
  <c r="D9500" i="3" s="1"/>
  <c r="D9524" i="3" s="1"/>
  <c r="D9548" i="3" s="1"/>
  <c r="D9572" i="3" s="1"/>
  <c r="D9596" i="3" s="1"/>
  <c r="D9620" i="3" s="1"/>
  <c r="D9644" i="3" s="1"/>
  <c r="D9668" i="3" s="1"/>
  <c r="D9692" i="3" s="1"/>
  <c r="D9716" i="3" s="1"/>
  <c r="D9740" i="3" s="1"/>
  <c r="D9764" i="3" s="1"/>
  <c r="D9788" i="3" s="1"/>
  <c r="D9812" i="3" s="1"/>
  <c r="D9836" i="3" s="1"/>
  <c r="D9860" i="3" s="1"/>
  <c r="D9884" i="3" s="1"/>
  <c r="D9908" i="3" s="1"/>
  <c r="D9932" i="3" s="1"/>
  <c r="D9956" i="3" s="1"/>
  <c r="D9980" i="3" s="1"/>
  <c r="D10004" i="3" s="1"/>
  <c r="D10028" i="3" s="1"/>
  <c r="D10052" i="3" s="1"/>
  <c r="D10076" i="3" s="1"/>
  <c r="D10100" i="3" s="1"/>
  <c r="D10124" i="3" s="1"/>
  <c r="D10148" i="3" s="1"/>
  <c r="D10172" i="3" s="1"/>
  <c r="D10196" i="3" s="1"/>
  <c r="D10220" i="3" s="1"/>
  <c r="D10244" i="3" s="1"/>
  <c r="D10268" i="3" s="1"/>
  <c r="D10292" i="3" s="1"/>
  <c r="D10316" i="3" s="1"/>
  <c r="D10340" i="3" s="1"/>
  <c r="D10364" i="3" s="1"/>
  <c r="D10388" i="3" s="1"/>
  <c r="D10412" i="3" s="1"/>
  <c r="D10436" i="3" s="1"/>
  <c r="D10460" i="3" s="1"/>
  <c r="D10484" i="3" s="1"/>
  <c r="D10508" i="3" s="1"/>
  <c r="D10532" i="3" s="1"/>
  <c r="D10556" i="3" s="1"/>
  <c r="D10580" i="3" s="1"/>
  <c r="D10604" i="3" s="1"/>
  <c r="D10628" i="3" s="1"/>
  <c r="D10652" i="3" s="1"/>
  <c r="D10676" i="3" s="1"/>
  <c r="D10700" i="3" s="1"/>
  <c r="D10724" i="3" s="1"/>
  <c r="D10748" i="3" s="1"/>
  <c r="D10772" i="3" s="1"/>
  <c r="D10796" i="3" s="1"/>
  <c r="D10820" i="3" s="1"/>
  <c r="D10844" i="3" s="1"/>
  <c r="D10868" i="3" s="1"/>
  <c r="D10892" i="3" s="1"/>
  <c r="D10916" i="3" s="1"/>
  <c r="D10940" i="3" s="1"/>
  <c r="D10964" i="3" s="1"/>
  <c r="D10988" i="3" s="1"/>
  <c r="D5802" i="3"/>
  <c r="D5826" i="3" s="1"/>
  <c r="D5850" i="3" s="1"/>
  <c r="D5874" i="3" s="1"/>
  <c r="D5898" i="3" s="1"/>
  <c r="D5922" i="3" s="1"/>
  <c r="D5946" i="3" s="1"/>
  <c r="D5970" i="3" s="1"/>
  <c r="D5994" i="3" s="1"/>
  <c r="D6018" i="3" s="1"/>
  <c r="D6042" i="3" s="1"/>
  <c r="D6066" i="3" s="1"/>
  <c r="D6090" i="3" s="1"/>
  <c r="D6114" i="3" s="1"/>
  <c r="D6138" i="3" s="1"/>
  <c r="D6162" i="3" s="1"/>
  <c r="D6186" i="3" s="1"/>
  <c r="D6210" i="3" s="1"/>
  <c r="D6234" i="3" s="1"/>
  <c r="D6258" i="3" s="1"/>
  <c r="D6282" i="3" s="1"/>
  <c r="D6306" i="3" s="1"/>
  <c r="D6330" i="3" s="1"/>
  <c r="D6354" i="3" s="1"/>
  <c r="D6378" i="3" s="1"/>
  <c r="D6402" i="3" s="1"/>
  <c r="D6426" i="3" s="1"/>
  <c r="D6450" i="3" s="1"/>
  <c r="D6474" i="3" s="1"/>
  <c r="D6498" i="3" s="1"/>
  <c r="D6522" i="3" s="1"/>
  <c r="D6546" i="3" s="1"/>
  <c r="D6570" i="3" s="1"/>
  <c r="D6594" i="3" s="1"/>
  <c r="D6618" i="3" s="1"/>
  <c r="D6642" i="3" s="1"/>
  <c r="D6666" i="3" s="1"/>
  <c r="D6690" i="3" s="1"/>
  <c r="D6714" i="3" s="1"/>
  <c r="D6738" i="3" s="1"/>
  <c r="D6762" i="3" s="1"/>
  <c r="D6786" i="3" s="1"/>
  <c r="D6810" i="3" s="1"/>
  <c r="D6834" i="3" s="1"/>
  <c r="D6858" i="3" s="1"/>
  <c r="D6882" i="3" s="1"/>
  <c r="D6906" i="3" s="1"/>
  <c r="D6930" i="3" s="1"/>
  <c r="D6954" i="3" s="1"/>
  <c r="D6978" i="3" s="1"/>
  <c r="D7002" i="3" s="1"/>
  <c r="D7026" i="3" s="1"/>
  <c r="D7050" i="3" s="1"/>
  <c r="D7074" i="3" s="1"/>
  <c r="D7098" i="3" s="1"/>
  <c r="D7122" i="3" s="1"/>
  <c r="D7146" i="3" s="1"/>
  <c r="D7170" i="3" s="1"/>
  <c r="D7194" i="3" s="1"/>
  <c r="D7218" i="3" s="1"/>
  <c r="D7242" i="3" s="1"/>
  <c r="D7266" i="3" s="1"/>
  <c r="D7290" i="3" s="1"/>
  <c r="D7314" i="3" s="1"/>
  <c r="D7338" i="3" s="1"/>
  <c r="D7362" i="3" s="1"/>
  <c r="D7386" i="3" s="1"/>
  <c r="D7410" i="3" s="1"/>
  <c r="D7434" i="3" s="1"/>
  <c r="D7458" i="3" s="1"/>
  <c r="D7482" i="3" s="1"/>
  <c r="D7506" i="3" s="1"/>
  <c r="D7530" i="3" s="1"/>
  <c r="D7554" i="3" s="1"/>
  <c r="D7578" i="3" s="1"/>
  <c r="D7602" i="3" s="1"/>
  <c r="D7626" i="3" s="1"/>
  <c r="D7650" i="3" s="1"/>
  <c r="D7674" i="3" s="1"/>
  <c r="D7698" i="3" s="1"/>
  <c r="D7722" i="3" s="1"/>
  <c r="D7746" i="3" s="1"/>
  <c r="D7770" i="3" s="1"/>
  <c r="D7794" i="3" s="1"/>
  <c r="D7818" i="3" s="1"/>
  <c r="D7842" i="3" s="1"/>
  <c r="D7866" i="3" s="1"/>
  <c r="D7890" i="3" s="1"/>
  <c r="D7914" i="3" s="1"/>
  <c r="D7938" i="3" s="1"/>
  <c r="D7962" i="3" s="1"/>
  <c r="D7986" i="3" s="1"/>
  <c r="D8010" i="3" s="1"/>
  <c r="D8034" i="3" s="1"/>
  <c r="D8058" i="3" s="1"/>
  <c r="D8082" i="3" s="1"/>
  <c r="D8106" i="3" s="1"/>
  <c r="D8130" i="3" s="1"/>
  <c r="D8154" i="3" s="1"/>
  <c r="D8178" i="3" s="1"/>
  <c r="D8202" i="3" s="1"/>
  <c r="D8226" i="3" s="1"/>
  <c r="D8250" i="3" s="1"/>
  <c r="D8274" i="3" s="1"/>
  <c r="D8298" i="3" s="1"/>
  <c r="D8322" i="3" s="1"/>
  <c r="D8346" i="3" s="1"/>
  <c r="D8370" i="3" s="1"/>
  <c r="D8394" i="3" s="1"/>
  <c r="D8418" i="3" s="1"/>
  <c r="D8442" i="3" s="1"/>
  <c r="D8466" i="3" s="1"/>
  <c r="D8490" i="3" s="1"/>
  <c r="D8514" i="3" s="1"/>
  <c r="D8538" i="3" s="1"/>
  <c r="D8562" i="3" s="1"/>
  <c r="D8586" i="3" s="1"/>
  <c r="D8610" i="3" s="1"/>
  <c r="D8634" i="3" s="1"/>
  <c r="D8658" i="3" s="1"/>
  <c r="D8682" i="3" s="1"/>
  <c r="D8706" i="3" s="1"/>
  <c r="D8730" i="3" s="1"/>
  <c r="D8754" i="3" s="1"/>
  <c r="D8778" i="3" s="1"/>
  <c r="D8802" i="3" s="1"/>
  <c r="D8826" i="3" s="1"/>
  <c r="D8850" i="3" s="1"/>
  <c r="D8874" i="3" s="1"/>
  <c r="D8898" i="3" s="1"/>
  <c r="D8922" i="3" s="1"/>
  <c r="D8946" i="3" s="1"/>
  <c r="D8970" i="3" s="1"/>
  <c r="D8994" i="3" s="1"/>
  <c r="D9018" i="3" s="1"/>
  <c r="D9042" i="3" s="1"/>
  <c r="D9066" i="3" s="1"/>
  <c r="D9090" i="3" s="1"/>
  <c r="D9114" i="3" s="1"/>
  <c r="D9138" i="3" s="1"/>
  <c r="D9162" i="3" s="1"/>
  <c r="D9186" i="3" s="1"/>
  <c r="D9210" i="3" s="1"/>
  <c r="D9234" i="3" s="1"/>
  <c r="D9258" i="3" s="1"/>
  <c r="D9282" i="3" s="1"/>
  <c r="D9306" i="3" s="1"/>
  <c r="D9330" i="3" s="1"/>
  <c r="D9354" i="3" s="1"/>
  <c r="D9378" i="3" s="1"/>
  <c r="D9402" i="3" s="1"/>
  <c r="D9426" i="3" s="1"/>
  <c r="D9450" i="3" s="1"/>
  <c r="D9474" i="3" s="1"/>
  <c r="D9498" i="3" s="1"/>
  <c r="D9522" i="3" s="1"/>
  <c r="D9546" i="3" s="1"/>
  <c r="D9570" i="3" s="1"/>
  <c r="D9594" i="3" s="1"/>
  <c r="D9618" i="3" s="1"/>
  <c r="D9642" i="3" s="1"/>
  <c r="D9666" i="3" s="1"/>
  <c r="D9690" i="3" s="1"/>
  <c r="D9714" i="3" s="1"/>
  <c r="D9738" i="3" s="1"/>
  <c r="D9762" i="3" s="1"/>
  <c r="D9786" i="3" s="1"/>
  <c r="D9810" i="3" s="1"/>
  <c r="D9834" i="3" s="1"/>
  <c r="D9858" i="3" s="1"/>
  <c r="D9882" i="3" s="1"/>
  <c r="D9906" i="3" s="1"/>
  <c r="D9930" i="3" s="1"/>
  <c r="D9954" i="3" s="1"/>
  <c r="D9978" i="3" s="1"/>
  <c r="D10002" i="3" s="1"/>
  <c r="D10026" i="3" s="1"/>
  <c r="D10050" i="3" s="1"/>
  <c r="D10074" i="3" s="1"/>
  <c r="D10098" i="3" s="1"/>
  <c r="D10122" i="3" s="1"/>
  <c r="D10146" i="3" s="1"/>
  <c r="D10170" i="3" s="1"/>
  <c r="D10194" i="3" s="1"/>
  <c r="D10218" i="3" s="1"/>
  <c r="D10242" i="3" s="1"/>
  <c r="D10266" i="3" s="1"/>
  <c r="D10290" i="3" s="1"/>
  <c r="D10314" i="3" s="1"/>
  <c r="D10338" i="3" s="1"/>
  <c r="D10362" i="3" s="1"/>
  <c r="D10386" i="3" s="1"/>
  <c r="D10410" i="3" s="1"/>
  <c r="D10434" i="3" s="1"/>
  <c r="D10458" i="3" s="1"/>
  <c r="D10482" i="3" s="1"/>
  <c r="D10506" i="3" s="1"/>
  <c r="D10530" i="3" s="1"/>
  <c r="D10554" i="3" s="1"/>
  <c r="D10578" i="3" s="1"/>
  <c r="D10602" i="3" s="1"/>
  <c r="D10626" i="3" s="1"/>
  <c r="D10650" i="3" s="1"/>
  <c r="D10674" i="3" s="1"/>
  <c r="D10698" i="3" s="1"/>
  <c r="D10722" i="3" s="1"/>
  <c r="D10746" i="3" s="1"/>
  <c r="D10770" i="3" s="1"/>
  <c r="D10794" i="3" s="1"/>
  <c r="D10818" i="3" s="1"/>
  <c r="D10842" i="3" s="1"/>
  <c r="D10866" i="3" s="1"/>
  <c r="D10890" i="3" s="1"/>
  <c r="D10914" i="3" s="1"/>
  <c r="D10938" i="3" s="1"/>
  <c r="D10962" i="3" s="1"/>
  <c r="D10986" i="3" s="1"/>
  <c r="D5801" i="3"/>
  <c r="D5825" i="3" s="1"/>
  <c r="D5849" i="3" s="1"/>
  <c r="D5873" i="3" s="1"/>
  <c r="D5897" i="3" s="1"/>
  <c r="D5921" i="3" s="1"/>
  <c r="D5945" i="3" s="1"/>
  <c r="D5969" i="3" s="1"/>
  <c r="D5993" i="3" s="1"/>
  <c r="D6017" i="3" s="1"/>
  <c r="D6041" i="3" s="1"/>
  <c r="D6065" i="3" s="1"/>
  <c r="D6089" i="3" s="1"/>
  <c r="D6113" i="3" s="1"/>
  <c r="D6137" i="3" s="1"/>
  <c r="D6161" i="3" s="1"/>
  <c r="D6185" i="3" s="1"/>
  <c r="D6209" i="3" s="1"/>
  <c r="D6233" i="3" s="1"/>
  <c r="D6257" i="3" s="1"/>
  <c r="D6281" i="3" s="1"/>
  <c r="D6305" i="3" s="1"/>
  <c r="D6329" i="3" s="1"/>
  <c r="D6353" i="3" s="1"/>
  <c r="D6377" i="3" s="1"/>
  <c r="D6401" i="3" s="1"/>
  <c r="D6425" i="3" s="1"/>
  <c r="D6449" i="3" s="1"/>
  <c r="D6473" i="3" s="1"/>
  <c r="D6497" i="3" s="1"/>
  <c r="D6521" i="3" s="1"/>
  <c r="D6545" i="3" s="1"/>
  <c r="D6569" i="3" s="1"/>
  <c r="D6593" i="3" s="1"/>
  <c r="D6617" i="3" s="1"/>
  <c r="D6641" i="3" s="1"/>
  <c r="D6665" i="3" s="1"/>
  <c r="D6689" i="3" s="1"/>
  <c r="D6713" i="3" s="1"/>
  <c r="D6737" i="3" s="1"/>
  <c r="D6761" i="3" s="1"/>
  <c r="D6785" i="3" s="1"/>
  <c r="D6809" i="3" s="1"/>
  <c r="D6833" i="3" s="1"/>
  <c r="D6857" i="3" s="1"/>
  <c r="D6881" i="3" s="1"/>
  <c r="D6905" i="3" s="1"/>
  <c r="D6929" i="3" s="1"/>
  <c r="D6953" i="3" s="1"/>
  <c r="D6977" i="3" s="1"/>
  <c r="D7001" i="3" s="1"/>
  <c r="D7025" i="3" s="1"/>
  <c r="D7049" i="3" s="1"/>
  <c r="D7073" i="3" s="1"/>
  <c r="D7097" i="3" s="1"/>
  <c r="D7121" i="3" s="1"/>
  <c r="D7145" i="3" s="1"/>
  <c r="D7169" i="3" s="1"/>
  <c r="D7193" i="3" s="1"/>
  <c r="D7217" i="3" s="1"/>
  <c r="D7241" i="3" s="1"/>
  <c r="D7265" i="3" s="1"/>
  <c r="D7289" i="3" s="1"/>
  <c r="D7313" i="3" s="1"/>
  <c r="D7337" i="3" s="1"/>
  <c r="D7361" i="3" s="1"/>
  <c r="D7385" i="3" s="1"/>
  <c r="D7409" i="3" s="1"/>
  <c r="D7433" i="3" s="1"/>
  <c r="D7457" i="3" s="1"/>
  <c r="D7481" i="3" s="1"/>
  <c r="D7505" i="3" s="1"/>
  <c r="D7529" i="3" s="1"/>
  <c r="D7553" i="3" s="1"/>
  <c r="D7577" i="3" s="1"/>
  <c r="D7601" i="3" s="1"/>
  <c r="D7625" i="3" s="1"/>
  <c r="D7649" i="3" s="1"/>
  <c r="D7673" i="3" s="1"/>
  <c r="D7697" i="3" s="1"/>
  <c r="D7721" i="3" s="1"/>
  <c r="D7745" i="3" s="1"/>
  <c r="D7769" i="3" s="1"/>
  <c r="D7793" i="3" s="1"/>
  <c r="D7817" i="3" s="1"/>
  <c r="D7841" i="3" s="1"/>
  <c r="D7865" i="3" s="1"/>
  <c r="D7889" i="3" s="1"/>
  <c r="D7913" i="3" s="1"/>
  <c r="D7937" i="3" s="1"/>
  <c r="D7961" i="3" s="1"/>
  <c r="D7985" i="3" s="1"/>
  <c r="D8009" i="3" s="1"/>
  <c r="D8033" i="3" s="1"/>
  <c r="D8057" i="3" s="1"/>
  <c r="D8081" i="3" s="1"/>
  <c r="D8105" i="3" s="1"/>
  <c r="D8129" i="3" s="1"/>
  <c r="D8153" i="3" s="1"/>
  <c r="D8177" i="3" s="1"/>
  <c r="D8201" i="3" s="1"/>
  <c r="D8225" i="3" s="1"/>
  <c r="D8249" i="3" s="1"/>
  <c r="D8273" i="3" s="1"/>
  <c r="D8297" i="3" s="1"/>
  <c r="D8321" i="3" s="1"/>
  <c r="D8345" i="3" s="1"/>
  <c r="D8369" i="3" s="1"/>
  <c r="D8393" i="3" s="1"/>
  <c r="D8417" i="3" s="1"/>
  <c r="D8441" i="3" s="1"/>
  <c r="D8465" i="3" s="1"/>
  <c r="D8489" i="3" s="1"/>
  <c r="D8513" i="3" s="1"/>
  <c r="D8537" i="3" s="1"/>
  <c r="D8561" i="3" s="1"/>
  <c r="D8585" i="3" s="1"/>
  <c r="D8609" i="3" s="1"/>
  <c r="D8633" i="3" s="1"/>
  <c r="D8657" i="3" s="1"/>
  <c r="D8681" i="3" s="1"/>
  <c r="D8705" i="3" s="1"/>
  <c r="D8729" i="3" s="1"/>
  <c r="D8753" i="3" s="1"/>
  <c r="D8777" i="3" s="1"/>
  <c r="D8801" i="3" s="1"/>
  <c r="D8825" i="3" s="1"/>
  <c r="D8849" i="3" s="1"/>
  <c r="D8873" i="3" s="1"/>
  <c r="D8897" i="3" s="1"/>
  <c r="D8921" i="3" s="1"/>
  <c r="D8945" i="3" s="1"/>
  <c r="D8969" i="3" s="1"/>
  <c r="D8993" i="3" s="1"/>
  <c r="D9017" i="3" s="1"/>
  <c r="D9041" i="3" s="1"/>
  <c r="D9065" i="3" s="1"/>
  <c r="D9089" i="3" s="1"/>
  <c r="D9113" i="3" s="1"/>
  <c r="D9137" i="3" s="1"/>
  <c r="D9161" i="3" s="1"/>
  <c r="D9185" i="3" s="1"/>
  <c r="D9209" i="3" s="1"/>
  <c r="D9233" i="3" s="1"/>
  <c r="D9257" i="3" s="1"/>
  <c r="D9281" i="3" s="1"/>
  <c r="D9305" i="3" s="1"/>
  <c r="D9329" i="3" s="1"/>
  <c r="D9353" i="3" s="1"/>
  <c r="D9377" i="3" s="1"/>
  <c r="D9401" i="3" s="1"/>
  <c r="D9425" i="3" s="1"/>
  <c r="D9449" i="3" s="1"/>
  <c r="D9473" i="3" s="1"/>
  <c r="D9497" i="3" s="1"/>
  <c r="D9521" i="3" s="1"/>
  <c r="D9545" i="3" s="1"/>
  <c r="D9569" i="3" s="1"/>
  <c r="D9593" i="3" s="1"/>
  <c r="D9617" i="3" s="1"/>
  <c r="D9641" i="3" s="1"/>
  <c r="D9665" i="3" s="1"/>
  <c r="D9689" i="3" s="1"/>
  <c r="D9713" i="3" s="1"/>
  <c r="D9737" i="3" s="1"/>
  <c r="D9761" i="3" s="1"/>
  <c r="D9785" i="3" s="1"/>
  <c r="D9809" i="3" s="1"/>
  <c r="D9833" i="3" s="1"/>
  <c r="D9857" i="3" s="1"/>
  <c r="D9881" i="3" s="1"/>
  <c r="D9905" i="3" s="1"/>
  <c r="D9929" i="3" s="1"/>
  <c r="D9953" i="3" s="1"/>
  <c r="D9977" i="3" s="1"/>
  <c r="D10001" i="3" s="1"/>
  <c r="D10025" i="3" s="1"/>
  <c r="D10049" i="3" s="1"/>
  <c r="D10073" i="3" s="1"/>
  <c r="D10097" i="3" s="1"/>
  <c r="D10121" i="3" s="1"/>
  <c r="D10145" i="3" s="1"/>
  <c r="D10169" i="3" s="1"/>
  <c r="D10193" i="3" s="1"/>
  <c r="D10217" i="3" s="1"/>
  <c r="D10241" i="3" s="1"/>
  <c r="D10265" i="3" s="1"/>
  <c r="D10289" i="3" s="1"/>
  <c r="D10313" i="3" s="1"/>
  <c r="D10337" i="3" s="1"/>
  <c r="D10361" i="3" s="1"/>
  <c r="D10385" i="3" s="1"/>
  <c r="D10409" i="3" s="1"/>
  <c r="D10433" i="3" s="1"/>
  <c r="D10457" i="3" s="1"/>
  <c r="D10481" i="3" s="1"/>
  <c r="D10505" i="3" s="1"/>
  <c r="D10529" i="3" s="1"/>
  <c r="D10553" i="3" s="1"/>
  <c r="D10577" i="3" s="1"/>
  <c r="D10601" i="3" s="1"/>
  <c r="D10625" i="3" s="1"/>
  <c r="D10649" i="3" s="1"/>
  <c r="D10673" i="3" s="1"/>
  <c r="D10697" i="3" s="1"/>
  <c r="D10721" i="3" s="1"/>
  <c r="D10745" i="3" s="1"/>
  <c r="D10769" i="3" s="1"/>
  <c r="D10793" i="3" s="1"/>
  <c r="D10817" i="3" s="1"/>
  <c r="D10841" i="3" s="1"/>
  <c r="D10865" i="3" s="1"/>
  <c r="D10889" i="3" s="1"/>
  <c r="D10913" i="3" s="1"/>
  <c r="D10937" i="3" s="1"/>
  <c r="D10961" i="3" s="1"/>
  <c r="D10985" i="3" s="1"/>
  <c r="D5786" i="3"/>
  <c r="D5810" i="3" s="1"/>
  <c r="D5834" i="3" s="1"/>
  <c r="D5858" i="3" s="1"/>
  <c r="D5882" i="3" s="1"/>
  <c r="D5906" i="3" s="1"/>
  <c r="D5930" i="3" s="1"/>
  <c r="D5954" i="3" s="1"/>
  <c r="D5978" i="3" s="1"/>
  <c r="D6002" i="3" s="1"/>
  <c r="D6026" i="3" s="1"/>
  <c r="D6050" i="3" s="1"/>
  <c r="D6074" i="3" s="1"/>
  <c r="D6098" i="3" s="1"/>
  <c r="D6122" i="3" s="1"/>
  <c r="D6146" i="3" s="1"/>
  <c r="D6170" i="3" s="1"/>
  <c r="D6194" i="3" s="1"/>
  <c r="D6218" i="3" s="1"/>
  <c r="D6242" i="3" s="1"/>
  <c r="D6266" i="3" s="1"/>
  <c r="D6290" i="3" s="1"/>
  <c r="D6314" i="3" s="1"/>
  <c r="D6338" i="3" s="1"/>
  <c r="D6362" i="3" s="1"/>
  <c r="D6386" i="3" s="1"/>
  <c r="D6410" i="3" s="1"/>
  <c r="D6434" i="3" s="1"/>
  <c r="D6458" i="3" s="1"/>
  <c r="D6482" i="3" s="1"/>
  <c r="D6506" i="3" s="1"/>
  <c r="D6530" i="3" s="1"/>
  <c r="D6554" i="3" s="1"/>
  <c r="D6578" i="3" s="1"/>
  <c r="D6602" i="3" s="1"/>
  <c r="D6626" i="3" s="1"/>
  <c r="D6650" i="3" s="1"/>
  <c r="D6674" i="3" s="1"/>
  <c r="D6698" i="3" s="1"/>
  <c r="D6722" i="3" s="1"/>
  <c r="D6746" i="3" s="1"/>
  <c r="D6770" i="3" s="1"/>
  <c r="D6794" i="3" s="1"/>
  <c r="D6818" i="3" s="1"/>
  <c r="D6842" i="3" s="1"/>
  <c r="D6866" i="3" s="1"/>
  <c r="D6890" i="3" s="1"/>
  <c r="D6914" i="3" s="1"/>
  <c r="D6938" i="3" s="1"/>
  <c r="D6962" i="3" s="1"/>
  <c r="D6986" i="3" s="1"/>
  <c r="D7010" i="3" s="1"/>
  <c r="D7034" i="3" s="1"/>
  <c r="D7058" i="3" s="1"/>
  <c r="D7082" i="3" s="1"/>
  <c r="D7106" i="3" s="1"/>
  <c r="D7130" i="3" s="1"/>
  <c r="D7154" i="3" s="1"/>
  <c r="D7178" i="3" s="1"/>
  <c r="D7202" i="3" s="1"/>
  <c r="D7226" i="3" s="1"/>
  <c r="D7250" i="3" s="1"/>
  <c r="D7274" i="3" s="1"/>
  <c r="D7298" i="3" s="1"/>
  <c r="D7322" i="3" s="1"/>
  <c r="D7346" i="3" s="1"/>
  <c r="D7370" i="3" s="1"/>
  <c r="D7394" i="3" s="1"/>
  <c r="D7418" i="3" s="1"/>
  <c r="D7442" i="3" s="1"/>
  <c r="D7466" i="3" s="1"/>
  <c r="D7490" i="3" s="1"/>
  <c r="D7514" i="3" s="1"/>
  <c r="D7538" i="3" s="1"/>
  <c r="D7562" i="3" s="1"/>
  <c r="D7586" i="3" s="1"/>
  <c r="D7610" i="3" s="1"/>
  <c r="D7634" i="3" s="1"/>
  <c r="D7658" i="3" s="1"/>
  <c r="D7682" i="3" s="1"/>
  <c r="D7706" i="3" s="1"/>
  <c r="D7730" i="3" s="1"/>
  <c r="D7754" i="3" s="1"/>
  <c r="D7778" i="3" s="1"/>
  <c r="D7802" i="3" s="1"/>
  <c r="D7826" i="3" s="1"/>
  <c r="D7850" i="3" s="1"/>
  <c r="D7874" i="3" s="1"/>
  <c r="D7898" i="3" s="1"/>
  <c r="D7922" i="3" s="1"/>
  <c r="D7946" i="3" s="1"/>
  <c r="D7970" i="3" s="1"/>
  <c r="D7994" i="3" s="1"/>
  <c r="D8018" i="3" s="1"/>
  <c r="D8042" i="3" s="1"/>
  <c r="D8066" i="3" s="1"/>
  <c r="D8090" i="3" s="1"/>
  <c r="D8114" i="3" s="1"/>
  <c r="D8138" i="3" s="1"/>
  <c r="D8162" i="3" s="1"/>
  <c r="D8186" i="3" s="1"/>
  <c r="D8210" i="3" s="1"/>
  <c r="D8234" i="3" s="1"/>
  <c r="D8258" i="3" s="1"/>
  <c r="D8282" i="3" s="1"/>
  <c r="D8306" i="3" s="1"/>
  <c r="D8330" i="3" s="1"/>
  <c r="D8354" i="3" s="1"/>
  <c r="D8378" i="3" s="1"/>
  <c r="D8402" i="3" s="1"/>
  <c r="D8426" i="3" s="1"/>
  <c r="D8450" i="3" s="1"/>
  <c r="D8474" i="3" s="1"/>
  <c r="D8498" i="3" s="1"/>
  <c r="D8522" i="3" s="1"/>
  <c r="D8546" i="3" s="1"/>
  <c r="D8570" i="3" s="1"/>
  <c r="D8594" i="3" s="1"/>
  <c r="D8618" i="3" s="1"/>
  <c r="D8642" i="3" s="1"/>
  <c r="D8666" i="3" s="1"/>
  <c r="D8690" i="3" s="1"/>
  <c r="D8714" i="3" s="1"/>
  <c r="D8738" i="3" s="1"/>
  <c r="D8762" i="3" s="1"/>
  <c r="D8786" i="3" s="1"/>
  <c r="D8810" i="3" s="1"/>
  <c r="D8834" i="3" s="1"/>
  <c r="D8858" i="3" s="1"/>
  <c r="D8882" i="3" s="1"/>
  <c r="D8906" i="3" s="1"/>
  <c r="D8930" i="3" s="1"/>
  <c r="D8954" i="3" s="1"/>
  <c r="D8978" i="3" s="1"/>
  <c r="D9002" i="3" s="1"/>
  <c r="D9026" i="3" s="1"/>
  <c r="D9050" i="3" s="1"/>
  <c r="D9074" i="3" s="1"/>
  <c r="D9098" i="3" s="1"/>
  <c r="D9122" i="3" s="1"/>
  <c r="D9146" i="3" s="1"/>
  <c r="D9170" i="3" s="1"/>
  <c r="D9194" i="3" s="1"/>
  <c r="D9218" i="3" s="1"/>
  <c r="D9242" i="3" s="1"/>
  <c r="D9266" i="3" s="1"/>
  <c r="D9290" i="3" s="1"/>
  <c r="D9314" i="3" s="1"/>
  <c r="D9338" i="3" s="1"/>
  <c r="D9362" i="3" s="1"/>
  <c r="D9386" i="3" s="1"/>
  <c r="D9410" i="3" s="1"/>
  <c r="D9434" i="3" s="1"/>
  <c r="D9458" i="3" s="1"/>
  <c r="D9482" i="3" s="1"/>
  <c r="D9506" i="3" s="1"/>
  <c r="D9530" i="3" s="1"/>
  <c r="D9554" i="3" s="1"/>
  <c r="D9578" i="3" s="1"/>
  <c r="D9602" i="3" s="1"/>
  <c r="D9626" i="3" s="1"/>
  <c r="D9650" i="3" s="1"/>
  <c r="D9674" i="3" s="1"/>
  <c r="D9698" i="3" s="1"/>
  <c r="D9722" i="3" s="1"/>
  <c r="D9746" i="3" s="1"/>
  <c r="D9770" i="3" s="1"/>
  <c r="D9794" i="3" s="1"/>
  <c r="D9818" i="3" s="1"/>
  <c r="D9842" i="3" s="1"/>
  <c r="D9866" i="3" s="1"/>
  <c r="D9890" i="3" s="1"/>
  <c r="D9914" i="3" s="1"/>
  <c r="D9938" i="3" s="1"/>
  <c r="D9962" i="3" s="1"/>
  <c r="D9986" i="3" s="1"/>
  <c r="D10010" i="3" s="1"/>
  <c r="D10034" i="3" s="1"/>
  <c r="D10058" i="3" s="1"/>
  <c r="D10082" i="3" s="1"/>
  <c r="D10106" i="3" s="1"/>
  <c r="D10130" i="3" s="1"/>
  <c r="D10154" i="3" s="1"/>
  <c r="D10178" i="3" s="1"/>
  <c r="D10202" i="3" s="1"/>
  <c r="D10226" i="3" s="1"/>
  <c r="D10250" i="3" s="1"/>
  <c r="D10274" i="3" s="1"/>
  <c r="D10298" i="3" s="1"/>
  <c r="D10322" i="3" s="1"/>
  <c r="D10346" i="3" s="1"/>
  <c r="D10370" i="3" s="1"/>
  <c r="D10394" i="3" s="1"/>
  <c r="D10418" i="3" s="1"/>
  <c r="D10442" i="3" s="1"/>
  <c r="D10466" i="3" s="1"/>
  <c r="D10490" i="3" s="1"/>
  <c r="D10514" i="3" s="1"/>
  <c r="D10538" i="3" s="1"/>
  <c r="D10562" i="3" s="1"/>
  <c r="D10586" i="3" s="1"/>
  <c r="D10610" i="3" s="1"/>
  <c r="D10634" i="3" s="1"/>
  <c r="D10658" i="3" s="1"/>
  <c r="D10682" i="3" s="1"/>
  <c r="D10706" i="3" s="1"/>
  <c r="D10730" i="3" s="1"/>
  <c r="D10754" i="3" s="1"/>
  <c r="D10778" i="3" s="1"/>
  <c r="D10802" i="3" s="1"/>
  <c r="D10826" i="3" s="1"/>
  <c r="D10850" i="3" s="1"/>
  <c r="D10874" i="3" s="1"/>
  <c r="D10898" i="3" s="1"/>
  <c r="D10922" i="3" s="1"/>
  <c r="D10946" i="3" s="1"/>
  <c r="D10970" i="3" s="1"/>
  <c r="AC184" i="23" l="1"/>
  <c r="K184" i="23"/>
  <c r="AB198" i="23" s="1"/>
  <c r="X183" i="23"/>
  <c r="AF183" i="23"/>
  <c r="E196" i="23"/>
  <c r="Q184" i="23"/>
  <c r="S184" i="23"/>
  <c r="C185" i="23"/>
  <c r="R184" i="23"/>
  <c r="T184" i="23"/>
  <c r="M242" i="1"/>
  <c r="E5785" i="3"/>
  <c r="E5784" i="3"/>
  <c r="E5782" i="3"/>
  <c r="E5781" i="3"/>
  <c r="E5777" i="3"/>
  <c r="E5776" i="3"/>
  <c r="E5774" i="3"/>
  <c r="E5772" i="3"/>
  <c r="E5771" i="3"/>
  <c r="E5769" i="3"/>
  <c r="E5767" i="3"/>
  <c r="E5765" i="3"/>
  <c r="E5762" i="3"/>
  <c r="E5783" i="3"/>
  <c r="E5780" i="3"/>
  <c r="E5779" i="3"/>
  <c r="E5766" i="3"/>
  <c r="E5718" i="3"/>
  <c r="AC185" i="23" l="1"/>
  <c r="K185" i="23"/>
  <c r="AB199" i="23" s="1"/>
  <c r="X184" i="23"/>
  <c r="AF184" i="23"/>
  <c r="C186" i="23"/>
  <c r="R185" i="23"/>
  <c r="Q185" i="23"/>
  <c r="S185" i="23"/>
  <c r="T185" i="23"/>
  <c r="E197" i="23"/>
  <c r="M241" i="1"/>
  <c r="E5761" i="3"/>
  <c r="E5760" i="3"/>
  <c r="E5759" i="3"/>
  <c r="E5758" i="3"/>
  <c r="E5755" i="3"/>
  <c r="E5754" i="3"/>
  <c r="E5753" i="3"/>
  <c r="E5752" i="3"/>
  <c r="E5750" i="3"/>
  <c r="E5747" i="3"/>
  <c r="E5744" i="3"/>
  <c r="E5743" i="3"/>
  <c r="E5741" i="3"/>
  <c r="E5739" i="3"/>
  <c r="E5738" i="3"/>
  <c r="E5749" i="3"/>
  <c r="M240" i="1"/>
  <c r="AC186" i="23" l="1"/>
  <c r="K186" i="23"/>
  <c r="AB200" i="23" s="1"/>
  <c r="X185" i="23"/>
  <c r="AF185" i="23"/>
  <c r="E198" i="23"/>
  <c r="S186" i="23"/>
  <c r="C187" i="23"/>
  <c r="R186" i="23"/>
  <c r="Q186" i="23"/>
  <c r="T186" i="23"/>
  <c r="E5732" i="3"/>
  <c r="E5715" i="3"/>
  <c r="E5737" i="3"/>
  <c r="E5735" i="3"/>
  <c r="E5734" i="3"/>
  <c r="E5730" i="3"/>
  <c r="E5729" i="3"/>
  <c r="E5728" i="3"/>
  <c r="E5726" i="3"/>
  <c r="E5725" i="3"/>
  <c r="E5723" i="3"/>
  <c r="E5721" i="3"/>
  <c r="E5719" i="3"/>
  <c r="E5717" i="3"/>
  <c r="E5733" i="3"/>
  <c r="E5731" i="3"/>
  <c r="M239" i="1"/>
  <c r="E5671" i="3"/>
  <c r="M238" i="1"/>
  <c r="E5689" i="3"/>
  <c r="E5687" i="3"/>
  <c r="E5686" i="3"/>
  <c r="E5681" i="3"/>
  <c r="E5680" i="3"/>
  <c r="E5678" i="3"/>
  <c r="E5673" i="3"/>
  <c r="E5670" i="3"/>
  <c r="E5669" i="3"/>
  <c r="E5667" i="3"/>
  <c r="E5666" i="3"/>
  <c r="E5688" i="3"/>
  <c r="E5675" i="3"/>
  <c r="E5647" i="3"/>
  <c r="M236" i="1"/>
  <c r="M237" i="1"/>
  <c r="E5665" i="3"/>
  <c r="E5664" i="3"/>
  <c r="E5662" i="3"/>
  <c r="E5657" i="3"/>
  <c r="E5655" i="3"/>
  <c r="E5654" i="3"/>
  <c r="E5651" i="3"/>
  <c r="E5649" i="3"/>
  <c r="E5646" i="3"/>
  <c r="E5645" i="3"/>
  <c r="E5643" i="3"/>
  <c r="E5642" i="3"/>
  <c r="E5659" i="3"/>
  <c r="E5641" i="3"/>
  <c r="E5640" i="3"/>
  <c r="E5638" i="3"/>
  <c r="E5637" i="3"/>
  <c r="E5633" i="3"/>
  <c r="E5630" i="3"/>
  <c r="E5627" i="3"/>
  <c r="E5625" i="3"/>
  <c r="E5624" i="3"/>
  <c r="F5624" i="3" s="1"/>
  <c r="F5648" i="3" s="1"/>
  <c r="F5672" i="3" s="1"/>
  <c r="F5696" i="3" s="1"/>
  <c r="F5720" i="3" s="1"/>
  <c r="F5744" i="3" s="1"/>
  <c r="F5768" i="3" s="1"/>
  <c r="F5792" i="3" s="1"/>
  <c r="F5816" i="3" s="1"/>
  <c r="F5840" i="3" s="1"/>
  <c r="F5864" i="3" s="1"/>
  <c r="F5888" i="3" s="1"/>
  <c r="F5912" i="3" s="1"/>
  <c r="F5936" i="3" s="1"/>
  <c r="F5960" i="3" s="1"/>
  <c r="F5984" i="3" s="1"/>
  <c r="F6008" i="3" s="1"/>
  <c r="F6032" i="3" s="1"/>
  <c r="F6056" i="3" s="1"/>
  <c r="F6080" i="3" s="1"/>
  <c r="F6104" i="3" s="1"/>
  <c r="F6128" i="3" s="1"/>
  <c r="F6152" i="3" s="1"/>
  <c r="F6176" i="3" s="1"/>
  <c r="F6200" i="3" s="1"/>
  <c r="F6224" i="3" s="1"/>
  <c r="F6248" i="3" s="1"/>
  <c r="F6272" i="3" s="1"/>
  <c r="F6296" i="3" s="1"/>
  <c r="F6320" i="3" s="1"/>
  <c r="F6344" i="3" s="1"/>
  <c r="F6368" i="3" s="1"/>
  <c r="F6392" i="3" s="1"/>
  <c r="F6416" i="3" s="1"/>
  <c r="F6440" i="3" s="1"/>
  <c r="F6464" i="3" s="1"/>
  <c r="F6488" i="3" s="1"/>
  <c r="F6512" i="3" s="1"/>
  <c r="F6536" i="3" s="1"/>
  <c r="F6560" i="3" s="1"/>
  <c r="F6584" i="3" s="1"/>
  <c r="F6608" i="3" s="1"/>
  <c r="F6632" i="3" s="1"/>
  <c r="F6656" i="3" s="1"/>
  <c r="F6680" i="3" s="1"/>
  <c r="F6704" i="3" s="1"/>
  <c r="F6728" i="3" s="1"/>
  <c r="F6752" i="3" s="1"/>
  <c r="F6776" i="3" s="1"/>
  <c r="F6800" i="3" s="1"/>
  <c r="F6824" i="3" s="1"/>
  <c r="F6848" i="3" s="1"/>
  <c r="F6872" i="3" s="1"/>
  <c r="F6896" i="3" s="1"/>
  <c r="F6920" i="3" s="1"/>
  <c r="F6944" i="3" s="1"/>
  <c r="F6968" i="3" s="1"/>
  <c r="F6992" i="3" s="1"/>
  <c r="F7016" i="3" s="1"/>
  <c r="F7040" i="3" s="1"/>
  <c r="F7064" i="3" s="1"/>
  <c r="F7088" i="3" s="1"/>
  <c r="F7112" i="3" s="1"/>
  <c r="F7136" i="3" s="1"/>
  <c r="F7160" i="3" s="1"/>
  <c r="F7184" i="3" s="1"/>
  <c r="F7208" i="3" s="1"/>
  <c r="F7232" i="3" s="1"/>
  <c r="F7256" i="3" s="1"/>
  <c r="F7280" i="3" s="1"/>
  <c r="F7304" i="3" s="1"/>
  <c r="F7328" i="3" s="1"/>
  <c r="F7352" i="3" s="1"/>
  <c r="F7376" i="3" s="1"/>
  <c r="F7400" i="3" s="1"/>
  <c r="F7424" i="3" s="1"/>
  <c r="F7448" i="3" s="1"/>
  <c r="F7472" i="3" s="1"/>
  <c r="F7496" i="3" s="1"/>
  <c r="F7520" i="3" s="1"/>
  <c r="F7544" i="3" s="1"/>
  <c r="F7568" i="3" s="1"/>
  <c r="F7592" i="3" s="1"/>
  <c r="F7616" i="3" s="1"/>
  <c r="F7640" i="3" s="1"/>
  <c r="F7664" i="3" s="1"/>
  <c r="F7688" i="3" s="1"/>
  <c r="F7712" i="3" s="1"/>
  <c r="F7736" i="3" s="1"/>
  <c r="F7760" i="3" s="1"/>
  <c r="F7784" i="3" s="1"/>
  <c r="F7808" i="3" s="1"/>
  <c r="F7832" i="3" s="1"/>
  <c r="F7856" i="3" s="1"/>
  <c r="F7880" i="3" s="1"/>
  <c r="F7904" i="3" s="1"/>
  <c r="F7928" i="3" s="1"/>
  <c r="F7952" i="3" s="1"/>
  <c r="F7999" i="3" s="1"/>
  <c r="E5623" i="3"/>
  <c r="E5622" i="3"/>
  <c r="E5621" i="3"/>
  <c r="E5619" i="3"/>
  <c r="E5614" i="3"/>
  <c r="E5618" i="3"/>
  <c r="E5629" i="3"/>
  <c r="E5628" i="3"/>
  <c r="AC187" i="23" l="1"/>
  <c r="K187" i="23"/>
  <c r="AB201" i="23" s="1"/>
  <c r="X186" i="23"/>
  <c r="AF186" i="23"/>
  <c r="S187" i="23"/>
  <c r="C188" i="23"/>
  <c r="K188" i="23" s="1"/>
  <c r="AB202" i="23" s="1"/>
  <c r="R187" i="23"/>
  <c r="Q187" i="23"/>
  <c r="T187" i="23"/>
  <c r="T197" i="23"/>
  <c r="E199" i="23"/>
  <c r="F8023" i="3"/>
  <c r="M235" i="1"/>
  <c r="E5598" i="3"/>
  <c r="E5617" i="3"/>
  <c r="E5616" i="3"/>
  <c r="E5615" i="3"/>
  <c r="E5613" i="3"/>
  <c r="E5610" i="3"/>
  <c r="E5609" i="3"/>
  <c r="E5606" i="3"/>
  <c r="E5603" i="3"/>
  <c r="E5601" i="3"/>
  <c r="E5599" i="3"/>
  <c r="E5597" i="3"/>
  <c r="E5595" i="3"/>
  <c r="E5612" i="3"/>
  <c r="F5612" i="3" s="1"/>
  <c r="F5636" i="3" s="1"/>
  <c r="F5660" i="3" s="1"/>
  <c r="F5684" i="3" s="1"/>
  <c r="F5708" i="3" s="1"/>
  <c r="F5732" i="3" s="1"/>
  <c r="F5756" i="3" s="1"/>
  <c r="F5780" i="3" s="1"/>
  <c r="F5804" i="3" s="1"/>
  <c r="F5828" i="3" s="1"/>
  <c r="F5852" i="3" s="1"/>
  <c r="F5876" i="3" s="1"/>
  <c r="F5900" i="3" s="1"/>
  <c r="F5924" i="3" s="1"/>
  <c r="F5948" i="3" s="1"/>
  <c r="F5972" i="3" s="1"/>
  <c r="F5996" i="3" s="1"/>
  <c r="F6020" i="3" s="1"/>
  <c r="F6044" i="3" s="1"/>
  <c r="F6068" i="3" s="1"/>
  <c r="F6092" i="3" s="1"/>
  <c r="F6116" i="3" s="1"/>
  <c r="F6140" i="3" s="1"/>
  <c r="F6164" i="3" s="1"/>
  <c r="F6188" i="3" s="1"/>
  <c r="F6212" i="3" s="1"/>
  <c r="F6236" i="3" s="1"/>
  <c r="F6260" i="3" s="1"/>
  <c r="F6284" i="3" s="1"/>
  <c r="F6308" i="3" s="1"/>
  <c r="F6332" i="3" s="1"/>
  <c r="F6356" i="3" s="1"/>
  <c r="F6380" i="3" s="1"/>
  <c r="F6404" i="3" s="1"/>
  <c r="F6428" i="3" s="1"/>
  <c r="F6452" i="3" s="1"/>
  <c r="F6476" i="3" s="1"/>
  <c r="F6500" i="3" s="1"/>
  <c r="F6524" i="3" s="1"/>
  <c r="F6548" i="3" s="1"/>
  <c r="F6572" i="3" s="1"/>
  <c r="F6596" i="3" s="1"/>
  <c r="F6620" i="3" s="1"/>
  <c r="F6644" i="3" s="1"/>
  <c r="F6668" i="3" s="1"/>
  <c r="F6692" i="3" s="1"/>
  <c r="F6716" i="3" s="1"/>
  <c r="F6740" i="3" s="1"/>
  <c r="F6764" i="3" s="1"/>
  <c r="F6788" i="3" s="1"/>
  <c r="F6812" i="3" s="1"/>
  <c r="F6836" i="3" s="1"/>
  <c r="F6860" i="3" s="1"/>
  <c r="F6884" i="3" s="1"/>
  <c r="F6908" i="3" s="1"/>
  <c r="F6932" i="3" s="1"/>
  <c r="F6956" i="3" s="1"/>
  <c r="F6980" i="3" s="1"/>
  <c r="F7004" i="3" s="1"/>
  <c r="F7028" i="3" s="1"/>
  <c r="F7052" i="3" s="1"/>
  <c r="F7076" i="3" s="1"/>
  <c r="F7100" i="3" s="1"/>
  <c r="F7124" i="3" s="1"/>
  <c r="F7148" i="3" s="1"/>
  <c r="F7172" i="3" s="1"/>
  <c r="F7196" i="3" s="1"/>
  <c r="F7220" i="3" s="1"/>
  <c r="F7244" i="3" s="1"/>
  <c r="F7268" i="3" s="1"/>
  <c r="F7292" i="3" s="1"/>
  <c r="F7316" i="3" s="1"/>
  <c r="F7340" i="3" s="1"/>
  <c r="F7364" i="3" s="1"/>
  <c r="F7388" i="3" s="1"/>
  <c r="F7412" i="3" s="1"/>
  <c r="F7436" i="3" s="1"/>
  <c r="F7460" i="3" s="1"/>
  <c r="F7484" i="3" s="1"/>
  <c r="F7508" i="3" s="1"/>
  <c r="F7532" i="3" s="1"/>
  <c r="F7556" i="3" s="1"/>
  <c r="F7580" i="3" s="1"/>
  <c r="F7604" i="3" s="1"/>
  <c r="F7628" i="3" s="1"/>
  <c r="F7652" i="3" s="1"/>
  <c r="F7676" i="3" s="1"/>
  <c r="F7700" i="3" s="1"/>
  <c r="F7724" i="3" s="1"/>
  <c r="F7748" i="3" s="1"/>
  <c r="F7772" i="3" s="1"/>
  <c r="F7796" i="3" s="1"/>
  <c r="F7820" i="3" s="1"/>
  <c r="F7844" i="3" s="1"/>
  <c r="F7868" i="3" s="1"/>
  <c r="F7892" i="3" s="1"/>
  <c r="F7916" i="3" s="1"/>
  <c r="F7940" i="3" s="1"/>
  <c r="F7964" i="3" s="1"/>
  <c r="F8012" i="3" s="1"/>
  <c r="E5608" i="3"/>
  <c r="E5604" i="3"/>
  <c r="M234" i="1"/>
  <c r="E5593" i="3"/>
  <c r="E5591" i="3"/>
  <c r="E5590" i="3"/>
  <c r="E5589" i="3"/>
  <c r="F5589" i="3" s="1"/>
  <c r="F5586" i="3"/>
  <c r="E5585" i="3"/>
  <c r="E5584" i="3"/>
  <c r="E5582" i="3"/>
  <c r="E5579" i="3"/>
  <c r="E5577" i="3"/>
  <c r="E5575" i="3"/>
  <c r="E5573" i="3"/>
  <c r="E5571" i="3"/>
  <c r="E5570" i="3"/>
  <c r="F5570" i="3" s="1"/>
  <c r="E5592" i="3"/>
  <c r="E5581" i="3"/>
  <c r="E5580" i="3"/>
  <c r="E5574" i="3"/>
  <c r="T198" i="23" l="1"/>
  <c r="AC188" i="23"/>
  <c r="X187" i="23"/>
  <c r="AF187" i="23"/>
  <c r="E200" i="23"/>
  <c r="Q188" i="23"/>
  <c r="S188" i="23"/>
  <c r="C189" i="23"/>
  <c r="K189" i="23" s="1"/>
  <c r="AB203" i="23" s="1"/>
  <c r="R188" i="23"/>
  <c r="T188" i="23"/>
  <c r="F5613" i="3"/>
  <c r="F5637" i="3" s="1"/>
  <c r="F5661" i="3" s="1"/>
  <c r="F5685" i="3" s="1"/>
  <c r="F5709" i="3" s="1"/>
  <c r="F5733" i="3" s="1"/>
  <c r="F5757" i="3" s="1"/>
  <c r="F5781" i="3" s="1"/>
  <c r="F5805" i="3" s="1"/>
  <c r="F5829" i="3" s="1"/>
  <c r="F5853" i="3" s="1"/>
  <c r="F5877" i="3" s="1"/>
  <c r="F5901" i="3" s="1"/>
  <c r="F5925" i="3" s="1"/>
  <c r="F5949" i="3" s="1"/>
  <c r="F5973" i="3" s="1"/>
  <c r="F5997" i="3" s="1"/>
  <c r="F6021" i="3" s="1"/>
  <c r="F6045" i="3" s="1"/>
  <c r="F6069" i="3" s="1"/>
  <c r="F6093" i="3" s="1"/>
  <c r="F6117" i="3" s="1"/>
  <c r="F6141" i="3" s="1"/>
  <c r="F6165" i="3" s="1"/>
  <c r="F6189" i="3" s="1"/>
  <c r="F6213" i="3" s="1"/>
  <c r="F6237" i="3" s="1"/>
  <c r="F6261" i="3" s="1"/>
  <c r="F6285" i="3" s="1"/>
  <c r="F6309" i="3" s="1"/>
  <c r="F6333" i="3" s="1"/>
  <c r="F6357" i="3" s="1"/>
  <c r="F6381" i="3" s="1"/>
  <c r="F6405" i="3" s="1"/>
  <c r="F6429" i="3" s="1"/>
  <c r="F6453" i="3" s="1"/>
  <c r="F6477" i="3" s="1"/>
  <c r="F6501" i="3" s="1"/>
  <c r="F6525" i="3" s="1"/>
  <c r="F6549" i="3" s="1"/>
  <c r="F6573" i="3" s="1"/>
  <c r="F6597" i="3" s="1"/>
  <c r="F6621" i="3" s="1"/>
  <c r="F6645" i="3" s="1"/>
  <c r="F6669" i="3" s="1"/>
  <c r="F6693" i="3" s="1"/>
  <c r="F6717" i="3" s="1"/>
  <c r="F6741" i="3" s="1"/>
  <c r="F6765" i="3" s="1"/>
  <c r="F6789" i="3" s="1"/>
  <c r="F6813" i="3" s="1"/>
  <c r="F6837" i="3" s="1"/>
  <c r="F6861" i="3" s="1"/>
  <c r="F6885" i="3" s="1"/>
  <c r="F6909" i="3" s="1"/>
  <c r="F6933" i="3" s="1"/>
  <c r="F6957" i="3" s="1"/>
  <c r="F6981" i="3" s="1"/>
  <c r="F7005" i="3" s="1"/>
  <c r="F7029" i="3" s="1"/>
  <c r="F7053" i="3" s="1"/>
  <c r="F7077" i="3" s="1"/>
  <c r="F7101" i="3" s="1"/>
  <c r="F7125" i="3" s="1"/>
  <c r="F7149" i="3" s="1"/>
  <c r="F7173" i="3" s="1"/>
  <c r="F7197" i="3" s="1"/>
  <c r="F7221" i="3" s="1"/>
  <c r="F7245" i="3" s="1"/>
  <c r="F7269" i="3" s="1"/>
  <c r="F7293" i="3" s="1"/>
  <c r="F7317" i="3" s="1"/>
  <c r="F7341" i="3" s="1"/>
  <c r="F7365" i="3" s="1"/>
  <c r="F7389" i="3" s="1"/>
  <c r="F7413" i="3" s="1"/>
  <c r="F7437" i="3" s="1"/>
  <c r="F7461" i="3" s="1"/>
  <c r="F7485" i="3" s="1"/>
  <c r="F7509" i="3" s="1"/>
  <c r="F7533" i="3" s="1"/>
  <c r="F7557" i="3" s="1"/>
  <c r="F7581" i="3" s="1"/>
  <c r="F7605" i="3" s="1"/>
  <c r="F7629" i="3" s="1"/>
  <c r="F7653" i="3" s="1"/>
  <c r="F7677" i="3" s="1"/>
  <c r="F7701" i="3" s="1"/>
  <c r="F7725" i="3" s="1"/>
  <c r="F7749" i="3" s="1"/>
  <c r="F7773" i="3" s="1"/>
  <c r="F7797" i="3" s="1"/>
  <c r="F7821" i="3" s="1"/>
  <c r="F7845" i="3" s="1"/>
  <c r="F7869" i="3" s="1"/>
  <c r="F7893" i="3" s="1"/>
  <c r="F7917" i="3" s="1"/>
  <c r="F7941" i="3" s="1"/>
  <c r="F7965" i="3" s="1"/>
  <c r="F8013" i="3" s="1"/>
  <c r="F8037" i="3" s="1"/>
  <c r="F8061" i="3" s="1"/>
  <c r="F8085" i="3" s="1"/>
  <c r="F8109" i="3" s="1"/>
  <c r="F8133" i="3" s="1"/>
  <c r="F8157" i="3" s="1"/>
  <c r="F8181" i="3" s="1"/>
  <c r="F8205" i="3" s="1"/>
  <c r="F8229" i="3" s="1"/>
  <c r="F8253" i="3" s="1"/>
  <c r="F8277" i="3" s="1"/>
  <c r="F8301" i="3" s="1"/>
  <c r="F8325" i="3" s="1"/>
  <c r="F8349" i="3" s="1"/>
  <c r="F8373" i="3" s="1"/>
  <c r="F8397" i="3" s="1"/>
  <c r="F8421" i="3" s="1"/>
  <c r="F8445" i="3" s="1"/>
  <c r="F8469" i="3" s="1"/>
  <c r="F8493" i="3" s="1"/>
  <c r="F8517" i="3" s="1"/>
  <c r="F8541" i="3" s="1"/>
  <c r="F8565" i="3" s="1"/>
  <c r="F8589" i="3" s="1"/>
  <c r="F8613" i="3" s="1"/>
  <c r="F8637" i="3" s="1"/>
  <c r="F8661" i="3" s="1"/>
  <c r="F8685" i="3" s="1"/>
  <c r="F8709" i="3" s="1"/>
  <c r="F8733" i="3" s="1"/>
  <c r="F8757" i="3" s="1"/>
  <c r="F8781" i="3" s="1"/>
  <c r="F8805" i="3" s="1"/>
  <c r="F8829" i="3" s="1"/>
  <c r="F8853" i="3" s="1"/>
  <c r="F8877" i="3" s="1"/>
  <c r="F8901" i="3" s="1"/>
  <c r="F8925" i="3" s="1"/>
  <c r="F8949" i="3" s="1"/>
  <c r="F8973" i="3" s="1"/>
  <c r="F8997" i="3" s="1"/>
  <c r="F9021" i="3" s="1"/>
  <c r="F9045" i="3" s="1"/>
  <c r="F9069" i="3" s="1"/>
  <c r="F9093" i="3" s="1"/>
  <c r="F9117" i="3" s="1"/>
  <c r="F9141" i="3" s="1"/>
  <c r="F9165" i="3" s="1"/>
  <c r="F9189" i="3" s="1"/>
  <c r="F9213" i="3" s="1"/>
  <c r="F9237" i="3" s="1"/>
  <c r="F9261" i="3" s="1"/>
  <c r="F9285" i="3" s="1"/>
  <c r="F9309" i="3" s="1"/>
  <c r="F9333" i="3" s="1"/>
  <c r="F9357" i="3" s="1"/>
  <c r="F9381" i="3" s="1"/>
  <c r="F9405" i="3" s="1"/>
  <c r="F9429" i="3" s="1"/>
  <c r="F9453" i="3" s="1"/>
  <c r="F9477" i="3" s="1"/>
  <c r="F9501" i="3" s="1"/>
  <c r="F9525" i="3" s="1"/>
  <c r="F9549" i="3" s="1"/>
  <c r="F9573" i="3" s="1"/>
  <c r="F9597" i="3" s="1"/>
  <c r="F9621" i="3" s="1"/>
  <c r="F9645" i="3" s="1"/>
  <c r="F9669" i="3" s="1"/>
  <c r="F9693" i="3" s="1"/>
  <c r="F9717" i="3" s="1"/>
  <c r="F9741" i="3" s="1"/>
  <c r="F9765" i="3" s="1"/>
  <c r="F9789" i="3" s="1"/>
  <c r="F9813" i="3" s="1"/>
  <c r="F9837" i="3" s="1"/>
  <c r="F9861" i="3" s="1"/>
  <c r="F9885" i="3" s="1"/>
  <c r="F9909" i="3" s="1"/>
  <c r="F9933" i="3" s="1"/>
  <c r="F9957" i="3" s="1"/>
  <c r="F9981" i="3" s="1"/>
  <c r="F10005" i="3" s="1"/>
  <c r="F8036" i="3"/>
  <c r="F8060" i="3" s="1"/>
  <c r="F8084" i="3" s="1"/>
  <c r="F8108" i="3" s="1"/>
  <c r="F8132" i="3" s="1"/>
  <c r="F8156" i="3" s="1"/>
  <c r="F8180" i="3" s="1"/>
  <c r="F8204" i="3" s="1"/>
  <c r="F8228" i="3" s="1"/>
  <c r="F8252" i="3" s="1"/>
  <c r="F8276" i="3" s="1"/>
  <c r="F8300" i="3" s="1"/>
  <c r="F8324" i="3" s="1"/>
  <c r="F8348" i="3" s="1"/>
  <c r="F8372" i="3" s="1"/>
  <c r="F8396" i="3" s="1"/>
  <c r="F8420" i="3" s="1"/>
  <c r="F8444" i="3" s="1"/>
  <c r="F8468" i="3" s="1"/>
  <c r="F8492" i="3" s="1"/>
  <c r="F8516" i="3" s="1"/>
  <c r="F8540" i="3" s="1"/>
  <c r="F8564" i="3" s="1"/>
  <c r="F8588" i="3" s="1"/>
  <c r="F8612" i="3" s="1"/>
  <c r="F8636" i="3" s="1"/>
  <c r="F8660" i="3" s="1"/>
  <c r="F8684" i="3" s="1"/>
  <c r="F8708" i="3" s="1"/>
  <c r="F8732" i="3" s="1"/>
  <c r="F8756" i="3" s="1"/>
  <c r="F8780" i="3" s="1"/>
  <c r="F8804" i="3" s="1"/>
  <c r="F8828" i="3" s="1"/>
  <c r="F8852" i="3" s="1"/>
  <c r="F8876" i="3" s="1"/>
  <c r="F8900" i="3" s="1"/>
  <c r="F8924" i="3" s="1"/>
  <c r="F8948" i="3" s="1"/>
  <c r="F8972" i="3" s="1"/>
  <c r="F8996" i="3" s="1"/>
  <c r="F9020" i="3" s="1"/>
  <c r="F9044" i="3" s="1"/>
  <c r="F9068" i="3" s="1"/>
  <c r="F9092" i="3" s="1"/>
  <c r="F9116" i="3" s="1"/>
  <c r="F9140" i="3" s="1"/>
  <c r="F9164" i="3" s="1"/>
  <c r="F9188" i="3" s="1"/>
  <c r="F9212" i="3" s="1"/>
  <c r="F9236" i="3" s="1"/>
  <c r="F9260" i="3" s="1"/>
  <c r="F9284" i="3" s="1"/>
  <c r="F9308" i="3" s="1"/>
  <c r="F9332" i="3" s="1"/>
  <c r="F9356" i="3" s="1"/>
  <c r="F9380" i="3" s="1"/>
  <c r="F9404" i="3" s="1"/>
  <c r="F9428" i="3" s="1"/>
  <c r="F9452" i="3" s="1"/>
  <c r="F9476" i="3" s="1"/>
  <c r="F9500" i="3" s="1"/>
  <c r="F9524" i="3" s="1"/>
  <c r="F9548" i="3" s="1"/>
  <c r="F9572" i="3" s="1"/>
  <c r="F9596" i="3" s="1"/>
  <c r="F9620" i="3" s="1"/>
  <c r="F9644" i="3" s="1"/>
  <c r="F9668" i="3" s="1"/>
  <c r="F9692" i="3" s="1"/>
  <c r="F9716" i="3" s="1"/>
  <c r="F9740" i="3" s="1"/>
  <c r="F9764" i="3" s="1"/>
  <c r="F9788" i="3" s="1"/>
  <c r="F9812" i="3" s="1"/>
  <c r="F9836" i="3" s="1"/>
  <c r="F9860" i="3" s="1"/>
  <c r="F9884" i="3" s="1"/>
  <c r="F9908" i="3" s="1"/>
  <c r="F9932" i="3" s="1"/>
  <c r="F9956" i="3" s="1"/>
  <c r="F9980" i="3" s="1"/>
  <c r="F10004" i="3" s="1"/>
  <c r="F5594" i="3"/>
  <c r="F5618" i="3" s="1"/>
  <c r="F5642" i="3" s="1"/>
  <c r="F5666" i="3" s="1"/>
  <c r="F5690" i="3" s="1"/>
  <c r="F5714" i="3" s="1"/>
  <c r="F5738" i="3" s="1"/>
  <c r="F5762" i="3" s="1"/>
  <c r="F5786" i="3" s="1"/>
  <c r="F5810" i="3" s="1"/>
  <c r="F5834" i="3" s="1"/>
  <c r="F5858" i="3" s="1"/>
  <c r="F5882" i="3" s="1"/>
  <c r="F5906" i="3" s="1"/>
  <c r="F5930" i="3" s="1"/>
  <c r="F5954" i="3" s="1"/>
  <c r="F5978" i="3" s="1"/>
  <c r="F6002" i="3" s="1"/>
  <c r="F6026" i="3" s="1"/>
  <c r="F6050" i="3" s="1"/>
  <c r="F6074" i="3" s="1"/>
  <c r="F6098" i="3" s="1"/>
  <c r="F6122" i="3" s="1"/>
  <c r="F6146" i="3" s="1"/>
  <c r="F6170" i="3" s="1"/>
  <c r="F6194" i="3" s="1"/>
  <c r="F6218" i="3" s="1"/>
  <c r="F6242" i="3" s="1"/>
  <c r="F6266" i="3" s="1"/>
  <c r="F6290" i="3" s="1"/>
  <c r="F6314" i="3" s="1"/>
  <c r="F6338" i="3" s="1"/>
  <c r="F6362" i="3" s="1"/>
  <c r="F6386" i="3" s="1"/>
  <c r="F6410" i="3" s="1"/>
  <c r="F6434" i="3" s="1"/>
  <c r="F6458" i="3" s="1"/>
  <c r="F6482" i="3" s="1"/>
  <c r="F6506" i="3" s="1"/>
  <c r="F6530" i="3" s="1"/>
  <c r="F6554" i="3" s="1"/>
  <c r="F6578" i="3" s="1"/>
  <c r="F6602" i="3" s="1"/>
  <c r="F6626" i="3" s="1"/>
  <c r="F6650" i="3" s="1"/>
  <c r="F6674" i="3" s="1"/>
  <c r="F6698" i="3" s="1"/>
  <c r="F6722" i="3" s="1"/>
  <c r="F6746" i="3" s="1"/>
  <c r="F6770" i="3" s="1"/>
  <c r="F6794" i="3" s="1"/>
  <c r="F6818" i="3" s="1"/>
  <c r="F6842" i="3" s="1"/>
  <c r="F6866" i="3" s="1"/>
  <c r="F6890" i="3" s="1"/>
  <c r="F6914" i="3" s="1"/>
  <c r="F6938" i="3" s="1"/>
  <c r="F6962" i="3" s="1"/>
  <c r="F6986" i="3" s="1"/>
  <c r="F7010" i="3" s="1"/>
  <c r="F7034" i="3" s="1"/>
  <c r="F7058" i="3" s="1"/>
  <c r="F7082" i="3" s="1"/>
  <c r="F7106" i="3" s="1"/>
  <c r="F7130" i="3" s="1"/>
  <c r="F7154" i="3" s="1"/>
  <c r="F7178" i="3" s="1"/>
  <c r="F7202" i="3" s="1"/>
  <c r="F7226" i="3" s="1"/>
  <c r="F7250" i="3" s="1"/>
  <c r="F7274" i="3" s="1"/>
  <c r="F7298" i="3" s="1"/>
  <c r="F7322" i="3" s="1"/>
  <c r="F7346" i="3" s="1"/>
  <c r="F7370" i="3" s="1"/>
  <c r="F7394" i="3" s="1"/>
  <c r="F7418" i="3" s="1"/>
  <c r="F7442" i="3" s="1"/>
  <c r="F7466" i="3" s="1"/>
  <c r="F7490" i="3" s="1"/>
  <c r="F7514" i="3" s="1"/>
  <c r="F7538" i="3" s="1"/>
  <c r="F7562" i="3" s="1"/>
  <c r="F7586" i="3" s="1"/>
  <c r="F7610" i="3" s="1"/>
  <c r="F7634" i="3" s="1"/>
  <c r="F7658" i="3" s="1"/>
  <c r="F7682" i="3" s="1"/>
  <c r="F7706" i="3" s="1"/>
  <c r="F7730" i="3" s="1"/>
  <c r="F7754" i="3" s="1"/>
  <c r="F7778" i="3" s="1"/>
  <c r="F7802" i="3" s="1"/>
  <c r="F7826" i="3" s="1"/>
  <c r="F7850" i="3" s="1"/>
  <c r="F7874" i="3" s="1"/>
  <c r="F7898" i="3" s="1"/>
  <c r="F7922" i="3" s="1"/>
  <c r="F7946" i="3" s="1"/>
  <c r="F8018" i="3" s="1"/>
  <c r="F8042" i="3" s="1"/>
  <c r="F8066" i="3" s="1"/>
  <c r="F8090" i="3" s="1"/>
  <c r="F8114" i="3" s="1"/>
  <c r="F8138" i="3" s="1"/>
  <c r="F8162" i="3" s="1"/>
  <c r="F8186" i="3" s="1"/>
  <c r="F8210" i="3" s="1"/>
  <c r="F8234" i="3" s="1"/>
  <c r="F8258" i="3" s="1"/>
  <c r="F8282" i="3" s="1"/>
  <c r="F8306" i="3" s="1"/>
  <c r="F8330" i="3" s="1"/>
  <c r="F8354" i="3" s="1"/>
  <c r="F8378" i="3" s="1"/>
  <c r="F8402" i="3" s="1"/>
  <c r="F8426" i="3" s="1"/>
  <c r="F8450" i="3" s="1"/>
  <c r="F8474" i="3" s="1"/>
  <c r="F8498" i="3" s="1"/>
  <c r="F8522" i="3" s="1"/>
  <c r="F8546" i="3" s="1"/>
  <c r="F8570" i="3" s="1"/>
  <c r="F8594" i="3" s="1"/>
  <c r="F8618" i="3" s="1"/>
  <c r="F8642" i="3" s="1"/>
  <c r="F8666" i="3" s="1"/>
  <c r="F8690" i="3" s="1"/>
  <c r="F8714" i="3" s="1"/>
  <c r="F8738" i="3" s="1"/>
  <c r="F8762" i="3" s="1"/>
  <c r="F8786" i="3" s="1"/>
  <c r="F8810" i="3" s="1"/>
  <c r="F8834" i="3" s="1"/>
  <c r="F8858" i="3" s="1"/>
  <c r="F8882" i="3" s="1"/>
  <c r="F8906" i="3" s="1"/>
  <c r="F8930" i="3" s="1"/>
  <c r="F8954" i="3" s="1"/>
  <c r="F8978" i="3" s="1"/>
  <c r="F9002" i="3" s="1"/>
  <c r="F9026" i="3" s="1"/>
  <c r="F9050" i="3" s="1"/>
  <c r="F9074" i="3" s="1"/>
  <c r="F9098" i="3" s="1"/>
  <c r="F9122" i="3" s="1"/>
  <c r="F9146" i="3" s="1"/>
  <c r="F9170" i="3" s="1"/>
  <c r="F9194" i="3" s="1"/>
  <c r="F9218" i="3" s="1"/>
  <c r="F9242" i="3" s="1"/>
  <c r="F9266" i="3" s="1"/>
  <c r="F9290" i="3" s="1"/>
  <c r="F9314" i="3" s="1"/>
  <c r="F9338" i="3" s="1"/>
  <c r="F9362" i="3" s="1"/>
  <c r="F9386" i="3" s="1"/>
  <c r="F9410" i="3" s="1"/>
  <c r="F9434" i="3" s="1"/>
  <c r="F9458" i="3" s="1"/>
  <c r="F9482" i="3" s="1"/>
  <c r="F9506" i="3" s="1"/>
  <c r="F9530" i="3" s="1"/>
  <c r="F9554" i="3" s="1"/>
  <c r="F9578" i="3" s="1"/>
  <c r="F9602" i="3" s="1"/>
  <c r="F9626" i="3" s="1"/>
  <c r="F9650" i="3" s="1"/>
  <c r="F9674" i="3" s="1"/>
  <c r="F9698" i="3" s="1"/>
  <c r="F9722" i="3" s="1"/>
  <c r="F9746" i="3" s="1"/>
  <c r="F9770" i="3" s="1"/>
  <c r="F9794" i="3" s="1"/>
  <c r="F9818" i="3" s="1"/>
  <c r="F9842" i="3" s="1"/>
  <c r="F9866" i="3" s="1"/>
  <c r="F9890" i="3" s="1"/>
  <c r="F9914" i="3" s="1"/>
  <c r="F9938" i="3" s="1"/>
  <c r="F9962" i="3" s="1"/>
  <c r="F9986" i="3" s="1"/>
  <c r="F5610" i="3"/>
  <c r="F5634" i="3" s="1"/>
  <c r="F5658" i="3" s="1"/>
  <c r="F5682" i="3" s="1"/>
  <c r="F5706" i="3" s="1"/>
  <c r="F5730" i="3" s="1"/>
  <c r="F5754" i="3" s="1"/>
  <c r="F5778" i="3" s="1"/>
  <c r="F5802" i="3" s="1"/>
  <c r="F5826" i="3" s="1"/>
  <c r="F5850" i="3" s="1"/>
  <c r="F5874" i="3" s="1"/>
  <c r="F5898" i="3" s="1"/>
  <c r="F5922" i="3" s="1"/>
  <c r="F5946" i="3" s="1"/>
  <c r="F5970" i="3" s="1"/>
  <c r="F5994" i="3" s="1"/>
  <c r="F6018" i="3" s="1"/>
  <c r="F6042" i="3" s="1"/>
  <c r="F6066" i="3" s="1"/>
  <c r="F6090" i="3" s="1"/>
  <c r="F6114" i="3" s="1"/>
  <c r="F6138" i="3" s="1"/>
  <c r="F6162" i="3" s="1"/>
  <c r="F6186" i="3" s="1"/>
  <c r="F6210" i="3" s="1"/>
  <c r="F6234" i="3" s="1"/>
  <c r="F6258" i="3" s="1"/>
  <c r="F6282" i="3" s="1"/>
  <c r="F6306" i="3" s="1"/>
  <c r="F6330" i="3" s="1"/>
  <c r="F6354" i="3" s="1"/>
  <c r="F6378" i="3" s="1"/>
  <c r="F6402" i="3" s="1"/>
  <c r="F6426" i="3" s="1"/>
  <c r="F6450" i="3" s="1"/>
  <c r="F6474" i="3" s="1"/>
  <c r="F6498" i="3" s="1"/>
  <c r="F6522" i="3" s="1"/>
  <c r="F6546" i="3" s="1"/>
  <c r="F6570" i="3" s="1"/>
  <c r="F6594" i="3" s="1"/>
  <c r="F6618" i="3" s="1"/>
  <c r="F6642" i="3" s="1"/>
  <c r="F6666" i="3" s="1"/>
  <c r="F6690" i="3" s="1"/>
  <c r="F6714" i="3" s="1"/>
  <c r="F6738" i="3" s="1"/>
  <c r="F6762" i="3" s="1"/>
  <c r="F6786" i="3" s="1"/>
  <c r="F6810" i="3" s="1"/>
  <c r="F6834" i="3" s="1"/>
  <c r="F6858" i="3" s="1"/>
  <c r="F6882" i="3" s="1"/>
  <c r="F6906" i="3" s="1"/>
  <c r="F6930" i="3" s="1"/>
  <c r="F6954" i="3" s="1"/>
  <c r="F6978" i="3" s="1"/>
  <c r="F7002" i="3" s="1"/>
  <c r="F7026" i="3" s="1"/>
  <c r="F7050" i="3" s="1"/>
  <c r="F7074" i="3" s="1"/>
  <c r="F7098" i="3" s="1"/>
  <c r="F7122" i="3" s="1"/>
  <c r="F7146" i="3" s="1"/>
  <c r="F7170" i="3" s="1"/>
  <c r="F7194" i="3" s="1"/>
  <c r="F7218" i="3" s="1"/>
  <c r="F7242" i="3" s="1"/>
  <c r="F7266" i="3" s="1"/>
  <c r="F7290" i="3" s="1"/>
  <c r="F7314" i="3" s="1"/>
  <c r="F7338" i="3" s="1"/>
  <c r="F7362" i="3" s="1"/>
  <c r="F7386" i="3" s="1"/>
  <c r="F7410" i="3" s="1"/>
  <c r="F7434" i="3" s="1"/>
  <c r="F7458" i="3" s="1"/>
  <c r="F7482" i="3" s="1"/>
  <c r="F7506" i="3" s="1"/>
  <c r="F7530" i="3" s="1"/>
  <c r="F7554" i="3" s="1"/>
  <c r="F7578" i="3" s="1"/>
  <c r="F7602" i="3" s="1"/>
  <c r="F7626" i="3" s="1"/>
  <c r="F7650" i="3" s="1"/>
  <c r="F7674" i="3" s="1"/>
  <c r="F7698" i="3" s="1"/>
  <c r="F7722" i="3" s="1"/>
  <c r="F7746" i="3" s="1"/>
  <c r="F7770" i="3" s="1"/>
  <c r="F7794" i="3" s="1"/>
  <c r="F7818" i="3" s="1"/>
  <c r="F7842" i="3" s="1"/>
  <c r="F7866" i="3" s="1"/>
  <c r="F7890" i="3" s="1"/>
  <c r="F7914" i="3" s="1"/>
  <c r="F7938" i="3" s="1"/>
  <c r="F7962" i="3" s="1"/>
  <c r="F8010" i="3" s="1"/>
  <c r="E5547" i="3"/>
  <c r="F5547" i="3" s="1"/>
  <c r="F5571" i="3" s="1"/>
  <c r="F5595" i="3" s="1"/>
  <c r="F5619" i="3" s="1"/>
  <c r="F5643" i="3" s="1"/>
  <c r="F5667" i="3" s="1"/>
  <c r="F5691" i="3" s="1"/>
  <c r="F5715" i="3" s="1"/>
  <c r="F5739" i="3" s="1"/>
  <c r="F5763" i="3" s="1"/>
  <c r="F5787" i="3" s="1"/>
  <c r="F5811" i="3" s="1"/>
  <c r="F5835" i="3" s="1"/>
  <c r="F5859" i="3" s="1"/>
  <c r="F5883" i="3" s="1"/>
  <c r="F5907" i="3" s="1"/>
  <c r="F5931" i="3" s="1"/>
  <c r="F5955" i="3" s="1"/>
  <c r="F5979" i="3" s="1"/>
  <c r="F6003" i="3" s="1"/>
  <c r="F6027" i="3" s="1"/>
  <c r="F6051" i="3" s="1"/>
  <c r="F6075" i="3" s="1"/>
  <c r="F6099" i="3" s="1"/>
  <c r="F6123" i="3" s="1"/>
  <c r="F6147" i="3" s="1"/>
  <c r="F6171" i="3" s="1"/>
  <c r="F6195" i="3" s="1"/>
  <c r="F6219" i="3" s="1"/>
  <c r="F6243" i="3" s="1"/>
  <c r="F6267" i="3" s="1"/>
  <c r="F6291" i="3" s="1"/>
  <c r="F6315" i="3" s="1"/>
  <c r="F6339" i="3" s="1"/>
  <c r="F6363" i="3" s="1"/>
  <c r="F6387" i="3" s="1"/>
  <c r="F6411" i="3" s="1"/>
  <c r="F6435" i="3" s="1"/>
  <c r="F6459" i="3" s="1"/>
  <c r="F6483" i="3" s="1"/>
  <c r="F6507" i="3" s="1"/>
  <c r="F6531" i="3" s="1"/>
  <c r="F6555" i="3" s="1"/>
  <c r="F6579" i="3" s="1"/>
  <c r="F6603" i="3" s="1"/>
  <c r="F6627" i="3" s="1"/>
  <c r="F6651" i="3" s="1"/>
  <c r="F6675" i="3" s="1"/>
  <c r="F6699" i="3" s="1"/>
  <c r="F6723" i="3" s="1"/>
  <c r="F6747" i="3" s="1"/>
  <c r="F6771" i="3" s="1"/>
  <c r="F6795" i="3" s="1"/>
  <c r="F6819" i="3" s="1"/>
  <c r="F6843" i="3" s="1"/>
  <c r="F6867" i="3" s="1"/>
  <c r="F6891" i="3" s="1"/>
  <c r="F6915" i="3" s="1"/>
  <c r="F6939" i="3" s="1"/>
  <c r="F6963" i="3" s="1"/>
  <c r="F6987" i="3" s="1"/>
  <c r="F7011" i="3" s="1"/>
  <c r="F7035" i="3" s="1"/>
  <c r="F7059" i="3" s="1"/>
  <c r="F7083" i="3" s="1"/>
  <c r="F7107" i="3" s="1"/>
  <c r="F7131" i="3" s="1"/>
  <c r="F7155" i="3" s="1"/>
  <c r="F7179" i="3" s="1"/>
  <c r="F7203" i="3" s="1"/>
  <c r="F7227" i="3" s="1"/>
  <c r="F7251" i="3" s="1"/>
  <c r="F7275" i="3" s="1"/>
  <c r="F7299" i="3" s="1"/>
  <c r="F7323" i="3" s="1"/>
  <c r="F7347" i="3" s="1"/>
  <c r="F7371" i="3" s="1"/>
  <c r="F7395" i="3" s="1"/>
  <c r="F7419" i="3" s="1"/>
  <c r="F7443" i="3" s="1"/>
  <c r="F7467" i="3" s="1"/>
  <c r="F7491" i="3" s="1"/>
  <c r="F7515" i="3" s="1"/>
  <c r="F7539" i="3" s="1"/>
  <c r="F7563" i="3" s="1"/>
  <c r="F7587" i="3" s="1"/>
  <c r="F7611" i="3" s="1"/>
  <c r="F7635" i="3" s="1"/>
  <c r="F7659" i="3" s="1"/>
  <c r="F7683" i="3" s="1"/>
  <c r="F7707" i="3" s="1"/>
  <c r="F7731" i="3" s="1"/>
  <c r="F7755" i="3" s="1"/>
  <c r="F7779" i="3" s="1"/>
  <c r="F7803" i="3" s="1"/>
  <c r="F7827" i="3" s="1"/>
  <c r="F7851" i="3" s="1"/>
  <c r="F7875" i="3" s="1"/>
  <c r="F7899" i="3" s="1"/>
  <c r="F7923" i="3" s="1"/>
  <c r="F7947" i="3" s="1"/>
  <c r="E5569" i="3"/>
  <c r="F5569" i="3" s="1"/>
  <c r="F5593" i="3" s="1"/>
  <c r="F5617" i="3" s="1"/>
  <c r="F5641" i="3" s="1"/>
  <c r="F5665" i="3" s="1"/>
  <c r="F5689" i="3" s="1"/>
  <c r="F5713" i="3" s="1"/>
  <c r="F5737" i="3" s="1"/>
  <c r="F5761" i="3" s="1"/>
  <c r="F5785" i="3" s="1"/>
  <c r="F5809" i="3" s="1"/>
  <c r="F5833" i="3" s="1"/>
  <c r="F5857" i="3" s="1"/>
  <c r="F5881" i="3" s="1"/>
  <c r="F5905" i="3" s="1"/>
  <c r="F5929" i="3" s="1"/>
  <c r="F5953" i="3" s="1"/>
  <c r="F5977" i="3" s="1"/>
  <c r="F6001" i="3" s="1"/>
  <c r="F6025" i="3" s="1"/>
  <c r="F6049" i="3" s="1"/>
  <c r="F6073" i="3" s="1"/>
  <c r="F6097" i="3" s="1"/>
  <c r="F6121" i="3" s="1"/>
  <c r="F6145" i="3" s="1"/>
  <c r="F6169" i="3" s="1"/>
  <c r="F6193" i="3" s="1"/>
  <c r="F6217" i="3" s="1"/>
  <c r="F6241" i="3" s="1"/>
  <c r="F6265" i="3" s="1"/>
  <c r="F6289" i="3" s="1"/>
  <c r="F6313" i="3" s="1"/>
  <c r="F6337" i="3" s="1"/>
  <c r="F6361" i="3" s="1"/>
  <c r="F6385" i="3" s="1"/>
  <c r="F6409" i="3" s="1"/>
  <c r="F6433" i="3" s="1"/>
  <c r="F6457" i="3" s="1"/>
  <c r="F6481" i="3" s="1"/>
  <c r="F6505" i="3" s="1"/>
  <c r="F6529" i="3" s="1"/>
  <c r="F6553" i="3" s="1"/>
  <c r="F6577" i="3" s="1"/>
  <c r="F6601" i="3" s="1"/>
  <c r="F6625" i="3" s="1"/>
  <c r="F6649" i="3" s="1"/>
  <c r="F6673" i="3" s="1"/>
  <c r="F6697" i="3" s="1"/>
  <c r="F6721" i="3" s="1"/>
  <c r="F6745" i="3" s="1"/>
  <c r="F6769" i="3" s="1"/>
  <c r="F6793" i="3" s="1"/>
  <c r="F6817" i="3" s="1"/>
  <c r="F6841" i="3" s="1"/>
  <c r="F6865" i="3" s="1"/>
  <c r="F6889" i="3" s="1"/>
  <c r="F6913" i="3" s="1"/>
  <c r="F6937" i="3" s="1"/>
  <c r="F6961" i="3" s="1"/>
  <c r="F6985" i="3" s="1"/>
  <c r="F7009" i="3" s="1"/>
  <c r="F7033" i="3" s="1"/>
  <c r="F7057" i="3" s="1"/>
  <c r="F7081" i="3" s="1"/>
  <c r="F7105" i="3" s="1"/>
  <c r="F7129" i="3" s="1"/>
  <c r="F7153" i="3" s="1"/>
  <c r="F7177" i="3" s="1"/>
  <c r="F7201" i="3" s="1"/>
  <c r="F7225" i="3" s="1"/>
  <c r="F7249" i="3" s="1"/>
  <c r="F7273" i="3" s="1"/>
  <c r="F7297" i="3" s="1"/>
  <c r="F7321" i="3" s="1"/>
  <c r="F7345" i="3" s="1"/>
  <c r="F7369" i="3" s="1"/>
  <c r="F7393" i="3" s="1"/>
  <c r="F7417" i="3" s="1"/>
  <c r="F7441" i="3" s="1"/>
  <c r="F7465" i="3" s="1"/>
  <c r="F7489" i="3" s="1"/>
  <c r="F7513" i="3" s="1"/>
  <c r="F7537" i="3" s="1"/>
  <c r="F7561" i="3" s="1"/>
  <c r="F7585" i="3" s="1"/>
  <c r="F7609" i="3" s="1"/>
  <c r="F7633" i="3" s="1"/>
  <c r="F7657" i="3" s="1"/>
  <c r="F7681" i="3" s="1"/>
  <c r="F7705" i="3" s="1"/>
  <c r="F7729" i="3" s="1"/>
  <c r="F7753" i="3" s="1"/>
  <c r="F7777" i="3" s="1"/>
  <c r="F7801" i="3" s="1"/>
  <c r="F7825" i="3" s="1"/>
  <c r="F7849" i="3" s="1"/>
  <c r="F7873" i="3" s="1"/>
  <c r="F7897" i="3" s="1"/>
  <c r="F7921" i="3" s="1"/>
  <c r="F7945" i="3" s="1"/>
  <c r="F7969" i="3" s="1"/>
  <c r="F8017" i="3" s="1"/>
  <c r="E5568" i="3"/>
  <c r="E5567" i="3"/>
  <c r="F5567" i="3" s="1"/>
  <c r="F5591" i="3" s="1"/>
  <c r="F5615" i="3" s="1"/>
  <c r="F5639" i="3" s="1"/>
  <c r="F5663" i="3" s="1"/>
  <c r="F5687" i="3" s="1"/>
  <c r="F5711" i="3" s="1"/>
  <c r="F5735" i="3" s="1"/>
  <c r="F5759" i="3" s="1"/>
  <c r="F5783" i="3" s="1"/>
  <c r="F5807" i="3" s="1"/>
  <c r="F5831" i="3" s="1"/>
  <c r="F5855" i="3" s="1"/>
  <c r="F5879" i="3" s="1"/>
  <c r="F5903" i="3" s="1"/>
  <c r="F5927" i="3" s="1"/>
  <c r="F5951" i="3" s="1"/>
  <c r="F5975" i="3" s="1"/>
  <c r="F5999" i="3" s="1"/>
  <c r="F6023" i="3" s="1"/>
  <c r="F6047" i="3" s="1"/>
  <c r="F6071" i="3" s="1"/>
  <c r="F6095" i="3" s="1"/>
  <c r="F6119" i="3" s="1"/>
  <c r="F6143" i="3" s="1"/>
  <c r="F6167" i="3" s="1"/>
  <c r="F6191" i="3" s="1"/>
  <c r="F6215" i="3" s="1"/>
  <c r="F6239" i="3" s="1"/>
  <c r="F6263" i="3" s="1"/>
  <c r="F6287" i="3" s="1"/>
  <c r="F6311" i="3" s="1"/>
  <c r="F6335" i="3" s="1"/>
  <c r="F6359" i="3" s="1"/>
  <c r="F6383" i="3" s="1"/>
  <c r="F6407" i="3" s="1"/>
  <c r="F6431" i="3" s="1"/>
  <c r="F6455" i="3" s="1"/>
  <c r="F6479" i="3" s="1"/>
  <c r="F6503" i="3" s="1"/>
  <c r="F6527" i="3" s="1"/>
  <c r="F6551" i="3" s="1"/>
  <c r="F6575" i="3" s="1"/>
  <c r="F6599" i="3" s="1"/>
  <c r="F6623" i="3" s="1"/>
  <c r="F6647" i="3" s="1"/>
  <c r="F6671" i="3" s="1"/>
  <c r="F6695" i="3" s="1"/>
  <c r="F6719" i="3" s="1"/>
  <c r="F6743" i="3" s="1"/>
  <c r="F6767" i="3" s="1"/>
  <c r="F6791" i="3" s="1"/>
  <c r="F6815" i="3" s="1"/>
  <c r="F6839" i="3" s="1"/>
  <c r="F6863" i="3" s="1"/>
  <c r="F6887" i="3" s="1"/>
  <c r="F6911" i="3" s="1"/>
  <c r="F6935" i="3" s="1"/>
  <c r="F6959" i="3" s="1"/>
  <c r="F6983" i="3" s="1"/>
  <c r="F7007" i="3" s="1"/>
  <c r="F7031" i="3" s="1"/>
  <c r="F7055" i="3" s="1"/>
  <c r="F7079" i="3" s="1"/>
  <c r="F7103" i="3" s="1"/>
  <c r="F7127" i="3" s="1"/>
  <c r="F7151" i="3" s="1"/>
  <c r="F7175" i="3" s="1"/>
  <c r="F7199" i="3" s="1"/>
  <c r="F7223" i="3" s="1"/>
  <c r="F7247" i="3" s="1"/>
  <c r="F7271" i="3" s="1"/>
  <c r="F7295" i="3" s="1"/>
  <c r="F7319" i="3" s="1"/>
  <c r="F7343" i="3" s="1"/>
  <c r="F7367" i="3" s="1"/>
  <c r="F7391" i="3" s="1"/>
  <c r="F7415" i="3" s="1"/>
  <c r="F7439" i="3" s="1"/>
  <c r="F7463" i="3" s="1"/>
  <c r="F7487" i="3" s="1"/>
  <c r="F7511" i="3" s="1"/>
  <c r="F7535" i="3" s="1"/>
  <c r="F7559" i="3" s="1"/>
  <c r="F7583" i="3" s="1"/>
  <c r="F7607" i="3" s="1"/>
  <c r="F7631" i="3" s="1"/>
  <c r="F7655" i="3" s="1"/>
  <c r="F7679" i="3" s="1"/>
  <c r="F7703" i="3" s="1"/>
  <c r="F7727" i="3" s="1"/>
  <c r="F7751" i="3" s="1"/>
  <c r="F7775" i="3" s="1"/>
  <c r="F7799" i="3" s="1"/>
  <c r="F7823" i="3" s="1"/>
  <c r="F7847" i="3" s="1"/>
  <c r="F7871" i="3" s="1"/>
  <c r="F7895" i="3" s="1"/>
  <c r="F7919" i="3" s="1"/>
  <c r="F7943" i="3" s="1"/>
  <c r="F7967" i="3" s="1"/>
  <c r="F8015" i="3" s="1"/>
  <c r="E5566" i="3"/>
  <c r="F5566" i="3" s="1"/>
  <c r="F5590" i="3" s="1"/>
  <c r="F5614" i="3" s="1"/>
  <c r="F5638" i="3" s="1"/>
  <c r="F5662" i="3" s="1"/>
  <c r="F5686" i="3" s="1"/>
  <c r="F5710" i="3" s="1"/>
  <c r="F5734" i="3" s="1"/>
  <c r="F5758" i="3" s="1"/>
  <c r="F5782" i="3" s="1"/>
  <c r="F5806" i="3" s="1"/>
  <c r="F5830" i="3" s="1"/>
  <c r="F5854" i="3" s="1"/>
  <c r="F5878" i="3" s="1"/>
  <c r="F5902" i="3" s="1"/>
  <c r="F5926" i="3" s="1"/>
  <c r="F5950" i="3" s="1"/>
  <c r="F5974" i="3" s="1"/>
  <c r="F5998" i="3" s="1"/>
  <c r="F6022" i="3" s="1"/>
  <c r="F6046" i="3" s="1"/>
  <c r="F6070" i="3" s="1"/>
  <c r="F6094" i="3" s="1"/>
  <c r="F6118" i="3" s="1"/>
  <c r="F6142" i="3" s="1"/>
  <c r="F6166" i="3" s="1"/>
  <c r="F6190" i="3" s="1"/>
  <c r="F6214" i="3" s="1"/>
  <c r="F6238" i="3" s="1"/>
  <c r="F6262" i="3" s="1"/>
  <c r="F6286" i="3" s="1"/>
  <c r="F6310" i="3" s="1"/>
  <c r="F6334" i="3" s="1"/>
  <c r="F6358" i="3" s="1"/>
  <c r="F6382" i="3" s="1"/>
  <c r="F6406" i="3" s="1"/>
  <c r="F6430" i="3" s="1"/>
  <c r="F6454" i="3" s="1"/>
  <c r="F6478" i="3" s="1"/>
  <c r="F6502" i="3" s="1"/>
  <c r="F6526" i="3" s="1"/>
  <c r="F6550" i="3" s="1"/>
  <c r="F6574" i="3" s="1"/>
  <c r="F6598" i="3" s="1"/>
  <c r="F6622" i="3" s="1"/>
  <c r="F6646" i="3" s="1"/>
  <c r="F6670" i="3" s="1"/>
  <c r="F6694" i="3" s="1"/>
  <c r="F6718" i="3" s="1"/>
  <c r="F6742" i="3" s="1"/>
  <c r="F6766" i="3" s="1"/>
  <c r="F6790" i="3" s="1"/>
  <c r="F6814" i="3" s="1"/>
  <c r="F6838" i="3" s="1"/>
  <c r="F6862" i="3" s="1"/>
  <c r="F6886" i="3" s="1"/>
  <c r="F6910" i="3" s="1"/>
  <c r="F6934" i="3" s="1"/>
  <c r="F6958" i="3" s="1"/>
  <c r="F6982" i="3" s="1"/>
  <c r="F7006" i="3" s="1"/>
  <c r="F7030" i="3" s="1"/>
  <c r="F7054" i="3" s="1"/>
  <c r="F7078" i="3" s="1"/>
  <c r="F7102" i="3" s="1"/>
  <c r="F7126" i="3" s="1"/>
  <c r="F7150" i="3" s="1"/>
  <c r="F7174" i="3" s="1"/>
  <c r="F7198" i="3" s="1"/>
  <c r="F7222" i="3" s="1"/>
  <c r="F7246" i="3" s="1"/>
  <c r="F7270" i="3" s="1"/>
  <c r="F7294" i="3" s="1"/>
  <c r="F7318" i="3" s="1"/>
  <c r="F7342" i="3" s="1"/>
  <c r="F7366" i="3" s="1"/>
  <c r="F7390" i="3" s="1"/>
  <c r="F7414" i="3" s="1"/>
  <c r="F7438" i="3" s="1"/>
  <c r="F7462" i="3" s="1"/>
  <c r="F7486" i="3" s="1"/>
  <c r="F7510" i="3" s="1"/>
  <c r="F7534" i="3" s="1"/>
  <c r="F7558" i="3" s="1"/>
  <c r="F7582" i="3" s="1"/>
  <c r="F7606" i="3" s="1"/>
  <c r="F7630" i="3" s="1"/>
  <c r="F7654" i="3" s="1"/>
  <c r="F7678" i="3" s="1"/>
  <c r="F7702" i="3" s="1"/>
  <c r="F7726" i="3" s="1"/>
  <c r="F7750" i="3" s="1"/>
  <c r="F7774" i="3" s="1"/>
  <c r="F7798" i="3" s="1"/>
  <c r="F7822" i="3" s="1"/>
  <c r="F7846" i="3" s="1"/>
  <c r="F7870" i="3" s="1"/>
  <c r="F7894" i="3" s="1"/>
  <c r="F7918" i="3" s="1"/>
  <c r="F7942" i="3" s="1"/>
  <c r="F7966" i="3" s="1"/>
  <c r="F8014" i="3" s="1"/>
  <c r="E5561" i="3"/>
  <c r="F5561" i="3" s="1"/>
  <c r="F5585" i="3" s="1"/>
  <c r="F5609" i="3" s="1"/>
  <c r="F5633" i="3" s="1"/>
  <c r="F5657" i="3" s="1"/>
  <c r="F5681" i="3" s="1"/>
  <c r="F5705" i="3" s="1"/>
  <c r="F5729" i="3" s="1"/>
  <c r="F5753" i="3" s="1"/>
  <c r="F5777" i="3" s="1"/>
  <c r="F5801" i="3" s="1"/>
  <c r="F5825" i="3" s="1"/>
  <c r="F5849" i="3" s="1"/>
  <c r="F5873" i="3" s="1"/>
  <c r="F5897" i="3" s="1"/>
  <c r="F5921" i="3" s="1"/>
  <c r="F5945" i="3" s="1"/>
  <c r="F5969" i="3" s="1"/>
  <c r="F5993" i="3" s="1"/>
  <c r="F6017" i="3" s="1"/>
  <c r="F6041" i="3" s="1"/>
  <c r="F6065" i="3" s="1"/>
  <c r="F6089" i="3" s="1"/>
  <c r="F6113" i="3" s="1"/>
  <c r="F6137" i="3" s="1"/>
  <c r="F6161" i="3" s="1"/>
  <c r="F6185" i="3" s="1"/>
  <c r="F6209" i="3" s="1"/>
  <c r="F6233" i="3" s="1"/>
  <c r="F6257" i="3" s="1"/>
  <c r="F6281" i="3" s="1"/>
  <c r="F6305" i="3" s="1"/>
  <c r="F6329" i="3" s="1"/>
  <c r="F6353" i="3" s="1"/>
  <c r="F6377" i="3" s="1"/>
  <c r="F6401" i="3" s="1"/>
  <c r="F6425" i="3" s="1"/>
  <c r="F6449" i="3" s="1"/>
  <c r="F6473" i="3" s="1"/>
  <c r="F6497" i="3" s="1"/>
  <c r="F6521" i="3" s="1"/>
  <c r="F6545" i="3" s="1"/>
  <c r="F6569" i="3" s="1"/>
  <c r="F6593" i="3" s="1"/>
  <c r="F6617" i="3" s="1"/>
  <c r="F6641" i="3" s="1"/>
  <c r="F6665" i="3" s="1"/>
  <c r="F6689" i="3" s="1"/>
  <c r="F6713" i="3" s="1"/>
  <c r="F6737" i="3" s="1"/>
  <c r="F6761" i="3" s="1"/>
  <c r="F6785" i="3" s="1"/>
  <c r="F6809" i="3" s="1"/>
  <c r="F6833" i="3" s="1"/>
  <c r="F6857" i="3" s="1"/>
  <c r="F6881" i="3" s="1"/>
  <c r="F6905" i="3" s="1"/>
  <c r="F6929" i="3" s="1"/>
  <c r="F6953" i="3" s="1"/>
  <c r="F6977" i="3" s="1"/>
  <c r="F7001" i="3" s="1"/>
  <c r="F7025" i="3" s="1"/>
  <c r="F7049" i="3" s="1"/>
  <c r="F7073" i="3" s="1"/>
  <c r="F7097" i="3" s="1"/>
  <c r="F7121" i="3" s="1"/>
  <c r="F7145" i="3" s="1"/>
  <c r="F7169" i="3" s="1"/>
  <c r="F7193" i="3" s="1"/>
  <c r="F7217" i="3" s="1"/>
  <c r="F7241" i="3" s="1"/>
  <c r="F7265" i="3" s="1"/>
  <c r="F7289" i="3" s="1"/>
  <c r="F7313" i="3" s="1"/>
  <c r="F7337" i="3" s="1"/>
  <c r="F7361" i="3" s="1"/>
  <c r="F7385" i="3" s="1"/>
  <c r="F7409" i="3" s="1"/>
  <c r="F7433" i="3" s="1"/>
  <c r="F7457" i="3" s="1"/>
  <c r="F7481" i="3" s="1"/>
  <c r="F7505" i="3" s="1"/>
  <c r="F7529" i="3" s="1"/>
  <c r="F7553" i="3" s="1"/>
  <c r="F7577" i="3" s="1"/>
  <c r="F7601" i="3" s="1"/>
  <c r="F7625" i="3" s="1"/>
  <c r="F7649" i="3" s="1"/>
  <c r="F7673" i="3" s="1"/>
  <c r="F7697" i="3" s="1"/>
  <c r="F7721" i="3" s="1"/>
  <c r="F7745" i="3" s="1"/>
  <c r="F7769" i="3" s="1"/>
  <c r="F7793" i="3" s="1"/>
  <c r="F7817" i="3" s="1"/>
  <c r="F7841" i="3" s="1"/>
  <c r="F7865" i="3" s="1"/>
  <c r="F7889" i="3" s="1"/>
  <c r="F7913" i="3" s="1"/>
  <c r="F7937" i="3" s="1"/>
  <c r="F7961" i="3" s="1"/>
  <c r="F8009" i="3" s="1"/>
  <c r="E5560" i="3"/>
  <c r="F5560" i="3" s="1"/>
  <c r="F5584" i="3" s="1"/>
  <c r="F5608" i="3" s="1"/>
  <c r="F5632" i="3" s="1"/>
  <c r="F5656" i="3" s="1"/>
  <c r="F5680" i="3" s="1"/>
  <c r="F5704" i="3" s="1"/>
  <c r="F5728" i="3" s="1"/>
  <c r="F5752" i="3" s="1"/>
  <c r="F5776" i="3" s="1"/>
  <c r="F5800" i="3" s="1"/>
  <c r="F5824" i="3" s="1"/>
  <c r="F5848" i="3" s="1"/>
  <c r="F5872" i="3" s="1"/>
  <c r="F5896" i="3" s="1"/>
  <c r="F5920" i="3" s="1"/>
  <c r="F5944" i="3" s="1"/>
  <c r="F5968" i="3" s="1"/>
  <c r="F5992" i="3" s="1"/>
  <c r="F6016" i="3" s="1"/>
  <c r="F6040" i="3" s="1"/>
  <c r="F6064" i="3" s="1"/>
  <c r="F6088" i="3" s="1"/>
  <c r="F6112" i="3" s="1"/>
  <c r="F6136" i="3" s="1"/>
  <c r="F6160" i="3" s="1"/>
  <c r="F6184" i="3" s="1"/>
  <c r="F6208" i="3" s="1"/>
  <c r="F6232" i="3" s="1"/>
  <c r="F6256" i="3" s="1"/>
  <c r="F6280" i="3" s="1"/>
  <c r="F6304" i="3" s="1"/>
  <c r="F6328" i="3" s="1"/>
  <c r="F6352" i="3" s="1"/>
  <c r="F6376" i="3" s="1"/>
  <c r="F6400" i="3" s="1"/>
  <c r="F6424" i="3" s="1"/>
  <c r="F6448" i="3" s="1"/>
  <c r="F6472" i="3" s="1"/>
  <c r="F6496" i="3" s="1"/>
  <c r="F6520" i="3" s="1"/>
  <c r="F6544" i="3" s="1"/>
  <c r="F6568" i="3" s="1"/>
  <c r="F6592" i="3" s="1"/>
  <c r="F6616" i="3" s="1"/>
  <c r="F6640" i="3" s="1"/>
  <c r="F6664" i="3" s="1"/>
  <c r="F6688" i="3" s="1"/>
  <c r="F6712" i="3" s="1"/>
  <c r="F6736" i="3" s="1"/>
  <c r="F6760" i="3" s="1"/>
  <c r="F6784" i="3" s="1"/>
  <c r="F6808" i="3" s="1"/>
  <c r="F6832" i="3" s="1"/>
  <c r="F6856" i="3" s="1"/>
  <c r="F6880" i="3" s="1"/>
  <c r="F6904" i="3" s="1"/>
  <c r="F6928" i="3" s="1"/>
  <c r="F6952" i="3" s="1"/>
  <c r="F6976" i="3" s="1"/>
  <c r="F7000" i="3" s="1"/>
  <c r="F7024" i="3" s="1"/>
  <c r="F7048" i="3" s="1"/>
  <c r="F7072" i="3" s="1"/>
  <c r="F7096" i="3" s="1"/>
  <c r="F7120" i="3" s="1"/>
  <c r="F7144" i="3" s="1"/>
  <c r="F7168" i="3" s="1"/>
  <c r="F7192" i="3" s="1"/>
  <c r="F7216" i="3" s="1"/>
  <c r="F7240" i="3" s="1"/>
  <c r="F7264" i="3" s="1"/>
  <c r="F7288" i="3" s="1"/>
  <c r="F7312" i="3" s="1"/>
  <c r="F7336" i="3" s="1"/>
  <c r="F7360" i="3" s="1"/>
  <c r="F7384" i="3" s="1"/>
  <c r="F7408" i="3" s="1"/>
  <c r="F7432" i="3" s="1"/>
  <c r="F7456" i="3" s="1"/>
  <c r="F7480" i="3" s="1"/>
  <c r="F7504" i="3" s="1"/>
  <c r="F7528" i="3" s="1"/>
  <c r="F7552" i="3" s="1"/>
  <c r="F7576" i="3" s="1"/>
  <c r="F7600" i="3" s="1"/>
  <c r="F7624" i="3" s="1"/>
  <c r="F7648" i="3" s="1"/>
  <c r="F7672" i="3" s="1"/>
  <c r="F7696" i="3" s="1"/>
  <c r="F7720" i="3" s="1"/>
  <c r="F7744" i="3" s="1"/>
  <c r="F7768" i="3" s="1"/>
  <c r="F7792" i="3" s="1"/>
  <c r="F7816" i="3" s="1"/>
  <c r="F7840" i="3" s="1"/>
  <c r="F7864" i="3" s="1"/>
  <c r="F7888" i="3" s="1"/>
  <c r="F7912" i="3" s="1"/>
  <c r="F7936" i="3" s="1"/>
  <c r="F7960" i="3" s="1"/>
  <c r="F8008" i="3" s="1"/>
  <c r="E5558" i="3"/>
  <c r="F5558" i="3" s="1"/>
  <c r="F5582" i="3" s="1"/>
  <c r="F5606" i="3" s="1"/>
  <c r="F5630" i="3" s="1"/>
  <c r="F5654" i="3" s="1"/>
  <c r="F5678" i="3" s="1"/>
  <c r="F5702" i="3" s="1"/>
  <c r="F5726" i="3" s="1"/>
  <c r="F5750" i="3" s="1"/>
  <c r="F5774" i="3" s="1"/>
  <c r="F5798" i="3" s="1"/>
  <c r="F5822" i="3" s="1"/>
  <c r="F5846" i="3" s="1"/>
  <c r="F5870" i="3" s="1"/>
  <c r="F5894" i="3" s="1"/>
  <c r="F5918" i="3" s="1"/>
  <c r="F5942" i="3" s="1"/>
  <c r="F5966" i="3" s="1"/>
  <c r="F5990" i="3" s="1"/>
  <c r="F6014" i="3" s="1"/>
  <c r="F6038" i="3" s="1"/>
  <c r="F6062" i="3" s="1"/>
  <c r="F6086" i="3" s="1"/>
  <c r="F6110" i="3" s="1"/>
  <c r="F6134" i="3" s="1"/>
  <c r="F6158" i="3" s="1"/>
  <c r="F6182" i="3" s="1"/>
  <c r="F6206" i="3" s="1"/>
  <c r="F6230" i="3" s="1"/>
  <c r="F6254" i="3" s="1"/>
  <c r="F6278" i="3" s="1"/>
  <c r="F6302" i="3" s="1"/>
  <c r="F6326" i="3" s="1"/>
  <c r="F6350" i="3" s="1"/>
  <c r="F6374" i="3" s="1"/>
  <c r="F6398" i="3" s="1"/>
  <c r="F6422" i="3" s="1"/>
  <c r="F6446" i="3" s="1"/>
  <c r="F6470" i="3" s="1"/>
  <c r="F6494" i="3" s="1"/>
  <c r="F6518" i="3" s="1"/>
  <c r="F6542" i="3" s="1"/>
  <c r="F6566" i="3" s="1"/>
  <c r="F6590" i="3" s="1"/>
  <c r="F6614" i="3" s="1"/>
  <c r="F6638" i="3" s="1"/>
  <c r="F6662" i="3" s="1"/>
  <c r="F6686" i="3" s="1"/>
  <c r="F6710" i="3" s="1"/>
  <c r="F6734" i="3" s="1"/>
  <c r="F6758" i="3" s="1"/>
  <c r="F6782" i="3" s="1"/>
  <c r="F6806" i="3" s="1"/>
  <c r="F6830" i="3" s="1"/>
  <c r="F6854" i="3" s="1"/>
  <c r="F6878" i="3" s="1"/>
  <c r="F6902" i="3" s="1"/>
  <c r="F6926" i="3" s="1"/>
  <c r="F6950" i="3" s="1"/>
  <c r="F6974" i="3" s="1"/>
  <c r="F6998" i="3" s="1"/>
  <c r="F7022" i="3" s="1"/>
  <c r="F7046" i="3" s="1"/>
  <c r="F7070" i="3" s="1"/>
  <c r="F7094" i="3" s="1"/>
  <c r="F7118" i="3" s="1"/>
  <c r="F7142" i="3" s="1"/>
  <c r="F7166" i="3" s="1"/>
  <c r="F7190" i="3" s="1"/>
  <c r="F7214" i="3" s="1"/>
  <c r="F7238" i="3" s="1"/>
  <c r="F7262" i="3" s="1"/>
  <c r="F7286" i="3" s="1"/>
  <c r="F7310" i="3" s="1"/>
  <c r="F7334" i="3" s="1"/>
  <c r="F7358" i="3" s="1"/>
  <c r="F7382" i="3" s="1"/>
  <c r="F7406" i="3" s="1"/>
  <c r="F7430" i="3" s="1"/>
  <c r="F7454" i="3" s="1"/>
  <c r="F7478" i="3" s="1"/>
  <c r="F7502" i="3" s="1"/>
  <c r="F7526" i="3" s="1"/>
  <c r="F7550" i="3" s="1"/>
  <c r="F7574" i="3" s="1"/>
  <c r="F7598" i="3" s="1"/>
  <c r="F7622" i="3" s="1"/>
  <c r="F7646" i="3" s="1"/>
  <c r="F7670" i="3" s="1"/>
  <c r="F7694" i="3" s="1"/>
  <c r="F7718" i="3" s="1"/>
  <c r="F7742" i="3" s="1"/>
  <c r="F7766" i="3" s="1"/>
  <c r="F7790" i="3" s="1"/>
  <c r="F7814" i="3" s="1"/>
  <c r="F7838" i="3" s="1"/>
  <c r="F7862" i="3" s="1"/>
  <c r="F7886" i="3" s="1"/>
  <c r="F7910" i="3" s="1"/>
  <c r="F7934" i="3" s="1"/>
  <c r="F7958" i="3" s="1"/>
  <c r="F8006" i="3" s="1"/>
  <c r="E5557" i="3"/>
  <c r="F5557" i="3" s="1"/>
  <c r="F5581" i="3" s="1"/>
  <c r="F5605" i="3" s="1"/>
  <c r="F5629" i="3" s="1"/>
  <c r="F5653" i="3" s="1"/>
  <c r="F5677" i="3" s="1"/>
  <c r="F5701" i="3" s="1"/>
  <c r="F5725" i="3" s="1"/>
  <c r="F5749" i="3" s="1"/>
  <c r="F5773" i="3" s="1"/>
  <c r="F5797" i="3" s="1"/>
  <c r="F5821" i="3" s="1"/>
  <c r="F5845" i="3" s="1"/>
  <c r="F5869" i="3" s="1"/>
  <c r="F5893" i="3" s="1"/>
  <c r="F5917" i="3" s="1"/>
  <c r="F5941" i="3" s="1"/>
  <c r="F5965" i="3" s="1"/>
  <c r="F5989" i="3" s="1"/>
  <c r="F6013" i="3" s="1"/>
  <c r="F6037" i="3" s="1"/>
  <c r="F6061" i="3" s="1"/>
  <c r="F6085" i="3" s="1"/>
  <c r="F6109" i="3" s="1"/>
  <c r="F6133" i="3" s="1"/>
  <c r="F6157" i="3" s="1"/>
  <c r="F6181" i="3" s="1"/>
  <c r="F6205" i="3" s="1"/>
  <c r="F6229" i="3" s="1"/>
  <c r="F6253" i="3" s="1"/>
  <c r="F6277" i="3" s="1"/>
  <c r="F6301" i="3" s="1"/>
  <c r="F6325" i="3" s="1"/>
  <c r="F6349" i="3" s="1"/>
  <c r="F6373" i="3" s="1"/>
  <c r="F6397" i="3" s="1"/>
  <c r="F6421" i="3" s="1"/>
  <c r="F6445" i="3" s="1"/>
  <c r="F6469" i="3" s="1"/>
  <c r="F6493" i="3" s="1"/>
  <c r="F6517" i="3" s="1"/>
  <c r="F6541" i="3" s="1"/>
  <c r="F6565" i="3" s="1"/>
  <c r="F6589" i="3" s="1"/>
  <c r="F6613" i="3" s="1"/>
  <c r="F6637" i="3" s="1"/>
  <c r="F6661" i="3" s="1"/>
  <c r="F6685" i="3" s="1"/>
  <c r="F6709" i="3" s="1"/>
  <c r="F6733" i="3" s="1"/>
  <c r="F6757" i="3" s="1"/>
  <c r="F6781" i="3" s="1"/>
  <c r="F6805" i="3" s="1"/>
  <c r="F6829" i="3" s="1"/>
  <c r="F6853" i="3" s="1"/>
  <c r="F6877" i="3" s="1"/>
  <c r="F6901" i="3" s="1"/>
  <c r="F6925" i="3" s="1"/>
  <c r="F6949" i="3" s="1"/>
  <c r="F6973" i="3" s="1"/>
  <c r="F6997" i="3" s="1"/>
  <c r="F7021" i="3" s="1"/>
  <c r="F7045" i="3" s="1"/>
  <c r="F7069" i="3" s="1"/>
  <c r="F7093" i="3" s="1"/>
  <c r="F7117" i="3" s="1"/>
  <c r="F7141" i="3" s="1"/>
  <c r="F7165" i="3" s="1"/>
  <c r="F7189" i="3" s="1"/>
  <c r="F7213" i="3" s="1"/>
  <c r="F7237" i="3" s="1"/>
  <c r="F7261" i="3" s="1"/>
  <c r="F7285" i="3" s="1"/>
  <c r="F7309" i="3" s="1"/>
  <c r="F7333" i="3" s="1"/>
  <c r="F7357" i="3" s="1"/>
  <c r="F7381" i="3" s="1"/>
  <c r="F7405" i="3" s="1"/>
  <c r="F7429" i="3" s="1"/>
  <c r="F7453" i="3" s="1"/>
  <c r="F7477" i="3" s="1"/>
  <c r="F7501" i="3" s="1"/>
  <c r="F7525" i="3" s="1"/>
  <c r="F7549" i="3" s="1"/>
  <c r="F7573" i="3" s="1"/>
  <c r="F7597" i="3" s="1"/>
  <c r="F7621" i="3" s="1"/>
  <c r="F7645" i="3" s="1"/>
  <c r="F7669" i="3" s="1"/>
  <c r="F7693" i="3" s="1"/>
  <c r="F7717" i="3" s="1"/>
  <c r="F7741" i="3" s="1"/>
  <c r="F7765" i="3" s="1"/>
  <c r="F7789" i="3" s="1"/>
  <c r="F7813" i="3" s="1"/>
  <c r="F7837" i="3" s="1"/>
  <c r="F7861" i="3" s="1"/>
  <c r="F7885" i="3" s="1"/>
  <c r="F7909" i="3" s="1"/>
  <c r="F7933" i="3" s="1"/>
  <c r="F7957" i="3" s="1"/>
  <c r="F8005" i="3" s="1"/>
  <c r="E5556" i="3"/>
  <c r="F5556" i="3" s="1"/>
  <c r="F5580" i="3" s="1"/>
  <c r="F5604" i="3" s="1"/>
  <c r="F5628" i="3" s="1"/>
  <c r="F5652" i="3" s="1"/>
  <c r="F5676" i="3" s="1"/>
  <c r="F5700" i="3" s="1"/>
  <c r="F5724" i="3" s="1"/>
  <c r="F5748" i="3" s="1"/>
  <c r="F5772" i="3" s="1"/>
  <c r="F5796" i="3" s="1"/>
  <c r="F5820" i="3" s="1"/>
  <c r="F5844" i="3" s="1"/>
  <c r="F5868" i="3" s="1"/>
  <c r="F5892" i="3" s="1"/>
  <c r="F5916" i="3" s="1"/>
  <c r="F5940" i="3" s="1"/>
  <c r="F5964" i="3" s="1"/>
  <c r="F5988" i="3" s="1"/>
  <c r="F6012" i="3" s="1"/>
  <c r="F6036" i="3" s="1"/>
  <c r="F6060" i="3" s="1"/>
  <c r="F6084" i="3" s="1"/>
  <c r="F6108" i="3" s="1"/>
  <c r="F6132" i="3" s="1"/>
  <c r="F6156" i="3" s="1"/>
  <c r="F6180" i="3" s="1"/>
  <c r="F6204" i="3" s="1"/>
  <c r="F6228" i="3" s="1"/>
  <c r="F6252" i="3" s="1"/>
  <c r="F6276" i="3" s="1"/>
  <c r="F6300" i="3" s="1"/>
  <c r="F6324" i="3" s="1"/>
  <c r="F6348" i="3" s="1"/>
  <c r="F6372" i="3" s="1"/>
  <c r="F6396" i="3" s="1"/>
  <c r="F6420" i="3" s="1"/>
  <c r="F6444" i="3" s="1"/>
  <c r="F6468" i="3" s="1"/>
  <c r="F6492" i="3" s="1"/>
  <c r="F6516" i="3" s="1"/>
  <c r="F6540" i="3" s="1"/>
  <c r="F6564" i="3" s="1"/>
  <c r="F6588" i="3" s="1"/>
  <c r="F6612" i="3" s="1"/>
  <c r="F6636" i="3" s="1"/>
  <c r="F6660" i="3" s="1"/>
  <c r="F6684" i="3" s="1"/>
  <c r="F6708" i="3" s="1"/>
  <c r="F6732" i="3" s="1"/>
  <c r="F6756" i="3" s="1"/>
  <c r="F6780" i="3" s="1"/>
  <c r="F6804" i="3" s="1"/>
  <c r="F6828" i="3" s="1"/>
  <c r="F6852" i="3" s="1"/>
  <c r="F6876" i="3" s="1"/>
  <c r="F6900" i="3" s="1"/>
  <c r="F6924" i="3" s="1"/>
  <c r="F6948" i="3" s="1"/>
  <c r="F6972" i="3" s="1"/>
  <c r="F6996" i="3" s="1"/>
  <c r="F7020" i="3" s="1"/>
  <c r="F7044" i="3" s="1"/>
  <c r="F7068" i="3" s="1"/>
  <c r="F7092" i="3" s="1"/>
  <c r="F7116" i="3" s="1"/>
  <c r="F7140" i="3" s="1"/>
  <c r="F7164" i="3" s="1"/>
  <c r="F7188" i="3" s="1"/>
  <c r="F7212" i="3" s="1"/>
  <c r="F7236" i="3" s="1"/>
  <c r="F7260" i="3" s="1"/>
  <c r="F7284" i="3" s="1"/>
  <c r="F7308" i="3" s="1"/>
  <c r="F7332" i="3" s="1"/>
  <c r="F7356" i="3" s="1"/>
  <c r="F7380" i="3" s="1"/>
  <c r="F7404" i="3" s="1"/>
  <c r="F7428" i="3" s="1"/>
  <c r="F7452" i="3" s="1"/>
  <c r="F7476" i="3" s="1"/>
  <c r="F7500" i="3" s="1"/>
  <c r="F7524" i="3" s="1"/>
  <c r="F7548" i="3" s="1"/>
  <c r="F7572" i="3" s="1"/>
  <c r="F7596" i="3" s="1"/>
  <c r="F7620" i="3" s="1"/>
  <c r="F7644" i="3" s="1"/>
  <c r="F7668" i="3" s="1"/>
  <c r="F7692" i="3" s="1"/>
  <c r="F7716" i="3" s="1"/>
  <c r="F7740" i="3" s="1"/>
  <c r="F7764" i="3" s="1"/>
  <c r="F7788" i="3" s="1"/>
  <c r="F7812" i="3" s="1"/>
  <c r="F7836" i="3" s="1"/>
  <c r="F7860" i="3" s="1"/>
  <c r="F7884" i="3" s="1"/>
  <c r="F7908" i="3" s="1"/>
  <c r="F7932" i="3" s="1"/>
  <c r="F7956" i="3" s="1"/>
  <c r="F8004" i="3" s="1"/>
  <c r="F8028" i="3" s="1"/>
  <c r="E5555" i="3"/>
  <c r="F5555" i="3" s="1"/>
  <c r="F5579" i="3" s="1"/>
  <c r="F5603" i="3" s="1"/>
  <c r="F5627" i="3" s="1"/>
  <c r="F5651" i="3" s="1"/>
  <c r="F5675" i="3" s="1"/>
  <c r="F5699" i="3" s="1"/>
  <c r="F5723" i="3" s="1"/>
  <c r="F5747" i="3" s="1"/>
  <c r="F5771" i="3" s="1"/>
  <c r="F5795" i="3" s="1"/>
  <c r="F5819" i="3" s="1"/>
  <c r="F5843" i="3" s="1"/>
  <c r="F5867" i="3" s="1"/>
  <c r="F5891" i="3" s="1"/>
  <c r="F5915" i="3" s="1"/>
  <c r="F5939" i="3" s="1"/>
  <c r="F5963" i="3" s="1"/>
  <c r="F5987" i="3" s="1"/>
  <c r="F6011" i="3" s="1"/>
  <c r="F6035" i="3" s="1"/>
  <c r="F6059" i="3" s="1"/>
  <c r="F6083" i="3" s="1"/>
  <c r="F6107" i="3" s="1"/>
  <c r="F6131" i="3" s="1"/>
  <c r="F6155" i="3" s="1"/>
  <c r="F6179" i="3" s="1"/>
  <c r="F6203" i="3" s="1"/>
  <c r="F6227" i="3" s="1"/>
  <c r="F6251" i="3" s="1"/>
  <c r="F6275" i="3" s="1"/>
  <c r="F6299" i="3" s="1"/>
  <c r="F6323" i="3" s="1"/>
  <c r="F6347" i="3" s="1"/>
  <c r="F6371" i="3" s="1"/>
  <c r="F6395" i="3" s="1"/>
  <c r="F6419" i="3" s="1"/>
  <c r="F6443" i="3" s="1"/>
  <c r="F6467" i="3" s="1"/>
  <c r="F6491" i="3" s="1"/>
  <c r="F6515" i="3" s="1"/>
  <c r="F6539" i="3" s="1"/>
  <c r="F6563" i="3" s="1"/>
  <c r="F6587" i="3" s="1"/>
  <c r="F6611" i="3" s="1"/>
  <c r="F6635" i="3" s="1"/>
  <c r="F6659" i="3" s="1"/>
  <c r="F6683" i="3" s="1"/>
  <c r="F6707" i="3" s="1"/>
  <c r="F6731" i="3" s="1"/>
  <c r="F6755" i="3" s="1"/>
  <c r="F6779" i="3" s="1"/>
  <c r="F6803" i="3" s="1"/>
  <c r="F6827" i="3" s="1"/>
  <c r="F6851" i="3" s="1"/>
  <c r="F6875" i="3" s="1"/>
  <c r="F6899" i="3" s="1"/>
  <c r="F6923" i="3" s="1"/>
  <c r="F6947" i="3" s="1"/>
  <c r="F6971" i="3" s="1"/>
  <c r="F6995" i="3" s="1"/>
  <c r="F7019" i="3" s="1"/>
  <c r="F7043" i="3" s="1"/>
  <c r="F7067" i="3" s="1"/>
  <c r="F7091" i="3" s="1"/>
  <c r="F7115" i="3" s="1"/>
  <c r="F7139" i="3" s="1"/>
  <c r="F7163" i="3" s="1"/>
  <c r="F7187" i="3" s="1"/>
  <c r="F7211" i="3" s="1"/>
  <c r="F7235" i="3" s="1"/>
  <c r="F7259" i="3" s="1"/>
  <c r="F7283" i="3" s="1"/>
  <c r="F7307" i="3" s="1"/>
  <c r="F7331" i="3" s="1"/>
  <c r="F7355" i="3" s="1"/>
  <c r="F7379" i="3" s="1"/>
  <c r="F7403" i="3" s="1"/>
  <c r="F7427" i="3" s="1"/>
  <c r="F7451" i="3" s="1"/>
  <c r="F7475" i="3" s="1"/>
  <c r="F7499" i="3" s="1"/>
  <c r="F7523" i="3" s="1"/>
  <c r="F7547" i="3" s="1"/>
  <c r="F7571" i="3" s="1"/>
  <c r="F7595" i="3" s="1"/>
  <c r="F7619" i="3" s="1"/>
  <c r="F7643" i="3" s="1"/>
  <c r="F7667" i="3" s="1"/>
  <c r="F7691" i="3" s="1"/>
  <c r="F7715" i="3" s="1"/>
  <c r="F7739" i="3" s="1"/>
  <c r="F7763" i="3" s="1"/>
  <c r="F7787" i="3" s="1"/>
  <c r="F7811" i="3" s="1"/>
  <c r="F7835" i="3" s="1"/>
  <c r="F7859" i="3" s="1"/>
  <c r="F7883" i="3" s="1"/>
  <c r="F7907" i="3" s="1"/>
  <c r="F7931" i="3" s="1"/>
  <c r="F7955" i="3" s="1"/>
  <c r="F8003" i="3" s="1"/>
  <c r="F8027" i="3" s="1"/>
  <c r="E5553" i="3"/>
  <c r="F5553" i="3" s="1"/>
  <c r="F5577" i="3" s="1"/>
  <c r="F5601" i="3" s="1"/>
  <c r="F5625" i="3" s="1"/>
  <c r="F5649" i="3" s="1"/>
  <c r="F5673" i="3" s="1"/>
  <c r="F5697" i="3" s="1"/>
  <c r="F5721" i="3" s="1"/>
  <c r="F5745" i="3" s="1"/>
  <c r="F5769" i="3" s="1"/>
  <c r="F5793" i="3" s="1"/>
  <c r="F5817" i="3" s="1"/>
  <c r="F5841" i="3" s="1"/>
  <c r="F5865" i="3" s="1"/>
  <c r="F5889" i="3" s="1"/>
  <c r="F5913" i="3" s="1"/>
  <c r="F5937" i="3" s="1"/>
  <c r="F5961" i="3" s="1"/>
  <c r="F5985" i="3" s="1"/>
  <c r="F6009" i="3" s="1"/>
  <c r="F6033" i="3" s="1"/>
  <c r="F6057" i="3" s="1"/>
  <c r="F6081" i="3" s="1"/>
  <c r="F6105" i="3" s="1"/>
  <c r="F6129" i="3" s="1"/>
  <c r="F6153" i="3" s="1"/>
  <c r="F6177" i="3" s="1"/>
  <c r="F6201" i="3" s="1"/>
  <c r="F6225" i="3" s="1"/>
  <c r="F6249" i="3" s="1"/>
  <c r="F6273" i="3" s="1"/>
  <c r="F6297" i="3" s="1"/>
  <c r="F6321" i="3" s="1"/>
  <c r="F6345" i="3" s="1"/>
  <c r="F6369" i="3" s="1"/>
  <c r="F6393" i="3" s="1"/>
  <c r="F6417" i="3" s="1"/>
  <c r="F6441" i="3" s="1"/>
  <c r="F6465" i="3" s="1"/>
  <c r="F6489" i="3" s="1"/>
  <c r="F6513" i="3" s="1"/>
  <c r="F6537" i="3" s="1"/>
  <c r="F6561" i="3" s="1"/>
  <c r="F6585" i="3" s="1"/>
  <c r="F6609" i="3" s="1"/>
  <c r="F6633" i="3" s="1"/>
  <c r="F6657" i="3" s="1"/>
  <c r="F6681" i="3" s="1"/>
  <c r="F6705" i="3" s="1"/>
  <c r="F6729" i="3" s="1"/>
  <c r="F6753" i="3" s="1"/>
  <c r="F6777" i="3" s="1"/>
  <c r="F6801" i="3" s="1"/>
  <c r="F6825" i="3" s="1"/>
  <c r="F6849" i="3" s="1"/>
  <c r="F6873" i="3" s="1"/>
  <c r="F6897" i="3" s="1"/>
  <c r="F6921" i="3" s="1"/>
  <c r="F6945" i="3" s="1"/>
  <c r="F6969" i="3" s="1"/>
  <c r="F6993" i="3" s="1"/>
  <c r="F7017" i="3" s="1"/>
  <c r="F7041" i="3" s="1"/>
  <c r="F7065" i="3" s="1"/>
  <c r="F7089" i="3" s="1"/>
  <c r="F7113" i="3" s="1"/>
  <c r="F7137" i="3" s="1"/>
  <c r="F7161" i="3" s="1"/>
  <c r="F7185" i="3" s="1"/>
  <c r="F7209" i="3" s="1"/>
  <c r="F7233" i="3" s="1"/>
  <c r="F7257" i="3" s="1"/>
  <c r="F7281" i="3" s="1"/>
  <c r="F7305" i="3" s="1"/>
  <c r="F7329" i="3" s="1"/>
  <c r="F7353" i="3" s="1"/>
  <c r="F7377" i="3" s="1"/>
  <c r="F7401" i="3" s="1"/>
  <c r="F7425" i="3" s="1"/>
  <c r="F7449" i="3" s="1"/>
  <c r="F7473" i="3" s="1"/>
  <c r="F7497" i="3" s="1"/>
  <c r="F7521" i="3" s="1"/>
  <c r="F7545" i="3" s="1"/>
  <c r="F7569" i="3" s="1"/>
  <c r="F7593" i="3" s="1"/>
  <c r="F7617" i="3" s="1"/>
  <c r="F7641" i="3" s="1"/>
  <c r="F7665" i="3" s="1"/>
  <c r="F7689" i="3" s="1"/>
  <c r="F7713" i="3" s="1"/>
  <c r="F7737" i="3" s="1"/>
  <c r="F7761" i="3" s="1"/>
  <c r="F7785" i="3" s="1"/>
  <c r="F7809" i="3" s="1"/>
  <c r="F7833" i="3" s="1"/>
  <c r="F7857" i="3" s="1"/>
  <c r="F7881" i="3" s="1"/>
  <c r="F7905" i="3" s="1"/>
  <c r="F7929" i="3" s="1"/>
  <c r="F7953" i="3" s="1"/>
  <c r="F8001" i="3" s="1"/>
  <c r="F8025" i="3" s="1"/>
  <c r="E5551" i="3"/>
  <c r="F5551" i="3" s="1"/>
  <c r="F5575" i="3" s="1"/>
  <c r="F5599" i="3" s="1"/>
  <c r="F5623" i="3" s="1"/>
  <c r="F5647" i="3" s="1"/>
  <c r="F5671" i="3" s="1"/>
  <c r="F5695" i="3" s="1"/>
  <c r="F5719" i="3" s="1"/>
  <c r="F5743" i="3" s="1"/>
  <c r="F5767" i="3" s="1"/>
  <c r="F5791" i="3" s="1"/>
  <c r="F5815" i="3" s="1"/>
  <c r="F5839" i="3" s="1"/>
  <c r="F5863" i="3" s="1"/>
  <c r="F5887" i="3" s="1"/>
  <c r="F5911" i="3" s="1"/>
  <c r="F5935" i="3" s="1"/>
  <c r="F5959" i="3" s="1"/>
  <c r="F5983" i="3" s="1"/>
  <c r="F6007" i="3" s="1"/>
  <c r="F6031" i="3" s="1"/>
  <c r="F6055" i="3" s="1"/>
  <c r="F6079" i="3" s="1"/>
  <c r="F6103" i="3" s="1"/>
  <c r="F6127" i="3" s="1"/>
  <c r="F6151" i="3" s="1"/>
  <c r="F6175" i="3" s="1"/>
  <c r="F6199" i="3" s="1"/>
  <c r="F6223" i="3" s="1"/>
  <c r="F6247" i="3" s="1"/>
  <c r="F6271" i="3" s="1"/>
  <c r="F6295" i="3" s="1"/>
  <c r="F6319" i="3" s="1"/>
  <c r="F6343" i="3" s="1"/>
  <c r="F6367" i="3" s="1"/>
  <c r="F6391" i="3" s="1"/>
  <c r="F6415" i="3" s="1"/>
  <c r="F6439" i="3" s="1"/>
  <c r="F6463" i="3" s="1"/>
  <c r="F6487" i="3" s="1"/>
  <c r="F6511" i="3" s="1"/>
  <c r="F6535" i="3" s="1"/>
  <c r="F6559" i="3" s="1"/>
  <c r="F6583" i="3" s="1"/>
  <c r="F6607" i="3" s="1"/>
  <c r="F6631" i="3" s="1"/>
  <c r="F6655" i="3" s="1"/>
  <c r="F6679" i="3" s="1"/>
  <c r="F6703" i="3" s="1"/>
  <c r="F6727" i="3" s="1"/>
  <c r="F6751" i="3" s="1"/>
  <c r="F6775" i="3" s="1"/>
  <c r="F6799" i="3" s="1"/>
  <c r="F6823" i="3" s="1"/>
  <c r="F6847" i="3" s="1"/>
  <c r="F6871" i="3" s="1"/>
  <c r="F6895" i="3" s="1"/>
  <c r="F6919" i="3" s="1"/>
  <c r="F6943" i="3" s="1"/>
  <c r="F6967" i="3" s="1"/>
  <c r="F6991" i="3" s="1"/>
  <c r="F7015" i="3" s="1"/>
  <c r="F7039" i="3" s="1"/>
  <c r="F7063" i="3" s="1"/>
  <c r="F7087" i="3" s="1"/>
  <c r="F7111" i="3" s="1"/>
  <c r="F7135" i="3" s="1"/>
  <c r="F7159" i="3" s="1"/>
  <c r="F7183" i="3" s="1"/>
  <c r="F7207" i="3" s="1"/>
  <c r="F7231" i="3" s="1"/>
  <c r="F7255" i="3" s="1"/>
  <c r="F7279" i="3" s="1"/>
  <c r="F7303" i="3" s="1"/>
  <c r="F7327" i="3" s="1"/>
  <c r="F7351" i="3" s="1"/>
  <c r="F7375" i="3" s="1"/>
  <c r="F7399" i="3" s="1"/>
  <c r="F7423" i="3" s="1"/>
  <c r="F7447" i="3" s="1"/>
  <c r="F7471" i="3" s="1"/>
  <c r="F7495" i="3" s="1"/>
  <c r="F7519" i="3" s="1"/>
  <c r="F7543" i="3" s="1"/>
  <c r="F7567" i="3" s="1"/>
  <c r="F7591" i="3" s="1"/>
  <c r="F7615" i="3" s="1"/>
  <c r="F7639" i="3" s="1"/>
  <c r="F7663" i="3" s="1"/>
  <c r="F7687" i="3" s="1"/>
  <c r="F7711" i="3" s="1"/>
  <c r="F7735" i="3" s="1"/>
  <c r="F7759" i="3" s="1"/>
  <c r="F7783" i="3" s="1"/>
  <c r="F7807" i="3" s="1"/>
  <c r="F7831" i="3" s="1"/>
  <c r="F7855" i="3" s="1"/>
  <c r="F7879" i="3" s="1"/>
  <c r="F7903" i="3" s="1"/>
  <c r="F7927" i="3" s="1"/>
  <c r="F7951" i="3" s="1"/>
  <c r="F8000" i="3" s="1"/>
  <c r="F8024" i="3" s="1"/>
  <c r="F8048" i="3" s="1"/>
  <c r="F8072" i="3" s="1"/>
  <c r="F8096" i="3" s="1"/>
  <c r="F8120" i="3" s="1"/>
  <c r="F8144" i="3" s="1"/>
  <c r="F8168" i="3" s="1"/>
  <c r="F8192" i="3" s="1"/>
  <c r="F8216" i="3" s="1"/>
  <c r="F8240" i="3" s="1"/>
  <c r="F8264" i="3" s="1"/>
  <c r="F8288" i="3" s="1"/>
  <c r="F8312" i="3" s="1"/>
  <c r="F8336" i="3" s="1"/>
  <c r="F8360" i="3" s="1"/>
  <c r="F8384" i="3" s="1"/>
  <c r="F8408" i="3" s="1"/>
  <c r="F8432" i="3" s="1"/>
  <c r="F8456" i="3" s="1"/>
  <c r="F8480" i="3" s="1"/>
  <c r="F8504" i="3" s="1"/>
  <c r="F8528" i="3" s="1"/>
  <c r="F8552" i="3" s="1"/>
  <c r="F8576" i="3" s="1"/>
  <c r="F8600" i="3" s="1"/>
  <c r="F8624" i="3" s="1"/>
  <c r="F8648" i="3" s="1"/>
  <c r="F8672" i="3" s="1"/>
  <c r="F8696" i="3" s="1"/>
  <c r="F8720" i="3" s="1"/>
  <c r="F8744" i="3" s="1"/>
  <c r="F8768" i="3" s="1"/>
  <c r="F8792" i="3" s="1"/>
  <c r="F8816" i="3" s="1"/>
  <c r="F8840" i="3" s="1"/>
  <c r="F8864" i="3" s="1"/>
  <c r="F8888" i="3" s="1"/>
  <c r="F8912" i="3" s="1"/>
  <c r="F8936" i="3" s="1"/>
  <c r="F8960" i="3" s="1"/>
  <c r="F8984" i="3" s="1"/>
  <c r="F9008" i="3" s="1"/>
  <c r="F9032" i="3" s="1"/>
  <c r="F9056" i="3" s="1"/>
  <c r="F9080" i="3" s="1"/>
  <c r="F9104" i="3" s="1"/>
  <c r="F9128" i="3" s="1"/>
  <c r="F9152" i="3" s="1"/>
  <c r="F9176" i="3" s="1"/>
  <c r="F9200" i="3" s="1"/>
  <c r="F9224" i="3" s="1"/>
  <c r="F9248" i="3" s="1"/>
  <c r="F9272" i="3" s="1"/>
  <c r="F9296" i="3" s="1"/>
  <c r="F9320" i="3" s="1"/>
  <c r="F9344" i="3" s="1"/>
  <c r="F9368" i="3" s="1"/>
  <c r="F9392" i="3" s="1"/>
  <c r="F9416" i="3" s="1"/>
  <c r="F9440" i="3" s="1"/>
  <c r="F9464" i="3" s="1"/>
  <c r="F9488" i="3" s="1"/>
  <c r="F9512" i="3" s="1"/>
  <c r="F9536" i="3" s="1"/>
  <c r="F9560" i="3" s="1"/>
  <c r="F9584" i="3" s="1"/>
  <c r="F9608" i="3" s="1"/>
  <c r="F9632" i="3" s="1"/>
  <c r="F9656" i="3" s="1"/>
  <c r="F9680" i="3" s="1"/>
  <c r="F9704" i="3" s="1"/>
  <c r="F9728" i="3" s="1"/>
  <c r="F9752" i="3" s="1"/>
  <c r="F9776" i="3" s="1"/>
  <c r="F9800" i="3" s="1"/>
  <c r="F9824" i="3" s="1"/>
  <c r="F9848" i="3" s="1"/>
  <c r="F9872" i="3" s="1"/>
  <c r="F9896" i="3" s="1"/>
  <c r="F9920" i="3" s="1"/>
  <c r="F9944" i="3" s="1"/>
  <c r="F9968" i="3" s="1"/>
  <c r="F9992" i="3" s="1"/>
  <c r="E5550" i="3"/>
  <c r="F5550" i="3" s="1"/>
  <c r="F5574" i="3" s="1"/>
  <c r="F5598" i="3" s="1"/>
  <c r="F5622" i="3" s="1"/>
  <c r="F5646" i="3" s="1"/>
  <c r="F5670" i="3" s="1"/>
  <c r="F5694" i="3" s="1"/>
  <c r="F5718" i="3" s="1"/>
  <c r="F5742" i="3" s="1"/>
  <c r="F5766" i="3" s="1"/>
  <c r="F5790" i="3" s="1"/>
  <c r="F5814" i="3" s="1"/>
  <c r="F5838" i="3" s="1"/>
  <c r="F5862" i="3" s="1"/>
  <c r="F5886" i="3" s="1"/>
  <c r="F5910" i="3" s="1"/>
  <c r="F5934" i="3" s="1"/>
  <c r="F5958" i="3" s="1"/>
  <c r="F5982" i="3" s="1"/>
  <c r="F6006" i="3" s="1"/>
  <c r="F6030" i="3" s="1"/>
  <c r="F6054" i="3" s="1"/>
  <c r="F6078" i="3" s="1"/>
  <c r="F6102" i="3" s="1"/>
  <c r="F6126" i="3" s="1"/>
  <c r="F6150" i="3" s="1"/>
  <c r="F6174" i="3" s="1"/>
  <c r="F6198" i="3" s="1"/>
  <c r="F6222" i="3" s="1"/>
  <c r="F6246" i="3" s="1"/>
  <c r="F6270" i="3" s="1"/>
  <c r="F6294" i="3" s="1"/>
  <c r="F6318" i="3" s="1"/>
  <c r="F6342" i="3" s="1"/>
  <c r="F6366" i="3" s="1"/>
  <c r="F6390" i="3" s="1"/>
  <c r="F6414" i="3" s="1"/>
  <c r="F6438" i="3" s="1"/>
  <c r="F6462" i="3" s="1"/>
  <c r="F6486" i="3" s="1"/>
  <c r="F6510" i="3" s="1"/>
  <c r="F6534" i="3" s="1"/>
  <c r="F6558" i="3" s="1"/>
  <c r="F6582" i="3" s="1"/>
  <c r="F6606" i="3" s="1"/>
  <c r="F6630" i="3" s="1"/>
  <c r="F6654" i="3" s="1"/>
  <c r="F6678" i="3" s="1"/>
  <c r="F6702" i="3" s="1"/>
  <c r="F6726" i="3" s="1"/>
  <c r="F6750" i="3" s="1"/>
  <c r="F6774" i="3" s="1"/>
  <c r="F6798" i="3" s="1"/>
  <c r="F6822" i="3" s="1"/>
  <c r="F6846" i="3" s="1"/>
  <c r="F6870" i="3" s="1"/>
  <c r="F6894" i="3" s="1"/>
  <c r="F6918" i="3" s="1"/>
  <c r="F6942" i="3" s="1"/>
  <c r="F6966" i="3" s="1"/>
  <c r="F6990" i="3" s="1"/>
  <c r="F7014" i="3" s="1"/>
  <c r="F7038" i="3" s="1"/>
  <c r="F7062" i="3" s="1"/>
  <c r="F7086" i="3" s="1"/>
  <c r="F7110" i="3" s="1"/>
  <c r="F7134" i="3" s="1"/>
  <c r="F7158" i="3" s="1"/>
  <c r="F7182" i="3" s="1"/>
  <c r="F7206" i="3" s="1"/>
  <c r="F7230" i="3" s="1"/>
  <c r="F7254" i="3" s="1"/>
  <c r="F7278" i="3" s="1"/>
  <c r="F7302" i="3" s="1"/>
  <c r="F7326" i="3" s="1"/>
  <c r="F7350" i="3" s="1"/>
  <c r="F7374" i="3" s="1"/>
  <c r="F7398" i="3" s="1"/>
  <c r="F7422" i="3" s="1"/>
  <c r="F7446" i="3" s="1"/>
  <c r="F7470" i="3" s="1"/>
  <c r="F7494" i="3" s="1"/>
  <c r="F7518" i="3" s="1"/>
  <c r="F7542" i="3" s="1"/>
  <c r="F7566" i="3" s="1"/>
  <c r="F7590" i="3" s="1"/>
  <c r="F7614" i="3" s="1"/>
  <c r="F7638" i="3" s="1"/>
  <c r="F7662" i="3" s="1"/>
  <c r="F7686" i="3" s="1"/>
  <c r="F7710" i="3" s="1"/>
  <c r="F7734" i="3" s="1"/>
  <c r="F7758" i="3" s="1"/>
  <c r="F7782" i="3" s="1"/>
  <c r="F7806" i="3" s="1"/>
  <c r="F7830" i="3" s="1"/>
  <c r="F7854" i="3" s="1"/>
  <c r="F7878" i="3" s="1"/>
  <c r="F7902" i="3" s="1"/>
  <c r="F7926" i="3" s="1"/>
  <c r="F7950" i="3" s="1"/>
  <c r="F7998" i="3" s="1"/>
  <c r="E5549" i="3"/>
  <c r="F5549" i="3" s="1"/>
  <c r="F5573" i="3" s="1"/>
  <c r="F5597" i="3" s="1"/>
  <c r="F5621" i="3" s="1"/>
  <c r="F5645" i="3" s="1"/>
  <c r="F5669" i="3" s="1"/>
  <c r="F5693" i="3" s="1"/>
  <c r="F5717" i="3" s="1"/>
  <c r="F5741" i="3" s="1"/>
  <c r="F5765" i="3" s="1"/>
  <c r="F5789" i="3" s="1"/>
  <c r="F5813" i="3" s="1"/>
  <c r="F5837" i="3" s="1"/>
  <c r="F5861" i="3" s="1"/>
  <c r="F5885" i="3" s="1"/>
  <c r="F5909" i="3" s="1"/>
  <c r="F5933" i="3" s="1"/>
  <c r="F5957" i="3" s="1"/>
  <c r="F5981" i="3" s="1"/>
  <c r="F6005" i="3" s="1"/>
  <c r="F6029" i="3" s="1"/>
  <c r="F6053" i="3" s="1"/>
  <c r="F6077" i="3" s="1"/>
  <c r="F6101" i="3" s="1"/>
  <c r="F6125" i="3" s="1"/>
  <c r="F6149" i="3" s="1"/>
  <c r="F6173" i="3" s="1"/>
  <c r="F6197" i="3" s="1"/>
  <c r="F6221" i="3" s="1"/>
  <c r="F6245" i="3" s="1"/>
  <c r="F6269" i="3" s="1"/>
  <c r="F6293" i="3" s="1"/>
  <c r="F6317" i="3" s="1"/>
  <c r="F6341" i="3" s="1"/>
  <c r="F6365" i="3" s="1"/>
  <c r="F6389" i="3" s="1"/>
  <c r="F6413" i="3" s="1"/>
  <c r="F6437" i="3" s="1"/>
  <c r="F6461" i="3" s="1"/>
  <c r="F6485" i="3" s="1"/>
  <c r="F6509" i="3" s="1"/>
  <c r="F6533" i="3" s="1"/>
  <c r="F6557" i="3" s="1"/>
  <c r="F6581" i="3" s="1"/>
  <c r="F6605" i="3" s="1"/>
  <c r="F6629" i="3" s="1"/>
  <c r="F6653" i="3" s="1"/>
  <c r="F6677" i="3" s="1"/>
  <c r="F6701" i="3" s="1"/>
  <c r="F6725" i="3" s="1"/>
  <c r="F6749" i="3" s="1"/>
  <c r="F6773" i="3" s="1"/>
  <c r="F6797" i="3" s="1"/>
  <c r="F6821" i="3" s="1"/>
  <c r="F6845" i="3" s="1"/>
  <c r="F6869" i="3" s="1"/>
  <c r="F6893" i="3" s="1"/>
  <c r="F6917" i="3" s="1"/>
  <c r="F6941" i="3" s="1"/>
  <c r="F6965" i="3" s="1"/>
  <c r="F6989" i="3" s="1"/>
  <c r="F7013" i="3" s="1"/>
  <c r="F7037" i="3" s="1"/>
  <c r="F7061" i="3" s="1"/>
  <c r="F7085" i="3" s="1"/>
  <c r="F7109" i="3" s="1"/>
  <c r="F7133" i="3" s="1"/>
  <c r="F7157" i="3" s="1"/>
  <c r="F7181" i="3" s="1"/>
  <c r="F7205" i="3" s="1"/>
  <c r="F7229" i="3" s="1"/>
  <c r="F7253" i="3" s="1"/>
  <c r="F7277" i="3" s="1"/>
  <c r="F7301" i="3" s="1"/>
  <c r="F7325" i="3" s="1"/>
  <c r="F7349" i="3" s="1"/>
  <c r="F7373" i="3" s="1"/>
  <c r="F7397" i="3" s="1"/>
  <c r="F7421" i="3" s="1"/>
  <c r="F7445" i="3" s="1"/>
  <c r="F7469" i="3" s="1"/>
  <c r="F7493" i="3" s="1"/>
  <c r="F7517" i="3" s="1"/>
  <c r="F7541" i="3" s="1"/>
  <c r="F7565" i="3" s="1"/>
  <c r="F7589" i="3" s="1"/>
  <c r="F7613" i="3" s="1"/>
  <c r="F7637" i="3" s="1"/>
  <c r="F7661" i="3" s="1"/>
  <c r="F7685" i="3" s="1"/>
  <c r="F7709" i="3" s="1"/>
  <c r="F7733" i="3" s="1"/>
  <c r="F7757" i="3" s="1"/>
  <c r="F7781" i="3" s="1"/>
  <c r="F7805" i="3" s="1"/>
  <c r="F7829" i="3" s="1"/>
  <c r="F7853" i="3" s="1"/>
  <c r="F7877" i="3" s="1"/>
  <c r="F7901" i="3" s="1"/>
  <c r="F7925" i="3" s="1"/>
  <c r="F7949" i="3" s="1"/>
  <c r="F7997" i="3" s="1"/>
  <c r="E5563" i="3"/>
  <c r="F5563" i="3" s="1"/>
  <c r="F5587" i="3" s="1"/>
  <c r="F5611" i="3" s="1"/>
  <c r="F5635" i="3" s="1"/>
  <c r="F5659" i="3" s="1"/>
  <c r="F5683" i="3" s="1"/>
  <c r="F5707" i="3" s="1"/>
  <c r="F5731" i="3" s="1"/>
  <c r="F5755" i="3" s="1"/>
  <c r="F5779" i="3" s="1"/>
  <c r="F5803" i="3" s="1"/>
  <c r="F5827" i="3" s="1"/>
  <c r="F5851" i="3" s="1"/>
  <c r="F5875" i="3" s="1"/>
  <c r="F5899" i="3" s="1"/>
  <c r="F5923" i="3" s="1"/>
  <c r="F5947" i="3" s="1"/>
  <c r="F5971" i="3" s="1"/>
  <c r="F5995" i="3" s="1"/>
  <c r="F6019" i="3" s="1"/>
  <c r="F6043" i="3" s="1"/>
  <c r="F6067" i="3" s="1"/>
  <c r="F6091" i="3" s="1"/>
  <c r="F6115" i="3" s="1"/>
  <c r="F6139" i="3" s="1"/>
  <c r="F6163" i="3" s="1"/>
  <c r="F6187" i="3" s="1"/>
  <c r="F6211" i="3" s="1"/>
  <c r="F6235" i="3" s="1"/>
  <c r="F6259" i="3" s="1"/>
  <c r="F6283" i="3" s="1"/>
  <c r="F6307" i="3" s="1"/>
  <c r="F6331" i="3" s="1"/>
  <c r="F6355" i="3" s="1"/>
  <c r="F6379" i="3" s="1"/>
  <c r="F6403" i="3" s="1"/>
  <c r="F6427" i="3" s="1"/>
  <c r="F6451" i="3" s="1"/>
  <c r="F6475" i="3" s="1"/>
  <c r="F6499" i="3" s="1"/>
  <c r="F6523" i="3" s="1"/>
  <c r="F6547" i="3" s="1"/>
  <c r="F6571" i="3" s="1"/>
  <c r="F6595" i="3" s="1"/>
  <c r="F6619" i="3" s="1"/>
  <c r="F6643" i="3" s="1"/>
  <c r="F6667" i="3" s="1"/>
  <c r="F6691" i="3" s="1"/>
  <c r="F6715" i="3" s="1"/>
  <c r="F6739" i="3" s="1"/>
  <c r="F6763" i="3" s="1"/>
  <c r="F6787" i="3" s="1"/>
  <c r="F6811" i="3" s="1"/>
  <c r="F6835" i="3" s="1"/>
  <c r="F6859" i="3" s="1"/>
  <c r="F6883" i="3" s="1"/>
  <c r="F6907" i="3" s="1"/>
  <c r="F6931" i="3" s="1"/>
  <c r="F6955" i="3" s="1"/>
  <c r="F6979" i="3" s="1"/>
  <c r="F7003" i="3" s="1"/>
  <c r="F7027" i="3" s="1"/>
  <c r="F7051" i="3" s="1"/>
  <c r="F7075" i="3" s="1"/>
  <c r="F7099" i="3" s="1"/>
  <c r="F7123" i="3" s="1"/>
  <c r="F7147" i="3" s="1"/>
  <c r="F7171" i="3" s="1"/>
  <c r="F7195" i="3" s="1"/>
  <c r="F7219" i="3" s="1"/>
  <c r="F7243" i="3" s="1"/>
  <c r="F7267" i="3" s="1"/>
  <c r="F7291" i="3" s="1"/>
  <c r="F7315" i="3" s="1"/>
  <c r="F7339" i="3" s="1"/>
  <c r="F7363" i="3" s="1"/>
  <c r="F7387" i="3" s="1"/>
  <c r="F7411" i="3" s="1"/>
  <c r="F7435" i="3" s="1"/>
  <c r="F7459" i="3" s="1"/>
  <c r="F7483" i="3" s="1"/>
  <c r="F7507" i="3" s="1"/>
  <c r="F7531" i="3" s="1"/>
  <c r="F7555" i="3" s="1"/>
  <c r="F7579" i="3" s="1"/>
  <c r="F7603" i="3" s="1"/>
  <c r="F7627" i="3" s="1"/>
  <c r="F7651" i="3" s="1"/>
  <c r="F7675" i="3" s="1"/>
  <c r="F7699" i="3" s="1"/>
  <c r="F7723" i="3" s="1"/>
  <c r="F7747" i="3" s="1"/>
  <c r="F7771" i="3" s="1"/>
  <c r="F7795" i="3" s="1"/>
  <c r="F7819" i="3" s="1"/>
  <c r="F7843" i="3" s="1"/>
  <c r="F7867" i="3" s="1"/>
  <c r="F7891" i="3" s="1"/>
  <c r="F7915" i="3" s="1"/>
  <c r="F7939" i="3" s="1"/>
  <c r="F7963" i="3" s="1"/>
  <c r="F8011" i="3" s="1"/>
  <c r="M231" i="1"/>
  <c r="E5518" i="3"/>
  <c r="E5513" i="3"/>
  <c r="E5510" i="3"/>
  <c r="E5512" i="3"/>
  <c r="E5503" i="3"/>
  <c r="E5502" i="3"/>
  <c r="E5501" i="3"/>
  <c r="E5499" i="3"/>
  <c r="E5498" i="3"/>
  <c r="E5520" i="3"/>
  <c r="E5517" i="3"/>
  <c r="E5516" i="3"/>
  <c r="M226" i="1"/>
  <c r="M227" i="1"/>
  <c r="M228" i="1"/>
  <c r="M229" i="1"/>
  <c r="M230" i="1"/>
  <c r="E5496" i="3"/>
  <c r="E5494" i="3"/>
  <c r="E5490" i="3"/>
  <c r="E5489" i="3"/>
  <c r="E5486" i="3"/>
  <c r="E5483" i="3"/>
  <c r="E5481" i="3"/>
  <c r="E5477" i="3"/>
  <c r="E5475" i="3"/>
  <c r="E5493" i="3"/>
  <c r="T199" i="23" l="1"/>
  <c r="AC189" i="23"/>
  <c r="X188" i="23"/>
  <c r="AF188" i="23"/>
  <c r="C190" i="23"/>
  <c r="K190" i="23" s="1"/>
  <c r="AB204" i="23" s="1"/>
  <c r="R189" i="23"/>
  <c r="Q189" i="23"/>
  <c r="S189" i="23"/>
  <c r="T189" i="23"/>
  <c r="E201" i="23"/>
  <c r="F8022" i="3"/>
  <c r="F8046" i="3" s="1"/>
  <c r="F8070" i="3" s="1"/>
  <c r="F8094" i="3" s="1"/>
  <c r="F8118" i="3" s="1"/>
  <c r="F8142" i="3" s="1"/>
  <c r="F8166" i="3" s="1"/>
  <c r="F8190" i="3" s="1"/>
  <c r="F8214" i="3" s="1"/>
  <c r="F8238" i="3" s="1"/>
  <c r="F8262" i="3" s="1"/>
  <c r="F8286" i="3" s="1"/>
  <c r="F8310" i="3" s="1"/>
  <c r="F8334" i="3" s="1"/>
  <c r="F8358" i="3" s="1"/>
  <c r="F8382" i="3" s="1"/>
  <c r="F8406" i="3" s="1"/>
  <c r="F8430" i="3" s="1"/>
  <c r="F8454" i="3" s="1"/>
  <c r="F8478" i="3" s="1"/>
  <c r="F8502" i="3" s="1"/>
  <c r="F8526" i="3" s="1"/>
  <c r="F8550" i="3" s="1"/>
  <c r="F8574" i="3" s="1"/>
  <c r="F8598" i="3" s="1"/>
  <c r="F8622" i="3" s="1"/>
  <c r="F8646" i="3" s="1"/>
  <c r="F8670" i="3" s="1"/>
  <c r="F8694" i="3" s="1"/>
  <c r="F8718" i="3" s="1"/>
  <c r="F8742" i="3" s="1"/>
  <c r="F8766" i="3" s="1"/>
  <c r="F8790" i="3" s="1"/>
  <c r="F8814" i="3" s="1"/>
  <c r="F8838" i="3" s="1"/>
  <c r="F8862" i="3" s="1"/>
  <c r="F8886" i="3" s="1"/>
  <c r="F8910" i="3" s="1"/>
  <c r="F8934" i="3" s="1"/>
  <c r="F8958" i="3" s="1"/>
  <c r="F8982" i="3" s="1"/>
  <c r="F9006" i="3" s="1"/>
  <c r="F9030" i="3" s="1"/>
  <c r="F9054" i="3" s="1"/>
  <c r="F9078" i="3" s="1"/>
  <c r="F9102" i="3" s="1"/>
  <c r="F9126" i="3" s="1"/>
  <c r="F9150" i="3" s="1"/>
  <c r="F9174" i="3" s="1"/>
  <c r="F9198" i="3" s="1"/>
  <c r="F9222" i="3" s="1"/>
  <c r="F9246" i="3" s="1"/>
  <c r="F9270" i="3" s="1"/>
  <c r="F9294" i="3" s="1"/>
  <c r="F9318" i="3" s="1"/>
  <c r="F9342" i="3" s="1"/>
  <c r="F9366" i="3" s="1"/>
  <c r="F9390" i="3" s="1"/>
  <c r="F9414" i="3" s="1"/>
  <c r="F9438" i="3" s="1"/>
  <c r="F9462" i="3" s="1"/>
  <c r="F9486" i="3" s="1"/>
  <c r="F9510" i="3" s="1"/>
  <c r="F9534" i="3" s="1"/>
  <c r="F9558" i="3" s="1"/>
  <c r="F9582" i="3" s="1"/>
  <c r="F9606" i="3" s="1"/>
  <c r="F9630" i="3" s="1"/>
  <c r="F9654" i="3" s="1"/>
  <c r="F9678" i="3" s="1"/>
  <c r="F9702" i="3" s="1"/>
  <c r="F9726" i="3" s="1"/>
  <c r="F9750" i="3" s="1"/>
  <c r="F9774" i="3" s="1"/>
  <c r="F9798" i="3" s="1"/>
  <c r="F9822" i="3" s="1"/>
  <c r="F9846" i="3" s="1"/>
  <c r="F9870" i="3" s="1"/>
  <c r="F9894" i="3" s="1"/>
  <c r="F9918" i="3" s="1"/>
  <c r="F9942" i="3" s="1"/>
  <c r="F9966" i="3" s="1"/>
  <c r="F9990" i="3" s="1"/>
  <c r="F8033" i="3"/>
  <c r="F8057" i="3" s="1"/>
  <c r="F8081" i="3" s="1"/>
  <c r="F8105" i="3" s="1"/>
  <c r="F8129" i="3" s="1"/>
  <c r="F8153" i="3" s="1"/>
  <c r="F8177" i="3" s="1"/>
  <c r="F8201" i="3" s="1"/>
  <c r="F8225" i="3" s="1"/>
  <c r="F8249" i="3" s="1"/>
  <c r="F8273" i="3" s="1"/>
  <c r="F8297" i="3" s="1"/>
  <c r="F8321" i="3" s="1"/>
  <c r="F8345" i="3" s="1"/>
  <c r="F8369" i="3" s="1"/>
  <c r="F8393" i="3" s="1"/>
  <c r="F8417" i="3" s="1"/>
  <c r="F8441" i="3" s="1"/>
  <c r="F8465" i="3" s="1"/>
  <c r="F8489" i="3" s="1"/>
  <c r="F8513" i="3" s="1"/>
  <c r="F8537" i="3" s="1"/>
  <c r="F8561" i="3" s="1"/>
  <c r="F8585" i="3" s="1"/>
  <c r="F8609" i="3" s="1"/>
  <c r="F8633" i="3" s="1"/>
  <c r="F8657" i="3" s="1"/>
  <c r="F8681" i="3" s="1"/>
  <c r="F8705" i="3" s="1"/>
  <c r="F8729" i="3" s="1"/>
  <c r="F8753" i="3" s="1"/>
  <c r="F8777" i="3" s="1"/>
  <c r="F8801" i="3" s="1"/>
  <c r="F8825" i="3" s="1"/>
  <c r="F8849" i="3" s="1"/>
  <c r="F8873" i="3" s="1"/>
  <c r="F8897" i="3" s="1"/>
  <c r="F8921" i="3" s="1"/>
  <c r="F8945" i="3" s="1"/>
  <c r="F8969" i="3" s="1"/>
  <c r="F8993" i="3" s="1"/>
  <c r="F9017" i="3" s="1"/>
  <c r="F9041" i="3" s="1"/>
  <c r="F9065" i="3" s="1"/>
  <c r="F9089" i="3" s="1"/>
  <c r="F9113" i="3" s="1"/>
  <c r="F9137" i="3" s="1"/>
  <c r="F9161" i="3" s="1"/>
  <c r="F9185" i="3" s="1"/>
  <c r="F9209" i="3" s="1"/>
  <c r="F9233" i="3" s="1"/>
  <c r="F9257" i="3" s="1"/>
  <c r="F9281" i="3" s="1"/>
  <c r="F9305" i="3" s="1"/>
  <c r="F9329" i="3" s="1"/>
  <c r="F9353" i="3" s="1"/>
  <c r="F9377" i="3" s="1"/>
  <c r="F9401" i="3" s="1"/>
  <c r="F9425" i="3" s="1"/>
  <c r="F9449" i="3" s="1"/>
  <c r="F9473" i="3" s="1"/>
  <c r="F9497" i="3" s="1"/>
  <c r="F9521" i="3" s="1"/>
  <c r="F9545" i="3" s="1"/>
  <c r="F9569" i="3" s="1"/>
  <c r="F9593" i="3" s="1"/>
  <c r="F9617" i="3" s="1"/>
  <c r="F9641" i="3" s="1"/>
  <c r="F9665" i="3" s="1"/>
  <c r="F9689" i="3" s="1"/>
  <c r="F9713" i="3" s="1"/>
  <c r="F9737" i="3" s="1"/>
  <c r="F9761" i="3" s="1"/>
  <c r="F9785" i="3" s="1"/>
  <c r="F9809" i="3" s="1"/>
  <c r="F9833" i="3" s="1"/>
  <c r="F9857" i="3" s="1"/>
  <c r="F9881" i="3" s="1"/>
  <c r="F9905" i="3" s="1"/>
  <c r="F9929" i="3" s="1"/>
  <c r="F9953" i="3" s="1"/>
  <c r="F9977" i="3" s="1"/>
  <c r="F10001" i="3" s="1"/>
  <c r="F8052" i="3"/>
  <c r="F8076" i="3" s="1"/>
  <c r="F8100" i="3" s="1"/>
  <c r="F8124" i="3" s="1"/>
  <c r="F8148" i="3" s="1"/>
  <c r="F8172" i="3" s="1"/>
  <c r="F8196" i="3" s="1"/>
  <c r="F8220" i="3" s="1"/>
  <c r="F8244" i="3" s="1"/>
  <c r="F8268" i="3" s="1"/>
  <c r="F8292" i="3" s="1"/>
  <c r="F8316" i="3" s="1"/>
  <c r="F8340" i="3" s="1"/>
  <c r="F8364" i="3" s="1"/>
  <c r="F8388" i="3" s="1"/>
  <c r="F8412" i="3" s="1"/>
  <c r="F8436" i="3" s="1"/>
  <c r="F8460" i="3" s="1"/>
  <c r="F8484" i="3" s="1"/>
  <c r="F8508" i="3" s="1"/>
  <c r="F8532" i="3" s="1"/>
  <c r="F8556" i="3" s="1"/>
  <c r="F8580" i="3" s="1"/>
  <c r="F8604" i="3" s="1"/>
  <c r="F8628" i="3" s="1"/>
  <c r="F8652" i="3" s="1"/>
  <c r="F8676" i="3" s="1"/>
  <c r="F8700" i="3" s="1"/>
  <c r="F8724" i="3" s="1"/>
  <c r="F8748" i="3" s="1"/>
  <c r="F8772" i="3" s="1"/>
  <c r="F8796" i="3" s="1"/>
  <c r="F8820" i="3" s="1"/>
  <c r="F8844" i="3" s="1"/>
  <c r="F8868" i="3" s="1"/>
  <c r="F8892" i="3" s="1"/>
  <c r="F8916" i="3" s="1"/>
  <c r="F8940" i="3" s="1"/>
  <c r="F8964" i="3" s="1"/>
  <c r="F8988" i="3" s="1"/>
  <c r="F9012" i="3" s="1"/>
  <c r="F9036" i="3" s="1"/>
  <c r="F9060" i="3" s="1"/>
  <c r="F9084" i="3" s="1"/>
  <c r="F9108" i="3" s="1"/>
  <c r="F9132" i="3" s="1"/>
  <c r="F9156" i="3" s="1"/>
  <c r="F9180" i="3" s="1"/>
  <c r="F9204" i="3" s="1"/>
  <c r="F9228" i="3" s="1"/>
  <c r="F9252" i="3" s="1"/>
  <c r="F9276" i="3" s="1"/>
  <c r="F9300" i="3" s="1"/>
  <c r="F9324" i="3" s="1"/>
  <c r="F9348" i="3" s="1"/>
  <c r="F9372" i="3" s="1"/>
  <c r="F9396" i="3" s="1"/>
  <c r="F9420" i="3" s="1"/>
  <c r="F9444" i="3" s="1"/>
  <c r="F9468" i="3" s="1"/>
  <c r="F9492" i="3" s="1"/>
  <c r="F9516" i="3" s="1"/>
  <c r="F9540" i="3" s="1"/>
  <c r="F9564" i="3" s="1"/>
  <c r="F9588" i="3" s="1"/>
  <c r="F9612" i="3" s="1"/>
  <c r="F9636" i="3" s="1"/>
  <c r="F9660" i="3" s="1"/>
  <c r="F9684" i="3" s="1"/>
  <c r="F9708" i="3" s="1"/>
  <c r="F9732" i="3" s="1"/>
  <c r="F9756" i="3" s="1"/>
  <c r="F9780" i="3" s="1"/>
  <c r="F9804" i="3" s="1"/>
  <c r="F9828" i="3" s="1"/>
  <c r="F9852" i="3" s="1"/>
  <c r="F9876" i="3" s="1"/>
  <c r="F9900" i="3" s="1"/>
  <c r="F9924" i="3" s="1"/>
  <c r="F9948" i="3" s="1"/>
  <c r="F9972" i="3" s="1"/>
  <c r="F9996" i="3" s="1"/>
  <c r="F8041" i="3"/>
  <c r="F8065" i="3" s="1"/>
  <c r="F8089" i="3" s="1"/>
  <c r="F8113" i="3" s="1"/>
  <c r="F8137" i="3" s="1"/>
  <c r="F8161" i="3" s="1"/>
  <c r="F8185" i="3" s="1"/>
  <c r="F8209" i="3" s="1"/>
  <c r="F8233" i="3" s="1"/>
  <c r="F8257" i="3" s="1"/>
  <c r="F8281" i="3" s="1"/>
  <c r="F8305" i="3" s="1"/>
  <c r="F8329" i="3" s="1"/>
  <c r="F8353" i="3" s="1"/>
  <c r="F8377" i="3" s="1"/>
  <c r="F8401" i="3" s="1"/>
  <c r="F8425" i="3" s="1"/>
  <c r="F8449" i="3" s="1"/>
  <c r="F8473" i="3" s="1"/>
  <c r="F8497" i="3" s="1"/>
  <c r="F8521" i="3" s="1"/>
  <c r="F8545" i="3" s="1"/>
  <c r="F8569" i="3" s="1"/>
  <c r="F8593" i="3" s="1"/>
  <c r="F8617" i="3" s="1"/>
  <c r="F8641" i="3" s="1"/>
  <c r="F8665" i="3" s="1"/>
  <c r="F8689" i="3" s="1"/>
  <c r="F8713" i="3" s="1"/>
  <c r="F8737" i="3" s="1"/>
  <c r="F8761" i="3" s="1"/>
  <c r="F8785" i="3" s="1"/>
  <c r="F8809" i="3" s="1"/>
  <c r="F8833" i="3" s="1"/>
  <c r="F8857" i="3" s="1"/>
  <c r="F8881" i="3" s="1"/>
  <c r="F8905" i="3" s="1"/>
  <c r="F8929" i="3" s="1"/>
  <c r="F8953" i="3" s="1"/>
  <c r="F8977" i="3" s="1"/>
  <c r="F9001" i="3" s="1"/>
  <c r="F9025" i="3" s="1"/>
  <c r="F9049" i="3" s="1"/>
  <c r="F9073" i="3" s="1"/>
  <c r="F9097" i="3" s="1"/>
  <c r="F9121" i="3" s="1"/>
  <c r="F9145" i="3" s="1"/>
  <c r="F9169" i="3" s="1"/>
  <c r="F9193" i="3" s="1"/>
  <c r="F9217" i="3" s="1"/>
  <c r="F9241" i="3" s="1"/>
  <c r="F9265" i="3" s="1"/>
  <c r="F9289" i="3" s="1"/>
  <c r="F9313" i="3" s="1"/>
  <c r="F9337" i="3" s="1"/>
  <c r="F9361" i="3" s="1"/>
  <c r="F9385" i="3" s="1"/>
  <c r="F9409" i="3" s="1"/>
  <c r="F9433" i="3" s="1"/>
  <c r="F9457" i="3" s="1"/>
  <c r="F9481" i="3" s="1"/>
  <c r="F9505" i="3" s="1"/>
  <c r="F9529" i="3" s="1"/>
  <c r="F9553" i="3" s="1"/>
  <c r="F9577" i="3" s="1"/>
  <c r="F9601" i="3" s="1"/>
  <c r="F9625" i="3" s="1"/>
  <c r="F9649" i="3" s="1"/>
  <c r="F9673" i="3" s="1"/>
  <c r="F9697" i="3" s="1"/>
  <c r="F9721" i="3" s="1"/>
  <c r="F9745" i="3" s="1"/>
  <c r="F9769" i="3" s="1"/>
  <c r="F9793" i="3" s="1"/>
  <c r="F9817" i="3" s="1"/>
  <c r="F9841" i="3" s="1"/>
  <c r="F9865" i="3" s="1"/>
  <c r="F9889" i="3" s="1"/>
  <c r="F9913" i="3" s="1"/>
  <c r="F9937" i="3" s="1"/>
  <c r="F9961" i="3" s="1"/>
  <c r="F9985" i="3" s="1"/>
  <c r="F10009" i="3" s="1"/>
  <c r="F8047" i="3"/>
  <c r="F8071" i="3" s="1"/>
  <c r="F8095" i="3" s="1"/>
  <c r="F8119" i="3" s="1"/>
  <c r="F8143" i="3" s="1"/>
  <c r="F8167" i="3" s="1"/>
  <c r="F8191" i="3" s="1"/>
  <c r="F8215" i="3" s="1"/>
  <c r="F8239" i="3" s="1"/>
  <c r="F8263" i="3" s="1"/>
  <c r="F8287" i="3" s="1"/>
  <c r="F8311" i="3" s="1"/>
  <c r="F8335" i="3" s="1"/>
  <c r="F8359" i="3" s="1"/>
  <c r="F8383" i="3" s="1"/>
  <c r="F8407" i="3" s="1"/>
  <c r="F8431" i="3" s="1"/>
  <c r="F8455" i="3" s="1"/>
  <c r="F8479" i="3" s="1"/>
  <c r="F8503" i="3" s="1"/>
  <c r="F8527" i="3" s="1"/>
  <c r="F8551" i="3" s="1"/>
  <c r="F8575" i="3" s="1"/>
  <c r="F8599" i="3" s="1"/>
  <c r="F8623" i="3" s="1"/>
  <c r="F8647" i="3" s="1"/>
  <c r="F8671" i="3" s="1"/>
  <c r="F8695" i="3" s="1"/>
  <c r="F8719" i="3" s="1"/>
  <c r="F8743" i="3" s="1"/>
  <c r="F8767" i="3" s="1"/>
  <c r="F8791" i="3" s="1"/>
  <c r="F8815" i="3" s="1"/>
  <c r="F8839" i="3" s="1"/>
  <c r="F8863" i="3" s="1"/>
  <c r="F8887" i="3" s="1"/>
  <c r="F8911" i="3" s="1"/>
  <c r="F8935" i="3" s="1"/>
  <c r="F8959" i="3" s="1"/>
  <c r="F8983" i="3" s="1"/>
  <c r="F9007" i="3" s="1"/>
  <c r="F9031" i="3" s="1"/>
  <c r="F9055" i="3" s="1"/>
  <c r="F9079" i="3" s="1"/>
  <c r="F9103" i="3" s="1"/>
  <c r="F9127" i="3" s="1"/>
  <c r="F9151" i="3" s="1"/>
  <c r="F9175" i="3" s="1"/>
  <c r="F9199" i="3" s="1"/>
  <c r="F9223" i="3" s="1"/>
  <c r="F9247" i="3" s="1"/>
  <c r="F9271" i="3" s="1"/>
  <c r="F9295" i="3" s="1"/>
  <c r="F9319" i="3" s="1"/>
  <c r="F9343" i="3" s="1"/>
  <c r="F9367" i="3" s="1"/>
  <c r="F9391" i="3" s="1"/>
  <c r="F9415" i="3" s="1"/>
  <c r="F9439" i="3" s="1"/>
  <c r="F9463" i="3" s="1"/>
  <c r="F9487" i="3" s="1"/>
  <c r="F9511" i="3" s="1"/>
  <c r="F9535" i="3" s="1"/>
  <c r="F9559" i="3" s="1"/>
  <c r="F9583" i="3" s="1"/>
  <c r="F9607" i="3" s="1"/>
  <c r="F9631" i="3" s="1"/>
  <c r="F9655" i="3" s="1"/>
  <c r="F9679" i="3" s="1"/>
  <c r="F9703" i="3" s="1"/>
  <c r="F9727" i="3" s="1"/>
  <c r="F9751" i="3" s="1"/>
  <c r="F9775" i="3" s="1"/>
  <c r="F9799" i="3" s="1"/>
  <c r="F9823" i="3" s="1"/>
  <c r="F9847" i="3" s="1"/>
  <c r="F9871" i="3" s="1"/>
  <c r="F9895" i="3" s="1"/>
  <c r="F9919" i="3" s="1"/>
  <c r="F9943" i="3" s="1"/>
  <c r="F9967" i="3" s="1"/>
  <c r="F9991" i="3" s="1"/>
  <c r="F8029" i="3"/>
  <c r="F8053" i="3" s="1"/>
  <c r="F8077" i="3" s="1"/>
  <c r="F8101" i="3" s="1"/>
  <c r="F8125" i="3" s="1"/>
  <c r="F8149" i="3" s="1"/>
  <c r="F8173" i="3" s="1"/>
  <c r="F8197" i="3" s="1"/>
  <c r="F8221" i="3" s="1"/>
  <c r="F8245" i="3" s="1"/>
  <c r="F8269" i="3" s="1"/>
  <c r="F8293" i="3" s="1"/>
  <c r="F8317" i="3" s="1"/>
  <c r="F8341" i="3" s="1"/>
  <c r="F8365" i="3" s="1"/>
  <c r="F8389" i="3" s="1"/>
  <c r="F8413" i="3" s="1"/>
  <c r="F8437" i="3" s="1"/>
  <c r="F8461" i="3" s="1"/>
  <c r="F8485" i="3" s="1"/>
  <c r="F8509" i="3" s="1"/>
  <c r="F8533" i="3" s="1"/>
  <c r="F8557" i="3" s="1"/>
  <c r="F8581" i="3" s="1"/>
  <c r="F8605" i="3" s="1"/>
  <c r="F8629" i="3" s="1"/>
  <c r="F8653" i="3" s="1"/>
  <c r="F8677" i="3" s="1"/>
  <c r="F8701" i="3" s="1"/>
  <c r="F8725" i="3" s="1"/>
  <c r="F8749" i="3" s="1"/>
  <c r="F8773" i="3" s="1"/>
  <c r="F8797" i="3" s="1"/>
  <c r="F8821" i="3" s="1"/>
  <c r="F8845" i="3" s="1"/>
  <c r="F8869" i="3" s="1"/>
  <c r="F8893" i="3" s="1"/>
  <c r="F8917" i="3" s="1"/>
  <c r="F8941" i="3" s="1"/>
  <c r="F8965" i="3" s="1"/>
  <c r="F8989" i="3" s="1"/>
  <c r="F9013" i="3" s="1"/>
  <c r="F9037" i="3" s="1"/>
  <c r="F9061" i="3" s="1"/>
  <c r="F9085" i="3" s="1"/>
  <c r="F9109" i="3" s="1"/>
  <c r="F9133" i="3" s="1"/>
  <c r="F9157" i="3" s="1"/>
  <c r="F9181" i="3" s="1"/>
  <c r="F9205" i="3" s="1"/>
  <c r="F9229" i="3" s="1"/>
  <c r="F9253" i="3" s="1"/>
  <c r="F9277" i="3" s="1"/>
  <c r="F9301" i="3" s="1"/>
  <c r="F9325" i="3" s="1"/>
  <c r="F9349" i="3" s="1"/>
  <c r="F9373" i="3" s="1"/>
  <c r="F9397" i="3" s="1"/>
  <c r="F9421" i="3" s="1"/>
  <c r="F9445" i="3" s="1"/>
  <c r="F9469" i="3" s="1"/>
  <c r="F9493" i="3" s="1"/>
  <c r="F9517" i="3" s="1"/>
  <c r="F9541" i="3" s="1"/>
  <c r="F9565" i="3" s="1"/>
  <c r="F9589" i="3" s="1"/>
  <c r="F9613" i="3" s="1"/>
  <c r="F9637" i="3" s="1"/>
  <c r="F9661" i="3" s="1"/>
  <c r="F9685" i="3" s="1"/>
  <c r="F9709" i="3" s="1"/>
  <c r="F9733" i="3" s="1"/>
  <c r="F9757" i="3" s="1"/>
  <c r="F9781" i="3" s="1"/>
  <c r="F9805" i="3" s="1"/>
  <c r="F9829" i="3" s="1"/>
  <c r="F9853" i="3" s="1"/>
  <c r="F9877" i="3" s="1"/>
  <c r="F9901" i="3" s="1"/>
  <c r="F9925" i="3" s="1"/>
  <c r="F9949" i="3" s="1"/>
  <c r="F9973" i="3" s="1"/>
  <c r="F9997" i="3" s="1"/>
  <c r="F8038" i="3"/>
  <c r="F8062" i="3" s="1"/>
  <c r="F8086" i="3" s="1"/>
  <c r="F8110" i="3" s="1"/>
  <c r="F8134" i="3" s="1"/>
  <c r="F8158" i="3" s="1"/>
  <c r="F8182" i="3" s="1"/>
  <c r="F8206" i="3" s="1"/>
  <c r="F8230" i="3" s="1"/>
  <c r="F8254" i="3" s="1"/>
  <c r="F8278" i="3" s="1"/>
  <c r="F8302" i="3" s="1"/>
  <c r="F8326" i="3" s="1"/>
  <c r="F8350" i="3" s="1"/>
  <c r="F8374" i="3" s="1"/>
  <c r="F8398" i="3" s="1"/>
  <c r="F8422" i="3" s="1"/>
  <c r="F8446" i="3" s="1"/>
  <c r="F8470" i="3" s="1"/>
  <c r="F8494" i="3" s="1"/>
  <c r="F8518" i="3" s="1"/>
  <c r="F8542" i="3" s="1"/>
  <c r="F8566" i="3" s="1"/>
  <c r="F8590" i="3" s="1"/>
  <c r="F8614" i="3" s="1"/>
  <c r="F8638" i="3" s="1"/>
  <c r="F8662" i="3" s="1"/>
  <c r="F8686" i="3" s="1"/>
  <c r="F8710" i="3" s="1"/>
  <c r="F8734" i="3" s="1"/>
  <c r="F8758" i="3" s="1"/>
  <c r="F8782" i="3" s="1"/>
  <c r="F8806" i="3" s="1"/>
  <c r="F8830" i="3" s="1"/>
  <c r="F8854" i="3" s="1"/>
  <c r="F8878" i="3" s="1"/>
  <c r="F8902" i="3" s="1"/>
  <c r="F8926" i="3" s="1"/>
  <c r="F8950" i="3" s="1"/>
  <c r="F8974" i="3" s="1"/>
  <c r="F8998" i="3" s="1"/>
  <c r="F9022" i="3" s="1"/>
  <c r="F9046" i="3" s="1"/>
  <c r="F9070" i="3" s="1"/>
  <c r="F9094" i="3" s="1"/>
  <c r="F9118" i="3" s="1"/>
  <c r="F9142" i="3" s="1"/>
  <c r="F9166" i="3" s="1"/>
  <c r="F9190" i="3" s="1"/>
  <c r="F9214" i="3" s="1"/>
  <c r="F9238" i="3" s="1"/>
  <c r="F9262" i="3" s="1"/>
  <c r="F9286" i="3" s="1"/>
  <c r="F9310" i="3" s="1"/>
  <c r="F9334" i="3" s="1"/>
  <c r="F9358" i="3" s="1"/>
  <c r="F9382" i="3" s="1"/>
  <c r="F9406" i="3" s="1"/>
  <c r="F9430" i="3" s="1"/>
  <c r="F9454" i="3" s="1"/>
  <c r="F9478" i="3" s="1"/>
  <c r="F9502" i="3" s="1"/>
  <c r="F9526" i="3" s="1"/>
  <c r="F9550" i="3" s="1"/>
  <c r="F9574" i="3" s="1"/>
  <c r="F9598" i="3" s="1"/>
  <c r="F9622" i="3" s="1"/>
  <c r="F9646" i="3" s="1"/>
  <c r="F9670" i="3" s="1"/>
  <c r="F9694" i="3" s="1"/>
  <c r="F9718" i="3" s="1"/>
  <c r="F9742" i="3" s="1"/>
  <c r="F9766" i="3" s="1"/>
  <c r="F9790" i="3" s="1"/>
  <c r="F9814" i="3" s="1"/>
  <c r="F9838" i="3" s="1"/>
  <c r="F9862" i="3" s="1"/>
  <c r="F9886" i="3" s="1"/>
  <c r="F9910" i="3" s="1"/>
  <c r="F9934" i="3" s="1"/>
  <c r="F9958" i="3" s="1"/>
  <c r="F9982" i="3" s="1"/>
  <c r="F10006" i="3" s="1"/>
  <c r="F8019" i="3"/>
  <c r="F8043" i="3" s="1"/>
  <c r="F8067" i="3" s="1"/>
  <c r="F8091" i="3" s="1"/>
  <c r="F8115" i="3" s="1"/>
  <c r="F8139" i="3" s="1"/>
  <c r="F8163" i="3" s="1"/>
  <c r="F8187" i="3" s="1"/>
  <c r="F8211" i="3" s="1"/>
  <c r="F8235" i="3" s="1"/>
  <c r="F8259" i="3" s="1"/>
  <c r="F8283" i="3" s="1"/>
  <c r="F8307" i="3" s="1"/>
  <c r="F8331" i="3" s="1"/>
  <c r="F8355" i="3" s="1"/>
  <c r="F8379" i="3" s="1"/>
  <c r="F8403" i="3" s="1"/>
  <c r="F8427" i="3" s="1"/>
  <c r="F8451" i="3" s="1"/>
  <c r="F8475" i="3" s="1"/>
  <c r="F8499" i="3" s="1"/>
  <c r="F8523" i="3" s="1"/>
  <c r="F8547" i="3" s="1"/>
  <c r="F8571" i="3" s="1"/>
  <c r="F8595" i="3" s="1"/>
  <c r="F8619" i="3" s="1"/>
  <c r="F8643" i="3" s="1"/>
  <c r="F8667" i="3" s="1"/>
  <c r="F8691" i="3" s="1"/>
  <c r="F8715" i="3" s="1"/>
  <c r="F8739" i="3" s="1"/>
  <c r="F8763" i="3" s="1"/>
  <c r="F8787" i="3" s="1"/>
  <c r="F8811" i="3" s="1"/>
  <c r="F8835" i="3" s="1"/>
  <c r="F8859" i="3" s="1"/>
  <c r="F8883" i="3" s="1"/>
  <c r="F8907" i="3" s="1"/>
  <c r="F8931" i="3" s="1"/>
  <c r="F8955" i="3" s="1"/>
  <c r="F8979" i="3" s="1"/>
  <c r="F9003" i="3" s="1"/>
  <c r="F9027" i="3" s="1"/>
  <c r="F9051" i="3" s="1"/>
  <c r="F9075" i="3" s="1"/>
  <c r="F9099" i="3" s="1"/>
  <c r="F9123" i="3" s="1"/>
  <c r="F9147" i="3" s="1"/>
  <c r="F9171" i="3" s="1"/>
  <c r="F9195" i="3" s="1"/>
  <c r="F9219" i="3" s="1"/>
  <c r="F9243" i="3" s="1"/>
  <c r="F9267" i="3" s="1"/>
  <c r="F9291" i="3" s="1"/>
  <c r="F9315" i="3" s="1"/>
  <c r="F9339" i="3" s="1"/>
  <c r="F9363" i="3" s="1"/>
  <c r="F9387" i="3" s="1"/>
  <c r="F9411" i="3" s="1"/>
  <c r="F9435" i="3" s="1"/>
  <c r="F9459" i="3" s="1"/>
  <c r="F9483" i="3" s="1"/>
  <c r="F9507" i="3" s="1"/>
  <c r="F9531" i="3" s="1"/>
  <c r="F9555" i="3" s="1"/>
  <c r="F9579" i="3" s="1"/>
  <c r="F9603" i="3" s="1"/>
  <c r="F9627" i="3" s="1"/>
  <c r="F9651" i="3" s="1"/>
  <c r="F9675" i="3" s="1"/>
  <c r="F9699" i="3" s="1"/>
  <c r="F9723" i="3" s="1"/>
  <c r="F9747" i="3" s="1"/>
  <c r="F9771" i="3" s="1"/>
  <c r="F9795" i="3" s="1"/>
  <c r="F9819" i="3" s="1"/>
  <c r="F9843" i="3" s="1"/>
  <c r="F9867" i="3" s="1"/>
  <c r="F9891" i="3" s="1"/>
  <c r="F9915" i="3" s="1"/>
  <c r="F9939" i="3" s="1"/>
  <c r="F9963" i="3" s="1"/>
  <c r="F9987" i="3" s="1"/>
  <c r="F8035" i="3"/>
  <c r="F8059" i="3" s="1"/>
  <c r="F8083" i="3" s="1"/>
  <c r="F8107" i="3" s="1"/>
  <c r="F8131" i="3" s="1"/>
  <c r="F8155" i="3" s="1"/>
  <c r="F8179" i="3" s="1"/>
  <c r="F8203" i="3" s="1"/>
  <c r="F8227" i="3" s="1"/>
  <c r="F8251" i="3" s="1"/>
  <c r="F8275" i="3" s="1"/>
  <c r="F8299" i="3" s="1"/>
  <c r="F8323" i="3" s="1"/>
  <c r="F8347" i="3" s="1"/>
  <c r="F8371" i="3" s="1"/>
  <c r="F8395" i="3" s="1"/>
  <c r="F8419" i="3" s="1"/>
  <c r="F8443" i="3" s="1"/>
  <c r="F8467" i="3" s="1"/>
  <c r="F8491" i="3" s="1"/>
  <c r="F8515" i="3" s="1"/>
  <c r="F8539" i="3" s="1"/>
  <c r="F8563" i="3" s="1"/>
  <c r="F8587" i="3" s="1"/>
  <c r="F8611" i="3" s="1"/>
  <c r="F8635" i="3" s="1"/>
  <c r="F8659" i="3" s="1"/>
  <c r="F8683" i="3" s="1"/>
  <c r="F8707" i="3" s="1"/>
  <c r="F8731" i="3" s="1"/>
  <c r="F8755" i="3" s="1"/>
  <c r="F8779" i="3" s="1"/>
  <c r="F8803" i="3" s="1"/>
  <c r="F8827" i="3" s="1"/>
  <c r="F8851" i="3" s="1"/>
  <c r="F8875" i="3" s="1"/>
  <c r="F8899" i="3" s="1"/>
  <c r="F8923" i="3" s="1"/>
  <c r="F8947" i="3" s="1"/>
  <c r="F8971" i="3" s="1"/>
  <c r="F8995" i="3" s="1"/>
  <c r="F9019" i="3" s="1"/>
  <c r="F9043" i="3" s="1"/>
  <c r="F9067" i="3" s="1"/>
  <c r="F9091" i="3" s="1"/>
  <c r="F9115" i="3" s="1"/>
  <c r="F9139" i="3" s="1"/>
  <c r="F9163" i="3" s="1"/>
  <c r="F9187" i="3" s="1"/>
  <c r="F9211" i="3" s="1"/>
  <c r="F9235" i="3" s="1"/>
  <c r="F9259" i="3" s="1"/>
  <c r="F9283" i="3" s="1"/>
  <c r="F9307" i="3" s="1"/>
  <c r="F9331" i="3" s="1"/>
  <c r="F9355" i="3" s="1"/>
  <c r="F9379" i="3" s="1"/>
  <c r="F9403" i="3" s="1"/>
  <c r="F9427" i="3" s="1"/>
  <c r="F9451" i="3" s="1"/>
  <c r="F9475" i="3" s="1"/>
  <c r="F9499" i="3" s="1"/>
  <c r="F9523" i="3" s="1"/>
  <c r="F9547" i="3" s="1"/>
  <c r="F9571" i="3" s="1"/>
  <c r="F9595" i="3" s="1"/>
  <c r="F9619" i="3" s="1"/>
  <c r="F9643" i="3" s="1"/>
  <c r="F9667" i="3" s="1"/>
  <c r="F9691" i="3" s="1"/>
  <c r="F9715" i="3" s="1"/>
  <c r="F9739" i="3" s="1"/>
  <c r="F9763" i="3" s="1"/>
  <c r="F9787" i="3" s="1"/>
  <c r="F9811" i="3" s="1"/>
  <c r="F9835" i="3" s="1"/>
  <c r="F9859" i="3" s="1"/>
  <c r="F9883" i="3" s="1"/>
  <c r="F9907" i="3" s="1"/>
  <c r="F9931" i="3" s="1"/>
  <c r="F9955" i="3" s="1"/>
  <c r="F9979" i="3" s="1"/>
  <c r="F10003" i="3" s="1"/>
  <c r="F8049" i="3"/>
  <c r="F8073" i="3" s="1"/>
  <c r="F8097" i="3" s="1"/>
  <c r="F8121" i="3" s="1"/>
  <c r="F8145" i="3" s="1"/>
  <c r="F8169" i="3" s="1"/>
  <c r="F8193" i="3" s="1"/>
  <c r="F8217" i="3" s="1"/>
  <c r="F8241" i="3" s="1"/>
  <c r="F8265" i="3" s="1"/>
  <c r="F8289" i="3" s="1"/>
  <c r="F8313" i="3" s="1"/>
  <c r="F8337" i="3" s="1"/>
  <c r="F8361" i="3" s="1"/>
  <c r="F8385" i="3" s="1"/>
  <c r="F8409" i="3" s="1"/>
  <c r="F8433" i="3" s="1"/>
  <c r="F8457" i="3" s="1"/>
  <c r="F8481" i="3" s="1"/>
  <c r="F8505" i="3" s="1"/>
  <c r="F8529" i="3" s="1"/>
  <c r="F8553" i="3" s="1"/>
  <c r="F8577" i="3" s="1"/>
  <c r="F8601" i="3" s="1"/>
  <c r="F8625" i="3" s="1"/>
  <c r="F8649" i="3" s="1"/>
  <c r="F8673" i="3" s="1"/>
  <c r="F8697" i="3" s="1"/>
  <c r="F8721" i="3" s="1"/>
  <c r="F8745" i="3" s="1"/>
  <c r="F8769" i="3" s="1"/>
  <c r="F8793" i="3" s="1"/>
  <c r="F8817" i="3" s="1"/>
  <c r="F8841" i="3" s="1"/>
  <c r="F8865" i="3" s="1"/>
  <c r="F8889" i="3" s="1"/>
  <c r="F8913" i="3" s="1"/>
  <c r="F8937" i="3" s="1"/>
  <c r="F8961" i="3" s="1"/>
  <c r="F8985" i="3" s="1"/>
  <c r="F9009" i="3" s="1"/>
  <c r="F9033" i="3" s="1"/>
  <c r="F9057" i="3" s="1"/>
  <c r="F9081" i="3" s="1"/>
  <c r="F9105" i="3" s="1"/>
  <c r="F9129" i="3" s="1"/>
  <c r="F9153" i="3" s="1"/>
  <c r="F9177" i="3" s="1"/>
  <c r="F9201" i="3" s="1"/>
  <c r="F9225" i="3" s="1"/>
  <c r="F9249" i="3" s="1"/>
  <c r="F9273" i="3" s="1"/>
  <c r="F9297" i="3" s="1"/>
  <c r="F9321" i="3" s="1"/>
  <c r="F9345" i="3" s="1"/>
  <c r="F9369" i="3" s="1"/>
  <c r="F9393" i="3" s="1"/>
  <c r="F9417" i="3" s="1"/>
  <c r="F9441" i="3" s="1"/>
  <c r="F9465" i="3" s="1"/>
  <c r="F9489" i="3" s="1"/>
  <c r="F9513" i="3" s="1"/>
  <c r="F9537" i="3" s="1"/>
  <c r="F9561" i="3" s="1"/>
  <c r="F9585" i="3" s="1"/>
  <c r="F9609" i="3" s="1"/>
  <c r="F9633" i="3" s="1"/>
  <c r="F9657" i="3" s="1"/>
  <c r="F9681" i="3" s="1"/>
  <c r="F9705" i="3" s="1"/>
  <c r="F9729" i="3" s="1"/>
  <c r="F9753" i="3" s="1"/>
  <c r="F9777" i="3" s="1"/>
  <c r="F9801" i="3" s="1"/>
  <c r="F9825" i="3" s="1"/>
  <c r="F9849" i="3" s="1"/>
  <c r="F9873" i="3" s="1"/>
  <c r="F9897" i="3" s="1"/>
  <c r="F9921" i="3" s="1"/>
  <c r="F9945" i="3" s="1"/>
  <c r="F9969" i="3" s="1"/>
  <c r="F9993" i="3" s="1"/>
  <c r="F8030" i="3"/>
  <c r="F8054" i="3" s="1"/>
  <c r="F8078" i="3" s="1"/>
  <c r="F8102" i="3" s="1"/>
  <c r="F8126" i="3" s="1"/>
  <c r="F8150" i="3" s="1"/>
  <c r="F8174" i="3" s="1"/>
  <c r="F8198" i="3" s="1"/>
  <c r="F8222" i="3" s="1"/>
  <c r="F8246" i="3" s="1"/>
  <c r="F8270" i="3" s="1"/>
  <c r="F8294" i="3" s="1"/>
  <c r="F8318" i="3" s="1"/>
  <c r="F8342" i="3" s="1"/>
  <c r="F8366" i="3" s="1"/>
  <c r="F8390" i="3" s="1"/>
  <c r="F8414" i="3" s="1"/>
  <c r="F8438" i="3" s="1"/>
  <c r="F8462" i="3" s="1"/>
  <c r="F8486" i="3" s="1"/>
  <c r="F8510" i="3" s="1"/>
  <c r="F8534" i="3" s="1"/>
  <c r="F8558" i="3" s="1"/>
  <c r="F8582" i="3" s="1"/>
  <c r="F8606" i="3" s="1"/>
  <c r="F8630" i="3" s="1"/>
  <c r="F8654" i="3" s="1"/>
  <c r="F8678" i="3" s="1"/>
  <c r="F8702" i="3" s="1"/>
  <c r="F8726" i="3" s="1"/>
  <c r="F8750" i="3" s="1"/>
  <c r="F8774" i="3" s="1"/>
  <c r="F8798" i="3" s="1"/>
  <c r="F8822" i="3" s="1"/>
  <c r="F8846" i="3" s="1"/>
  <c r="F8870" i="3" s="1"/>
  <c r="F8894" i="3" s="1"/>
  <c r="F8918" i="3" s="1"/>
  <c r="F8942" i="3" s="1"/>
  <c r="F8966" i="3" s="1"/>
  <c r="F8990" i="3" s="1"/>
  <c r="F9014" i="3" s="1"/>
  <c r="F9038" i="3" s="1"/>
  <c r="F9062" i="3" s="1"/>
  <c r="F9086" i="3" s="1"/>
  <c r="F9110" i="3" s="1"/>
  <c r="F9134" i="3" s="1"/>
  <c r="F9158" i="3" s="1"/>
  <c r="F9182" i="3" s="1"/>
  <c r="F9206" i="3" s="1"/>
  <c r="F9230" i="3" s="1"/>
  <c r="F9254" i="3" s="1"/>
  <c r="F9278" i="3" s="1"/>
  <c r="F9302" i="3" s="1"/>
  <c r="F9326" i="3" s="1"/>
  <c r="F9350" i="3" s="1"/>
  <c r="F9374" i="3" s="1"/>
  <c r="F9398" i="3" s="1"/>
  <c r="F9422" i="3" s="1"/>
  <c r="F9446" i="3" s="1"/>
  <c r="F9470" i="3" s="1"/>
  <c r="F9494" i="3" s="1"/>
  <c r="F9518" i="3" s="1"/>
  <c r="F9542" i="3" s="1"/>
  <c r="F9566" i="3" s="1"/>
  <c r="F9590" i="3" s="1"/>
  <c r="F9614" i="3" s="1"/>
  <c r="F9638" i="3" s="1"/>
  <c r="F9662" i="3" s="1"/>
  <c r="F9686" i="3" s="1"/>
  <c r="F9710" i="3" s="1"/>
  <c r="F9734" i="3" s="1"/>
  <c r="F9758" i="3" s="1"/>
  <c r="F9782" i="3" s="1"/>
  <c r="F9806" i="3" s="1"/>
  <c r="F9830" i="3" s="1"/>
  <c r="F9854" i="3" s="1"/>
  <c r="F9878" i="3" s="1"/>
  <c r="F9902" i="3" s="1"/>
  <c r="F9926" i="3" s="1"/>
  <c r="F9950" i="3" s="1"/>
  <c r="F9974" i="3" s="1"/>
  <c r="F9998" i="3" s="1"/>
  <c r="F8039" i="3"/>
  <c r="F8063" i="3" s="1"/>
  <c r="F8087" i="3" s="1"/>
  <c r="F8111" i="3" s="1"/>
  <c r="F8135" i="3" s="1"/>
  <c r="F8159" i="3" s="1"/>
  <c r="F8183" i="3" s="1"/>
  <c r="F8207" i="3" s="1"/>
  <c r="F8231" i="3" s="1"/>
  <c r="F8255" i="3" s="1"/>
  <c r="F8279" i="3" s="1"/>
  <c r="F8303" i="3" s="1"/>
  <c r="F8327" i="3" s="1"/>
  <c r="F8351" i="3" s="1"/>
  <c r="F8375" i="3" s="1"/>
  <c r="F8399" i="3" s="1"/>
  <c r="F8423" i="3" s="1"/>
  <c r="F8447" i="3" s="1"/>
  <c r="F8471" i="3" s="1"/>
  <c r="F8495" i="3" s="1"/>
  <c r="F8519" i="3" s="1"/>
  <c r="F8543" i="3" s="1"/>
  <c r="F8567" i="3" s="1"/>
  <c r="F8591" i="3" s="1"/>
  <c r="F8615" i="3" s="1"/>
  <c r="F8639" i="3" s="1"/>
  <c r="F8663" i="3" s="1"/>
  <c r="F8687" i="3" s="1"/>
  <c r="F8711" i="3" s="1"/>
  <c r="F8735" i="3" s="1"/>
  <c r="F8759" i="3" s="1"/>
  <c r="F8783" i="3" s="1"/>
  <c r="F8807" i="3" s="1"/>
  <c r="F8831" i="3" s="1"/>
  <c r="F8855" i="3" s="1"/>
  <c r="F8879" i="3" s="1"/>
  <c r="F8903" i="3" s="1"/>
  <c r="F8927" i="3" s="1"/>
  <c r="F8951" i="3" s="1"/>
  <c r="F8975" i="3" s="1"/>
  <c r="F8999" i="3" s="1"/>
  <c r="F9023" i="3" s="1"/>
  <c r="F9047" i="3" s="1"/>
  <c r="F9071" i="3" s="1"/>
  <c r="F9095" i="3" s="1"/>
  <c r="F9119" i="3" s="1"/>
  <c r="F9143" i="3" s="1"/>
  <c r="F9167" i="3" s="1"/>
  <c r="F9191" i="3" s="1"/>
  <c r="F9215" i="3" s="1"/>
  <c r="F9239" i="3" s="1"/>
  <c r="F9263" i="3" s="1"/>
  <c r="F9287" i="3" s="1"/>
  <c r="F9311" i="3" s="1"/>
  <c r="F9335" i="3" s="1"/>
  <c r="F9359" i="3" s="1"/>
  <c r="F9383" i="3" s="1"/>
  <c r="F9407" i="3" s="1"/>
  <c r="F9431" i="3" s="1"/>
  <c r="F9455" i="3" s="1"/>
  <c r="F9479" i="3" s="1"/>
  <c r="F9503" i="3" s="1"/>
  <c r="F9527" i="3" s="1"/>
  <c r="F9551" i="3" s="1"/>
  <c r="F9575" i="3" s="1"/>
  <c r="F9599" i="3" s="1"/>
  <c r="F9623" i="3" s="1"/>
  <c r="F9647" i="3" s="1"/>
  <c r="F9671" i="3" s="1"/>
  <c r="F9695" i="3" s="1"/>
  <c r="F9719" i="3" s="1"/>
  <c r="F9743" i="3" s="1"/>
  <c r="F9767" i="3" s="1"/>
  <c r="F9791" i="3" s="1"/>
  <c r="F9815" i="3" s="1"/>
  <c r="F9839" i="3" s="1"/>
  <c r="F9863" i="3" s="1"/>
  <c r="F9887" i="3" s="1"/>
  <c r="F9911" i="3" s="1"/>
  <c r="F9935" i="3" s="1"/>
  <c r="F9959" i="3" s="1"/>
  <c r="F9983" i="3" s="1"/>
  <c r="F10007" i="3" s="1"/>
  <c r="F8034" i="3"/>
  <c r="F8058" i="3" s="1"/>
  <c r="F8082" i="3" s="1"/>
  <c r="F8106" i="3" s="1"/>
  <c r="F8130" i="3" s="1"/>
  <c r="F8154" i="3" s="1"/>
  <c r="F8178" i="3" s="1"/>
  <c r="F8202" i="3" s="1"/>
  <c r="F8226" i="3" s="1"/>
  <c r="F8250" i="3" s="1"/>
  <c r="F8274" i="3" s="1"/>
  <c r="F8298" i="3" s="1"/>
  <c r="F8322" i="3" s="1"/>
  <c r="F8346" i="3" s="1"/>
  <c r="F8370" i="3" s="1"/>
  <c r="F8394" i="3" s="1"/>
  <c r="F8418" i="3" s="1"/>
  <c r="F8442" i="3" s="1"/>
  <c r="F8466" i="3" s="1"/>
  <c r="F8490" i="3" s="1"/>
  <c r="F8514" i="3" s="1"/>
  <c r="F8538" i="3" s="1"/>
  <c r="F8562" i="3" s="1"/>
  <c r="F8586" i="3" s="1"/>
  <c r="F8610" i="3" s="1"/>
  <c r="F8634" i="3" s="1"/>
  <c r="F8658" i="3" s="1"/>
  <c r="F8682" i="3" s="1"/>
  <c r="F8706" i="3" s="1"/>
  <c r="F8730" i="3" s="1"/>
  <c r="F8754" i="3" s="1"/>
  <c r="F8778" i="3" s="1"/>
  <c r="F8802" i="3" s="1"/>
  <c r="F8826" i="3" s="1"/>
  <c r="F8850" i="3" s="1"/>
  <c r="F8874" i="3" s="1"/>
  <c r="F8898" i="3" s="1"/>
  <c r="F8922" i="3" s="1"/>
  <c r="F8946" i="3" s="1"/>
  <c r="F8970" i="3" s="1"/>
  <c r="F8994" i="3" s="1"/>
  <c r="F9018" i="3" s="1"/>
  <c r="F9042" i="3" s="1"/>
  <c r="F9066" i="3" s="1"/>
  <c r="F9090" i="3" s="1"/>
  <c r="F9114" i="3" s="1"/>
  <c r="F9138" i="3" s="1"/>
  <c r="F9162" i="3" s="1"/>
  <c r="F9186" i="3" s="1"/>
  <c r="F9210" i="3" s="1"/>
  <c r="F9234" i="3" s="1"/>
  <c r="F9258" i="3" s="1"/>
  <c r="F9282" i="3" s="1"/>
  <c r="F9306" i="3" s="1"/>
  <c r="F9330" i="3" s="1"/>
  <c r="F9354" i="3" s="1"/>
  <c r="F9378" i="3" s="1"/>
  <c r="F9402" i="3" s="1"/>
  <c r="F9426" i="3" s="1"/>
  <c r="F9450" i="3" s="1"/>
  <c r="F9474" i="3" s="1"/>
  <c r="F9498" i="3" s="1"/>
  <c r="F9522" i="3" s="1"/>
  <c r="F9546" i="3" s="1"/>
  <c r="F9570" i="3" s="1"/>
  <c r="F9594" i="3" s="1"/>
  <c r="F9618" i="3" s="1"/>
  <c r="F9642" i="3" s="1"/>
  <c r="F9666" i="3" s="1"/>
  <c r="F9690" i="3" s="1"/>
  <c r="F9714" i="3" s="1"/>
  <c r="F9738" i="3" s="1"/>
  <c r="F9762" i="3" s="1"/>
  <c r="F9786" i="3" s="1"/>
  <c r="F9810" i="3" s="1"/>
  <c r="F9834" i="3" s="1"/>
  <c r="F9858" i="3" s="1"/>
  <c r="F9882" i="3" s="1"/>
  <c r="F9906" i="3" s="1"/>
  <c r="F9930" i="3" s="1"/>
  <c r="F9954" i="3" s="1"/>
  <c r="F9978" i="3" s="1"/>
  <c r="F10002" i="3" s="1"/>
  <c r="F8021" i="3"/>
  <c r="F8045" i="3" s="1"/>
  <c r="F8069" i="3" s="1"/>
  <c r="F8093" i="3" s="1"/>
  <c r="F8117" i="3" s="1"/>
  <c r="F8141" i="3" s="1"/>
  <c r="F8165" i="3" s="1"/>
  <c r="F8189" i="3" s="1"/>
  <c r="F8213" i="3" s="1"/>
  <c r="F8237" i="3" s="1"/>
  <c r="F8261" i="3" s="1"/>
  <c r="F8285" i="3" s="1"/>
  <c r="F8309" i="3" s="1"/>
  <c r="F8333" i="3" s="1"/>
  <c r="F8357" i="3" s="1"/>
  <c r="F8381" i="3" s="1"/>
  <c r="F8405" i="3" s="1"/>
  <c r="F8429" i="3" s="1"/>
  <c r="F8453" i="3" s="1"/>
  <c r="F8477" i="3" s="1"/>
  <c r="F8501" i="3" s="1"/>
  <c r="F8525" i="3" s="1"/>
  <c r="F8549" i="3" s="1"/>
  <c r="F8573" i="3" s="1"/>
  <c r="F8597" i="3" s="1"/>
  <c r="F8621" i="3" s="1"/>
  <c r="F8645" i="3" s="1"/>
  <c r="F8669" i="3" s="1"/>
  <c r="F8693" i="3" s="1"/>
  <c r="F8717" i="3" s="1"/>
  <c r="F8741" i="3" s="1"/>
  <c r="F8765" i="3" s="1"/>
  <c r="F8789" i="3" s="1"/>
  <c r="F8813" i="3" s="1"/>
  <c r="F8837" i="3" s="1"/>
  <c r="F8861" i="3" s="1"/>
  <c r="F8885" i="3" s="1"/>
  <c r="F8909" i="3" s="1"/>
  <c r="F8933" i="3" s="1"/>
  <c r="F8957" i="3" s="1"/>
  <c r="F8981" i="3" s="1"/>
  <c r="F9005" i="3" s="1"/>
  <c r="F9029" i="3" s="1"/>
  <c r="F9053" i="3" s="1"/>
  <c r="F9077" i="3" s="1"/>
  <c r="F9101" i="3" s="1"/>
  <c r="F9125" i="3" s="1"/>
  <c r="F9149" i="3" s="1"/>
  <c r="F9173" i="3" s="1"/>
  <c r="F9197" i="3" s="1"/>
  <c r="F9221" i="3" s="1"/>
  <c r="F9245" i="3" s="1"/>
  <c r="F9269" i="3" s="1"/>
  <c r="F9293" i="3" s="1"/>
  <c r="F9317" i="3" s="1"/>
  <c r="F9341" i="3" s="1"/>
  <c r="F9365" i="3" s="1"/>
  <c r="F9389" i="3" s="1"/>
  <c r="F9413" i="3" s="1"/>
  <c r="F9437" i="3" s="1"/>
  <c r="F9461" i="3" s="1"/>
  <c r="F9485" i="3" s="1"/>
  <c r="F9509" i="3" s="1"/>
  <c r="F9533" i="3" s="1"/>
  <c r="F9557" i="3" s="1"/>
  <c r="F9581" i="3" s="1"/>
  <c r="F9605" i="3" s="1"/>
  <c r="F9629" i="3" s="1"/>
  <c r="F9653" i="3" s="1"/>
  <c r="F9677" i="3" s="1"/>
  <c r="F9701" i="3" s="1"/>
  <c r="F9725" i="3" s="1"/>
  <c r="F9749" i="3" s="1"/>
  <c r="F9773" i="3" s="1"/>
  <c r="F9797" i="3" s="1"/>
  <c r="F9821" i="3" s="1"/>
  <c r="F9845" i="3" s="1"/>
  <c r="F9869" i="3" s="1"/>
  <c r="F9893" i="3" s="1"/>
  <c r="F9917" i="3" s="1"/>
  <c r="F9941" i="3" s="1"/>
  <c r="F9965" i="3" s="1"/>
  <c r="F9989" i="3" s="1"/>
  <c r="F8051" i="3"/>
  <c r="F8075" i="3" s="1"/>
  <c r="F8099" i="3" s="1"/>
  <c r="F8123" i="3" s="1"/>
  <c r="F8147" i="3" s="1"/>
  <c r="F8171" i="3" s="1"/>
  <c r="F8195" i="3" s="1"/>
  <c r="F8219" i="3" s="1"/>
  <c r="F8243" i="3" s="1"/>
  <c r="F8267" i="3" s="1"/>
  <c r="F8291" i="3" s="1"/>
  <c r="F8315" i="3" s="1"/>
  <c r="F8339" i="3" s="1"/>
  <c r="F8363" i="3" s="1"/>
  <c r="F8387" i="3" s="1"/>
  <c r="F8411" i="3" s="1"/>
  <c r="F8435" i="3" s="1"/>
  <c r="F8459" i="3" s="1"/>
  <c r="F8483" i="3" s="1"/>
  <c r="F8507" i="3" s="1"/>
  <c r="F8531" i="3" s="1"/>
  <c r="F8555" i="3" s="1"/>
  <c r="F8579" i="3" s="1"/>
  <c r="F8603" i="3" s="1"/>
  <c r="F8627" i="3" s="1"/>
  <c r="F8651" i="3" s="1"/>
  <c r="F8675" i="3" s="1"/>
  <c r="F8699" i="3" s="1"/>
  <c r="F8723" i="3" s="1"/>
  <c r="F8747" i="3" s="1"/>
  <c r="F8771" i="3" s="1"/>
  <c r="F8795" i="3" s="1"/>
  <c r="F8819" i="3" s="1"/>
  <c r="F8843" i="3" s="1"/>
  <c r="F8867" i="3" s="1"/>
  <c r="F8891" i="3" s="1"/>
  <c r="F8915" i="3" s="1"/>
  <c r="F8939" i="3" s="1"/>
  <c r="F8963" i="3" s="1"/>
  <c r="F8987" i="3" s="1"/>
  <c r="F9011" i="3" s="1"/>
  <c r="F9035" i="3" s="1"/>
  <c r="F9059" i="3" s="1"/>
  <c r="F9083" i="3" s="1"/>
  <c r="F9107" i="3" s="1"/>
  <c r="F9131" i="3" s="1"/>
  <c r="F9155" i="3" s="1"/>
  <c r="F9179" i="3" s="1"/>
  <c r="F9203" i="3" s="1"/>
  <c r="F9227" i="3" s="1"/>
  <c r="F9251" i="3" s="1"/>
  <c r="F9275" i="3" s="1"/>
  <c r="F9299" i="3" s="1"/>
  <c r="F9323" i="3" s="1"/>
  <c r="F9347" i="3" s="1"/>
  <c r="F9371" i="3" s="1"/>
  <c r="F9395" i="3" s="1"/>
  <c r="F9419" i="3" s="1"/>
  <c r="F9443" i="3" s="1"/>
  <c r="F9467" i="3" s="1"/>
  <c r="F9491" i="3" s="1"/>
  <c r="F9515" i="3" s="1"/>
  <c r="F9539" i="3" s="1"/>
  <c r="F9563" i="3" s="1"/>
  <c r="F9587" i="3" s="1"/>
  <c r="F9611" i="3" s="1"/>
  <c r="F9635" i="3" s="1"/>
  <c r="F9659" i="3" s="1"/>
  <c r="F9683" i="3" s="1"/>
  <c r="F9707" i="3" s="1"/>
  <c r="F9731" i="3" s="1"/>
  <c r="F9755" i="3" s="1"/>
  <c r="F9779" i="3" s="1"/>
  <c r="F9803" i="3" s="1"/>
  <c r="F9827" i="3" s="1"/>
  <c r="F9851" i="3" s="1"/>
  <c r="F9875" i="3" s="1"/>
  <c r="F9899" i="3" s="1"/>
  <c r="F9923" i="3" s="1"/>
  <c r="F9947" i="3" s="1"/>
  <c r="F9971" i="3" s="1"/>
  <c r="F9995" i="3" s="1"/>
  <c r="F8032" i="3"/>
  <c r="F8056" i="3" s="1"/>
  <c r="F8080" i="3" s="1"/>
  <c r="F8104" i="3" s="1"/>
  <c r="F8128" i="3" s="1"/>
  <c r="F8152" i="3" s="1"/>
  <c r="F8176" i="3" s="1"/>
  <c r="F8200" i="3" s="1"/>
  <c r="F8224" i="3" s="1"/>
  <c r="F8248" i="3" s="1"/>
  <c r="F8272" i="3" s="1"/>
  <c r="F8296" i="3" s="1"/>
  <c r="F8320" i="3" s="1"/>
  <c r="F8344" i="3" s="1"/>
  <c r="F8368" i="3" s="1"/>
  <c r="F8392" i="3" s="1"/>
  <c r="F8416" i="3" s="1"/>
  <c r="F8440" i="3" s="1"/>
  <c r="F8464" i="3" s="1"/>
  <c r="F8488" i="3" s="1"/>
  <c r="F8512" i="3" s="1"/>
  <c r="F8536" i="3" s="1"/>
  <c r="F8560" i="3" s="1"/>
  <c r="F8584" i="3" s="1"/>
  <c r="F8608" i="3" s="1"/>
  <c r="F8632" i="3" s="1"/>
  <c r="F8656" i="3" s="1"/>
  <c r="F8680" i="3" s="1"/>
  <c r="F8704" i="3" s="1"/>
  <c r="F8728" i="3" s="1"/>
  <c r="F8752" i="3" s="1"/>
  <c r="F8776" i="3" s="1"/>
  <c r="F8800" i="3" s="1"/>
  <c r="F8824" i="3" s="1"/>
  <c r="F8848" i="3" s="1"/>
  <c r="F8872" i="3" s="1"/>
  <c r="F8896" i="3" s="1"/>
  <c r="F8920" i="3" s="1"/>
  <c r="F8944" i="3" s="1"/>
  <c r="F8968" i="3" s="1"/>
  <c r="F8992" i="3" s="1"/>
  <c r="F9016" i="3" s="1"/>
  <c r="F9040" i="3" s="1"/>
  <c r="F9064" i="3" s="1"/>
  <c r="F9088" i="3" s="1"/>
  <c r="F9112" i="3" s="1"/>
  <c r="F9136" i="3" s="1"/>
  <c r="F9160" i="3" s="1"/>
  <c r="F9184" i="3" s="1"/>
  <c r="F9208" i="3" s="1"/>
  <c r="F9232" i="3" s="1"/>
  <c r="F9256" i="3" s="1"/>
  <c r="F9280" i="3" s="1"/>
  <c r="F9304" i="3" s="1"/>
  <c r="F9328" i="3" s="1"/>
  <c r="F9352" i="3" s="1"/>
  <c r="F9376" i="3" s="1"/>
  <c r="F9400" i="3" s="1"/>
  <c r="F9424" i="3" s="1"/>
  <c r="F9448" i="3" s="1"/>
  <c r="F9472" i="3" s="1"/>
  <c r="F9496" i="3" s="1"/>
  <c r="F9520" i="3" s="1"/>
  <c r="F9544" i="3" s="1"/>
  <c r="F9568" i="3" s="1"/>
  <c r="F9592" i="3" s="1"/>
  <c r="F9616" i="3" s="1"/>
  <c r="F9640" i="3" s="1"/>
  <c r="F9664" i="3" s="1"/>
  <c r="F9688" i="3" s="1"/>
  <c r="F9712" i="3" s="1"/>
  <c r="F9736" i="3" s="1"/>
  <c r="F9760" i="3" s="1"/>
  <c r="F9784" i="3" s="1"/>
  <c r="F9808" i="3" s="1"/>
  <c r="F9832" i="3" s="1"/>
  <c r="F9856" i="3" s="1"/>
  <c r="F9880" i="3" s="1"/>
  <c r="F9904" i="3" s="1"/>
  <c r="F9928" i="3" s="1"/>
  <c r="F9952" i="3" s="1"/>
  <c r="F9976" i="3" s="1"/>
  <c r="F10000" i="3" s="1"/>
  <c r="E5402" i="3"/>
  <c r="E5425" i="3"/>
  <c r="E5424" i="3"/>
  <c r="E5423" i="3"/>
  <c r="E5422" i="3"/>
  <c r="E5418" i="3"/>
  <c r="E5417" i="3"/>
  <c r="E5416" i="3"/>
  <c r="E5414" i="3"/>
  <c r="E5412" i="3"/>
  <c r="E5409" i="3"/>
  <c r="E5407" i="3"/>
  <c r="E5405" i="3"/>
  <c r="E5403" i="3"/>
  <c r="E5421" i="3"/>
  <c r="E5420" i="3"/>
  <c r="E5413" i="3"/>
  <c r="M225" i="1"/>
  <c r="E5377" i="3"/>
  <c r="E5374" i="3"/>
  <c r="E5373" i="3"/>
  <c r="E5370" i="3"/>
  <c r="E5369" i="3"/>
  <c r="E5366" i="3"/>
  <c r="E5361" i="3"/>
  <c r="E5359" i="3"/>
  <c r="E5358" i="3"/>
  <c r="E5355" i="3"/>
  <c r="E5365" i="3"/>
  <c r="E5354" i="3"/>
  <c r="E5376" i="3"/>
  <c r="E5375" i="3"/>
  <c r="E5368" i="3"/>
  <c r="M224" i="1"/>
  <c r="E5330" i="3"/>
  <c r="E5353" i="3"/>
  <c r="E5351" i="3"/>
  <c r="E5350" i="3"/>
  <c r="E5345" i="3"/>
  <c r="E5342" i="3"/>
  <c r="E5341" i="3"/>
  <c r="E5337" i="3"/>
  <c r="E5335" i="3"/>
  <c r="E5331" i="3"/>
  <c r="E5349" i="3"/>
  <c r="E5339" i="3"/>
  <c r="E5325" i="3"/>
  <c r="E5322" i="3"/>
  <c r="E5320" i="3"/>
  <c r="E5318" i="3"/>
  <c r="E5317" i="3"/>
  <c r="E5313" i="3"/>
  <c r="E5309" i="3"/>
  <c r="E5307" i="3"/>
  <c r="M223" i="1"/>
  <c r="M222" i="1"/>
  <c r="E5305" i="3"/>
  <c r="E5303" i="3"/>
  <c r="E5302" i="3"/>
  <c r="E5301" i="3"/>
  <c r="E5298" i="3"/>
  <c r="E5297" i="3"/>
  <c r="E5296" i="3"/>
  <c r="E5294" i="3"/>
  <c r="E5293" i="3"/>
  <c r="E5285" i="3"/>
  <c r="E5283" i="3"/>
  <c r="E5282" i="3"/>
  <c r="E5304" i="3"/>
  <c r="E5289" i="3"/>
  <c r="E5286" i="3"/>
  <c r="M221" i="1"/>
  <c r="C114" i="1"/>
  <c r="C119" i="1"/>
  <c r="C120" i="1" s="1"/>
  <c r="C122" i="1"/>
  <c r="C123" i="1" s="1"/>
  <c r="C124" i="1" s="1"/>
  <c r="C125" i="1" s="1"/>
  <c r="C136" i="1"/>
  <c r="C138" i="1"/>
  <c r="C142" i="1"/>
  <c r="C143" i="1" s="1"/>
  <c r="C144" i="1" s="1"/>
  <c r="C145" i="1" s="1"/>
  <c r="C146" i="1" s="1"/>
  <c r="C147" i="1" s="1"/>
  <c r="C148" i="1" s="1"/>
  <c r="C149" i="1" s="1"/>
  <c r="C150" i="1" s="1"/>
  <c r="C151" i="1" s="1"/>
  <c r="C152" i="1" s="1"/>
  <c r="C153" i="1" s="1"/>
  <c r="C154" i="1" s="1"/>
  <c r="C155" i="1" s="1"/>
  <c r="C156" i="1" s="1"/>
  <c r="C157" i="1" s="1"/>
  <c r="C158" i="1" s="1"/>
  <c r="M220" i="1"/>
  <c r="M219" i="1"/>
  <c r="T200" i="23" l="1"/>
  <c r="AC190" i="23"/>
  <c r="X189" i="23"/>
  <c r="AF189" i="23"/>
  <c r="E202" i="23"/>
  <c r="S190" i="23"/>
  <c r="C191" i="23"/>
  <c r="K191" i="23" s="1"/>
  <c r="AB205" i="23" s="1"/>
  <c r="R190" i="23"/>
  <c r="Q190" i="23"/>
  <c r="T190" i="23"/>
  <c r="C159" i="1"/>
  <c r="M218" i="1"/>
  <c r="M217" i="1"/>
  <c r="E5185" i="3"/>
  <c r="E5182" i="3"/>
  <c r="E5180" i="3"/>
  <c r="E5179" i="3"/>
  <c r="E5178" i="3"/>
  <c r="E5177" i="3"/>
  <c r="E5174" i="3"/>
  <c r="E5171" i="3"/>
  <c r="E5167" i="3"/>
  <c r="E5163" i="3"/>
  <c r="E5183" i="3"/>
  <c r="E5181" i="3"/>
  <c r="E5176" i="3"/>
  <c r="E5172" i="3"/>
  <c r="E5165" i="3"/>
  <c r="M216" i="1"/>
  <c r="E5160" i="3"/>
  <c r="E5158" i="3"/>
  <c r="E5156" i="3"/>
  <c r="E5154" i="3"/>
  <c r="E5153" i="3"/>
  <c r="E5150" i="3"/>
  <c r="E5147" i="3"/>
  <c r="E5144" i="3"/>
  <c r="E5143" i="3"/>
  <c r="E5139" i="3"/>
  <c r="E5159" i="3"/>
  <c r="E5152" i="3"/>
  <c r="E5145" i="3"/>
  <c r="E5141" i="3"/>
  <c r="M214" i="1"/>
  <c r="M215" i="1"/>
  <c r="T201" i="23" l="1"/>
  <c r="AC191" i="23"/>
  <c r="X190" i="23"/>
  <c r="AF190" i="23"/>
  <c r="S191" i="23"/>
  <c r="C192" i="23"/>
  <c r="K192" i="23" s="1"/>
  <c r="AB206" i="23" s="1"/>
  <c r="R191" i="23"/>
  <c r="Q191" i="23"/>
  <c r="T191" i="23"/>
  <c r="E203" i="23"/>
  <c r="C160" i="1"/>
  <c r="T202" i="23" l="1"/>
  <c r="AC192" i="23"/>
  <c r="X191" i="23"/>
  <c r="AF191" i="23"/>
  <c r="E204" i="23"/>
  <c r="C193" i="23"/>
  <c r="Q192" i="23"/>
  <c r="S192" i="23"/>
  <c r="R192" i="23"/>
  <c r="T192" i="23"/>
  <c r="C161" i="1"/>
  <c r="AC193" i="23" l="1"/>
  <c r="K193" i="23"/>
  <c r="AB207" i="23" s="1"/>
  <c r="X192" i="23"/>
  <c r="AF192" i="23"/>
  <c r="E205" i="23"/>
  <c r="Q193" i="23"/>
  <c r="C194" i="23"/>
  <c r="S193" i="23"/>
  <c r="R193" i="23"/>
  <c r="T193" i="23"/>
  <c r="T203" i="23"/>
  <c r="C162" i="1"/>
  <c r="AC194" i="23" l="1"/>
  <c r="K194" i="23"/>
  <c r="AB208" i="23" s="1"/>
  <c r="X193" i="23"/>
  <c r="AF193" i="23"/>
  <c r="C195" i="23"/>
  <c r="K195" i="23" s="1"/>
  <c r="AB209" i="23" s="1"/>
  <c r="R194" i="23"/>
  <c r="Q194" i="23"/>
  <c r="S194" i="23"/>
  <c r="T194" i="23"/>
  <c r="T204" i="23"/>
  <c r="E206" i="23"/>
  <c r="C163" i="1"/>
  <c r="T205" i="23" l="1"/>
  <c r="AC195" i="23"/>
  <c r="X194" i="23"/>
  <c r="AF194" i="23"/>
  <c r="E207" i="23"/>
  <c r="S195" i="23"/>
  <c r="Q195" i="23"/>
  <c r="C196" i="23"/>
  <c r="K196" i="23" s="1"/>
  <c r="AB210" i="23" s="1"/>
  <c r="R195" i="23"/>
  <c r="T195" i="23"/>
  <c r="C164" i="1"/>
  <c r="E5081" i="3"/>
  <c r="M213" i="1"/>
  <c r="M212" i="1"/>
  <c r="E5078" i="3"/>
  <c r="E5067" i="3"/>
  <c r="E5087" i="3"/>
  <c r="E5086" i="3"/>
  <c r="E5083" i="3"/>
  <c r="E5082" i="3"/>
  <c r="E5075" i="3"/>
  <c r="E5073" i="3"/>
  <c r="E5071" i="3"/>
  <c r="E5070" i="3"/>
  <c r="E5069" i="3"/>
  <c r="E5066" i="3"/>
  <c r="E5085" i="3"/>
  <c r="E5084" i="3"/>
  <c r="E5080" i="3"/>
  <c r="T206" i="23" l="1"/>
  <c r="AC196" i="23"/>
  <c r="X195" i="23"/>
  <c r="AF195" i="23"/>
  <c r="C197" i="23"/>
  <c r="R196" i="23"/>
  <c r="S196" i="23"/>
  <c r="Q196" i="23"/>
  <c r="T196" i="23"/>
  <c r="E208" i="23"/>
  <c r="C165" i="1"/>
  <c r="M211" i="1"/>
  <c r="AC197" i="23" l="1"/>
  <c r="K197" i="23"/>
  <c r="AB211" i="23" s="1"/>
  <c r="T207" i="23"/>
  <c r="X196" i="23"/>
  <c r="AF196" i="23"/>
  <c r="E209" i="23"/>
  <c r="Q197" i="23"/>
  <c r="S197" i="23"/>
  <c r="C198" i="23"/>
  <c r="K198" i="23" s="1"/>
  <c r="AB212" i="23" s="1"/>
  <c r="R197" i="23"/>
  <c r="C166" i="1"/>
  <c r="M210" i="1"/>
  <c r="T208" i="23" l="1"/>
  <c r="AC198" i="23"/>
  <c r="X197" i="23"/>
  <c r="AF197" i="23"/>
  <c r="C199" i="23"/>
  <c r="K199" i="23" s="1"/>
  <c r="AB213" i="23" s="1"/>
  <c r="R198" i="23"/>
  <c r="Q198" i="23"/>
  <c r="S198" i="23"/>
  <c r="E210" i="23"/>
  <c r="C167" i="1"/>
  <c r="E5015" i="3"/>
  <c r="E5014" i="3"/>
  <c r="E5013" i="3"/>
  <c r="E5010" i="3"/>
  <c r="E5009" i="3"/>
  <c r="E5004" i="3"/>
  <c r="E5003" i="3"/>
  <c r="E4999" i="3"/>
  <c r="E4995" i="3"/>
  <c r="E4994" i="3"/>
  <c r="E5008" i="3"/>
  <c r="E5006" i="3"/>
  <c r="E5001" i="3"/>
  <c r="E5000" i="3"/>
  <c r="E4997" i="3"/>
  <c r="M209" i="1"/>
  <c r="M208" i="1"/>
  <c r="T209" i="23" l="1"/>
  <c r="AC199" i="23"/>
  <c r="X198" i="23"/>
  <c r="AF198" i="23"/>
  <c r="E211" i="23"/>
  <c r="S199" i="23"/>
  <c r="Q199" i="23"/>
  <c r="C200" i="23"/>
  <c r="K200" i="23" s="1"/>
  <c r="AB214" i="23" s="1"/>
  <c r="R199" i="23"/>
  <c r="C168" i="1"/>
  <c r="E4990" i="3"/>
  <c r="E4989" i="3"/>
  <c r="E4987" i="3"/>
  <c r="E4986" i="3"/>
  <c r="E4982" i="3"/>
  <c r="E4980" i="3"/>
  <c r="E4979" i="3"/>
  <c r="E4977" i="3"/>
  <c r="E4975" i="3"/>
  <c r="E4974" i="3"/>
  <c r="E4973" i="3"/>
  <c r="E4971" i="3"/>
  <c r="E4970" i="3"/>
  <c r="E4991" i="3"/>
  <c r="E4985" i="3"/>
  <c r="E4984" i="3"/>
  <c r="E4874" i="3"/>
  <c r="E4969" i="3"/>
  <c r="E4968" i="3"/>
  <c r="E4967" i="3"/>
  <c r="E4966" i="3"/>
  <c r="E4962" i="3"/>
  <c r="E4958" i="3"/>
  <c r="E4955" i="3"/>
  <c r="E4951" i="3"/>
  <c r="E4950" i="3"/>
  <c r="E4949" i="3"/>
  <c r="E4947" i="3"/>
  <c r="E4946" i="3"/>
  <c r="E4965" i="3"/>
  <c r="E4964" i="3"/>
  <c r="E4960" i="3"/>
  <c r="E4953" i="3"/>
  <c r="T210" i="23" l="1"/>
  <c r="AC200" i="23"/>
  <c r="X199" i="23"/>
  <c r="AF199" i="23"/>
  <c r="Q200" i="23"/>
  <c r="S200" i="23"/>
  <c r="C201" i="23"/>
  <c r="R200" i="23"/>
  <c r="E212" i="23"/>
  <c r="C169" i="1"/>
  <c r="M207" i="1"/>
  <c r="E4942" i="3"/>
  <c r="E4941" i="3"/>
  <c r="E4938" i="3"/>
  <c r="E4937" i="3"/>
  <c r="E4936" i="3"/>
  <c r="E4934" i="3"/>
  <c r="E4931" i="3"/>
  <c r="E4929" i="3"/>
  <c r="E4927" i="3"/>
  <c r="E4923" i="3"/>
  <c r="E4945" i="3"/>
  <c r="E4944" i="3"/>
  <c r="E4943" i="3"/>
  <c r="E4928" i="3"/>
  <c r="E4925" i="3"/>
  <c r="M206" i="1"/>
  <c r="AC201" i="23" l="1"/>
  <c r="K201" i="23"/>
  <c r="AB215" i="23" s="1"/>
  <c r="X200" i="23"/>
  <c r="AF200" i="23"/>
  <c r="C202" i="23"/>
  <c r="K202" i="23" s="1"/>
  <c r="AB216" i="23" s="1"/>
  <c r="R201" i="23"/>
  <c r="S201" i="23"/>
  <c r="Q201" i="23"/>
  <c r="T211" i="23"/>
  <c r="E213" i="23"/>
  <c r="C170" i="1"/>
  <c r="E4918" i="3"/>
  <c r="E4915" i="3"/>
  <c r="E4914" i="3"/>
  <c r="E4913" i="3"/>
  <c r="E4912" i="3"/>
  <c r="E4910" i="3"/>
  <c r="E4907" i="3"/>
  <c r="E4905" i="3"/>
  <c r="E4903" i="3"/>
  <c r="E4902" i="3"/>
  <c r="E4901" i="3"/>
  <c r="E4899" i="3"/>
  <c r="E4898" i="3"/>
  <c r="E4920" i="3"/>
  <c r="E4919" i="3"/>
  <c r="E4917" i="3"/>
  <c r="M204" i="1"/>
  <c r="M205" i="1"/>
  <c r="T212" i="23" l="1"/>
  <c r="AC202" i="23"/>
  <c r="X201" i="23"/>
  <c r="AF201" i="23"/>
  <c r="E214" i="23"/>
  <c r="S202" i="23"/>
  <c r="Q202" i="23"/>
  <c r="C203" i="23"/>
  <c r="K203" i="23" s="1"/>
  <c r="AB217" i="23" s="1"/>
  <c r="R202" i="23"/>
  <c r="C171" i="1"/>
  <c r="E4896" i="3"/>
  <c r="E4895" i="3"/>
  <c r="E4894" i="3"/>
  <c r="E4892" i="3"/>
  <c r="E4890" i="3"/>
  <c r="E4889" i="3"/>
  <c r="E4888" i="3"/>
  <c r="E4886" i="3"/>
  <c r="E4883" i="3"/>
  <c r="E4881" i="3"/>
  <c r="E4879" i="3"/>
  <c r="E4878" i="3"/>
  <c r="E4875" i="3"/>
  <c r="E4893" i="3"/>
  <c r="D203" i="1"/>
  <c r="M203" i="1"/>
  <c r="E4835" i="3"/>
  <c r="E4826" i="3"/>
  <c r="E4849" i="3"/>
  <c r="E4847" i="3"/>
  <c r="E4846" i="3"/>
  <c r="E4842" i="3"/>
  <c r="E4838" i="3"/>
  <c r="E4831" i="3"/>
  <c r="E4827" i="3"/>
  <c r="E4840" i="3"/>
  <c r="E4837" i="3"/>
  <c r="E4833" i="3"/>
  <c r="E4832" i="3"/>
  <c r="E4848" i="3"/>
  <c r="L202" i="1"/>
  <c r="K202" i="1" s="1"/>
  <c r="E4825" i="3"/>
  <c r="E4822" i="3"/>
  <c r="E4818" i="3"/>
  <c r="E4817" i="3"/>
  <c r="E4807" i="3"/>
  <c r="E4803" i="3"/>
  <c r="E4802" i="3"/>
  <c r="E4819" i="3"/>
  <c r="E4814" i="3"/>
  <c r="E4809" i="3"/>
  <c r="E4808" i="3"/>
  <c r="T213" i="23" l="1"/>
  <c r="X202" i="23"/>
  <c r="AF202" i="23"/>
  <c r="Q203" i="23"/>
  <c r="S203" i="23"/>
  <c r="C204" i="23"/>
  <c r="K204" i="23" s="1"/>
  <c r="AB218" i="23" s="1"/>
  <c r="R203" i="23"/>
  <c r="E215" i="23"/>
  <c r="C172" i="1"/>
  <c r="AC204" i="23" l="1"/>
  <c r="M204" i="23"/>
  <c r="AC203" i="23"/>
  <c r="M203" i="23"/>
  <c r="X203" i="23"/>
  <c r="AF203" i="23"/>
  <c r="E216" i="23"/>
  <c r="T215" i="23"/>
  <c r="C205" i="23"/>
  <c r="K205" i="23" s="1"/>
  <c r="AB219" i="23" s="1"/>
  <c r="R204" i="23"/>
  <c r="S204" i="23"/>
  <c r="Q204" i="23"/>
  <c r="T214" i="23"/>
  <c r="C173" i="1"/>
  <c r="D202" i="1"/>
  <c r="E4816" i="3"/>
  <c r="E4811" i="3"/>
  <c r="E4805" i="3"/>
  <c r="L201" i="1"/>
  <c r="K201" i="1" s="1"/>
  <c r="E4800" i="3"/>
  <c r="E4798" i="3"/>
  <c r="E4797" i="3"/>
  <c r="E4795" i="3"/>
  <c r="E4794" i="3"/>
  <c r="E4793" i="3"/>
  <c r="E4790" i="3"/>
  <c r="E4785" i="3"/>
  <c r="E4783" i="3"/>
  <c r="E4781" i="3"/>
  <c r="E4779" i="3"/>
  <c r="E4778" i="3"/>
  <c r="E4789" i="3"/>
  <c r="E4782" i="3"/>
  <c r="D201" i="1"/>
  <c r="D197" i="1"/>
  <c r="E4682" i="3"/>
  <c r="E4792" i="3"/>
  <c r="L200" i="1"/>
  <c r="K200" i="1" s="1"/>
  <c r="E4776" i="3"/>
  <c r="E4774" i="3"/>
  <c r="E4770" i="3"/>
  <c r="E4769" i="3"/>
  <c r="E4763" i="3"/>
  <c r="E4761" i="3"/>
  <c r="E4759" i="3"/>
  <c r="E4755" i="3"/>
  <c r="E4777" i="3"/>
  <c r="E4775" i="3"/>
  <c r="E4773" i="3"/>
  <c r="E4766" i="3"/>
  <c r="E4765" i="3"/>
  <c r="E4757" i="3"/>
  <c r="E4768" i="3"/>
  <c r="E4758" i="3"/>
  <c r="L199" i="1"/>
  <c r="K199" i="1" s="1"/>
  <c r="E4750" i="3"/>
  <c r="E4747" i="3"/>
  <c r="E4746" i="3"/>
  <c r="E4745" i="3"/>
  <c r="E4737" i="3"/>
  <c r="E4735" i="3"/>
  <c r="E4731" i="3"/>
  <c r="E4730" i="3"/>
  <c r="E4752" i="3"/>
  <c r="E4753" i="3"/>
  <c r="E4749" i="3"/>
  <c r="E4742" i="3"/>
  <c r="D199" i="1"/>
  <c r="E4744" i="3"/>
  <c r="L198" i="1"/>
  <c r="K198" i="1" s="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E4726" i="3"/>
  <c r="E4722" i="3"/>
  <c r="E4721" i="3"/>
  <c r="E4718" i="3"/>
  <c r="E4717" i="3"/>
  <c r="E4715" i="3"/>
  <c r="E4713" i="3"/>
  <c r="E4711" i="3"/>
  <c r="E4710" i="3"/>
  <c r="E4707" i="3"/>
  <c r="E4706" i="3"/>
  <c r="E4709" i="3"/>
  <c r="D198" i="1"/>
  <c r="E4729" i="3"/>
  <c r="E4720" i="3"/>
  <c r="L197" i="1"/>
  <c r="K197" i="1" s="1"/>
  <c r="E4704" i="3"/>
  <c r="E4702" i="3"/>
  <c r="E4701" i="3"/>
  <c r="E4698" i="3"/>
  <c r="E4697" i="3"/>
  <c r="E4694" i="3"/>
  <c r="E4691" i="3"/>
  <c r="E4687" i="3"/>
  <c r="E4686" i="3"/>
  <c r="E4685" i="3"/>
  <c r="E4683" i="3"/>
  <c r="E4703" i="3"/>
  <c r="E4693" i="3"/>
  <c r="E4696" i="3"/>
  <c r="L196" i="1"/>
  <c r="K196" i="1" s="1"/>
  <c r="E4669" i="3"/>
  <c r="E4663" i="3"/>
  <c r="E4659" i="3"/>
  <c r="E4658" i="3"/>
  <c r="E4680" i="3"/>
  <c r="E4678" i="3"/>
  <c r="E4672" i="3"/>
  <c r="E4670" i="3"/>
  <c r="E4667" i="3"/>
  <c r="E4665" i="3"/>
  <c r="D196" i="1"/>
  <c r="E4674" i="3"/>
  <c r="E4673" i="3"/>
  <c r="E4679" i="3"/>
  <c r="E4661" i="3"/>
  <c r="L195" i="1"/>
  <c r="K195" i="1" s="1"/>
  <c r="E4656" i="3"/>
  <c r="E4654" i="3"/>
  <c r="E4651" i="3"/>
  <c r="E4638" i="3"/>
  <c r="E4637" i="3"/>
  <c r="E4635" i="3"/>
  <c r="E4634" i="3"/>
  <c r="E4657" i="3"/>
  <c r="E4650" i="3"/>
  <c r="E4646" i="3"/>
  <c r="E4639" i="3"/>
  <c r="D195" i="1"/>
  <c r="AC205" i="23" l="1"/>
  <c r="M205" i="23"/>
  <c r="X204" i="23"/>
  <c r="AF204" i="23"/>
  <c r="S205" i="23"/>
  <c r="Q205" i="23"/>
  <c r="C206" i="23"/>
  <c r="K206" i="23" s="1"/>
  <c r="AB220" i="23" s="1"/>
  <c r="R205" i="23"/>
  <c r="E217" i="23"/>
  <c r="T216" i="23"/>
  <c r="C174" i="1"/>
  <c r="E4643" i="3"/>
  <c r="AC206" i="23" l="1"/>
  <c r="M206" i="23"/>
  <c r="X205" i="23"/>
  <c r="AF205" i="23"/>
  <c r="C207" i="23"/>
  <c r="K207" i="23" s="1"/>
  <c r="AB221" i="23" s="1"/>
  <c r="R206" i="23"/>
  <c r="S206" i="23"/>
  <c r="Q206" i="23"/>
  <c r="E218" i="23"/>
  <c r="T217" i="23"/>
  <c r="C175" i="1"/>
  <c r="L194" i="1"/>
  <c r="K194" i="1" s="1"/>
  <c r="AC207" i="23" l="1"/>
  <c r="M207" i="23"/>
  <c r="X206" i="23"/>
  <c r="AF206" i="23"/>
  <c r="E219" i="23"/>
  <c r="T218" i="23"/>
  <c r="Q207" i="23"/>
  <c r="S207" i="23"/>
  <c r="C208" i="23"/>
  <c r="K208" i="23" s="1"/>
  <c r="AB222" i="23" s="1"/>
  <c r="R207" i="23"/>
  <c r="C176" i="1"/>
  <c r="E4624" i="3"/>
  <c r="E4630" i="3"/>
  <c r="E4626" i="3"/>
  <c r="E4625" i="3"/>
  <c r="E4632" i="3"/>
  <c r="E4622" i="3"/>
  <c r="E4615" i="3"/>
  <c r="E4611" i="3"/>
  <c r="E4633" i="3"/>
  <c r="E4616" i="3"/>
  <c r="E4613" i="3"/>
  <c r="D194" i="1"/>
  <c r="AC208" i="23" l="1"/>
  <c r="M208" i="23"/>
  <c r="X207" i="23"/>
  <c r="AF207" i="23"/>
  <c r="C209" i="23"/>
  <c r="K209" i="23" s="1"/>
  <c r="AB223" i="23" s="1"/>
  <c r="R208" i="23"/>
  <c r="Q208" i="23"/>
  <c r="S208" i="23"/>
  <c r="E220" i="23"/>
  <c r="T219" i="23"/>
  <c r="C177" i="1"/>
  <c r="E4619" i="3"/>
  <c r="L193" i="1"/>
  <c r="K193" i="1" s="1"/>
  <c r="H4" i="12"/>
  <c r="H5" i="12"/>
  <c r="H6" i="12"/>
  <c r="H7" i="12"/>
  <c r="H8" i="12"/>
  <c r="H9" i="12"/>
  <c r="H10" i="12"/>
  <c r="H11" i="12"/>
  <c r="H12" i="12"/>
  <c r="H13" i="12"/>
  <c r="H14" i="12"/>
  <c r="H15" i="12"/>
  <c r="H16" i="12"/>
  <c r="H17" i="12"/>
  <c r="H18" i="12"/>
  <c r="H19" i="12"/>
  <c r="H20" i="12"/>
  <c r="H21" i="12"/>
  <c r="H22" i="12"/>
  <c r="H23" i="12"/>
  <c r="H24" i="12"/>
  <c r="H25" i="12"/>
  <c r="H26" i="12"/>
  <c r="H3" i="12"/>
  <c r="F4" i="12"/>
  <c r="F5" i="12"/>
  <c r="F6" i="12"/>
  <c r="F7" i="12"/>
  <c r="F8" i="12"/>
  <c r="F9" i="12"/>
  <c r="F10" i="12"/>
  <c r="F11" i="12"/>
  <c r="F12" i="12"/>
  <c r="F13" i="12"/>
  <c r="F14" i="12"/>
  <c r="F15" i="12"/>
  <c r="F16" i="12"/>
  <c r="F17" i="12"/>
  <c r="F18" i="12"/>
  <c r="F19" i="12"/>
  <c r="F20" i="12"/>
  <c r="F21" i="12"/>
  <c r="F22" i="12"/>
  <c r="F23" i="12"/>
  <c r="F24" i="12"/>
  <c r="F25" i="12"/>
  <c r="F26" i="12"/>
  <c r="F3" i="12"/>
  <c r="AC209" i="23" l="1"/>
  <c r="M209" i="23"/>
  <c r="X208" i="23"/>
  <c r="AF208" i="23"/>
  <c r="E221" i="23"/>
  <c r="T220" i="23"/>
  <c r="S209" i="23"/>
  <c r="Q209" i="23"/>
  <c r="C210" i="23"/>
  <c r="K210" i="23" s="1"/>
  <c r="AB224" i="23" s="1"/>
  <c r="R209" i="23"/>
  <c r="C178" i="1"/>
  <c r="E4521" i="3"/>
  <c r="D190" i="1"/>
  <c r="E4607" i="3"/>
  <c r="E4602" i="3"/>
  <c r="E4606" i="3"/>
  <c r="E4601" i="3"/>
  <c r="E4608" i="3"/>
  <c r="E4598" i="3"/>
  <c r="E4597" i="3"/>
  <c r="E4595" i="3"/>
  <c r="E4591" i="3"/>
  <c r="E4593" i="3"/>
  <c r="E4586" i="3"/>
  <c r="E4600" i="3"/>
  <c r="E4589" i="3"/>
  <c r="D192" i="1"/>
  <c r="D193" i="1"/>
  <c r="L192" i="1"/>
  <c r="K192" i="1" s="1"/>
  <c r="AC210" i="23" l="1"/>
  <c r="M210" i="23"/>
  <c r="X209" i="23"/>
  <c r="AF209" i="23"/>
  <c r="C211" i="23"/>
  <c r="K211" i="23" s="1"/>
  <c r="AB225" i="23" s="1"/>
  <c r="R210" i="23"/>
  <c r="S210" i="23"/>
  <c r="Q210" i="23"/>
  <c r="E222" i="23"/>
  <c r="T221" i="23"/>
  <c r="C179" i="1"/>
  <c r="E4582" i="3"/>
  <c r="E4578" i="3"/>
  <c r="E4576" i="3"/>
  <c r="E4571" i="3"/>
  <c r="E4567" i="3"/>
  <c r="E4584" i="3"/>
  <c r="E4583" i="3"/>
  <c r="E4574" i="3"/>
  <c r="D191" i="1"/>
  <c r="L179" i="1"/>
  <c r="L180" i="1"/>
  <c r="L181" i="1"/>
  <c r="K181" i="1" s="1"/>
  <c r="L182" i="1"/>
  <c r="K182" i="1" s="1"/>
  <c r="L183" i="1"/>
  <c r="K183" i="1" s="1"/>
  <c r="L184" i="1"/>
  <c r="K184" i="1" s="1"/>
  <c r="L185" i="1"/>
  <c r="L186" i="1"/>
  <c r="K186" i="1" s="1"/>
  <c r="L187" i="1"/>
  <c r="K187" i="1" s="1"/>
  <c r="L188" i="1"/>
  <c r="K188" i="1" s="1"/>
  <c r="L189" i="1"/>
  <c r="K189" i="1" s="1"/>
  <c r="L190" i="1"/>
  <c r="K190" i="1" s="1"/>
  <c r="L191" i="1"/>
  <c r="K191" i="1" s="1"/>
  <c r="F26" i="3"/>
  <c r="F50" i="3" s="1"/>
  <c r="F74" i="3" s="1"/>
  <c r="F98" i="3" s="1"/>
  <c r="F122" i="3" s="1"/>
  <c r="F146" i="3" s="1"/>
  <c r="F170" i="3" s="1"/>
  <c r="F194" i="3" s="1"/>
  <c r="F218" i="3" s="1"/>
  <c r="F242" i="3" s="1"/>
  <c r="F266" i="3" s="1"/>
  <c r="F290" i="3" s="1"/>
  <c r="F314" i="3" s="1"/>
  <c r="F338" i="3" s="1"/>
  <c r="F362" i="3" s="1"/>
  <c r="F386" i="3" s="1"/>
  <c r="F410" i="3" s="1"/>
  <c r="F434" i="3" s="1"/>
  <c r="F458" i="3" s="1"/>
  <c r="F482" i="3" s="1"/>
  <c r="F506" i="3" s="1"/>
  <c r="F530" i="3" s="1"/>
  <c r="F554" i="3" s="1"/>
  <c r="F578" i="3" s="1"/>
  <c r="F602" i="3" s="1"/>
  <c r="F626" i="3" s="1"/>
  <c r="F650" i="3" s="1"/>
  <c r="F674" i="3" s="1"/>
  <c r="F698" i="3" s="1"/>
  <c r="F722" i="3" s="1"/>
  <c r="F746" i="3" s="1"/>
  <c r="F770" i="3" s="1"/>
  <c r="F794" i="3" s="1"/>
  <c r="F818" i="3" s="1"/>
  <c r="F842" i="3" s="1"/>
  <c r="F866" i="3" s="1"/>
  <c r="F890" i="3" s="1"/>
  <c r="F914" i="3" s="1"/>
  <c r="F938" i="3" s="1"/>
  <c r="F962" i="3" s="1"/>
  <c r="F986" i="3" s="1"/>
  <c r="F1010" i="3" s="1"/>
  <c r="F1034" i="3" s="1"/>
  <c r="F1058" i="3" s="1"/>
  <c r="F1082" i="3" s="1"/>
  <c r="F1106" i="3" s="1"/>
  <c r="F1130" i="3" s="1"/>
  <c r="F1154" i="3" s="1"/>
  <c r="F1178" i="3" s="1"/>
  <c r="F1202" i="3" s="1"/>
  <c r="F1226" i="3" s="1"/>
  <c r="F1250" i="3" s="1"/>
  <c r="F1274" i="3" s="1"/>
  <c r="F1298" i="3" s="1"/>
  <c r="F1322" i="3" s="1"/>
  <c r="F1346" i="3" s="1"/>
  <c r="F1370" i="3" s="1"/>
  <c r="F1394" i="3" s="1"/>
  <c r="F1418" i="3" s="1"/>
  <c r="F1442" i="3" s="1"/>
  <c r="F1466" i="3" s="1"/>
  <c r="F1490" i="3" s="1"/>
  <c r="F1514" i="3" s="1"/>
  <c r="F1538" i="3" s="1"/>
  <c r="F1562" i="3" s="1"/>
  <c r="F1586" i="3" s="1"/>
  <c r="F1610" i="3" s="1"/>
  <c r="F1634" i="3" s="1"/>
  <c r="F1658" i="3" s="1"/>
  <c r="F1682" i="3" s="1"/>
  <c r="F1706" i="3" s="1"/>
  <c r="F1730" i="3" s="1"/>
  <c r="F1754" i="3" s="1"/>
  <c r="F1778" i="3" s="1"/>
  <c r="F1802" i="3" s="1"/>
  <c r="F1826" i="3" s="1"/>
  <c r="F1850" i="3" s="1"/>
  <c r="F1874" i="3" s="1"/>
  <c r="F1898" i="3" s="1"/>
  <c r="F1922" i="3" s="1"/>
  <c r="F1946" i="3" s="1"/>
  <c r="F1970" i="3" s="1"/>
  <c r="F1994" i="3" s="1"/>
  <c r="F2018" i="3" s="1"/>
  <c r="F2042" i="3" s="1"/>
  <c r="F2066" i="3" s="1"/>
  <c r="F2090" i="3" s="1"/>
  <c r="F2114" i="3" s="1"/>
  <c r="F2138" i="3" s="1"/>
  <c r="F2162" i="3" s="1"/>
  <c r="F2186" i="3" s="1"/>
  <c r="F2210" i="3" s="1"/>
  <c r="F2234" i="3" s="1"/>
  <c r="F2258" i="3" s="1"/>
  <c r="F2282" i="3" s="1"/>
  <c r="F2306" i="3" s="1"/>
  <c r="F2330" i="3" s="1"/>
  <c r="F2354" i="3" s="1"/>
  <c r="F2378" i="3" s="1"/>
  <c r="F2402" i="3" s="1"/>
  <c r="F2426" i="3" s="1"/>
  <c r="F2450" i="3" s="1"/>
  <c r="F2474" i="3" s="1"/>
  <c r="F2498" i="3" s="1"/>
  <c r="F2522" i="3" s="1"/>
  <c r="F2546" i="3" s="1"/>
  <c r="F2570" i="3" s="1"/>
  <c r="F2594" i="3" s="1"/>
  <c r="F2618" i="3" s="1"/>
  <c r="F2642" i="3" s="1"/>
  <c r="F2666" i="3" s="1"/>
  <c r="F2690" i="3" s="1"/>
  <c r="F2714" i="3" s="1"/>
  <c r="F2738" i="3" s="1"/>
  <c r="F2762" i="3" s="1"/>
  <c r="F2786" i="3" s="1"/>
  <c r="F2810" i="3" s="1"/>
  <c r="F2834" i="3" s="1"/>
  <c r="F2858" i="3" s="1"/>
  <c r="F2882" i="3" s="1"/>
  <c r="F2906" i="3" s="1"/>
  <c r="F2930" i="3" s="1"/>
  <c r="F2954" i="3" s="1"/>
  <c r="F2978" i="3" s="1"/>
  <c r="F3002" i="3" s="1"/>
  <c r="F3026" i="3" s="1"/>
  <c r="F3050" i="3" s="1"/>
  <c r="F3074" i="3" s="1"/>
  <c r="F3098" i="3" s="1"/>
  <c r="F3122" i="3" s="1"/>
  <c r="F3146" i="3" s="1"/>
  <c r="F3170" i="3" s="1"/>
  <c r="F3194" i="3" s="1"/>
  <c r="F3218" i="3" s="1"/>
  <c r="F3242" i="3" s="1"/>
  <c r="F3266" i="3" s="1"/>
  <c r="F3290" i="3" s="1"/>
  <c r="F3314" i="3" s="1"/>
  <c r="F3338" i="3" s="1"/>
  <c r="F27" i="3"/>
  <c r="F51" i="3" s="1"/>
  <c r="F75" i="3" s="1"/>
  <c r="F99" i="3" s="1"/>
  <c r="F123" i="3" s="1"/>
  <c r="F147" i="3" s="1"/>
  <c r="F171" i="3" s="1"/>
  <c r="F195" i="3" s="1"/>
  <c r="F219" i="3" s="1"/>
  <c r="F243" i="3" s="1"/>
  <c r="F267" i="3" s="1"/>
  <c r="F291" i="3" s="1"/>
  <c r="F315" i="3" s="1"/>
  <c r="F339" i="3" s="1"/>
  <c r="F363" i="3" s="1"/>
  <c r="F387" i="3" s="1"/>
  <c r="F411" i="3" s="1"/>
  <c r="F435" i="3" s="1"/>
  <c r="F459" i="3" s="1"/>
  <c r="F483" i="3" s="1"/>
  <c r="F507" i="3" s="1"/>
  <c r="F531" i="3" s="1"/>
  <c r="F555" i="3" s="1"/>
  <c r="F579" i="3" s="1"/>
  <c r="F603" i="3" s="1"/>
  <c r="F627" i="3" s="1"/>
  <c r="F651" i="3" s="1"/>
  <c r="F675" i="3" s="1"/>
  <c r="F699" i="3" s="1"/>
  <c r="F723" i="3" s="1"/>
  <c r="F747" i="3" s="1"/>
  <c r="F771" i="3" s="1"/>
  <c r="F795" i="3" s="1"/>
  <c r="F819" i="3" s="1"/>
  <c r="F843" i="3" s="1"/>
  <c r="F867" i="3" s="1"/>
  <c r="F891" i="3" s="1"/>
  <c r="F915" i="3" s="1"/>
  <c r="F939" i="3" s="1"/>
  <c r="F963" i="3" s="1"/>
  <c r="F987" i="3" s="1"/>
  <c r="F1011" i="3" s="1"/>
  <c r="F1035" i="3" s="1"/>
  <c r="F1059" i="3" s="1"/>
  <c r="F1083" i="3" s="1"/>
  <c r="F1107" i="3" s="1"/>
  <c r="F1131" i="3" s="1"/>
  <c r="F1155" i="3" s="1"/>
  <c r="F1179" i="3" s="1"/>
  <c r="F1203" i="3" s="1"/>
  <c r="F1227" i="3" s="1"/>
  <c r="F1251" i="3" s="1"/>
  <c r="F1275" i="3" s="1"/>
  <c r="F1299" i="3" s="1"/>
  <c r="F1323" i="3" s="1"/>
  <c r="F1347" i="3" s="1"/>
  <c r="F1371" i="3" s="1"/>
  <c r="F1395" i="3" s="1"/>
  <c r="F1419" i="3" s="1"/>
  <c r="F1443" i="3" s="1"/>
  <c r="F1467" i="3" s="1"/>
  <c r="F1491" i="3" s="1"/>
  <c r="F1515" i="3" s="1"/>
  <c r="F1539" i="3" s="1"/>
  <c r="F1563" i="3" s="1"/>
  <c r="F1587" i="3" s="1"/>
  <c r="F1611" i="3" s="1"/>
  <c r="F1635" i="3" s="1"/>
  <c r="F1659" i="3" s="1"/>
  <c r="F1683" i="3" s="1"/>
  <c r="F1707" i="3" s="1"/>
  <c r="F1731" i="3" s="1"/>
  <c r="F1755" i="3" s="1"/>
  <c r="F1779" i="3" s="1"/>
  <c r="F1803" i="3" s="1"/>
  <c r="F1827" i="3" s="1"/>
  <c r="F1851" i="3" s="1"/>
  <c r="F1875" i="3" s="1"/>
  <c r="F1899" i="3" s="1"/>
  <c r="F1923" i="3" s="1"/>
  <c r="F1947" i="3" s="1"/>
  <c r="F1971" i="3" s="1"/>
  <c r="F1995" i="3" s="1"/>
  <c r="F2019" i="3" s="1"/>
  <c r="F2043" i="3" s="1"/>
  <c r="F2067" i="3" s="1"/>
  <c r="F2091" i="3" s="1"/>
  <c r="F2115" i="3" s="1"/>
  <c r="F2139" i="3" s="1"/>
  <c r="F2163" i="3" s="1"/>
  <c r="F2187" i="3" s="1"/>
  <c r="F2211" i="3" s="1"/>
  <c r="F2235" i="3" s="1"/>
  <c r="F2259" i="3" s="1"/>
  <c r="F2283" i="3" s="1"/>
  <c r="F2307" i="3" s="1"/>
  <c r="F2331" i="3" s="1"/>
  <c r="F2355" i="3" s="1"/>
  <c r="F2379" i="3" s="1"/>
  <c r="F2403" i="3" s="1"/>
  <c r="F2427" i="3" s="1"/>
  <c r="F2451" i="3" s="1"/>
  <c r="F2475" i="3" s="1"/>
  <c r="F2499" i="3" s="1"/>
  <c r="F2523" i="3" s="1"/>
  <c r="F2547" i="3" s="1"/>
  <c r="F2571" i="3" s="1"/>
  <c r="F2595" i="3" s="1"/>
  <c r="F2619" i="3" s="1"/>
  <c r="F2643" i="3" s="1"/>
  <c r="F2667" i="3" s="1"/>
  <c r="F2691" i="3" s="1"/>
  <c r="F2715" i="3" s="1"/>
  <c r="F2739" i="3" s="1"/>
  <c r="F2763" i="3" s="1"/>
  <c r="F2787" i="3" s="1"/>
  <c r="F2811" i="3" s="1"/>
  <c r="F2835" i="3" s="1"/>
  <c r="F2859" i="3" s="1"/>
  <c r="F2883" i="3" s="1"/>
  <c r="F2907" i="3" s="1"/>
  <c r="F2931" i="3" s="1"/>
  <c r="F2955" i="3" s="1"/>
  <c r="F2979" i="3" s="1"/>
  <c r="F3003" i="3" s="1"/>
  <c r="F3027" i="3" s="1"/>
  <c r="F3051" i="3" s="1"/>
  <c r="F3075" i="3" s="1"/>
  <c r="F3099" i="3" s="1"/>
  <c r="F3123" i="3" s="1"/>
  <c r="F3147" i="3" s="1"/>
  <c r="F3171" i="3" s="1"/>
  <c r="F3195" i="3" s="1"/>
  <c r="F3219" i="3" s="1"/>
  <c r="F3243" i="3" s="1"/>
  <c r="F3267" i="3" s="1"/>
  <c r="F3291" i="3" s="1"/>
  <c r="F3315" i="3" s="1"/>
  <c r="F3339" i="3" s="1"/>
  <c r="F3363" i="3" s="1"/>
  <c r="F3387" i="3" s="1"/>
  <c r="F3411" i="3" s="1"/>
  <c r="F3435" i="3" s="1"/>
  <c r="F3459" i="3" s="1"/>
  <c r="F3483" i="3" s="1"/>
  <c r="F3507" i="3" s="1"/>
  <c r="F3531" i="3" s="1"/>
  <c r="F3555" i="3" s="1"/>
  <c r="F3579" i="3" s="1"/>
  <c r="F3603" i="3" s="1"/>
  <c r="F3627" i="3" s="1"/>
  <c r="F3651" i="3" s="1"/>
  <c r="F3675" i="3" s="1"/>
  <c r="F3699" i="3" s="1"/>
  <c r="F3723" i="3" s="1"/>
  <c r="F3747" i="3" s="1"/>
  <c r="F3771" i="3" s="1"/>
  <c r="F3795" i="3" s="1"/>
  <c r="F3819" i="3" s="1"/>
  <c r="F3843" i="3" s="1"/>
  <c r="F3868" i="3" s="1"/>
  <c r="F28" i="3"/>
  <c r="F52" i="3" s="1"/>
  <c r="F76" i="3" s="1"/>
  <c r="F100" i="3" s="1"/>
  <c r="F124" i="3" s="1"/>
  <c r="F148" i="3" s="1"/>
  <c r="F172" i="3" s="1"/>
  <c r="F196" i="3" s="1"/>
  <c r="F220" i="3" s="1"/>
  <c r="F244" i="3" s="1"/>
  <c r="F268" i="3" s="1"/>
  <c r="F292" i="3" s="1"/>
  <c r="F316" i="3" s="1"/>
  <c r="F340" i="3" s="1"/>
  <c r="F364" i="3" s="1"/>
  <c r="F388" i="3" s="1"/>
  <c r="F412" i="3" s="1"/>
  <c r="F436" i="3" s="1"/>
  <c r="F460" i="3" s="1"/>
  <c r="F484" i="3" s="1"/>
  <c r="F508" i="3" s="1"/>
  <c r="F532" i="3" s="1"/>
  <c r="F556" i="3" s="1"/>
  <c r="F580" i="3" s="1"/>
  <c r="F604" i="3" s="1"/>
  <c r="F628" i="3" s="1"/>
  <c r="F652" i="3" s="1"/>
  <c r="F676" i="3" s="1"/>
  <c r="F700" i="3" s="1"/>
  <c r="F724" i="3" s="1"/>
  <c r="F748" i="3" s="1"/>
  <c r="F772" i="3" s="1"/>
  <c r="F796" i="3" s="1"/>
  <c r="F820" i="3" s="1"/>
  <c r="F844" i="3" s="1"/>
  <c r="F868" i="3" s="1"/>
  <c r="F892" i="3" s="1"/>
  <c r="F916" i="3" s="1"/>
  <c r="F940" i="3" s="1"/>
  <c r="F964" i="3" s="1"/>
  <c r="F988" i="3" s="1"/>
  <c r="F1012" i="3" s="1"/>
  <c r="F1036" i="3" s="1"/>
  <c r="F1060" i="3" s="1"/>
  <c r="F1084" i="3" s="1"/>
  <c r="F1108" i="3" s="1"/>
  <c r="F1132" i="3" s="1"/>
  <c r="F1156" i="3" s="1"/>
  <c r="F1180" i="3" s="1"/>
  <c r="F1204" i="3" s="1"/>
  <c r="F1228" i="3" s="1"/>
  <c r="F1252" i="3" s="1"/>
  <c r="F1276" i="3" s="1"/>
  <c r="F1300" i="3" s="1"/>
  <c r="F1324" i="3" s="1"/>
  <c r="F1348" i="3" s="1"/>
  <c r="F1372" i="3" s="1"/>
  <c r="F1396" i="3" s="1"/>
  <c r="F1420" i="3" s="1"/>
  <c r="F1444" i="3" s="1"/>
  <c r="F1468" i="3" s="1"/>
  <c r="F1492" i="3" s="1"/>
  <c r="F1516" i="3" s="1"/>
  <c r="F1540" i="3" s="1"/>
  <c r="F1564" i="3" s="1"/>
  <c r="F1588" i="3" s="1"/>
  <c r="F1612" i="3" s="1"/>
  <c r="F1636" i="3" s="1"/>
  <c r="F1660" i="3" s="1"/>
  <c r="F1684" i="3" s="1"/>
  <c r="F1708" i="3" s="1"/>
  <c r="F1732" i="3" s="1"/>
  <c r="F1756" i="3" s="1"/>
  <c r="F1780" i="3" s="1"/>
  <c r="F1804" i="3" s="1"/>
  <c r="F1828" i="3" s="1"/>
  <c r="F1852" i="3" s="1"/>
  <c r="F1876" i="3" s="1"/>
  <c r="F1900" i="3" s="1"/>
  <c r="F1924" i="3" s="1"/>
  <c r="F1948" i="3" s="1"/>
  <c r="F1972" i="3" s="1"/>
  <c r="F1996" i="3" s="1"/>
  <c r="F2020" i="3" s="1"/>
  <c r="F2044" i="3" s="1"/>
  <c r="F2068" i="3" s="1"/>
  <c r="F2092" i="3" s="1"/>
  <c r="F2116" i="3" s="1"/>
  <c r="F2140" i="3" s="1"/>
  <c r="F2164" i="3" s="1"/>
  <c r="F2188" i="3" s="1"/>
  <c r="F2212" i="3" s="1"/>
  <c r="F2236" i="3" s="1"/>
  <c r="F2260" i="3" s="1"/>
  <c r="F2284" i="3" s="1"/>
  <c r="F2308" i="3" s="1"/>
  <c r="F2332" i="3" s="1"/>
  <c r="F2356" i="3" s="1"/>
  <c r="F2380" i="3" s="1"/>
  <c r="F2404" i="3" s="1"/>
  <c r="F2428" i="3" s="1"/>
  <c r="F2452" i="3" s="1"/>
  <c r="F2476" i="3" s="1"/>
  <c r="F2500" i="3" s="1"/>
  <c r="F2524" i="3" s="1"/>
  <c r="F2548" i="3" s="1"/>
  <c r="F2572" i="3" s="1"/>
  <c r="F2596" i="3" s="1"/>
  <c r="F2620" i="3" s="1"/>
  <c r="F2644" i="3" s="1"/>
  <c r="F29" i="3"/>
  <c r="F53" i="3" s="1"/>
  <c r="F77" i="3" s="1"/>
  <c r="F101" i="3" s="1"/>
  <c r="F125" i="3" s="1"/>
  <c r="F149" i="3" s="1"/>
  <c r="F173" i="3" s="1"/>
  <c r="F197" i="3" s="1"/>
  <c r="F221" i="3" s="1"/>
  <c r="F245" i="3" s="1"/>
  <c r="F269" i="3" s="1"/>
  <c r="F293" i="3" s="1"/>
  <c r="F317" i="3" s="1"/>
  <c r="F341" i="3" s="1"/>
  <c r="F365" i="3" s="1"/>
  <c r="F389" i="3" s="1"/>
  <c r="F413" i="3" s="1"/>
  <c r="F437" i="3" s="1"/>
  <c r="F461" i="3" s="1"/>
  <c r="F485" i="3" s="1"/>
  <c r="F509" i="3" s="1"/>
  <c r="F533" i="3" s="1"/>
  <c r="F557" i="3" s="1"/>
  <c r="F581" i="3" s="1"/>
  <c r="F605" i="3" s="1"/>
  <c r="F629" i="3" s="1"/>
  <c r="F653" i="3" s="1"/>
  <c r="F677" i="3" s="1"/>
  <c r="F701" i="3" s="1"/>
  <c r="F725" i="3" s="1"/>
  <c r="F749" i="3" s="1"/>
  <c r="F773" i="3" s="1"/>
  <c r="F797" i="3" s="1"/>
  <c r="F821" i="3" s="1"/>
  <c r="F845" i="3" s="1"/>
  <c r="F869" i="3" s="1"/>
  <c r="F893" i="3" s="1"/>
  <c r="F917" i="3" s="1"/>
  <c r="F941" i="3" s="1"/>
  <c r="F965" i="3" s="1"/>
  <c r="F989" i="3" s="1"/>
  <c r="F1013" i="3" s="1"/>
  <c r="F1037" i="3" s="1"/>
  <c r="F1061" i="3" s="1"/>
  <c r="F1085" i="3" s="1"/>
  <c r="F1109" i="3" s="1"/>
  <c r="F1133" i="3" s="1"/>
  <c r="F1157" i="3" s="1"/>
  <c r="F1181" i="3" s="1"/>
  <c r="F1205" i="3" s="1"/>
  <c r="F1229" i="3" s="1"/>
  <c r="F1253" i="3" s="1"/>
  <c r="F1277" i="3" s="1"/>
  <c r="F1301" i="3" s="1"/>
  <c r="F1325" i="3" s="1"/>
  <c r="F1349" i="3" s="1"/>
  <c r="F1373" i="3" s="1"/>
  <c r="F1397" i="3" s="1"/>
  <c r="F1421" i="3" s="1"/>
  <c r="F1445" i="3" s="1"/>
  <c r="F1469" i="3" s="1"/>
  <c r="F1493" i="3" s="1"/>
  <c r="F1517" i="3" s="1"/>
  <c r="F1541" i="3" s="1"/>
  <c r="F1565" i="3" s="1"/>
  <c r="F1589" i="3" s="1"/>
  <c r="F1613" i="3" s="1"/>
  <c r="F1637" i="3" s="1"/>
  <c r="F1661" i="3" s="1"/>
  <c r="F1685" i="3" s="1"/>
  <c r="F1709" i="3" s="1"/>
  <c r="F1733" i="3" s="1"/>
  <c r="F1757" i="3" s="1"/>
  <c r="F1781" i="3" s="1"/>
  <c r="F1805" i="3" s="1"/>
  <c r="F1829" i="3" s="1"/>
  <c r="F1853" i="3" s="1"/>
  <c r="F1877" i="3" s="1"/>
  <c r="F1901" i="3" s="1"/>
  <c r="F1925" i="3" s="1"/>
  <c r="F1949" i="3" s="1"/>
  <c r="F1973" i="3" s="1"/>
  <c r="F1997" i="3" s="1"/>
  <c r="F2021" i="3" s="1"/>
  <c r="F2045" i="3" s="1"/>
  <c r="F2069" i="3" s="1"/>
  <c r="F2093" i="3" s="1"/>
  <c r="F2117" i="3" s="1"/>
  <c r="F2141" i="3" s="1"/>
  <c r="F2165" i="3" s="1"/>
  <c r="F2189" i="3" s="1"/>
  <c r="F2213" i="3" s="1"/>
  <c r="F2237" i="3" s="1"/>
  <c r="F2261" i="3" s="1"/>
  <c r="F2285" i="3" s="1"/>
  <c r="F2309" i="3" s="1"/>
  <c r="F2333" i="3" s="1"/>
  <c r="F2357" i="3" s="1"/>
  <c r="F2381" i="3" s="1"/>
  <c r="F2405" i="3" s="1"/>
  <c r="F2429" i="3" s="1"/>
  <c r="F2453" i="3" s="1"/>
  <c r="F2477" i="3" s="1"/>
  <c r="F2501" i="3" s="1"/>
  <c r="F2525" i="3" s="1"/>
  <c r="F2549" i="3" s="1"/>
  <c r="F2573" i="3" s="1"/>
  <c r="F2597" i="3" s="1"/>
  <c r="F2621" i="3" s="1"/>
  <c r="F2645" i="3" s="1"/>
  <c r="F2669" i="3" s="1"/>
  <c r="F2693" i="3" s="1"/>
  <c r="F2717" i="3" s="1"/>
  <c r="F2741" i="3" s="1"/>
  <c r="F2765" i="3" s="1"/>
  <c r="F2789" i="3" s="1"/>
  <c r="F2813" i="3" s="1"/>
  <c r="F2837" i="3" s="1"/>
  <c r="F2861" i="3" s="1"/>
  <c r="F2885" i="3" s="1"/>
  <c r="F2909" i="3" s="1"/>
  <c r="F2933" i="3" s="1"/>
  <c r="F2957" i="3" s="1"/>
  <c r="F2981" i="3" s="1"/>
  <c r="F3005" i="3" s="1"/>
  <c r="F3029" i="3" s="1"/>
  <c r="F3053" i="3" s="1"/>
  <c r="F3077" i="3" s="1"/>
  <c r="F3101" i="3" s="1"/>
  <c r="F3125" i="3" s="1"/>
  <c r="F3149" i="3" s="1"/>
  <c r="F3173" i="3" s="1"/>
  <c r="F3197" i="3" s="1"/>
  <c r="F3221" i="3" s="1"/>
  <c r="F3245" i="3" s="1"/>
  <c r="F3269" i="3" s="1"/>
  <c r="F3293" i="3" s="1"/>
  <c r="F3317" i="3" s="1"/>
  <c r="F3341" i="3" s="1"/>
  <c r="F3365" i="3" s="1"/>
  <c r="F3389" i="3" s="1"/>
  <c r="F3413" i="3" s="1"/>
  <c r="F3437" i="3" s="1"/>
  <c r="F3461" i="3" s="1"/>
  <c r="F3485" i="3" s="1"/>
  <c r="F3509" i="3" s="1"/>
  <c r="F3533" i="3" s="1"/>
  <c r="F3557" i="3" s="1"/>
  <c r="F3581" i="3" s="1"/>
  <c r="F3605" i="3" s="1"/>
  <c r="F3629" i="3" s="1"/>
  <c r="F3653" i="3" s="1"/>
  <c r="F3677" i="3" s="1"/>
  <c r="F3701" i="3" s="1"/>
  <c r="F3725" i="3" s="1"/>
  <c r="F3749" i="3" s="1"/>
  <c r="F3773" i="3" s="1"/>
  <c r="F3797" i="3" s="1"/>
  <c r="F3821" i="3" s="1"/>
  <c r="F3845" i="3" s="1"/>
  <c r="F3870" i="3" s="1"/>
  <c r="F30" i="3"/>
  <c r="F54" i="3" s="1"/>
  <c r="F78" i="3" s="1"/>
  <c r="F102" i="3" s="1"/>
  <c r="F126" i="3" s="1"/>
  <c r="F150" i="3" s="1"/>
  <c r="F174" i="3" s="1"/>
  <c r="F198" i="3" s="1"/>
  <c r="F222" i="3" s="1"/>
  <c r="F246" i="3" s="1"/>
  <c r="F270" i="3" s="1"/>
  <c r="F294" i="3" s="1"/>
  <c r="F318" i="3" s="1"/>
  <c r="F342" i="3" s="1"/>
  <c r="F366" i="3" s="1"/>
  <c r="F390" i="3" s="1"/>
  <c r="F414" i="3" s="1"/>
  <c r="F438" i="3" s="1"/>
  <c r="F462" i="3" s="1"/>
  <c r="F486" i="3" s="1"/>
  <c r="F510" i="3" s="1"/>
  <c r="F534" i="3" s="1"/>
  <c r="F558" i="3" s="1"/>
  <c r="F582" i="3" s="1"/>
  <c r="F606" i="3" s="1"/>
  <c r="F630" i="3" s="1"/>
  <c r="F654" i="3" s="1"/>
  <c r="F678" i="3" s="1"/>
  <c r="F702" i="3" s="1"/>
  <c r="F726" i="3" s="1"/>
  <c r="F750" i="3" s="1"/>
  <c r="F774" i="3" s="1"/>
  <c r="F798" i="3" s="1"/>
  <c r="F822" i="3" s="1"/>
  <c r="F846" i="3" s="1"/>
  <c r="F870" i="3" s="1"/>
  <c r="F894" i="3" s="1"/>
  <c r="F918" i="3" s="1"/>
  <c r="F942" i="3" s="1"/>
  <c r="F966" i="3" s="1"/>
  <c r="F990" i="3" s="1"/>
  <c r="F1014" i="3" s="1"/>
  <c r="F1038" i="3" s="1"/>
  <c r="F1062" i="3" s="1"/>
  <c r="F1086" i="3" s="1"/>
  <c r="F1110" i="3" s="1"/>
  <c r="F1134" i="3" s="1"/>
  <c r="F1158" i="3" s="1"/>
  <c r="F1182" i="3" s="1"/>
  <c r="F1206" i="3" s="1"/>
  <c r="F1230" i="3" s="1"/>
  <c r="F1254" i="3" s="1"/>
  <c r="F1278" i="3" s="1"/>
  <c r="F1302" i="3" s="1"/>
  <c r="F1326" i="3" s="1"/>
  <c r="F1350" i="3" s="1"/>
  <c r="F1374" i="3" s="1"/>
  <c r="F1398" i="3" s="1"/>
  <c r="F1422" i="3" s="1"/>
  <c r="F1446" i="3" s="1"/>
  <c r="F1470" i="3" s="1"/>
  <c r="F1494" i="3" s="1"/>
  <c r="F1518" i="3" s="1"/>
  <c r="F1542" i="3" s="1"/>
  <c r="F1566" i="3" s="1"/>
  <c r="F1590" i="3" s="1"/>
  <c r="F1614" i="3" s="1"/>
  <c r="F1638" i="3" s="1"/>
  <c r="F1662" i="3" s="1"/>
  <c r="F1686" i="3" s="1"/>
  <c r="F1710" i="3" s="1"/>
  <c r="F1734" i="3" s="1"/>
  <c r="F1758" i="3" s="1"/>
  <c r="F1782" i="3" s="1"/>
  <c r="F1806" i="3" s="1"/>
  <c r="F1830" i="3" s="1"/>
  <c r="F1854" i="3" s="1"/>
  <c r="F31" i="3"/>
  <c r="F55" i="3" s="1"/>
  <c r="F79" i="3" s="1"/>
  <c r="F103" i="3" s="1"/>
  <c r="F127" i="3" s="1"/>
  <c r="F151" i="3" s="1"/>
  <c r="F175" i="3" s="1"/>
  <c r="F199" i="3" s="1"/>
  <c r="F223" i="3" s="1"/>
  <c r="F247" i="3" s="1"/>
  <c r="F271" i="3" s="1"/>
  <c r="F295" i="3" s="1"/>
  <c r="F319" i="3" s="1"/>
  <c r="F343" i="3" s="1"/>
  <c r="F367" i="3" s="1"/>
  <c r="F391" i="3" s="1"/>
  <c r="F415" i="3" s="1"/>
  <c r="F439" i="3" s="1"/>
  <c r="F463" i="3" s="1"/>
  <c r="F487" i="3" s="1"/>
  <c r="F511" i="3" s="1"/>
  <c r="F535" i="3" s="1"/>
  <c r="F559" i="3" s="1"/>
  <c r="F583" i="3" s="1"/>
  <c r="F607" i="3" s="1"/>
  <c r="F631" i="3" s="1"/>
  <c r="F655" i="3" s="1"/>
  <c r="F679" i="3" s="1"/>
  <c r="F703" i="3" s="1"/>
  <c r="F727" i="3" s="1"/>
  <c r="F751" i="3" s="1"/>
  <c r="F775" i="3" s="1"/>
  <c r="F799" i="3" s="1"/>
  <c r="F823" i="3" s="1"/>
  <c r="F847" i="3" s="1"/>
  <c r="F871" i="3" s="1"/>
  <c r="F895" i="3" s="1"/>
  <c r="F919" i="3" s="1"/>
  <c r="F943" i="3" s="1"/>
  <c r="F967" i="3" s="1"/>
  <c r="F991" i="3" s="1"/>
  <c r="F1015" i="3" s="1"/>
  <c r="F1039" i="3" s="1"/>
  <c r="F1063" i="3" s="1"/>
  <c r="F1087" i="3" s="1"/>
  <c r="F1111" i="3" s="1"/>
  <c r="F1135" i="3" s="1"/>
  <c r="F1159" i="3" s="1"/>
  <c r="F1183" i="3" s="1"/>
  <c r="F1207" i="3" s="1"/>
  <c r="F1231" i="3" s="1"/>
  <c r="F1255" i="3" s="1"/>
  <c r="F1279" i="3" s="1"/>
  <c r="F1303" i="3" s="1"/>
  <c r="F1327" i="3" s="1"/>
  <c r="F1351" i="3" s="1"/>
  <c r="F1375" i="3" s="1"/>
  <c r="F1399" i="3" s="1"/>
  <c r="F1423" i="3" s="1"/>
  <c r="F1447" i="3" s="1"/>
  <c r="F1471" i="3" s="1"/>
  <c r="F1495" i="3" s="1"/>
  <c r="F1519" i="3" s="1"/>
  <c r="F1543" i="3" s="1"/>
  <c r="F1567" i="3" s="1"/>
  <c r="F1591" i="3" s="1"/>
  <c r="F1615" i="3" s="1"/>
  <c r="F1639" i="3" s="1"/>
  <c r="F1663" i="3" s="1"/>
  <c r="F1687" i="3" s="1"/>
  <c r="F1711" i="3" s="1"/>
  <c r="F1735" i="3" s="1"/>
  <c r="F1759" i="3" s="1"/>
  <c r="F1783" i="3" s="1"/>
  <c r="F1807" i="3" s="1"/>
  <c r="F1831" i="3" s="1"/>
  <c r="F1855" i="3" s="1"/>
  <c r="F1879" i="3" s="1"/>
  <c r="F1903" i="3" s="1"/>
  <c r="F1927" i="3" s="1"/>
  <c r="F1951" i="3" s="1"/>
  <c r="F1975" i="3" s="1"/>
  <c r="F1999" i="3" s="1"/>
  <c r="F2023" i="3" s="1"/>
  <c r="F2047" i="3" s="1"/>
  <c r="F2071" i="3" s="1"/>
  <c r="F2095" i="3" s="1"/>
  <c r="F2119" i="3" s="1"/>
  <c r="F2143" i="3" s="1"/>
  <c r="F2167" i="3" s="1"/>
  <c r="F2191" i="3" s="1"/>
  <c r="F2215" i="3" s="1"/>
  <c r="F2239" i="3" s="1"/>
  <c r="F2263" i="3" s="1"/>
  <c r="F2287" i="3" s="1"/>
  <c r="F2311" i="3" s="1"/>
  <c r="F2335" i="3" s="1"/>
  <c r="F2359" i="3" s="1"/>
  <c r="F2383" i="3" s="1"/>
  <c r="F2407" i="3" s="1"/>
  <c r="F2431" i="3" s="1"/>
  <c r="F2455" i="3" s="1"/>
  <c r="F2479" i="3" s="1"/>
  <c r="F2503" i="3" s="1"/>
  <c r="F2527" i="3" s="1"/>
  <c r="F2551" i="3" s="1"/>
  <c r="F2575" i="3" s="1"/>
  <c r="F2599" i="3" s="1"/>
  <c r="F2623" i="3" s="1"/>
  <c r="F2647" i="3" s="1"/>
  <c r="F2671" i="3" s="1"/>
  <c r="F2695" i="3" s="1"/>
  <c r="F2719" i="3" s="1"/>
  <c r="F2743" i="3" s="1"/>
  <c r="F2767" i="3" s="1"/>
  <c r="F2791" i="3" s="1"/>
  <c r="F2815" i="3" s="1"/>
  <c r="F2839" i="3" s="1"/>
  <c r="F2863" i="3" s="1"/>
  <c r="F2887" i="3" s="1"/>
  <c r="F2911" i="3" s="1"/>
  <c r="F2935" i="3" s="1"/>
  <c r="F2959" i="3" s="1"/>
  <c r="F2983" i="3" s="1"/>
  <c r="F3007" i="3" s="1"/>
  <c r="F3031" i="3" s="1"/>
  <c r="F3055" i="3" s="1"/>
  <c r="F3079" i="3" s="1"/>
  <c r="F3103" i="3" s="1"/>
  <c r="F3127" i="3" s="1"/>
  <c r="F3151" i="3" s="1"/>
  <c r="F3175" i="3" s="1"/>
  <c r="F3199" i="3" s="1"/>
  <c r="F3223" i="3" s="1"/>
  <c r="F3247" i="3" s="1"/>
  <c r="F3271" i="3" s="1"/>
  <c r="F3295" i="3" s="1"/>
  <c r="F3319" i="3" s="1"/>
  <c r="F3343" i="3" s="1"/>
  <c r="F3367" i="3" s="1"/>
  <c r="F3391" i="3" s="1"/>
  <c r="F3415" i="3" s="1"/>
  <c r="F3439" i="3" s="1"/>
  <c r="F3463" i="3" s="1"/>
  <c r="F3487" i="3" s="1"/>
  <c r="F3511" i="3" s="1"/>
  <c r="F3535" i="3" s="1"/>
  <c r="F3559" i="3" s="1"/>
  <c r="F3583" i="3" s="1"/>
  <c r="F3607" i="3" s="1"/>
  <c r="F3631" i="3" s="1"/>
  <c r="F3655" i="3" s="1"/>
  <c r="F3679" i="3" s="1"/>
  <c r="F3703" i="3" s="1"/>
  <c r="F3727" i="3" s="1"/>
  <c r="F3751" i="3" s="1"/>
  <c r="F32" i="3"/>
  <c r="F56" i="3" s="1"/>
  <c r="F80" i="3" s="1"/>
  <c r="F104" i="3" s="1"/>
  <c r="F128" i="3" s="1"/>
  <c r="F152" i="3" s="1"/>
  <c r="F176" i="3" s="1"/>
  <c r="F200" i="3" s="1"/>
  <c r="F224" i="3" s="1"/>
  <c r="F248" i="3" s="1"/>
  <c r="F272" i="3" s="1"/>
  <c r="F296" i="3" s="1"/>
  <c r="F320" i="3" s="1"/>
  <c r="F344" i="3" s="1"/>
  <c r="F368" i="3" s="1"/>
  <c r="F392" i="3" s="1"/>
  <c r="F416" i="3" s="1"/>
  <c r="F440" i="3" s="1"/>
  <c r="F464" i="3" s="1"/>
  <c r="F488" i="3" s="1"/>
  <c r="F512" i="3" s="1"/>
  <c r="F536" i="3" s="1"/>
  <c r="F560" i="3" s="1"/>
  <c r="F584" i="3" s="1"/>
  <c r="F608" i="3" s="1"/>
  <c r="F632" i="3" s="1"/>
  <c r="F656" i="3" s="1"/>
  <c r="F680" i="3" s="1"/>
  <c r="F704" i="3" s="1"/>
  <c r="F728" i="3" s="1"/>
  <c r="F752" i="3" s="1"/>
  <c r="F776" i="3" s="1"/>
  <c r="F800" i="3" s="1"/>
  <c r="F824" i="3" s="1"/>
  <c r="F848" i="3" s="1"/>
  <c r="F872" i="3" s="1"/>
  <c r="F896" i="3" s="1"/>
  <c r="F920" i="3" s="1"/>
  <c r="F944" i="3" s="1"/>
  <c r="F968" i="3" s="1"/>
  <c r="F992" i="3" s="1"/>
  <c r="F1016" i="3" s="1"/>
  <c r="F1040" i="3" s="1"/>
  <c r="F1064" i="3" s="1"/>
  <c r="F1088" i="3" s="1"/>
  <c r="F1112" i="3" s="1"/>
  <c r="F1136" i="3" s="1"/>
  <c r="F1160" i="3" s="1"/>
  <c r="F1184" i="3" s="1"/>
  <c r="F1208" i="3" s="1"/>
  <c r="F1232" i="3" s="1"/>
  <c r="F1256" i="3" s="1"/>
  <c r="F1280" i="3" s="1"/>
  <c r="F1304" i="3" s="1"/>
  <c r="F1328" i="3" s="1"/>
  <c r="F1352" i="3" s="1"/>
  <c r="F1376" i="3" s="1"/>
  <c r="F1400" i="3" s="1"/>
  <c r="F1424" i="3" s="1"/>
  <c r="F1448" i="3" s="1"/>
  <c r="F1472" i="3" s="1"/>
  <c r="F1496" i="3" s="1"/>
  <c r="F1520" i="3" s="1"/>
  <c r="F1544" i="3" s="1"/>
  <c r="F1568" i="3" s="1"/>
  <c r="F1592" i="3" s="1"/>
  <c r="F1616" i="3" s="1"/>
  <c r="F1640" i="3" s="1"/>
  <c r="F1664" i="3" s="1"/>
  <c r="F1688" i="3" s="1"/>
  <c r="F1712" i="3" s="1"/>
  <c r="F1736" i="3" s="1"/>
  <c r="F1760" i="3" s="1"/>
  <c r="F1784" i="3" s="1"/>
  <c r="F1808" i="3" s="1"/>
  <c r="F1832" i="3" s="1"/>
  <c r="F1856" i="3" s="1"/>
  <c r="F1880" i="3" s="1"/>
  <c r="F1904" i="3" s="1"/>
  <c r="F1928" i="3" s="1"/>
  <c r="F1952" i="3" s="1"/>
  <c r="F1976" i="3" s="1"/>
  <c r="F2000" i="3" s="1"/>
  <c r="F2024" i="3" s="1"/>
  <c r="F2048" i="3" s="1"/>
  <c r="F2072" i="3" s="1"/>
  <c r="F2096" i="3" s="1"/>
  <c r="F2120" i="3" s="1"/>
  <c r="F2144" i="3" s="1"/>
  <c r="F2168" i="3" s="1"/>
  <c r="F2192" i="3" s="1"/>
  <c r="F2216" i="3" s="1"/>
  <c r="F2240" i="3" s="1"/>
  <c r="F2264" i="3" s="1"/>
  <c r="F2288" i="3" s="1"/>
  <c r="F2312" i="3" s="1"/>
  <c r="F2336" i="3" s="1"/>
  <c r="F2360" i="3" s="1"/>
  <c r="F2384" i="3" s="1"/>
  <c r="F2408" i="3" s="1"/>
  <c r="F2432" i="3" s="1"/>
  <c r="F2456" i="3" s="1"/>
  <c r="F2480" i="3" s="1"/>
  <c r="F2504" i="3" s="1"/>
  <c r="F2528" i="3" s="1"/>
  <c r="F2552" i="3" s="1"/>
  <c r="F2576" i="3" s="1"/>
  <c r="F2600" i="3" s="1"/>
  <c r="F2624" i="3" s="1"/>
  <c r="F2648" i="3" s="1"/>
  <c r="F2672" i="3" s="1"/>
  <c r="F2696" i="3" s="1"/>
  <c r="F2720" i="3" s="1"/>
  <c r="F2744" i="3" s="1"/>
  <c r="F2768" i="3" s="1"/>
  <c r="F2792" i="3" s="1"/>
  <c r="F2816" i="3" s="1"/>
  <c r="F2840" i="3" s="1"/>
  <c r="F2864" i="3" s="1"/>
  <c r="F2888" i="3" s="1"/>
  <c r="F2912" i="3" s="1"/>
  <c r="F2936" i="3" s="1"/>
  <c r="F2960" i="3" s="1"/>
  <c r="F2984" i="3" s="1"/>
  <c r="F3008" i="3" s="1"/>
  <c r="F3032" i="3" s="1"/>
  <c r="F3056" i="3" s="1"/>
  <c r="F3080" i="3" s="1"/>
  <c r="F3104" i="3" s="1"/>
  <c r="F3128" i="3" s="1"/>
  <c r="F3152" i="3" s="1"/>
  <c r="F3176" i="3" s="1"/>
  <c r="F3200" i="3" s="1"/>
  <c r="F3224" i="3" s="1"/>
  <c r="F3248" i="3" s="1"/>
  <c r="F3272" i="3" s="1"/>
  <c r="F3296" i="3" s="1"/>
  <c r="F3320" i="3" s="1"/>
  <c r="F3344" i="3" s="1"/>
  <c r="F3368" i="3" s="1"/>
  <c r="F3392" i="3" s="1"/>
  <c r="F3416" i="3" s="1"/>
  <c r="F3440" i="3" s="1"/>
  <c r="F3464" i="3" s="1"/>
  <c r="F3488" i="3" s="1"/>
  <c r="F3512" i="3" s="1"/>
  <c r="F3536" i="3" s="1"/>
  <c r="F3560" i="3" s="1"/>
  <c r="F3584" i="3" s="1"/>
  <c r="F3608" i="3" s="1"/>
  <c r="F3632" i="3" s="1"/>
  <c r="F3656" i="3" s="1"/>
  <c r="F3680" i="3" s="1"/>
  <c r="F33" i="3"/>
  <c r="F57" i="3" s="1"/>
  <c r="F81" i="3" s="1"/>
  <c r="F105" i="3" s="1"/>
  <c r="F129" i="3" s="1"/>
  <c r="F153" i="3" s="1"/>
  <c r="F177" i="3" s="1"/>
  <c r="F201" i="3" s="1"/>
  <c r="F225" i="3" s="1"/>
  <c r="F249" i="3" s="1"/>
  <c r="F273" i="3" s="1"/>
  <c r="F297" i="3" s="1"/>
  <c r="F321" i="3" s="1"/>
  <c r="F345" i="3" s="1"/>
  <c r="F369" i="3" s="1"/>
  <c r="F393" i="3" s="1"/>
  <c r="F417" i="3" s="1"/>
  <c r="F441" i="3" s="1"/>
  <c r="F465" i="3" s="1"/>
  <c r="F489" i="3" s="1"/>
  <c r="F513" i="3" s="1"/>
  <c r="F537" i="3" s="1"/>
  <c r="F561" i="3" s="1"/>
  <c r="F585" i="3" s="1"/>
  <c r="F609" i="3" s="1"/>
  <c r="F633" i="3" s="1"/>
  <c r="F657" i="3" s="1"/>
  <c r="F681" i="3" s="1"/>
  <c r="F705" i="3" s="1"/>
  <c r="F729" i="3" s="1"/>
  <c r="F753" i="3" s="1"/>
  <c r="F777" i="3" s="1"/>
  <c r="F801" i="3" s="1"/>
  <c r="F825" i="3" s="1"/>
  <c r="F849" i="3" s="1"/>
  <c r="F873" i="3" s="1"/>
  <c r="F897" i="3" s="1"/>
  <c r="F921" i="3" s="1"/>
  <c r="F945" i="3" s="1"/>
  <c r="F969" i="3" s="1"/>
  <c r="F993" i="3" s="1"/>
  <c r="F1017" i="3" s="1"/>
  <c r="F1041" i="3" s="1"/>
  <c r="F1065" i="3" s="1"/>
  <c r="F1089" i="3" s="1"/>
  <c r="F1113" i="3" s="1"/>
  <c r="F1137" i="3" s="1"/>
  <c r="F1161" i="3" s="1"/>
  <c r="F1185" i="3" s="1"/>
  <c r="F1209" i="3" s="1"/>
  <c r="F1233" i="3" s="1"/>
  <c r="F1257" i="3" s="1"/>
  <c r="F1281" i="3" s="1"/>
  <c r="F1305" i="3" s="1"/>
  <c r="F1329" i="3" s="1"/>
  <c r="F34" i="3"/>
  <c r="F58" i="3" s="1"/>
  <c r="F82" i="3" s="1"/>
  <c r="F106" i="3" s="1"/>
  <c r="F130" i="3" s="1"/>
  <c r="F154" i="3" s="1"/>
  <c r="F178" i="3" s="1"/>
  <c r="F202" i="3" s="1"/>
  <c r="F226" i="3" s="1"/>
  <c r="F250" i="3" s="1"/>
  <c r="F274" i="3" s="1"/>
  <c r="F298" i="3" s="1"/>
  <c r="F322" i="3" s="1"/>
  <c r="F346" i="3" s="1"/>
  <c r="F370" i="3" s="1"/>
  <c r="F394" i="3" s="1"/>
  <c r="F418" i="3" s="1"/>
  <c r="F442" i="3" s="1"/>
  <c r="F466" i="3" s="1"/>
  <c r="F490" i="3" s="1"/>
  <c r="F514" i="3" s="1"/>
  <c r="F538" i="3" s="1"/>
  <c r="F562" i="3" s="1"/>
  <c r="F586" i="3" s="1"/>
  <c r="F610" i="3" s="1"/>
  <c r="F634" i="3" s="1"/>
  <c r="F658" i="3" s="1"/>
  <c r="F682" i="3" s="1"/>
  <c r="F706" i="3" s="1"/>
  <c r="F730" i="3" s="1"/>
  <c r="F754" i="3" s="1"/>
  <c r="F778" i="3" s="1"/>
  <c r="F802" i="3" s="1"/>
  <c r="F826" i="3" s="1"/>
  <c r="F850" i="3" s="1"/>
  <c r="F874" i="3" s="1"/>
  <c r="F898" i="3" s="1"/>
  <c r="F922" i="3" s="1"/>
  <c r="F946" i="3" s="1"/>
  <c r="F970" i="3" s="1"/>
  <c r="F994" i="3" s="1"/>
  <c r="F1018" i="3" s="1"/>
  <c r="F1042" i="3" s="1"/>
  <c r="F1066" i="3" s="1"/>
  <c r="F1090" i="3" s="1"/>
  <c r="F1114" i="3" s="1"/>
  <c r="F1138" i="3" s="1"/>
  <c r="F1162" i="3" s="1"/>
  <c r="F1186" i="3" s="1"/>
  <c r="F1210" i="3" s="1"/>
  <c r="F1234" i="3" s="1"/>
  <c r="F1258" i="3" s="1"/>
  <c r="F1282" i="3" s="1"/>
  <c r="F1306" i="3" s="1"/>
  <c r="F1330" i="3" s="1"/>
  <c r="F1355" i="3" s="1"/>
  <c r="F1380" i="3" s="1"/>
  <c r="F1405" i="3" s="1"/>
  <c r="F1430" i="3" s="1"/>
  <c r="F1455" i="3" s="1"/>
  <c r="F1480" i="3" s="1"/>
  <c r="F1505" i="3" s="1"/>
  <c r="F1530" i="3" s="1"/>
  <c r="F35" i="3"/>
  <c r="F59" i="3" s="1"/>
  <c r="F83" i="3" s="1"/>
  <c r="F107" i="3" s="1"/>
  <c r="F131" i="3" s="1"/>
  <c r="F155" i="3" s="1"/>
  <c r="F179" i="3" s="1"/>
  <c r="F203" i="3" s="1"/>
  <c r="F227" i="3" s="1"/>
  <c r="F251" i="3" s="1"/>
  <c r="F275" i="3" s="1"/>
  <c r="F299" i="3" s="1"/>
  <c r="F323" i="3" s="1"/>
  <c r="F347" i="3" s="1"/>
  <c r="F371" i="3" s="1"/>
  <c r="F395" i="3" s="1"/>
  <c r="F419" i="3" s="1"/>
  <c r="F443" i="3" s="1"/>
  <c r="F467" i="3" s="1"/>
  <c r="F491" i="3" s="1"/>
  <c r="F515" i="3" s="1"/>
  <c r="F539" i="3" s="1"/>
  <c r="F563" i="3" s="1"/>
  <c r="F587" i="3" s="1"/>
  <c r="F611" i="3" s="1"/>
  <c r="F635" i="3" s="1"/>
  <c r="F659" i="3" s="1"/>
  <c r="F683" i="3" s="1"/>
  <c r="F707" i="3" s="1"/>
  <c r="F731" i="3" s="1"/>
  <c r="F755" i="3" s="1"/>
  <c r="F779" i="3" s="1"/>
  <c r="F803" i="3" s="1"/>
  <c r="F827" i="3" s="1"/>
  <c r="F851" i="3" s="1"/>
  <c r="F875" i="3" s="1"/>
  <c r="F899" i="3" s="1"/>
  <c r="F923" i="3" s="1"/>
  <c r="F947" i="3" s="1"/>
  <c r="F971" i="3" s="1"/>
  <c r="F995" i="3" s="1"/>
  <c r="F1019" i="3" s="1"/>
  <c r="F1043" i="3" s="1"/>
  <c r="F1067" i="3" s="1"/>
  <c r="F1091" i="3" s="1"/>
  <c r="F1115" i="3" s="1"/>
  <c r="F1139" i="3" s="1"/>
  <c r="F1163" i="3" s="1"/>
  <c r="F1187" i="3" s="1"/>
  <c r="F1211" i="3" s="1"/>
  <c r="F1235" i="3" s="1"/>
  <c r="F1259" i="3" s="1"/>
  <c r="F1283" i="3" s="1"/>
  <c r="F1307" i="3" s="1"/>
  <c r="F1331" i="3" s="1"/>
  <c r="F1356" i="3" s="1"/>
  <c r="F1381" i="3" s="1"/>
  <c r="F1406" i="3" s="1"/>
  <c r="F1431" i="3" s="1"/>
  <c r="F1456" i="3" s="1"/>
  <c r="F1481" i="3" s="1"/>
  <c r="F1506" i="3" s="1"/>
  <c r="F36" i="3"/>
  <c r="F60" i="3" s="1"/>
  <c r="F84" i="3" s="1"/>
  <c r="F108" i="3" s="1"/>
  <c r="F132" i="3" s="1"/>
  <c r="F156" i="3" s="1"/>
  <c r="F180" i="3" s="1"/>
  <c r="F204" i="3" s="1"/>
  <c r="F228" i="3" s="1"/>
  <c r="F252" i="3" s="1"/>
  <c r="F276" i="3" s="1"/>
  <c r="F300" i="3" s="1"/>
  <c r="F324" i="3" s="1"/>
  <c r="F348" i="3" s="1"/>
  <c r="F372" i="3" s="1"/>
  <c r="F396" i="3" s="1"/>
  <c r="F420" i="3" s="1"/>
  <c r="F444" i="3" s="1"/>
  <c r="F468" i="3" s="1"/>
  <c r="F492" i="3" s="1"/>
  <c r="F516" i="3" s="1"/>
  <c r="F540" i="3" s="1"/>
  <c r="F564" i="3" s="1"/>
  <c r="F588" i="3" s="1"/>
  <c r="F612" i="3" s="1"/>
  <c r="F636" i="3" s="1"/>
  <c r="F660" i="3" s="1"/>
  <c r="F684" i="3" s="1"/>
  <c r="F708" i="3" s="1"/>
  <c r="F732" i="3" s="1"/>
  <c r="F756" i="3" s="1"/>
  <c r="F780" i="3" s="1"/>
  <c r="F804" i="3" s="1"/>
  <c r="F828" i="3" s="1"/>
  <c r="F852" i="3" s="1"/>
  <c r="F876" i="3" s="1"/>
  <c r="F900" i="3" s="1"/>
  <c r="F924" i="3" s="1"/>
  <c r="F948" i="3" s="1"/>
  <c r="F972" i="3" s="1"/>
  <c r="F996" i="3" s="1"/>
  <c r="F1020" i="3" s="1"/>
  <c r="F1044" i="3" s="1"/>
  <c r="F1068" i="3" s="1"/>
  <c r="F1092" i="3" s="1"/>
  <c r="F1116" i="3" s="1"/>
  <c r="F1140" i="3" s="1"/>
  <c r="F1164" i="3" s="1"/>
  <c r="F1188" i="3" s="1"/>
  <c r="F1212" i="3" s="1"/>
  <c r="F1236" i="3" s="1"/>
  <c r="F1260" i="3" s="1"/>
  <c r="F1284" i="3" s="1"/>
  <c r="F1308" i="3" s="1"/>
  <c r="F1332" i="3" s="1"/>
  <c r="F1357" i="3" s="1"/>
  <c r="F1382" i="3" s="1"/>
  <c r="F1407" i="3" s="1"/>
  <c r="F1432" i="3" s="1"/>
  <c r="F1457" i="3" s="1"/>
  <c r="F1482" i="3" s="1"/>
  <c r="F37" i="3"/>
  <c r="F61" i="3" s="1"/>
  <c r="F85" i="3" s="1"/>
  <c r="F109" i="3" s="1"/>
  <c r="F133" i="3" s="1"/>
  <c r="F157" i="3" s="1"/>
  <c r="F181" i="3" s="1"/>
  <c r="F205" i="3" s="1"/>
  <c r="F229" i="3" s="1"/>
  <c r="F253" i="3" s="1"/>
  <c r="F277" i="3" s="1"/>
  <c r="F301" i="3" s="1"/>
  <c r="F325" i="3" s="1"/>
  <c r="F349" i="3" s="1"/>
  <c r="F373" i="3" s="1"/>
  <c r="F397" i="3" s="1"/>
  <c r="F421" i="3" s="1"/>
  <c r="F445" i="3" s="1"/>
  <c r="F469" i="3" s="1"/>
  <c r="F493" i="3" s="1"/>
  <c r="F517" i="3" s="1"/>
  <c r="F541" i="3" s="1"/>
  <c r="F565" i="3" s="1"/>
  <c r="F589" i="3" s="1"/>
  <c r="F613" i="3" s="1"/>
  <c r="F637" i="3" s="1"/>
  <c r="F661" i="3" s="1"/>
  <c r="F685" i="3" s="1"/>
  <c r="F709" i="3" s="1"/>
  <c r="F733" i="3" s="1"/>
  <c r="F757" i="3" s="1"/>
  <c r="F781" i="3" s="1"/>
  <c r="F805" i="3" s="1"/>
  <c r="F829" i="3" s="1"/>
  <c r="F853" i="3" s="1"/>
  <c r="F877" i="3" s="1"/>
  <c r="F901" i="3" s="1"/>
  <c r="F925" i="3" s="1"/>
  <c r="F949" i="3" s="1"/>
  <c r="F973" i="3" s="1"/>
  <c r="F997" i="3" s="1"/>
  <c r="F1021" i="3" s="1"/>
  <c r="F1045" i="3" s="1"/>
  <c r="F1069" i="3" s="1"/>
  <c r="F1093" i="3" s="1"/>
  <c r="F1117" i="3" s="1"/>
  <c r="F1141" i="3" s="1"/>
  <c r="F1165" i="3" s="1"/>
  <c r="F1189" i="3" s="1"/>
  <c r="F1213" i="3" s="1"/>
  <c r="F1237" i="3" s="1"/>
  <c r="F1261" i="3" s="1"/>
  <c r="F1285" i="3" s="1"/>
  <c r="F1309" i="3" s="1"/>
  <c r="F1333" i="3" s="1"/>
  <c r="F1358" i="3" s="1"/>
  <c r="F1383" i="3" s="1"/>
  <c r="F1408" i="3" s="1"/>
  <c r="F1433" i="3" s="1"/>
  <c r="F1458" i="3" s="1"/>
  <c r="F38" i="3"/>
  <c r="F62" i="3" s="1"/>
  <c r="F86" i="3" s="1"/>
  <c r="F110" i="3" s="1"/>
  <c r="F134" i="3" s="1"/>
  <c r="F158" i="3" s="1"/>
  <c r="F182" i="3" s="1"/>
  <c r="F206" i="3" s="1"/>
  <c r="F230" i="3" s="1"/>
  <c r="F254" i="3" s="1"/>
  <c r="F278" i="3" s="1"/>
  <c r="F302" i="3" s="1"/>
  <c r="F326" i="3" s="1"/>
  <c r="F350" i="3" s="1"/>
  <c r="F374" i="3" s="1"/>
  <c r="F398" i="3" s="1"/>
  <c r="F422" i="3" s="1"/>
  <c r="F446" i="3" s="1"/>
  <c r="F470" i="3" s="1"/>
  <c r="F494" i="3" s="1"/>
  <c r="F518" i="3" s="1"/>
  <c r="F542" i="3" s="1"/>
  <c r="F566" i="3" s="1"/>
  <c r="F590" i="3" s="1"/>
  <c r="F614" i="3" s="1"/>
  <c r="F638" i="3" s="1"/>
  <c r="F662" i="3" s="1"/>
  <c r="F686" i="3" s="1"/>
  <c r="F710" i="3" s="1"/>
  <c r="F734" i="3" s="1"/>
  <c r="F758" i="3" s="1"/>
  <c r="F782" i="3" s="1"/>
  <c r="F806" i="3" s="1"/>
  <c r="F830" i="3" s="1"/>
  <c r="F854" i="3" s="1"/>
  <c r="F878" i="3" s="1"/>
  <c r="F902" i="3" s="1"/>
  <c r="F926" i="3" s="1"/>
  <c r="F950" i="3" s="1"/>
  <c r="F974" i="3" s="1"/>
  <c r="F998" i="3" s="1"/>
  <c r="F1022" i="3" s="1"/>
  <c r="F1046" i="3" s="1"/>
  <c r="F1070" i="3" s="1"/>
  <c r="F1094" i="3" s="1"/>
  <c r="F1118" i="3" s="1"/>
  <c r="F1142" i="3" s="1"/>
  <c r="F1166" i="3" s="1"/>
  <c r="F1190" i="3" s="1"/>
  <c r="F1214" i="3" s="1"/>
  <c r="F1238" i="3" s="1"/>
  <c r="F1262" i="3" s="1"/>
  <c r="F1286" i="3" s="1"/>
  <c r="F1310" i="3" s="1"/>
  <c r="F1334" i="3" s="1"/>
  <c r="F1359" i="3" s="1"/>
  <c r="F1384" i="3" s="1"/>
  <c r="F1409" i="3" s="1"/>
  <c r="F1434" i="3" s="1"/>
  <c r="F39" i="3"/>
  <c r="F63" i="3" s="1"/>
  <c r="F87" i="3" s="1"/>
  <c r="F111" i="3" s="1"/>
  <c r="F135" i="3" s="1"/>
  <c r="F159" i="3" s="1"/>
  <c r="F183" i="3" s="1"/>
  <c r="F207" i="3" s="1"/>
  <c r="F231" i="3" s="1"/>
  <c r="F255" i="3" s="1"/>
  <c r="F279" i="3" s="1"/>
  <c r="F303" i="3" s="1"/>
  <c r="F327" i="3" s="1"/>
  <c r="F351" i="3" s="1"/>
  <c r="F375" i="3" s="1"/>
  <c r="F399" i="3" s="1"/>
  <c r="F423" i="3" s="1"/>
  <c r="F447" i="3" s="1"/>
  <c r="F471" i="3" s="1"/>
  <c r="F495" i="3" s="1"/>
  <c r="F519" i="3" s="1"/>
  <c r="F543" i="3" s="1"/>
  <c r="F567" i="3" s="1"/>
  <c r="F591" i="3" s="1"/>
  <c r="F615" i="3" s="1"/>
  <c r="F639" i="3" s="1"/>
  <c r="F663" i="3" s="1"/>
  <c r="F687" i="3" s="1"/>
  <c r="F711" i="3" s="1"/>
  <c r="F735" i="3" s="1"/>
  <c r="F759" i="3" s="1"/>
  <c r="F783" i="3" s="1"/>
  <c r="F807" i="3" s="1"/>
  <c r="F831" i="3" s="1"/>
  <c r="F855" i="3" s="1"/>
  <c r="F879" i="3" s="1"/>
  <c r="F903" i="3" s="1"/>
  <c r="F927" i="3" s="1"/>
  <c r="F951" i="3" s="1"/>
  <c r="F975" i="3" s="1"/>
  <c r="F999" i="3" s="1"/>
  <c r="F1023" i="3" s="1"/>
  <c r="F1047" i="3" s="1"/>
  <c r="F1071" i="3" s="1"/>
  <c r="F1095" i="3" s="1"/>
  <c r="F1119" i="3" s="1"/>
  <c r="F1143" i="3" s="1"/>
  <c r="F1167" i="3" s="1"/>
  <c r="F1191" i="3" s="1"/>
  <c r="F1215" i="3" s="1"/>
  <c r="F1239" i="3" s="1"/>
  <c r="F1263" i="3" s="1"/>
  <c r="F1287" i="3" s="1"/>
  <c r="F1311" i="3" s="1"/>
  <c r="F1335" i="3" s="1"/>
  <c r="F1360" i="3" s="1"/>
  <c r="F1385" i="3" s="1"/>
  <c r="F1410" i="3" s="1"/>
  <c r="F40" i="3"/>
  <c r="F64" i="3" s="1"/>
  <c r="F88" i="3" s="1"/>
  <c r="F112" i="3" s="1"/>
  <c r="F136" i="3" s="1"/>
  <c r="F160" i="3" s="1"/>
  <c r="F184" i="3" s="1"/>
  <c r="F208" i="3" s="1"/>
  <c r="F232" i="3" s="1"/>
  <c r="F256" i="3" s="1"/>
  <c r="F280" i="3" s="1"/>
  <c r="F304" i="3" s="1"/>
  <c r="F328" i="3" s="1"/>
  <c r="F352" i="3" s="1"/>
  <c r="F376" i="3" s="1"/>
  <c r="F400" i="3" s="1"/>
  <c r="F424" i="3" s="1"/>
  <c r="F448" i="3" s="1"/>
  <c r="F472" i="3" s="1"/>
  <c r="F496" i="3" s="1"/>
  <c r="F520" i="3" s="1"/>
  <c r="F544" i="3" s="1"/>
  <c r="F568" i="3" s="1"/>
  <c r="F592" i="3" s="1"/>
  <c r="F616" i="3" s="1"/>
  <c r="F640" i="3" s="1"/>
  <c r="F664" i="3" s="1"/>
  <c r="F688" i="3" s="1"/>
  <c r="F712" i="3" s="1"/>
  <c r="F736" i="3" s="1"/>
  <c r="F760" i="3" s="1"/>
  <c r="F784" i="3" s="1"/>
  <c r="F808" i="3" s="1"/>
  <c r="F832" i="3" s="1"/>
  <c r="F856" i="3" s="1"/>
  <c r="F880" i="3" s="1"/>
  <c r="F904" i="3" s="1"/>
  <c r="F928" i="3" s="1"/>
  <c r="F952" i="3" s="1"/>
  <c r="F976" i="3" s="1"/>
  <c r="F1000" i="3" s="1"/>
  <c r="F1024" i="3" s="1"/>
  <c r="F1048" i="3" s="1"/>
  <c r="F1072" i="3" s="1"/>
  <c r="F1096" i="3" s="1"/>
  <c r="F1120" i="3" s="1"/>
  <c r="F1144" i="3" s="1"/>
  <c r="F1168" i="3" s="1"/>
  <c r="F1192" i="3" s="1"/>
  <c r="F1216" i="3" s="1"/>
  <c r="F1240" i="3" s="1"/>
  <c r="F1264" i="3" s="1"/>
  <c r="F1288" i="3" s="1"/>
  <c r="F1312" i="3" s="1"/>
  <c r="F1336" i="3" s="1"/>
  <c r="F1361" i="3" s="1"/>
  <c r="F1386" i="3" s="1"/>
  <c r="F41" i="3"/>
  <c r="F65" i="3" s="1"/>
  <c r="F89" i="3" s="1"/>
  <c r="F113" i="3" s="1"/>
  <c r="F137" i="3" s="1"/>
  <c r="F161" i="3" s="1"/>
  <c r="F185" i="3" s="1"/>
  <c r="F209" i="3" s="1"/>
  <c r="F233" i="3" s="1"/>
  <c r="F257" i="3" s="1"/>
  <c r="F281" i="3" s="1"/>
  <c r="F305" i="3" s="1"/>
  <c r="F329" i="3" s="1"/>
  <c r="F353" i="3" s="1"/>
  <c r="F377" i="3" s="1"/>
  <c r="F401" i="3" s="1"/>
  <c r="F425" i="3" s="1"/>
  <c r="F449" i="3" s="1"/>
  <c r="F473" i="3" s="1"/>
  <c r="F497" i="3" s="1"/>
  <c r="F521" i="3" s="1"/>
  <c r="F545" i="3" s="1"/>
  <c r="F569" i="3" s="1"/>
  <c r="F593" i="3" s="1"/>
  <c r="F617" i="3" s="1"/>
  <c r="F641" i="3" s="1"/>
  <c r="F665" i="3" s="1"/>
  <c r="F689" i="3" s="1"/>
  <c r="F713" i="3" s="1"/>
  <c r="F737" i="3" s="1"/>
  <c r="F761" i="3" s="1"/>
  <c r="F785" i="3" s="1"/>
  <c r="F809" i="3" s="1"/>
  <c r="F833" i="3" s="1"/>
  <c r="F857" i="3" s="1"/>
  <c r="F881" i="3" s="1"/>
  <c r="F905" i="3" s="1"/>
  <c r="F929" i="3" s="1"/>
  <c r="F953" i="3" s="1"/>
  <c r="F977" i="3" s="1"/>
  <c r="F1001" i="3" s="1"/>
  <c r="F1025" i="3" s="1"/>
  <c r="F1049" i="3" s="1"/>
  <c r="F1073" i="3" s="1"/>
  <c r="F1097" i="3" s="1"/>
  <c r="F1121" i="3" s="1"/>
  <c r="F1145" i="3" s="1"/>
  <c r="F1169" i="3" s="1"/>
  <c r="F1193" i="3" s="1"/>
  <c r="F1217" i="3" s="1"/>
  <c r="F1241" i="3" s="1"/>
  <c r="F1265" i="3" s="1"/>
  <c r="F1289" i="3" s="1"/>
  <c r="F1313" i="3" s="1"/>
  <c r="F1337" i="3" s="1"/>
  <c r="F1362" i="3" s="1"/>
  <c r="F42" i="3"/>
  <c r="F66" i="3" s="1"/>
  <c r="F90" i="3" s="1"/>
  <c r="F114" i="3" s="1"/>
  <c r="F138" i="3" s="1"/>
  <c r="F162" i="3" s="1"/>
  <c r="F186" i="3" s="1"/>
  <c r="F210" i="3" s="1"/>
  <c r="F234" i="3" s="1"/>
  <c r="F258" i="3" s="1"/>
  <c r="F282" i="3" s="1"/>
  <c r="F306" i="3" s="1"/>
  <c r="F330" i="3" s="1"/>
  <c r="F354" i="3" s="1"/>
  <c r="F378" i="3" s="1"/>
  <c r="F402" i="3" s="1"/>
  <c r="F426" i="3" s="1"/>
  <c r="F450" i="3" s="1"/>
  <c r="F474" i="3" s="1"/>
  <c r="F498" i="3" s="1"/>
  <c r="F522" i="3" s="1"/>
  <c r="F546" i="3" s="1"/>
  <c r="F570" i="3" s="1"/>
  <c r="F594" i="3" s="1"/>
  <c r="F618" i="3" s="1"/>
  <c r="F642" i="3" s="1"/>
  <c r="F666" i="3" s="1"/>
  <c r="F690" i="3" s="1"/>
  <c r="F714" i="3" s="1"/>
  <c r="F738" i="3" s="1"/>
  <c r="F762" i="3" s="1"/>
  <c r="F786" i="3" s="1"/>
  <c r="F810" i="3" s="1"/>
  <c r="F834" i="3" s="1"/>
  <c r="F858" i="3" s="1"/>
  <c r="F882" i="3" s="1"/>
  <c r="F906" i="3" s="1"/>
  <c r="F930" i="3" s="1"/>
  <c r="F954" i="3" s="1"/>
  <c r="F978" i="3" s="1"/>
  <c r="F1002" i="3" s="1"/>
  <c r="F1026" i="3" s="1"/>
  <c r="F1050" i="3" s="1"/>
  <c r="F1074" i="3" s="1"/>
  <c r="F1098" i="3" s="1"/>
  <c r="F1122" i="3" s="1"/>
  <c r="F1146" i="3" s="1"/>
  <c r="F1170" i="3" s="1"/>
  <c r="F1194" i="3" s="1"/>
  <c r="F1218" i="3" s="1"/>
  <c r="F1242" i="3" s="1"/>
  <c r="F1266" i="3" s="1"/>
  <c r="F1290" i="3" s="1"/>
  <c r="F1314" i="3" s="1"/>
  <c r="F1338" i="3" s="1"/>
  <c r="F1363" i="3" s="1"/>
  <c r="F43" i="3"/>
  <c r="F67" i="3" s="1"/>
  <c r="F91" i="3" s="1"/>
  <c r="F115" i="3" s="1"/>
  <c r="F139" i="3" s="1"/>
  <c r="F163" i="3" s="1"/>
  <c r="F187" i="3" s="1"/>
  <c r="F211" i="3" s="1"/>
  <c r="F235" i="3" s="1"/>
  <c r="F259" i="3" s="1"/>
  <c r="F283" i="3" s="1"/>
  <c r="F307" i="3" s="1"/>
  <c r="F331" i="3" s="1"/>
  <c r="F355" i="3" s="1"/>
  <c r="F379" i="3" s="1"/>
  <c r="F403" i="3" s="1"/>
  <c r="F427" i="3" s="1"/>
  <c r="F451" i="3" s="1"/>
  <c r="F475" i="3" s="1"/>
  <c r="F499" i="3" s="1"/>
  <c r="F523" i="3" s="1"/>
  <c r="F547" i="3" s="1"/>
  <c r="F571" i="3" s="1"/>
  <c r="F595" i="3" s="1"/>
  <c r="F619" i="3" s="1"/>
  <c r="F643" i="3" s="1"/>
  <c r="F667" i="3" s="1"/>
  <c r="F691" i="3" s="1"/>
  <c r="F715" i="3" s="1"/>
  <c r="F739" i="3" s="1"/>
  <c r="F763" i="3" s="1"/>
  <c r="F787" i="3" s="1"/>
  <c r="F811" i="3" s="1"/>
  <c r="F835" i="3" s="1"/>
  <c r="F859" i="3" s="1"/>
  <c r="F883" i="3" s="1"/>
  <c r="F907" i="3" s="1"/>
  <c r="F931" i="3" s="1"/>
  <c r="F955" i="3" s="1"/>
  <c r="F979" i="3" s="1"/>
  <c r="F1003" i="3" s="1"/>
  <c r="F1027" i="3" s="1"/>
  <c r="F1051" i="3" s="1"/>
  <c r="F1075" i="3" s="1"/>
  <c r="F1099" i="3" s="1"/>
  <c r="F1123" i="3" s="1"/>
  <c r="F1147" i="3" s="1"/>
  <c r="F1171" i="3" s="1"/>
  <c r="F1195" i="3" s="1"/>
  <c r="F1219" i="3" s="1"/>
  <c r="F1243" i="3" s="1"/>
  <c r="F1267" i="3" s="1"/>
  <c r="F1291" i="3" s="1"/>
  <c r="F1315" i="3" s="1"/>
  <c r="F1339" i="3" s="1"/>
  <c r="F1364" i="3" s="1"/>
  <c r="F1389" i="3" s="1"/>
  <c r="F44" i="3"/>
  <c r="F68" i="3" s="1"/>
  <c r="F92" i="3" s="1"/>
  <c r="F116" i="3" s="1"/>
  <c r="F140" i="3" s="1"/>
  <c r="F164" i="3" s="1"/>
  <c r="F188" i="3" s="1"/>
  <c r="F212" i="3" s="1"/>
  <c r="F236" i="3" s="1"/>
  <c r="F260" i="3" s="1"/>
  <c r="F284" i="3" s="1"/>
  <c r="F308" i="3" s="1"/>
  <c r="F332" i="3" s="1"/>
  <c r="F356" i="3" s="1"/>
  <c r="F380" i="3" s="1"/>
  <c r="F404" i="3" s="1"/>
  <c r="F428" i="3" s="1"/>
  <c r="F452" i="3" s="1"/>
  <c r="F476" i="3" s="1"/>
  <c r="F500" i="3" s="1"/>
  <c r="F524" i="3" s="1"/>
  <c r="F548" i="3" s="1"/>
  <c r="F572" i="3" s="1"/>
  <c r="F596" i="3" s="1"/>
  <c r="F620" i="3" s="1"/>
  <c r="F644" i="3" s="1"/>
  <c r="F668" i="3" s="1"/>
  <c r="F692" i="3" s="1"/>
  <c r="F716" i="3" s="1"/>
  <c r="F740" i="3" s="1"/>
  <c r="F764" i="3" s="1"/>
  <c r="F788" i="3" s="1"/>
  <c r="F812" i="3" s="1"/>
  <c r="F836" i="3" s="1"/>
  <c r="F860" i="3" s="1"/>
  <c r="F884" i="3" s="1"/>
  <c r="F908" i="3" s="1"/>
  <c r="F932" i="3" s="1"/>
  <c r="F956" i="3" s="1"/>
  <c r="F980" i="3" s="1"/>
  <c r="F1004" i="3" s="1"/>
  <c r="F1028" i="3" s="1"/>
  <c r="F1052" i="3" s="1"/>
  <c r="F1076" i="3" s="1"/>
  <c r="F1100" i="3" s="1"/>
  <c r="F1124" i="3" s="1"/>
  <c r="F1148" i="3" s="1"/>
  <c r="F1172" i="3" s="1"/>
  <c r="F1196" i="3" s="1"/>
  <c r="F1220" i="3" s="1"/>
  <c r="F1244" i="3" s="1"/>
  <c r="F1268" i="3" s="1"/>
  <c r="F1292" i="3" s="1"/>
  <c r="F1316" i="3" s="1"/>
  <c r="F1340" i="3" s="1"/>
  <c r="F1365" i="3" s="1"/>
  <c r="F45" i="3"/>
  <c r="F69" i="3" s="1"/>
  <c r="F93" i="3" s="1"/>
  <c r="F117" i="3" s="1"/>
  <c r="F141" i="3" s="1"/>
  <c r="F165" i="3" s="1"/>
  <c r="F189" i="3" s="1"/>
  <c r="F213" i="3" s="1"/>
  <c r="F237" i="3" s="1"/>
  <c r="F261" i="3" s="1"/>
  <c r="F285" i="3" s="1"/>
  <c r="F309" i="3" s="1"/>
  <c r="F333" i="3" s="1"/>
  <c r="F357" i="3" s="1"/>
  <c r="F381" i="3" s="1"/>
  <c r="F405" i="3" s="1"/>
  <c r="F429" i="3" s="1"/>
  <c r="F453" i="3" s="1"/>
  <c r="F477" i="3" s="1"/>
  <c r="F501" i="3" s="1"/>
  <c r="F525" i="3" s="1"/>
  <c r="F549" i="3" s="1"/>
  <c r="F573" i="3" s="1"/>
  <c r="F597" i="3" s="1"/>
  <c r="F621" i="3" s="1"/>
  <c r="F645" i="3" s="1"/>
  <c r="F669" i="3" s="1"/>
  <c r="F693" i="3" s="1"/>
  <c r="F717" i="3" s="1"/>
  <c r="F741" i="3" s="1"/>
  <c r="F765" i="3" s="1"/>
  <c r="F789" i="3" s="1"/>
  <c r="F813" i="3" s="1"/>
  <c r="F837" i="3" s="1"/>
  <c r="F861" i="3" s="1"/>
  <c r="F885" i="3" s="1"/>
  <c r="F909" i="3" s="1"/>
  <c r="F933" i="3" s="1"/>
  <c r="F957" i="3" s="1"/>
  <c r="F981" i="3" s="1"/>
  <c r="F1005" i="3" s="1"/>
  <c r="F1029" i="3" s="1"/>
  <c r="F1053" i="3" s="1"/>
  <c r="F1077" i="3" s="1"/>
  <c r="F1101" i="3" s="1"/>
  <c r="F1125" i="3" s="1"/>
  <c r="F1149" i="3" s="1"/>
  <c r="F1173" i="3" s="1"/>
  <c r="F1197" i="3" s="1"/>
  <c r="F1221" i="3" s="1"/>
  <c r="F1245" i="3" s="1"/>
  <c r="F1269" i="3" s="1"/>
  <c r="F1293" i="3" s="1"/>
  <c r="F1317" i="3" s="1"/>
  <c r="F1341" i="3" s="1"/>
  <c r="F46" i="3"/>
  <c r="F70" i="3" s="1"/>
  <c r="F94" i="3" s="1"/>
  <c r="F118" i="3" s="1"/>
  <c r="F142" i="3" s="1"/>
  <c r="F166" i="3" s="1"/>
  <c r="F190" i="3" s="1"/>
  <c r="F214" i="3" s="1"/>
  <c r="F238" i="3" s="1"/>
  <c r="F262" i="3" s="1"/>
  <c r="F286" i="3" s="1"/>
  <c r="F310" i="3" s="1"/>
  <c r="F334" i="3" s="1"/>
  <c r="F358" i="3" s="1"/>
  <c r="F382" i="3" s="1"/>
  <c r="F406" i="3" s="1"/>
  <c r="F430" i="3" s="1"/>
  <c r="F454" i="3" s="1"/>
  <c r="F478" i="3" s="1"/>
  <c r="F502" i="3" s="1"/>
  <c r="F526" i="3" s="1"/>
  <c r="F550" i="3" s="1"/>
  <c r="F574" i="3" s="1"/>
  <c r="F598" i="3" s="1"/>
  <c r="F622" i="3" s="1"/>
  <c r="F646" i="3" s="1"/>
  <c r="F670" i="3" s="1"/>
  <c r="F694" i="3" s="1"/>
  <c r="F47" i="3"/>
  <c r="F71" i="3" s="1"/>
  <c r="F95" i="3" s="1"/>
  <c r="F119" i="3" s="1"/>
  <c r="F143" i="3" s="1"/>
  <c r="F167" i="3" s="1"/>
  <c r="F191" i="3" s="1"/>
  <c r="F215" i="3" s="1"/>
  <c r="F239" i="3" s="1"/>
  <c r="F263" i="3" s="1"/>
  <c r="F287" i="3" s="1"/>
  <c r="F311" i="3" s="1"/>
  <c r="F335" i="3" s="1"/>
  <c r="F359" i="3" s="1"/>
  <c r="F383" i="3" s="1"/>
  <c r="F407" i="3" s="1"/>
  <c r="F431" i="3" s="1"/>
  <c r="F455" i="3" s="1"/>
  <c r="F479" i="3" s="1"/>
  <c r="F503" i="3" s="1"/>
  <c r="F527" i="3" s="1"/>
  <c r="F551" i="3" s="1"/>
  <c r="F575" i="3" s="1"/>
  <c r="F599" i="3" s="1"/>
  <c r="F623" i="3" s="1"/>
  <c r="F647" i="3" s="1"/>
  <c r="F671" i="3" s="1"/>
  <c r="F695" i="3" s="1"/>
  <c r="F719" i="3" s="1"/>
  <c r="F743" i="3" s="1"/>
  <c r="F767" i="3" s="1"/>
  <c r="F791" i="3" s="1"/>
  <c r="F815" i="3" s="1"/>
  <c r="F839" i="3" s="1"/>
  <c r="F863" i="3" s="1"/>
  <c r="F887" i="3" s="1"/>
  <c r="F911" i="3" s="1"/>
  <c r="F935" i="3" s="1"/>
  <c r="F959" i="3" s="1"/>
  <c r="F983" i="3" s="1"/>
  <c r="F1007" i="3" s="1"/>
  <c r="F1031" i="3" s="1"/>
  <c r="F1055" i="3" s="1"/>
  <c r="F1079" i="3" s="1"/>
  <c r="F1103" i="3" s="1"/>
  <c r="F1127" i="3" s="1"/>
  <c r="F1151" i="3" s="1"/>
  <c r="F1175" i="3" s="1"/>
  <c r="F1199" i="3" s="1"/>
  <c r="F1223" i="3" s="1"/>
  <c r="F1247" i="3" s="1"/>
  <c r="F1271" i="3" s="1"/>
  <c r="F1295" i="3" s="1"/>
  <c r="F1319" i="3" s="1"/>
  <c r="F48" i="3"/>
  <c r="F72" i="3" s="1"/>
  <c r="F96" i="3" s="1"/>
  <c r="F120" i="3" s="1"/>
  <c r="F144" i="3" s="1"/>
  <c r="F168" i="3" s="1"/>
  <c r="F192" i="3" s="1"/>
  <c r="F216" i="3" s="1"/>
  <c r="F240" i="3" s="1"/>
  <c r="F264" i="3" s="1"/>
  <c r="F288" i="3" s="1"/>
  <c r="F312" i="3" s="1"/>
  <c r="F336" i="3" s="1"/>
  <c r="F360" i="3" s="1"/>
  <c r="F384" i="3" s="1"/>
  <c r="F408" i="3" s="1"/>
  <c r="F432" i="3" s="1"/>
  <c r="F456" i="3" s="1"/>
  <c r="F480" i="3" s="1"/>
  <c r="F504" i="3" s="1"/>
  <c r="F528" i="3" s="1"/>
  <c r="F552" i="3" s="1"/>
  <c r="F576" i="3" s="1"/>
  <c r="F600" i="3" s="1"/>
  <c r="F624" i="3" s="1"/>
  <c r="F648" i="3" s="1"/>
  <c r="F672" i="3" s="1"/>
  <c r="F696" i="3" s="1"/>
  <c r="F720" i="3" s="1"/>
  <c r="F744" i="3" s="1"/>
  <c r="F768" i="3" s="1"/>
  <c r="F792" i="3" s="1"/>
  <c r="F816" i="3" s="1"/>
  <c r="F840" i="3" s="1"/>
  <c r="F864" i="3" s="1"/>
  <c r="F888" i="3" s="1"/>
  <c r="F912" i="3" s="1"/>
  <c r="F936" i="3" s="1"/>
  <c r="F960" i="3" s="1"/>
  <c r="F984" i="3" s="1"/>
  <c r="F1008" i="3" s="1"/>
  <c r="F1032" i="3" s="1"/>
  <c r="F1056" i="3" s="1"/>
  <c r="F1080" i="3" s="1"/>
  <c r="F1104" i="3" s="1"/>
  <c r="F1128" i="3" s="1"/>
  <c r="F1152" i="3" s="1"/>
  <c r="F1176" i="3" s="1"/>
  <c r="F1200" i="3" s="1"/>
  <c r="F1224" i="3" s="1"/>
  <c r="F1248" i="3" s="1"/>
  <c r="F1272" i="3" s="1"/>
  <c r="F1296" i="3" s="1"/>
  <c r="F1320" i="3" s="1"/>
  <c r="F1344" i="3" s="1"/>
  <c r="F49" i="3"/>
  <c r="F73" i="3" s="1"/>
  <c r="F97" i="3" s="1"/>
  <c r="F121" i="3" s="1"/>
  <c r="F145" i="3" s="1"/>
  <c r="F169" i="3" s="1"/>
  <c r="F193" i="3" s="1"/>
  <c r="F217" i="3" s="1"/>
  <c r="F241" i="3" s="1"/>
  <c r="F265" i="3" s="1"/>
  <c r="F289" i="3" s="1"/>
  <c r="F313" i="3" s="1"/>
  <c r="F337" i="3" s="1"/>
  <c r="F361" i="3" s="1"/>
  <c r="F385" i="3" s="1"/>
  <c r="F409" i="3" s="1"/>
  <c r="F433" i="3" s="1"/>
  <c r="F457" i="3" s="1"/>
  <c r="F481" i="3" s="1"/>
  <c r="F505" i="3" s="1"/>
  <c r="F529" i="3" s="1"/>
  <c r="F553" i="3" s="1"/>
  <c r="F577" i="3" s="1"/>
  <c r="F601" i="3" s="1"/>
  <c r="F625" i="3" s="1"/>
  <c r="F649" i="3" s="1"/>
  <c r="F673" i="3" s="1"/>
  <c r="F697" i="3" s="1"/>
  <c r="F721" i="3" s="1"/>
  <c r="F745" i="3" s="1"/>
  <c r="F769" i="3" s="1"/>
  <c r="F793" i="3" s="1"/>
  <c r="F817" i="3" s="1"/>
  <c r="F841" i="3" s="1"/>
  <c r="F865" i="3" s="1"/>
  <c r="F889" i="3" s="1"/>
  <c r="F913" i="3" s="1"/>
  <c r="F937" i="3" s="1"/>
  <c r="F961" i="3" s="1"/>
  <c r="F985" i="3" s="1"/>
  <c r="F1009" i="3" s="1"/>
  <c r="F1033" i="3" s="1"/>
  <c r="F1057" i="3" s="1"/>
  <c r="F1081" i="3" s="1"/>
  <c r="F1105" i="3" s="1"/>
  <c r="F1129" i="3" s="1"/>
  <c r="F1153" i="3" s="1"/>
  <c r="F1177" i="3" s="1"/>
  <c r="F1201" i="3" s="1"/>
  <c r="F1225" i="3" s="1"/>
  <c r="F1249" i="3" s="1"/>
  <c r="F1273" i="3" s="1"/>
  <c r="F1297" i="3" s="1"/>
  <c r="F1321" i="3" s="1"/>
  <c r="F1345" i="3" s="1"/>
  <c r="F1369" i="3" s="1"/>
  <c r="F1393" i="3" s="1"/>
  <c r="F1417" i="3" s="1"/>
  <c r="F1441" i="3" s="1"/>
  <c r="F1465" i="3" s="1"/>
  <c r="F1489" i="3" s="1"/>
  <c r="F1513" i="3" s="1"/>
  <c r="F1537" i="3" s="1"/>
  <c r="F1561" i="3" s="1"/>
  <c r="F1585" i="3" s="1"/>
  <c r="F1609" i="3" s="1"/>
  <c r="F1633" i="3" s="1"/>
  <c r="F1657" i="3" s="1"/>
  <c r="F1681" i="3" s="1"/>
  <c r="F1705" i="3" s="1"/>
  <c r="F1729" i="3" s="1"/>
  <c r="F1753" i="3" s="1"/>
  <c r="F1777" i="3" s="1"/>
  <c r="F1801" i="3" s="1"/>
  <c r="F1825" i="3" s="1"/>
  <c r="F1849" i="3" s="1"/>
  <c r="F1873" i="3" s="1"/>
  <c r="F1897" i="3" s="1"/>
  <c r="F1921" i="3" s="1"/>
  <c r="F1945" i="3" s="1"/>
  <c r="F1969" i="3" s="1"/>
  <c r="F1993" i="3" s="1"/>
  <c r="F2017" i="3" s="1"/>
  <c r="F2041" i="3" s="1"/>
  <c r="F2065" i="3" s="1"/>
  <c r="F2089" i="3" s="1"/>
  <c r="F2113" i="3" s="1"/>
  <c r="F2137" i="3" s="1"/>
  <c r="F2161" i="3" s="1"/>
  <c r="F2185" i="3" s="1"/>
  <c r="F2209" i="3" s="1"/>
  <c r="F2233" i="3" s="1"/>
  <c r="F2257" i="3" s="1"/>
  <c r="F2281" i="3" s="1"/>
  <c r="F2305" i="3" s="1"/>
  <c r="F2329" i="3" s="1"/>
  <c r="F2353" i="3" s="1"/>
  <c r="F2377" i="3" s="1"/>
  <c r="F2401" i="3" s="1"/>
  <c r="F2425" i="3" s="1"/>
  <c r="F2449" i="3" s="1"/>
  <c r="F2473" i="3" s="1"/>
  <c r="F2497" i="3" s="1"/>
  <c r="F2521" i="3" s="1"/>
  <c r="F2545" i="3" s="1"/>
  <c r="F2569" i="3" s="1"/>
  <c r="F2593" i="3" s="1"/>
  <c r="F2617" i="3" s="1"/>
  <c r="F2641" i="3" s="1"/>
  <c r="F2665" i="3" s="1"/>
  <c r="F2689" i="3" s="1"/>
  <c r="F2713" i="3" s="1"/>
  <c r="F2737" i="3" s="1"/>
  <c r="F2761" i="3" s="1"/>
  <c r="F2785" i="3" s="1"/>
  <c r="F2809" i="3" s="1"/>
  <c r="F2833" i="3" s="1"/>
  <c r="F2857" i="3" s="1"/>
  <c r="F2881" i="3" s="1"/>
  <c r="F2905" i="3" s="1"/>
  <c r="F2929" i="3" s="1"/>
  <c r="F2953" i="3" s="1"/>
  <c r="F2977" i="3" s="1"/>
  <c r="F3001" i="3" s="1"/>
  <c r="F3025" i="3" s="1"/>
  <c r="F3049" i="3" s="1"/>
  <c r="F3073" i="3" s="1"/>
  <c r="F3097" i="3" s="1"/>
  <c r="F3121" i="3" s="1"/>
  <c r="F3145" i="3" s="1"/>
  <c r="F3169" i="3" s="1"/>
  <c r="F3193" i="3" s="1"/>
  <c r="F3217" i="3" s="1"/>
  <c r="F3241" i="3" s="1"/>
  <c r="F3265" i="3" s="1"/>
  <c r="F3289" i="3" s="1"/>
  <c r="F3313" i="3" s="1"/>
  <c r="F3337" i="3" s="1"/>
  <c r="F3361" i="3" s="1"/>
  <c r="F3385" i="3" s="1"/>
  <c r="F3409" i="3" s="1"/>
  <c r="F3433" i="3" s="1"/>
  <c r="F3457" i="3" s="1"/>
  <c r="F3481" i="3" s="1"/>
  <c r="F3505" i="3" s="1"/>
  <c r="F3529" i="3" s="1"/>
  <c r="F3553" i="3" s="1"/>
  <c r="F3577" i="3" s="1"/>
  <c r="F3601" i="3" s="1"/>
  <c r="F3625" i="3" s="1"/>
  <c r="F3649" i="3" s="1"/>
  <c r="F3673" i="3" s="1"/>
  <c r="F3697" i="3" s="1"/>
  <c r="F3721" i="3" s="1"/>
  <c r="F3745" i="3" s="1"/>
  <c r="E4577" i="3"/>
  <c r="E4581" i="3"/>
  <c r="E4550" i="3"/>
  <c r="E4514" i="3"/>
  <c r="E4534" i="3"/>
  <c r="E4559" i="3"/>
  <c r="E4558" i="3"/>
  <c r="E4555" i="3"/>
  <c r="E4553" i="3"/>
  <c r="E4547" i="3"/>
  <c r="E4545" i="3"/>
  <c r="E4543" i="3"/>
  <c r="E4541" i="3"/>
  <c r="E4561" i="3"/>
  <c r="E4552" i="3"/>
  <c r="D182" i="1"/>
  <c r="D189" i="1"/>
  <c r="E4499" i="3"/>
  <c r="E4535" i="3"/>
  <c r="E4533" i="3"/>
  <c r="E4530" i="3"/>
  <c r="E4529" i="3"/>
  <c r="E4526" i="3"/>
  <c r="E4523" i="3"/>
  <c r="E4519" i="3"/>
  <c r="E4537" i="3"/>
  <c r="E4525" i="3"/>
  <c r="E4528" i="3"/>
  <c r="E4510" i="3"/>
  <c r="E4505" i="3"/>
  <c r="E4497" i="3"/>
  <c r="E4495" i="3"/>
  <c r="E4491" i="3"/>
  <c r="E4511" i="3"/>
  <c r="E4506" i="3"/>
  <c r="E4504" i="3"/>
  <c r="E4512" i="3"/>
  <c r="E4502" i="3"/>
  <c r="E4501" i="3"/>
  <c r="E4493" i="3"/>
  <c r="E4466" i="3"/>
  <c r="E4481" i="3"/>
  <c r="E4478" i="3"/>
  <c r="E4473" i="3"/>
  <c r="E4471" i="3"/>
  <c r="E4467" i="3"/>
  <c r="E4488" i="3"/>
  <c r="E4487" i="3"/>
  <c r="D188" i="1"/>
  <c r="E4480" i="3"/>
  <c r="E4469" i="3"/>
  <c r="E4482" i="3"/>
  <c r="E4489" i="3"/>
  <c r="D186" i="1"/>
  <c r="D187" i="1"/>
  <c r="E4464" i="3"/>
  <c r="E4462" i="3"/>
  <c r="E4458" i="3"/>
  <c r="E4457" i="3"/>
  <c r="E4451" i="3"/>
  <c r="E4447" i="3"/>
  <c r="E4445" i="3"/>
  <c r="E4454" i="3"/>
  <c r="D185" i="1"/>
  <c r="E4416" i="3"/>
  <c r="E4438" i="3"/>
  <c r="E4432" i="3"/>
  <c r="E4427" i="3"/>
  <c r="E4423" i="3"/>
  <c r="E4419" i="3"/>
  <c r="E4434" i="3"/>
  <c r="E4433" i="3"/>
  <c r="E4428" i="3"/>
  <c r="E4440" i="3"/>
  <c r="E4430" i="3"/>
  <c r="K185" i="1"/>
  <c r="E4414" i="3"/>
  <c r="E4413" i="3"/>
  <c r="E4406" i="3"/>
  <c r="E4401" i="3"/>
  <c r="E4399" i="3"/>
  <c r="E4394" i="3"/>
  <c r="E4410" i="3"/>
  <c r="E4409" i="3"/>
  <c r="E4403" i="3"/>
  <c r="E4391" i="3"/>
  <c r="E4390" i="3"/>
  <c r="E4385" i="3"/>
  <c r="E4384" i="3"/>
  <c r="E4381" i="3"/>
  <c r="E4380" i="3"/>
  <c r="E4389" i="3"/>
  <c r="E4375" i="3"/>
  <c r="E4377" i="3"/>
  <c r="E4382" i="3"/>
  <c r="D184" i="1"/>
  <c r="D181" i="1"/>
  <c r="E4353" i="3"/>
  <c r="E4346" i="3"/>
  <c r="E4347" i="3"/>
  <c r="E4367" i="3"/>
  <c r="E4366" i="3"/>
  <c r="E4362" i="3"/>
  <c r="E4358" i="3"/>
  <c r="E4351" i="3"/>
  <c r="E4349" i="3"/>
  <c r="E4369" i="3"/>
  <c r="E4368" i="3"/>
  <c r="E4361" i="3"/>
  <c r="D183" i="1"/>
  <c r="E4360" i="3"/>
  <c r="E4343" i="3"/>
  <c r="E4337" i="3"/>
  <c r="E4329" i="3"/>
  <c r="E4327" i="3"/>
  <c r="E4342" i="3"/>
  <c r="E4334" i="3"/>
  <c r="E4325" i="3"/>
  <c r="E4338" i="3"/>
  <c r="E4336" i="3"/>
  <c r="AC211" i="23" l="1"/>
  <c r="M211" i="23"/>
  <c r="X210" i="23"/>
  <c r="AF210" i="23"/>
  <c r="E223" i="23"/>
  <c r="T222" i="23"/>
  <c r="Q211" i="23"/>
  <c r="S211" i="23"/>
  <c r="C212" i="23"/>
  <c r="K212" i="23" s="1"/>
  <c r="AB226" i="23" s="1"/>
  <c r="R211" i="23"/>
  <c r="C180" i="1"/>
  <c r="F1878" i="3"/>
  <c r="F1902" i="3" s="1"/>
  <c r="F1926" i="3" s="1"/>
  <c r="F1950" i="3" s="1"/>
  <c r="F1974" i="3" s="1"/>
  <c r="F1998" i="3" s="1"/>
  <c r="F2022" i="3" s="1"/>
  <c r="F2046" i="3" s="1"/>
  <c r="F2070" i="3" s="1"/>
  <c r="F2094" i="3" s="1"/>
  <c r="F2118" i="3" s="1"/>
  <c r="F2142" i="3" s="1"/>
  <c r="F2166" i="3" s="1"/>
  <c r="F2190" i="3" s="1"/>
  <c r="F2214" i="3" s="1"/>
  <c r="F2238" i="3" s="1"/>
  <c r="F2262" i="3" s="1"/>
  <c r="F2286" i="3" s="1"/>
  <c r="F2310" i="3" s="1"/>
  <c r="F2334" i="3" s="1"/>
  <c r="F2358" i="3" s="1"/>
  <c r="F1343" i="3"/>
  <c r="F1367" i="3" s="1"/>
  <c r="F1391" i="3" s="1"/>
  <c r="F1415" i="3" s="1"/>
  <c r="F1439" i="3" s="1"/>
  <c r="F1463" i="3" s="1"/>
  <c r="F1487" i="3" s="1"/>
  <c r="F1511" i="3" s="1"/>
  <c r="F1535" i="3" s="1"/>
  <c r="F1559" i="3" s="1"/>
  <c r="F1583" i="3" s="1"/>
  <c r="F1607" i="3" s="1"/>
  <c r="F1631" i="3" s="1"/>
  <c r="F1655" i="3" s="1"/>
  <c r="F1679" i="3" s="1"/>
  <c r="F1703" i="3" s="1"/>
  <c r="F1727" i="3" s="1"/>
  <c r="F1751" i="3" s="1"/>
  <c r="F1775" i="3" s="1"/>
  <c r="F1799" i="3" s="1"/>
  <c r="F1823" i="3" s="1"/>
  <c r="F1847" i="3" s="1"/>
  <c r="F1871" i="3" s="1"/>
  <c r="F1895" i="3" s="1"/>
  <c r="F1919" i="3" s="1"/>
  <c r="F1943" i="3" s="1"/>
  <c r="F1967" i="3" s="1"/>
  <c r="F1991" i="3" s="1"/>
  <c r="F2015" i="3" s="1"/>
  <c r="F2039" i="3" s="1"/>
  <c r="F2063" i="3" s="1"/>
  <c r="F2087" i="3" s="1"/>
  <c r="F2111" i="3" s="1"/>
  <c r="F2135" i="3" s="1"/>
  <c r="F2159" i="3" s="1"/>
  <c r="F2183" i="3" s="1"/>
  <c r="F2207" i="3" s="1"/>
  <c r="F2231" i="3" s="1"/>
  <c r="F2255" i="3" s="1"/>
  <c r="F2279" i="3" s="1"/>
  <c r="F2303" i="3" s="1"/>
  <c r="F2327" i="3" s="1"/>
  <c r="F2351" i="3" s="1"/>
  <c r="F2375" i="3" s="1"/>
  <c r="F2399" i="3" s="1"/>
  <c r="F2423" i="3" s="1"/>
  <c r="F2447" i="3" s="1"/>
  <c r="F2471" i="3" s="1"/>
  <c r="F2495" i="3" s="1"/>
  <c r="F2519" i="3" s="1"/>
  <c r="F2543" i="3" s="1"/>
  <c r="F2567" i="3" s="1"/>
  <c r="F2591" i="3" s="1"/>
  <c r="F2615" i="3" s="1"/>
  <c r="F2639" i="3" s="1"/>
  <c r="F2663" i="3" s="1"/>
  <c r="F2687" i="3" s="1"/>
  <c r="F2711" i="3" s="1"/>
  <c r="F2735" i="3" s="1"/>
  <c r="F2759" i="3" s="1"/>
  <c r="F2783" i="3" s="1"/>
  <c r="F2807" i="3" s="1"/>
  <c r="F2831" i="3" s="1"/>
  <c r="F2855" i="3" s="1"/>
  <c r="F2879" i="3" s="1"/>
  <c r="F2903" i="3" s="1"/>
  <c r="F2927" i="3" s="1"/>
  <c r="F2951" i="3" s="1"/>
  <c r="F2975" i="3" s="1"/>
  <c r="F2999" i="3" s="1"/>
  <c r="F3023" i="3" s="1"/>
  <c r="F3047" i="3" s="1"/>
  <c r="F3071" i="3" s="1"/>
  <c r="F3095" i="3" s="1"/>
  <c r="F3119" i="3" s="1"/>
  <c r="F3143" i="3" s="1"/>
  <c r="F3167" i="3" s="1"/>
  <c r="F3191" i="3" s="1"/>
  <c r="F3215" i="3" s="1"/>
  <c r="F3239" i="3" s="1"/>
  <c r="F3263" i="3" s="1"/>
  <c r="F3287" i="3" s="1"/>
  <c r="F3311" i="3" s="1"/>
  <c r="F3335" i="3" s="1"/>
  <c r="F3359" i="3" s="1"/>
  <c r="F3383" i="3" s="1"/>
  <c r="F3407" i="3" s="1"/>
  <c r="F3431" i="3" s="1"/>
  <c r="F3455" i="3" s="1"/>
  <c r="F3479" i="3" s="1"/>
  <c r="F3503" i="3" s="1"/>
  <c r="F3527" i="3" s="1"/>
  <c r="F3551" i="3" s="1"/>
  <c r="F3575" i="3" s="1"/>
  <c r="F3599" i="3" s="1"/>
  <c r="F3623" i="3" s="1"/>
  <c r="F3647" i="3" s="1"/>
  <c r="F3671" i="3" s="1"/>
  <c r="F3695" i="3" s="1"/>
  <c r="F3719" i="3" s="1"/>
  <c r="F3743" i="3" s="1"/>
  <c r="F3767" i="3" s="1"/>
  <c r="F3791" i="3" s="1"/>
  <c r="F3815" i="3" s="1"/>
  <c r="F3839" i="3" s="1"/>
  <c r="F3863" i="3" s="1"/>
  <c r="F3887" i="3" s="1"/>
  <c r="F3911" i="3" s="1"/>
  <c r="F3935" i="3" s="1"/>
  <c r="F3959" i="3" s="1"/>
  <c r="F3983" i="3" s="1"/>
  <c r="F4007" i="3" s="1"/>
  <c r="F4031" i="3" s="1"/>
  <c r="F4055" i="3" s="1"/>
  <c r="F4079" i="3" s="1"/>
  <c r="F4103" i="3" s="1"/>
  <c r="F4127" i="3" s="1"/>
  <c r="F4151" i="3" s="1"/>
  <c r="F4175" i="3" s="1"/>
  <c r="F718" i="3"/>
  <c r="F742" i="3" s="1"/>
  <c r="F766" i="3" s="1"/>
  <c r="F790" i="3" s="1"/>
  <c r="F814" i="3" s="1"/>
  <c r="F838" i="3" s="1"/>
  <c r="F862" i="3" s="1"/>
  <c r="F886" i="3" s="1"/>
  <c r="F910" i="3" s="1"/>
  <c r="F934" i="3" s="1"/>
  <c r="F958" i="3" s="1"/>
  <c r="F982" i="3" s="1"/>
  <c r="F1006" i="3" s="1"/>
  <c r="F1030" i="3" s="1"/>
  <c r="F1054" i="3" s="1"/>
  <c r="F1078" i="3" s="1"/>
  <c r="F1102" i="3" s="1"/>
  <c r="F1126" i="3" s="1"/>
  <c r="F1150" i="3" s="1"/>
  <c r="F1174" i="3" s="1"/>
  <c r="F1198" i="3" s="1"/>
  <c r="F1222" i="3" s="1"/>
  <c r="F1246" i="3" s="1"/>
  <c r="F1270" i="3" s="1"/>
  <c r="F1294" i="3" s="1"/>
  <c r="F1318" i="3" s="1"/>
  <c r="F1342" i="3" s="1"/>
  <c r="F1366" i="3" s="1"/>
  <c r="F1390" i="3" s="1"/>
  <c r="F1414" i="3" s="1"/>
  <c r="F1438" i="3" s="1"/>
  <c r="F1462" i="3" s="1"/>
  <c r="F1486" i="3" s="1"/>
  <c r="F1510" i="3" s="1"/>
  <c r="F1534" i="3" s="1"/>
  <c r="F1558" i="3" s="1"/>
  <c r="F1582" i="3" s="1"/>
  <c r="F1606" i="3" s="1"/>
  <c r="F1630" i="3" s="1"/>
  <c r="F1654" i="3" s="1"/>
  <c r="F1678" i="3" s="1"/>
  <c r="F1702" i="3" s="1"/>
  <c r="F1726" i="3" s="1"/>
  <c r="F1750" i="3" s="1"/>
  <c r="F1774" i="3" s="1"/>
  <c r="F1798" i="3" s="1"/>
  <c r="F1822" i="3" s="1"/>
  <c r="F1846" i="3" s="1"/>
  <c r="F1870" i="3" s="1"/>
  <c r="F1894" i="3" s="1"/>
  <c r="F1918" i="3" s="1"/>
  <c r="F1942" i="3" s="1"/>
  <c r="F1966" i="3" s="1"/>
  <c r="F1990" i="3" s="1"/>
  <c r="F2014" i="3" s="1"/>
  <c r="F2038" i="3" s="1"/>
  <c r="F2062" i="3" s="1"/>
  <c r="F2086" i="3" s="1"/>
  <c r="F2110" i="3" s="1"/>
  <c r="F2134" i="3" s="1"/>
  <c r="F2158" i="3" s="1"/>
  <c r="F2182" i="3" s="1"/>
  <c r="F2206" i="3" s="1"/>
  <c r="F2230" i="3" s="1"/>
  <c r="F2254" i="3" s="1"/>
  <c r="F2278" i="3" s="1"/>
  <c r="F2302" i="3" s="1"/>
  <c r="F2326" i="3" s="1"/>
  <c r="F2350" i="3" s="1"/>
  <c r="F2374" i="3" s="1"/>
  <c r="F2398" i="3" s="1"/>
  <c r="F2422" i="3" s="1"/>
  <c r="F2446" i="3" s="1"/>
  <c r="F2470" i="3" s="1"/>
  <c r="F2494" i="3" s="1"/>
  <c r="F2518" i="3" s="1"/>
  <c r="F2542" i="3" s="1"/>
  <c r="F2566" i="3" s="1"/>
  <c r="F2590" i="3" s="1"/>
  <c r="F2614" i="3" s="1"/>
  <c r="F2638" i="3" s="1"/>
  <c r="F2662" i="3" s="1"/>
  <c r="F2686" i="3" s="1"/>
  <c r="F2710" i="3" s="1"/>
  <c r="F2734" i="3" s="1"/>
  <c r="F2758" i="3" s="1"/>
  <c r="F2782" i="3" s="1"/>
  <c r="F2806" i="3" s="1"/>
  <c r="F2830" i="3" s="1"/>
  <c r="F2854" i="3" s="1"/>
  <c r="F2878" i="3" s="1"/>
  <c r="F2902" i="3" s="1"/>
  <c r="F2926" i="3" s="1"/>
  <c r="F2950" i="3" s="1"/>
  <c r="F2974" i="3" s="1"/>
  <c r="F2998" i="3" s="1"/>
  <c r="F3022" i="3" s="1"/>
  <c r="F3046" i="3" s="1"/>
  <c r="F3070" i="3" s="1"/>
  <c r="F3094" i="3" s="1"/>
  <c r="F3118" i="3" s="1"/>
  <c r="F3142" i="3" s="1"/>
  <c r="F3166" i="3" s="1"/>
  <c r="F3190" i="3" s="1"/>
  <c r="F3214" i="3" s="1"/>
  <c r="F3238" i="3" s="1"/>
  <c r="F3262" i="3" s="1"/>
  <c r="F3286" i="3" s="1"/>
  <c r="F3310" i="3" s="1"/>
  <c r="F3334" i="3" s="1"/>
  <c r="F3358" i="3" s="1"/>
  <c r="F3382" i="3" s="1"/>
  <c r="F3406" i="3" s="1"/>
  <c r="F3430" i="3" s="1"/>
  <c r="F3454" i="3" s="1"/>
  <c r="F3478" i="3" s="1"/>
  <c r="F3502" i="3" s="1"/>
  <c r="F3526" i="3" s="1"/>
  <c r="F3550" i="3" s="1"/>
  <c r="F3574" i="3" s="1"/>
  <c r="F3598" i="3" s="1"/>
  <c r="F3622" i="3" s="1"/>
  <c r="F3646" i="3" s="1"/>
  <c r="F3670" i="3" s="1"/>
  <c r="F3694" i="3" s="1"/>
  <c r="F3718" i="3" s="1"/>
  <c r="F1388" i="3"/>
  <c r="F1413" i="3" s="1"/>
  <c r="F1387" i="3"/>
  <c r="F1411" i="3" s="1"/>
  <c r="F1435" i="3" s="1"/>
  <c r="F1459" i="3" s="1"/>
  <c r="F1483" i="3" s="1"/>
  <c r="F1507" i="3" s="1"/>
  <c r="F1531" i="3" s="1"/>
  <c r="F1555" i="3" s="1"/>
  <c r="F1579" i="3" s="1"/>
  <c r="F1603" i="3" s="1"/>
  <c r="F1627" i="3" s="1"/>
  <c r="F1651" i="3" s="1"/>
  <c r="F1675" i="3" s="1"/>
  <c r="F1699" i="3" s="1"/>
  <c r="F1723" i="3" s="1"/>
  <c r="F1747" i="3" s="1"/>
  <c r="F1771" i="3" s="1"/>
  <c r="F1795" i="3" s="1"/>
  <c r="F1819" i="3" s="1"/>
  <c r="F1843" i="3" s="1"/>
  <c r="F1867" i="3" s="1"/>
  <c r="F1891" i="3" s="1"/>
  <c r="F1915" i="3" s="1"/>
  <c r="F1939" i="3" s="1"/>
  <c r="F1963" i="3" s="1"/>
  <c r="F1987" i="3" s="1"/>
  <c r="F2011" i="3" s="1"/>
  <c r="F2035" i="3" s="1"/>
  <c r="F2059" i="3" s="1"/>
  <c r="F2083" i="3" s="1"/>
  <c r="F2107" i="3" s="1"/>
  <c r="F2131" i="3" s="1"/>
  <c r="F2155" i="3" s="1"/>
  <c r="F2179" i="3" s="1"/>
  <c r="F2203" i="3" s="1"/>
  <c r="F2227" i="3" s="1"/>
  <c r="F2251" i="3" s="1"/>
  <c r="F2275" i="3" s="1"/>
  <c r="F2299" i="3" s="1"/>
  <c r="F2323" i="3" s="1"/>
  <c r="F2347" i="3" s="1"/>
  <c r="F2371" i="3" s="1"/>
  <c r="F2395" i="3" s="1"/>
  <c r="F2419" i="3" s="1"/>
  <c r="F2443" i="3" s="1"/>
  <c r="F2467" i="3" s="1"/>
  <c r="F2491" i="3" s="1"/>
  <c r="F2515" i="3" s="1"/>
  <c r="F2539" i="3" s="1"/>
  <c r="F2563" i="3" s="1"/>
  <c r="F2587" i="3" s="1"/>
  <c r="F2611" i="3" s="1"/>
  <c r="F2635" i="3" s="1"/>
  <c r="F2659" i="3" s="1"/>
  <c r="F2683" i="3" s="1"/>
  <c r="F2707" i="3" s="1"/>
  <c r="F2731" i="3" s="1"/>
  <c r="F2755" i="3" s="1"/>
  <c r="F2779" i="3" s="1"/>
  <c r="F2803" i="3" s="1"/>
  <c r="F2827" i="3" s="1"/>
  <c r="F2851" i="3" s="1"/>
  <c r="F2875" i="3" s="1"/>
  <c r="F2899" i="3" s="1"/>
  <c r="F2923" i="3" s="1"/>
  <c r="F2947" i="3" s="1"/>
  <c r="F2971" i="3" s="1"/>
  <c r="F2995" i="3" s="1"/>
  <c r="F3019" i="3" s="1"/>
  <c r="F3043" i="3" s="1"/>
  <c r="F3067" i="3" s="1"/>
  <c r="F3091" i="3" s="1"/>
  <c r="F3115" i="3" s="1"/>
  <c r="F3139" i="3" s="1"/>
  <c r="F3163" i="3" s="1"/>
  <c r="F3187" i="3" s="1"/>
  <c r="F3211" i="3" s="1"/>
  <c r="F3235" i="3" s="1"/>
  <c r="F3259" i="3" s="1"/>
  <c r="F3283" i="3" s="1"/>
  <c r="F3307" i="3" s="1"/>
  <c r="F3331" i="3" s="1"/>
  <c r="F3355" i="3" s="1"/>
  <c r="F3379" i="3" s="1"/>
  <c r="F3403" i="3" s="1"/>
  <c r="F3427" i="3" s="1"/>
  <c r="F3451" i="3" s="1"/>
  <c r="F3475" i="3" s="1"/>
  <c r="F3499" i="3" s="1"/>
  <c r="F3523" i="3" s="1"/>
  <c r="F3547" i="3" s="1"/>
  <c r="F3571" i="3" s="1"/>
  <c r="F3595" i="3" s="1"/>
  <c r="F3619" i="3" s="1"/>
  <c r="F3643" i="3" s="1"/>
  <c r="F3667" i="3" s="1"/>
  <c r="F3691" i="3" s="1"/>
  <c r="F3715" i="3" s="1"/>
  <c r="F3739" i="3" s="1"/>
  <c r="F3763" i="3" s="1"/>
  <c r="F3787" i="3" s="1"/>
  <c r="F3811" i="3" s="1"/>
  <c r="F3835" i="3" s="1"/>
  <c r="F3859" i="3" s="1"/>
  <c r="F3883" i="3" s="1"/>
  <c r="F3907" i="3" s="1"/>
  <c r="F3931" i="3" s="1"/>
  <c r="F3955" i="3" s="1"/>
  <c r="F3979" i="3" s="1"/>
  <c r="F4003" i="3" s="1"/>
  <c r="F4027" i="3" s="1"/>
  <c r="F4051" i="3" s="1"/>
  <c r="F4075" i="3" s="1"/>
  <c r="F4099" i="3" s="1"/>
  <c r="F4123" i="3" s="1"/>
  <c r="F4147" i="3" s="1"/>
  <c r="F4171" i="3" s="1"/>
  <c r="F4195" i="3" s="1"/>
  <c r="F4219" i="3" s="1"/>
  <c r="F4243" i="3" s="1"/>
  <c r="F4267" i="3" s="1"/>
  <c r="F4291" i="3" s="1"/>
  <c r="F4315" i="3" s="1"/>
  <c r="F4339" i="3" s="1"/>
  <c r="F4363" i="3" s="1"/>
  <c r="F4387" i="3" s="1"/>
  <c r="F4411" i="3" s="1"/>
  <c r="F4435" i="3" s="1"/>
  <c r="F4459" i="3" s="1"/>
  <c r="F4483" i="3" s="1"/>
  <c r="F4507" i="3" s="1"/>
  <c r="F4531" i="3" s="1"/>
  <c r="F4555" i="3" s="1"/>
  <c r="F4579" i="3" s="1"/>
  <c r="F4603" i="3" s="1"/>
  <c r="F4627" i="3" s="1"/>
  <c r="F4651" i="3" s="1"/>
  <c r="F4675" i="3" s="1"/>
  <c r="F4699" i="3" s="1"/>
  <c r="F4723" i="3" s="1"/>
  <c r="F4747" i="3" s="1"/>
  <c r="F4771" i="3" s="1"/>
  <c r="F4795" i="3" s="1"/>
  <c r="F4819" i="3" s="1"/>
  <c r="F4843" i="3" s="1"/>
  <c r="F4867" i="3" s="1"/>
  <c r="F4891" i="3" s="1"/>
  <c r="F4915" i="3" s="1"/>
  <c r="F4939" i="3" s="1"/>
  <c r="F4963" i="3" s="1"/>
  <c r="F4987" i="3" s="1"/>
  <c r="F5011" i="3" s="1"/>
  <c r="F5035" i="3" s="1"/>
  <c r="F5059" i="3" s="1"/>
  <c r="F5083" i="3" s="1"/>
  <c r="F5107" i="3" s="1"/>
  <c r="F5131" i="3" s="1"/>
  <c r="F5155" i="3" s="1"/>
  <c r="F5179" i="3" s="1"/>
  <c r="F5203" i="3" s="1"/>
  <c r="F5227" i="3" s="1"/>
  <c r="F5251" i="3" s="1"/>
  <c r="F5275" i="3" s="1"/>
  <c r="F5299" i="3" s="1"/>
  <c r="F5323" i="3" s="1"/>
  <c r="F5347" i="3" s="1"/>
  <c r="F5371" i="3" s="1"/>
  <c r="F5395" i="3" s="1"/>
  <c r="F5419" i="3" s="1"/>
  <c r="F5443" i="3" s="1"/>
  <c r="F5467" i="3" s="1"/>
  <c r="F5491" i="3" s="1"/>
  <c r="F5515" i="3" s="1"/>
  <c r="F3704" i="3"/>
  <c r="F3728" i="3" s="1"/>
  <c r="F3752" i="3" s="1"/>
  <c r="F3776" i="3" s="1"/>
  <c r="F3800" i="3" s="1"/>
  <c r="F3824" i="3" s="1"/>
  <c r="F3848" i="3" s="1"/>
  <c r="F3872" i="3" s="1"/>
  <c r="F3896" i="3" s="1"/>
  <c r="F3920" i="3" s="1"/>
  <c r="F3944" i="3" s="1"/>
  <c r="F3968" i="3" s="1"/>
  <c r="F3992" i="3" s="1"/>
  <c r="F4016" i="3" s="1"/>
  <c r="F4040" i="3" s="1"/>
  <c r="F4064" i="3" s="1"/>
  <c r="F4088" i="3" s="1"/>
  <c r="F4112" i="3" s="1"/>
  <c r="F4136" i="3" s="1"/>
  <c r="F2668" i="3"/>
  <c r="F2692" i="3" s="1"/>
  <c r="F2716" i="3" s="1"/>
  <c r="F2740" i="3" s="1"/>
  <c r="F2764" i="3" s="1"/>
  <c r="F2788" i="3" s="1"/>
  <c r="F2812" i="3" s="1"/>
  <c r="F2836" i="3" s="1"/>
  <c r="F2860" i="3" s="1"/>
  <c r="F2884" i="3" s="1"/>
  <c r="F2908" i="3" s="1"/>
  <c r="F2932" i="3" s="1"/>
  <c r="F2956" i="3" s="1"/>
  <c r="F2980" i="3" s="1"/>
  <c r="F3004" i="3" s="1"/>
  <c r="F3028" i="3" s="1"/>
  <c r="F3052" i="3" s="1"/>
  <c r="F3076" i="3" s="1"/>
  <c r="F3100" i="3" s="1"/>
  <c r="F3124" i="3" s="1"/>
  <c r="F3148" i="3" s="1"/>
  <c r="F3172" i="3" s="1"/>
  <c r="F3196" i="3" s="1"/>
  <c r="F3220" i="3" s="1"/>
  <c r="F3244" i="3" s="1"/>
  <c r="F3268" i="3" s="1"/>
  <c r="F3292" i="3" s="1"/>
  <c r="F3316" i="3" s="1"/>
  <c r="F3340" i="3" s="1"/>
  <c r="F3364" i="3" s="1"/>
  <c r="F3388" i="3" s="1"/>
  <c r="F3412" i="3" s="1"/>
  <c r="F3892" i="3"/>
  <c r="F3916" i="3" s="1"/>
  <c r="F3940" i="3" s="1"/>
  <c r="F3964" i="3" s="1"/>
  <c r="F3988" i="3" s="1"/>
  <c r="F4012" i="3" s="1"/>
  <c r="F4036" i="3" s="1"/>
  <c r="F4060" i="3" s="1"/>
  <c r="F4084" i="3" s="1"/>
  <c r="F4108" i="3" s="1"/>
  <c r="F4132" i="3" s="1"/>
  <c r="F4156" i="3" s="1"/>
  <c r="F4180" i="3" s="1"/>
  <c r="F4204" i="3" s="1"/>
  <c r="F4228" i="3" s="1"/>
  <c r="F4252" i="3" s="1"/>
  <c r="F4276" i="3" s="1"/>
  <c r="F4300" i="3" s="1"/>
  <c r="F4324" i="3" s="1"/>
  <c r="F4348" i="3" s="1"/>
  <c r="F4372" i="3" s="1"/>
  <c r="F4396" i="3" s="1"/>
  <c r="F4420" i="3" s="1"/>
  <c r="F4444" i="3" s="1"/>
  <c r="F4468" i="3" s="1"/>
  <c r="F4492" i="3" s="1"/>
  <c r="F4516" i="3" s="1"/>
  <c r="F4540" i="3" s="1"/>
  <c r="F4564" i="3" s="1"/>
  <c r="F4588" i="3" s="1"/>
  <c r="F4612" i="3" s="1"/>
  <c r="F4636" i="3" s="1"/>
  <c r="F4660" i="3" s="1"/>
  <c r="F4684" i="3" s="1"/>
  <c r="F4708" i="3" s="1"/>
  <c r="F4732" i="3" s="1"/>
  <c r="F4756" i="3" s="1"/>
  <c r="F4780" i="3" s="1"/>
  <c r="F4804" i="3" s="1"/>
  <c r="F4828" i="3" s="1"/>
  <c r="F4852" i="3" s="1"/>
  <c r="F4876" i="3" s="1"/>
  <c r="F4900" i="3" s="1"/>
  <c r="F4924" i="3" s="1"/>
  <c r="F4948" i="3" s="1"/>
  <c r="F4972" i="3" s="1"/>
  <c r="F4996" i="3" s="1"/>
  <c r="F5020" i="3" s="1"/>
  <c r="F5044" i="3" s="1"/>
  <c r="F5068" i="3" s="1"/>
  <c r="F5092" i="3" s="1"/>
  <c r="F5116" i="3" s="1"/>
  <c r="F5140" i="3" s="1"/>
  <c r="F5164" i="3" s="1"/>
  <c r="F5188" i="3" s="1"/>
  <c r="F5212" i="3" s="1"/>
  <c r="F5236" i="3" s="1"/>
  <c r="F5260" i="3" s="1"/>
  <c r="F5284" i="3" s="1"/>
  <c r="F5308" i="3" s="1"/>
  <c r="F5332" i="3" s="1"/>
  <c r="F5356" i="3" s="1"/>
  <c r="F5380" i="3" s="1"/>
  <c r="F5404" i="3" s="1"/>
  <c r="F5428" i="3" s="1"/>
  <c r="F5452" i="3" s="1"/>
  <c r="F5476" i="3" s="1"/>
  <c r="F5500" i="3" s="1"/>
  <c r="F5524" i="3" s="1"/>
  <c r="F5548" i="3" s="1"/>
  <c r="F5572" i="3" s="1"/>
  <c r="F5596" i="3" s="1"/>
  <c r="F5620" i="3" s="1"/>
  <c r="F5644" i="3" s="1"/>
  <c r="F5668" i="3" s="1"/>
  <c r="F5692" i="3" s="1"/>
  <c r="F5716" i="3" s="1"/>
  <c r="F5740" i="3" s="1"/>
  <c r="F5764" i="3" s="1"/>
  <c r="F5788" i="3" s="1"/>
  <c r="F5812" i="3" s="1"/>
  <c r="F5836" i="3" s="1"/>
  <c r="F5860" i="3" s="1"/>
  <c r="F5884" i="3" s="1"/>
  <c r="F5908" i="3" s="1"/>
  <c r="F5932" i="3" s="1"/>
  <c r="F5956" i="3" s="1"/>
  <c r="F5980" i="3" s="1"/>
  <c r="F6004" i="3" s="1"/>
  <c r="F6028" i="3" s="1"/>
  <c r="F6052" i="3" s="1"/>
  <c r="F6076" i="3" s="1"/>
  <c r="F6100" i="3" s="1"/>
  <c r="F6124" i="3" s="1"/>
  <c r="F6148" i="3" s="1"/>
  <c r="F6172" i="3" s="1"/>
  <c r="F6196" i="3" s="1"/>
  <c r="F6220" i="3" s="1"/>
  <c r="F6244" i="3" s="1"/>
  <c r="F6268" i="3" s="1"/>
  <c r="F6292" i="3" s="1"/>
  <c r="F6316" i="3" s="1"/>
  <c r="F6340" i="3" s="1"/>
  <c r="F6364" i="3" s="1"/>
  <c r="F6388" i="3" s="1"/>
  <c r="F6412" i="3" s="1"/>
  <c r="F6436" i="3" s="1"/>
  <c r="F6460" i="3" s="1"/>
  <c r="F6484" i="3" s="1"/>
  <c r="F6508" i="3" s="1"/>
  <c r="F6532" i="3" s="1"/>
  <c r="F6556" i="3" s="1"/>
  <c r="F6580" i="3" s="1"/>
  <c r="F6604" i="3" s="1"/>
  <c r="F6628" i="3" s="1"/>
  <c r="F6652" i="3" s="1"/>
  <c r="F6676" i="3" s="1"/>
  <c r="F6700" i="3" s="1"/>
  <c r="F6724" i="3" s="1"/>
  <c r="F6748" i="3" s="1"/>
  <c r="F6772" i="3" s="1"/>
  <c r="F6796" i="3" s="1"/>
  <c r="F6820" i="3" s="1"/>
  <c r="F6844" i="3" s="1"/>
  <c r="F6868" i="3" s="1"/>
  <c r="F6892" i="3" s="1"/>
  <c r="F6916" i="3" s="1"/>
  <c r="F6940" i="3" s="1"/>
  <c r="F6964" i="3" s="1"/>
  <c r="F6988" i="3" s="1"/>
  <c r="F7012" i="3" s="1"/>
  <c r="F7036" i="3" s="1"/>
  <c r="F7060" i="3" s="1"/>
  <c r="F7084" i="3" s="1"/>
  <c r="F7108" i="3" s="1"/>
  <c r="F7132" i="3" s="1"/>
  <c r="F7156" i="3" s="1"/>
  <c r="F7180" i="3" s="1"/>
  <c r="F7204" i="3" s="1"/>
  <c r="F7228" i="3" s="1"/>
  <c r="F7252" i="3" s="1"/>
  <c r="F7276" i="3" s="1"/>
  <c r="F7300" i="3" s="1"/>
  <c r="F7324" i="3" s="1"/>
  <c r="F7348" i="3" s="1"/>
  <c r="F7372" i="3" s="1"/>
  <c r="F7396" i="3" s="1"/>
  <c r="F7420" i="3" s="1"/>
  <c r="F7444" i="3" s="1"/>
  <c r="F7468" i="3" s="1"/>
  <c r="F7492" i="3" s="1"/>
  <c r="F7516" i="3" s="1"/>
  <c r="F7540" i="3" s="1"/>
  <c r="F7564" i="3" s="1"/>
  <c r="F7588" i="3" s="1"/>
  <c r="F7612" i="3" s="1"/>
  <c r="F7636" i="3" s="1"/>
  <c r="F7660" i="3" s="1"/>
  <c r="F7684" i="3" s="1"/>
  <c r="F7708" i="3" s="1"/>
  <c r="F7732" i="3" s="1"/>
  <c r="F7756" i="3" s="1"/>
  <c r="F7780" i="3" s="1"/>
  <c r="F7804" i="3" s="1"/>
  <c r="F7828" i="3" s="1"/>
  <c r="F7852" i="3" s="1"/>
  <c r="F7876" i="3" s="1"/>
  <c r="F7900" i="3" s="1"/>
  <c r="F7924" i="3" s="1"/>
  <c r="F7948" i="3" s="1"/>
  <c r="F8020" i="3" s="1"/>
  <c r="F8044" i="3" s="1"/>
  <c r="F8068" i="3" s="1"/>
  <c r="F8092" i="3" s="1"/>
  <c r="F8116" i="3" s="1"/>
  <c r="F8140" i="3" s="1"/>
  <c r="F8164" i="3" s="1"/>
  <c r="F8188" i="3" s="1"/>
  <c r="F8212" i="3" s="1"/>
  <c r="F8236" i="3" s="1"/>
  <c r="F8260" i="3" s="1"/>
  <c r="F8284" i="3" s="1"/>
  <c r="F8308" i="3" s="1"/>
  <c r="F8332" i="3" s="1"/>
  <c r="F8356" i="3" s="1"/>
  <c r="F8380" i="3" s="1"/>
  <c r="F8404" i="3" s="1"/>
  <c r="F8428" i="3" s="1"/>
  <c r="F8452" i="3" s="1"/>
  <c r="F8476" i="3" s="1"/>
  <c r="F8500" i="3" s="1"/>
  <c r="F8524" i="3" s="1"/>
  <c r="F8548" i="3" s="1"/>
  <c r="F8572" i="3" s="1"/>
  <c r="F8596" i="3" s="1"/>
  <c r="F8620" i="3" s="1"/>
  <c r="F8644" i="3" s="1"/>
  <c r="F8668" i="3" s="1"/>
  <c r="F8692" i="3" s="1"/>
  <c r="F8716" i="3" s="1"/>
  <c r="F8740" i="3" s="1"/>
  <c r="F8764" i="3" s="1"/>
  <c r="F8788" i="3" s="1"/>
  <c r="F8812" i="3" s="1"/>
  <c r="F8836" i="3" s="1"/>
  <c r="F8860" i="3" s="1"/>
  <c r="F8884" i="3" s="1"/>
  <c r="F8908" i="3" s="1"/>
  <c r="F8932" i="3" s="1"/>
  <c r="F8956" i="3" s="1"/>
  <c r="F8980" i="3" s="1"/>
  <c r="F9004" i="3" s="1"/>
  <c r="F9028" i="3" s="1"/>
  <c r="F9052" i="3" s="1"/>
  <c r="F9076" i="3" s="1"/>
  <c r="F9100" i="3" s="1"/>
  <c r="F9124" i="3" s="1"/>
  <c r="F9148" i="3" s="1"/>
  <c r="F9172" i="3" s="1"/>
  <c r="F9196" i="3" s="1"/>
  <c r="F9220" i="3" s="1"/>
  <c r="F9244" i="3" s="1"/>
  <c r="F9268" i="3" s="1"/>
  <c r="F9292" i="3" s="1"/>
  <c r="F9316" i="3" s="1"/>
  <c r="F9340" i="3" s="1"/>
  <c r="F9364" i="3" s="1"/>
  <c r="F9388" i="3" s="1"/>
  <c r="F9412" i="3" s="1"/>
  <c r="F9436" i="3" s="1"/>
  <c r="F9460" i="3" s="1"/>
  <c r="F9484" i="3" s="1"/>
  <c r="F9508" i="3" s="1"/>
  <c r="F9532" i="3" s="1"/>
  <c r="F9556" i="3" s="1"/>
  <c r="F9580" i="3" s="1"/>
  <c r="F9604" i="3" s="1"/>
  <c r="F9628" i="3" s="1"/>
  <c r="F9652" i="3" s="1"/>
  <c r="F9676" i="3" s="1"/>
  <c r="F9700" i="3" s="1"/>
  <c r="F9724" i="3" s="1"/>
  <c r="F9748" i="3" s="1"/>
  <c r="F9772" i="3" s="1"/>
  <c r="F9796" i="3" s="1"/>
  <c r="F9820" i="3" s="1"/>
  <c r="F9844" i="3" s="1"/>
  <c r="F9868" i="3" s="1"/>
  <c r="F9892" i="3" s="1"/>
  <c r="F9916" i="3" s="1"/>
  <c r="F9940" i="3" s="1"/>
  <c r="F9964" i="3" s="1"/>
  <c r="F9988" i="3" s="1"/>
  <c r="F1353" i="3"/>
  <c r="F1354" i="3"/>
  <c r="F1379" i="3" s="1"/>
  <c r="F1404" i="3" s="1"/>
  <c r="F1429" i="3" s="1"/>
  <c r="F1454" i="3" s="1"/>
  <c r="F1479" i="3" s="1"/>
  <c r="F1504" i="3" s="1"/>
  <c r="F1529" i="3" s="1"/>
  <c r="F1554" i="3" s="1"/>
  <c r="AC212" i="23" l="1"/>
  <c r="M212" i="23"/>
  <c r="X211" i="23"/>
  <c r="AF211" i="23"/>
  <c r="F1484" i="3"/>
  <c r="F1509" i="3" s="1"/>
  <c r="C213" i="23"/>
  <c r="K213" i="23" s="1"/>
  <c r="AB227" i="23" s="1"/>
  <c r="R212" i="23"/>
  <c r="Q212" i="23"/>
  <c r="S212" i="23"/>
  <c r="E224" i="23"/>
  <c r="T223" i="23"/>
  <c r="F1584" i="3"/>
  <c r="C181" i="1"/>
  <c r="F2382" i="3"/>
  <c r="F2406" i="3" s="1"/>
  <c r="F2430" i="3" s="1"/>
  <c r="F2454" i="3" s="1"/>
  <c r="F2478" i="3" s="1"/>
  <c r="F2502" i="3" s="1"/>
  <c r="F1440" i="3"/>
  <c r="F1488" i="3"/>
  <c r="F1556" i="3"/>
  <c r="F1581" i="3" s="1"/>
  <c r="F1656" i="3" s="1"/>
  <c r="F1508" i="3"/>
  <c r="F1533" i="3" s="1"/>
  <c r="F1608" i="3" s="1"/>
  <c r="F1416" i="3"/>
  <c r="F1368" i="3"/>
  <c r="F1604" i="3"/>
  <c r="F1629" i="3" s="1"/>
  <c r="F1704" i="3" s="1"/>
  <c r="F1532" i="3"/>
  <c r="F1557" i="3" s="1"/>
  <c r="F1632" i="3" s="1"/>
  <c r="F1580" i="3"/>
  <c r="F1605" i="3" s="1"/>
  <c r="F1680" i="3" s="1"/>
  <c r="F1464" i="3"/>
  <c r="F1392" i="3"/>
  <c r="F1436" i="3"/>
  <c r="F1461" i="3" s="1"/>
  <c r="F1536" i="3" s="1"/>
  <c r="F1460" i="3"/>
  <c r="F1485" i="3" s="1"/>
  <c r="F1560" i="3" s="1"/>
  <c r="F1412" i="3"/>
  <c r="F1437" i="3" s="1"/>
  <c r="F1512" i="3" s="1"/>
  <c r="F3436" i="3"/>
  <c r="F3460" i="3" s="1"/>
  <c r="F3484" i="3" s="1"/>
  <c r="F3508" i="3" s="1"/>
  <c r="F3532" i="3" s="1"/>
  <c r="F1378" i="3"/>
  <c r="F1403" i="3" s="1"/>
  <c r="F1428" i="3" s="1"/>
  <c r="F1453" i="3" s="1"/>
  <c r="F1478" i="3" s="1"/>
  <c r="F1503" i="3" s="1"/>
  <c r="F1528" i="3" s="1"/>
  <c r="F1553" i="3" s="1"/>
  <c r="F1578" i="3" s="1"/>
  <c r="F1628" i="3" s="1"/>
  <c r="F1653" i="3" s="1"/>
  <c r="F1728" i="3" s="1"/>
  <c r="F1377" i="3"/>
  <c r="AC213" i="23" l="1"/>
  <c r="M213" i="23"/>
  <c r="X212" i="23"/>
  <c r="AF212" i="23"/>
  <c r="E225" i="23"/>
  <c r="T224" i="23"/>
  <c r="S213" i="23"/>
  <c r="Q213" i="23"/>
  <c r="C214" i="23"/>
  <c r="K214" i="23" s="1"/>
  <c r="AB228" i="23" s="1"/>
  <c r="R213" i="23"/>
  <c r="C182" i="1"/>
  <c r="F2526" i="3"/>
  <c r="F2550" i="3" s="1"/>
  <c r="F2574" i="3" s="1"/>
  <c r="F2598" i="3" s="1"/>
  <c r="F2622" i="3" s="1"/>
  <c r="F2646" i="3" s="1"/>
  <c r="F2670" i="3" s="1"/>
  <c r="F1402" i="3"/>
  <c r="F1427" i="3" s="1"/>
  <c r="F1452" i="3" s="1"/>
  <c r="F1477" i="3" s="1"/>
  <c r="F1502" i="3" s="1"/>
  <c r="F1527" i="3" s="1"/>
  <c r="F1552" i="3" s="1"/>
  <c r="F1577" i="3" s="1"/>
  <c r="F1602" i="3" s="1"/>
  <c r="F1652" i="3" s="1"/>
  <c r="F1677" i="3" s="1"/>
  <c r="F1752" i="3" s="1"/>
  <c r="F1401" i="3"/>
  <c r="AC214" i="23" l="1"/>
  <c r="M214" i="23"/>
  <c r="X213" i="23"/>
  <c r="AF213" i="23"/>
  <c r="C215" i="23"/>
  <c r="K215" i="23" s="1"/>
  <c r="AB229" i="23" s="1"/>
  <c r="R214" i="23"/>
  <c r="S214" i="23"/>
  <c r="Q214" i="23"/>
  <c r="E226" i="23"/>
  <c r="T225" i="23"/>
  <c r="C183" i="1"/>
  <c r="F2694" i="3"/>
  <c r="F2718" i="3" s="1"/>
  <c r="F2742" i="3" s="1"/>
  <c r="F2766" i="3" s="1"/>
  <c r="F2790" i="3" s="1"/>
  <c r="F1426" i="3"/>
  <c r="F1451" i="3" s="1"/>
  <c r="F1476" i="3" s="1"/>
  <c r="F1501" i="3" s="1"/>
  <c r="F1526" i="3" s="1"/>
  <c r="F1551" i="3" s="1"/>
  <c r="F1576" i="3" s="1"/>
  <c r="F1601" i="3" s="1"/>
  <c r="F1626" i="3" s="1"/>
  <c r="F1676" i="3" s="1"/>
  <c r="F1701" i="3" s="1"/>
  <c r="F1776" i="3" s="1"/>
  <c r="F1425" i="3"/>
  <c r="AC215" i="23" l="1"/>
  <c r="M215" i="23"/>
  <c r="X214" i="23"/>
  <c r="AF214" i="23"/>
  <c r="E227" i="23"/>
  <c r="T226" i="23"/>
  <c r="Q215" i="23"/>
  <c r="S215" i="23"/>
  <c r="C216" i="23"/>
  <c r="K216" i="23" s="1"/>
  <c r="AB230" i="23" s="1"/>
  <c r="R215" i="23"/>
  <c r="C184" i="1"/>
  <c r="F2814" i="3"/>
  <c r="F2838" i="3" s="1"/>
  <c r="F2862" i="3" s="1"/>
  <c r="F2886" i="3" s="1"/>
  <c r="F2910" i="3" s="1"/>
  <c r="F2934" i="3" s="1"/>
  <c r="F2958" i="3" s="1"/>
  <c r="F2982" i="3" s="1"/>
  <c r="F3006" i="3" s="1"/>
  <c r="F3030" i="3" s="1"/>
  <c r="F3054" i="3" s="1"/>
  <c r="F3078" i="3" s="1"/>
  <c r="F3102" i="3" s="1"/>
  <c r="F3126" i="3" s="1"/>
  <c r="F3150" i="3" s="1"/>
  <c r="F3174" i="3" s="1"/>
  <c r="F3198" i="3" s="1"/>
  <c r="F3222" i="3" s="1"/>
  <c r="F3246" i="3" s="1"/>
  <c r="F3270" i="3" s="1"/>
  <c r="F3294" i="3" s="1"/>
  <c r="F3318" i="3" s="1"/>
  <c r="F3342" i="3" s="1"/>
  <c r="F1450" i="3"/>
  <c r="F1475" i="3" s="1"/>
  <c r="F1500" i="3" s="1"/>
  <c r="F1525" i="3" s="1"/>
  <c r="F1550" i="3" s="1"/>
  <c r="F1575" i="3" s="1"/>
  <c r="F1600" i="3" s="1"/>
  <c r="F1625" i="3" s="1"/>
  <c r="F1650" i="3" s="1"/>
  <c r="F1700" i="3" s="1"/>
  <c r="F1725" i="3" s="1"/>
  <c r="F1800" i="3" s="1"/>
  <c r="F1449" i="3"/>
  <c r="AC216" i="23" l="1"/>
  <c r="M216" i="23"/>
  <c r="X215" i="23"/>
  <c r="AF215" i="23"/>
  <c r="C217" i="23"/>
  <c r="K217" i="23" s="1"/>
  <c r="AB231" i="23" s="1"/>
  <c r="R216" i="23"/>
  <c r="Q216" i="23"/>
  <c r="S216" i="23"/>
  <c r="E228" i="23"/>
  <c r="T227" i="23"/>
  <c r="C185" i="1"/>
  <c r="F1474" i="3"/>
  <c r="F1499" i="3" s="1"/>
  <c r="F1524" i="3" s="1"/>
  <c r="F1549" i="3" s="1"/>
  <c r="F1574" i="3" s="1"/>
  <c r="F1599" i="3" s="1"/>
  <c r="F1624" i="3" s="1"/>
  <c r="F1649" i="3" s="1"/>
  <c r="F1674" i="3" s="1"/>
  <c r="F1724" i="3" s="1"/>
  <c r="F1749" i="3" s="1"/>
  <c r="F1824" i="3" s="1"/>
  <c r="F1473" i="3"/>
  <c r="AC217" i="23" l="1"/>
  <c r="M217" i="23"/>
  <c r="X216" i="23"/>
  <c r="AF216" i="23"/>
  <c r="E229" i="23"/>
  <c r="T228" i="23"/>
  <c r="S217" i="23"/>
  <c r="Q217" i="23"/>
  <c r="C218" i="23"/>
  <c r="K218" i="23" s="1"/>
  <c r="AB232" i="23" s="1"/>
  <c r="R217" i="23"/>
  <c r="C186" i="1"/>
  <c r="F1498" i="3"/>
  <c r="F1523" i="3" s="1"/>
  <c r="F1548" i="3" s="1"/>
  <c r="F1573" i="3" s="1"/>
  <c r="F1598" i="3" s="1"/>
  <c r="F1623" i="3" s="1"/>
  <c r="F1648" i="3" s="1"/>
  <c r="F1673" i="3" s="1"/>
  <c r="F1698" i="3" s="1"/>
  <c r="F1748" i="3" s="1"/>
  <c r="F1773" i="3" s="1"/>
  <c r="F1848" i="3" s="1"/>
  <c r="F1497" i="3"/>
  <c r="AC218" i="23" l="1"/>
  <c r="M218" i="23"/>
  <c r="X217" i="23"/>
  <c r="AF217" i="23"/>
  <c r="C219" i="23"/>
  <c r="K219" i="23" s="1"/>
  <c r="AB233" i="23" s="1"/>
  <c r="R218" i="23"/>
  <c r="S218" i="23"/>
  <c r="Q218" i="23"/>
  <c r="E230" i="23"/>
  <c r="T229" i="23"/>
  <c r="C187" i="1"/>
  <c r="F1522" i="3"/>
  <c r="F1547" i="3" s="1"/>
  <c r="F1572" i="3" s="1"/>
  <c r="F1597" i="3" s="1"/>
  <c r="F1622" i="3" s="1"/>
  <c r="F1647" i="3" s="1"/>
  <c r="F1672" i="3" s="1"/>
  <c r="F1697" i="3" s="1"/>
  <c r="F1722" i="3" s="1"/>
  <c r="F1772" i="3" s="1"/>
  <c r="F1797" i="3" s="1"/>
  <c r="F1872" i="3" s="1"/>
  <c r="F1521" i="3"/>
  <c r="AC219" i="23" l="1"/>
  <c r="M219" i="23"/>
  <c r="X218" i="23"/>
  <c r="AF218" i="23"/>
  <c r="E231" i="23"/>
  <c r="T230" i="23"/>
  <c r="Q219" i="23"/>
  <c r="S219" i="23"/>
  <c r="C220" i="23"/>
  <c r="K220" i="23" s="1"/>
  <c r="AB234" i="23" s="1"/>
  <c r="R219" i="23"/>
  <c r="C188" i="1"/>
  <c r="F1546" i="3"/>
  <c r="F1571" i="3" s="1"/>
  <c r="F1596" i="3" s="1"/>
  <c r="F1621" i="3" s="1"/>
  <c r="F1646" i="3" s="1"/>
  <c r="F1671" i="3" s="1"/>
  <c r="F1696" i="3" s="1"/>
  <c r="F1721" i="3" s="1"/>
  <c r="F1746" i="3" s="1"/>
  <c r="F1796" i="3" s="1"/>
  <c r="F1821" i="3" s="1"/>
  <c r="F1896" i="3" s="1"/>
  <c r="F1545" i="3"/>
  <c r="AC220" i="23" l="1"/>
  <c r="M220" i="23"/>
  <c r="X219" i="23"/>
  <c r="AF219" i="23"/>
  <c r="C221" i="23"/>
  <c r="K221" i="23" s="1"/>
  <c r="AB235" i="23" s="1"/>
  <c r="R220" i="23"/>
  <c r="Q220" i="23"/>
  <c r="S220" i="23"/>
  <c r="E232" i="23"/>
  <c r="T231" i="23"/>
  <c r="C189" i="1"/>
  <c r="F1570" i="3"/>
  <c r="F1595" i="3" s="1"/>
  <c r="F1620" i="3" s="1"/>
  <c r="F1645" i="3" s="1"/>
  <c r="F1670" i="3" s="1"/>
  <c r="F1695" i="3" s="1"/>
  <c r="F1720" i="3" s="1"/>
  <c r="F1745" i="3" s="1"/>
  <c r="F1770" i="3" s="1"/>
  <c r="F1820" i="3" s="1"/>
  <c r="F1845" i="3" s="1"/>
  <c r="F1920" i="3" s="1"/>
  <c r="F1569" i="3"/>
  <c r="AC221" i="23" l="1"/>
  <c r="M221" i="23"/>
  <c r="X220" i="23"/>
  <c r="AF220" i="23"/>
  <c r="E233" i="23"/>
  <c r="T232" i="23"/>
  <c r="S221" i="23"/>
  <c r="Q221" i="23"/>
  <c r="C222" i="23"/>
  <c r="K222" i="23" s="1"/>
  <c r="AB236" i="23" s="1"/>
  <c r="R221" i="23"/>
  <c r="C190" i="1"/>
  <c r="F1593" i="3"/>
  <c r="F1594" i="3"/>
  <c r="F1619" i="3" s="1"/>
  <c r="F1644" i="3" s="1"/>
  <c r="F1669" i="3" s="1"/>
  <c r="F1694" i="3" s="1"/>
  <c r="F1719" i="3" s="1"/>
  <c r="F1744" i="3" s="1"/>
  <c r="F1769" i="3" s="1"/>
  <c r="F1794" i="3" s="1"/>
  <c r="F1844" i="3" s="1"/>
  <c r="F1869" i="3" s="1"/>
  <c r="F1944" i="3" s="1"/>
  <c r="AC222" i="23" l="1"/>
  <c r="M222" i="23"/>
  <c r="X221" i="23"/>
  <c r="AF221" i="23"/>
  <c r="C223" i="23"/>
  <c r="K223" i="23" s="1"/>
  <c r="AB237" i="23" s="1"/>
  <c r="R222" i="23"/>
  <c r="S222" i="23"/>
  <c r="Q222" i="23"/>
  <c r="E234" i="23"/>
  <c r="T233" i="23"/>
  <c r="C191" i="1"/>
  <c r="F1617" i="3"/>
  <c r="F1618" i="3"/>
  <c r="F1643" i="3" s="1"/>
  <c r="F1668" i="3" s="1"/>
  <c r="F1693" i="3" s="1"/>
  <c r="F1718" i="3" s="1"/>
  <c r="F1743" i="3" s="1"/>
  <c r="F1768" i="3" s="1"/>
  <c r="F1793" i="3" s="1"/>
  <c r="F1818" i="3" s="1"/>
  <c r="F1868" i="3" s="1"/>
  <c r="F1893" i="3" s="1"/>
  <c r="F1968" i="3" s="1"/>
  <c r="AC223" i="23" l="1"/>
  <c r="M223" i="23"/>
  <c r="X222" i="23"/>
  <c r="AF222" i="23"/>
  <c r="T234" i="23"/>
  <c r="E235" i="23"/>
  <c r="Q223" i="23"/>
  <c r="S223" i="23"/>
  <c r="C224" i="23"/>
  <c r="K224" i="23" s="1"/>
  <c r="AB238" i="23" s="1"/>
  <c r="R223" i="23"/>
  <c r="C192" i="1"/>
  <c r="Q191" i="1"/>
  <c r="F1641" i="3"/>
  <c r="F1642" i="3"/>
  <c r="F1667" i="3" s="1"/>
  <c r="F1692" i="3" s="1"/>
  <c r="F1717" i="3" s="1"/>
  <c r="F1742" i="3" s="1"/>
  <c r="F1767" i="3" s="1"/>
  <c r="F1792" i="3" s="1"/>
  <c r="F1817" i="3" s="1"/>
  <c r="F1842" i="3" s="1"/>
  <c r="F1892" i="3" s="1"/>
  <c r="F1917" i="3" s="1"/>
  <c r="F1992" i="3" s="1"/>
  <c r="AC224" i="23" l="1"/>
  <c r="M224" i="23"/>
  <c r="X223" i="23"/>
  <c r="AF223" i="23"/>
  <c r="E236" i="23"/>
  <c r="T235" i="23"/>
  <c r="C225" i="23"/>
  <c r="K225" i="23" s="1"/>
  <c r="AB239" i="23" s="1"/>
  <c r="R224" i="23"/>
  <c r="Q224" i="23"/>
  <c r="S224" i="23"/>
  <c r="C193" i="1"/>
  <c r="Q192" i="1"/>
  <c r="F1665" i="3"/>
  <c r="F1666" i="3"/>
  <c r="F1691" i="3" s="1"/>
  <c r="F1716" i="3" s="1"/>
  <c r="F1741" i="3" s="1"/>
  <c r="F1766" i="3" s="1"/>
  <c r="F1791" i="3" s="1"/>
  <c r="F1816" i="3" s="1"/>
  <c r="F1841" i="3" s="1"/>
  <c r="F1866" i="3" s="1"/>
  <c r="F1916" i="3" s="1"/>
  <c r="F1941" i="3" s="1"/>
  <c r="F2016" i="3" s="1"/>
  <c r="AC225" i="23" l="1"/>
  <c r="M225" i="23"/>
  <c r="X224" i="23"/>
  <c r="AF224" i="23"/>
  <c r="S225" i="23"/>
  <c r="Q225" i="23"/>
  <c r="C226" i="23"/>
  <c r="K226" i="23" s="1"/>
  <c r="AB240" i="23" s="1"/>
  <c r="R225" i="23"/>
  <c r="E237" i="23"/>
  <c r="T236" i="23"/>
  <c r="C194" i="1"/>
  <c r="Q193" i="1"/>
  <c r="F1690" i="3"/>
  <c r="F1715" i="3" s="1"/>
  <c r="F1740" i="3" s="1"/>
  <c r="F1765" i="3" s="1"/>
  <c r="F1790" i="3" s="1"/>
  <c r="F1815" i="3" s="1"/>
  <c r="F1840" i="3" s="1"/>
  <c r="F1865" i="3" s="1"/>
  <c r="F1890" i="3" s="1"/>
  <c r="F1940" i="3" s="1"/>
  <c r="F1965" i="3" s="1"/>
  <c r="F2040" i="3" s="1"/>
  <c r="F1689" i="3"/>
  <c r="AC226" i="23" l="1"/>
  <c r="M226" i="23"/>
  <c r="X225" i="23"/>
  <c r="AF225" i="23"/>
  <c r="C227" i="23"/>
  <c r="K227" i="23" s="1"/>
  <c r="AB241" i="23" s="1"/>
  <c r="R226" i="23"/>
  <c r="S226" i="23"/>
  <c r="Q226" i="23"/>
  <c r="E238" i="23"/>
  <c r="T237" i="23"/>
  <c r="C195" i="1"/>
  <c r="Q194" i="1"/>
  <c r="F1714" i="3"/>
  <c r="F1739" i="3" s="1"/>
  <c r="F1764" i="3" s="1"/>
  <c r="F1789" i="3" s="1"/>
  <c r="F1814" i="3" s="1"/>
  <c r="F1839" i="3" s="1"/>
  <c r="F1864" i="3" s="1"/>
  <c r="F1889" i="3" s="1"/>
  <c r="F1914" i="3" s="1"/>
  <c r="F1964" i="3" s="1"/>
  <c r="F1989" i="3" s="1"/>
  <c r="F2064" i="3" s="1"/>
  <c r="F1713" i="3"/>
  <c r="AC227" i="23" l="1"/>
  <c r="M227" i="23"/>
  <c r="X226" i="23"/>
  <c r="AF226" i="23"/>
  <c r="E239" i="23"/>
  <c r="T238" i="23"/>
  <c r="Q227" i="23"/>
  <c r="S227" i="23"/>
  <c r="C228" i="23"/>
  <c r="K228" i="23" s="1"/>
  <c r="AB242" i="23" s="1"/>
  <c r="R227" i="23"/>
  <c r="C196" i="1"/>
  <c r="Q195" i="1"/>
  <c r="F1738" i="3"/>
  <c r="F1763" i="3" s="1"/>
  <c r="F1788" i="3" s="1"/>
  <c r="F1813" i="3" s="1"/>
  <c r="F1838" i="3" s="1"/>
  <c r="F1863" i="3" s="1"/>
  <c r="F1888" i="3" s="1"/>
  <c r="F1913" i="3" s="1"/>
  <c r="F1938" i="3" s="1"/>
  <c r="F1988" i="3" s="1"/>
  <c r="F2013" i="3" s="1"/>
  <c r="F2088" i="3" s="1"/>
  <c r="F1737" i="3"/>
  <c r="AC228" i="23" l="1"/>
  <c r="M228" i="23"/>
  <c r="X227" i="23"/>
  <c r="AF227" i="23"/>
  <c r="C229" i="23"/>
  <c r="K229" i="23" s="1"/>
  <c r="AB243" i="23" s="1"/>
  <c r="R228" i="23"/>
  <c r="Q228" i="23"/>
  <c r="S228" i="23"/>
  <c r="E240" i="23"/>
  <c r="T239" i="23"/>
  <c r="C197" i="1"/>
  <c r="Q196" i="1"/>
  <c r="F1761" i="3"/>
  <c r="F1762" i="3"/>
  <c r="F1787" i="3" s="1"/>
  <c r="F1812" i="3" s="1"/>
  <c r="F1837" i="3" s="1"/>
  <c r="F1862" i="3" s="1"/>
  <c r="F1887" i="3" s="1"/>
  <c r="F1912" i="3" s="1"/>
  <c r="F1937" i="3" s="1"/>
  <c r="F1962" i="3" s="1"/>
  <c r="F2012" i="3" s="1"/>
  <c r="F2037" i="3" s="1"/>
  <c r="F2112" i="3" s="1"/>
  <c r="AC229" i="23" l="1"/>
  <c r="M229" i="23"/>
  <c r="X228" i="23"/>
  <c r="AF228" i="23"/>
  <c r="E241" i="23"/>
  <c r="T240" i="23"/>
  <c r="S229" i="23"/>
  <c r="Q229" i="23"/>
  <c r="C230" i="23"/>
  <c r="K230" i="23" s="1"/>
  <c r="AB244" i="23" s="1"/>
  <c r="R229" i="23"/>
  <c r="C198" i="1"/>
  <c r="Q197" i="1"/>
  <c r="F1786" i="3"/>
  <c r="F1811" i="3" s="1"/>
  <c r="F1836" i="3" s="1"/>
  <c r="F1861" i="3" s="1"/>
  <c r="F1886" i="3" s="1"/>
  <c r="F1911" i="3" s="1"/>
  <c r="F1936" i="3" s="1"/>
  <c r="F1961" i="3" s="1"/>
  <c r="F1986" i="3" s="1"/>
  <c r="F2036" i="3" s="1"/>
  <c r="F2061" i="3" s="1"/>
  <c r="F2136" i="3" s="1"/>
  <c r="F1785" i="3"/>
  <c r="AC230" i="23" l="1"/>
  <c r="M230" i="23"/>
  <c r="X229" i="23"/>
  <c r="AF229" i="23"/>
  <c r="C231" i="23"/>
  <c r="K231" i="23" s="1"/>
  <c r="AB245" i="23" s="1"/>
  <c r="R230" i="23"/>
  <c r="S230" i="23"/>
  <c r="Q230" i="23"/>
  <c r="E242" i="23"/>
  <c r="T241" i="23"/>
  <c r="C199" i="1"/>
  <c r="Q198" i="1"/>
  <c r="F1810" i="3"/>
  <c r="F1835" i="3" s="1"/>
  <c r="F1860" i="3" s="1"/>
  <c r="F1885" i="3" s="1"/>
  <c r="F1910" i="3" s="1"/>
  <c r="F1935" i="3" s="1"/>
  <c r="F1960" i="3" s="1"/>
  <c r="F1985" i="3" s="1"/>
  <c r="F2010" i="3" s="1"/>
  <c r="F2060" i="3" s="1"/>
  <c r="F2085" i="3" s="1"/>
  <c r="F2160" i="3" s="1"/>
  <c r="F1809" i="3"/>
  <c r="AC231" i="23" l="1"/>
  <c r="M231" i="23"/>
  <c r="X230" i="23"/>
  <c r="AF230" i="23"/>
  <c r="E243" i="23"/>
  <c r="T242" i="23"/>
  <c r="Q231" i="23"/>
  <c r="S231" i="23"/>
  <c r="C232" i="23"/>
  <c r="R231" i="23"/>
  <c r="C200" i="1"/>
  <c r="Q199" i="1"/>
  <c r="F1834" i="3"/>
  <c r="F1859" i="3" s="1"/>
  <c r="F1884" i="3" s="1"/>
  <c r="F1909" i="3" s="1"/>
  <c r="F1934" i="3" s="1"/>
  <c r="F1959" i="3" s="1"/>
  <c r="F1984" i="3" s="1"/>
  <c r="F2009" i="3" s="1"/>
  <c r="F2034" i="3" s="1"/>
  <c r="F2084" i="3" s="1"/>
  <c r="F2109" i="3" s="1"/>
  <c r="F2184" i="3" s="1"/>
  <c r="F1833" i="3"/>
  <c r="AC232" i="23" l="1"/>
  <c r="K232" i="23"/>
  <c r="AB246" i="23" s="1"/>
  <c r="X231" i="23"/>
  <c r="AF231" i="23"/>
  <c r="C233" i="23"/>
  <c r="R232" i="23"/>
  <c r="S232" i="23"/>
  <c r="E244" i="23"/>
  <c r="T243" i="23"/>
  <c r="C201" i="1"/>
  <c r="Q200" i="1"/>
  <c r="F1857" i="3"/>
  <c r="F1858" i="3"/>
  <c r="F1883" i="3" s="1"/>
  <c r="F1908" i="3" s="1"/>
  <c r="F1933" i="3" s="1"/>
  <c r="F1958" i="3" s="1"/>
  <c r="F1983" i="3" s="1"/>
  <c r="F2008" i="3" s="1"/>
  <c r="F2033" i="3" s="1"/>
  <c r="F2058" i="3" s="1"/>
  <c r="F2108" i="3" s="1"/>
  <c r="F2133" i="3" s="1"/>
  <c r="F2208" i="3" s="1"/>
  <c r="AC233" i="23" l="1"/>
  <c r="K233" i="23"/>
  <c r="AB247" i="23" s="1"/>
  <c r="X232" i="23"/>
  <c r="AF232" i="23"/>
  <c r="E245" i="23"/>
  <c r="T244" i="23"/>
  <c r="S233" i="23"/>
  <c r="C234" i="23"/>
  <c r="K234" i="23" s="1"/>
  <c r="AB248" i="23" s="1"/>
  <c r="Q233" i="23"/>
  <c r="R233" i="23"/>
  <c r="C202" i="1"/>
  <c r="Q201" i="1"/>
  <c r="F1881" i="3"/>
  <c r="F1882" i="3"/>
  <c r="F1907" i="3" s="1"/>
  <c r="F1932" i="3" s="1"/>
  <c r="F1957" i="3" s="1"/>
  <c r="F1982" i="3" s="1"/>
  <c r="F2007" i="3" s="1"/>
  <c r="F2032" i="3" s="1"/>
  <c r="F2057" i="3" s="1"/>
  <c r="F2082" i="3" s="1"/>
  <c r="F2132" i="3" s="1"/>
  <c r="F2157" i="3" s="1"/>
  <c r="F2232" i="3" s="1"/>
  <c r="AC234" i="23" l="1"/>
  <c r="M234" i="23"/>
  <c r="X233" i="23"/>
  <c r="AF233" i="23"/>
  <c r="S234" i="23"/>
  <c r="Q234" i="23"/>
  <c r="R234" i="23"/>
  <c r="C235" i="23"/>
  <c r="K235" i="23" s="1"/>
  <c r="AB249" i="23" s="1"/>
  <c r="E246" i="23"/>
  <c r="T245" i="23"/>
  <c r="C203" i="1"/>
  <c r="Q202" i="1"/>
  <c r="F1906" i="3"/>
  <c r="F1931" i="3" s="1"/>
  <c r="F1956" i="3" s="1"/>
  <c r="F1981" i="3" s="1"/>
  <c r="F2006" i="3" s="1"/>
  <c r="F2031" i="3" s="1"/>
  <c r="F2056" i="3" s="1"/>
  <c r="F2081" i="3" s="1"/>
  <c r="F2106" i="3" s="1"/>
  <c r="F2156" i="3" s="1"/>
  <c r="F2181" i="3" s="1"/>
  <c r="F2256" i="3" s="1"/>
  <c r="F1905" i="3"/>
  <c r="E247" i="23" l="1"/>
  <c r="AC235" i="23"/>
  <c r="M235" i="23"/>
  <c r="X234" i="23"/>
  <c r="AF234" i="23"/>
  <c r="C236" i="23"/>
  <c r="K236" i="23" s="1"/>
  <c r="AB250" i="23" s="1"/>
  <c r="R235" i="23"/>
  <c r="Q235" i="23"/>
  <c r="S235" i="23"/>
  <c r="C204" i="1"/>
  <c r="Q203" i="1"/>
  <c r="F1930" i="3"/>
  <c r="F1955" i="3" s="1"/>
  <c r="F1980" i="3" s="1"/>
  <c r="F2005" i="3" s="1"/>
  <c r="F2030" i="3" s="1"/>
  <c r="F2055" i="3" s="1"/>
  <c r="F2080" i="3" s="1"/>
  <c r="F2105" i="3" s="1"/>
  <c r="F2130" i="3" s="1"/>
  <c r="F2180" i="3" s="1"/>
  <c r="F2205" i="3" s="1"/>
  <c r="F2280" i="3" s="1"/>
  <c r="F1929" i="3"/>
  <c r="AC236" i="23" l="1"/>
  <c r="M236" i="23"/>
  <c r="E248" i="23"/>
  <c r="X235" i="23"/>
  <c r="AF235" i="23"/>
  <c r="Q236" i="23"/>
  <c r="S236" i="23"/>
  <c r="C237" i="23"/>
  <c r="K237" i="23" s="1"/>
  <c r="AB251" i="23" s="1"/>
  <c r="R236" i="23"/>
  <c r="Q204" i="1"/>
  <c r="C205" i="1"/>
  <c r="F1953" i="3"/>
  <c r="F1954" i="3"/>
  <c r="F1979" i="3" s="1"/>
  <c r="F2004" i="3" s="1"/>
  <c r="F2029" i="3" s="1"/>
  <c r="F2054" i="3" s="1"/>
  <c r="F2079" i="3" s="1"/>
  <c r="F2104" i="3" s="1"/>
  <c r="F2129" i="3" s="1"/>
  <c r="F2154" i="3" s="1"/>
  <c r="F2204" i="3" s="1"/>
  <c r="F2229" i="3" s="1"/>
  <c r="F2304" i="3" s="1"/>
  <c r="E249" i="23" l="1"/>
  <c r="AC237" i="23"/>
  <c r="M237" i="23"/>
  <c r="X236" i="23"/>
  <c r="AF236" i="23"/>
  <c r="S237" i="23"/>
  <c r="C238" i="23"/>
  <c r="K238" i="23" s="1"/>
  <c r="AB252" i="23" s="1"/>
  <c r="R237" i="23"/>
  <c r="Q237" i="23"/>
  <c r="C206" i="1"/>
  <c r="Q205" i="1"/>
  <c r="F1977" i="3"/>
  <c r="F1978" i="3"/>
  <c r="F2003" i="3" s="1"/>
  <c r="F2028" i="3" s="1"/>
  <c r="F2053" i="3" s="1"/>
  <c r="F2078" i="3" s="1"/>
  <c r="F2103" i="3" s="1"/>
  <c r="F2128" i="3" s="1"/>
  <c r="F2153" i="3" s="1"/>
  <c r="F2178" i="3" s="1"/>
  <c r="F2228" i="3" s="1"/>
  <c r="F2253" i="3" s="1"/>
  <c r="F2328" i="3" s="1"/>
  <c r="AC238" i="23" l="1"/>
  <c r="M238" i="23"/>
  <c r="E250" i="23"/>
  <c r="X237" i="23"/>
  <c r="AF237" i="23"/>
  <c r="S238" i="23"/>
  <c r="C239" i="23"/>
  <c r="K239" i="23" s="1"/>
  <c r="AB253" i="23" s="1"/>
  <c r="R238" i="23"/>
  <c r="Q238" i="23"/>
  <c r="C207" i="1"/>
  <c r="Q206" i="1"/>
  <c r="F2001" i="3"/>
  <c r="F2002" i="3"/>
  <c r="F2027" i="3" s="1"/>
  <c r="F2052" i="3" s="1"/>
  <c r="F2077" i="3" s="1"/>
  <c r="F2102" i="3" s="1"/>
  <c r="F2127" i="3" s="1"/>
  <c r="F2152" i="3" s="1"/>
  <c r="F2177" i="3" s="1"/>
  <c r="F2202" i="3" s="1"/>
  <c r="F2252" i="3" s="1"/>
  <c r="F2277" i="3" s="1"/>
  <c r="F2352" i="3" s="1"/>
  <c r="AC239" i="23" l="1"/>
  <c r="M239" i="23"/>
  <c r="E251" i="23"/>
  <c r="X238" i="23"/>
  <c r="AF238" i="23"/>
  <c r="C240" i="23"/>
  <c r="K240" i="23" s="1"/>
  <c r="AB254" i="23" s="1"/>
  <c r="R239" i="23"/>
  <c r="Q239" i="23"/>
  <c r="S239" i="23"/>
  <c r="C208" i="1"/>
  <c r="Q207" i="1"/>
  <c r="F2025" i="3"/>
  <c r="F2026" i="3"/>
  <c r="F2051" i="3" s="1"/>
  <c r="F2076" i="3" s="1"/>
  <c r="F2101" i="3" s="1"/>
  <c r="F2126" i="3" s="1"/>
  <c r="F2151" i="3" s="1"/>
  <c r="F2176" i="3" s="1"/>
  <c r="F2201" i="3" s="1"/>
  <c r="F2226" i="3" s="1"/>
  <c r="F2276" i="3" s="1"/>
  <c r="F2301" i="3" s="1"/>
  <c r="F2376" i="3" s="1"/>
  <c r="E252" i="23" l="1"/>
  <c r="AC240" i="23"/>
  <c r="M240" i="23"/>
  <c r="X239" i="23"/>
  <c r="AF239" i="23"/>
  <c r="Q240" i="23"/>
  <c r="S240" i="23"/>
  <c r="C241" i="23"/>
  <c r="K241" i="23" s="1"/>
  <c r="AB255" i="23" s="1"/>
  <c r="R240" i="23"/>
  <c r="C209" i="1"/>
  <c r="Q208" i="1"/>
  <c r="F2049" i="3"/>
  <c r="F2050" i="3"/>
  <c r="F2075" i="3" s="1"/>
  <c r="F2100" i="3" s="1"/>
  <c r="F2125" i="3" s="1"/>
  <c r="F2150" i="3" s="1"/>
  <c r="F2175" i="3" s="1"/>
  <c r="F2200" i="3" s="1"/>
  <c r="F2225" i="3" s="1"/>
  <c r="F2250" i="3" s="1"/>
  <c r="F2300" i="3" s="1"/>
  <c r="F2325" i="3" s="1"/>
  <c r="F2400" i="3" s="1"/>
  <c r="AC241" i="23" l="1"/>
  <c r="M241" i="23"/>
  <c r="E253" i="23"/>
  <c r="X240" i="23"/>
  <c r="AF240" i="23"/>
  <c r="S241" i="23"/>
  <c r="C242" i="23"/>
  <c r="K242" i="23" s="1"/>
  <c r="AB256" i="23" s="1"/>
  <c r="R241" i="23"/>
  <c r="Q241" i="23"/>
  <c r="C210" i="1"/>
  <c r="Q209" i="1"/>
  <c r="F2073" i="3"/>
  <c r="F2074" i="3"/>
  <c r="F2099" i="3" s="1"/>
  <c r="F2124" i="3" s="1"/>
  <c r="F2149" i="3" s="1"/>
  <c r="F2174" i="3" s="1"/>
  <c r="F2199" i="3" s="1"/>
  <c r="F2224" i="3" s="1"/>
  <c r="F2249" i="3" s="1"/>
  <c r="F2274" i="3" s="1"/>
  <c r="F2324" i="3" s="1"/>
  <c r="F2349" i="3" s="1"/>
  <c r="F2424" i="3" s="1"/>
  <c r="AC242" i="23" l="1"/>
  <c r="M242" i="23"/>
  <c r="E254" i="23"/>
  <c r="X241" i="23"/>
  <c r="AF241" i="23"/>
  <c r="S242" i="23"/>
  <c r="C243" i="23"/>
  <c r="K243" i="23" s="1"/>
  <c r="AB257" i="23" s="1"/>
  <c r="R242" i="23"/>
  <c r="Q242" i="23"/>
  <c r="C211" i="1"/>
  <c r="Q210" i="1"/>
  <c r="F2098" i="3"/>
  <c r="F2123" i="3" s="1"/>
  <c r="F2148" i="3" s="1"/>
  <c r="F2173" i="3" s="1"/>
  <c r="F2198" i="3" s="1"/>
  <c r="F2223" i="3" s="1"/>
  <c r="F2248" i="3" s="1"/>
  <c r="F2273" i="3" s="1"/>
  <c r="F2298" i="3" s="1"/>
  <c r="F2348" i="3" s="1"/>
  <c r="F2373" i="3" s="1"/>
  <c r="F2448" i="3" s="1"/>
  <c r="F2097" i="3"/>
  <c r="AC243" i="23" l="1"/>
  <c r="M243" i="23"/>
  <c r="E255" i="23"/>
  <c r="X242" i="23"/>
  <c r="AF242" i="23"/>
  <c r="C244" i="23"/>
  <c r="K244" i="23" s="1"/>
  <c r="AB258" i="23" s="1"/>
  <c r="R243" i="23"/>
  <c r="Q243" i="23"/>
  <c r="S243" i="23"/>
  <c r="C212" i="1"/>
  <c r="Q211" i="1"/>
  <c r="F2121" i="3"/>
  <c r="F2122" i="3"/>
  <c r="F2147" i="3" s="1"/>
  <c r="F2172" i="3" s="1"/>
  <c r="F2197" i="3" s="1"/>
  <c r="F2222" i="3" s="1"/>
  <c r="F2247" i="3" s="1"/>
  <c r="F2272" i="3" s="1"/>
  <c r="F2297" i="3" s="1"/>
  <c r="F2322" i="3" s="1"/>
  <c r="F2372" i="3" s="1"/>
  <c r="F2397" i="3" s="1"/>
  <c r="F2472" i="3" s="1"/>
  <c r="E256" i="23" l="1"/>
  <c r="AC244" i="23"/>
  <c r="M244" i="23"/>
  <c r="X243" i="23"/>
  <c r="AF243" i="23"/>
  <c r="Q244" i="23"/>
  <c r="S244" i="23"/>
  <c r="C245" i="23"/>
  <c r="K245" i="23" s="1"/>
  <c r="AB259" i="23" s="1"/>
  <c r="R244" i="23"/>
  <c r="Q212" i="1"/>
  <c r="C213" i="1"/>
  <c r="F2145" i="3"/>
  <c r="F2146" i="3"/>
  <c r="F2171" i="3" s="1"/>
  <c r="F2196" i="3" s="1"/>
  <c r="F2221" i="3" s="1"/>
  <c r="F2246" i="3" s="1"/>
  <c r="F2271" i="3" s="1"/>
  <c r="F2296" i="3" s="1"/>
  <c r="F2321" i="3" s="1"/>
  <c r="F2346" i="3" s="1"/>
  <c r="F2396" i="3" s="1"/>
  <c r="F2421" i="3" s="1"/>
  <c r="F2496" i="3" s="1"/>
  <c r="AC245" i="23" l="1"/>
  <c r="M245" i="23"/>
  <c r="E257" i="23"/>
  <c r="X244" i="23"/>
  <c r="AF244" i="23"/>
  <c r="S245" i="23"/>
  <c r="C246" i="23"/>
  <c r="K246" i="23" s="1"/>
  <c r="AB260" i="23" s="1"/>
  <c r="R245" i="23"/>
  <c r="Q245" i="23"/>
  <c r="C214" i="1"/>
  <c r="Q213" i="1"/>
  <c r="F2170" i="3"/>
  <c r="F2195" i="3" s="1"/>
  <c r="F2220" i="3" s="1"/>
  <c r="F2245" i="3" s="1"/>
  <c r="F2270" i="3" s="1"/>
  <c r="F2295" i="3" s="1"/>
  <c r="F2320" i="3" s="1"/>
  <c r="F2345" i="3" s="1"/>
  <c r="F2370" i="3" s="1"/>
  <c r="F2420" i="3" s="1"/>
  <c r="F2445" i="3" s="1"/>
  <c r="F2520" i="3" s="1"/>
  <c r="F2169" i="3"/>
  <c r="E258" i="23" l="1"/>
  <c r="AC246" i="23"/>
  <c r="M246" i="23"/>
  <c r="X245" i="23"/>
  <c r="AF245" i="23"/>
  <c r="R246" i="23"/>
  <c r="C247" i="23"/>
  <c r="K247" i="23" s="1"/>
  <c r="AB261" i="23" s="1"/>
  <c r="Q246" i="23"/>
  <c r="C215" i="1"/>
  <c r="Q214" i="1"/>
  <c r="F2194" i="3"/>
  <c r="F2219" i="3" s="1"/>
  <c r="F2244" i="3" s="1"/>
  <c r="F2269" i="3" s="1"/>
  <c r="F2294" i="3" s="1"/>
  <c r="F2319" i="3" s="1"/>
  <c r="F2344" i="3" s="1"/>
  <c r="F2369" i="3" s="1"/>
  <c r="F2394" i="3" s="1"/>
  <c r="F2444" i="3" s="1"/>
  <c r="F2469" i="3" s="1"/>
  <c r="F2544" i="3" s="1"/>
  <c r="F2193" i="3"/>
  <c r="AC247" i="23" l="1"/>
  <c r="M247" i="23"/>
  <c r="E259" i="23"/>
  <c r="X246" i="23"/>
  <c r="AF246" i="23"/>
  <c r="R247" i="23"/>
  <c r="C248" i="23"/>
  <c r="K248" i="23" s="1"/>
  <c r="AB262" i="23" s="1"/>
  <c r="Q247" i="23"/>
  <c r="C216" i="1"/>
  <c r="Q215" i="1"/>
  <c r="F2218" i="3"/>
  <c r="F2243" i="3" s="1"/>
  <c r="F2268" i="3" s="1"/>
  <c r="F2293" i="3" s="1"/>
  <c r="F2318" i="3" s="1"/>
  <c r="F2343" i="3" s="1"/>
  <c r="F2368" i="3" s="1"/>
  <c r="F2393" i="3" s="1"/>
  <c r="F2418" i="3" s="1"/>
  <c r="F2468" i="3" s="1"/>
  <c r="F2493" i="3" s="1"/>
  <c r="F2568" i="3" s="1"/>
  <c r="F2217" i="3"/>
  <c r="AC248" i="23" l="1"/>
  <c r="M248" i="23"/>
  <c r="E260" i="23"/>
  <c r="X247" i="23"/>
  <c r="AF247" i="23"/>
  <c r="R248" i="23"/>
  <c r="C249" i="23"/>
  <c r="K249" i="23" s="1"/>
  <c r="AB263" i="23" s="1"/>
  <c r="Q248" i="23"/>
  <c r="C217" i="1"/>
  <c r="Q216" i="1"/>
  <c r="F2242" i="3"/>
  <c r="F2267" i="3" s="1"/>
  <c r="F2292" i="3" s="1"/>
  <c r="F2317" i="3" s="1"/>
  <c r="F2342" i="3" s="1"/>
  <c r="F2367" i="3" s="1"/>
  <c r="F2392" i="3" s="1"/>
  <c r="F2417" i="3" s="1"/>
  <c r="F2442" i="3" s="1"/>
  <c r="F2492" i="3" s="1"/>
  <c r="F2517" i="3" s="1"/>
  <c r="F2592" i="3" s="1"/>
  <c r="F2241" i="3"/>
  <c r="E261" i="23" l="1"/>
  <c r="AC249" i="23"/>
  <c r="M249" i="23"/>
  <c r="X248" i="23"/>
  <c r="AF248" i="23"/>
  <c r="R249" i="23"/>
  <c r="C250" i="23"/>
  <c r="K250" i="23" s="1"/>
  <c r="AB264" i="23" s="1"/>
  <c r="Q249" i="23"/>
  <c r="C218" i="1"/>
  <c r="Q217" i="1"/>
  <c r="F2266" i="3"/>
  <c r="F2291" i="3" s="1"/>
  <c r="F2316" i="3" s="1"/>
  <c r="F2341" i="3" s="1"/>
  <c r="F2366" i="3" s="1"/>
  <c r="F2391" i="3" s="1"/>
  <c r="F2416" i="3" s="1"/>
  <c r="F2441" i="3" s="1"/>
  <c r="F2466" i="3" s="1"/>
  <c r="F2516" i="3" s="1"/>
  <c r="F2541" i="3" s="1"/>
  <c r="F2616" i="3" s="1"/>
  <c r="F2265" i="3"/>
  <c r="E4319" i="3"/>
  <c r="E4303" i="3"/>
  <c r="E4299" i="3"/>
  <c r="E4320" i="3"/>
  <c r="E4313" i="3"/>
  <c r="E4301" i="3"/>
  <c r="K180" i="1"/>
  <c r="E4318" i="3"/>
  <c r="AC250" i="23" l="1"/>
  <c r="M250" i="23"/>
  <c r="E262" i="23"/>
  <c r="X249" i="23"/>
  <c r="AF249" i="23"/>
  <c r="R250" i="23"/>
  <c r="C251" i="23"/>
  <c r="K251" i="23" s="1"/>
  <c r="AB265" i="23" s="1"/>
  <c r="Q250" i="23"/>
  <c r="C219" i="1"/>
  <c r="Q218" i="1"/>
  <c r="F2290" i="3"/>
  <c r="F2315" i="3" s="1"/>
  <c r="F2340" i="3" s="1"/>
  <c r="F2365" i="3" s="1"/>
  <c r="F2390" i="3" s="1"/>
  <c r="F2415" i="3" s="1"/>
  <c r="F2440" i="3" s="1"/>
  <c r="F2465" i="3" s="1"/>
  <c r="F2490" i="3" s="1"/>
  <c r="F2540" i="3" s="1"/>
  <c r="F2565" i="3" s="1"/>
  <c r="F2640" i="3" s="1"/>
  <c r="F2289" i="3"/>
  <c r="E4275" i="3"/>
  <c r="E4274" i="3"/>
  <c r="E4297" i="3"/>
  <c r="E4294" i="3"/>
  <c r="E4289" i="3"/>
  <c r="E4286" i="3"/>
  <c r="E4283" i="3"/>
  <c r="E4281" i="3"/>
  <c r="E4296" i="3"/>
  <c r="E4290" i="3"/>
  <c r="E4279" i="3"/>
  <c r="D180" i="1"/>
  <c r="AC251" i="23" l="1"/>
  <c r="M251" i="23"/>
  <c r="E263" i="23"/>
  <c r="X250" i="23"/>
  <c r="AF250" i="23"/>
  <c r="R251" i="23"/>
  <c r="C252" i="23"/>
  <c r="K252" i="23" s="1"/>
  <c r="AB266" i="23" s="1"/>
  <c r="Q251" i="23"/>
  <c r="C220" i="1"/>
  <c r="Q219" i="1"/>
  <c r="F2314" i="3"/>
  <c r="F2339" i="3" s="1"/>
  <c r="F2364" i="3" s="1"/>
  <c r="F2389" i="3" s="1"/>
  <c r="F2414" i="3" s="1"/>
  <c r="F2439" i="3" s="1"/>
  <c r="F2464" i="3" s="1"/>
  <c r="F2489" i="3" s="1"/>
  <c r="F2514" i="3" s="1"/>
  <c r="F2564" i="3" s="1"/>
  <c r="F2589" i="3" s="1"/>
  <c r="F2664" i="3" s="1"/>
  <c r="F2313" i="3"/>
  <c r="E4293" i="3"/>
  <c r="E4288" i="3"/>
  <c r="E4277" i="3"/>
  <c r="K179" i="1"/>
  <c r="AC252" i="23" l="1"/>
  <c r="M252" i="23"/>
  <c r="E264" i="23"/>
  <c r="X251" i="23"/>
  <c r="AF251" i="23"/>
  <c r="R252" i="23"/>
  <c r="C253" i="23"/>
  <c r="K253" i="23" s="1"/>
  <c r="AB267" i="23" s="1"/>
  <c r="Q252" i="23"/>
  <c r="Q220" i="1"/>
  <c r="C221" i="1"/>
  <c r="F2337" i="3"/>
  <c r="F2338" i="3"/>
  <c r="F2363" i="3" s="1"/>
  <c r="F2388" i="3" s="1"/>
  <c r="F2413" i="3" s="1"/>
  <c r="F2438" i="3" s="1"/>
  <c r="F2463" i="3" s="1"/>
  <c r="F2488" i="3" s="1"/>
  <c r="F2513" i="3" s="1"/>
  <c r="F2538" i="3" s="1"/>
  <c r="F2588" i="3" s="1"/>
  <c r="F2613" i="3" s="1"/>
  <c r="F2688" i="3" s="1"/>
  <c r="E4270" i="3"/>
  <c r="E4265" i="3"/>
  <c r="E4262" i="3"/>
  <c r="E4264" i="3"/>
  <c r="E4257" i="3"/>
  <c r="E4273" i="3"/>
  <c r="E4259" i="3"/>
  <c r="D179" i="1"/>
  <c r="E265" i="23" l="1"/>
  <c r="AC253" i="23"/>
  <c r="M253" i="23"/>
  <c r="X252" i="23"/>
  <c r="AF252" i="23"/>
  <c r="R253" i="23"/>
  <c r="C254" i="23"/>
  <c r="K254" i="23" s="1"/>
  <c r="AB268" i="23" s="1"/>
  <c r="Q253" i="23"/>
  <c r="Q221" i="1"/>
  <c r="C222" i="1"/>
  <c r="F2361" i="3"/>
  <c r="F2362" i="3"/>
  <c r="F2387" i="3" s="1"/>
  <c r="F2412" i="3" s="1"/>
  <c r="F2437" i="3" s="1"/>
  <c r="F2462" i="3" s="1"/>
  <c r="F2487" i="3" s="1"/>
  <c r="F2512" i="3" s="1"/>
  <c r="F2537" i="3" s="1"/>
  <c r="F2562" i="3" s="1"/>
  <c r="F2612" i="3" s="1"/>
  <c r="F2637" i="3" s="1"/>
  <c r="F2712" i="3" s="1"/>
  <c r="L178" i="1"/>
  <c r="K178" i="1" s="1"/>
  <c r="E4266" i="3"/>
  <c r="E4253" i="3"/>
  <c r="E4246" i="3"/>
  <c r="E4241" i="3"/>
  <c r="E4242" i="3"/>
  <c r="E4229" i="3"/>
  <c r="E4227" i="3"/>
  <c r="E4226" i="3"/>
  <c r="E4237" i="3"/>
  <c r="E4248" i="3"/>
  <c r="E4233" i="3"/>
  <c r="E4231" i="3"/>
  <c r="D178" i="1"/>
  <c r="E4238" i="3"/>
  <c r="E4235" i="3"/>
  <c r="L177" i="1"/>
  <c r="K177" i="1" s="1"/>
  <c r="AC254" i="23" l="1"/>
  <c r="M254" i="23"/>
  <c r="E266" i="23"/>
  <c r="X253" i="23"/>
  <c r="AF253" i="23"/>
  <c r="R254" i="23"/>
  <c r="C255" i="23"/>
  <c r="K255" i="23" s="1"/>
  <c r="AB269" i="23" s="1"/>
  <c r="Q254" i="23"/>
  <c r="Q222" i="1"/>
  <c r="C223" i="1"/>
  <c r="F2736" i="3"/>
  <c r="F2760" i="3" s="1"/>
  <c r="F2784" i="3" s="1"/>
  <c r="F2808" i="3" s="1"/>
  <c r="F2832" i="3" s="1"/>
  <c r="F2856" i="3" s="1"/>
  <c r="F2880" i="3" s="1"/>
  <c r="F2904" i="3" s="1"/>
  <c r="F2928" i="3" s="1"/>
  <c r="F2952" i="3" s="1"/>
  <c r="F2976" i="3" s="1"/>
  <c r="F3000" i="3" s="1"/>
  <c r="F3024" i="3" s="1"/>
  <c r="F3048" i="3" s="1"/>
  <c r="F3072" i="3" s="1"/>
  <c r="F3096" i="3" s="1"/>
  <c r="F3120" i="3" s="1"/>
  <c r="F3144" i="3" s="1"/>
  <c r="F3168" i="3" s="1"/>
  <c r="F3192" i="3" s="1"/>
  <c r="F3216" i="3" s="1"/>
  <c r="F3240" i="3" s="1"/>
  <c r="F3264" i="3" s="1"/>
  <c r="F3288" i="3" s="1"/>
  <c r="F3312" i="3" s="1"/>
  <c r="F3336" i="3" s="1"/>
  <c r="F3360" i="3" s="1"/>
  <c r="F3384" i="3" s="1"/>
  <c r="F3408" i="3" s="1"/>
  <c r="F3432" i="3" s="1"/>
  <c r="F3456" i="3" s="1"/>
  <c r="F3480" i="3" s="1"/>
  <c r="F3504" i="3" s="1"/>
  <c r="F3528" i="3" s="1"/>
  <c r="F3552" i="3" s="1"/>
  <c r="F3576" i="3" s="1"/>
  <c r="F3600" i="3" s="1"/>
  <c r="F3624" i="3" s="1"/>
  <c r="F3648" i="3" s="1"/>
  <c r="F3672" i="3" s="1"/>
  <c r="F3696" i="3" s="1"/>
  <c r="F3720" i="3" s="1"/>
  <c r="F3744" i="3" s="1"/>
  <c r="F2385" i="3"/>
  <c r="F2386" i="3"/>
  <c r="F2411" i="3" s="1"/>
  <c r="F2436" i="3" s="1"/>
  <c r="F2461" i="3" s="1"/>
  <c r="F2486" i="3" s="1"/>
  <c r="F2511" i="3" s="1"/>
  <c r="F2536" i="3" s="1"/>
  <c r="F2561" i="3" s="1"/>
  <c r="F2586" i="3" s="1"/>
  <c r="F2636" i="3" s="1"/>
  <c r="F2661" i="3" s="1"/>
  <c r="D175" i="1"/>
  <c r="D176" i="1"/>
  <c r="E4183" i="3"/>
  <c r="E4223" i="3"/>
  <c r="E4222" i="3"/>
  <c r="E4217" i="3"/>
  <c r="E4203" i="3"/>
  <c r="E4202" i="3"/>
  <c r="E4225" i="3"/>
  <c r="E4218" i="3"/>
  <c r="D177" i="1"/>
  <c r="E4214" i="3"/>
  <c r="E4224" i="3"/>
  <c r="E4216" i="3"/>
  <c r="L176" i="1"/>
  <c r="K176" i="1" s="1"/>
  <c r="E4198" i="3"/>
  <c r="E4193" i="3"/>
  <c r="E4190" i="3"/>
  <c r="E4187" i="3"/>
  <c r="E4181" i="3"/>
  <c r="E4179" i="3"/>
  <c r="E4199" i="3"/>
  <c r="F4199" i="3" s="1"/>
  <c r="E4145" i="3"/>
  <c r="AC255" i="23" l="1"/>
  <c r="M255" i="23"/>
  <c r="E267" i="23"/>
  <c r="X254" i="23"/>
  <c r="AF254" i="23"/>
  <c r="R255" i="23"/>
  <c r="C256" i="23"/>
  <c r="K256" i="23" s="1"/>
  <c r="AB270" i="23" s="1"/>
  <c r="Q255" i="23"/>
  <c r="C224" i="1"/>
  <c r="Q223" i="1"/>
  <c r="F4223" i="3"/>
  <c r="F4247" i="3" s="1"/>
  <c r="F4271" i="3" s="1"/>
  <c r="F4295" i="3" s="1"/>
  <c r="F4319" i="3" s="1"/>
  <c r="F4343" i="3" s="1"/>
  <c r="F4367" i="3" s="1"/>
  <c r="F4391" i="3" s="1"/>
  <c r="F4415" i="3" s="1"/>
  <c r="F4439" i="3" s="1"/>
  <c r="F4463" i="3" s="1"/>
  <c r="F4487" i="3" s="1"/>
  <c r="F4511" i="3" s="1"/>
  <c r="F4535" i="3" s="1"/>
  <c r="F4559" i="3" s="1"/>
  <c r="F4583" i="3" s="1"/>
  <c r="F4607" i="3" s="1"/>
  <c r="F2410" i="3"/>
  <c r="F2435" i="3" s="1"/>
  <c r="F2460" i="3" s="1"/>
  <c r="F2485" i="3" s="1"/>
  <c r="F2510" i="3" s="1"/>
  <c r="F2535" i="3" s="1"/>
  <c r="F2560" i="3" s="1"/>
  <c r="F2585" i="3" s="1"/>
  <c r="F2610" i="3" s="1"/>
  <c r="F2660" i="3" s="1"/>
  <c r="F2685" i="3" s="1"/>
  <c r="F2409" i="3"/>
  <c r="D172" i="1"/>
  <c r="L175" i="1"/>
  <c r="K175" i="1" s="1"/>
  <c r="E4197" i="3"/>
  <c r="E4192" i="3"/>
  <c r="E4189" i="3"/>
  <c r="E4184" i="3"/>
  <c r="E4200" i="3"/>
  <c r="E4194" i="3"/>
  <c r="E4166" i="3"/>
  <c r="E4165" i="3"/>
  <c r="E4174" i="3"/>
  <c r="E4155" i="3"/>
  <c r="E4170" i="3"/>
  <c r="E4176" i="3"/>
  <c r="E4160" i="3"/>
  <c r="F4160" i="3" s="1"/>
  <c r="E4169" i="3"/>
  <c r="E4159" i="3"/>
  <c r="L174" i="1"/>
  <c r="K174" i="1" s="1"/>
  <c r="AC256" i="23" l="1"/>
  <c r="M256" i="23"/>
  <c r="E268" i="23"/>
  <c r="X255" i="23"/>
  <c r="AF255" i="23"/>
  <c r="R256" i="23"/>
  <c r="C257" i="23"/>
  <c r="K257" i="23" s="1"/>
  <c r="AB271" i="23" s="1"/>
  <c r="Q256" i="23"/>
  <c r="C225" i="1"/>
  <c r="Q224" i="1"/>
  <c r="F2433" i="3"/>
  <c r="F2434" i="3"/>
  <c r="F2459" i="3" s="1"/>
  <c r="F2484" i="3" s="1"/>
  <c r="F2509" i="3" s="1"/>
  <c r="F2534" i="3" s="1"/>
  <c r="F2559" i="3" s="1"/>
  <c r="F2584" i="3" s="1"/>
  <c r="F2609" i="3" s="1"/>
  <c r="F2634" i="3" s="1"/>
  <c r="F2684" i="3" s="1"/>
  <c r="F2709" i="3" s="1"/>
  <c r="F4184" i="3"/>
  <c r="F4208" i="3" s="1"/>
  <c r="F4232" i="3" s="1"/>
  <c r="F4256" i="3" s="1"/>
  <c r="F4280" i="3" s="1"/>
  <c r="F4304" i="3" s="1"/>
  <c r="F4328" i="3" s="1"/>
  <c r="F4352" i="3" s="1"/>
  <c r="F4376" i="3" s="1"/>
  <c r="F4400" i="3" s="1"/>
  <c r="F4424" i="3" s="1"/>
  <c r="F4448" i="3" s="1"/>
  <c r="F4472" i="3" s="1"/>
  <c r="F4496" i="3" s="1"/>
  <c r="F4520" i="3" s="1"/>
  <c r="F4544" i="3" s="1"/>
  <c r="F4568" i="3" s="1"/>
  <c r="F4592" i="3" s="1"/>
  <c r="F4616" i="3" s="1"/>
  <c r="F4640" i="3" s="1"/>
  <c r="F4664" i="3" s="1"/>
  <c r="F4688" i="3" s="1"/>
  <c r="F4712" i="3" s="1"/>
  <c r="F4736" i="3" s="1"/>
  <c r="F4760" i="3" s="1"/>
  <c r="F4784" i="3" s="1"/>
  <c r="F4808" i="3" s="1"/>
  <c r="F4832" i="3" s="1"/>
  <c r="F4856" i="3" s="1"/>
  <c r="F4880" i="3" s="1"/>
  <c r="F4904" i="3" s="1"/>
  <c r="F4928" i="3" s="1"/>
  <c r="F4952" i="3" s="1"/>
  <c r="F4976" i="3" s="1"/>
  <c r="F5000" i="3" s="1"/>
  <c r="F5024" i="3" s="1"/>
  <c r="F5048" i="3" s="1"/>
  <c r="F5072" i="3" s="1"/>
  <c r="F5096" i="3" s="1"/>
  <c r="F5120" i="3" s="1"/>
  <c r="F5144" i="3" s="1"/>
  <c r="F5168" i="3" s="1"/>
  <c r="F5192" i="3" s="1"/>
  <c r="F5216" i="3" s="1"/>
  <c r="F5240" i="3" s="1"/>
  <c r="F5264" i="3" s="1"/>
  <c r="F5288" i="3" s="1"/>
  <c r="F5312" i="3" s="1"/>
  <c r="F5336" i="3" s="1"/>
  <c r="F5360" i="3" s="1"/>
  <c r="F5384" i="3" s="1"/>
  <c r="F5408" i="3" s="1"/>
  <c r="F5432" i="3" s="1"/>
  <c r="F5456" i="3" s="1"/>
  <c r="F5480" i="3" s="1"/>
  <c r="F5504" i="3" s="1"/>
  <c r="L173" i="1"/>
  <c r="K173" i="1" s="1"/>
  <c r="E4131" i="3"/>
  <c r="E4130" i="3"/>
  <c r="E4150" i="3"/>
  <c r="E4142" i="3"/>
  <c r="E4146" i="3"/>
  <c r="E4139" i="3"/>
  <c r="E4122" i="3"/>
  <c r="E4118" i="3"/>
  <c r="E4115" i="3"/>
  <c r="E4107" i="3"/>
  <c r="D173" i="1"/>
  <c r="AC257" i="23" l="1"/>
  <c r="M257" i="23"/>
  <c r="E269" i="23"/>
  <c r="X256" i="23"/>
  <c r="AF256" i="23"/>
  <c r="R257" i="23"/>
  <c r="C258" i="23"/>
  <c r="K258" i="23" s="1"/>
  <c r="AB272" i="23" s="1"/>
  <c r="Q257" i="23"/>
  <c r="C226" i="1"/>
  <c r="Q225" i="1"/>
  <c r="F2457" i="3"/>
  <c r="F2458" i="3"/>
  <c r="F2483" i="3" s="1"/>
  <c r="F2508" i="3" s="1"/>
  <c r="F2533" i="3" s="1"/>
  <c r="F2558" i="3" s="1"/>
  <c r="F2583" i="3" s="1"/>
  <c r="F2608" i="3" s="1"/>
  <c r="F2633" i="3" s="1"/>
  <c r="F2658" i="3" s="1"/>
  <c r="F2708" i="3" s="1"/>
  <c r="F2733" i="3" s="1"/>
  <c r="E4120" i="3"/>
  <c r="E4110" i="3"/>
  <c r="E4109" i="3"/>
  <c r="L172" i="1"/>
  <c r="K172" i="1" s="1"/>
  <c r="AC258" i="23" l="1"/>
  <c r="M258" i="23"/>
  <c r="E270" i="23"/>
  <c r="X257" i="23"/>
  <c r="AF257" i="23"/>
  <c r="R258" i="23"/>
  <c r="C259" i="23"/>
  <c r="K259" i="23" s="1"/>
  <c r="AB273" i="23" s="1"/>
  <c r="Q258" i="23"/>
  <c r="Q226" i="1"/>
  <c r="C227" i="1"/>
  <c r="F2481" i="3"/>
  <c r="F2482" i="3"/>
  <c r="F2507" i="3" s="1"/>
  <c r="F2532" i="3" s="1"/>
  <c r="F2557" i="3" s="1"/>
  <c r="F2582" i="3" s="1"/>
  <c r="F2607" i="3" s="1"/>
  <c r="F2632" i="3" s="1"/>
  <c r="F2657" i="3" s="1"/>
  <c r="F2682" i="3" s="1"/>
  <c r="F2732" i="3" s="1"/>
  <c r="F2757" i="3" s="1"/>
  <c r="E4097" i="3"/>
  <c r="E4091" i="3"/>
  <c r="E4087" i="3"/>
  <c r="E4101" i="3"/>
  <c r="E4094" i="3"/>
  <c r="AC259" i="23" l="1"/>
  <c r="M259" i="23"/>
  <c r="E271" i="23"/>
  <c r="X258" i="23"/>
  <c r="AF258" i="23"/>
  <c r="R259" i="23"/>
  <c r="C260" i="23"/>
  <c r="K260" i="23" s="1"/>
  <c r="AB274" i="23" s="1"/>
  <c r="Q259" i="23"/>
  <c r="Q227" i="1"/>
  <c r="C228" i="1"/>
  <c r="F2505" i="3"/>
  <c r="F2506" i="3"/>
  <c r="F2531" i="3" s="1"/>
  <c r="F2556" i="3" s="1"/>
  <c r="F2581" i="3" s="1"/>
  <c r="F2606" i="3" s="1"/>
  <c r="F2631" i="3" s="1"/>
  <c r="F2656" i="3" s="1"/>
  <c r="F2681" i="3" s="1"/>
  <c r="F2706" i="3" s="1"/>
  <c r="F2756" i="3" s="1"/>
  <c r="F2781" i="3" s="1"/>
  <c r="L171" i="1"/>
  <c r="K171" i="1" s="1"/>
  <c r="AC260" i="23" l="1"/>
  <c r="M260" i="23"/>
  <c r="E272" i="23"/>
  <c r="X259" i="23"/>
  <c r="AF259" i="23"/>
  <c r="R260" i="23"/>
  <c r="C261" i="23"/>
  <c r="K261" i="23" s="1"/>
  <c r="AB275" i="23" s="1"/>
  <c r="Q260" i="23"/>
  <c r="C229" i="1"/>
  <c r="Q228" i="1"/>
  <c r="F2529" i="3"/>
  <c r="F2530" i="3"/>
  <c r="F2555" i="3" s="1"/>
  <c r="F2580" i="3" s="1"/>
  <c r="F2605" i="3" s="1"/>
  <c r="F2630" i="3" s="1"/>
  <c r="F2655" i="3" s="1"/>
  <c r="F2680" i="3" s="1"/>
  <c r="F2705" i="3" s="1"/>
  <c r="F2730" i="3" s="1"/>
  <c r="F2780" i="3" s="1"/>
  <c r="F2805" i="3" s="1"/>
  <c r="D171" i="1"/>
  <c r="D170" i="1"/>
  <c r="E4059" i="3"/>
  <c r="D4081" i="3"/>
  <c r="D4105" i="3" s="1"/>
  <c r="D4129" i="3" s="1"/>
  <c r="D4153" i="3" s="1"/>
  <c r="D4177" i="3" s="1"/>
  <c r="D4201" i="3" s="1"/>
  <c r="D4225" i="3" s="1"/>
  <c r="D4249" i="3" s="1"/>
  <c r="D4273" i="3" s="1"/>
  <c r="D4297" i="3" s="1"/>
  <c r="D4321" i="3" s="1"/>
  <c r="D4345" i="3" s="1"/>
  <c r="D4369" i="3" s="1"/>
  <c r="D4393" i="3" s="1"/>
  <c r="D4417" i="3" s="1"/>
  <c r="D4441" i="3" s="1"/>
  <c r="D4465" i="3" s="1"/>
  <c r="D4489" i="3" s="1"/>
  <c r="D4513" i="3" s="1"/>
  <c r="D4537" i="3" s="1"/>
  <c r="D4561" i="3" s="1"/>
  <c r="D4585" i="3" s="1"/>
  <c r="D4609" i="3" s="1"/>
  <c r="D4633" i="3" s="1"/>
  <c r="D4657" i="3" s="1"/>
  <c r="D4681" i="3" s="1"/>
  <c r="D4705" i="3" s="1"/>
  <c r="D4729" i="3" s="1"/>
  <c r="D4753" i="3" s="1"/>
  <c r="D4777" i="3" s="1"/>
  <c r="D4801" i="3" s="1"/>
  <c r="D4825" i="3" s="1"/>
  <c r="D4849" i="3" s="1"/>
  <c r="D4873" i="3" s="1"/>
  <c r="D4897" i="3" s="1"/>
  <c r="D4921" i="3" s="1"/>
  <c r="D4945" i="3" s="1"/>
  <c r="D4969" i="3" s="1"/>
  <c r="D4993" i="3" s="1"/>
  <c r="D5017" i="3" s="1"/>
  <c r="D5041" i="3" s="1"/>
  <c r="D5065" i="3" s="1"/>
  <c r="D5089" i="3" s="1"/>
  <c r="D5113" i="3" s="1"/>
  <c r="D5137" i="3" s="1"/>
  <c r="D5161" i="3" s="1"/>
  <c r="D5185" i="3" s="1"/>
  <c r="D5209" i="3" s="1"/>
  <c r="D5233" i="3" s="1"/>
  <c r="D5257" i="3" s="1"/>
  <c r="D5281" i="3" s="1"/>
  <c r="D5305" i="3" s="1"/>
  <c r="D5329" i="3" s="1"/>
  <c r="D5353" i="3" s="1"/>
  <c r="D5377" i="3" s="1"/>
  <c r="D5401" i="3" s="1"/>
  <c r="D5425" i="3" s="1"/>
  <c r="D5449" i="3" s="1"/>
  <c r="D5473" i="3" s="1"/>
  <c r="D5497" i="3" s="1"/>
  <c r="D5521" i="3" s="1"/>
  <c r="D5545" i="3" s="1"/>
  <c r="D5569" i="3" s="1"/>
  <c r="D5593" i="3" s="1"/>
  <c r="D5617" i="3" s="1"/>
  <c r="D5641" i="3" s="1"/>
  <c r="D5665" i="3" s="1"/>
  <c r="D5689" i="3" s="1"/>
  <c r="D5713" i="3" s="1"/>
  <c r="D5737" i="3" s="1"/>
  <c r="D5761" i="3" s="1"/>
  <c r="D5785" i="3" s="1"/>
  <c r="D5809" i="3" s="1"/>
  <c r="D5833" i="3" s="1"/>
  <c r="D5857" i="3" s="1"/>
  <c r="D5881" i="3" s="1"/>
  <c r="D5905" i="3" s="1"/>
  <c r="D5929" i="3" s="1"/>
  <c r="D5953" i="3" s="1"/>
  <c r="D5977" i="3" s="1"/>
  <c r="D6001" i="3" s="1"/>
  <c r="D6025" i="3" s="1"/>
  <c r="D6049" i="3" s="1"/>
  <c r="D6073" i="3" s="1"/>
  <c r="D6097" i="3" s="1"/>
  <c r="D6121" i="3" s="1"/>
  <c r="D6145" i="3" s="1"/>
  <c r="D6169" i="3" s="1"/>
  <c r="D6193" i="3" s="1"/>
  <c r="D6217" i="3" s="1"/>
  <c r="D6241" i="3" s="1"/>
  <c r="D6265" i="3" s="1"/>
  <c r="D6289" i="3" s="1"/>
  <c r="D6313" i="3" s="1"/>
  <c r="D6337" i="3" s="1"/>
  <c r="D6361" i="3" s="1"/>
  <c r="D6385" i="3" s="1"/>
  <c r="D6409" i="3" s="1"/>
  <c r="D6433" i="3" s="1"/>
  <c r="D6457" i="3" s="1"/>
  <c r="D6481" i="3" s="1"/>
  <c r="D6505" i="3" s="1"/>
  <c r="D6529" i="3" s="1"/>
  <c r="D6553" i="3" s="1"/>
  <c r="D6577" i="3" s="1"/>
  <c r="D6601" i="3" s="1"/>
  <c r="D6625" i="3" s="1"/>
  <c r="D6649" i="3" s="1"/>
  <c r="D6673" i="3" s="1"/>
  <c r="D6697" i="3" s="1"/>
  <c r="D6721" i="3" s="1"/>
  <c r="D6745" i="3" s="1"/>
  <c r="D6769" i="3" s="1"/>
  <c r="D6793" i="3" s="1"/>
  <c r="D6817" i="3" s="1"/>
  <c r="D6841" i="3" s="1"/>
  <c r="D6865" i="3" s="1"/>
  <c r="D6889" i="3" s="1"/>
  <c r="D6913" i="3" s="1"/>
  <c r="D6937" i="3" s="1"/>
  <c r="D6961" i="3" s="1"/>
  <c r="D6985" i="3" s="1"/>
  <c r="D7009" i="3" s="1"/>
  <c r="D7033" i="3" s="1"/>
  <c r="D7057" i="3" s="1"/>
  <c r="D7081" i="3" s="1"/>
  <c r="D7105" i="3" s="1"/>
  <c r="D7129" i="3" s="1"/>
  <c r="D7153" i="3" s="1"/>
  <c r="D7177" i="3" s="1"/>
  <c r="D7201" i="3" s="1"/>
  <c r="D7225" i="3" s="1"/>
  <c r="D7249" i="3" s="1"/>
  <c r="D7273" i="3" s="1"/>
  <c r="D7297" i="3" s="1"/>
  <c r="D7321" i="3" s="1"/>
  <c r="D7345" i="3" s="1"/>
  <c r="D7369" i="3" s="1"/>
  <c r="D7393" i="3" s="1"/>
  <c r="D7417" i="3" s="1"/>
  <c r="D7441" i="3" s="1"/>
  <c r="D7465" i="3" s="1"/>
  <c r="D7489" i="3" s="1"/>
  <c r="D7513" i="3" s="1"/>
  <c r="D7537" i="3" s="1"/>
  <c r="D7561" i="3" s="1"/>
  <c r="D7585" i="3" s="1"/>
  <c r="D7609" i="3" s="1"/>
  <c r="D7633" i="3" s="1"/>
  <c r="D7657" i="3" s="1"/>
  <c r="D7681" i="3" s="1"/>
  <c r="D7705" i="3" s="1"/>
  <c r="D7729" i="3" s="1"/>
  <c r="D7753" i="3" s="1"/>
  <c r="D7777" i="3" s="1"/>
  <c r="D7801" i="3" s="1"/>
  <c r="D7825" i="3" s="1"/>
  <c r="D7849" i="3" s="1"/>
  <c r="D7873" i="3" s="1"/>
  <c r="D7897" i="3" s="1"/>
  <c r="D7921" i="3" s="1"/>
  <c r="D7945" i="3" s="1"/>
  <c r="D7969" i="3" s="1"/>
  <c r="D7993" i="3" s="1"/>
  <c r="D8017" i="3" s="1"/>
  <c r="D8041" i="3" s="1"/>
  <c r="D8065" i="3" s="1"/>
  <c r="D8089" i="3" s="1"/>
  <c r="D8113" i="3" s="1"/>
  <c r="D8137" i="3" s="1"/>
  <c r="D8161" i="3" s="1"/>
  <c r="D8185" i="3" s="1"/>
  <c r="D8209" i="3" s="1"/>
  <c r="D8233" i="3" s="1"/>
  <c r="D8257" i="3" s="1"/>
  <c r="D8281" i="3" s="1"/>
  <c r="D8305" i="3" s="1"/>
  <c r="D8329" i="3" s="1"/>
  <c r="D8353" i="3" s="1"/>
  <c r="D8377" i="3" s="1"/>
  <c r="D8401" i="3" s="1"/>
  <c r="D8425" i="3" s="1"/>
  <c r="D8449" i="3" s="1"/>
  <c r="D8473" i="3" s="1"/>
  <c r="D8497" i="3" s="1"/>
  <c r="D8521" i="3" s="1"/>
  <c r="D8545" i="3" s="1"/>
  <c r="D8569" i="3" s="1"/>
  <c r="D8593" i="3" s="1"/>
  <c r="D8617" i="3" s="1"/>
  <c r="D8641" i="3" s="1"/>
  <c r="D8665" i="3" s="1"/>
  <c r="D8689" i="3" s="1"/>
  <c r="D8713" i="3" s="1"/>
  <c r="D8737" i="3" s="1"/>
  <c r="D8761" i="3" s="1"/>
  <c r="D8785" i="3" s="1"/>
  <c r="D8809" i="3" s="1"/>
  <c r="D8833" i="3" s="1"/>
  <c r="D8857" i="3" s="1"/>
  <c r="D8881" i="3" s="1"/>
  <c r="D8905" i="3" s="1"/>
  <c r="D8929" i="3" s="1"/>
  <c r="D8953" i="3" s="1"/>
  <c r="D8977" i="3" s="1"/>
  <c r="D9001" i="3" s="1"/>
  <c r="D9025" i="3" s="1"/>
  <c r="D9049" i="3" s="1"/>
  <c r="D9073" i="3" s="1"/>
  <c r="D9097" i="3" s="1"/>
  <c r="D9121" i="3" s="1"/>
  <c r="D9145" i="3" s="1"/>
  <c r="D9169" i="3" s="1"/>
  <c r="D9193" i="3" s="1"/>
  <c r="D9217" i="3" s="1"/>
  <c r="D9241" i="3" s="1"/>
  <c r="D9265" i="3" s="1"/>
  <c r="D9289" i="3" s="1"/>
  <c r="D9313" i="3" s="1"/>
  <c r="D9337" i="3" s="1"/>
  <c r="D9361" i="3" s="1"/>
  <c r="D9385" i="3" s="1"/>
  <c r="D9409" i="3" s="1"/>
  <c r="D9433" i="3" s="1"/>
  <c r="D9457" i="3" s="1"/>
  <c r="D9481" i="3" s="1"/>
  <c r="D9505" i="3" s="1"/>
  <c r="D9529" i="3" s="1"/>
  <c r="D9553" i="3" s="1"/>
  <c r="D9577" i="3" s="1"/>
  <c r="D9601" i="3" s="1"/>
  <c r="D9625" i="3" s="1"/>
  <c r="D9649" i="3" s="1"/>
  <c r="D9673" i="3" s="1"/>
  <c r="D9697" i="3" s="1"/>
  <c r="D9721" i="3" s="1"/>
  <c r="D9745" i="3" s="1"/>
  <c r="D9769" i="3" s="1"/>
  <c r="D9793" i="3" s="1"/>
  <c r="D9817" i="3" s="1"/>
  <c r="D9841" i="3" s="1"/>
  <c r="D9865" i="3" s="1"/>
  <c r="D9889" i="3" s="1"/>
  <c r="D9913" i="3" s="1"/>
  <c r="D9937" i="3" s="1"/>
  <c r="D9961" i="3" s="1"/>
  <c r="D9985" i="3" s="1"/>
  <c r="D10009" i="3" s="1"/>
  <c r="D10033" i="3" s="1"/>
  <c r="D10057" i="3" s="1"/>
  <c r="D10081" i="3" s="1"/>
  <c r="D10105" i="3" s="1"/>
  <c r="D10129" i="3" s="1"/>
  <c r="D10153" i="3" s="1"/>
  <c r="D10177" i="3" s="1"/>
  <c r="D10201" i="3" s="1"/>
  <c r="D10225" i="3" s="1"/>
  <c r="D10249" i="3" s="1"/>
  <c r="D10273" i="3" s="1"/>
  <c r="D10297" i="3" s="1"/>
  <c r="D10321" i="3" s="1"/>
  <c r="D10345" i="3" s="1"/>
  <c r="D10369" i="3" s="1"/>
  <c r="D10393" i="3" s="1"/>
  <c r="D10417" i="3" s="1"/>
  <c r="D10441" i="3" s="1"/>
  <c r="D10465" i="3" s="1"/>
  <c r="D10489" i="3" s="1"/>
  <c r="D10513" i="3" s="1"/>
  <c r="D10537" i="3" s="1"/>
  <c r="D10561" i="3" s="1"/>
  <c r="D10585" i="3" s="1"/>
  <c r="D10609" i="3" s="1"/>
  <c r="D10633" i="3" s="1"/>
  <c r="D10657" i="3" s="1"/>
  <c r="D10681" i="3" s="1"/>
  <c r="D10705" i="3" s="1"/>
  <c r="D10729" i="3" s="1"/>
  <c r="D10753" i="3" s="1"/>
  <c r="D10777" i="3" s="1"/>
  <c r="D10801" i="3" s="1"/>
  <c r="D10825" i="3" s="1"/>
  <c r="D10849" i="3" s="1"/>
  <c r="D10873" i="3" s="1"/>
  <c r="D10897" i="3" s="1"/>
  <c r="D10921" i="3" s="1"/>
  <c r="D10945" i="3" s="1"/>
  <c r="D10969" i="3" s="1"/>
  <c r="D10993" i="3" s="1"/>
  <c r="D4080" i="3"/>
  <c r="D4104" i="3" s="1"/>
  <c r="D4128" i="3" s="1"/>
  <c r="D4152" i="3" s="1"/>
  <c r="D4176" i="3" s="1"/>
  <c r="D4200" i="3" s="1"/>
  <c r="D4224" i="3" s="1"/>
  <c r="D4248" i="3" s="1"/>
  <c r="D4272" i="3" s="1"/>
  <c r="D4296" i="3" s="1"/>
  <c r="D4320" i="3" s="1"/>
  <c r="D4344" i="3" s="1"/>
  <c r="D4368" i="3" s="1"/>
  <c r="D4392" i="3" s="1"/>
  <c r="D4416" i="3" s="1"/>
  <c r="D4440" i="3" s="1"/>
  <c r="D4464" i="3" s="1"/>
  <c r="D4488" i="3" s="1"/>
  <c r="D4512" i="3" s="1"/>
  <c r="D4536" i="3" s="1"/>
  <c r="D4560" i="3" s="1"/>
  <c r="D4584" i="3" s="1"/>
  <c r="D4608" i="3" s="1"/>
  <c r="D4632" i="3" s="1"/>
  <c r="D4656" i="3" s="1"/>
  <c r="D4680" i="3" s="1"/>
  <c r="D4704" i="3" s="1"/>
  <c r="D4728" i="3" s="1"/>
  <c r="D4752" i="3" s="1"/>
  <c r="D4776" i="3" s="1"/>
  <c r="D4800" i="3" s="1"/>
  <c r="D4824" i="3" s="1"/>
  <c r="D4848" i="3" s="1"/>
  <c r="D4872" i="3" s="1"/>
  <c r="D4896" i="3" s="1"/>
  <c r="D4920" i="3" s="1"/>
  <c r="D4944" i="3" s="1"/>
  <c r="D4968" i="3" s="1"/>
  <c r="D4992" i="3" s="1"/>
  <c r="D5016" i="3" s="1"/>
  <c r="D5040" i="3" s="1"/>
  <c r="D5064" i="3" s="1"/>
  <c r="D5088" i="3" s="1"/>
  <c r="D5112" i="3" s="1"/>
  <c r="D5136" i="3" s="1"/>
  <c r="D5160" i="3" s="1"/>
  <c r="D5184" i="3" s="1"/>
  <c r="D5208" i="3" s="1"/>
  <c r="D5232" i="3" s="1"/>
  <c r="D5256" i="3" s="1"/>
  <c r="D5280" i="3" s="1"/>
  <c r="D5304" i="3" s="1"/>
  <c r="D5328" i="3" s="1"/>
  <c r="D5352" i="3" s="1"/>
  <c r="D5376" i="3" s="1"/>
  <c r="D5400" i="3" s="1"/>
  <c r="D5424" i="3" s="1"/>
  <c r="D5448" i="3" s="1"/>
  <c r="D5472" i="3" s="1"/>
  <c r="D5496" i="3" s="1"/>
  <c r="D5520" i="3" s="1"/>
  <c r="D5544" i="3" s="1"/>
  <c r="D5568" i="3" s="1"/>
  <c r="D5592" i="3" s="1"/>
  <c r="D5616" i="3" s="1"/>
  <c r="D5640" i="3" s="1"/>
  <c r="D5664" i="3" s="1"/>
  <c r="D5688" i="3" s="1"/>
  <c r="D5712" i="3" s="1"/>
  <c r="D5736" i="3" s="1"/>
  <c r="D5760" i="3" s="1"/>
  <c r="D5784" i="3" s="1"/>
  <c r="D5808" i="3" s="1"/>
  <c r="D5832" i="3" s="1"/>
  <c r="D5856" i="3" s="1"/>
  <c r="D5880" i="3" s="1"/>
  <c r="D5904" i="3" s="1"/>
  <c r="D5928" i="3" s="1"/>
  <c r="D5952" i="3" s="1"/>
  <c r="D5976" i="3" s="1"/>
  <c r="D6000" i="3" s="1"/>
  <c r="D6024" i="3" s="1"/>
  <c r="D6048" i="3" s="1"/>
  <c r="D6072" i="3" s="1"/>
  <c r="D6096" i="3" s="1"/>
  <c r="D6120" i="3" s="1"/>
  <c r="D6144" i="3" s="1"/>
  <c r="D6168" i="3" s="1"/>
  <c r="D6192" i="3" s="1"/>
  <c r="D6216" i="3" s="1"/>
  <c r="D6240" i="3" s="1"/>
  <c r="D6264" i="3" s="1"/>
  <c r="D6288" i="3" s="1"/>
  <c r="D6312" i="3" s="1"/>
  <c r="D6336" i="3" s="1"/>
  <c r="D6360" i="3" s="1"/>
  <c r="D6384" i="3" s="1"/>
  <c r="D6408" i="3" s="1"/>
  <c r="D6432" i="3" s="1"/>
  <c r="D6456" i="3" s="1"/>
  <c r="D6480" i="3" s="1"/>
  <c r="D6504" i="3" s="1"/>
  <c r="D6528" i="3" s="1"/>
  <c r="D6552" i="3" s="1"/>
  <c r="D6576" i="3" s="1"/>
  <c r="D6600" i="3" s="1"/>
  <c r="D6624" i="3" s="1"/>
  <c r="D6648" i="3" s="1"/>
  <c r="D6672" i="3" s="1"/>
  <c r="D6696" i="3" s="1"/>
  <c r="D6720" i="3" s="1"/>
  <c r="D6744" i="3" s="1"/>
  <c r="D6768" i="3" s="1"/>
  <c r="D6792" i="3" s="1"/>
  <c r="D6816" i="3" s="1"/>
  <c r="D6840" i="3" s="1"/>
  <c r="D6864" i="3" s="1"/>
  <c r="D6888" i="3" s="1"/>
  <c r="D6912" i="3" s="1"/>
  <c r="D6936" i="3" s="1"/>
  <c r="D6960" i="3" s="1"/>
  <c r="D6984" i="3" s="1"/>
  <c r="D7008" i="3" s="1"/>
  <c r="D7032" i="3" s="1"/>
  <c r="D7056" i="3" s="1"/>
  <c r="D7080" i="3" s="1"/>
  <c r="D7104" i="3" s="1"/>
  <c r="D7128" i="3" s="1"/>
  <c r="D7152" i="3" s="1"/>
  <c r="D7176" i="3" s="1"/>
  <c r="D7200" i="3" s="1"/>
  <c r="D7224" i="3" s="1"/>
  <c r="D7248" i="3" s="1"/>
  <c r="D7272" i="3" s="1"/>
  <c r="D7296" i="3" s="1"/>
  <c r="D7320" i="3" s="1"/>
  <c r="D7344" i="3" s="1"/>
  <c r="D7368" i="3" s="1"/>
  <c r="D7392" i="3" s="1"/>
  <c r="D7416" i="3" s="1"/>
  <c r="D7440" i="3" s="1"/>
  <c r="D7464" i="3" s="1"/>
  <c r="D7488" i="3" s="1"/>
  <c r="D7512" i="3" s="1"/>
  <c r="D7536" i="3" s="1"/>
  <c r="D7560" i="3" s="1"/>
  <c r="D7584" i="3" s="1"/>
  <c r="D7608" i="3" s="1"/>
  <c r="D7632" i="3" s="1"/>
  <c r="D7656" i="3" s="1"/>
  <c r="D7680" i="3" s="1"/>
  <c r="D7704" i="3" s="1"/>
  <c r="D7728" i="3" s="1"/>
  <c r="D7752" i="3" s="1"/>
  <c r="D7776" i="3" s="1"/>
  <c r="D7800" i="3" s="1"/>
  <c r="D7824" i="3" s="1"/>
  <c r="D7848" i="3" s="1"/>
  <c r="D7872" i="3" s="1"/>
  <c r="D7896" i="3" s="1"/>
  <c r="D7920" i="3" s="1"/>
  <c r="D7944" i="3" s="1"/>
  <c r="D7968" i="3" s="1"/>
  <c r="D7992" i="3" s="1"/>
  <c r="D8016" i="3" s="1"/>
  <c r="D8040" i="3" s="1"/>
  <c r="D8064" i="3" s="1"/>
  <c r="D8088" i="3" s="1"/>
  <c r="D8112" i="3" s="1"/>
  <c r="D8136" i="3" s="1"/>
  <c r="D8160" i="3" s="1"/>
  <c r="D8184" i="3" s="1"/>
  <c r="D8208" i="3" s="1"/>
  <c r="D8232" i="3" s="1"/>
  <c r="D8256" i="3" s="1"/>
  <c r="D8280" i="3" s="1"/>
  <c r="D8304" i="3" s="1"/>
  <c r="D8328" i="3" s="1"/>
  <c r="D8352" i="3" s="1"/>
  <c r="D8376" i="3" s="1"/>
  <c r="D8400" i="3" s="1"/>
  <c r="D8424" i="3" s="1"/>
  <c r="D8448" i="3" s="1"/>
  <c r="D8472" i="3" s="1"/>
  <c r="D8496" i="3" s="1"/>
  <c r="D8520" i="3" s="1"/>
  <c r="D8544" i="3" s="1"/>
  <c r="D8568" i="3" s="1"/>
  <c r="D8592" i="3" s="1"/>
  <c r="D8616" i="3" s="1"/>
  <c r="D8640" i="3" s="1"/>
  <c r="D8664" i="3" s="1"/>
  <c r="D8688" i="3" s="1"/>
  <c r="D8712" i="3" s="1"/>
  <c r="D8736" i="3" s="1"/>
  <c r="D8760" i="3" s="1"/>
  <c r="D8784" i="3" s="1"/>
  <c r="D8808" i="3" s="1"/>
  <c r="D8832" i="3" s="1"/>
  <c r="D8856" i="3" s="1"/>
  <c r="D8880" i="3" s="1"/>
  <c r="D8904" i="3" s="1"/>
  <c r="D8928" i="3" s="1"/>
  <c r="D8952" i="3" s="1"/>
  <c r="D8976" i="3" s="1"/>
  <c r="D9000" i="3" s="1"/>
  <c r="D9024" i="3" s="1"/>
  <c r="D9048" i="3" s="1"/>
  <c r="D9072" i="3" s="1"/>
  <c r="D9096" i="3" s="1"/>
  <c r="D9120" i="3" s="1"/>
  <c r="D9144" i="3" s="1"/>
  <c r="D9168" i="3" s="1"/>
  <c r="D9192" i="3" s="1"/>
  <c r="D9216" i="3" s="1"/>
  <c r="D9240" i="3" s="1"/>
  <c r="D9264" i="3" s="1"/>
  <c r="D9288" i="3" s="1"/>
  <c r="D9312" i="3" s="1"/>
  <c r="D9336" i="3" s="1"/>
  <c r="D9360" i="3" s="1"/>
  <c r="D9384" i="3" s="1"/>
  <c r="D9408" i="3" s="1"/>
  <c r="D9432" i="3" s="1"/>
  <c r="D9456" i="3" s="1"/>
  <c r="D9480" i="3" s="1"/>
  <c r="D9504" i="3" s="1"/>
  <c r="D9528" i="3" s="1"/>
  <c r="D9552" i="3" s="1"/>
  <c r="D9576" i="3" s="1"/>
  <c r="D9600" i="3" s="1"/>
  <c r="D9624" i="3" s="1"/>
  <c r="D9648" i="3" s="1"/>
  <c r="D9672" i="3" s="1"/>
  <c r="D9696" i="3" s="1"/>
  <c r="D9720" i="3" s="1"/>
  <c r="D9744" i="3" s="1"/>
  <c r="D9768" i="3" s="1"/>
  <c r="D9792" i="3" s="1"/>
  <c r="D9816" i="3" s="1"/>
  <c r="D9840" i="3" s="1"/>
  <c r="D9864" i="3" s="1"/>
  <c r="D9888" i="3" s="1"/>
  <c r="D9912" i="3" s="1"/>
  <c r="D9936" i="3" s="1"/>
  <c r="D9960" i="3" s="1"/>
  <c r="D9984" i="3" s="1"/>
  <c r="D10008" i="3" s="1"/>
  <c r="D10032" i="3" s="1"/>
  <c r="D10056" i="3" s="1"/>
  <c r="D10080" i="3" s="1"/>
  <c r="D10104" i="3" s="1"/>
  <c r="D10128" i="3" s="1"/>
  <c r="D10152" i="3" s="1"/>
  <c r="D10176" i="3" s="1"/>
  <c r="D10200" i="3" s="1"/>
  <c r="D10224" i="3" s="1"/>
  <c r="D10248" i="3" s="1"/>
  <c r="D10272" i="3" s="1"/>
  <c r="D10296" i="3" s="1"/>
  <c r="D10320" i="3" s="1"/>
  <c r="D10344" i="3" s="1"/>
  <c r="D10368" i="3" s="1"/>
  <c r="D10392" i="3" s="1"/>
  <c r="D10416" i="3" s="1"/>
  <c r="D10440" i="3" s="1"/>
  <c r="D10464" i="3" s="1"/>
  <c r="D10488" i="3" s="1"/>
  <c r="D10512" i="3" s="1"/>
  <c r="D10536" i="3" s="1"/>
  <c r="D10560" i="3" s="1"/>
  <c r="D10584" i="3" s="1"/>
  <c r="D10608" i="3" s="1"/>
  <c r="D10632" i="3" s="1"/>
  <c r="D10656" i="3" s="1"/>
  <c r="D10680" i="3" s="1"/>
  <c r="D10704" i="3" s="1"/>
  <c r="D10728" i="3" s="1"/>
  <c r="D10752" i="3" s="1"/>
  <c r="D10776" i="3" s="1"/>
  <c r="D10800" i="3" s="1"/>
  <c r="D10824" i="3" s="1"/>
  <c r="D10848" i="3" s="1"/>
  <c r="D10872" i="3" s="1"/>
  <c r="D10896" i="3" s="1"/>
  <c r="D10920" i="3" s="1"/>
  <c r="D10944" i="3" s="1"/>
  <c r="D10968" i="3" s="1"/>
  <c r="D10992" i="3" s="1"/>
  <c r="D4079" i="3"/>
  <c r="D4103" i="3" s="1"/>
  <c r="D4127" i="3" s="1"/>
  <c r="D4151" i="3" s="1"/>
  <c r="D4175" i="3" s="1"/>
  <c r="D4199" i="3" s="1"/>
  <c r="D4223" i="3" s="1"/>
  <c r="D4247" i="3" s="1"/>
  <c r="D4271" i="3" s="1"/>
  <c r="D4295" i="3" s="1"/>
  <c r="D4319" i="3" s="1"/>
  <c r="D4343" i="3" s="1"/>
  <c r="D4367" i="3" s="1"/>
  <c r="D4391" i="3" s="1"/>
  <c r="D4415" i="3" s="1"/>
  <c r="D4439" i="3" s="1"/>
  <c r="D4463" i="3" s="1"/>
  <c r="D4487" i="3" s="1"/>
  <c r="D4511" i="3" s="1"/>
  <c r="D4535" i="3" s="1"/>
  <c r="D4559" i="3" s="1"/>
  <c r="D4583" i="3" s="1"/>
  <c r="D4607" i="3" s="1"/>
  <c r="D4631" i="3" s="1"/>
  <c r="D4655" i="3" s="1"/>
  <c r="D4679" i="3" s="1"/>
  <c r="D4703" i="3" s="1"/>
  <c r="D4727" i="3" s="1"/>
  <c r="D4751" i="3" s="1"/>
  <c r="D4775" i="3" s="1"/>
  <c r="D4799" i="3" s="1"/>
  <c r="D4823" i="3" s="1"/>
  <c r="D4847" i="3" s="1"/>
  <c r="D4871" i="3" s="1"/>
  <c r="D4895" i="3" s="1"/>
  <c r="D4919" i="3" s="1"/>
  <c r="D4943" i="3" s="1"/>
  <c r="D4967" i="3" s="1"/>
  <c r="D4991" i="3" s="1"/>
  <c r="D5015" i="3" s="1"/>
  <c r="D5039" i="3" s="1"/>
  <c r="D5063" i="3" s="1"/>
  <c r="D5087" i="3" s="1"/>
  <c r="D5111" i="3" s="1"/>
  <c r="D5135" i="3" s="1"/>
  <c r="D5159" i="3" s="1"/>
  <c r="D5183" i="3" s="1"/>
  <c r="D5207" i="3" s="1"/>
  <c r="D5231" i="3" s="1"/>
  <c r="D5255" i="3" s="1"/>
  <c r="D5279" i="3" s="1"/>
  <c r="D5303" i="3" s="1"/>
  <c r="D5327" i="3" s="1"/>
  <c r="D5351" i="3" s="1"/>
  <c r="D5375" i="3" s="1"/>
  <c r="D5399" i="3" s="1"/>
  <c r="D5423" i="3" s="1"/>
  <c r="D5447" i="3" s="1"/>
  <c r="D5471" i="3" s="1"/>
  <c r="D5495" i="3" s="1"/>
  <c r="D5519" i="3" s="1"/>
  <c r="D5543" i="3" s="1"/>
  <c r="D5567" i="3" s="1"/>
  <c r="D5591" i="3" s="1"/>
  <c r="D5615" i="3" s="1"/>
  <c r="D5639" i="3" s="1"/>
  <c r="D5663" i="3" s="1"/>
  <c r="D5687" i="3" s="1"/>
  <c r="D5711" i="3" s="1"/>
  <c r="D5735" i="3" s="1"/>
  <c r="D5759" i="3" s="1"/>
  <c r="D4077" i="3"/>
  <c r="D4101" i="3" s="1"/>
  <c r="D4125" i="3" s="1"/>
  <c r="D4149" i="3" s="1"/>
  <c r="D4173" i="3" s="1"/>
  <c r="D4197" i="3" s="1"/>
  <c r="D4221" i="3" s="1"/>
  <c r="D4245" i="3" s="1"/>
  <c r="D4269" i="3" s="1"/>
  <c r="D4293" i="3" s="1"/>
  <c r="D4317" i="3" s="1"/>
  <c r="D4341" i="3" s="1"/>
  <c r="D4365" i="3" s="1"/>
  <c r="D4389" i="3" s="1"/>
  <c r="D4413" i="3" s="1"/>
  <c r="D4437" i="3" s="1"/>
  <c r="D4461" i="3" s="1"/>
  <c r="D4485" i="3" s="1"/>
  <c r="D4509" i="3" s="1"/>
  <c r="D4533" i="3" s="1"/>
  <c r="D4557" i="3" s="1"/>
  <c r="D4581" i="3" s="1"/>
  <c r="D4605" i="3" s="1"/>
  <c r="D4629" i="3" s="1"/>
  <c r="D4653" i="3" s="1"/>
  <c r="D4677" i="3" s="1"/>
  <c r="D4701" i="3" s="1"/>
  <c r="D4725" i="3" s="1"/>
  <c r="D4749" i="3" s="1"/>
  <c r="D4773" i="3" s="1"/>
  <c r="D4797" i="3" s="1"/>
  <c r="D4821" i="3" s="1"/>
  <c r="D4845" i="3" s="1"/>
  <c r="D4869" i="3" s="1"/>
  <c r="D4893" i="3" s="1"/>
  <c r="D4917" i="3" s="1"/>
  <c r="D4941" i="3" s="1"/>
  <c r="D4965" i="3" s="1"/>
  <c r="D4989" i="3" s="1"/>
  <c r="D5013" i="3" s="1"/>
  <c r="D5037" i="3" s="1"/>
  <c r="D5061" i="3" s="1"/>
  <c r="D5085" i="3" s="1"/>
  <c r="D5109" i="3" s="1"/>
  <c r="D5133" i="3" s="1"/>
  <c r="D5157" i="3" s="1"/>
  <c r="D5181" i="3" s="1"/>
  <c r="D5205" i="3" s="1"/>
  <c r="D5229" i="3" s="1"/>
  <c r="D5253" i="3" s="1"/>
  <c r="D5277" i="3" s="1"/>
  <c r="D5301" i="3" s="1"/>
  <c r="D5325" i="3" s="1"/>
  <c r="D5349" i="3" s="1"/>
  <c r="D5373" i="3" s="1"/>
  <c r="D5397" i="3" s="1"/>
  <c r="D5421" i="3" s="1"/>
  <c r="D5445" i="3" s="1"/>
  <c r="D5469" i="3" s="1"/>
  <c r="D5493" i="3" s="1"/>
  <c r="D5517" i="3" s="1"/>
  <c r="D5541" i="3" s="1"/>
  <c r="D5565" i="3" s="1"/>
  <c r="D5589" i="3" s="1"/>
  <c r="D5613" i="3" s="1"/>
  <c r="D5637" i="3" s="1"/>
  <c r="D5661" i="3" s="1"/>
  <c r="D5685" i="3" s="1"/>
  <c r="D5709" i="3" s="1"/>
  <c r="D5733" i="3" s="1"/>
  <c r="D5757" i="3" s="1"/>
  <c r="D5781" i="3" s="1"/>
  <c r="D5805" i="3" s="1"/>
  <c r="D5829" i="3" s="1"/>
  <c r="D5853" i="3" s="1"/>
  <c r="D5877" i="3" s="1"/>
  <c r="D5901" i="3" s="1"/>
  <c r="D5925" i="3" s="1"/>
  <c r="D5949" i="3" s="1"/>
  <c r="D5973" i="3" s="1"/>
  <c r="D5997" i="3" s="1"/>
  <c r="D6021" i="3" s="1"/>
  <c r="D6045" i="3" s="1"/>
  <c r="D6069" i="3" s="1"/>
  <c r="D6093" i="3" s="1"/>
  <c r="D6117" i="3" s="1"/>
  <c r="D6141" i="3" s="1"/>
  <c r="D6165" i="3" s="1"/>
  <c r="D6189" i="3" s="1"/>
  <c r="D6213" i="3" s="1"/>
  <c r="D6237" i="3" s="1"/>
  <c r="D6261" i="3" s="1"/>
  <c r="D6285" i="3" s="1"/>
  <c r="D6309" i="3" s="1"/>
  <c r="D6333" i="3" s="1"/>
  <c r="D6357" i="3" s="1"/>
  <c r="D6381" i="3" s="1"/>
  <c r="D6405" i="3" s="1"/>
  <c r="D6429" i="3" s="1"/>
  <c r="D6453" i="3" s="1"/>
  <c r="D6477" i="3" s="1"/>
  <c r="D6501" i="3" s="1"/>
  <c r="D6525" i="3" s="1"/>
  <c r="D6549" i="3" s="1"/>
  <c r="D6573" i="3" s="1"/>
  <c r="D6597" i="3" s="1"/>
  <c r="D6621" i="3" s="1"/>
  <c r="D6645" i="3" s="1"/>
  <c r="D6669" i="3" s="1"/>
  <c r="D6693" i="3" s="1"/>
  <c r="D6717" i="3" s="1"/>
  <c r="D6741" i="3" s="1"/>
  <c r="D6765" i="3" s="1"/>
  <c r="D6789" i="3" s="1"/>
  <c r="D6813" i="3" s="1"/>
  <c r="D6837" i="3" s="1"/>
  <c r="D6861" i="3" s="1"/>
  <c r="D6885" i="3" s="1"/>
  <c r="D6909" i="3" s="1"/>
  <c r="D6933" i="3" s="1"/>
  <c r="D6957" i="3" s="1"/>
  <c r="D6981" i="3" s="1"/>
  <c r="D7005" i="3" s="1"/>
  <c r="D7029" i="3" s="1"/>
  <c r="D7053" i="3" s="1"/>
  <c r="D7077" i="3" s="1"/>
  <c r="D7101" i="3" s="1"/>
  <c r="D7125" i="3" s="1"/>
  <c r="D7149" i="3" s="1"/>
  <c r="D7173" i="3" s="1"/>
  <c r="D7197" i="3" s="1"/>
  <c r="D7221" i="3" s="1"/>
  <c r="D7245" i="3" s="1"/>
  <c r="D7269" i="3" s="1"/>
  <c r="D7293" i="3" s="1"/>
  <c r="D7317" i="3" s="1"/>
  <c r="D7341" i="3" s="1"/>
  <c r="D7365" i="3" s="1"/>
  <c r="D7389" i="3" s="1"/>
  <c r="D7413" i="3" s="1"/>
  <c r="D7437" i="3" s="1"/>
  <c r="D7461" i="3" s="1"/>
  <c r="D7485" i="3" s="1"/>
  <c r="D7509" i="3" s="1"/>
  <c r="D7533" i="3" s="1"/>
  <c r="D7557" i="3" s="1"/>
  <c r="D7581" i="3" s="1"/>
  <c r="D7605" i="3" s="1"/>
  <c r="D7629" i="3" s="1"/>
  <c r="D7653" i="3" s="1"/>
  <c r="D7677" i="3" s="1"/>
  <c r="D7701" i="3" s="1"/>
  <c r="D7725" i="3" s="1"/>
  <c r="D7749" i="3" s="1"/>
  <c r="D7773" i="3" s="1"/>
  <c r="D7797" i="3" s="1"/>
  <c r="D7821" i="3" s="1"/>
  <c r="D7845" i="3" s="1"/>
  <c r="D7869" i="3" s="1"/>
  <c r="D7893" i="3" s="1"/>
  <c r="D7917" i="3" s="1"/>
  <c r="D7941" i="3" s="1"/>
  <c r="D7965" i="3" s="1"/>
  <c r="D7989" i="3" s="1"/>
  <c r="D8013" i="3" s="1"/>
  <c r="D8037" i="3" s="1"/>
  <c r="D8061" i="3" s="1"/>
  <c r="D8085" i="3" s="1"/>
  <c r="D8109" i="3" s="1"/>
  <c r="D8133" i="3" s="1"/>
  <c r="D8157" i="3" s="1"/>
  <c r="D8181" i="3" s="1"/>
  <c r="D8205" i="3" s="1"/>
  <c r="D8229" i="3" s="1"/>
  <c r="D8253" i="3" s="1"/>
  <c r="D8277" i="3" s="1"/>
  <c r="D8301" i="3" s="1"/>
  <c r="D8325" i="3" s="1"/>
  <c r="D8349" i="3" s="1"/>
  <c r="D8373" i="3" s="1"/>
  <c r="D8397" i="3" s="1"/>
  <c r="D8421" i="3" s="1"/>
  <c r="D8445" i="3" s="1"/>
  <c r="D8469" i="3" s="1"/>
  <c r="D8493" i="3" s="1"/>
  <c r="D8517" i="3" s="1"/>
  <c r="D8541" i="3" s="1"/>
  <c r="D8565" i="3" s="1"/>
  <c r="D8589" i="3" s="1"/>
  <c r="D8613" i="3" s="1"/>
  <c r="D8637" i="3" s="1"/>
  <c r="D8661" i="3" s="1"/>
  <c r="D8685" i="3" s="1"/>
  <c r="D8709" i="3" s="1"/>
  <c r="D8733" i="3" s="1"/>
  <c r="D8757" i="3" s="1"/>
  <c r="D8781" i="3" s="1"/>
  <c r="D8805" i="3" s="1"/>
  <c r="D8829" i="3" s="1"/>
  <c r="D8853" i="3" s="1"/>
  <c r="D8877" i="3" s="1"/>
  <c r="D8901" i="3" s="1"/>
  <c r="D8925" i="3" s="1"/>
  <c r="D8949" i="3" s="1"/>
  <c r="D8973" i="3" s="1"/>
  <c r="D8997" i="3" s="1"/>
  <c r="D9021" i="3" s="1"/>
  <c r="D9045" i="3" s="1"/>
  <c r="D9069" i="3" s="1"/>
  <c r="D9093" i="3" s="1"/>
  <c r="D9117" i="3" s="1"/>
  <c r="D9141" i="3" s="1"/>
  <c r="D9165" i="3" s="1"/>
  <c r="D9189" i="3" s="1"/>
  <c r="D9213" i="3" s="1"/>
  <c r="D9237" i="3" s="1"/>
  <c r="D9261" i="3" s="1"/>
  <c r="D9285" i="3" s="1"/>
  <c r="D9309" i="3" s="1"/>
  <c r="D9333" i="3" s="1"/>
  <c r="D9357" i="3" s="1"/>
  <c r="D9381" i="3" s="1"/>
  <c r="D9405" i="3" s="1"/>
  <c r="D9429" i="3" s="1"/>
  <c r="D9453" i="3" s="1"/>
  <c r="D9477" i="3" s="1"/>
  <c r="D9501" i="3" s="1"/>
  <c r="D9525" i="3" s="1"/>
  <c r="D9549" i="3" s="1"/>
  <c r="D9573" i="3" s="1"/>
  <c r="D9597" i="3" s="1"/>
  <c r="D9621" i="3" s="1"/>
  <c r="D9645" i="3" s="1"/>
  <c r="D9669" i="3" s="1"/>
  <c r="D9693" i="3" s="1"/>
  <c r="D9717" i="3" s="1"/>
  <c r="D9741" i="3" s="1"/>
  <c r="D9765" i="3" s="1"/>
  <c r="D9789" i="3" s="1"/>
  <c r="D9813" i="3" s="1"/>
  <c r="D9837" i="3" s="1"/>
  <c r="D9861" i="3" s="1"/>
  <c r="D9885" i="3" s="1"/>
  <c r="D9909" i="3" s="1"/>
  <c r="D9933" i="3" s="1"/>
  <c r="D9957" i="3" s="1"/>
  <c r="D9981" i="3" s="1"/>
  <c r="D10005" i="3" s="1"/>
  <c r="D10029" i="3" s="1"/>
  <c r="D10053" i="3" s="1"/>
  <c r="D10077" i="3" s="1"/>
  <c r="D10101" i="3" s="1"/>
  <c r="D10125" i="3" s="1"/>
  <c r="D10149" i="3" s="1"/>
  <c r="D10173" i="3" s="1"/>
  <c r="D10197" i="3" s="1"/>
  <c r="D10221" i="3" s="1"/>
  <c r="D10245" i="3" s="1"/>
  <c r="D10269" i="3" s="1"/>
  <c r="D10293" i="3" s="1"/>
  <c r="D10317" i="3" s="1"/>
  <c r="D10341" i="3" s="1"/>
  <c r="D10365" i="3" s="1"/>
  <c r="D10389" i="3" s="1"/>
  <c r="D10413" i="3" s="1"/>
  <c r="D10437" i="3" s="1"/>
  <c r="D10461" i="3" s="1"/>
  <c r="D10485" i="3" s="1"/>
  <c r="D10509" i="3" s="1"/>
  <c r="D10533" i="3" s="1"/>
  <c r="D10557" i="3" s="1"/>
  <c r="D10581" i="3" s="1"/>
  <c r="D10605" i="3" s="1"/>
  <c r="D10629" i="3" s="1"/>
  <c r="D10653" i="3" s="1"/>
  <c r="D10677" i="3" s="1"/>
  <c r="D10701" i="3" s="1"/>
  <c r="D10725" i="3" s="1"/>
  <c r="D10749" i="3" s="1"/>
  <c r="D10773" i="3" s="1"/>
  <c r="D10797" i="3" s="1"/>
  <c r="D10821" i="3" s="1"/>
  <c r="D10845" i="3" s="1"/>
  <c r="D10869" i="3" s="1"/>
  <c r="D10893" i="3" s="1"/>
  <c r="D10917" i="3" s="1"/>
  <c r="D10941" i="3" s="1"/>
  <c r="D10965" i="3" s="1"/>
  <c r="D10989" i="3" s="1"/>
  <c r="D4074" i="3"/>
  <c r="D4098" i="3" s="1"/>
  <c r="D4122" i="3" s="1"/>
  <c r="D4146" i="3" s="1"/>
  <c r="D4170" i="3" s="1"/>
  <c r="D4194" i="3" s="1"/>
  <c r="D4218" i="3" s="1"/>
  <c r="D4242" i="3" s="1"/>
  <c r="D4266" i="3" s="1"/>
  <c r="D4290" i="3" s="1"/>
  <c r="D4314" i="3" s="1"/>
  <c r="D4338" i="3" s="1"/>
  <c r="D4362" i="3" s="1"/>
  <c r="D4386" i="3" s="1"/>
  <c r="D4410" i="3" s="1"/>
  <c r="D4434" i="3" s="1"/>
  <c r="D4458" i="3" s="1"/>
  <c r="D4482" i="3" s="1"/>
  <c r="D4506" i="3" s="1"/>
  <c r="D4530" i="3" s="1"/>
  <c r="D4554" i="3" s="1"/>
  <c r="D4578" i="3" s="1"/>
  <c r="D4602" i="3" s="1"/>
  <c r="D4626" i="3" s="1"/>
  <c r="D4650" i="3" s="1"/>
  <c r="D4674" i="3" s="1"/>
  <c r="D4698" i="3" s="1"/>
  <c r="D4722" i="3" s="1"/>
  <c r="D4746" i="3" s="1"/>
  <c r="D4770" i="3" s="1"/>
  <c r="D4794" i="3" s="1"/>
  <c r="D4818" i="3" s="1"/>
  <c r="D4842" i="3" s="1"/>
  <c r="D4866" i="3" s="1"/>
  <c r="D4890" i="3" s="1"/>
  <c r="D4914" i="3" s="1"/>
  <c r="D4938" i="3" s="1"/>
  <c r="D4962" i="3" s="1"/>
  <c r="D4986" i="3" s="1"/>
  <c r="D5010" i="3" s="1"/>
  <c r="D5034" i="3" s="1"/>
  <c r="D5058" i="3" s="1"/>
  <c r="D5082" i="3" s="1"/>
  <c r="D5106" i="3" s="1"/>
  <c r="D5130" i="3" s="1"/>
  <c r="D5154" i="3" s="1"/>
  <c r="D5178" i="3" s="1"/>
  <c r="D5202" i="3" s="1"/>
  <c r="D5226" i="3" s="1"/>
  <c r="D5250" i="3" s="1"/>
  <c r="D5274" i="3" s="1"/>
  <c r="D5298" i="3" s="1"/>
  <c r="D5322" i="3" s="1"/>
  <c r="D5346" i="3" s="1"/>
  <c r="D5370" i="3" s="1"/>
  <c r="D5394" i="3" s="1"/>
  <c r="D5418" i="3" s="1"/>
  <c r="D5442" i="3" s="1"/>
  <c r="D5466" i="3" s="1"/>
  <c r="D5490" i="3" s="1"/>
  <c r="D5514" i="3" s="1"/>
  <c r="D5538" i="3" s="1"/>
  <c r="D5562" i="3" s="1"/>
  <c r="D5586" i="3" s="1"/>
  <c r="D5610" i="3" s="1"/>
  <c r="D5634" i="3" s="1"/>
  <c r="D5658" i="3" s="1"/>
  <c r="D5682" i="3" s="1"/>
  <c r="D5706" i="3" s="1"/>
  <c r="D5730" i="3" s="1"/>
  <c r="D5754" i="3" s="1"/>
  <c r="D4072" i="3"/>
  <c r="D4096" i="3" s="1"/>
  <c r="D4120" i="3" s="1"/>
  <c r="D4144" i="3" s="1"/>
  <c r="D4168" i="3" s="1"/>
  <c r="D4192" i="3" s="1"/>
  <c r="D4216" i="3" s="1"/>
  <c r="D4240" i="3" s="1"/>
  <c r="D4264" i="3" s="1"/>
  <c r="D4288" i="3" s="1"/>
  <c r="D4312" i="3" s="1"/>
  <c r="D4336" i="3" s="1"/>
  <c r="D4360" i="3" s="1"/>
  <c r="D4384" i="3" s="1"/>
  <c r="D4408" i="3" s="1"/>
  <c r="D4432" i="3" s="1"/>
  <c r="D4456" i="3" s="1"/>
  <c r="D4480" i="3" s="1"/>
  <c r="D4504" i="3" s="1"/>
  <c r="D4528" i="3" s="1"/>
  <c r="D4552" i="3" s="1"/>
  <c r="D4576" i="3" s="1"/>
  <c r="D4600" i="3" s="1"/>
  <c r="D4624" i="3" s="1"/>
  <c r="D4648" i="3" s="1"/>
  <c r="D4672" i="3" s="1"/>
  <c r="D4696" i="3" s="1"/>
  <c r="D4720" i="3" s="1"/>
  <c r="D4744" i="3" s="1"/>
  <c r="D4768" i="3" s="1"/>
  <c r="D4792" i="3" s="1"/>
  <c r="D4816" i="3" s="1"/>
  <c r="D4840" i="3" s="1"/>
  <c r="D4864" i="3" s="1"/>
  <c r="D4888" i="3" s="1"/>
  <c r="D4912" i="3" s="1"/>
  <c r="D4936" i="3" s="1"/>
  <c r="D4960" i="3" s="1"/>
  <c r="D4984" i="3" s="1"/>
  <c r="D5008" i="3" s="1"/>
  <c r="D5032" i="3" s="1"/>
  <c r="D5056" i="3" s="1"/>
  <c r="D5080" i="3" s="1"/>
  <c r="D5104" i="3" s="1"/>
  <c r="D5128" i="3" s="1"/>
  <c r="D5152" i="3" s="1"/>
  <c r="D5176" i="3" s="1"/>
  <c r="D5200" i="3" s="1"/>
  <c r="D5224" i="3" s="1"/>
  <c r="D5248" i="3" s="1"/>
  <c r="D5272" i="3" s="1"/>
  <c r="D5296" i="3" s="1"/>
  <c r="D5320" i="3" s="1"/>
  <c r="D5344" i="3" s="1"/>
  <c r="D5368" i="3" s="1"/>
  <c r="D5392" i="3" s="1"/>
  <c r="D5416" i="3" s="1"/>
  <c r="D5440" i="3" s="1"/>
  <c r="D5464" i="3" s="1"/>
  <c r="D5488" i="3" s="1"/>
  <c r="D5512" i="3" s="1"/>
  <c r="D5536" i="3" s="1"/>
  <c r="D5560" i="3" s="1"/>
  <c r="D5584" i="3" s="1"/>
  <c r="D5608" i="3" s="1"/>
  <c r="D5632" i="3" s="1"/>
  <c r="D5656" i="3" s="1"/>
  <c r="D5680" i="3" s="1"/>
  <c r="D5704" i="3" s="1"/>
  <c r="D5728" i="3" s="1"/>
  <c r="D5752" i="3" s="1"/>
  <c r="D5776" i="3" s="1"/>
  <c r="D5800" i="3" s="1"/>
  <c r="D5824" i="3" s="1"/>
  <c r="D5848" i="3" s="1"/>
  <c r="D5872" i="3" s="1"/>
  <c r="D5896" i="3" s="1"/>
  <c r="D5920" i="3" s="1"/>
  <c r="D5944" i="3" s="1"/>
  <c r="D5968" i="3" s="1"/>
  <c r="D5992" i="3" s="1"/>
  <c r="D6016" i="3" s="1"/>
  <c r="D6040" i="3" s="1"/>
  <c r="D6064" i="3" s="1"/>
  <c r="D6088" i="3" s="1"/>
  <c r="D6112" i="3" s="1"/>
  <c r="D6136" i="3" s="1"/>
  <c r="D6160" i="3" s="1"/>
  <c r="D6184" i="3" s="1"/>
  <c r="D6208" i="3" s="1"/>
  <c r="D6232" i="3" s="1"/>
  <c r="D6256" i="3" s="1"/>
  <c r="D6280" i="3" s="1"/>
  <c r="D6304" i="3" s="1"/>
  <c r="D6328" i="3" s="1"/>
  <c r="D6352" i="3" s="1"/>
  <c r="D6376" i="3" s="1"/>
  <c r="D6400" i="3" s="1"/>
  <c r="D6424" i="3" s="1"/>
  <c r="D6448" i="3" s="1"/>
  <c r="D6472" i="3" s="1"/>
  <c r="D6496" i="3" s="1"/>
  <c r="D6520" i="3" s="1"/>
  <c r="D6544" i="3" s="1"/>
  <c r="D6568" i="3" s="1"/>
  <c r="D6592" i="3" s="1"/>
  <c r="D6616" i="3" s="1"/>
  <c r="D6640" i="3" s="1"/>
  <c r="D6664" i="3" s="1"/>
  <c r="D6688" i="3" s="1"/>
  <c r="D6712" i="3" s="1"/>
  <c r="D6736" i="3" s="1"/>
  <c r="D6760" i="3" s="1"/>
  <c r="D6784" i="3" s="1"/>
  <c r="D6808" i="3" s="1"/>
  <c r="D6832" i="3" s="1"/>
  <c r="D6856" i="3" s="1"/>
  <c r="D6880" i="3" s="1"/>
  <c r="D6904" i="3" s="1"/>
  <c r="D6928" i="3" s="1"/>
  <c r="D6952" i="3" s="1"/>
  <c r="D6976" i="3" s="1"/>
  <c r="D7000" i="3" s="1"/>
  <c r="D7024" i="3" s="1"/>
  <c r="D7048" i="3" s="1"/>
  <c r="D7072" i="3" s="1"/>
  <c r="D7096" i="3" s="1"/>
  <c r="D7120" i="3" s="1"/>
  <c r="D7144" i="3" s="1"/>
  <c r="D7168" i="3" s="1"/>
  <c r="D7192" i="3" s="1"/>
  <c r="D7216" i="3" s="1"/>
  <c r="D7240" i="3" s="1"/>
  <c r="D7264" i="3" s="1"/>
  <c r="D7288" i="3" s="1"/>
  <c r="D7312" i="3" s="1"/>
  <c r="D7336" i="3" s="1"/>
  <c r="D7360" i="3" s="1"/>
  <c r="D7384" i="3" s="1"/>
  <c r="D7408" i="3" s="1"/>
  <c r="D7432" i="3" s="1"/>
  <c r="D7456" i="3" s="1"/>
  <c r="D7480" i="3" s="1"/>
  <c r="D7504" i="3" s="1"/>
  <c r="D7528" i="3" s="1"/>
  <c r="D7552" i="3" s="1"/>
  <c r="D7576" i="3" s="1"/>
  <c r="D7600" i="3" s="1"/>
  <c r="D7624" i="3" s="1"/>
  <c r="D7648" i="3" s="1"/>
  <c r="D7672" i="3" s="1"/>
  <c r="D7696" i="3" s="1"/>
  <c r="D7720" i="3" s="1"/>
  <c r="D7744" i="3" s="1"/>
  <c r="D7768" i="3" s="1"/>
  <c r="D7792" i="3" s="1"/>
  <c r="D7816" i="3" s="1"/>
  <c r="D7840" i="3" s="1"/>
  <c r="D7864" i="3" s="1"/>
  <c r="D7888" i="3" s="1"/>
  <c r="D7912" i="3" s="1"/>
  <c r="D7936" i="3" s="1"/>
  <c r="D7960" i="3" s="1"/>
  <c r="D7984" i="3" s="1"/>
  <c r="D8008" i="3" s="1"/>
  <c r="D8032" i="3" s="1"/>
  <c r="D8056" i="3" s="1"/>
  <c r="D8080" i="3" s="1"/>
  <c r="D8104" i="3" s="1"/>
  <c r="D8128" i="3" s="1"/>
  <c r="D8152" i="3" s="1"/>
  <c r="D8176" i="3" s="1"/>
  <c r="D8200" i="3" s="1"/>
  <c r="D8224" i="3" s="1"/>
  <c r="D8248" i="3" s="1"/>
  <c r="D8272" i="3" s="1"/>
  <c r="D8296" i="3" s="1"/>
  <c r="D8320" i="3" s="1"/>
  <c r="D8344" i="3" s="1"/>
  <c r="D8368" i="3" s="1"/>
  <c r="D8392" i="3" s="1"/>
  <c r="D8416" i="3" s="1"/>
  <c r="D8440" i="3" s="1"/>
  <c r="D8464" i="3" s="1"/>
  <c r="D8488" i="3" s="1"/>
  <c r="D8512" i="3" s="1"/>
  <c r="D8536" i="3" s="1"/>
  <c r="D8560" i="3" s="1"/>
  <c r="D8584" i="3" s="1"/>
  <c r="D8608" i="3" s="1"/>
  <c r="D8632" i="3" s="1"/>
  <c r="D8656" i="3" s="1"/>
  <c r="D8680" i="3" s="1"/>
  <c r="D8704" i="3" s="1"/>
  <c r="D8728" i="3" s="1"/>
  <c r="D8752" i="3" s="1"/>
  <c r="D8776" i="3" s="1"/>
  <c r="D8800" i="3" s="1"/>
  <c r="D8824" i="3" s="1"/>
  <c r="D8848" i="3" s="1"/>
  <c r="D8872" i="3" s="1"/>
  <c r="D8896" i="3" s="1"/>
  <c r="D8920" i="3" s="1"/>
  <c r="D8944" i="3" s="1"/>
  <c r="D8968" i="3" s="1"/>
  <c r="D8992" i="3" s="1"/>
  <c r="D9016" i="3" s="1"/>
  <c r="D9040" i="3" s="1"/>
  <c r="D9064" i="3" s="1"/>
  <c r="D9088" i="3" s="1"/>
  <c r="D9112" i="3" s="1"/>
  <c r="D9136" i="3" s="1"/>
  <c r="D9160" i="3" s="1"/>
  <c r="D9184" i="3" s="1"/>
  <c r="D9208" i="3" s="1"/>
  <c r="D9232" i="3" s="1"/>
  <c r="D9256" i="3" s="1"/>
  <c r="D9280" i="3" s="1"/>
  <c r="D9304" i="3" s="1"/>
  <c r="D9328" i="3" s="1"/>
  <c r="D9352" i="3" s="1"/>
  <c r="D9376" i="3" s="1"/>
  <c r="D9400" i="3" s="1"/>
  <c r="D9424" i="3" s="1"/>
  <c r="D9448" i="3" s="1"/>
  <c r="D9472" i="3" s="1"/>
  <c r="D9496" i="3" s="1"/>
  <c r="D9520" i="3" s="1"/>
  <c r="D9544" i="3" s="1"/>
  <c r="D9568" i="3" s="1"/>
  <c r="D9592" i="3" s="1"/>
  <c r="D9616" i="3" s="1"/>
  <c r="D9640" i="3" s="1"/>
  <c r="D9664" i="3" s="1"/>
  <c r="D9688" i="3" s="1"/>
  <c r="D9712" i="3" s="1"/>
  <c r="D9736" i="3" s="1"/>
  <c r="D9760" i="3" s="1"/>
  <c r="D9784" i="3" s="1"/>
  <c r="D9808" i="3" s="1"/>
  <c r="D9832" i="3" s="1"/>
  <c r="D9856" i="3" s="1"/>
  <c r="D9880" i="3" s="1"/>
  <c r="D9904" i="3" s="1"/>
  <c r="D9928" i="3" s="1"/>
  <c r="D9952" i="3" s="1"/>
  <c r="D9976" i="3" s="1"/>
  <c r="D10000" i="3" s="1"/>
  <c r="D10024" i="3" s="1"/>
  <c r="D10048" i="3" s="1"/>
  <c r="D10072" i="3" s="1"/>
  <c r="D10096" i="3" s="1"/>
  <c r="D10120" i="3" s="1"/>
  <c r="D10144" i="3" s="1"/>
  <c r="D10168" i="3" s="1"/>
  <c r="D10192" i="3" s="1"/>
  <c r="D10216" i="3" s="1"/>
  <c r="D10240" i="3" s="1"/>
  <c r="D10264" i="3" s="1"/>
  <c r="D10288" i="3" s="1"/>
  <c r="D10312" i="3" s="1"/>
  <c r="D10336" i="3" s="1"/>
  <c r="D10360" i="3" s="1"/>
  <c r="D10384" i="3" s="1"/>
  <c r="D10408" i="3" s="1"/>
  <c r="D10432" i="3" s="1"/>
  <c r="D10456" i="3" s="1"/>
  <c r="D10480" i="3" s="1"/>
  <c r="D10504" i="3" s="1"/>
  <c r="D10528" i="3" s="1"/>
  <c r="D10552" i="3" s="1"/>
  <c r="D10576" i="3" s="1"/>
  <c r="D10600" i="3" s="1"/>
  <c r="D10624" i="3" s="1"/>
  <c r="D10648" i="3" s="1"/>
  <c r="D10672" i="3" s="1"/>
  <c r="D10696" i="3" s="1"/>
  <c r="D10720" i="3" s="1"/>
  <c r="D10744" i="3" s="1"/>
  <c r="D10768" i="3" s="1"/>
  <c r="D10792" i="3" s="1"/>
  <c r="D10816" i="3" s="1"/>
  <c r="D10840" i="3" s="1"/>
  <c r="D10864" i="3" s="1"/>
  <c r="D10888" i="3" s="1"/>
  <c r="D10912" i="3" s="1"/>
  <c r="D10936" i="3" s="1"/>
  <c r="D10960" i="3" s="1"/>
  <c r="D10984" i="3" s="1"/>
  <c r="D4071" i="3"/>
  <c r="D4095" i="3" s="1"/>
  <c r="D4119" i="3" s="1"/>
  <c r="D4143" i="3" s="1"/>
  <c r="D4167" i="3" s="1"/>
  <c r="D4191" i="3" s="1"/>
  <c r="D4215" i="3" s="1"/>
  <c r="D4239" i="3" s="1"/>
  <c r="D4263" i="3" s="1"/>
  <c r="D4287" i="3" s="1"/>
  <c r="D4311" i="3" s="1"/>
  <c r="D4335" i="3" s="1"/>
  <c r="D4359" i="3" s="1"/>
  <c r="D4383" i="3" s="1"/>
  <c r="D4407" i="3" s="1"/>
  <c r="D4431" i="3" s="1"/>
  <c r="D4455" i="3" s="1"/>
  <c r="D4479" i="3" s="1"/>
  <c r="D4503" i="3" s="1"/>
  <c r="D4527" i="3" s="1"/>
  <c r="D4551" i="3" s="1"/>
  <c r="D4575" i="3" s="1"/>
  <c r="D4599" i="3" s="1"/>
  <c r="D4623" i="3" s="1"/>
  <c r="D4647" i="3" s="1"/>
  <c r="D4671" i="3" s="1"/>
  <c r="D4695" i="3" s="1"/>
  <c r="D4719" i="3" s="1"/>
  <c r="D4743" i="3" s="1"/>
  <c r="D4767" i="3" s="1"/>
  <c r="D4791" i="3" s="1"/>
  <c r="D4815" i="3" s="1"/>
  <c r="D4839" i="3" s="1"/>
  <c r="D4863" i="3" s="1"/>
  <c r="D4887" i="3" s="1"/>
  <c r="D4911" i="3" s="1"/>
  <c r="D4935" i="3" s="1"/>
  <c r="D4959" i="3" s="1"/>
  <c r="D4983" i="3" s="1"/>
  <c r="D5007" i="3" s="1"/>
  <c r="D5031" i="3" s="1"/>
  <c r="D5055" i="3" s="1"/>
  <c r="D5079" i="3" s="1"/>
  <c r="D5103" i="3" s="1"/>
  <c r="D5127" i="3" s="1"/>
  <c r="D5151" i="3" s="1"/>
  <c r="D5175" i="3" s="1"/>
  <c r="D5199" i="3" s="1"/>
  <c r="D5223" i="3" s="1"/>
  <c r="D5247" i="3" s="1"/>
  <c r="D5271" i="3" s="1"/>
  <c r="D5295" i="3" s="1"/>
  <c r="D5319" i="3" s="1"/>
  <c r="D5343" i="3" s="1"/>
  <c r="D5367" i="3" s="1"/>
  <c r="D5391" i="3" s="1"/>
  <c r="D5415" i="3" s="1"/>
  <c r="D5439" i="3" s="1"/>
  <c r="D5463" i="3" s="1"/>
  <c r="D5487" i="3" s="1"/>
  <c r="D5511" i="3" s="1"/>
  <c r="D5535" i="3" s="1"/>
  <c r="D5559" i="3" s="1"/>
  <c r="D5583" i="3" s="1"/>
  <c r="D5607" i="3" s="1"/>
  <c r="D5631" i="3" s="1"/>
  <c r="D5655" i="3" s="1"/>
  <c r="D5679" i="3" s="1"/>
  <c r="D5703" i="3" s="1"/>
  <c r="D5727" i="3" s="1"/>
  <c r="D5751" i="3" s="1"/>
  <c r="D5775" i="3" s="1"/>
  <c r="D5799" i="3" s="1"/>
  <c r="D5823" i="3" s="1"/>
  <c r="D5847" i="3" s="1"/>
  <c r="D5871" i="3" s="1"/>
  <c r="D5895" i="3" s="1"/>
  <c r="D5919" i="3" s="1"/>
  <c r="D5943" i="3" s="1"/>
  <c r="D5967" i="3" s="1"/>
  <c r="D5991" i="3" s="1"/>
  <c r="D6015" i="3" s="1"/>
  <c r="D6039" i="3" s="1"/>
  <c r="D6063" i="3" s="1"/>
  <c r="D6087" i="3" s="1"/>
  <c r="D6111" i="3" s="1"/>
  <c r="D6135" i="3" s="1"/>
  <c r="D6159" i="3" s="1"/>
  <c r="D6183" i="3" s="1"/>
  <c r="D6207" i="3" s="1"/>
  <c r="D6231" i="3" s="1"/>
  <c r="D6255" i="3" s="1"/>
  <c r="D6279" i="3" s="1"/>
  <c r="D6303" i="3" s="1"/>
  <c r="D6327" i="3" s="1"/>
  <c r="D6351" i="3" s="1"/>
  <c r="D6375" i="3" s="1"/>
  <c r="D6399" i="3" s="1"/>
  <c r="D6423" i="3" s="1"/>
  <c r="D6447" i="3" s="1"/>
  <c r="D6471" i="3" s="1"/>
  <c r="D6495" i="3" s="1"/>
  <c r="D6519" i="3" s="1"/>
  <c r="D6543" i="3" s="1"/>
  <c r="D6567" i="3" s="1"/>
  <c r="D6591" i="3" s="1"/>
  <c r="D6615" i="3" s="1"/>
  <c r="D6639" i="3" s="1"/>
  <c r="D6663" i="3" s="1"/>
  <c r="D6687" i="3" s="1"/>
  <c r="D6711" i="3" s="1"/>
  <c r="D6735" i="3" s="1"/>
  <c r="D6759" i="3" s="1"/>
  <c r="D6783" i="3" s="1"/>
  <c r="D6807" i="3" s="1"/>
  <c r="D6831" i="3" s="1"/>
  <c r="D6855" i="3" s="1"/>
  <c r="D6879" i="3" s="1"/>
  <c r="D6903" i="3" s="1"/>
  <c r="D6927" i="3" s="1"/>
  <c r="D6951" i="3" s="1"/>
  <c r="D6975" i="3" s="1"/>
  <c r="D6999" i="3" s="1"/>
  <c r="D7023" i="3" s="1"/>
  <c r="D7047" i="3" s="1"/>
  <c r="D7071" i="3" s="1"/>
  <c r="D7095" i="3" s="1"/>
  <c r="D7119" i="3" s="1"/>
  <c r="D7143" i="3" s="1"/>
  <c r="D7167" i="3" s="1"/>
  <c r="D7191" i="3" s="1"/>
  <c r="D7215" i="3" s="1"/>
  <c r="D7239" i="3" s="1"/>
  <c r="D7263" i="3" s="1"/>
  <c r="D7287" i="3" s="1"/>
  <c r="D7311" i="3" s="1"/>
  <c r="D7335" i="3" s="1"/>
  <c r="D7359" i="3" s="1"/>
  <c r="D7383" i="3" s="1"/>
  <c r="D7407" i="3" s="1"/>
  <c r="D7431" i="3" s="1"/>
  <c r="D7455" i="3" s="1"/>
  <c r="D7479" i="3" s="1"/>
  <c r="D7503" i="3" s="1"/>
  <c r="D7527" i="3" s="1"/>
  <c r="D7551" i="3" s="1"/>
  <c r="D7575" i="3" s="1"/>
  <c r="D7599" i="3" s="1"/>
  <c r="D7623" i="3" s="1"/>
  <c r="D7647" i="3" s="1"/>
  <c r="D7671" i="3" s="1"/>
  <c r="D7695" i="3" s="1"/>
  <c r="D7719" i="3" s="1"/>
  <c r="D7743" i="3" s="1"/>
  <c r="D7767" i="3" s="1"/>
  <c r="D7791" i="3" s="1"/>
  <c r="D7815" i="3" s="1"/>
  <c r="D7839" i="3" s="1"/>
  <c r="D7863" i="3" s="1"/>
  <c r="D7887" i="3" s="1"/>
  <c r="D7911" i="3" s="1"/>
  <c r="D7935" i="3" s="1"/>
  <c r="D7959" i="3" s="1"/>
  <c r="D7983" i="3" s="1"/>
  <c r="D8007" i="3" s="1"/>
  <c r="D8031" i="3" s="1"/>
  <c r="D8055" i="3" s="1"/>
  <c r="D8079" i="3" s="1"/>
  <c r="D8103" i="3" s="1"/>
  <c r="D8127" i="3" s="1"/>
  <c r="D8151" i="3" s="1"/>
  <c r="D8175" i="3" s="1"/>
  <c r="D8199" i="3" s="1"/>
  <c r="D8223" i="3" s="1"/>
  <c r="D8247" i="3" s="1"/>
  <c r="D8271" i="3" s="1"/>
  <c r="D8295" i="3" s="1"/>
  <c r="D8319" i="3" s="1"/>
  <c r="D8343" i="3" s="1"/>
  <c r="D8367" i="3" s="1"/>
  <c r="D8391" i="3" s="1"/>
  <c r="D8415" i="3" s="1"/>
  <c r="D8439" i="3" s="1"/>
  <c r="D8463" i="3" s="1"/>
  <c r="D8487" i="3" s="1"/>
  <c r="D8511" i="3" s="1"/>
  <c r="D8535" i="3" s="1"/>
  <c r="D8559" i="3" s="1"/>
  <c r="D8583" i="3" s="1"/>
  <c r="D8607" i="3" s="1"/>
  <c r="D8631" i="3" s="1"/>
  <c r="D8655" i="3" s="1"/>
  <c r="D8679" i="3" s="1"/>
  <c r="D8703" i="3" s="1"/>
  <c r="D8727" i="3" s="1"/>
  <c r="D8751" i="3" s="1"/>
  <c r="D8775" i="3" s="1"/>
  <c r="D8799" i="3" s="1"/>
  <c r="D8823" i="3" s="1"/>
  <c r="D8847" i="3" s="1"/>
  <c r="D8871" i="3" s="1"/>
  <c r="D8895" i="3" s="1"/>
  <c r="D8919" i="3" s="1"/>
  <c r="D8943" i="3" s="1"/>
  <c r="D8967" i="3" s="1"/>
  <c r="D8991" i="3" s="1"/>
  <c r="D9015" i="3" s="1"/>
  <c r="D9039" i="3" s="1"/>
  <c r="D9063" i="3" s="1"/>
  <c r="D9087" i="3" s="1"/>
  <c r="D9111" i="3" s="1"/>
  <c r="D9135" i="3" s="1"/>
  <c r="D9159" i="3" s="1"/>
  <c r="D9183" i="3" s="1"/>
  <c r="D9207" i="3" s="1"/>
  <c r="D9231" i="3" s="1"/>
  <c r="D9255" i="3" s="1"/>
  <c r="D9279" i="3" s="1"/>
  <c r="D9303" i="3" s="1"/>
  <c r="D9327" i="3" s="1"/>
  <c r="D9351" i="3" s="1"/>
  <c r="D9375" i="3" s="1"/>
  <c r="D9399" i="3" s="1"/>
  <c r="D9423" i="3" s="1"/>
  <c r="D9447" i="3" s="1"/>
  <c r="D9471" i="3" s="1"/>
  <c r="D9495" i="3" s="1"/>
  <c r="D9519" i="3" s="1"/>
  <c r="D9543" i="3" s="1"/>
  <c r="D9567" i="3" s="1"/>
  <c r="D9591" i="3" s="1"/>
  <c r="D9615" i="3" s="1"/>
  <c r="D9639" i="3" s="1"/>
  <c r="D9663" i="3" s="1"/>
  <c r="D9687" i="3" s="1"/>
  <c r="D9711" i="3" s="1"/>
  <c r="D9735" i="3" s="1"/>
  <c r="D9759" i="3" s="1"/>
  <c r="D9783" i="3" s="1"/>
  <c r="D9807" i="3" s="1"/>
  <c r="D9831" i="3" s="1"/>
  <c r="D9855" i="3" s="1"/>
  <c r="D9879" i="3" s="1"/>
  <c r="D9903" i="3" s="1"/>
  <c r="D9927" i="3" s="1"/>
  <c r="D9951" i="3" s="1"/>
  <c r="D9975" i="3" s="1"/>
  <c r="D9999" i="3" s="1"/>
  <c r="D10023" i="3" s="1"/>
  <c r="D10047" i="3" s="1"/>
  <c r="D10071" i="3" s="1"/>
  <c r="D10095" i="3" s="1"/>
  <c r="D10119" i="3" s="1"/>
  <c r="D10143" i="3" s="1"/>
  <c r="D10167" i="3" s="1"/>
  <c r="D10191" i="3" s="1"/>
  <c r="D10215" i="3" s="1"/>
  <c r="D10239" i="3" s="1"/>
  <c r="D10263" i="3" s="1"/>
  <c r="D10287" i="3" s="1"/>
  <c r="D10311" i="3" s="1"/>
  <c r="D10335" i="3" s="1"/>
  <c r="D10359" i="3" s="1"/>
  <c r="D10383" i="3" s="1"/>
  <c r="D10407" i="3" s="1"/>
  <c r="D10431" i="3" s="1"/>
  <c r="D10455" i="3" s="1"/>
  <c r="D10479" i="3" s="1"/>
  <c r="D10503" i="3" s="1"/>
  <c r="D10527" i="3" s="1"/>
  <c r="D10551" i="3" s="1"/>
  <c r="D10575" i="3" s="1"/>
  <c r="D10599" i="3" s="1"/>
  <c r="D10623" i="3" s="1"/>
  <c r="D10647" i="3" s="1"/>
  <c r="D10671" i="3" s="1"/>
  <c r="D10695" i="3" s="1"/>
  <c r="D10719" i="3" s="1"/>
  <c r="D10743" i="3" s="1"/>
  <c r="D10767" i="3" s="1"/>
  <c r="D10791" i="3" s="1"/>
  <c r="D10815" i="3" s="1"/>
  <c r="D10839" i="3" s="1"/>
  <c r="D10863" i="3" s="1"/>
  <c r="D10887" i="3" s="1"/>
  <c r="D10911" i="3" s="1"/>
  <c r="D10935" i="3" s="1"/>
  <c r="D10959" i="3" s="1"/>
  <c r="D10983" i="3" s="1"/>
  <c r="D4070" i="3"/>
  <c r="D4094" i="3" s="1"/>
  <c r="D4118" i="3" s="1"/>
  <c r="D4142" i="3" s="1"/>
  <c r="D4166" i="3" s="1"/>
  <c r="D4190" i="3" s="1"/>
  <c r="D4214" i="3" s="1"/>
  <c r="D4238" i="3" s="1"/>
  <c r="D4262" i="3" s="1"/>
  <c r="D4286" i="3" s="1"/>
  <c r="D4310" i="3" s="1"/>
  <c r="D4334" i="3" s="1"/>
  <c r="D4358" i="3" s="1"/>
  <c r="D4382" i="3" s="1"/>
  <c r="D4406" i="3" s="1"/>
  <c r="D4430" i="3" s="1"/>
  <c r="D4454" i="3" s="1"/>
  <c r="D4478" i="3" s="1"/>
  <c r="D4502" i="3" s="1"/>
  <c r="D4526" i="3" s="1"/>
  <c r="D4550" i="3" s="1"/>
  <c r="D4574" i="3" s="1"/>
  <c r="D4598" i="3" s="1"/>
  <c r="D4622" i="3" s="1"/>
  <c r="D4646" i="3" s="1"/>
  <c r="D4670" i="3" s="1"/>
  <c r="D4694" i="3" s="1"/>
  <c r="D4718" i="3" s="1"/>
  <c r="D4742" i="3" s="1"/>
  <c r="D4766" i="3" s="1"/>
  <c r="D4790" i="3" s="1"/>
  <c r="D4814" i="3" s="1"/>
  <c r="D4838" i="3" s="1"/>
  <c r="D4862" i="3" s="1"/>
  <c r="D4886" i="3" s="1"/>
  <c r="D4910" i="3" s="1"/>
  <c r="D4934" i="3" s="1"/>
  <c r="D4958" i="3" s="1"/>
  <c r="D4982" i="3" s="1"/>
  <c r="D5006" i="3" s="1"/>
  <c r="D5030" i="3" s="1"/>
  <c r="D5054" i="3" s="1"/>
  <c r="D5078" i="3" s="1"/>
  <c r="D5102" i="3" s="1"/>
  <c r="D5126" i="3" s="1"/>
  <c r="D5150" i="3" s="1"/>
  <c r="D5174" i="3" s="1"/>
  <c r="D5198" i="3" s="1"/>
  <c r="D5222" i="3" s="1"/>
  <c r="D5246" i="3" s="1"/>
  <c r="D5270" i="3" s="1"/>
  <c r="D5294" i="3" s="1"/>
  <c r="D5318" i="3" s="1"/>
  <c r="D5342" i="3" s="1"/>
  <c r="D5366" i="3" s="1"/>
  <c r="D5390" i="3" s="1"/>
  <c r="D5414" i="3" s="1"/>
  <c r="D5438" i="3" s="1"/>
  <c r="D5462" i="3" s="1"/>
  <c r="D5486" i="3" s="1"/>
  <c r="D5510" i="3" s="1"/>
  <c r="D5534" i="3" s="1"/>
  <c r="D5558" i="3" s="1"/>
  <c r="D5582" i="3" s="1"/>
  <c r="D5606" i="3" s="1"/>
  <c r="D5630" i="3" s="1"/>
  <c r="D5654" i="3" s="1"/>
  <c r="D5678" i="3" s="1"/>
  <c r="D5702" i="3" s="1"/>
  <c r="D5726" i="3" s="1"/>
  <c r="D5750" i="3" s="1"/>
  <c r="D5774" i="3" s="1"/>
  <c r="D5798" i="3" s="1"/>
  <c r="D5822" i="3" s="1"/>
  <c r="D5846" i="3" s="1"/>
  <c r="D5870" i="3" s="1"/>
  <c r="D5894" i="3" s="1"/>
  <c r="D5918" i="3" s="1"/>
  <c r="D5942" i="3" s="1"/>
  <c r="D5966" i="3" s="1"/>
  <c r="D5990" i="3" s="1"/>
  <c r="D6014" i="3" s="1"/>
  <c r="D6038" i="3" s="1"/>
  <c r="D6062" i="3" s="1"/>
  <c r="D6086" i="3" s="1"/>
  <c r="D6110" i="3" s="1"/>
  <c r="D6134" i="3" s="1"/>
  <c r="D6158" i="3" s="1"/>
  <c r="D6182" i="3" s="1"/>
  <c r="D6206" i="3" s="1"/>
  <c r="D6230" i="3" s="1"/>
  <c r="D6254" i="3" s="1"/>
  <c r="D6278" i="3" s="1"/>
  <c r="D6302" i="3" s="1"/>
  <c r="D6326" i="3" s="1"/>
  <c r="D6350" i="3" s="1"/>
  <c r="D6374" i="3" s="1"/>
  <c r="D6398" i="3" s="1"/>
  <c r="D6422" i="3" s="1"/>
  <c r="D6446" i="3" s="1"/>
  <c r="D6470" i="3" s="1"/>
  <c r="D6494" i="3" s="1"/>
  <c r="D6518" i="3" s="1"/>
  <c r="D6542" i="3" s="1"/>
  <c r="D6566" i="3" s="1"/>
  <c r="D6590" i="3" s="1"/>
  <c r="D6614" i="3" s="1"/>
  <c r="D6638" i="3" s="1"/>
  <c r="D6662" i="3" s="1"/>
  <c r="D6686" i="3" s="1"/>
  <c r="D6710" i="3" s="1"/>
  <c r="D6734" i="3" s="1"/>
  <c r="D6758" i="3" s="1"/>
  <c r="D6782" i="3" s="1"/>
  <c r="D6806" i="3" s="1"/>
  <c r="D6830" i="3" s="1"/>
  <c r="D6854" i="3" s="1"/>
  <c r="D6878" i="3" s="1"/>
  <c r="D6902" i="3" s="1"/>
  <c r="D6926" i="3" s="1"/>
  <c r="D6950" i="3" s="1"/>
  <c r="D6974" i="3" s="1"/>
  <c r="D6998" i="3" s="1"/>
  <c r="D7022" i="3" s="1"/>
  <c r="D7046" i="3" s="1"/>
  <c r="D7070" i="3" s="1"/>
  <c r="D7094" i="3" s="1"/>
  <c r="D7118" i="3" s="1"/>
  <c r="D7142" i="3" s="1"/>
  <c r="D7166" i="3" s="1"/>
  <c r="D7190" i="3" s="1"/>
  <c r="D7214" i="3" s="1"/>
  <c r="D7238" i="3" s="1"/>
  <c r="D7262" i="3" s="1"/>
  <c r="D7286" i="3" s="1"/>
  <c r="D7310" i="3" s="1"/>
  <c r="D7334" i="3" s="1"/>
  <c r="D7358" i="3" s="1"/>
  <c r="D7382" i="3" s="1"/>
  <c r="D7406" i="3" s="1"/>
  <c r="D7430" i="3" s="1"/>
  <c r="D7454" i="3" s="1"/>
  <c r="D7478" i="3" s="1"/>
  <c r="D7502" i="3" s="1"/>
  <c r="D7526" i="3" s="1"/>
  <c r="D7550" i="3" s="1"/>
  <c r="D7574" i="3" s="1"/>
  <c r="D7598" i="3" s="1"/>
  <c r="D7622" i="3" s="1"/>
  <c r="D7646" i="3" s="1"/>
  <c r="D7670" i="3" s="1"/>
  <c r="D7694" i="3" s="1"/>
  <c r="D7718" i="3" s="1"/>
  <c r="D7742" i="3" s="1"/>
  <c r="D7766" i="3" s="1"/>
  <c r="D7790" i="3" s="1"/>
  <c r="D7814" i="3" s="1"/>
  <c r="D7838" i="3" s="1"/>
  <c r="D7862" i="3" s="1"/>
  <c r="D7886" i="3" s="1"/>
  <c r="D7910" i="3" s="1"/>
  <c r="D7934" i="3" s="1"/>
  <c r="D7958" i="3" s="1"/>
  <c r="D7982" i="3" s="1"/>
  <c r="D8006" i="3" s="1"/>
  <c r="D8030" i="3" s="1"/>
  <c r="D8054" i="3" s="1"/>
  <c r="D8078" i="3" s="1"/>
  <c r="D8102" i="3" s="1"/>
  <c r="D8126" i="3" s="1"/>
  <c r="D8150" i="3" s="1"/>
  <c r="D8174" i="3" s="1"/>
  <c r="D8198" i="3" s="1"/>
  <c r="D8222" i="3" s="1"/>
  <c r="D8246" i="3" s="1"/>
  <c r="D8270" i="3" s="1"/>
  <c r="D8294" i="3" s="1"/>
  <c r="D8318" i="3" s="1"/>
  <c r="D8342" i="3" s="1"/>
  <c r="D8366" i="3" s="1"/>
  <c r="D8390" i="3" s="1"/>
  <c r="D8414" i="3" s="1"/>
  <c r="D8438" i="3" s="1"/>
  <c r="D8462" i="3" s="1"/>
  <c r="D8486" i="3" s="1"/>
  <c r="D8510" i="3" s="1"/>
  <c r="D8534" i="3" s="1"/>
  <c r="D8558" i="3" s="1"/>
  <c r="D8582" i="3" s="1"/>
  <c r="D8606" i="3" s="1"/>
  <c r="D8630" i="3" s="1"/>
  <c r="D8654" i="3" s="1"/>
  <c r="D8678" i="3" s="1"/>
  <c r="D8702" i="3" s="1"/>
  <c r="D8726" i="3" s="1"/>
  <c r="D8750" i="3" s="1"/>
  <c r="D8774" i="3" s="1"/>
  <c r="D8798" i="3" s="1"/>
  <c r="D8822" i="3" s="1"/>
  <c r="D8846" i="3" s="1"/>
  <c r="D8870" i="3" s="1"/>
  <c r="D8894" i="3" s="1"/>
  <c r="D8918" i="3" s="1"/>
  <c r="D8942" i="3" s="1"/>
  <c r="D8966" i="3" s="1"/>
  <c r="D8990" i="3" s="1"/>
  <c r="D9014" i="3" s="1"/>
  <c r="D9038" i="3" s="1"/>
  <c r="D9062" i="3" s="1"/>
  <c r="D9086" i="3" s="1"/>
  <c r="D9110" i="3" s="1"/>
  <c r="D9134" i="3" s="1"/>
  <c r="D9158" i="3" s="1"/>
  <c r="D9182" i="3" s="1"/>
  <c r="D9206" i="3" s="1"/>
  <c r="D9230" i="3" s="1"/>
  <c r="D9254" i="3" s="1"/>
  <c r="D9278" i="3" s="1"/>
  <c r="D9302" i="3" s="1"/>
  <c r="D9326" i="3" s="1"/>
  <c r="D9350" i="3" s="1"/>
  <c r="D9374" i="3" s="1"/>
  <c r="D9398" i="3" s="1"/>
  <c r="D9422" i="3" s="1"/>
  <c r="D9446" i="3" s="1"/>
  <c r="D9470" i="3" s="1"/>
  <c r="D9494" i="3" s="1"/>
  <c r="D9518" i="3" s="1"/>
  <c r="D9542" i="3" s="1"/>
  <c r="D9566" i="3" s="1"/>
  <c r="D9590" i="3" s="1"/>
  <c r="D9614" i="3" s="1"/>
  <c r="D9638" i="3" s="1"/>
  <c r="D9662" i="3" s="1"/>
  <c r="D9686" i="3" s="1"/>
  <c r="D9710" i="3" s="1"/>
  <c r="D9734" i="3" s="1"/>
  <c r="D9758" i="3" s="1"/>
  <c r="D9782" i="3" s="1"/>
  <c r="D9806" i="3" s="1"/>
  <c r="D9830" i="3" s="1"/>
  <c r="D9854" i="3" s="1"/>
  <c r="D9878" i="3" s="1"/>
  <c r="D9902" i="3" s="1"/>
  <c r="D9926" i="3" s="1"/>
  <c r="D9950" i="3" s="1"/>
  <c r="D9974" i="3" s="1"/>
  <c r="D9998" i="3" s="1"/>
  <c r="D10022" i="3" s="1"/>
  <c r="D10046" i="3" s="1"/>
  <c r="D10070" i="3" s="1"/>
  <c r="D10094" i="3" s="1"/>
  <c r="D10118" i="3" s="1"/>
  <c r="D10142" i="3" s="1"/>
  <c r="D10166" i="3" s="1"/>
  <c r="D10190" i="3" s="1"/>
  <c r="D10214" i="3" s="1"/>
  <c r="D10238" i="3" s="1"/>
  <c r="D10262" i="3" s="1"/>
  <c r="D10286" i="3" s="1"/>
  <c r="D10310" i="3" s="1"/>
  <c r="D10334" i="3" s="1"/>
  <c r="D10358" i="3" s="1"/>
  <c r="D10382" i="3" s="1"/>
  <c r="D10406" i="3" s="1"/>
  <c r="D10430" i="3" s="1"/>
  <c r="D10454" i="3" s="1"/>
  <c r="D10478" i="3" s="1"/>
  <c r="D10502" i="3" s="1"/>
  <c r="D10526" i="3" s="1"/>
  <c r="D10550" i="3" s="1"/>
  <c r="D10574" i="3" s="1"/>
  <c r="D10598" i="3" s="1"/>
  <c r="D10622" i="3" s="1"/>
  <c r="D10646" i="3" s="1"/>
  <c r="D10670" i="3" s="1"/>
  <c r="D10694" i="3" s="1"/>
  <c r="D10718" i="3" s="1"/>
  <c r="D10742" i="3" s="1"/>
  <c r="D10766" i="3" s="1"/>
  <c r="D10790" i="3" s="1"/>
  <c r="D10814" i="3" s="1"/>
  <c r="D10838" i="3" s="1"/>
  <c r="D10862" i="3" s="1"/>
  <c r="D10886" i="3" s="1"/>
  <c r="D10910" i="3" s="1"/>
  <c r="D10934" i="3" s="1"/>
  <c r="D10958" i="3" s="1"/>
  <c r="D10982" i="3" s="1"/>
  <c r="D4069" i="3"/>
  <c r="D4093" i="3" s="1"/>
  <c r="D4117" i="3" s="1"/>
  <c r="D4141" i="3" s="1"/>
  <c r="D4165" i="3" s="1"/>
  <c r="D4189" i="3" s="1"/>
  <c r="D4213" i="3" s="1"/>
  <c r="D4237" i="3" s="1"/>
  <c r="D4261" i="3" s="1"/>
  <c r="D4285" i="3" s="1"/>
  <c r="D4309" i="3" s="1"/>
  <c r="D4333" i="3" s="1"/>
  <c r="D4357" i="3" s="1"/>
  <c r="D4381" i="3" s="1"/>
  <c r="D4405" i="3" s="1"/>
  <c r="D4429" i="3" s="1"/>
  <c r="D4453" i="3" s="1"/>
  <c r="D4477" i="3" s="1"/>
  <c r="D4501" i="3" s="1"/>
  <c r="D4525" i="3" s="1"/>
  <c r="D4549" i="3" s="1"/>
  <c r="D4573" i="3" s="1"/>
  <c r="D4597" i="3" s="1"/>
  <c r="D4621" i="3" s="1"/>
  <c r="D4645" i="3" s="1"/>
  <c r="D4669" i="3" s="1"/>
  <c r="D4693" i="3" s="1"/>
  <c r="D4717" i="3" s="1"/>
  <c r="D4741" i="3" s="1"/>
  <c r="D4765" i="3" s="1"/>
  <c r="D4789" i="3" s="1"/>
  <c r="D4813" i="3" s="1"/>
  <c r="D4837" i="3" s="1"/>
  <c r="D4861" i="3" s="1"/>
  <c r="D4885" i="3" s="1"/>
  <c r="D4909" i="3" s="1"/>
  <c r="D4933" i="3" s="1"/>
  <c r="D4957" i="3" s="1"/>
  <c r="D4981" i="3" s="1"/>
  <c r="D5005" i="3" s="1"/>
  <c r="D5029" i="3" s="1"/>
  <c r="D5053" i="3" s="1"/>
  <c r="D5077" i="3" s="1"/>
  <c r="D5101" i="3" s="1"/>
  <c r="D5125" i="3" s="1"/>
  <c r="D5149" i="3" s="1"/>
  <c r="D5173" i="3" s="1"/>
  <c r="D5197" i="3" s="1"/>
  <c r="D5221" i="3" s="1"/>
  <c r="D5245" i="3" s="1"/>
  <c r="D5269" i="3" s="1"/>
  <c r="D5293" i="3" s="1"/>
  <c r="D5317" i="3" s="1"/>
  <c r="D5341" i="3" s="1"/>
  <c r="D5365" i="3" s="1"/>
  <c r="D5389" i="3" s="1"/>
  <c r="D5413" i="3" s="1"/>
  <c r="D5437" i="3" s="1"/>
  <c r="D5461" i="3" s="1"/>
  <c r="D5485" i="3" s="1"/>
  <c r="D5509" i="3" s="1"/>
  <c r="D5533" i="3" s="1"/>
  <c r="D5557" i="3" s="1"/>
  <c r="D5581" i="3" s="1"/>
  <c r="D5605" i="3" s="1"/>
  <c r="D5629" i="3" s="1"/>
  <c r="D5653" i="3" s="1"/>
  <c r="D5677" i="3" s="1"/>
  <c r="D5701" i="3" s="1"/>
  <c r="D5725" i="3" s="1"/>
  <c r="D5749" i="3" s="1"/>
  <c r="D5773" i="3" s="1"/>
  <c r="D5797" i="3" s="1"/>
  <c r="D5821" i="3" s="1"/>
  <c r="D5845" i="3" s="1"/>
  <c r="D5869" i="3" s="1"/>
  <c r="D5893" i="3" s="1"/>
  <c r="D5917" i="3" s="1"/>
  <c r="D5941" i="3" s="1"/>
  <c r="D5965" i="3" s="1"/>
  <c r="D5989" i="3" s="1"/>
  <c r="D6013" i="3" s="1"/>
  <c r="D6037" i="3" s="1"/>
  <c r="D6061" i="3" s="1"/>
  <c r="D6085" i="3" s="1"/>
  <c r="D6109" i="3" s="1"/>
  <c r="D6133" i="3" s="1"/>
  <c r="D6157" i="3" s="1"/>
  <c r="D6181" i="3" s="1"/>
  <c r="D6205" i="3" s="1"/>
  <c r="D6229" i="3" s="1"/>
  <c r="D6253" i="3" s="1"/>
  <c r="D6277" i="3" s="1"/>
  <c r="D6301" i="3" s="1"/>
  <c r="D6325" i="3" s="1"/>
  <c r="D6349" i="3" s="1"/>
  <c r="D6373" i="3" s="1"/>
  <c r="D6397" i="3" s="1"/>
  <c r="D6421" i="3" s="1"/>
  <c r="D6445" i="3" s="1"/>
  <c r="D6469" i="3" s="1"/>
  <c r="D6493" i="3" s="1"/>
  <c r="D6517" i="3" s="1"/>
  <c r="D6541" i="3" s="1"/>
  <c r="D6565" i="3" s="1"/>
  <c r="D6589" i="3" s="1"/>
  <c r="D6613" i="3" s="1"/>
  <c r="D6637" i="3" s="1"/>
  <c r="D6661" i="3" s="1"/>
  <c r="D6685" i="3" s="1"/>
  <c r="D6709" i="3" s="1"/>
  <c r="D6733" i="3" s="1"/>
  <c r="D6757" i="3" s="1"/>
  <c r="D6781" i="3" s="1"/>
  <c r="D6805" i="3" s="1"/>
  <c r="D6829" i="3" s="1"/>
  <c r="D6853" i="3" s="1"/>
  <c r="D6877" i="3" s="1"/>
  <c r="D6901" i="3" s="1"/>
  <c r="D6925" i="3" s="1"/>
  <c r="D6949" i="3" s="1"/>
  <c r="D6973" i="3" s="1"/>
  <c r="D6997" i="3" s="1"/>
  <c r="D7021" i="3" s="1"/>
  <c r="D7045" i="3" s="1"/>
  <c r="D7069" i="3" s="1"/>
  <c r="D7093" i="3" s="1"/>
  <c r="D7117" i="3" s="1"/>
  <c r="D7141" i="3" s="1"/>
  <c r="D7165" i="3" s="1"/>
  <c r="D7189" i="3" s="1"/>
  <c r="D7213" i="3" s="1"/>
  <c r="D7237" i="3" s="1"/>
  <c r="D7261" i="3" s="1"/>
  <c r="D7285" i="3" s="1"/>
  <c r="D7309" i="3" s="1"/>
  <c r="D7333" i="3" s="1"/>
  <c r="D7357" i="3" s="1"/>
  <c r="D7381" i="3" s="1"/>
  <c r="D7405" i="3" s="1"/>
  <c r="D7429" i="3" s="1"/>
  <c r="D7453" i="3" s="1"/>
  <c r="D7477" i="3" s="1"/>
  <c r="D7501" i="3" s="1"/>
  <c r="D7525" i="3" s="1"/>
  <c r="D7549" i="3" s="1"/>
  <c r="D7573" i="3" s="1"/>
  <c r="D7597" i="3" s="1"/>
  <c r="D7621" i="3" s="1"/>
  <c r="D7645" i="3" s="1"/>
  <c r="D7669" i="3" s="1"/>
  <c r="D7693" i="3" s="1"/>
  <c r="D7717" i="3" s="1"/>
  <c r="D7741" i="3" s="1"/>
  <c r="D7765" i="3" s="1"/>
  <c r="D7789" i="3" s="1"/>
  <c r="D7813" i="3" s="1"/>
  <c r="D7837" i="3" s="1"/>
  <c r="D7861" i="3" s="1"/>
  <c r="D7885" i="3" s="1"/>
  <c r="D7909" i="3" s="1"/>
  <c r="D7933" i="3" s="1"/>
  <c r="D7957" i="3" s="1"/>
  <c r="D7981" i="3" s="1"/>
  <c r="D8005" i="3" s="1"/>
  <c r="D8029" i="3" s="1"/>
  <c r="D8053" i="3" s="1"/>
  <c r="D8077" i="3" s="1"/>
  <c r="D8101" i="3" s="1"/>
  <c r="D8125" i="3" s="1"/>
  <c r="D8149" i="3" s="1"/>
  <c r="D8173" i="3" s="1"/>
  <c r="D8197" i="3" s="1"/>
  <c r="D8221" i="3" s="1"/>
  <c r="D8245" i="3" s="1"/>
  <c r="D8269" i="3" s="1"/>
  <c r="D8293" i="3" s="1"/>
  <c r="D8317" i="3" s="1"/>
  <c r="D8341" i="3" s="1"/>
  <c r="D8365" i="3" s="1"/>
  <c r="D8389" i="3" s="1"/>
  <c r="D8413" i="3" s="1"/>
  <c r="D8437" i="3" s="1"/>
  <c r="D8461" i="3" s="1"/>
  <c r="D8485" i="3" s="1"/>
  <c r="D8509" i="3" s="1"/>
  <c r="D8533" i="3" s="1"/>
  <c r="D8557" i="3" s="1"/>
  <c r="D8581" i="3" s="1"/>
  <c r="D8605" i="3" s="1"/>
  <c r="D8629" i="3" s="1"/>
  <c r="D8653" i="3" s="1"/>
  <c r="D8677" i="3" s="1"/>
  <c r="D8701" i="3" s="1"/>
  <c r="D8725" i="3" s="1"/>
  <c r="D8749" i="3" s="1"/>
  <c r="D8773" i="3" s="1"/>
  <c r="D8797" i="3" s="1"/>
  <c r="D8821" i="3" s="1"/>
  <c r="D8845" i="3" s="1"/>
  <c r="D8869" i="3" s="1"/>
  <c r="D8893" i="3" s="1"/>
  <c r="D8917" i="3" s="1"/>
  <c r="D8941" i="3" s="1"/>
  <c r="D8965" i="3" s="1"/>
  <c r="D8989" i="3" s="1"/>
  <c r="D9013" i="3" s="1"/>
  <c r="D9037" i="3" s="1"/>
  <c r="D9061" i="3" s="1"/>
  <c r="D9085" i="3" s="1"/>
  <c r="D9109" i="3" s="1"/>
  <c r="D9133" i="3" s="1"/>
  <c r="D9157" i="3" s="1"/>
  <c r="D9181" i="3" s="1"/>
  <c r="D9205" i="3" s="1"/>
  <c r="D9229" i="3" s="1"/>
  <c r="D9253" i="3" s="1"/>
  <c r="D9277" i="3" s="1"/>
  <c r="D9301" i="3" s="1"/>
  <c r="D9325" i="3" s="1"/>
  <c r="D9349" i="3" s="1"/>
  <c r="D9373" i="3" s="1"/>
  <c r="D9397" i="3" s="1"/>
  <c r="D9421" i="3" s="1"/>
  <c r="D9445" i="3" s="1"/>
  <c r="D9469" i="3" s="1"/>
  <c r="D9493" i="3" s="1"/>
  <c r="D9517" i="3" s="1"/>
  <c r="D9541" i="3" s="1"/>
  <c r="D9565" i="3" s="1"/>
  <c r="D9589" i="3" s="1"/>
  <c r="D9613" i="3" s="1"/>
  <c r="D9637" i="3" s="1"/>
  <c r="D9661" i="3" s="1"/>
  <c r="D9685" i="3" s="1"/>
  <c r="D9709" i="3" s="1"/>
  <c r="D9733" i="3" s="1"/>
  <c r="D9757" i="3" s="1"/>
  <c r="D9781" i="3" s="1"/>
  <c r="D9805" i="3" s="1"/>
  <c r="D9829" i="3" s="1"/>
  <c r="D9853" i="3" s="1"/>
  <c r="D9877" i="3" s="1"/>
  <c r="D9901" i="3" s="1"/>
  <c r="D9925" i="3" s="1"/>
  <c r="D9949" i="3" s="1"/>
  <c r="D9973" i="3" s="1"/>
  <c r="D9997" i="3" s="1"/>
  <c r="D10021" i="3" s="1"/>
  <c r="D10045" i="3" s="1"/>
  <c r="D10069" i="3" s="1"/>
  <c r="D10093" i="3" s="1"/>
  <c r="D10117" i="3" s="1"/>
  <c r="D10141" i="3" s="1"/>
  <c r="D10165" i="3" s="1"/>
  <c r="D10189" i="3" s="1"/>
  <c r="D10213" i="3" s="1"/>
  <c r="D10237" i="3" s="1"/>
  <c r="D10261" i="3" s="1"/>
  <c r="D10285" i="3" s="1"/>
  <c r="D10309" i="3" s="1"/>
  <c r="D10333" i="3" s="1"/>
  <c r="D10357" i="3" s="1"/>
  <c r="D10381" i="3" s="1"/>
  <c r="D10405" i="3" s="1"/>
  <c r="D10429" i="3" s="1"/>
  <c r="D10453" i="3" s="1"/>
  <c r="D10477" i="3" s="1"/>
  <c r="D10501" i="3" s="1"/>
  <c r="D10525" i="3" s="1"/>
  <c r="D10549" i="3" s="1"/>
  <c r="D10573" i="3" s="1"/>
  <c r="D10597" i="3" s="1"/>
  <c r="D10621" i="3" s="1"/>
  <c r="D10645" i="3" s="1"/>
  <c r="D10669" i="3" s="1"/>
  <c r="D10693" i="3" s="1"/>
  <c r="D10717" i="3" s="1"/>
  <c r="D10741" i="3" s="1"/>
  <c r="D10765" i="3" s="1"/>
  <c r="D10789" i="3" s="1"/>
  <c r="D10813" i="3" s="1"/>
  <c r="D10837" i="3" s="1"/>
  <c r="D10861" i="3" s="1"/>
  <c r="D10885" i="3" s="1"/>
  <c r="D10909" i="3" s="1"/>
  <c r="D10933" i="3" s="1"/>
  <c r="D10957" i="3" s="1"/>
  <c r="D10981" i="3" s="1"/>
  <c r="D4068" i="3"/>
  <c r="D4092" i="3" s="1"/>
  <c r="D4116" i="3" s="1"/>
  <c r="D4140" i="3" s="1"/>
  <c r="D4164" i="3" s="1"/>
  <c r="D4188" i="3" s="1"/>
  <c r="D4212" i="3" s="1"/>
  <c r="D4236" i="3" s="1"/>
  <c r="D4260" i="3" s="1"/>
  <c r="D4284" i="3" s="1"/>
  <c r="D4308" i="3" s="1"/>
  <c r="D4332" i="3" s="1"/>
  <c r="D4356" i="3" s="1"/>
  <c r="D4380" i="3" s="1"/>
  <c r="D4404" i="3" s="1"/>
  <c r="D4428" i="3" s="1"/>
  <c r="D4452" i="3" s="1"/>
  <c r="D4476" i="3" s="1"/>
  <c r="D4500" i="3" s="1"/>
  <c r="D4524" i="3" s="1"/>
  <c r="D4548" i="3" s="1"/>
  <c r="D4572" i="3" s="1"/>
  <c r="D4596" i="3" s="1"/>
  <c r="D4620" i="3" s="1"/>
  <c r="D4644" i="3" s="1"/>
  <c r="D4668" i="3" s="1"/>
  <c r="D4692" i="3" s="1"/>
  <c r="D4716" i="3" s="1"/>
  <c r="D4740" i="3" s="1"/>
  <c r="D4764" i="3" s="1"/>
  <c r="D4788" i="3" s="1"/>
  <c r="D4812" i="3" s="1"/>
  <c r="D4836" i="3" s="1"/>
  <c r="D4860" i="3" s="1"/>
  <c r="D4884" i="3" s="1"/>
  <c r="D4908" i="3" s="1"/>
  <c r="D4932" i="3" s="1"/>
  <c r="D4956" i="3" s="1"/>
  <c r="D4980" i="3" s="1"/>
  <c r="D5004" i="3" s="1"/>
  <c r="D5028" i="3" s="1"/>
  <c r="D5052" i="3" s="1"/>
  <c r="D5076" i="3" s="1"/>
  <c r="D5100" i="3" s="1"/>
  <c r="D5124" i="3" s="1"/>
  <c r="D5148" i="3" s="1"/>
  <c r="D5172" i="3" s="1"/>
  <c r="D5196" i="3" s="1"/>
  <c r="D5220" i="3" s="1"/>
  <c r="D5244" i="3" s="1"/>
  <c r="D5268" i="3" s="1"/>
  <c r="D5292" i="3" s="1"/>
  <c r="D5316" i="3" s="1"/>
  <c r="D5340" i="3" s="1"/>
  <c r="D5364" i="3" s="1"/>
  <c r="D5388" i="3" s="1"/>
  <c r="D5412" i="3" s="1"/>
  <c r="D5436" i="3" s="1"/>
  <c r="D5460" i="3" s="1"/>
  <c r="D5484" i="3" s="1"/>
  <c r="D5508" i="3" s="1"/>
  <c r="D5532" i="3" s="1"/>
  <c r="D5556" i="3" s="1"/>
  <c r="D5580" i="3" s="1"/>
  <c r="D5604" i="3" s="1"/>
  <c r="D5628" i="3" s="1"/>
  <c r="D5652" i="3" s="1"/>
  <c r="D5676" i="3" s="1"/>
  <c r="D5700" i="3" s="1"/>
  <c r="D5724" i="3" s="1"/>
  <c r="D5748" i="3" s="1"/>
  <c r="D5772" i="3" s="1"/>
  <c r="D5796" i="3" s="1"/>
  <c r="D5820" i="3" s="1"/>
  <c r="D5844" i="3" s="1"/>
  <c r="D5868" i="3" s="1"/>
  <c r="D5892" i="3" s="1"/>
  <c r="D5916" i="3" s="1"/>
  <c r="D5940" i="3" s="1"/>
  <c r="D5964" i="3" s="1"/>
  <c r="D5988" i="3" s="1"/>
  <c r="D6012" i="3" s="1"/>
  <c r="D6036" i="3" s="1"/>
  <c r="D6060" i="3" s="1"/>
  <c r="D6084" i="3" s="1"/>
  <c r="D6108" i="3" s="1"/>
  <c r="D6132" i="3" s="1"/>
  <c r="D6156" i="3" s="1"/>
  <c r="D6180" i="3" s="1"/>
  <c r="D6204" i="3" s="1"/>
  <c r="D6228" i="3" s="1"/>
  <c r="D6252" i="3" s="1"/>
  <c r="D6276" i="3" s="1"/>
  <c r="D6300" i="3" s="1"/>
  <c r="D6324" i="3" s="1"/>
  <c r="D6348" i="3" s="1"/>
  <c r="D6372" i="3" s="1"/>
  <c r="D6396" i="3" s="1"/>
  <c r="D6420" i="3" s="1"/>
  <c r="D6444" i="3" s="1"/>
  <c r="D6468" i="3" s="1"/>
  <c r="D6492" i="3" s="1"/>
  <c r="D6516" i="3" s="1"/>
  <c r="D6540" i="3" s="1"/>
  <c r="D6564" i="3" s="1"/>
  <c r="D6588" i="3" s="1"/>
  <c r="D6612" i="3" s="1"/>
  <c r="D6636" i="3" s="1"/>
  <c r="D6660" i="3" s="1"/>
  <c r="D6684" i="3" s="1"/>
  <c r="D6708" i="3" s="1"/>
  <c r="D6732" i="3" s="1"/>
  <c r="D6756" i="3" s="1"/>
  <c r="D6780" i="3" s="1"/>
  <c r="D6804" i="3" s="1"/>
  <c r="D6828" i="3" s="1"/>
  <c r="D6852" i="3" s="1"/>
  <c r="D6876" i="3" s="1"/>
  <c r="D6900" i="3" s="1"/>
  <c r="D6924" i="3" s="1"/>
  <c r="D6948" i="3" s="1"/>
  <c r="D6972" i="3" s="1"/>
  <c r="D6996" i="3" s="1"/>
  <c r="D7020" i="3" s="1"/>
  <c r="D7044" i="3" s="1"/>
  <c r="D7068" i="3" s="1"/>
  <c r="D7092" i="3" s="1"/>
  <c r="D7116" i="3" s="1"/>
  <c r="D7140" i="3" s="1"/>
  <c r="D7164" i="3" s="1"/>
  <c r="D7188" i="3" s="1"/>
  <c r="D7212" i="3" s="1"/>
  <c r="D7236" i="3" s="1"/>
  <c r="D7260" i="3" s="1"/>
  <c r="D7284" i="3" s="1"/>
  <c r="D7308" i="3" s="1"/>
  <c r="D7332" i="3" s="1"/>
  <c r="D7356" i="3" s="1"/>
  <c r="D7380" i="3" s="1"/>
  <c r="D7404" i="3" s="1"/>
  <c r="D7428" i="3" s="1"/>
  <c r="D7452" i="3" s="1"/>
  <c r="D7476" i="3" s="1"/>
  <c r="D7500" i="3" s="1"/>
  <c r="D7524" i="3" s="1"/>
  <c r="D7548" i="3" s="1"/>
  <c r="D7572" i="3" s="1"/>
  <c r="D7596" i="3" s="1"/>
  <c r="D7620" i="3" s="1"/>
  <c r="D7644" i="3" s="1"/>
  <c r="D7668" i="3" s="1"/>
  <c r="D7692" i="3" s="1"/>
  <c r="D7716" i="3" s="1"/>
  <c r="D7740" i="3" s="1"/>
  <c r="D7764" i="3" s="1"/>
  <c r="D7788" i="3" s="1"/>
  <c r="D7812" i="3" s="1"/>
  <c r="D7836" i="3" s="1"/>
  <c r="D7860" i="3" s="1"/>
  <c r="D7884" i="3" s="1"/>
  <c r="D7908" i="3" s="1"/>
  <c r="D7932" i="3" s="1"/>
  <c r="D7956" i="3" s="1"/>
  <c r="D7980" i="3" s="1"/>
  <c r="D8004" i="3" s="1"/>
  <c r="D8028" i="3" s="1"/>
  <c r="D8052" i="3" s="1"/>
  <c r="D8076" i="3" s="1"/>
  <c r="D8100" i="3" s="1"/>
  <c r="D8124" i="3" s="1"/>
  <c r="D8148" i="3" s="1"/>
  <c r="D8172" i="3" s="1"/>
  <c r="D8196" i="3" s="1"/>
  <c r="D8220" i="3" s="1"/>
  <c r="D8244" i="3" s="1"/>
  <c r="D8268" i="3" s="1"/>
  <c r="D8292" i="3" s="1"/>
  <c r="D8316" i="3" s="1"/>
  <c r="D8340" i="3" s="1"/>
  <c r="D8364" i="3" s="1"/>
  <c r="D8388" i="3" s="1"/>
  <c r="D8412" i="3" s="1"/>
  <c r="D8436" i="3" s="1"/>
  <c r="D8460" i="3" s="1"/>
  <c r="D8484" i="3" s="1"/>
  <c r="D8508" i="3" s="1"/>
  <c r="D8532" i="3" s="1"/>
  <c r="D8556" i="3" s="1"/>
  <c r="D8580" i="3" s="1"/>
  <c r="D8604" i="3" s="1"/>
  <c r="D8628" i="3" s="1"/>
  <c r="D8652" i="3" s="1"/>
  <c r="D8676" i="3" s="1"/>
  <c r="D8700" i="3" s="1"/>
  <c r="D8724" i="3" s="1"/>
  <c r="D8748" i="3" s="1"/>
  <c r="D8772" i="3" s="1"/>
  <c r="D8796" i="3" s="1"/>
  <c r="D8820" i="3" s="1"/>
  <c r="D8844" i="3" s="1"/>
  <c r="D8868" i="3" s="1"/>
  <c r="D8892" i="3" s="1"/>
  <c r="D8916" i="3" s="1"/>
  <c r="D8940" i="3" s="1"/>
  <c r="D8964" i="3" s="1"/>
  <c r="D8988" i="3" s="1"/>
  <c r="D9012" i="3" s="1"/>
  <c r="D9036" i="3" s="1"/>
  <c r="D9060" i="3" s="1"/>
  <c r="D9084" i="3" s="1"/>
  <c r="D9108" i="3" s="1"/>
  <c r="D9132" i="3" s="1"/>
  <c r="D9156" i="3" s="1"/>
  <c r="D9180" i="3" s="1"/>
  <c r="D9204" i="3" s="1"/>
  <c r="D9228" i="3" s="1"/>
  <c r="D9252" i="3" s="1"/>
  <c r="D9276" i="3" s="1"/>
  <c r="D9300" i="3" s="1"/>
  <c r="D9324" i="3" s="1"/>
  <c r="D9348" i="3" s="1"/>
  <c r="D9372" i="3" s="1"/>
  <c r="D9396" i="3" s="1"/>
  <c r="D9420" i="3" s="1"/>
  <c r="D9444" i="3" s="1"/>
  <c r="D9468" i="3" s="1"/>
  <c r="D9492" i="3" s="1"/>
  <c r="D9516" i="3" s="1"/>
  <c r="D9540" i="3" s="1"/>
  <c r="D9564" i="3" s="1"/>
  <c r="D9588" i="3" s="1"/>
  <c r="D9612" i="3" s="1"/>
  <c r="D9636" i="3" s="1"/>
  <c r="D9660" i="3" s="1"/>
  <c r="D9684" i="3" s="1"/>
  <c r="D9708" i="3" s="1"/>
  <c r="D9732" i="3" s="1"/>
  <c r="D9756" i="3" s="1"/>
  <c r="D9780" i="3" s="1"/>
  <c r="D9804" i="3" s="1"/>
  <c r="D9828" i="3" s="1"/>
  <c r="D9852" i="3" s="1"/>
  <c r="D9876" i="3" s="1"/>
  <c r="D9900" i="3" s="1"/>
  <c r="D9924" i="3" s="1"/>
  <c r="D9948" i="3" s="1"/>
  <c r="D9972" i="3" s="1"/>
  <c r="D9996" i="3" s="1"/>
  <c r="D10020" i="3" s="1"/>
  <c r="D10044" i="3" s="1"/>
  <c r="D10068" i="3" s="1"/>
  <c r="D10092" i="3" s="1"/>
  <c r="D10116" i="3" s="1"/>
  <c r="D10140" i="3" s="1"/>
  <c r="D10164" i="3" s="1"/>
  <c r="D10188" i="3" s="1"/>
  <c r="D10212" i="3" s="1"/>
  <c r="D10236" i="3" s="1"/>
  <c r="D10260" i="3" s="1"/>
  <c r="D10284" i="3" s="1"/>
  <c r="D10308" i="3" s="1"/>
  <c r="D10332" i="3" s="1"/>
  <c r="D10356" i="3" s="1"/>
  <c r="D10380" i="3" s="1"/>
  <c r="D10404" i="3" s="1"/>
  <c r="D10428" i="3" s="1"/>
  <c r="D10452" i="3" s="1"/>
  <c r="D10476" i="3" s="1"/>
  <c r="D10500" i="3" s="1"/>
  <c r="D10524" i="3" s="1"/>
  <c r="D10548" i="3" s="1"/>
  <c r="D10572" i="3" s="1"/>
  <c r="D10596" i="3" s="1"/>
  <c r="D10620" i="3" s="1"/>
  <c r="D10644" i="3" s="1"/>
  <c r="D10668" i="3" s="1"/>
  <c r="D10692" i="3" s="1"/>
  <c r="D10716" i="3" s="1"/>
  <c r="D10740" i="3" s="1"/>
  <c r="D10764" i="3" s="1"/>
  <c r="D10788" i="3" s="1"/>
  <c r="D10812" i="3" s="1"/>
  <c r="D10836" i="3" s="1"/>
  <c r="D10860" i="3" s="1"/>
  <c r="D10884" i="3" s="1"/>
  <c r="D10908" i="3" s="1"/>
  <c r="D10932" i="3" s="1"/>
  <c r="D10956" i="3" s="1"/>
  <c r="D10980" i="3" s="1"/>
  <c r="D4067" i="3"/>
  <c r="D4091" i="3" s="1"/>
  <c r="D4115" i="3" s="1"/>
  <c r="D4139" i="3" s="1"/>
  <c r="D4163" i="3" s="1"/>
  <c r="D4187" i="3" s="1"/>
  <c r="D4211" i="3" s="1"/>
  <c r="D4235" i="3" s="1"/>
  <c r="D4259" i="3" s="1"/>
  <c r="D4283" i="3" s="1"/>
  <c r="D4307" i="3" s="1"/>
  <c r="D4331" i="3" s="1"/>
  <c r="D4355" i="3" s="1"/>
  <c r="D4379" i="3" s="1"/>
  <c r="D4403" i="3" s="1"/>
  <c r="D4427" i="3" s="1"/>
  <c r="D4451" i="3" s="1"/>
  <c r="D4475" i="3" s="1"/>
  <c r="D4499" i="3" s="1"/>
  <c r="D4523" i="3" s="1"/>
  <c r="D4547" i="3" s="1"/>
  <c r="D4571" i="3" s="1"/>
  <c r="D4595" i="3" s="1"/>
  <c r="D4619" i="3" s="1"/>
  <c r="D4643" i="3" s="1"/>
  <c r="D4667" i="3" s="1"/>
  <c r="D4691" i="3" s="1"/>
  <c r="D4715" i="3" s="1"/>
  <c r="D4739" i="3" s="1"/>
  <c r="D4763" i="3" s="1"/>
  <c r="D4787" i="3" s="1"/>
  <c r="D4811" i="3" s="1"/>
  <c r="D4835" i="3" s="1"/>
  <c r="D4859" i="3" s="1"/>
  <c r="D4883" i="3" s="1"/>
  <c r="D4907" i="3" s="1"/>
  <c r="D4931" i="3" s="1"/>
  <c r="D4955" i="3" s="1"/>
  <c r="D4979" i="3" s="1"/>
  <c r="D5003" i="3" s="1"/>
  <c r="D5027" i="3" s="1"/>
  <c r="D5051" i="3" s="1"/>
  <c r="D5075" i="3" s="1"/>
  <c r="D5099" i="3" s="1"/>
  <c r="D5123" i="3" s="1"/>
  <c r="D5147" i="3" s="1"/>
  <c r="D5171" i="3" s="1"/>
  <c r="D5195" i="3" s="1"/>
  <c r="D5219" i="3" s="1"/>
  <c r="D5243" i="3" s="1"/>
  <c r="D5267" i="3" s="1"/>
  <c r="D5291" i="3" s="1"/>
  <c r="D5315" i="3" s="1"/>
  <c r="D5339" i="3" s="1"/>
  <c r="D5363" i="3" s="1"/>
  <c r="D5387" i="3" s="1"/>
  <c r="D5411" i="3" s="1"/>
  <c r="D5435" i="3" s="1"/>
  <c r="D5459" i="3" s="1"/>
  <c r="D5483" i="3" s="1"/>
  <c r="D5507" i="3" s="1"/>
  <c r="D5531" i="3" s="1"/>
  <c r="D5555" i="3" s="1"/>
  <c r="D5579" i="3" s="1"/>
  <c r="D5603" i="3" s="1"/>
  <c r="D5627" i="3" s="1"/>
  <c r="D5651" i="3" s="1"/>
  <c r="D5675" i="3" s="1"/>
  <c r="D5699" i="3" s="1"/>
  <c r="D5723" i="3" s="1"/>
  <c r="D5747" i="3" s="1"/>
  <c r="D5771" i="3" s="1"/>
  <c r="D5795" i="3" s="1"/>
  <c r="D5819" i="3" s="1"/>
  <c r="D5843" i="3" s="1"/>
  <c r="D5867" i="3" s="1"/>
  <c r="D5891" i="3" s="1"/>
  <c r="D5915" i="3" s="1"/>
  <c r="D5939" i="3" s="1"/>
  <c r="D5963" i="3" s="1"/>
  <c r="D5987" i="3" s="1"/>
  <c r="D6011" i="3" s="1"/>
  <c r="D6035" i="3" s="1"/>
  <c r="D6059" i="3" s="1"/>
  <c r="D6083" i="3" s="1"/>
  <c r="D6107" i="3" s="1"/>
  <c r="D6131" i="3" s="1"/>
  <c r="D6155" i="3" s="1"/>
  <c r="D6179" i="3" s="1"/>
  <c r="D6203" i="3" s="1"/>
  <c r="D6227" i="3" s="1"/>
  <c r="D6251" i="3" s="1"/>
  <c r="D6275" i="3" s="1"/>
  <c r="D6299" i="3" s="1"/>
  <c r="D6323" i="3" s="1"/>
  <c r="D6347" i="3" s="1"/>
  <c r="D6371" i="3" s="1"/>
  <c r="D6395" i="3" s="1"/>
  <c r="D6419" i="3" s="1"/>
  <c r="D6443" i="3" s="1"/>
  <c r="D6467" i="3" s="1"/>
  <c r="D6491" i="3" s="1"/>
  <c r="D6515" i="3" s="1"/>
  <c r="D6539" i="3" s="1"/>
  <c r="D6563" i="3" s="1"/>
  <c r="D6587" i="3" s="1"/>
  <c r="D6611" i="3" s="1"/>
  <c r="D6635" i="3" s="1"/>
  <c r="D6659" i="3" s="1"/>
  <c r="D6683" i="3" s="1"/>
  <c r="D6707" i="3" s="1"/>
  <c r="D6731" i="3" s="1"/>
  <c r="D6755" i="3" s="1"/>
  <c r="D6779" i="3" s="1"/>
  <c r="D6803" i="3" s="1"/>
  <c r="D6827" i="3" s="1"/>
  <c r="D6851" i="3" s="1"/>
  <c r="D6875" i="3" s="1"/>
  <c r="D6899" i="3" s="1"/>
  <c r="D6923" i="3" s="1"/>
  <c r="D6947" i="3" s="1"/>
  <c r="D6971" i="3" s="1"/>
  <c r="D6995" i="3" s="1"/>
  <c r="D7019" i="3" s="1"/>
  <c r="D7043" i="3" s="1"/>
  <c r="D7067" i="3" s="1"/>
  <c r="D7091" i="3" s="1"/>
  <c r="D7115" i="3" s="1"/>
  <c r="D7139" i="3" s="1"/>
  <c r="D7163" i="3" s="1"/>
  <c r="D7187" i="3" s="1"/>
  <c r="D7211" i="3" s="1"/>
  <c r="D7235" i="3" s="1"/>
  <c r="D7259" i="3" s="1"/>
  <c r="D7283" i="3" s="1"/>
  <c r="D7307" i="3" s="1"/>
  <c r="D7331" i="3" s="1"/>
  <c r="D7355" i="3" s="1"/>
  <c r="D7379" i="3" s="1"/>
  <c r="D7403" i="3" s="1"/>
  <c r="D7427" i="3" s="1"/>
  <c r="D7451" i="3" s="1"/>
  <c r="D7475" i="3" s="1"/>
  <c r="D7499" i="3" s="1"/>
  <c r="D7523" i="3" s="1"/>
  <c r="D7547" i="3" s="1"/>
  <c r="D7571" i="3" s="1"/>
  <c r="D7595" i="3" s="1"/>
  <c r="D7619" i="3" s="1"/>
  <c r="D7643" i="3" s="1"/>
  <c r="D7667" i="3" s="1"/>
  <c r="D7691" i="3" s="1"/>
  <c r="D7715" i="3" s="1"/>
  <c r="D7739" i="3" s="1"/>
  <c r="D7763" i="3" s="1"/>
  <c r="D7787" i="3" s="1"/>
  <c r="D7811" i="3" s="1"/>
  <c r="D7835" i="3" s="1"/>
  <c r="D7859" i="3" s="1"/>
  <c r="D7883" i="3" s="1"/>
  <c r="D7907" i="3" s="1"/>
  <c r="D7931" i="3" s="1"/>
  <c r="D7955" i="3" s="1"/>
  <c r="D7979" i="3" s="1"/>
  <c r="D8003" i="3" s="1"/>
  <c r="D8027" i="3" s="1"/>
  <c r="D8051" i="3" s="1"/>
  <c r="D8075" i="3" s="1"/>
  <c r="D8099" i="3" s="1"/>
  <c r="D8123" i="3" s="1"/>
  <c r="D8147" i="3" s="1"/>
  <c r="D8171" i="3" s="1"/>
  <c r="D8195" i="3" s="1"/>
  <c r="D8219" i="3" s="1"/>
  <c r="D8243" i="3" s="1"/>
  <c r="D8267" i="3" s="1"/>
  <c r="D8291" i="3" s="1"/>
  <c r="D8315" i="3" s="1"/>
  <c r="D8339" i="3" s="1"/>
  <c r="D8363" i="3" s="1"/>
  <c r="D8387" i="3" s="1"/>
  <c r="D8411" i="3" s="1"/>
  <c r="D8435" i="3" s="1"/>
  <c r="D8459" i="3" s="1"/>
  <c r="D8483" i="3" s="1"/>
  <c r="D8507" i="3" s="1"/>
  <c r="D8531" i="3" s="1"/>
  <c r="D8555" i="3" s="1"/>
  <c r="D8579" i="3" s="1"/>
  <c r="D8603" i="3" s="1"/>
  <c r="D8627" i="3" s="1"/>
  <c r="D8651" i="3" s="1"/>
  <c r="D8675" i="3" s="1"/>
  <c r="D8699" i="3" s="1"/>
  <c r="D8723" i="3" s="1"/>
  <c r="D8747" i="3" s="1"/>
  <c r="D8771" i="3" s="1"/>
  <c r="D8795" i="3" s="1"/>
  <c r="D8819" i="3" s="1"/>
  <c r="D8843" i="3" s="1"/>
  <c r="D8867" i="3" s="1"/>
  <c r="D8891" i="3" s="1"/>
  <c r="D8915" i="3" s="1"/>
  <c r="D8939" i="3" s="1"/>
  <c r="D8963" i="3" s="1"/>
  <c r="D8987" i="3" s="1"/>
  <c r="D9011" i="3" s="1"/>
  <c r="D9035" i="3" s="1"/>
  <c r="D9059" i="3" s="1"/>
  <c r="D9083" i="3" s="1"/>
  <c r="D9107" i="3" s="1"/>
  <c r="D9131" i="3" s="1"/>
  <c r="D9155" i="3" s="1"/>
  <c r="D9179" i="3" s="1"/>
  <c r="D9203" i="3" s="1"/>
  <c r="D9227" i="3" s="1"/>
  <c r="D9251" i="3" s="1"/>
  <c r="D9275" i="3" s="1"/>
  <c r="D9299" i="3" s="1"/>
  <c r="D9323" i="3" s="1"/>
  <c r="D9347" i="3" s="1"/>
  <c r="D9371" i="3" s="1"/>
  <c r="D9395" i="3" s="1"/>
  <c r="D9419" i="3" s="1"/>
  <c r="D9443" i="3" s="1"/>
  <c r="D9467" i="3" s="1"/>
  <c r="D9491" i="3" s="1"/>
  <c r="D9515" i="3" s="1"/>
  <c r="D9539" i="3" s="1"/>
  <c r="D9563" i="3" s="1"/>
  <c r="D9587" i="3" s="1"/>
  <c r="D9611" i="3" s="1"/>
  <c r="D9635" i="3" s="1"/>
  <c r="D9659" i="3" s="1"/>
  <c r="D9683" i="3" s="1"/>
  <c r="D9707" i="3" s="1"/>
  <c r="D9731" i="3" s="1"/>
  <c r="D9755" i="3" s="1"/>
  <c r="D9779" i="3" s="1"/>
  <c r="D9803" i="3" s="1"/>
  <c r="D9827" i="3" s="1"/>
  <c r="D9851" i="3" s="1"/>
  <c r="D9875" i="3" s="1"/>
  <c r="D9899" i="3" s="1"/>
  <c r="D9923" i="3" s="1"/>
  <c r="D9947" i="3" s="1"/>
  <c r="D9971" i="3" s="1"/>
  <c r="D9995" i="3" s="1"/>
  <c r="D10019" i="3" s="1"/>
  <c r="D10043" i="3" s="1"/>
  <c r="D10067" i="3" s="1"/>
  <c r="D10091" i="3" s="1"/>
  <c r="D10115" i="3" s="1"/>
  <c r="D10139" i="3" s="1"/>
  <c r="D10163" i="3" s="1"/>
  <c r="D10187" i="3" s="1"/>
  <c r="D10211" i="3" s="1"/>
  <c r="D10235" i="3" s="1"/>
  <c r="D10259" i="3" s="1"/>
  <c r="D10283" i="3" s="1"/>
  <c r="D10307" i="3" s="1"/>
  <c r="D10331" i="3" s="1"/>
  <c r="D10355" i="3" s="1"/>
  <c r="D10379" i="3" s="1"/>
  <c r="D10403" i="3" s="1"/>
  <c r="D10427" i="3" s="1"/>
  <c r="D10451" i="3" s="1"/>
  <c r="D10475" i="3" s="1"/>
  <c r="D10499" i="3" s="1"/>
  <c r="D10523" i="3" s="1"/>
  <c r="D10547" i="3" s="1"/>
  <c r="D10571" i="3" s="1"/>
  <c r="D10595" i="3" s="1"/>
  <c r="D10619" i="3" s="1"/>
  <c r="D10643" i="3" s="1"/>
  <c r="D10667" i="3" s="1"/>
  <c r="D10691" i="3" s="1"/>
  <c r="D10715" i="3" s="1"/>
  <c r="D10739" i="3" s="1"/>
  <c r="D10763" i="3" s="1"/>
  <c r="D10787" i="3" s="1"/>
  <c r="D10811" i="3" s="1"/>
  <c r="D10835" i="3" s="1"/>
  <c r="D10859" i="3" s="1"/>
  <c r="D10883" i="3" s="1"/>
  <c r="D10907" i="3" s="1"/>
  <c r="D10931" i="3" s="1"/>
  <c r="D10955" i="3" s="1"/>
  <c r="D10979" i="3" s="1"/>
  <c r="D4066" i="3"/>
  <c r="D4090" i="3" s="1"/>
  <c r="D4114" i="3" s="1"/>
  <c r="D4138" i="3" s="1"/>
  <c r="D4162" i="3" s="1"/>
  <c r="D4186" i="3" s="1"/>
  <c r="D4210" i="3" s="1"/>
  <c r="D4234" i="3" s="1"/>
  <c r="D4258" i="3" s="1"/>
  <c r="D4282" i="3" s="1"/>
  <c r="D4306" i="3" s="1"/>
  <c r="D4330" i="3" s="1"/>
  <c r="D4354" i="3" s="1"/>
  <c r="D4378" i="3" s="1"/>
  <c r="D4402" i="3" s="1"/>
  <c r="D4426" i="3" s="1"/>
  <c r="D4450" i="3" s="1"/>
  <c r="D4474" i="3" s="1"/>
  <c r="D4498" i="3" s="1"/>
  <c r="D4522" i="3" s="1"/>
  <c r="D4546" i="3" s="1"/>
  <c r="D4570" i="3" s="1"/>
  <c r="D4594" i="3" s="1"/>
  <c r="D4618" i="3" s="1"/>
  <c r="D4642" i="3" s="1"/>
  <c r="D4666" i="3" s="1"/>
  <c r="D4690" i="3" s="1"/>
  <c r="D4714" i="3" s="1"/>
  <c r="D4738" i="3" s="1"/>
  <c r="D4762" i="3" s="1"/>
  <c r="D4786" i="3" s="1"/>
  <c r="D4810" i="3" s="1"/>
  <c r="D4834" i="3" s="1"/>
  <c r="D4858" i="3" s="1"/>
  <c r="D4882" i="3" s="1"/>
  <c r="D4906" i="3" s="1"/>
  <c r="D4930" i="3" s="1"/>
  <c r="D4954" i="3" s="1"/>
  <c r="D4978" i="3" s="1"/>
  <c r="D5002" i="3" s="1"/>
  <c r="D5026" i="3" s="1"/>
  <c r="D5050" i="3" s="1"/>
  <c r="D5074" i="3" s="1"/>
  <c r="D5098" i="3" s="1"/>
  <c r="D5122" i="3" s="1"/>
  <c r="D5146" i="3" s="1"/>
  <c r="D5170" i="3" s="1"/>
  <c r="D5194" i="3" s="1"/>
  <c r="D5218" i="3" s="1"/>
  <c r="D5242" i="3" s="1"/>
  <c r="D5266" i="3" s="1"/>
  <c r="D5290" i="3" s="1"/>
  <c r="D5314" i="3" s="1"/>
  <c r="D5338" i="3" s="1"/>
  <c r="D5362" i="3" s="1"/>
  <c r="D5386" i="3" s="1"/>
  <c r="D5410" i="3" s="1"/>
  <c r="D5434" i="3" s="1"/>
  <c r="D5458" i="3" s="1"/>
  <c r="D5482" i="3" s="1"/>
  <c r="D5506" i="3" s="1"/>
  <c r="D5530" i="3" s="1"/>
  <c r="D5554" i="3" s="1"/>
  <c r="D5578" i="3" s="1"/>
  <c r="D5602" i="3" s="1"/>
  <c r="D5626" i="3" s="1"/>
  <c r="D5650" i="3" s="1"/>
  <c r="D5674" i="3" s="1"/>
  <c r="D5698" i="3" s="1"/>
  <c r="D5722" i="3" s="1"/>
  <c r="D5746" i="3" s="1"/>
  <c r="D5770" i="3" s="1"/>
  <c r="D5794" i="3" s="1"/>
  <c r="D5818" i="3" s="1"/>
  <c r="D5842" i="3" s="1"/>
  <c r="D5866" i="3" s="1"/>
  <c r="D5890" i="3" s="1"/>
  <c r="D5914" i="3" s="1"/>
  <c r="D5938" i="3" s="1"/>
  <c r="D5962" i="3" s="1"/>
  <c r="D5986" i="3" s="1"/>
  <c r="D6010" i="3" s="1"/>
  <c r="D6034" i="3" s="1"/>
  <c r="D6058" i="3" s="1"/>
  <c r="D6082" i="3" s="1"/>
  <c r="D6106" i="3" s="1"/>
  <c r="D6130" i="3" s="1"/>
  <c r="D6154" i="3" s="1"/>
  <c r="D6178" i="3" s="1"/>
  <c r="D6202" i="3" s="1"/>
  <c r="D6226" i="3" s="1"/>
  <c r="D6250" i="3" s="1"/>
  <c r="D6274" i="3" s="1"/>
  <c r="D6298" i="3" s="1"/>
  <c r="D6322" i="3" s="1"/>
  <c r="D6346" i="3" s="1"/>
  <c r="D6370" i="3" s="1"/>
  <c r="D6394" i="3" s="1"/>
  <c r="D6418" i="3" s="1"/>
  <c r="D6442" i="3" s="1"/>
  <c r="D6466" i="3" s="1"/>
  <c r="D6490" i="3" s="1"/>
  <c r="D6514" i="3" s="1"/>
  <c r="D6538" i="3" s="1"/>
  <c r="D6562" i="3" s="1"/>
  <c r="D6586" i="3" s="1"/>
  <c r="D6610" i="3" s="1"/>
  <c r="D6634" i="3" s="1"/>
  <c r="D6658" i="3" s="1"/>
  <c r="D6682" i="3" s="1"/>
  <c r="D6706" i="3" s="1"/>
  <c r="D6730" i="3" s="1"/>
  <c r="D6754" i="3" s="1"/>
  <c r="D6778" i="3" s="1"/>
  <c r="D6802" i="3" s="1"/>
  <c r="D6826" i="3" s="1"/>
  <c r="D6850" i="3" s="1"/>
  <c r="D6874" i="3" s="1"/>
  <c r="D6898" i="3" s="1"/>
  <c r="D6922" i="3" s="1"/>
  <c r="D6946" i="3" s="1"/>
  <c r="D6970" i="3" s="1"/>
  <c r="D6994" i="3" s="1"/>
  <c r="D7018" i="3" s="1"/>
  <c r="D7042" i="3" s="1"/>
  <c r="D7066" i="3" s="1"/>
  <c r="D7090" i="3" s="1"/>
  <c r="D7114" i="3" s="1"/>
  <c r="D7138" i="3" s="1"/>
  <c r="D7162" i="3" s="1"/>
  <c r="D7186" i="3" s="1"/>
  <c r="D7210" i="3" s="1"/>
  <c r="D7234" i="3" s="1"/>
  <c r="D7258" i="3" s="1"/>
  <c r="D7282" i="3" s="1"/>
  <c r="D7306" i="3" s="1"/>
  <c r="D7330" i="3" s="1"/>
  <c r="D7354" i="3" s="1"/>
  <c r="D7378" i="3" s="1"/>
  <c r="D7402" i="3" s="1"/>
  <c r="D7426" i="3" s="1"/>
  <c r="D7450" i="3" s="1"/>
  <c r="D7474" i="3" s="1"/>
  <c r="D7498" i="3" s="1"/>
  <c r="D7522" i="3" s="1"/>
  <c r="D7546" i="3" s="1"/>
  <c r="D7570" i="3" s="1"/>
  <c r="D7594" i="3" s="1"/>
  <c r="D7618" i="3" s="1"/>
  <c r="D7642" i="3" s="1"/>
  <c r="D7666" i="3" s="1"/>
  <c r="D7690" i="3" s="1"/>
  <c r="D7714" i="3" s="1"/>
  <c r="D7738" i="3" s="1"/>
  <c r="D7762" i="3" s="1"/>
  <c r="D7786" i="3" s="1"/>
  <c r="D7810" i="3" s="1"/>
  <c r="D7834" i="3" s="1"/>
  <c r="D7858" i="3" s="1"/>
  <c r="D7882" i="3" s="1"/>
  <c r="D7906" i="3" s="1"/>
  <c r="D7930" i="3" s="1"/>
  <c r="D7954" i="3" s="1"/>
  <c r="D7978" i="3" s="1"/>
  <c r="D8002" i="3" s="1"/>
  <c r="D8026" i="3" s="1"/>
  <c r="D8050" i="3" s="1"/>
  <c r="D8074" i="3" s="1"/>
  <c r="D8098" i="3" s="1"/>
  <c r="D8122" i="3" s="1"/>
  <c r="D8146" i="3" s="1"/>
  <c r="D8170" i="3" s="1"/>
  <c r="D8194" i="3" s="1"/>
  <c r="D8218" i="3" s="1"/>
  <c r="D8242" i="3" s="1"/>
  <c r="D8266" i="3" s="1"/>
  <c r="D8290" i="3" s="1"/>
  <c r="D8314" i="3" s="1"/>
  <c r="D8338" i="3" s="1"/>
  <c r="D8362" i="3" s="1"/>
  <c r="D8386" i="3" s="1"/>
  <c r="D8410" i="3" s="1"/>
  <c r="D8434" i="3" s="1"/>
  <c r="D8458" i="3" s="1"/>
  <c r="D8482" i="3" s="1"/>
  <c r="D8506" i="3" s="1"/>
  <c r="D8530" i="3" s="1"/>
  <c r="D8554" i="3" s="1"/>
  <c r="D8578" i="3" s="1"/>
  <c r="D8602" i="3" s="1"/>
  <c r="D8626" i="3" s="1"/>
  <c r="D8650" i="3" s="1"/>
  <c r="D8674" i="3" s="1"/>
  <c r="D8698" i="3" s="1"/>
  <c r="D8722" i="3" s="1"/>
  <c r="D8746" i="3" s="1"/>
  <c r="D8770" i="3" s="1"/>
  <c r="D8794" i="3" s="1"/>
  <c r="D8818" i="3" s="1"/>
  <c r="D8842" i="3" s="1"/>
  <c r="D8866" i="3" s="1"/>
  <c r="D8890" i="3" s="1"/>
  <c r="D8914" i="3" s="1"/>
  <c r="D8938" i="3" s="1"/>
  <c r="D8962" i="3" s="1"/>
  <c r="D8986" i="3" s="1"/>
  <c r="D9010" i="3" s="1"/>
  <c r="D9034" i="3" s="1"/>
  <c r="D9058" i="3" s="1"/>
  <c r="D9082" i="3" s="1"/>
  <c r="D9106" i="3" s="1"/>
  <c r="D9130" i="3" s="1"/>
  <c r="D9154" i="3" s="1"/>
  <c r="D9178" i="3" s="1"/>
  <c r="D9202" i="3" s="1"/>
  <c r="D9226" i="3" s="1"/>
  <c r="D9250" i="3" s="1"/>
  <c r="D9274" i="3" s="1"/>
  <c r="D9298" i="3" s="1"/>
  <c r="D9322" i="3" s="1"/>
  <c r="D9346" i="3" s="1"/>
  <c r="D9370" i="3" s="1"/>
  <c r="D9394" i="3" s="1"/>
  <c r="D9418" i="3" s="1"/>
  <c r="D9442" i="3" s="1"/>
  <c r="D9466" i="3" s="1"/>
  <c r="D9490" i="3" s="1"/>
  <c r="D9514" i="3" s="1"/>
  <c r="D9538" i="3" s="1"/>
  <c r="D9562" i="3" s="1"/>
  <c r="D9586" i="3" s="1"/>
  <c r="D9610" i="3" s="1"/>
  <c r="D9634" i="3" s="1"/>
  <c r="D9658" i="3" s="1"/>
  <c r="D9682" i="3" s="1"/>
  <c r="D9706" i="3" s="1"/>
  <c r="D9730" i="3" s="1"/>
  <c r="D9754" i="3" s="1"/>
  <c r="D9778" i="3" s="1"/>
  <c r="D9802" i="3" s="1"/>
  <c r="D9826" i="3" s="1"/>
  <c r="D9850" i="3" s="1"/>
  <c r="D9874" i="3" s="1"/>
  <c r="D9898" i="3" s="1"/>
  <c r="D9922" i="3" s="1"/>
  <c r="D9946" i="3" s="1"/>
  <c r="D9970" i="3" s="1"/>
  <c r="D9994" i="3" s="1"/>
  <c r="D10018" i="3" s="1"/>
  <c r="D10042" i="3" s="1"/>
  <c r="D10066" i="3" s="1"/>
  <c r="D10090" i="3" s="1"/>
  <c r="D10114" i="3" s="1"/>
  <c r="D10138" i="3" s="1"/>
  <c r="D10162" i="3" s="1"/>
  <c r="D10186" i="3" s="1"/>
  <c r="D10210" i="3" s="1"/>
  <c r="D10234" i="3" s="1"/>
  <c r="D10258" i="3" s="1"/>
  <c r="D10282" i="3" s="1"/>
  <c r="D10306" i="3" s="1"/>
  <c r="D10330" i="3" s="1"/>
  <c r="D10354" i="3" s="1"/>
  <c r="D10378" i="3" s="1"/>
  <c r="D10402" i="3" s="1"/>
  <c r="D10426" i="3" s="1"/>
  <c r="D10450" i="3" s="1"/>
  <c r="D10474" i="3" s="1"/>
  <c r="D10498" i="3" s="1"/>
  <c r="D10522" i="3" s="1"/>
  <c r="D10546" i="3" s="1"/>
  <c r="D10570" i="3" s="1"/>
  <c r="D10594" i="3" s="1"/>
  <c r="D10618" i="3" s="1"/>
  <c r="D10642" i="3" s="1"/>
  <c r="D10666" i="3" s="1"/>
  <c r="D10690" i="3" s="1"/>
  <c r="D10714" i="3" s="1"/>
  <c r="D10738" i="3" s="1"/>
  <c r="D10762" i="3" s="1"/>
  <c r="D10786" i="3" s="1"/>
  <c r="D10810" i="3" s="1"/>
  <c r="D10834" i="3" s="1"/>
  <c r="D10858" i="3" s="1"/>
  <c r="D10882" i="3" s="1"/>
  <c r="D10906" i="3" s="1"/>
  <c r="D10930" i="3" s="1"/>
  <c r="D10954" i="3" s="1"/>
  <c r="D10978" i="3" s="1"/>
  <c r="D4065" i="3"/>
  <c r="D4089" i="3" s="1"/>
  <c r="D4113" i="3" s="1"/>
  <c r="D4137" i="3" s="1"/>
  <c r="D4161" i="3" s="1"/>
  <c r="D4185" i="3" s="1"/>
  <c r="D4209" i="3" s="1"/>
  <c r="D4233" i="3" s="1"/>
  <c r="D4257" i="3" s="1"/>
  <c r="D4281" i="3" s="1"/>
  <c r="D4305" i="3" s="1"/>
  <c r="D4329" i="3" s="1"/>
  <c r="D4353" i="3" s="1"/>
  <c r="D4377" i="3" s="1"/>
  <c r="D4401" i="3" s="1"/>
  <c r="D4425" i="3" s="1"/>
  <c r="D4449" i="3" s="1"/>
  <c r="D4473" i="3" s="1"/>
  <c r="D4497" i="3" s="1"/>
  <c r="D4521" i="3" s="1"/>
  <c r="D4545" i="3" s="1"/>
  <c r="D4569" i="3" s="1"/>
  <c r="D4593" i="3" s="1"/>
  <c r="D4617" i="3" s="1"/>
  <c r="D4641" i="3" s="1"/>
  <c r="D4665" i="3" s="1"/>
  <c r="D4689" i="3" s="1"/>
  <c r="D4713" i="3" s="1"/>
  <c r="D4737" i="3" s="1"/>
  <c r="D4761" i="3" s="1"/>
  <c r="D4785" i="3" s="1"/>
  <c r="D4809" i="3" s="1"/>
  <c r="D4833" i="3" s="1"/>
  <c r="D4857" i="3" s="1"/>
  <c r="D4881" i="3" s="1"/>
  <c r="D4905" i="3" s="1"/>
  <c r="D4929" i="3" s="1"/>
  <c r="D4953" i="3" s="1"/>
  <c r="D4977" i="3" s="1"/>
  <c r="D5001" i="3" s="1"/>
  <c r="D5025" i="3" s="1"/>
  <c r="D5049" i="3" s="1"/>
  <c r="D5073" i="3" s="1"/>
  <c r="D5097" i="3" s="1"/>
  <c r="D5121" i="3" s="1"/>
  <c r="D5145" i="3" s="1"/>
  <c r="D5169" i="3" s="1"/>
  <c r="D5193" i="3" s="1"/>
  <c r="D5217" i="3" s="1"/>
  <c r="D5241" i="3" s="1"/>
  <c r="D5265" i="3" s="1"/>
  <c r="D5289" i="3" s="1"/>
  <c r="D5313" i="3" s="1"/>
  <c r="D5337" i="3" s="1"/>
  <c r="D5361" i="3" s="1"/>
  <c r="D5385" i="3" s="1"/>
  <c r="D5409" i="3" s="1"/>
  <c r="D5433" i="3" s="1"/>
  <c r="D5457" i="3" s="1"/>
  <c r="D5481" i="3" s="1"/>
  <c r="D5505" i="3" s="1"/>
  <c r="D5529" i="3" s="1"/>
  <c r="D5553" i="3" s="1"/>
  <c r="D5577" i="3" s="1"/>
  <c r="D5601" i="3" s="1"/>
  <c r="D5625" i="3" s="1"/>
  <c r="D5649" i="3" s="1"/>
  <c r="D5673" i="3" s="1"/>
  <c r="D5697" i="3" s="1"/>
  <c r="D5721" i="3" s="1"/>
  <c r="D5745" i="3" s="1"/>
  <c r="D5769" i="3" s="1"/>
  <c r="D5793" i="3" s="1"/>
  <c r="D5817" i="3" s="1"/>
  <c r="D5841" i="3" s="1"/>
  <c r="D5865" i="3" s="1"/>
  <c r="D5889" i="3" s="1"/>
  <c r="D5913" i="3" s="1"/>
  <c r="D5937" i="3" s="1"/>
  <c r="D5961" i="3" s="1"/>
  <c r="D5985" i="3" s="1"/>
  <c r="D6009" i="3" s="1"/>
  <c r="D6033" i="3" s="1"/>
  <c r="D6057" i="3" s="1"/>
  <c r="D6081" i="3" s="1"/>
  <c r="D6105" i="3" s="1"/>
  <c r="D6129" i="3" s="1"/>
  <c r="D6153" i="3" s="1"/>
  <c r="D6177" i="3" s="1"/>
  <c r="D6201" i="3" s="1"/>
  <c r="D6225" i="3" s="1"/>
  <c r="D6249" i="3" s="1"/>
  <c r="D6273" i="3" s="1"/>
  <c r="D6297" i="3" s="1"/>
  <c r="D6321" i="3" s="1"/>
  <c r="D6345" i="3" s="1"/>
  <c r="D6369" i="3" s="1"/>
  <c r="D6393" i="3" s="1"/>
  <c r="D6417" i="3" s="1"/>
  <c r="D6441" i="3" s="1"/>
  <c r="D6465" i="3" s="1"/>
  <c r="D6489" i="3" s="1"/>
  <c r="D6513" i="3" s="1"/>
  <c r="D6537" i="3" s="1"/>
  <c r="D6561" i="3" s="1"/>
  <c r="D6585" i="3" s="1"/>
  <c r="D6609" i="3" s="1"/>
  <c r="D6633" i="3" s="1"/>
  <c r="D6657" i="3" s="1"/>
  <c r="D6681" i="3" s="1"/>
  <c r="D6705" i="3" s="1"/>
  <c r="D6729" i="3" s="1"/>
  <c r="D6753" i="3" s="1"/>
  <c r="D6777" i="3" s="1"/>
  <c r="D6801" i="3" s="1"/>
  <c r="D6825" i="3" s="1"/>
  <c r="D6849" i="3" s="1"/>
  <c r="D6873" i="3" s="1"/>
  <c r="D6897" i="3" s="1"/>
  <c r="D6921" i="3" s="1"/>
  <c r="D6945" i="3" s="1"/>
  <c r="D6969" i="3" s="1"/>
  <c r="D6993" i="3" s="1"/>
  <c r="D7017" i="3" s="1"/>
  <c r="D7041" i="3" s="1"/>
  <c r="D7065" i="3" s="1"/>
  <c r="D7089" i="3" s="1"/>
  <c r="D7113" i="3" s="1"/>
  <c r="D7137" i="3" s="1"/>
  <c r="D7161" i="3" s="1"/>
  <c r="D7185" i="3" s="1"/>
  <c r="D7209" i="3" s="1"/>
  <c r="D7233" i="3" s="1"/>
  <c r="D7257" i="3" s="1"/>
  <c r="D7281" i="3" s="1"/>
  <c r="D7305" i="3" s="1"/>
  <c r="D7329" i="3" s="1"/>
  <c r="D7353" i="3" s="1"/>
  <c r="D7377" i="3" s="1"/>
  <c r="D7401" i="3" s="1"/>
  <c r="D7425" i="3" s="1"/>
  <c r="D7449" i="3" s="1"/>
  <c r="D7473" i="3" s="1"/>
  <c r="D7497" i="3" s="1"/>
  <c r="D7521" i="3" s="1"/>
  <c r="D7545" i="3" s="1"/>
  <c r="D7569" i="3" s="1"/>
  <c r="D7593" i="3" s="1"/>
  <c r="D7617" i="3" s="1"/>
  <c r="D7641" i="3" s="1"/>
  <c r="D7665" i="3" s="1"/>
  <c r="D7689" i="3" s="1"/>
  <c r="D7713" i="3" s="1"/>
  <c r="D7737" i="3" s="1"/>
  <c r="D7761" i="3" s="1"/>
  <c r="D7785" i="3" s="1"/>
  <c r="D7809" i="3" s="1"/>
  <c r="D7833" i="3" s="1"/>
  <c r="D7857" i="3" s="1"/>
  <c r="D7881" i="3" s="1"/>
  <c r="D7905" i="3" s="1"/>
  <c r="D7929" i="3" s="1"/>
  <c r="D7953" i="3" s="1"/>
  <c r="D7977" i="3" s="1"/>
  <c r="D8001" i="3" s="1"/>
  <c r="D8025" i="3" s="1"/>
  <c r="D8049" i="3" s="1"/>
  <c r="D8073" i="3" s="1"/>
  <c r="D8097" i="3" s="1"/>
  <c r="D8121" i="3" s="1"/>
  <c r="D8145" i="3" s="1"/>
  <c r="D8169" i="3" s="1"/>
  <c r="D8193" i="3" s="1"/>
  <c r="D8217" i="3" s="1"/>
  <c r="D8241" i="3" s="1"/>
  <c r="D8265" i="3" s="1"/>
  <c r="D8289" i="3" s="1"/>
  <c r="D8313" i="3" s="1"/>
  <c r="D8337" i="3" s="1"/>
  <c r="D8361" i="3" s="1"/>
  <c r="D8385" i="3" s="1"/>
  <c r="D8409" i="3" s="1"/>
  <c r="D8433" i="3" s="1"/>
  <c r="D8457" i="3" s="1"/>
  <c r="D8481" i="3" s="1"/>
  <c r="D8505" i="3" s="1"/>
  <c r="D8529" i="3" s="1"/>
  <c r="D8553" i="3" s="1"/>
  <c r="D8577" i="3" s="1"/>
  <c r="D8601" i="3" s="1"/>
  <c r="D8625" i="3" s="1"/>
  <c r="D8649" i="3" s="1"/>
  <c r="D8673" i="3" s="1"/>
  <c r="D8697" i="3" s="1"/>
  <c r="D8721" i="3" s="1"/>
  <c r="D8745" i="3" s="1"/>
  <c r="D8769" i="3" s="1"/>
  <c r="D8793" i="3" s="1"/>
  <c r="D8817" i="3" s="1"/>
  <c r="D8841" i="3" s="1"/>
  <c r="D8865" i="3" s="1"/>
  <c r="D8889" i="3" s="1"/>
  <c r="D8913" i="3" s="1"/>
  <c r="D8937" i="3" s="1"/>
  <c r="D8961" i="3" s="1"/>
  <c r="D8985" i="3" s="1"/>
  <c r="D9009" i="3" s="1"/>
  <c r="D9033" i="3" s="1"/>
  <c r="D9057" i="3" s="1"/>
  <c r="D9081" i="3" s="1"/>
  <c r="D9105" i="3" s="1"/>
  <c r="D9129" i="3" s="1"/>
  <c r="D9153" i="3" s="1"/>
  <c r="D9177" i="3" s="1"/>
  <c r="D9201" i="3" s="1"/>
  <c r="D9225" i="3" s="1"/>
  <c r="D9249" i="3" s="1"/>
  <c r="D9273" i="3" s="1"/>
  <c r="D9297" i="3" s="1"/>
  <c r="D9321" i="3" s="1"/>
  <c r="D9345" i="3" s="1"/>
  <c r="D9369" i="3" s="1"/>
  <c r="D9393" i="3" s="1"/>
  <c r="D9417" i="3" s="1"/>
  <c r="D9441" i="3" s="1"/>
  <c r="D9465" i="3" s="1"/>
  <c r="D9489" i="3" s="1"/>
  <c r="D9513" i="3" s="1"/>
  <c r="D9537" i="3" s="1"/>
  <c r="D9561" i="3" s="1"/>
  <c r="D9585" i="3" s="1"/>
  <c r="D9609" i="3" s="1"/>
  <c r="D9633" i="3" s="1"/>
  <c r="D9657" i="3" s="1"/>
  <c r="D9681" i="3" s="1"/>
  <c r="D9705" i="3" s="1"/>
  <c r="D9729" i="3" s="1"/>
  <c r="D9753" i="3" s="1"/>
  <c r="D9777" i="3" s="1"/>
  <c r="D9801" i="3" s="1"/>
  <c r="D9825" i="3" s="1"/>
  <c r="D9849" i="3" s="1"/>
  <c r="D9873" i="3" s="1"/>
  <c r="D9897" i="3" s="1"/>
  <c r="D9921" i="3" s="1"/>
  <c r="D9945" i="3" s="1"/>
  <c r="D9969" i="3" s="1"/>
  <c r="D9993" i="3" s="1"/>
  <c r="D10017" i="3" s="1"/>
  <c r="D10041" i="3" s="1"/>
  <c r="D10065" i="3" s="1"/>
  <c r="D10089" i="3" s="1"/>
  <c r="D10113" i="3" s="1"/>
  <c r="D10137" i="3" s="1"/>
  <c r="D10161" i="3" s="1"/>
  <c r="D10185" i="3" s="1"/>
  <c r="D10209" i="3" s="1"/>
  <c r="D10233" i="3" s="1"/>
  <c r="D10257" i="3" s="1"/>
  <c r="D10281" i="3" s="1"/>
  <c r="D10305" i="3" s="1"/>
  <c r="D10329" i="3" s="1"/>
  <c r="D10353" i="3" s="1"/>
  <c r="D10377" i="3" s="1"/>
  <c r="D10401" i="3" s="1"/>
  <c r="D10425" i="3" s="1"/>
  <c r="D10449" i="3" s="1"/>
  <c r="D10473" i="3" s="1"/>
  <c r="D10497" i="3" s="1"/>
  <c r="D10521" i="3" s="1"/>
  <c r="D10545" i="3" s="1"/>
  <c r="D10569" i="3" s="1"/>
  <c r="D10593" i="3" s="1"/>
  <c r="D10617" i="3" s="1"/>
  <c r="D10641" i="3" s="1"/>
  <c r="D10665" i="3" s="1"/>
  <c r="D10689" i="3" s="1"/>
  <c r="D10713" i="3" s="1"/>
  <c r="D10737" i="3" s="1"/>
  <c r="D10761" i="3" s="1"/>
  <c r="D10785" i="3" s="1"/>
  <c r="D10809" i="3" s="1"/>
  <c r="D10833" i="3" s="1"/>
  <c r="D10857" i="3" s="1"/>
  <c r="D10881" i="3" s="1"/>
  <c r="D10905" i="3" s="1"/>
  <c r="D10929" i="3" s="1"/>
  <c r="D10953" i="3" s="1"/>
  <c r="D10977" i="3" s="1"/>
  <c r="D4064" i="3"/>
  <c r="D4088" i="3" s="1"/>
  <c r="D4112" i="3" s="1"/>
  <c r="D4136" i="3" s="1"/>
  <c r="D4160" i="3" s="1"/>
  <c r="D4184" i="3" s="1"/>
  <c r="D4208" i="3" s="1"/>
  <c r="D4232" i="3" s="1"/>
  <c r="D4256" i="3" s="1"/>
  <c r="D4280" i="3" s="1"/>
  <c r="D4304" i="3" s="1"/>
  <c r="D4328" i="3" s="1"/>
  <c r="D4352" i="3" s="1"/>
  <c r="D4376" i="3" s="1"/>
  <c r="D4400" i="3" s="1"/>
  <c r="D4424" i="3" s="1"/>
  <c r="D4448" i="3" s="1"/>
  <c r="D4472" i="3" s="1"/>
  <c r="D4496" i="3" s="1"/>
  <c r="D4520" i="3" s="1"/>
  <c r="D4544" i="3" s="1"/>
  <c r="D4568" i="3" s="1"/>
  <c r="D4592" i="3" s="1"/>
  <c r="D4616" i="3" s="1"/>
  <c r="D4640" i="3" s="1"/>
  <c r="D4664" i="3" s="1"/>
  <c r="D4688" i="3" s="1"/>
  <c r="D4712" i="3" s="1"/>
  <c r="D4736" i="3" s="1"/>
  <c r="D4760" i="3" s="1"/>
  <c r="D4784" i="3" s="1"/>
  <c r="D4808" i="3" s="1"/>
  <c r="D4832" i="3" s="1"/>
  <c r="D4856" i="3" s="1"/>
  <c r="D4880" i="3" s="1"/>
  <c r="D4904" i="3" s="1"/>
  <c r="D4928" i="3" s="1"/>
  <c r="D4952" i="3" s="1"/>
  <c r="D4976" i="3" s="1"/>
  <c r="D5000" i="3" s="1"/>
  <c r="D5024" i="3" s="1"/>
  <c r="D5048" i="3" s="1"/>
  <c r="D5072" i="3" s="1"/>
  <c r="D5096" i="3" s="1"/>
  <c r="D5120" i="3" s="1"/>
  <c r="D5144" i="3" s="1"/>
  <c r="D5168" i="3" s="1"/>
  <c r="D5192" i="3" s="1"/>
  <c r="D5216" i="3" s="1"/>
  <c r="D5240" i="3" s="1"/>
  <c r="D5264" i="3" s="1"/>
  <c r="D5288" i="3" s="1"/>
  <c r="D5312" i="3" s="1"/>
  <c r="D5336" i="3" s="1"/>
  <c r="D5360" i="3" s="1"/>
  <c r="D5384" i="3" s="1"/>
  <c r="D5408" i="3" s="1"/>
  <c r="D5432" i="3" s="1"/>
  <c r="D5456" i="3" s="1"/>
  <c r="D5480" i="3" s="1"/>
  <c r="D5504" i="3" s="1"/>
  <c r="D5528" i="3" s="1"/>
  <c r="D5552" i="3" s="1"/>
  <c r="D5576" i="3" s="1"/>
  <c r="D5600" i="3" s="1"/>
  <c r="D5624" i="3" s="1"/>
  <c r="D5648" i="3" s="1"/>
  <c r="D5672" i="3" s="1"/>
  <c r="D5696" i="3" s="1"/>
  <c r="D5720" i="3" s="1"/>
  <c r="D5744" i="3" s="1"/>
  <c r="D5768" i="3" s="1"/>
  <c r="D5792" i="3" s="1"/>
  <c r="D5816" i="3" s="1"/>
  <c r="D5840" i="3" s="1"/>
  <c r="D5864" i="3" s="1"/>
  <c r="D5888" i="3" s="1"/>
  <c r="D5912" i="3" s="1"/>
  <c r="D5936" i="3" s="1"/>
  <c r="D5960" i="3" s="1"/>
  <c r="D5984" i="3" s="1"/>
  <c r="D6008" i="3" s="1"/>
  <c r="D6032" i="3" s="1"/>
  <c r="D6056" i="3" s="1"/>
  <c r="D6080" i="3" s="1"/>
  <c r="D6104" i="3" s="1"/>
  <c r="D6128" i="3" s="1"/>
  <c r="D6152" i="3" s="1"/>
  <c r="D6176" i="3" s="1"/>
  <c r="D6200" i="3" s="1"/>
  <c r="D6224" i="3" s="1"/>
  <c r="D6248" i="3" s="1"/>
  <c r="D6272" i="3" s="1"/>
  <c r="D6296" i="3" s="1"/>
  <c r="D6320" i="3" s="1"/>
  <c r="D6344" i="3" s="1"/>
  <c r="D6368" i="3" s="1"/>
  <c r="D6392" i="3" s="1"/>
  <c r="D6416" i="3" s="1"/>
  <c r="D6440" i="3" s="1"/>
  <c r="D6464" i="3" s="1"/>
  <c r="D6488" i="3" s="1"/>
  <c r="D6512" i="3" s="1"/>
  <c r="D6536" i="3" s="1"/>
  <c r="D6560" i="3" s="1"/>
  <c r="D6584" i="3" s="1"/>
  <c r="D6608" i="3" s="1"/>
  <c r="D6632" i="3" s="1"/>
  <c r="D6656" i="3" s="1"/>
  <c r="D6680" i="3" s="1"/>
  <c r="D6704" i="3" s="1"/>
  <c r="D6728" i="3" s="1"/>
  <c r="D6752" i="3" s="1"/>
  <c r="D6776" i="3" s="1"/>
  <c r="D6800" i="3" s="1"/>
  <c r="D6824" i="3" s="1"/>
  <c r="D6848" i="3" s="1"/>
  <c r="D6872" i="3" s="1"/>
  <c r="D6896" i="3" s="1"/>
  <c r="D6920" i="3" s="1"/>
  <c r="D6944" i="3" s="1"/>
  <c r="D6968" i="3" s="1"/>
  <c r="D6992" i="3" s="1"/>
  <c r="D7016" i="3" s="1"/>
  <c r="D7040" i="3" s="1"/>
  <c r="D7064" i="3" s="1"/>
  <c r="D7088" i="3" s="1"/>
  <c r="D7112" i="3" s="1"/>
  <c r="D7136" i="3" s="1"/>
  <c r="D7160" i="3" s="1"/>
  <c r="D7184" i="3" s="1"/>
  <c r="D7208" i="3" s="1"/>
  <c r="D7232" i="3" s="1"/>
  <c r="D7256" i="3" s="1"/>
  <c r="D7280" i="3" s="1"/>
  <c r="D7304" i="3" s="1"/>
  <c r="D7328" i="3" s="1"/>
  <c r="D7352" i="3" s="1"/>
  <c r="D7376" i="3" s="1"/>
  <c r="D7400" i="3" s="1"/>
  <c r="D7424" i="3" s="1"/>
  <c r="D7448" i="3" s="1"/>
  <c r="D7472" i="3" s="1"/>
  <c r="D7496" i="3" s="1"/>
  <c r="D7520" i="3" s="1"/>
  <c r="D7544" i="3" s="1"/>
  <c r="D7568" i="3" s="1"/>
  <c r="D7592" i="3" s="1"/>
  <c r="D7616" i="3" s="1"/>
  <c r="D7640" i="3" s="1"/>
  <c r="D7664" i="3" s="1"/>
  <c r="D7688" i="3" s="1"/>
  <c r="D7711" i="3" s="1"/>
  <c r="D7735" i="3" s="1"/>
  <c r="D7759" i="3" s="1"/>
  <c r="D7783" i="3" s="1"/>
  <c r="D7807" i="3" s="1"/>
  <c r="D7831" i="3" s="1"/>
  <c r="D7855" i="3" s="1"/>
  <c r="D7879" i="3" s="1"/>
  <c r="D7903" i="3" s="1"/>
  <c r="D7927" i="3" s="1"/>
  <c r="D7951" i="3" s="1"/>
  <c r="D7975" i="3" s="1"/>
  <c r="D7999" i="3" s="1"/>
  <c r="D8023" i="3" s="1"/>
  <c r="D8047" i="3" s="1"/>
  <c r="D8071" i="3" s="1"/>
  <c r="D8095" i="3" s="1"/>
  <c r="D8119" i="3" s="1"/>
  <c r="D8143" i="3" s="1"/>
  <c r="D8167" i="3" s="1"/>
  <c r="D8191" i="3" s="1"/>
  <c r="D8215" i="3" s="1"/>
  <c r="D8239" i="3" s="1"/>
  <c r="D8263" i="3" s="1"/>
  <c r="D8287" i="3" s="1"/>
  <c r="D8311" i="3" s="1"/>
  <c r="D8335" i="3" s="1"/>
  <c r="D8359" i="3" s="1"/>
  <c r="D8383" i="3" s="1"/>
  <c r="D8407" i="3" s="1"/>
  <c r="D8431" i="3" s="1"/>
  <c r="D8455" i="3" s="1"/>
  <c r="D8479" i="3" s="1"/>
  <c r="D8503" i="3" s="1"/>
  <c r="D8527" i="3" s="1"/>
  <c r="D8551" i="3" s="1"/>
  <c r="D8575" i="3" s="1"/>
  <c r="D8599" i="3" s="1"/>
  <c r="D8623" i="3" s="1"/>
  <c r="D8647" i="3" s="1"/>
  <c r="D8671" i="3" s="1"/>
  <c r="D8695" i="3" s="1"/>
  <c r="D8719" i="3" s="1"/>
  <c r="D8743" i="3" s="1"/>
  <c r="D8767" i="3" s="1"/>
  <c r="D8791" i="3" s="1"/>
  <c r="D8815" i="3" s="1"/>
  <c r="D8839" i="3" s="1"/>
  <c r="D8863" i="3" s="1"/>
  <c r="D8887" i="3" s="1"/>
  <c r="D8911" i="3" s="1"/>
  <c r="D8935" i="3" s="1"/>
  <c r="D8959" i="3" s="1"/>
  <c r="D8983" i="3" s="1"/>
  <c r="D9007" i="3" s="1"/>
  <c r="D9031" i="3" s="1"/>
  <c r="D9055" i="3" s="1"/>
  <c r="D9079" i="3" s="1"/>
  <c r="D9103" i="3" s="1"/>
  <c r="D9127" i="3" s="1"/>
  <c r="D9151" i="3" s="1"/>
  <c r="D9175" i="3" s="1"/>
  <c r="D9199" i="3" s="1"/>
  <c r="D9223" i="3" s="1"/>
  <c r="D9247" i="3" s="1"/>
  <c r="D9271" i="3" s="1"/>
  <c r="D9295" i="3" s="1"/>
  <c r="D9319" i="3" s="1"/>
  <c r="D9343" i="3" s="1"/>
  <c r="D9367" i="3" s="1"/>
  <c r="D9391" i="3" s="1"/>
  <c r="D9415" i="3" s="1"/>
  <c r="D9439" i="3" s="1"/>
  <c r="D9463" i="3" s="1"/>
  <c r="D9487" i="3" s="1"/>
  <c r="D9511" i="3" s="1"/>
  <c r="D9535" i="3" s="1"/>
  <c r="D9559" i="3" s="1"/>
  <c r="D9583" i="3" s="1"/>
  <c r="D9607" i="3" s="1"/>
  <c r="D9631" i="3" s="1"/>
  <c r="D9655" i="3" s="1"/>
  <c r="D9679" i="3" s="1"/>
  <c r="D9703" i="3" s="1"/>
  <c r="D9727" i="3" s="1"/>
  <c r="D9751" i="3" s="1"/>
  <c r="D9775" i="3" s="1"/>
  <c r="D9799" i="3" s="1"/>
  <c r="D9823" i="3" s="1"/>
  <c r="D9847" i="3" s="1"/>
  <c r="D9871" i="3" s="1"/>
  <c r="D9895" i="3" s="1"/>
  <c r="D9919" i="3" s="1"/>
  <c r="D9943" i="3" s="1"/>
  <c r="D9967" i="3" s="1"/>
  <c r="D9991" i="3" s="1"/>
  <c r="D10015" i="3" s="1"/>
  <c r="D10039" i="3" s="1"/>
  <c r="D10063" i="3" s="1"/>
  <c r="D10087" i="3" s="1"/>
  <c r="D10111" i="3" s="1"/>
  <c r="D10135" i="3" s="1"/>
  <c r="D10159" i="3" s="1"/>
  <c r="D10183" i="3" s="1"/>
  <c r="D10207" i="3" s="1"/>
  <c r="D10231" i="3" s="1"/>
  <c r="D10255" i="3" s="1"/>
  <c r="D10279" i="3" s="1"/>
  <c r="D10303" i="3" s="1"/>
  <c r="D10327" i="3" s="1"/>
  <c r="D10351" i="3" s="1"/>
  <c r="D10375" i="3" s="1"/>
  <c r="D10399" i="3" s="1"/>
  <c r="D10423" i="3" s="1"/>
  <c r="D10447" i="3" s="1"/>
  <c r="D10471" i="3" s="1"/>
  <c r="D10495" i="3" s="1"/>
  <c r="D10519" i="3" s="1"/>
  <c r="D10543" i="3" s="1"/>
  <c r="D10567" i="3" s="1"/>
  <c r="D10591" i="3" s="1"/>
  <c r="D10615" i="3" s="1"/>
  <c r="D10639" i="3" s="1"/>
  <c r="D10663" i="3" s="1"/>
  <c r="D10687" i="3" s="1"/>
  <c r="D10711" i="3" s="1"/>
  <c r="D10735" i="3" s="1"/>
  <c r="D10759" i="3" s="1"/>
  <c r="D10783" i="3" s="1"/>
  <c r="D10807" i="3" s="1"/>
  <c r="D10831" i="3" s="1"/>
  <c r="D10855" i="3" s="1"/>
  <c r="D10879" i="3" s="1"/>
  <c r="D10903" i="3" s="1"/>
  <c r="D10927" i="3" s="1"/>
  <c r="D10951" i="3" s="1"/>
  <c r="D10975" i="3" s="1"/>
  <c r="D4063" i="3"/>
  <c r="D4087" i="3" s="1"/>
  <c r="D4111" i="3" s="1"/>
  <c r="D4135" i="3" s="1"/>
  <c r="D4159" i="3" s="1"/>
  <c r="D4183" i="3" s="1"/>
  <c r="D4207" i="3" s="1"/>
  <c r="D4231" i="3" s="1"/>
  <c r="D4255" i="3" s="1"/>
  <c r="D4279" i="3" s="1"/>
  <c r="D4303" i="3" s="1"/>
  <c r="D4327" i="3" s="1"/>
  <c r="D4351" i="3" s="1"/>
  <c r="D4375" i="3" s="1"/>
  <c r="D4399" i="3" s="1"/>
  <c r="D4423" i="3" s="1"/>
  <c r="D4447" i="3" s="1"/>
  <c r="D4471" i="3" s="1"/>
  <c r="D4495" i="3" s="1"/>
  <c r="D4519" i="3" s="1"/>
  <c r="D4543" i="3" s="1"/>
  <c r="D4567" i="3" s="1"/>
  <c r="D4591" i="3" s="1"/>
  <c r="D4615" i="3" s="1"/>
  <c r="D4639" i="3" s="1"/>
  <c r="D4663" i="3" s="1"/>
  <c r="D4687" i="3" s="1"/>
  <c r="D4711" i="3" s="1"/>
  <c r="D4735" i="3" s="1"/>
  <c r="D4759" i="3" s="1"/>
  <c r="D4783" i="3" s="1"/>
  <c r="D4807" i="3" s="1"/>
  <c r="D4831" i="3" s="1"/>
  <c r="D4855" i="3" s="1"/>
  <c r="D4879" i="3" s="1"/>
  <c r="D4903" i="3" s="1"/>
  <c r="D4927" i="3" s="1"/>
  <c r="D4951" i="3" s="1"/>
  <c r="D4975" i="3" s="1"/>
  <c r="D4999" i="3" s="1"/>
  <c r="D5023" i="3" s="1"/>
  <c r="D5047" i="3" s="1"/>
  <c r="D5071" i="3" s="1"/>
  <c r="D5095" i="3" s="1"/>
  <c r="D5119" i="3" s="1"/>
  <c r="D5143" i="3" s="1"/>
  <c r="D5167" i="3" s="1"/>
  <c r="D5191" i="3" s="1"/>
  <c r="D5215" i="3" s="1"/>
  <c r="D5239" i="3" s="1"/>
  <c r="D5263" i="3" s="1"/>
  <c r="D5287" i="3" s="1"/>
  <c r="D5311" i="3" s="1"/>
  <c r="D5335" i="3" s="1"/>
  <c r="D5359" i="3" s="1"/>
  <c r="D5383" i="3" s="1"/>
  <c r="D5407" i="3" s="1"/>
  <c r="D5431" i="3" s="1"/>
  <c r="D5455" i="3" s="1"/>
  <c r="D5479" i="3" s="1"/>
  <c r="D5503" i="3" s="1"/>
  <c r="D5527" i="3" s="1"/>
  <c r="D5551" i="3" s="1"/>
  <c r="D5575" i="3" s="1"/>
  <c r="D5599" i="3" s="1"/>
  <c r="D5623" i="3" s="1"/>
  <c r="D5647" i="3" s="1"/>
  <c r="D5671" i="3" s="1"/>
  <c r="D5695" i="3" s="1"/>
  <c r="D5719" i="3" s="1"/>
  <c r="D5743" i="3" s="1"/>
  <c r="D5767" i="3" s="1"/>
  <c r="D5791" i="3" s="1"/>
  <c r="D5815" i="3" s="1"/>
  <c r="D5839" i="3" s="1"/>
  <c r="D5863" i="3" s="1"/>
  <c r="D5887" i="3" s="1"/>
  <c r="D5911" i="3" s="1"/>
  <c r="D5935" i="3" s="1"/>
  <c r="D5959" i="3" s="1"/>
  <c r="D5983" i="3" s="1"/>
  <c r="D6007" i="3" s="1"/>
  <c r="D6031" i="3" s="1"/>
  <c r="D6055" i="3" s="1"/>
  <c r="D6079" i="3" s="1"/>
  <c r="D6103" i="3" s="1"/>
  <c r="D6127" i="3" s="1"/>
  <c r="D6151" i="3" s="1"/>
  <c r="D6175" i="3" s="1"/>
  <c r="D6199" i="3" s="1"/>
  <c r="D6223" i="3" s="1"/>
  <c r="D6247" i="3" s="1"/>
  <c r="D6271" i="3" s="1"/>
  <c r="D6295" i="3" s="1"/>
  <c r="D6319" i="3" s="1"/>
  <c r="D6343" i="3" s="1"/>
  <c r="D6367" i="3" s="1"/>
  <c r="D6391" i="3" s="1"/>
  <c r="D6415" i="3" s="1"/>
  <c r="D6439" i="3" s="1"/>
  <c r="D6463" i="3" s="1"/>
  <c r="D6487" i="3" s="1"/>
  <c r="D6511" i="3" s="1"/>
  <c r="D6535" i="3" s="1"/>
  <c r="D6559" i="3" s="1"/>
  <c r="D6583" i="3" s="1"/>
  <c r="D6607" i="3" s="1"/>
  <c r="D6631" i="3" s="1"/>
  <c r="D6655" i="3" s="1"/>
  <c r="D6679" i="3" s="1"/>
  <c r="D6703" i="3" s="1"/>
  <c r="D6727" i="3" s="1"/>
  <c r="D6751" i="3" s="1"/>
  <c r="D6775" i="3" s="1"/>
  <c r="D6799" i="3" s="1"/>
  <c r="D6823" i="3" s="1"/>
  <c r="D6847" i="3" s="1"/>
  <c r="D6871" i="3" s="1"/>
  <c r="D6895" i="3" s="1"/>
  <c r="D6919" i="3" s="1"/>
  <c r="D6943" i="3" s="1"/>
  <c r="D6967" i="3" s="1"/>
  <c r="D6991" i="3" s="1"/>
  <c r="D7015" i="3" s="1"/>
  <c r="D4062" i="3"/>
  <c r="D4086" i="3" s="1"/>
  <c r="D4110" i="3" s="1"/>
  <c r="D4134" i="3" s="1"/>
  <c r="D4158" i="3" s="1"/>
  <c r="D4182" i="3" s="1"/>
  <c r="D4206" i="3" s="1"/>
  <c r="D4230" i="3" s="1"/>
  <c r="D4254" i="3" s="1"/>
  <c r="D4278" i="3" s="1"/>
  <c r="D4302" i="3" s="1"/>
  <c r="D4326" i="3" s="1"/>
  <c r="D4350" i="3" s="1"/>
  <c r="D4374" i="3" s="1"/>
  <c r="D4398" i="3" s="1"/>
  <c r="D4422" i="3" s="1"/>
  <c r="D4446" i="3" s="1"/>
  <c r="D4470" i="3" s="1"/>
  <c r="D4494" i="3" s="1"/>
  <c r="D4518" i="3" s="1"/>
  <c r="D4542" i="3" s="1"/>
  <c r="D4566" i="3" s="1"/>
  <c r="D4590" i="3" s="1"/>
  <c r="D4614" i="3" s="1"/>
  <c r="D4638" i="3" s="1"/>
  <c r="D4662" i="3" s="1"/>
  <c r="D4686" i="3" s="1"/>
  <c r="D4710" i="3" s="1"/>
  <c r="D4734" i="3" s="1"/>
  <c r="D4758" i="3" s="1"/>
  <c r="D4782" i="3" s="1"/>
  <c r="D4806" i="3" s="1"/>
  <c r="D4830" i="3" s="1"/>
  <c r="D4854" i="3" s="1"/>
  <c r="D4878" i="3" s="1"/>
  <c r="D4902" i="3" s="1"/>
  <c r="D4926" i="3" s="1"/>
  <c r="D4950" i="3" s="1"/>
  <c r="D4974" i="3" s="1"/>
  <c r="D4998" i="3" s="1"/>
  <c r="D5022" i="3" s="1"/>
  <c r="D5046" i="3" s="1"/>
  <c r="D5070" i="3" s="1"/>
  <c r="D5094" i="3" s="1"/>
  <c r="D5118" i="3" s="1"/>
  <c r="D5142" i="3" s="1"/>
  <c r="D5166" i="3" s="1"/>
  <c r="D5190" i="3" s="1"/>
  <c r="D5214" i="3" s="1"/>
  <c r="D5238" i="3" s="1"/>
  <c r="D5262" i="3" s="1"/>
  <c r="D5286" i="3" s="1"/>
  <c r="D5310" i="3" s="1"/>
  <c r="D5334" i="3" s="1"/>
  <c r="D5358" i="3" s="1"/>
  <c r="D5382" i="3" s="1"/>
  <c r="D5406" i="3" s="1"/>
  <c r="D5430" i="3" s="1"/>
  <c r="D5454" i="3" s="1"/>
  <c r="D5478" i="3" s="1"/>
  <c r="D5502" i="3" s="1"/>
  <c r="D5526" i="3" s="1"/>
  <c r="D5550" i="3" s="1"/>
  <c r="D5574" i="3" s="1"/>
  <c r="D5598" i="3" s="1"/>
  <c r="D5622" i="3" s="1"/>
  <c r="D5646" i="3" s="1"/>
  <c r="D5670" i="3" s="1"/>
  <c r="D5694" i="3" s="1"/>
  <c r="D5718" i="3" s="1"/>
  <c r="D5742" i="3" s="1"/>
  <c r="D5766" i="3" s="1"/>
  <c r="D5790" i="3" s="1"/>
  <c r="D5814" i="3" s="1"/>
  <c r="D5838" i="3" s="1"/>
  <c r="D5862" i="3" s="1"/>
  <c r="D5886" i="3" s="1"/>
  <c r="D5910" i="3" s="1"/>
  <c r="D5934" i="3" s="1"/>
  <c r="D5958" i="3" s="1"/>
  <c r="D5982" i="3" s="1"/>
  <c r="D6006" i="3" s="1"/>
  <c r="D6030" i="3" s="1"/>
  <c r="D6054" i="3" s="1"/>
  <c r="D6078" i="3" s="1"/>
  <c r="D6102" i="3" s="1"/>
  <c r="D6126" i="3" s="1"/>
  <c r="D6150" i="3" s="1"/>
  <c r="D6174" i="3" s="1"/>
  <c r="D6198" i="3" s="1"/>
  <c r="D6222" i="3" s="1"/>
  <c r="D6246" i="3" s="1"/>
  <c r="D6270" i="3" s="1"/>
  <c r="D6294" i="3" s="1"/>
  <c r="D6318" i="3" s="1"/>
  <c r="D6342" i="3" s="1"/>
  <c r="D6366" i="3" s="1"/>
  <c r="D6390" i="3" s="1"/>
  <c r="D6414" i="3" s="1"/>
  <c r="D6438" i="3" s="1"/>
  <c r="D6462" i="3" s="1"/>
  <c r="D6486" i="3" s="1"/>
  <c r="D6510" i="3" s="1"/>
  <c r="D6534" i="3" s="1"/>
  <c r="D6558" i="3" s="1"/>
  <c r="D6582" i="3" s="1"/>
  <c r="D6606" i="3" s="1"/>
  <c r="D6630" i="3" s="1"/>
  <c r="D6654" i="3" s="1"/>
  <c r="D6678" i="3" s="1"/>
  <c r="D6702" i="3" s="1"/>
  <c r="D6726" i="3" s="1"/>
  <c r="D6750" i="3" s="1"/>
  <c r="D6774" i="3" s="1"/>
  <c r="D6798" i="3" s="1"/>
  <c r="D6822" i="3" s="1"/>
  <c r="D6846" i="3" s="1"/>
  <c r="D6870" i="3" s="1"/>
  <c r="D6894" i="3" s="1"/>
  <c r="D6918" i="3" s="1"/>
  <c r="D6942" i="3" s="1"/>
  <c r="D6966" i="3" s="1"/>
  <c r="D6990" i="3" s="1"/>
  <c r="D7014" i="3" s="1"/>
  <c r="D7038" i="3" s="1"/>
  <c r="D7062" i="3" s="1"/>
  <c r="D7086" i="3" s="1"/>
  <c r="D7110" i="3" s="1"/>
  <c r="D7134" i="3" s="1"/>
  <c r="D7158" i="3" s="1"/>
  <c r="D7182" i="3" s="1"/>
  <c r="D7206" i="3" s="1"/>
  <c r="D7230" i="3" s="1"/>
  <c r="D7254" i="3" s="1"/>
  <c r="D7278" i="3" s="1"/>
  <c r="D7302" i="3" s="1"/>
  <c r="D7326" i="3" s="1"/>
  <c r="D7350" i="3" s="1"/>
  <c r="D7374" i="3" s="1"/>
  <c r="D7398" i="3" s="1"/>
  <c r="D7422" i="3" s="1"/>
  <c r="D7446" i="3" s="1"/>
  <c r="D7470" i="3" s="1"/>
  <c r="D7494" i="3" s="1"/>
  <c r="D7518" i="3" s="1"/>
  <c r="D7542" i="3" s="1"/>
  <c r="D7566" i="3" s="1"/>
  <c r="D7590" i="3" s="1"/>
  <c r="D7614" i="3" s="1"/>
  <c r="D7638" i="3" s="1"/>
  <c r="D7662" i="3" s="1"/>
  <c r="D7686" i="3" s="1"/>
  <c r="D7710" i="3" s="1"/>
  <c r="D7734" i="3" s="1"/>
  <c r="D7758" i="3" s="1"/>
  <c r="D7782" i="3" s="1"/>
  <c r="D7806" i="3" s="1"/>
  <c r="D7830" i="3" s="1"/>
  <c r="D7854" i="3" s="1"/>
  <c r="D7878" i="3" s="1"/>
  <c r="D7902" i="3" s="1"/>
  <c r="D7926" i="3" s="1"/>
  <c r="D7950" i="3" s="1"/>
  <c r="D7974" i="3" s="1"/>
  <c r="D7998" i="3" s="1"/>
  <c r="D8022" i="3" s="1"/>
  <c r="D8046" i="3" s="1"/>
  <c r="D8070" i="3" s="1"/>
  <c r="D8094" i="3" s="1"/>
  <c r="D8118" i="3" s="1"/>
  <c r="D8142" i="3" s="1"/>
  <c r="D8166" i="3" s="1"/>
  <c r="D8190" i="3" s="1"/>
  <c r="D8214" i="3" s="1"/>
  <c r="D8238" i="3" s="1"/>
  <c r="D8262" i="3" s="1"/>
  <c r="D8286" i="3" s="1"/>
  <c r="D8310" i="3" s="1"/>
  <c r="D8334" i="3" s="1"/>
  <c r="D8358" i="3" s="1"/>
  <c r="D8382" i="3" s="1"/>
  <c r="D8406" i="3" s="1"/>
  <c r="D8430" i="3" s="1"/>
  <c r="D8454" i="3" s="1"/>
  <c r="D8478" i="3" s="1"/>
  <c r="D8502" i="3" s="1"/>
  <c r="D8526" i="3" s="1"/>
  <c r="D8550" i="3" s="1"/>
  <c r="D8574" i="3" s="1"/>
  <c r="D8598" i="3" s="1"/>
  <c r="D8622" i="3" s="1"/>
  <c r="D8646" i="3" s="1"/>
  <c r="D8670" i="3" s="1"/>
  <c r="D8694" i="3" s="1"/>
  <c r="D8718" i="3" s="1"/>
  <c r="D8742" i="3" s="1"/>
  <c r="D8766" i="3" s="1"/>
  <c r="D8790" i="3" s="1"/>
  <c r="D8814" i="3" s="1"/>
  <c r="D8838" i="3" s="1"/>
  <c r="D8862" i="3" s="1"/>
  <c r="D8886" i="3" s="1"/>
  <c r="D8910" i="3" s="1"/>
  <c r="D8934" i="3" s="1"/>
  <c r="D8958" i="3" s="1"/>
  <c r="D8982" i="3" s="1"/>
  <c r="D9006" i="3" s="1"/>
  <c r="D9030" i="3" s="1"/>
  <c r="D9054" i="3" s="1"/>
  <c r="D9078" i="3" s="1"/>
  <c r="D9102" i="3" s="1"/>
  <c r="D9126" i="3" s="1"/>
  <c r="D9150" i="3" s="1"/>
  <c r="D9174" i="3" s="1"/>
  <c r="D9198" i="3" s="1"/>
  <c r="D9222" i="3" s="1"/>
  <c r="D9246" i="3" s="1"/>
  <c r="D9270" i="3" s="1"/>
  <c r="D9294" i="3" s="1"/>
  <c r="D9318" i="3" s="1"/>
  <c r="D9342" i="3" s="1"/>
  <c r="D9366" i="3" s="1"/>
  <c r="D9390" i="3" s="1"/>
  <c r="D9414" i="3" s="1"/>
  <c r="D9438" i="3" s="1"/>
  <c r="D9462" i="3" s="1"/>
  <c r="D9486" i="3" s="1"/>
  <c r="D9510" i="3" s="1"/>
  <c r="D9534" i="3" s="1"/>
  <c r="D9558" i="3" s="1"/>
  <c r="D9582" i="3" s="1"/>
  <c r="D9606" i="3" s="1"/>
  <c r="D9630" i="3" s="1"/>
  <c r="D9654" i="3" s="1"/>
  <c r="D9678" i="3" s="1"/>
  <c r="D9702" i="3" s="1"/>
  <c r="D9726" i="3" s="1"/>
  <c r="D9750" i="3" s="1"/>
  <c r="D9774" i="3" s="1"/>
  <c r="D9798" i="3" s="1"/>
  <c r="D9822" i="3" s="1"/>
  <c r="D9846" i="3" s="1"/>
  <c r="D9870" i="3" s="1"/>
  <c r="D9894" i="3" s="1"/>
  <c r="D9918" i="3" s="1"/>
  <c r="D9942" i="3" s="1"/>
  <c r="D9966" i="3" s="1"/>
  <c r="D9990" i="3" s="1"/>
  <c r="D10014" i="3" s="1"/>
  <c r="D10038" i="3" s="1"/>
  <c r="D10062" i="3" s="1"/>
  <c r="D10086" i="3" s="1"/>
  <c r="D10110" i="3" s="1"/>
  <c r="D10134" i="3" s="1"/>
  <c r="D10158" i="3" s="1"/>
  <c r="D10182" i="3" s="1"/>
  <c r="D10206" i="3" s="1"/>
  <c r="D10230" i="3" s="1"/>
  <c r="D10254" i="3" s="1"/>
  <c r="D10278" i="3" s="1"/>
  <c r="D10302" i="3" s="1"/>
  <c r="D10326" i="3" s="1"/>
  <c r="D10350" i="3" s="1"/>
  <c r="D10374" i="3" s="1"/>
  <c r="D10398" i="3" s="1"/>
  <c r="D10422" i="3" s="1"/>
  <c r="D10446" i="3" s="1"/>
  <c r="D10470" i="3" s="1"/>
  <c r="D10494" i="3" s="1"/>
  <c r="D10518" i="3" s="1"/>
  <c r="D10542" i="3" s="1"/>
  <c r="D10566" i="3" s="1"/>
  <c r="D10590" i="3" s="1"/>
  <c r="D10614" i="3" s="1"/>
  <c r="D10638" i="3" s="1"/>
  <c r="D10662" i="3" s="1"/>
  <c r="D10686" i="3" s="1"/>
  <c r="D10710" i="3" s="1"/>
  <c r="D10734" i="3" s="1"/>
  <c r="D10758" i="3" s="1"/>
  <c r="D10782" i="3" s="1"/>
  <c r="D10806" i="3" s="1"/>
  <c r="D10830" i="3" s="1"/>
  <c r="D10854" i="3" s="1"/>
  <c r="D10878" i="3" s="1"/>
  <c r="D10902" i="3" s="1"/>
  <c r="D10926" i="3" s="1"/>
  <c r="D10950" i="3" s="1"/>
  <c r="D10974" i="3" s="1"/>
  <c r="D4059" i="3"/>
  <c r="D4083" i="3" s="1"/>
  <c r="D4107" i="3" s="1"/>
  <c r="D4131" i="3" s="1"/>
  <c r="D4155" i="3" s="1"/>
  <c r="D4179" i="3" s="1"/>
  <c r="D4203" i="3" s="1"/>
  <c r="D4227" i="3" s="1"/>
  <c r="D4251" i="3" s="1"/>
  <c r="D4275" i="3" s="1"/>
  <c r="D4299" i="3" s="1"/>
  <c r="D4323" i="3" s="1"/>
  <c r="D4347" i="3" s="1"/>
  <c r="D4371" i="3" s="1"/>
  <c r="D4395" i="3" s="1"/>
  <c r="D4419" i="3" s="1"/>
  <c r="D4443" i="3" s="1"/>
  <c r="D4467" i="3" s="1"/>
  <c r="D4491" i="3" s="1"/>
  <c r="D4515" i="3" s="1"/>
  <c r="D4539" i="3" s="1"/>
  <c r="D4563" i="3" s="1"/>
  <c r="D4587" i="3" s="1"/>
  <c r="D4611" i="3" s="1"/>
  <c r="D4635" i="3" s="1"/>
  <c r="D4659" i="3" s="1"/>
  <c r="D4683" i="3" s="1"/>
  <c r="D4707" i="3" s="1"/>
  <c r="D4731" i="3" s="1"/>
  <c r="D4755" i="3" s="1"/>
  <c r="D4779" i="3" s="1"/>
  <c r="D4803" i="3" s="1"/>
  <c r="D4827" i="3" s="1"/>
  <c r="D4851" i="3" s="1"/>
  <c r="D4875" i="3" s="1"/>
  <c r="D4899" i="3" s="1"/>
  <c r="D4923" i="3" s="1"/>
  <c r="D4947" i="3" s="1"/>
  <c r="D4971" i="3" s="1"/>
  <c r="D4995" i="3" s="1"/>
  <c r="D5019" i="3" s="1"/>
  <c r="D5043" i="3" s="1"/>
  <c r="D5067" i="3" s="1"/>
  <c r="D5091" i="3" s="1"/>
  <c r="D5115" i="3" s="1"/>
  <c r="D5139" i="3" s="1"/>
  <c r="D5163" i="3" s="1"/>
  <c r="D5187" i="3" s="1"/>
  <c r="D5211" i="3" s="1"/>
  <c r="D5235" i="3" s="1"/>
  <c r="D5259" i="3" s="1"/>
  <c r="D5283" i="3" s="1"/>
  <c r="D5307" i="3" s="1"/>
  <c r="D5331" i="3" s="1"/>
  <c r="D5355" i="3" s="1"/>
  <c r="D5379" i="3" s="1"/>
  <c r="D5403" i="3" s="1"/>
  <c r="D5427" i="3" s="1"/>
  <c r="D5451" i="3" s="1"/>
  <c r="D5475" i="3" s="1"/>
  <c r="D5499" i="3" s="1"/>
  <c r="D5523" i="3" s="1"/>
  <c r="D5547" i="3" s="1"/>
  <c r="D5571" i="3" s="1"/>
  <c r="D5595" i="3" s="1"/>
  <c r="D5619" i="3" s="1"/>
  <c r="D5643" i="3" s="1"/>
  <c r="D5667" i="3" s="1"/>
  <c r="D5691" i="3" s="1"/>
  <c r="D5715" i="3" s="1"/>
  <c r="D5739" i="3" s="1"/>
  <c r="D5763" i="3" s="1"/>
  <c r="D5787" i="3" s="1"/>
  <c r="D5811" i="3" s="1"/>
  <c r="D5835" i="3" s="1"/>
  <c r="D5859" i="3" s="1"/>
  <c r="D5883" i="3" s="1"/>
  <c r="D5907" i="3" s="1"/>
  <c r="D5931" i="3" s="1"/>
  <c r="D5955" i="3" s="1"/>
  <c r="D5979" i="3" s="1"/>
  <c r="D6003" i="3" s="1"/>
  <c r="D6027" i="3" s="1"/>
  <c r="D6051" i="3" s="1"/>
  <c r="D6075" i="3" s="1"/>
  <c r="D6099" i="3" s="1"/>
  <c r="D6123" i="3" s="1"/>
  <c r="D6147" i="3" s="1"/>
  <c r="D6171" i="3" s="1"/>
  <c r="D6195" i="3" s="1"/>
  <c r="D6219" i="3" s="1"/>
  <c r="D6243" i="3" s="1"/>
  <c r="D6267" i="3" s="1"/>
  <c r="D6291" i="3" s="1"/>
  <c r="D6315" i="3" s="1"/>
  <c r="D6339" i="3" s="1"/>
  <c r="D6363" i="3" s="1"/>
  <c r="D6387" i="3" s="1"/>
  <c r="D6411" i="3" s="1"/>
  <c r="D6435" i="3" s="1"/>
  <c r="D6459" i="3" s="1"/>
  <c r="D6483" i="3" s="1"/>
  <c r="D6507" i="3" s="1"/>
  <c r="D6531" i="3" s="1"/>
  <c r="D6555" i="3" s="1"/>
  <c r="D6579" i="3" s="1"/>
  <c r="D6603" i="3" s="1"/>
  <c r="D6627" i="3" s="1"/>
  <c r="D6651" i="3" s="1"/>
  <c r="D6675" i="3" s="1"/>
  <c r="D6699" i="3" s="1"/>
  <c r="D6723" i="3" s="1"/>
  <c r="D6747" i="3" s="1"/>
  <c r="D6771" i="3" s="1"/>
  <c r="D6795" i="3" s="1"/>
  <c r="D6819" i="3" s="1"/>
  <c r="D6843" i="3" s="1"/>
  <c r="D6867" i="3" s="1"/>
  <c r="D6891" i="3" s="1"/>
  <c r="D6915" i="3" s="1"/>
  <c r="D6939" i="3" s="1"/>
  <c r="D6963" i="3" s="1"/>
  <c r="D6987" i="3" s="1"/>
  <c r="D7011" i="3" s="1"/>
  <c r="D7035" i="3" s="1"/>
  <c r="D7059" i="3" s="1"/>
  <c r="D7083" i="3" s="1"/>
  <c r="D7107" i="3" s="1"/>
  <c r="D7131" i="3" s="1"/>
  <c r="D7155" i="3" s="1"/>
  <c r="D7179" i="3" s="1"/>
  <c r="D7203" i="3" s="1"/>
  <c r="D7227" i="3" s="1"/>
  <c r="D7251" i="3" s="1"/>
  <c r="D7275" i="3" s="1"/>
  <c r="D7299" i="3" s="1"/>
  <c r="D7323" i="3" s="1"/>
  <c r="D7347" i="3" s="1"/>
  <c r="D7371" i="3" s="1"/>
  <c r="D7395" i="3" s="1"/>
  <c r="D7419" i="3" s="1"/>
  <c r="D7443" i="3" s="1"/>
  <c r="D7467" i="3" s="1"/>
  <c r="D7491" i="3" s="1"/>
  <c r="D7515" i="3" s="1"/>
  <c r="D7539" i="3" s="1"/>
  <c r="D7563" i="3" s="1"/>
  <c r="D7587" i="3" s="1"/>
  <c r="D7611" i="3" s="1"/>
  <c r="D7635" i="3" s="1"/>
  <c r="D7659" i="3" s="1"/>
  <c r="D7683" i="3" s="1"/>
  <c r="D7707" i="3" s="1"/>
  <c r="D7731" i="3" s="1"/>
  <c r="D7755" i="3" s="1"/>
  <c r="D7779" i="3" s="1"/>
  <c r="D7803" i="3" s="1"/>
  <c r="D7827" i="3" s="1"/>
  <c r="D7851" i="3" s="1"/>
  <c r="D7875" i="3" s="1"/>
  <c r="D7899" i="3" s="1"/>
  <c r="D7923" i="3" s="1"/>
  <c r="D7947" i="3" s="1"/>
  <c r="D7971" i="3" s="1"/>
  <c r="D7995" i="3" s="1"/>
  <c r="D8019" i="3" s="1"/>
  <c r="D8043" i="3" s="1"/>
  <c r="D8067" i="3" s="1"/>
  <c r="D8091" i="3" s="1"/>
  <c r="D8115" i="3" s="1"/>
  <c r="D8139" i="3" s="1"/>
  <c r="D8163" i="3" s="1"/>
  <c r="D8187" i="3" s="1"/>
  <c r="D8211" i="3" s="1"/>
  <c r="D8235" i="3" s="1"/>
  <c r="D8259" i="3" s="1"/>
  <c r="D8283" i="3" s="1"/>
  <c r="D8307" i="3" s="1"/>
  <c r="D8331" i="3" s="1"/>
  <c r="D8355" i="3" s="1"/>
  <c r="D8379" i="3" s="1"/>
  <c r="D8403" i="3" s="1"/>
  <c r="D8427" i="3" s="1"/>
  <c r="D8451" i="3" s="1"/>
  <c r="D8475" i="3" s="1"/>
  <c r="D8499" i="3" s="1"/>
  <c r="D8523" i="3" s="1"/>
  <c r="D8547" i="3" s="1"/>
  <c r="D8571" i="3" s="1"/>
  <c r="D8595" i="3" s="1"/>
  <c r="D8619" i="3" s="1"/>
  <c r="D8643" i="3" s="1"/>
  <c r="D8667" i="3" s="1"/>
  <c r="D8691" i="3" s="1"/>
  <c r="D8715" i="3" s="1"/>
  <c r="D8739" i="3" s="1"/>
  <c r="D8763" i="3" s="1"/>
  <c r="D8787" i="3" s="1"/>
  <c r="D8811" i="3" s="1"/>
  <c r="D8835" i="3" s="1"/>
  <c r="D8859" i="3" s="1"/>
  <c r="D8883" i="3" s="1"/>
  <c r="D8907" i="3" s="1"/>
  <c r="D8931" i="3" s="1"/>
  <c r="D8955" i="3" s="1"/>
  <c r="D8979" i="3" s="1"/>
  <c r="D9003" i="3" s="1"/>
  <c r="D9027" i="3" s="1"/>
  <c r="D9051" i="3" s="1"/>
  <c r="D9075" i="3" s="1"/>
  <c r="D9099" i="3" s="1"/>
  <c r="D9123" i="3" s="1"/>
  <c r="D9147" i="3" s="1"/>
  <c r="D9171" i="3" s="1"/>
  <c r="D9195" i="3" s="1"/>
  <c r="D9219" i="3" s="1"/>
  <c r="D9243" i="3" s="1"/>
  <c r="D9267" i="3" s="1"/>
  <c r="D9291" i="3" s="1"/>
  <c r="D9315" i="3" s="1"/>
  <c r="D9339" i="3" s="1"/>
  <c r="D9363" i="3" s="1"/>
  <c r="D9387" i="3" s="1"/>
  <c r="D9411" i="3" s="1"/>
  <c r="D9435" i="3" s="1"/>
  <c r="D9459" i="3" s="1"/>
  <c r="D9483" i="3" s="1"/>
  <c r="D9507" i="3" s="1"/>
  <c r="D9531" i="3" s="1"/>
  <c r="D9555" i="3" s="1"/>
  <c r="D9579" i="3" s="1"/>
  <c r="D9603" i="3" s="1"/>
  <c r="D9627" i="3" s="1"/>
  <c r="D9651" i="3" s="1"/>
  <c r="D9675" i="3" s="1"/>
  <c r="D9699" i="3" s="1"/>
  <c r="D9723" i="3" s="1"/>
  <c r="D9747" i="3" s="1"/>
  <c r="D9771" i="3" s="1"/>
  <c r="D9795" i="3" s="1"/>
  <c r="D9819" i="3" s="1"/>
  <c r="D9843" i="3" s="1"/>
  <c r="D9867" i="3" s="1"/>
  <c r="D9891" i="3" s="1"/>
  <c r="D9915" i="3" s="1"/>
  <c r="D9939" i="3" s="1"/>
  <c r="D9963" i="3" s="1"/>
  <c r="D9987" i="3" s="1"/>
  <c r="D10011" i="3" s="1"/>
  <c r="D10035" i="3" s="1"/>
  <c r="D10059" i="3" s="1"/>
  <c r="D10083" i="3" s="1"/>
  <c r="D10107" i="3" s="1"/>
  <c r="D10131" i="3" s="1"/>
  <c r="D10155" i="3" s="1"/>
  <c r="D10179" i="3" s="1"/>
  <c r="D10203" i="3" s="1"/>
  <c r="D10227" i="3" s="1"/>
  <c r="D10251" i="3" s="1"/>
  <c r="D10275" i="3" s="1"/>
  <c r="D10299" i="3" s="1"/>
  <c r="D10323" i="3" s="1"/>
  <c r="D10347" i="3" s="1"/>
  <c r="D10371" i="3" s="1"/>
  <c r="D10395" i="3" s="1"/>
  <c r="D10419" i="3" s="1"/>
  <c r="D10443" i="3" s="1"/>
  <c r="D10467" i="3" s="1"/>
  <c r="D10491" i="3" s="1"/>
  <c r="D10515" i="3" s="1"/>
  <c r="D10539" i="3" s="1"/>
  <c r="D10563" i="3" s="1"/>
  <c r="D10587" i="3" s="1"/>
  <c r="D10611" i="3" s="1"/>
  <c r="D10635" i="3" s="1"/>
  <c r="D10659" i="3" s="1"/>
  <c r="D10683" i="3" s="1"/>
  <c r="D10707" i="3" s="1"/>
  <c r="D10731" i="3" s="1"/>
  <c r="D10755" i="3" s="1"/>
  <c r="D10779" i="3" s="1"/>
  <c r="D10803" i="3" s="1"/>
  <c r="D10827" i="3" s="1"/>
  <c r="D10851" i="3" s="1"/>
  <c r="D10875" i="3" s="1"/>
  <c r="D10899" i="3" s="1"/>
  <c r="D10923" i="3" s="1"/>
  <c r="D10947" i="3" s="1"/>
  <c r="D10971" i="3" s="1"/>
  <c r="D4058" i="3"/>
  <c r="D4082" i="3" s="1"/>
  <c r="D4106" i="3" s="1"/>
  <c r="D4130" i="3" s="1"/>
  <c r="D4154" i="3" s="1"/>
  <c r="D4178" i="3" s="1"/>
  <c r="D4202" i="3" s="1"/>
  <c r="D4226" i="3" s="1"/>
  <c r="D4250" i="3" s="1"/>
  <c r="D4274" i="3" s="1"/>
  <c r="D4298" i="3" s="1"/>
  <c r="D4322" i="3" s="1"/>
  <c r="D4346" i="3" s="1"/>
  <c r="D4370" i="3" s="1"/>
  <c r="D4394" i="3" s="1"/>
  <c r="D4418" i="3" s="1"/>
  <c r="D4442" i="3" s="1"/>
  <c r="D4466" i="3" s="1"/>
  <c r="D4490" i="3" s="1"/>
  <c r="D4514" i="3" s="1"/>
  <c r="D4538" i="3" s="1"/>
  <c r="D4562" i="3" s="1"/>
  <c r="D4586" i="3" s="1"/>
  <c r="D4610" i="3" s="1"/>
  <c r="D4634" i="3" s="1"/>
  <c r="D4658" i="3" s="1"/>
  <c r="D4682" i="3" s="1"/>
  <c r="D4706" i="3" s="1"/>
  <c r="D4730" i="3" s="1"/>
  <c r="D4754" i="3" s="1"/>
  <c r="D4778" i="3" s="1"/>
  <c r="D4802" i="3" s="1"/>
  <c r="D4826" i="3" s="1"/>
  <c r="D4850" i="3" s="1"/>
  <c r="D4874" i="3" s="1"/>
  <c r="D4898" i="3" s="1"/>
  <c r="D4922" i="3" s="1"/>
  <c r="D4946" i="3" s="1"/>
  <c r="D4970" i="3" s="1"/>
  <c r="D4994" i="3" s="1"/>
  <c r="D5018" i="3" s="1"/>
  <c r="D5042" i="3" s="1"/>
  <c r="D5066" i="3" s="1"/>
  <c r="D5090" i="3" s="1"/>
  <c r="D5114" i="3" s="1"/>
  <c r="D5138" i="3" s="1"/>
  <c r="D5162" i="3" s="1"/>
  <c r="D5186" i="3" s="1"/>
  <c r="D5210" i="3" s="1"/>
  <c r="D5234" i="3" s="1"/>
  <c r="D5258" i="3" s="1"/>
  <c r="D5282" i="3" s="1"/>
  <c r="D5306" i="3" s="1"/>
  <c r="D5330" i="3" s="1"/>
  <c r="D5354" i="3" s="1"/>
  <c r="D5378" i="3" s="1"/>
  <c r="D5402" i="3" s="1"/>
  <c r="D5426" i="3" s="1"/>
  <c r="D5450" i="3" s="1"/>
  <c r="D5474" i="3" s="1"/>
  <c r="D5498" i="3" s="1"/>
  <c r="D5522" i="3" s="1"/>
  <c r="D5546" i="3" s="1"/>
  <c r="D5570" i="3" s="1"/>
  <c r="D5594" i="3" s="1"/>
  <c r="D5618" i="3" s="1"/>
  <c r="D5642" i="3" s="1"/>
  <c r="D5666" i="3" s="1"/>
  <c r="D5690" i="3" s="1"/>
  <c r="D5714" i="3" s="1"/>
  <c r="D5738" i="3" s="1"/>
  <c r="L170" i="1"/>
  <c r="K170" i="1"/>
  <c r="E4043" i="3"/>
  <c r="E4046" i="3"/>
  <c r="E4039" i="3"/>
  <c r="E4037" i="3"/>
  <c r="Q170" i="1"/>
  <c r="L169" i="1"/>
  <c r="K169" i="1" s="1"/>
  <c r="AC261" i="23" l="1"/>
  <c r="M261" i="23"/>
  <c r="E273" i="23"/>
  <c r="X260" i="23"/>
  <c r="AF260" i="23"/>
  <c r="R261" i="23"/>
  <c r="C262" i="23"/>
  <c r="K262" i="23" s="1"/>
  <c r="AB276" i="23" s="1"/>
  <c r="Q261" i="23"/>
  <c r="C230" i="1"/>
  <c r="Q229" i="1"/>
  <c r="F2553" i="3"/>
  <c r="F2554" i="3"/>
  <c r="F2579" i="3" s="1"/>
  <c r="F2604" i="3" s="1"/>
  <c r="F2629" i="3" s="1"/>
  <c r="F2654" i="3" s="1"/>
  <c r="F2679" i="3" s="1"/>
  <c r="F2704" i="3" s="1"/>
  <c r="F2729" i="3" s="1"/>
  <c r="F2754" i="3" s="1"/>
  <c r="F2804" i="3" s="1"/>
  <c r="F2829" i="3" s="1"/>
  <c r="C3961" i="3"/>
  <c r="C3960" i="3"/>
  <c r="C3959" i="3"/>
  <c r="C3957" i="3"/>
  <c r="C3954" i="3"/>
  <c r="C3949" i="3"/>
  <c r="C3947" i="3"/>
  <c r="C3939" i="3"/>
  <c r="C3938" i="3"/>
  <c r="E4026" i="3"/>
  <c r="E4025" i="3"/>
  <c r="E4011" i="3"/>
  <c r="E4010" i="3"/>
  <c r="E4030" i="3"/>
  <c r="E4013" i="3"/>
  <c r="E4032" i="3"/>
  <c r="E4024" i="3"/>
  <c r="Q169" i="1"/>
  <c r="L168" i="1"/>
  <c r="K168" i="1" s="1"/>
  <c r="Q168" i="1"/>
  <c r="D169" i="1"/>
  <c r="E3987" i="3"/>
  <c r="E3986" i="3"/>
  <c r="D168" i="1"/>
  <c r="L167" i="1"/>
  <c r="K167" i="1" s="1"/>
  <c r="J167" i="1"/>
  <c r="E3963" i="3"/>
  <c r="E3962" i="3"/>
  <c r="E3974" i="3"/>
  <c r="D167" i="1"/>
  <c r="Q167" i="1"/>
  <c r="Q166" i="1"/>
  <c r="AC262" i="23" l="1"/>
  <c r="M262" i="23"/>
  <c r="E274" i="23"/>
  <c r="X261" i="23"/>
  <c r="AF261" i="23"/>
  <c r="R262" i="23"/>
  <c r="C263" i="23"/>
  <c r="K263" i="23" s="1"/>
  <c r="AB277" i="23" s="1"/>
  <c r="Q262" i="23"/>
  <c r="C231" i="1"/>
  <c r="Q230" i="1"/>
  <c r="F2577" i="3"/>
  <c r="F2578" i="3"/>
  <c r="F2603" i="3" s="1"/>
  <c r="F2628" i="3" s="1"/>
  <c r="F2653" i="3" s="1"/>
  <c r="F2678" i="3" s="1"/>
  <c r="F2703" i="3" s="1"/>
  <c r="F2728" i="3" s="1"/>
  <c r="F2753" i="3" s="1"/>
  <c r="F2778" i="3" s="1"/>
  <c r="F2828" i="3" s="1"/>
  <c r="F2853" i="3" s="1"/>
  <c r="L166" i="1"/>
  <c r="K166" i="1" s="1"/>
  <c r="E3939" i="3"/>
  <c r="E3938" i="3"/>
  <c r="D166" i="1"/>
  <c r="E3947" i="3"/>
  <c r="E3943" i="3"/>
  <c r="L165" i="1"/>
  <c r="K165" i="1" s="1"/>
  <c r="AC263" i="23" l="1"/>
  <c r="M263" i="23"/>
  <c r="E275" i="23"/>
  <c r="X262" i="23"/>
  <c r="AF262" i="23"/>
  <c r="R263" i="23"/>
  <c r="C264" i="23"/>
  <c r="K264" i="23" s="1"/>
  <c r="AB278" i="23" s="1"/>
  <c r="Q263" i="23"/>
  <c r="C232" i="1"/>
  <c r="Q231" i="1"/>
  <c r="F2601" i="3"/>
  <c r="F2602" i="3"/>
  <c r="F2627" i="3" s="1"/>
  <c r="F2652" i="3" s="1"/>
  <c r="F2677" i="3" s="1"/>
  <c r="F2702" i="3" s="1"/>
  <c r="F2727" i="3" s="1"/>
  <c r="F2752" i="3" s="1"/>
  <c r="F2777" i="3" s="1"/>
  <c r="F2802" i="3" s="1"/>
  <c r="F2852" i="3" s="1"/>
  <c r="F2877" i="3" s="1"/>
  <c r="E3926" i="3"/>
  <c r="E3923" i="3"/>
  <c r="E3915" i="3"/>
  <c r="Q165" i="1"/>
  <c r="D165" i="1"/>
  <c r="D3906" i="3"/>
  <c r="D3930" i="3" s="1"/>
  <c r="D3954" i="3" s="1"/>
  <c r="D3978" i="3" s="1"/>
  <c r="D4002" i="3" s="1"/>
  <c r="D4026" i="3" s="1"/>
  <c r="D3907" i="3"/>
  <c r="D3931" i="3" s="1"/>
  <c r="D3955" i="3" s="1"/>
  <c r="D3979" i="3" s="1"/>
  <c r="D4003" i="3" s="1"/>
  <c r="D4027" i="3" s="1"/>
  <c r="D4051" i="3" s="1"/>
  <c r="D4075" i="3" s="1"/>
  <c r="D4099" i="3" s="1"/>
  <c r="D4123" i="3" s="1"/>
  <c r="D4147" i="3" s="1"/>
  <c r="D4171" i="3" s="1"/>
  <c r="D4195" i="3" s="1"/>
  <c r="D4219" i="3" s="1"/>
  <c r="D4243" i="3" s="1"/>
  <c r="D4267" i="3" s="1"/>
  <c r="D4291" i="3" s="1"/>
  <c r="D4315" i="3" s="1"/>
  <c r="D4339" i="3" s="1"/>
  <c r="D4363" i="3" s="1"/>
  <c r="D4387" i="3" s="1"/>
  <c r="D4411" i="3" s="1"/>
  <c r="D4435" i="3" s="1"/>
  <c r="D4459" i="3" s="1"/>
  <c r="D4483" i="3" s="1"/>
  <c r="D4507" i="3" s="1"/>
  <c r="D4531" i="3" s="1"/>
  <c r="D4555" i="3" s="1"/>
  <c r="D4579" i="3" s="1"/>
  <c r="D4603" i="3" s="1"/>
  <c r="D4627" i="3" s="1"/>
  <c r="D4651" i="3" s="1"/>
  <c r="D4675" i="3" s="1"/>
  <c r="D4699" i="3" s="1"/>
  <c r="D4723" i="3" s="1"/>
  <c r="D4747" i="3" s="1"/>
  <c r="D4771" i="3" s="1"/>
  <c r="D4795" i="3" s="1"/>
  <c r="D4819" i="3" s="1"/>
  <c r="D4843" i="3" s="1"/>
  <c r="D4867" i="3" s="1"/>
  <c r="D4891" i="3" s="1"/>
  <c r="D4915" i="3" s="1"/>
  <c r="D4939" i="3" s="1"/>
  <c r="D4963" i="3" s="1"/>
  <c r="D4987" i="3" s="1"/>
  <c r="D5011" i="3" s="1"/>
  <c r="D5035" i="3" s="1"/>
  <c r="D5059" i="3" s="1"/>
  <c r="D5083" i="3" s="1"/>
  <c r="D5107" i="3" s="1"/>
  <c r="D5131" i="3" s="1"/>
  <c r="D5155" i="3" s="1"/>
  <c r="D5179" i="3" s="1"/>
  <c r="D5203" i="3" s="1"/>
  <c r="D5227" i="3" s="1"/>
  <c r="D5251" i="3" s="1"/>
  <c r="D5275" i="3" s="1"/>
  <c r="D5299" i="3" s="1"/>
  <c r="D5323" i="3" s="1"/>
  <c r="D5347" i="3" s="1"/>
  <c r="D5371" i="3" s="1"/>
  <c r="D5395" i="3" s="1"/>
  <c r="D5419" i="3" s="1"/>
  <c r="D5443" i="3" s="1"/>
  <c r="D5467" i="3" s="1"/>
  <c r="D5491" i="3" s="1"/>
  <c r="D5515" i="3" s="1"/>
  <c r="D5539" i="3" s="1"/>
  <c r="D5563" i="3" s="1"/>
  <c r="D5587" i="3" s="1"/>
  <c r="D5611" i="3" s="1"/>
  <c r="D5635" i="3" s="1"/>
  <c r="D5659" i="3" s="1"/>
  <c r="D5683" i="3" s="1"/>
  <c r="D5707" i="3" s="1"/>
  <c r="D5731" i="3" s="1"/>
  <c r="D5755" i="3" s="1"/>
  <c r="D5779" i="3" s="1"/>
  <c r="D5803" i="3" s="1"/>
  <c r="D5827" i="3" s="1"/>
  <c r="D5851" i="3" s="1"/>
  <c r="D5875" i="3" s="1"/>
  <c r="D5899" i="3" s="1"/>
  <c r="D5923" i="3" s="1"/>
  <c r="D5947" i="3" s="1"/>
  <c r="D5971" i="3" s="1"/>
  <c r="D5995" i="3" s="1"/>
  <c r="D6019" i="3" s="1"/>
  <c r="D6043" i="3" s="1"/>
  <c r="D6067" i="3" s="1"/>
  <c r="D6091" i="3" s="1"/>
  <c r="D6115" i="3" s="1"/>
  <c r="D6139" i="3" s="1"/>
  <c r="D6163" i="3" s="1"/>
  <c r="D6187" i="3" s="1"/>
  <c r="D6211" i="3" s="1"/>
  <c r="D6235" i="3" s="1"/>
  <c r="D6259" i="3" s="1"/>
  <c r="D6283" i="3" s="1"/>
  <c r="D6307" i="3" s="1"/>
  <c r="D6331" i="3" s="1"/>
  <c r="D6355" i="3" s="1"/>
  <c r="D6379" i="3" s="1"/>
  <c r="D6403" i="3" s="1"/>
  <c r="D6427" i="3" s="1"/>
  <c r="D6451" i="3" s="1"/>
  <c r="D6475" i="3" s="1"/>
  <c r="D6499" i="3" s="1"/>
  <c r="D6523" i="3" s="1"/>
  <c r="D6547" i="3" s="1"/>
  <c r="D6571" i="3" s="1"/>
  <c r="D6595" i="3" s="1"/>
  <c r="D6619" i="3" s="1"/>
  <c r="D6643" i="3" s="1"/>
  <c r="D6667" i="3" s="1"/>
  <c r="D6691" i="3" s="1"/>
  <c r="D6715" i="3" s="1"/>
  <c r="D6739" i="3" s="1"/>
  <c r="D6763" i="3" s="1"/>
  <c r="D6787" i="3" s="1"/>
  <c r="D6811" i="3" s="1"/>
  <c r="D6835" i="3" s="1"/>
  <c r="D6859" i="3" s="1"/>
  <c r="D6883" i="3" s="1"/>
  <c r="D6907" i="3" s="1"/>
  <c r="D6931" i="3" s="1"/>
  <c r="D6955" i="3" s="1"/>
  <c r="D6979" i="3" s="1"/>
  <c r="D7003" i="3" s="1"/>
  <c r="D7027" i="3" s="1"/>
  <c r="D7051" i="3" s="1"/>
  <c r="D7075" i="3" s="1"/>
  <c r="D7099" i="3" s="1"/>
  <c r="D7123" i="3" s="1"/>
  <c r="D7147" i="3" s="1"/>
  <c r="D7171" i="3" s="1"/>
  <c r="D7195" i="3" s="1"/>
  <c r="D7219" i="3" s="1"/>
  <c r="D7243" i="3" s="1"/>
  <c r="D7267" i="3" s="1"/>
  <c r="D7291" i="3" s="1"/>
  <c r="D7315" i="3" s="1"/>
  <c r="D7339" i="3" s="1"/>
  <c r="D7363" i="3" s="1"/>
  <c r="D7387" i="3" s="1"/>
  <c r="D7411" i="3" s="1"/>
  <c r="D7435" i="3" s="1"/>
  <c r="D7459" i="3" s="1"/>
  <c r="D7483" i="3" s="1"/>
  <c r="D7507" i="3" s="1"/>
  <c r="D7531" i="3" s="1"/>
  <c r="D7555" i="3" s="1"/>
  <c r="D7579" i="3" s="1"/>
  <c r="D7603" i="3" s="1"/>
  <c r="D7627" i="3" s="1"/>
  <c r="D7651" i="3" s="1"/>
  <c r="D7675" i="3" s="1"/>
  <c r="D7699" i="3" s="1"/>
  <c r="D7723" i="3" s="1"/>
  <c r="D7747" i="3" s="1"/>
  <c r="D7771" i="3" s="1"/>
  <c r="D7795" i="3" s="1"/>
  <c r="D7819" i="3" s="1"/>
  <c r="D7843" i="3" s="1"/>
  <c r="D7867" i="3" s="1"/>
  <c r="D7891" i="3" s="1"/>
  <c r="D7915" i="3" s="1"/>
  <c r="D7939" i="3" s="1"/>
  <c r="D7963" i="3" s="1"/>
  <c r="D7987" i="3" s="1"/>
  <c r="D8011" i="3" s="1"/>
  <c r="D8035" i="3" s="1"/>
  <c r="D8059" i="3" s="1"/>
  <c r="D8083" i="3" s="1"/>
  <c r="D8107" i="3" s="1"/>
  <c r="D8131" i="3" s="1"/>
  <c r="D8155" i="3" s="1"/>
  <c r="D8179" i="3" s="1"/>
  <c r="D8203" i="3" s="1"/>
  <c r="D8227" i="3" s="1"/>
  <c r="D8251" i="3" s="1"/>
  <c r="D8275" i="3" s="1"/>
  <c r="D8299" i="3" s="1"/>
  <c r="D8323" i="3" s="1"/>
  <c r="D8347" i="3" s="1"/>
  <c r="D8371" i="3" s="1"/>
  <c r="D8395" i="3" s="1"/>
  <c r="D8419" i="3" s="1"/>
  <c r="D8443" i="3" s="1"/>
  <c r="D8467" i="3" s="1"/>
  <c r="D8491" i="3" s="1"/>
  <c r="D8515" i="3" s="1"/>
  <c r="D8539" i="3" s="1"/>
  <c r="D8563" i="3" s="1"/>
  <c r="D8587" i="3" s="1"/>
  <c r="D8611" i="3" s="1"/>
  <c r="D8635" i="3" s="1"/>
  <c r="D8659" i="3" s="1"/>
  <c r="D8683" i="3" s="1"/>
  <c r="D8707" i="3" s="1"/>
  <c r="D8731" i="3" s="1"/>
  <c r="D8755" i="3" s="1"/>
  <c r="D8779" i="3" s="1"/>
  <c r="D8803" i="3" s="1"/>
  <c r="D8827" i="3" s="1"/>
  <c r="D8851" i="3" s="1"/>
  <c r="D8875" i="3" s="1"/>
  <c r="D8899" i="3" s="1"/>
  <c r="D8923" i="3" s="1"/>
  <c r="D8947" i="3" s="1"/>
  <c r="D8971" i="3" s="1"/>
  <c r="D8995" i="3" s="1"/>
  <c r="D9019" i="3" s="1"/>
  <c r="D9043" i="3" s="1"/>
  <c r="D9067" i="3" s="1"/>
  <c r="D9091" i="3" s="1"/>
  <c r="D9115" i="3" s="1"/>
  <c r="D9139" i="3" s="1"/>
  <c r="D9163" i="3" s="1"/>
  <c r="D9187" i="3" s="1"/>
  <c r="D9211" i="3" s="1"/>
  <c r="D9235" i="3" s="1"/>
  <c r="D9259" i="3" s="1"/>
  <c r="D9283" i="3" s="1"/>
  <c r="D9307" i="3" s="1"/>
  <c r="D9331" i="3" s="1"/>
  <c r="D9355" i="3" s="1"/>
  <c r="D9379" i="3" s="1"/>
  <c r="D9403" i="3" s="1"/>
  <c r="D9427" i="3" s="1"/>
  <c r="D9451" i="3" s="1"/>
  <c r="D9475" i="3" s="1"/>
  <c r="D9499" i="3" s="1"/>
  <c r="D9523" i="3" s="1"/>
  <c r="D9547" i="3" s="1"/>
  <c r="D9571" i="3" s="1"/>
  <c r="D9595" i="3" s="1"/>
  <c r="D9619" i="3" s="1"/>
  <c r="D9643" i="3" s="1"/>
  <c r="D9667" i="3" s="1"/>
  <c r="D9691" i="3" s="1"/>
  <c r="D9715" i="3" s="1"/>
  <c r="D9739" i="3" s="1"/>
  <c r="D9763" i="3" s="1"/>
  <c r="D9787" i="3" s="1"/>
  <c r="D9811" i="3" s="1"/>
  <c r="D9835" i="3" s="1"/>
  <c r="D9859" i="3" s="1"/>
  <c r="D9883" i="3" s="1"/>
  <c r="D9907" i="3" s="1"/>
  <c r="D9931" i="3" s="1"/>
  <c r="D9955" i="3" s="1"/>
  <c r="D9979" i="3" s="1"/>
  <c r="D10003" i="3" s="1"/>
  <c r="D10027" i="3" s="1"/>
  <c r="D10051" i="3" s="1"/>
  <c r="D10075" i="3" s="1"/>
  <c r="D10099" i="3" s="1"/>
  <c r="D10123" i="3" s="1"/>
  <c r="D10147" i="3" s="1"/>
  <c r="D10171" i="3" s="1"/>
  <c r="D10195" i="3" s="1"/>
  <c r="D10219" i="3" s="1"/>
  <c r="D10243" i="3" s="1"/>
  <c r="D10267" i="3" s="1"/>
  <c r="D10291" i="3" s="1"/>
  <c r="D10315" i="3" s="1"/>
  <c r="D10339" i="3" s="1"/>
  <c r="D10363" i="3" s="1"/>
  <c r="D10387" i="3" s="1"/>
  <c r="D10411" i="3" s="1"/>
  <c r="D10435" i="3" s="1"/>
  <c r="D10459" i="3" s="1"/>
  <c r="D10483" i="3" s="1"/>
  <c r="D10507" i="3" s="1"/>
  <c r="D10531" i="3" s="1"/>
  <c r="D10555" i="3" s="1"/>
  <c r="D10579" i="3" s="1"/>
  <c r="D10603" i="3" s="1"/>
  <c r="D10627" i="3" s="1"/>
  <c r="D10651" i="3" s="1"/>
  <c r="D10675" i="3" s="1"/>
  <c r="D10699" i="3" s="1"/>
  <c r="D10723" i="3" s="1"/>
  <c r="D10747" i="3" s="1"/>
  <c r="D10771" i="3" s="1"/>
  <c r="D10795" i="3" s="1"/>
  <c r="D10819" i="3" s="1"/>
  <c r="D10843" i="3" s="1"/>
  <c r="D10867" i="3" s="1"/>
  <c r="D10891" i="3" s="1"/>
  <c r="D10915" i="3" s="1"/>
  <c r="D10939" i="3" s="1"/>
  <c r="D10963" i="3" s="1"/>
  <c r="D10987" i="3" s="1"/>
  <c r="D3908" i="3"/>
  <c r="D3932" i="3" s="1"/>
  <c r="D3956" i="3" s="1"/>
  <c r="D3980" i="3" s="1"/>
  <c r="D4004" i="3" s="1"/>
  <c r="D4028" i="3" s="1"/>
  <c r="D4052" i="3" s="1"/>
  <c r="D4076" i="3" s="1"/>
  <c r="D4100" i="3" s="1"/>
  <c r="D4124" i="3" s="1"/>
  <c r="D4148" i="3" s="1"/>
  <c r="D4172" i="3" s="1"/>
  <c r="D4196" i="3" s="1"/>
  <c r="D4220" i="3" s="1"/>
  <c r="D4244" i="3" s="1"/>
  <c r="D4268" i="3" s="1"/>
  <c r="D4292" i="3" s="1"/>
  <c r="D4316" i="3" s="1"/>
  <c r="D4340" i="3" s="1"/>
  <c r="D4364" i="3" s="1"/>
  <c r="D4388" i="3" s="1"/>
  <c r="D4412" i="3" s="1"/>
  <c r="D4436" i="3" s="1"/>
  <c r="D4460" i="3" s="1"/>
  <c r="D4484" i="3" s="1"/>
  <c r="D4508" i="3" s="1"/>
  <c r="D4532" i="3" s="1"/>
  <c r="D4556" i="3" s="1"/>
  <c r="D4580" i="3" s="1"/>
  <c r="D4604" i="3" s="1"/>
  <c r="D4628" i="3" s="1"/>
  <c r="D4652" i="3" s="1"/>
  <c r="D4676" i="3" s="1"/>
  <c r="D4700" i="3" s="1"/>
  <c r="D4724" i="3" s="1"/>
  <c r="D4748" i="3" s="1"/>
  <c r="D4772" i="3" s="1"/>
  <c r="D4796" i="3" s="1"/>
  <c r="D4820" i="3" s="1"/>
  <c r="D4844" i="3" s="1"/>
  <c r="D4868" i="3" s="1"/>
  <c r="D4892" i="3" s="1"/>
  <c r="D4916" i="3" s="1"/>
  <c r="D4940" i="3" s="1"/>
  <c r="D4964" i="3" s="1"/>
  <c r="D4988" i="3" s="1"/>
  <c r="D5012" i="3" s="1"/>
  <c r="D5036" i="3" s="1"/>
  <c r="D5060" i="3" s="1"/>
  <c r="D5084" i="3" s="1"/>
  <c r="D5108" i="3" s="1"/>
  <c r="D5132" i="3" s="1"/>
  <c r="D5156" i="3" s="1"/>
  <c r="D5180" i="3" s="1"/>
  <c r="D5204" i="3" s="1"/>
  <c r="D5228" i="3" s="1"/>
  <c r="D5252" i="3" s="1"/>
  <c r="D5276" i="3" s="1"/>
  <c r="D5300" i="3" s="1"/>
  <c r="D5324" i="3" s="1"/>
  <c r="D5348" i="3" s="1"/>
  <c r="D5372" i="3" s="1"/>
  <c r="D5396" i="3" s="1"/>
  <c r="D5420" i="3" s="1"/>
  <c r="D5444" i="3" s="1"/>
  <c r="D5468" i="3" s="1"/>
  <c r="D5492" i="3" s="1"/>
  <c r="D5516" i="3" s="1"/>
  <c r="D5540" i="3" s="1"/>
  <c r="D5564" i="3" s="1"/>
  <c r="D5588" i="3" s="1"/>
  <c r="D5612" i="3" s="1"/>
  <c r="D5636" i="3" s="1"/>
  <c r="D5660" i="3" s="1"/>
  <c r="D5684" i="3" s="1"/>
  <c r="D5708" i="3" s="1"/>
  <c r="D5732" i="3" s="1"/>
  <c r="D5756" i="3" s="1"/>
  <c r="D3909" i="3"/>
  <c r="D3933" i="3" s="1"/>
  <c r="D3957" i="3" s="1"/>
  <c r="D3981" i="3" s="1"/>
  <c r="D4005" i="3" s="1"/>
  <c r="D4029" i="3" s="1"/>
  <c r="D3910" i="3"/>
  <c r="D3934" i="3" s="1"/>
  <c r="D3958" i="3" s="1"/>
  <c r="D3982" i="3" s="1"/>
  <c r="D4006" i="3" s="1"/>
  <c r="D4030" i="3" s="1"/>
  <c r="D4054" i="3" s="1"/>
  <c r="D4078" i="3" s="1"/>
  <c r="D4102" i="3" s="1"/>
  <c r="D4126" i="3" s="1"/>
  <c r="D4150" i="3" s="1"/>
  <c r="D4174" i="3" s="1"/>
  <c r="D4198" i="3" s="1"/>
  <c r="D4222" i="3" s="1"/>
  <c r="D4246" i="3" s="1"/>
  <c r="D4270" i="3" s="1"/>
  <c r="D4294" i="3" s="1"/>
  <c r="D4318" i="3" s="1"/>
  <c r="D4342" i="3" s="1"/>
  <c r="D4366" i="3" s="1"/>
  <c r="D4390" i="3" s="1"/>
  <c r="D4414" i="3" s="1"/>
  <c r="D4438" i="3" s="1"/>
  <c r="D4462" i="3" s="1"/>
  <c r="D4486" i="3" s="1"/>
  <c r="D4510" i="3" s="1"/>
  <c r="D4534" i="3" s="1"/>
  <c r="D4558" i="3" s="1"/>
  <c r="D4582" i="3" s="1"/>
  <c r="D4606" i="3" s="1"/>
  <c r="D4630" i="3" s="1"/>
  <c r="D4654" i="3" s="1"/>
  <c r="D4678" i="3" s="1"/>
  <c r="D4702" i="3" s="1"/>
  <c r="D4726" i="3" s="1"/>
  <c r="D4750" i="3" s="1"/>
  <c r="D4774" i="3" s="1"/>
  <c r="D4798" i="3" s="1"/>
  <c r="D4822" i="3" s="1"/>
  <c r="D4846" i="3" s="1"/>
  <c r="D4870" i="3" s="1"/>
  <c r="D4894" i="3" s="1"/>
  <c r="D4918" i="3" s="1"/>
  <c r="D4942" i="3" s="1"/>
  <c r="D4966" i="3" s="1"/>
  <c r="D4990" i="3" s="1"/>
  <c r="D5014" i="3" s="1"/>
  <c r="D5038" i="3" s="1"/>
  <c r="D5062" i="3" s="1"/>
  <c r="D5086" i="3" s="1"/>
  <c r="D5110" i="3" s="1"/>
  <c r="D5134" i="3" s="1"/>
  <c r="D5158" i="3" s="1"/>
  <c r="D5182" i="3" s="1"/>
  <c r="D5206" i="3" s="1"/>
  <c r="D5230" i="3" s="1"/>
  <c r="D5254" i="3" s="1"/>
  <c r="D5278" i="3" s="1"/>
  <c r="D5302" i="3" s="1"/>
  <c r="D5326" i="3" s="1"/>
  <c r="D5350" i="3" s="1"/>
  <c r="D5374" i="3" s="1"/>
  <c r="D5398" i="3" s="1"/>
  <c r="D5422" i="3" s="1"/>
  <c r="D5446" i="3" s="1"/>
  <c r="D5470" i="3" s="1"/>
  <c r="D5494" i="3" s="1"/>
  <c r="D5518" i="3" s="1"/>
  <c r="D5542" i="3" s="1"/>
  <c r="D5566" i="3" s="1"/>
  <c r="D5590" i="3" s="1"/>
  <c r="D5614" i="3" s="1"/>
  <c r="D5638" i="3" s="1"/>
  <c r="D5662" i="3" s="1"/>
  <c r="D5686" i="3" s="1"/>
  <c r="D5710" i="3" s="1"/>
  <c r="D5734" i="3" s="1"/>
  <c r="D5758" i="3" s="1"/>
  <c r="D3911" i="3"/>
  <c r="D3935" i="3" s="1"/>
  <c r="D3959" i="3" s="1"/>
  <c r="D3983" i="3" s="1"/>
  <c r="D4007" i="3" s="1"/>
  <c r="D4031" i="3" s="1"/>
  <c r="D3912" i="3"/>
  <c r="D3936" i="3" s="1"/>
  <c r="D3960" i="3" s="1"/>
  <c r="D3984" i="3" s="1"/>
  <c r="D4008" i="3" s="1"/>
  <c r="D4032" i="3" s="1"/>
  <c r="D3913" i="3"/>
  <c r="D3937" i="3" s="1"/>
  <c r="D3961" i="3" s="1"/>
  <c r="D3985" i="3" s="1"/>
  <c r="D4009" i="3" s="1"/>
  <c r="D4033" i="3" s="1"/>
  <c r="D3896" i="3"/>
  <c r="D3920" i="3" s="1"/>
  <c r="D3944" i="3" s="1"/>
  <c r="D3968" i="3" s="1"/>
  <c r="D3992" i="3" s="1"/>
  <c r="D4016" i="3" s="1"/>
  <c r="D3897" i="3"/>
  <c r="D3921" i="3" s="1"/>
  <c r="D3945" i="3" s="1"/>
  <c r="D3969" i="3" s="1"/>
  <c r="D3993" i="3" s="1"/>
  <c r="D4017" i="3" s="1"/>
  <c r="D3898" i="3"/>
  <c r="D3922" i="3" s="1"/>
  <c r="D3946" i="3" s="1"/>
  <c r="D3970" i="3" s="1"/>
  <c r="D3994" i="3" s="1"/>
  <c r="D4018" i="3" s="1"/>
  <c r="D3899" i="3"/>
  <c r="D3923" i="3" s="1"/>
  <c r="D3947" i="3" s="1"/>
  <c r="D3971" i="3" s="1"/>
  <c r="D3995" i="3" s="1"/>
  <c r="D4019" i="3" s="1"/>
  <c r="D3900" i="3"/>
  <c r="D3924" i="3" s="1"/>
  <c r="D3948" i="3" s="1"/>
  <c r="D3972" i="3" s="1"/>
  <c r="D3996" i="3" s="1"/>
  <c r="D4020" i="3" s="1"/>
  <c r="D3901" i="3"/>
  <c r="D3925" i="3" s="1"/>
  <c r="D3949" i="3" s="1"/>
  <c r="D3973" i="3" s="1"/>
  <c r="D3997" i="3" s="1"/>
  <c r="D4021" i="3" s="1"/>
  <c r="D3902" i="3"/>
  <c r="D3926" i="3" s="1"/>
  <c r="D3950" i="3" s="1"/>
  <c r="D3974" i="3" s="1"/>
  <c r="D3998" i="3" s="1"/>
  <c r="D4022" i="3" s="1"/>
  <c r="D3903" i="3"/>
  <c r="D3927" i="3" s="1"/>
  <c r="D3951" i="3" s="1"/>
  <c r="D3975" i="3" s="1"/>
  <c r="D3999" i="3" s="1"/>
  <c r="D4023" i="3" s="1"/>
  <c r="D3904" i="3"/>
  <c r="D3928" i="3" s="1"/>
  <c r="D3952" i="3" s="1"/>
  <c r="D3976" i="3" s="1"/>
  <c r="D4000" i="3" s="1"/>
  <c r="D4024" i="3" s="1"/>
  <c r="D3905" i="3"/>
  <c r="D3929" i="3" s="1"/>
  <c r="D3953" i="3" s="1"/>
  <c r="D3977" i="3" s="1"/>
  <c r="D4001" i="3" s="1"/>
  <c r="D4025" i="3" s="1"/>
  <c r="D4049" i="3" s="1"/>
  <c r="D4073" i="3" s="1"/>
  <c r="D4097" i="3" s="1"/>
  <c r="D4121" i="3" s="1"/>
  <c r="D4145" i="3" s="1"/>
  <c r="D4169" i="3" s="1"/>
  <c r="D4193" i="3" s="1"/>
  <c r="D4217" i="3" s="1"/>
  <c r="D4241" i="3" s="1"/>
  <c r="D4265" i="3" s="1"/>
  <c r="D4289" i="3" s="1"/>
  <c r="D4313" i="3" s="1"/>
  <c r="D4337" i="3" s="1"/>
  <c r="D4361" i="3" s="1"/>
  <c r="D4385" i="3" s="1"/>
  <c r="D4409" i="3" s="1"/>
  <c r="D4433" i="3" s="1"/>
  <c r="D4457" i="3" s="1"/>
  <c r="D4481" i="3" s="1"/>
  <c r="D4505" i="3" s="1"/>
  <c r="D4529" i="3" s="1"/>
  <c r="D4553" i="3" s="1"/>
  <c r="D4577" i="3" s="1"/>
  <c r="D4601" i="3" s="1"/>
  <c r="D4625" i="3" s="1"/>
  <c r="D4649" i="3" s="1"/>
  <c r="D4673" i="3" s="1"/>
  <c r="D4697" i="3" s="1"/>
  <c r="D4721" i="3" s="1"/>
  <c r="D4745" i="3" s="1"/>
  <c r="D4769" i="3" s="1"/>
  <c r="D4793" i="3" s="1"/>
  <c r="D4817" i="3" s="1"/>
  <c r="D4841" i="3" s="1"/>
  <c r="D4865" i="3" s="1"/>
  <c r="D4889" i="3" s="1"/>
  <c r="D4913" i="3" s="1"/>
  <c r="D4937" i="3" s="1"/>
  <c r="D4961" i="3" s="1"/>
  <c r="D4985" i="3" s="1"/>
  <c r="D5009" i="3" s="1"/>
  <c r="D5033" i="3" s="1"/>
  <c r="D5057" i="3" s="1"/>
  <c r="D5081" i="3" s="1"/>
  <c r="D5105" i="3" s="1"/>
  <c r="D5129" i="3" s="1"/>
  <c r="D5153" i="3" s="1"/>
  <c r="D5177" i="3" s="1"/>
  <c r="D5201" i="3" s="1"/>
  <c r="D5225" i="3" s="1"/>
  <c r="D5249" i="3" s="1"/>
  <c r="D5273" i="3" s="1"/>
  <c r="D5297" i="3" s="1"/>
  <c r="D5321" i="3" s="1"/>
  <c r="D5345" i="3" s="1"/>
  <c r="D5369" i="3" s="1"/>
  <c r="D5393" i="3" s="1"/>
  <c r="D5417" i="3" s="1"/>
  <c r="D5441" i="3" s="1"/>
  <c r="D5465" i="3" s="1"/>
  <c r="D5489" i="3" s="1"/>
  <c r="D5513" i="3" s="1"/>
  <c r="D5537" i="3" s="1"/>
  <c r="D5561" i="3" s="1"/>
  <c r="D5585" i="3" s="1"/>
  <c r="D5609" i="3" s="1"/>
  <c r="D5633" i="3" s="1"/>
  <c r="D5657" i="3" s="1"/>
  <c r="D5681" i="3" s="1"/>
  <c r="D5705" i="3" s="1"/>
  <c r="D5729" i="3" s="1"/>
  <c r="D5753" i="3" s="1"/>
  <c r="D3891" i="3"/>
  <c r="D3915" i="3" s="1"/>
  <c r="D3939" i="3" s="1"/>
  <c r="D3963" i="3" s="1"/>
  <c r="D3987" i="3" s="1"/>
  <c r="D4011" i="3" s="1"/>
  <c r="D3892" i="3"/>
  <c r="D3916" i="3" s="1"/>
  <c r="D3940" i="3" s="1"/>
  <c r="D3964" i="3" s="1"/>
  <c r="D3988" i="3" s="1"/>
  <c r="D4012" i="3" s="1"/>
  <c r="D4036" i="3" s="1"/>
  <c r="D4060" i="3" s="1"/>
  <c r="D4084" i="3" s="1"/>
  <c r="D4108" i="3" s="1"/>
  <c r="D4132" i="3" s="1"/>
  <c r="D4156" i="3" s="1"/>
  <c r="D4180" i="3" s="1"/>
  <c r="D4204" i="3" s="1"/>
  <c r="D4228" i="3" s="1"/>
  <c r="D4252" i="3" s="1"/>
  <c r="D4276" i="3" s="1"/>
  <c r="D4300" i="3" s="1"/>
  <c r="D4324" i="3" s="1"/>
  <c r="D4348" i="3" s="1"/>
  <c r="D4372" i="3" s="1"/>
  <c r="D4396" i="3" s="1"/>
  <c r="D4420" i="3" s="1"/>
  <c r="D4444" i="3" s="1"/>
  <c r="D4468" i="3" s="1"/>
  <c r="D4492" i="3" s="1"/>
  <c r="D4516" i="3" s="1"/>
  <c r="D4540" i="3" s="1"/>
  <c r="D4564" i="3" s="1"/>
  <c r="D4588" i="3" s="1"/>
  <c r="D4612" i="3" s="1"/>
  <c r="D4636" i="3" s="1"/>
  <c r="D4660" i="3" s="1"/>
  <c r="D4684" i="3" s="1"/>
  <c r="D4708" i="3" s="1"/>
  <c r="D4732" i="3" s="1"/>
  <c r="D4756" i="3" s="1"/>
  <c r="D4780" i="3" s="1"/>
  <c r="D4804" i="3" s="1"/>
  <c r="D4828" i="3" s="1"/>
  <c r="D4852" i="3" s="1"/>
  <c r="D4876" i="3" s="1"/>
  <c r="D4900" i="3" s="1"/>
  <c r="D4924" i="3" s="1"/>
  <c r="D4948" i="3" s="1"/>
  <c r="D4972" i="3" s="1"/>
  <c r="D4996" i="3" s="1"/>
  <c r="D5020" i="3" s="1"/>
  <c r="D5044" i="3" s="1"/>
  <c r="D5068" i="3" s="1"/>
  <c r="D5092" i="3" s="1"/>
  <c r="D5116" i="3" s="1"/>
  <c r="D5140" i="3" s="1"/>
  <c r="D5164" i="3" s="1"/>
  <c r="D5188" i="3" s="1"/>
  <c r="D5212" i="3" s="1"/>
  <c r="D5236" i="3" s="1"/>
  <c r="D5260" i="3" s="1"/>
  <c r="D5284" i="3" s="1"/>
  <c r="D5308" i="3" s="1"/>
  <c r="D5332" i="3" s="1"/>
  <c r="D5356" i="3" s="1"/>
  <c r="D5380" i="3" s="1"/>
  <c r="D5404" i="3" s="1"/>
  <c r="D5428" i="3" s="1"/>
  <c r="D5452" i="3" s="1"/>
  <c r="D5476" i="3" s="1"/>
  <c r="D5500" i="3" s="1"/>
  <c r="D5524" i="3" s="1"/>
  <c r="D5548" i="3" s="1"/>
  <c r="D5572" i="3" s="1"/>
  <c r="D5596" i="3" s="1"/>
  <c r="D5620" i="3" s="1"/>
  <c r="D5644" i="3" s="1"/>
  <c r="D5668" i="3" s="1"/>
  <c r="D5692" i="3" s="1"/>
  <c r="D5716" i="3" s="1"/>
  <c r="D5740" i="3" s="1"/>
  <c r="D5764" i="3" s="1"/>
  <c r="D5788" i="3" s="1"/>
  <c r="D5812" i="3" s="1"/>
  <c r="D5836" i="3" s="1"/>
  <c r="D5860" i="3" s="1"/>
  <c r="D5884" i="3" s="1"/>
  <c r="D5908" i="3" s="1"/>
  <c r="D5932" i="3" s="1"/>
  <c r="D5956" i="3" s="1"/>
  <c r="D5980" i="3" s="1"/>
  <c r="D6004" i="3" s="1"/>
  <c r="D6028" i="3" s="1"/>
  <c r="D6052" i="3" s="1"/>
  <c r="D6076" i="3" s="1"/>
  <c r="D6100" i="3" s="1"/>
  <c r="D6124" i="3" s="1"/>
  <c r="D6148" i="3" s="1"/>
  <c r="D6172" i="3" s="1"/>
  <c r="D6196" i="3" s="1"/>
  <c r="D6220" i="3" s="1"/>
  <c r="D6244" i="3" s="1"/>
  <c r="D6268" i="3" s="1"/>
  <c r="D6292" i="3" s="1"/>
  <c r="D6316" i="3" s="1"/>
  <c r="D6340" i="3" s="1"/>
  <c r="D6364" i="3" s="1"/>
  <c r="D6388" i="3" s="1"/>
  <c r="D6412" i="3" s="1"/>
  <c r="D6436" i="3" s="1"/>
  <c r="D6460" i="3" s="1"/>
  <c r="D6484" i="3" s="1"/>
  <c r="D6508" i="3" s="1"/>
  <c r="D6532" i="3" s="1"/>
  <c r="D6556" i="3" s="1"/>
  <c r="D6580" i="3" s="1"/>
  <c r="D6604" i="3" s="1"/>
  <c r="D6628" i="3" s="1"/>
  <c r="D6652" i="3" s="1"/>
  <c r="D6676" i="3" s="1"/>
  <c r="D6700" i="3" s="1"/>
  <c r="D6724" i="3" s="1"/>
  <c r="D6748" i="3" s="1"/>
  <c r="D6772" i="3" s="1"/>
  <c r="D6796" i="3" s="1"/>
  <c r="D6820" i="3" s="1"/>
  <c r="D6844" i="3" s="1"/>
  <c r="D6868" i="3" s="1"/>
  <c r="D6892" i="3" s="1"/>
  <c r="D6916" i="3" s="1"/>
  <c r="D6940" i="3" s="1"/>
  <c r="D6964" i="3" s="1"/>
  <c r="D6988" i="3" s="1"/>
  <c r="D7012" i="3" s="1"/>
  <c r="D7036" i="3" s="1"/>
  <c r="D7060" i="3" s="1"/>
  <c r="D7084" i="3" s="1"/>
  <c r="D7108" i="3" s="1"/>
  <c r="D7132" i="3" s="1"/>
  <c r="D7156" i="3" s="1"/>
  <c r="D7180" i="3" s="1"/>
  <c r="D7204" i="3" s="1"/>
  <c r="D7228" i="3" s="1"/>
  <c r="D7252" i="3" s="1"/>
  <c r="D7276" i="3" s="1"/>
  <c r="D7300" i="3" s="1"/>
  <c r="D7324" i="3" s="1"/>
  <c r="D7348" i="3" s="1"/>
  <c r="D7372" i="3" s="1"/>
  <c r="D7396" i="3" s="1"/>
  <c r="D7420" i="3" s="1"/>
  <c r="D7444" i="3" s="1"/>
  <c r="D7468" i="3" s="1"/>
  <c r="D7492" i="3" s="1"/>
  <c r="D7516" i="3" s="1"/>
  <c r="D7540" i="3" s="1"/>
  <c r="D7564" i="3" s="1"/>
  <c r="D7588" i="3" s="1"/>
  <c r="D7612" i="3" s="1"/>
  <c r="D7636" i="3" s="1"/>
  <c r="D7660" i="3" s="1"/>
  <c r="D7684" i="3" s="1"/>
  <c r="D7708" i="3" s="1"/>
  <c r="D7732" i="3" s="1"/>
  <c r="D7756" i="3" s="1"/>
  <c r="D7780" i="3" s="1"/>
  <c r="D7804" i="3" s="1"/>
  <c r="D7828" i="3" s="1"/>
  <c r="D7852" i="3" s="1"/>
  <c r="D7876" i="3" s="1"/>
  <c r="D7900" i="3" s="1"/>
  <c r="D7924" i="3" s="1"/>
  <c r="D7948" i="3" s="1"/>
  <c r="D7972" i="3" s="1"/>
  <c r="D7996" i="3" s="1"/>
  <c r="D8020" i="3" s="1"/>
  <c r="D8044" i="3" s="1"/>
  <c r="D8068" i="3" s="1"/>
  <c r="D8092" i="3" s="1"/>
  <c r="D8116" i="3" s="1"/>
  <c r="D8140" i="3" s="1"/>
  <c r="D8164" i="3" s="1"/>
  <c r="D8188" i="3" s="1"/>
  <c r="D8212" i="3" s="1"/>
  <c r="D8236" i="3" s="1"/>
  <c r="D8260" i="3" s="1"/>
  <c r="D8284" i="3" s="1"/>
  <c r="D8308" i="3" s="1"/>
  <c r="D8332" i="3" s="1"/>
  <c r="D8356" i="3" s="1"/>
  <c r="D8380" i="3" s="1"/>
  <c r="D8404" i="3" s="1"/>
  <c r="D8428" i="3" s="1"/>
  <c r="D8452" i="3" s="1"/>
  <c r="D8476" i="3" s="1"/>
  <c r="D8500" i="3" s="1"/>
  <c r="D8524" i="3" s="1"/>
  <c r="D8548" i="3" s="1"/>
  <c r="D8572" i="3" s="1"/>
  <c r="D8596" i="3" s="1"/>
  <c r="D8620" i="3" s="1"/>
  <c r="D8644" i="3" s="1"/>
  <c r="D8668" i="3" s="1"/>
  <c r="D8692" i="3" s="1"/>
  <c r="D8716" i="3" s="1"/>
  <c r="D8740" i="3" s="1"/>
  <c r="D8764" i="3" s="1"/>
  <c r="D8788" i="3" s="1"/>
  <c r="D8812" i="3" s="1"/>
  <c r="D8836" i="3" s="1"/>
  <c r="D8860" i="3" s="1"/>
  <c r="D8884" i="3" s="1"/>
  <c r="D8908" i="3" s="1"/>
  <c r="D8932" i="3" s="1"/>
  <c r="D8956" i="3" s="1"/>
  <c r="D8980" i="3" s="1"/>
  <c r="D9004" i="3" s="1"/>
  <c r="D9028" i="3" s="1"/>
  <c r="D9052" i="3" s="1"/>
  <c r="D9076" i="3" s="1"/>
  <c r="D9100" i="3" s="1"/>
  <c r="D9124" i="3" s="1"/>
  <c r="D9148" i="3" s="1"/>
  <c r="D9172" i="3" s="1"/>
  <c r="D9196" i="3" s="1"/>
  <c r="D9220" i="3" s="1"/>
  <c r="D9244" i="3" s="1"/>
  <c r="D9268" i="3" s="1"/>
  <c r="D9292" i="3" s="1"/>
  <c r="D9316" i="3" s="1"/>
  <c r="D9340" i="3" s="1"/>
  <c r="D9364" i="3" s="1"/>
  <c r="D9388" i="3" s="1"/>
  <c r="D9412" i="3" s="1"/>
  <c r="D9436" i="3" s="1"/>
  <c r="D9460" i="3" s="1"/>
  <c r="D9484" i="3" s="1"/>
  <c r="D9508" i="3" s="1"/>
  <c r="D9532" i="3" s="1"/>
  <c r="D9556" i="3" s="1"/>
  <c r="D9580" i="3" s="1"/>
  <c r="D9604" i="3" s="1"/>
  <c r="D9628" i="3" s="1"/>
  <c r="D9652" i="3" s="1"/>
  <c r="D9676" i="3" s="1"/>
  <c r="D9700" i="3" s="1"/>
  <c r="D9724" i="3" s="1"/>
  <c r="D9748" i="3" s="1"/>
  <c r="D9772" i="3" s="1"/>
  <c r="D9796" i="3" s="1"/>
  <c r="D9820" i="3" s="1"/>
  <c r="D9844" i="3" s="1"/>
  <c r="D9868" i="3" s="1"/>
  <c r="D9892" i="3" s="1"/>
  <c r="D9916" i="3" s="1"/>
  <c r="D9940" i="3" s="1"/>
  <c r="D9964" i="3" s="1"/>
  <c r="D9988" i="3" s="1"/>
  <c r="D10012" i="3" s="1"/>
  <c r="D10036" i="3" s="1"/>
  <c r="D10060" i="3" s="1"/>
  <c r="D10084" i="3" s="1"/>
  <c r="D10108" i="3" s="1"/>
  <c r="D10132" i="3" s="1"/>
  <c r="D10156" i="3" s="1"/>
  <c r="D10180" i="3" s="1"/>
  <c r="D10204" i="3" s="1"/>
  <c r="D10228" i="3" s="1"/>
  <c r="D10252" i="3" s="1"/>
  <c r="D10276" i="3" s="1"/>
  <c r="D10300" i="3" s="1"/>
  <c r="D10324" i="3" s="1"/>
  <c r="D10348" i="3" s="1"/>
  <c r="D10372" i="3" s="1"/>
  <c r="D10396" i="3" s="1"/>
  <c r="D10420" i="3" s="1"/>
  <c r="D10444" i="3" s="1"/>
  <c r="D10468" i="3" s="1"/>
  <c r="D10492" i="3" s="1"/>
  <c r="D10516" i="3" s="1"/>
  <c r="D10540" i="3" s="1"/>
  <c r="D10564" i="3" s="1"/>
  <c r="D10588" i="3" s="1"/>
  <c r="D10612" i="3" s="1"/>
  <c r="D10636" i="3" s="1"/>
  <c r="D10660" i="3" s="1"/>
  <c r="D10684" i="3" s="1"/>
  <c r="D10708" i="3" s="1"/>
  <c r="D10732" i="3" s="1"/>
  <c r="D10756" i="3" s="1"/>
  <c r="D10780" i="3" s="1"/>
  <c r="D10804" i="3" s="1"/>
  <c r="D10828" i="3" s="1"/>
  <c r="D10852" i="3" s="1"/>
  <c r="D10876" i="3" s="1"/>
  <c r="D10900" i="3" s="1"/>
  <c r="D10924" i="3" s="1"/>
  <c r="D10948" i="3" s="1"/>
  <c r="D10972" i="3" s="1"/>
  <c r="D3893" i="3"/>
  <c r="D3917" i="3" s="1"/>
  <c r="D3941" i="3" s="1"/>
  <c r="D3965" i="3" s="1"/>
  <c r="D3989" i="3" s="1"/>
  <c r="D4013" i="3" s="1"/>
  <c r="D4037" i="3" s="1"/>
  <c r="D4061" i="3" s="1"/>
  <c r="D4085" i="3" s="1"/>
  <c r="D4109" i="3" s="1"/>
  <c r="D4133" i="3" s="1"/>
  <c r="D4157" i="3" s="1"/>
  <c r="D4181" i="3" s="1"/>
  <c r="D4205" i="3" s="1"/>
  <c r="D4229" i="3" s="1"/>
  <c r="D4253" i="3" s="1"/>
  <c r="D4277" i="3" s="1"/>
  <c r="D4301" i="3" s="1"/>
  <c r="D4325" i="3" s="1"/>
  <c r="D4349" i="3" s="1"/>
  <c r="D4373" i="3" s="1"/>
  <c r="D4397" i="3" s="1"/>
  <c r="D4421" i="3" s="1"/>
  <c r="D4445" i="3" s="1"/>
  <c r="D4469" i="3" s="1"/>
  <c r="D4493" i="3" s="1"/>
  <c r="D4517" i="3" s="1"/>
  <c r="D4541" i="3" s="1"/>
  <c r="D4565" i="3" s="1"/>
  <c r="D4589" i="3" s="1"/>
  <c r="D4613" i="3" s="1"/>
  <c r="D4637" i="3" s="1"/>
  <c r="D4661" i="3" s="1"/>
  <c r="D4685" i="3" s="1"/>
  <c r="D4709" i="3" s="1"/>
  <c r="D4733" i="3" s="1"/>
  <c r="D4757" i="3" s="1"/>
  <c r="D4781" i="3" s="1"/>
  <c r="D4805" i="3" s="1"/>
  <c r="D4829" i="3" s="1"/>
  <c r="D4853" i="3" s="1"/>
  <c r="D4877" i="3" s="1"/>
  <c r="D4901" i="3" s="1"/>
  <c r="D4925" i="3" s="1"/>
  <c r="D4949" i="3" s="1"/>
  <c r="D4973" i="3" s="1"/>
  <c r="D4997" i="3" s="1"/>
  <c r="D5021" i="3" s="1"/>
  <c r="D5045" i="3" s="1"/>
  <c r="D5069" i="3" s="1"/>
  <c r="D5093" i="3" s="1"/>
  <c r="D5117" i="3" s="1"/>
  <c r="D5141" i="3" s="1"/>
  <c r="D5165" i="3" s="1"/>
  <c r="D5189" i="3" s="1"/>
  <c r="D5213" i="3" s="1"/>
  <c r="D5237" i="3" s="1"/>
  <c r="D5261" i="3" s="1"/>
  <c r="D5285" i="3" s="1"/>
  <c r="D5309" i="3" s="1"/>
  <c r="D5333" i="3" s="1"/>
  <c r="D5357" i="3" s="1"/>
  <c r="D5381" i="3" s="1"/>
  <c r="D5405" i="3" s="1"/>
  <c r="D5429" i="3" s="1"/>
  <c r="D5453" i="3" s="1"/>
  <c r="D5477" i="3" s="1"/>
  <c r="D5501" i="3" s="1"/>
  <c r="D5525" i="3" s="1"/>
  <c r="D5549" i="3" s="1"/>
  <c r="D5573" i="3" s="1"/>
  <c r="D5597" i="3" s="1"/>
  <c r="D5621" i="3" s="1"/>
  <c r="D5645" i="3" s="1"/>
  <c r="D5669" i="3" s="1"/>
  <c r="D5693" i="3" s="1"/>
  <c r="D5717" i="3" s="1"/>
  <c r="D5741" i="3" s="1"/>
  <c r="D5765" i="3" s="1"/>
  <c r="D5789" i="3" s="1"/>
  <c r="D5813" i="3" s="1"/>
  <c r="D5837" i="3" s="1"/>
  <c r="D5861" i="3" s="1"/>
  <c r="D5885" i="3" s="1"/>
  <c r="D5909" i="3" s="1"/>
  <c r="D5933" i="3" s="1"/>
  <c r="D5957" i="3" s="1"/>
  <c r="D5981" i="3" s="1"/>
  <c r="D6005" i="3" s="1"/>
  <c r="D6029" i="3" s="1"/>
  <c r="D6053" i="3" s="1"/>
  <c r="D6077" i="3" s="1"/>
  <c r="D6101" i="3" s="1"/>
  <c r="D6125" i="3" s="1"/>
  <c r="D6149" i="3" s="1"/>
  <c r="D6173" i="3" s="1"/>
  <c r="D6197" i="3" s="1"/>
  <c r="D6221" i="3" s="1"/>
  <c r="D6245" i="3" s="1"/>
  <c r="D6269" i="3" s="1"/>
  <c r="D6293" i="3" s="1"/>
  <c r="D6317" i="3" s="1"/>
  <c r="D6341" i="3" s="1"/>
  <c r="D6365" i="3" s="1"/>
  <c r="D6389" i="3" s="1"/>
  <c r="D6413" i="3" s="1"/>
  <c r="D6437" i="3" s="1"/>
  <c r="D6461" i="3" s="1"/>
  <c r="D6485" i="3" s="1"/>
  <c r="D6509" i="3" s="1"/>
  <c r="D6533" i="3" s="1"/>
  <c r="D6557" i="3" s="1"/>
  <c r="D6581" i="3" s="1"/>
  <c r="D6605" i="3" s="1"/>
  <c r="D6629" i="3" s="1"/>
  <c r="D6653" i="3" s="1"/>
  <c r="D6677" i="3" s="1"/>
  <c r="D6701" i="3" s="1"/>
  <c r="D6725" i="3" s="1"/>
  <c r="D6749" i="3" s="1"/>
  <c r="D6773" i="3" s="1"/>
  <c r="D6797" i="3" s="1"/>
  <c r="D6821" i="3" s="1"/>
  <c r="D6845" i="3" s="1"/>
  <c r="D6869" i="3" s="1"/>
  <c r="D6893" i="3" s="1"/>
  <c r="D6917" i="3" s="1"/>
  <c r="D6941" i="3" s="1"/>
  <c r="D6965" i="3" s="1"/>
  <c r="D6989" i="3" s="1"/>
  <c r="D7013" i="3" s="1"/>
  <c r="D7037" i="3" s="1"/>
  <c r="D7061" i="3" s="1"/>
  <c r="D7085" i="3" s="1"/>
  <c r="D7109" i="3" s="1"/>
  <c r="D7133" i="3" s="1"/>
  <c r="D7157" i="3" s="1"/>
  <c r="D7181" i="3" s="1"/>
  <c r="D7205" i="3" s="1"/>
  <c r="D7229" i="3" s="1"/>
  <c r="D7253" i="3" s="1"/>
  <c r="D7277" i="3" s="1"/>
  <c r="D7301" i="3" s="1"/>
  <c r="D7325" i="3" s="1"/>
  <c r="D7349" i="3" s="1"/>
  <c r="D7373" i="3" s="1"/>
  <c r="D7397" i="3" s="1"/>
  <c r="D7421" i="3" s="1"/>
  <c r="D7445" i="3" s="1"/>
  <c r="D7469" i="3" s="1"/>
  <c r="D7493" i="3" s="1"/>
  <c r="D7517" i="3" s="1"/>
  <c r="D7541" i="3" s="1"/>
  <c r="D7565" i="3" s="1"/>
  <c r="D7589" i="3" s="1"/>
  <c r="D7613" i="3" s="1"/>
  <c r="D7637" i="3" s="1"/>
  <c r="D7661" i="3" s="1"/>
  <c r="D7685" i="3" s="1"/>
  <c r="D7709" i="3" s="1"/>
  <c r="D7733" i="3" s="1"/>
  <c r="D7757" i="3" s="1"/>
  <c r="D7781" i="3" s="1"/>
  <c r="D7805" i="3" s="1"/>
  <c r="D7829" i="3" s="1"/>
  <c r="D7853" i="3" s="1"/>
  <c r="D7877" i="3" s="1"/>
  <c r="D7901" i="3" s="1"/>
  <c r="D7925" i="3" s="1"/>
  <c r="D7949" i="3" s="1"/>
  <c r="D7973" i="3" s="1"/>
  <c r="D7997" i="3" s="1"/>
  <c r="D8021" i="3" s="1"/>
  <c r="D8045" i="3" s="1"/>
  <c r="D8069" i="3" s="1"/>
  <c r="D8093" i="3" s="1"/>
  <c r="D8117" i="3" s="1"/>
  <c r="D8141" i="3" s="1"/>
  <c r="D8165" i="3" s="1"/>
  <c r="D8189" i="3" s="1"/>
  <c r="D8213" i="3" s="1"/>
  <c r="D8237" i="3" s="1"/>
  <c r="D8261" i="3" s="1"/>
  <c r="D8285" i="3" s="1"/>
  <c r="D8309" i="3" s="1"/>
  <c r="D8333" i="3" s="1"/>
  <c r="D8357" i="3" s="1"/>
  <c r="D8381" i="3" s="1"/>
  <c r="D8405" i="3" s="1"/>
  <c r="D8429" i="3" s="1"/>
  <c r="D8453" i="3" s="1"/>
  <c r="D8477" i="3" s="1"/>
  <c r="D8501" i="3" s="1"/>
  <c r="D8525" i="3" s="1"/>
  <c r="D8549" i="3" s="1"/>
  <c r="D8573" i="3" s="1"/>
  <c r="D8597" i="3" s="1"/>
  <c r="D8621" i="3" s="1"/>
  <c r="D8645" i="3" s="1"/>
  <c r="D8669" i="3" s="1"/>
  <c r="D8693" i="3" s="1"/>
  <c r="D8717" i="3" s="1"/>
  <c r="D8741" i="3" s="1"/>
  <c r="D8765" i="3" s="1"/>
  <c r="D8789" i="3" s="1"/>
  <c r="D8813" i="3" s="1"/>
  <c r="D8837" i="3" s="1"/>
  <c r="D8861" i="3" s="1"/>
  <c r="D8885" i="3" s="1"/>
  <c r="D8909" i="3" s="1"/>
  <c r="D8933" i="3" s="1"/>
  <c r="D8957" i="3" s="1"/>
  <c r="D8981" i="3" s="1"/>
  <c r="D9005" i="3" s="1"/>
  <c r="D9029" i="3" s="1"/>
  <c r="D9053" i="3" s="1"/>
  <c r="D9077" i="3" s="1"/>
  <c r="D9101" i="3" s="1"/>
  <c r="D9125" i="3" s="1"/>
  <c r="D9149" i="3" s="1"/>
  <c r="D9173" i="3" s="1"/>
  <c r="D9197" i="3" s="1"/>
  <c r="D9221" i="3" s="1"/>
  <c r="D9245" i="3" s="1"/>
  <c r="D9269" i="3" s="1"/>
  <c r="D9293" i="3" s="1"/>
  <c r="D9317" i="3" s="1"/>
  <c r="D9341" i="3" s="1"/>
  <c r="D9365" i="3" s="1"/>
  <c r="D9389" i="3" s="1"/>
  <c r="D9413" i="3" s="1"/>
  <c r="D9437" i="3" s="1"/>
  <c r="D9461" i="3" s="1"/>
  <c r="D9485" i="3" s="1"/>
  <c r="D9509" i="3" s="1"/>
  <c r="D9533" i="3" s="1"/>
  <c r="D9557" i="3" s="1"/>
  <c r="D9581" i="3" s="1"/>
  <c r="D9605" i="3" s="1"/>
  <c r="D9629" i="3" s="1"/>
  <c r="D9653" i="3" s="1"/>
  <c r="D9677" i="3" s="1"/>
  <c r="D9701" i="3" s="1"/>
  <c r="D9725" i="3" s="1"/>
  <c r="D9749" i="3" s="1"/>
  <c r="D9773" i="3" s="1"/>
  <c r="D9797" i="3" s="1"/>
  <c r="D9821" i="3" s="1"/>
  <c r="D9845" i="3" s="1"/>
  <c r="D9869" i="3" s="1"/>
  <c r="D9893" i="3" s="1"/>
  <c r="D9917" i="3" s="1"/>
  <c r="D9941" i="3" s="1"/>
  <c r="D9965" i="3" s="1"/>
  <c r="D9989" i="3" s="1"/>
  <c r="D10013" i="3" s="1"/>
  <c r="D10037" i="3" s="1"/>
  <c r="D10061" i="3" s="1"/>
  <c r="D10085" i="3" s="1"/>
  <c r="D10109" i="3" s="1"/>
  <c r="D10133" i="3" s="1"/>
  <c r="D10157" i="3" s="1"/>
  <c r="D10181" i="3" s="1"/>
  <c r="D10205" i="3" s="1"/>
  <c r="D10229" i="3" s="1"/>
  <c r="D10253" i="3" s="1"/>
  <c r="D10277" i="3" s="1"/>
  <c r="D10301" i="3" s="1"/>
  <c r="D10325" i="3" s="1"/>
  <c r="D10349" i="3" s="1"/>
  <c r="D10373" i="3" s="1"/>
  <c r="D10397" i="3" s="1"/>
  <c r="D10421" i="3" s="1"/>
  <c r="D10445" i="3" s="1"/>
  <c r="D10469" i="3" s="1"/>
  <c r="D10493" i="3" s="1"/>
  <c r="D10517" i="3" s="1"/>
  <c r="D10541" i="3" s="1"/>
  <c r="D10565" i="3" s="1"/>
  <c r="D10589" i="3" s="1"/>
  <c r="D10613" i="3" s="1"/>
  <c r="D10637" i="3" s="1"/>
  <c r="D10661" i="3" s="1"/>
  <c r="D10685" i="3" s="1"/>
  <c r="D10709" i="3" s="1"/>
  <c r="D10733" i="3" s="1"/>
  <c r="D10757" i="3" s="1"/>
  <c r="D10781" i="3" s="1"/>
  <c r="D10805" i="3" s="1"/>
  <c r="D10829" i="3" s="1"/>
  <c r="D10853" i="3" s="1"/>
  <c r="D10877" i="3" s="1"/>
  <c r="D10901" i="3" s="1"/>
  <c r="D10925" i="3" s="1"/>
  <c r="D10949" i="3" s="1"/>
  <c r="D10973" i="3" s="1"/>
  <c r="D3894" i="3"/>
  <c r="D3918" i="3" s="1"/>
  <c r="D3942" i="3" s="1"/>
  <c r="D3966" i="3" s="1"/>
  <c r="D3990" i="3" s="1"/>
  <c r="D4014" i="3" s="1"/>
  <c r="D3895" i="3"/>
  <c r="D3919" i="3" s="1"/>
  <c r="D3943" i="3" s="1"/>
  <c r="D3967" i="3" s="1"/>
  <c r="D3991" i="3" s="1"/>
  <c r="D4015" i="3" s="1"/>
  <c r="D3890" i="3"/>
  <c r="D3914" i="3" s="1"/>
  <c r="D3938" i="3" s="1"/>
  <c r="D3962" i="3" s="1"/>
  <c r="D3986" i="3" s="1"/>
  <c r="D4010" i="3" s="1"/>
  <c r="L164" i="1"/>
  <c r="K164" i="1" s="1"/>
  <c r="AC264" i="23" l="1"/>
  <c r="M264" i="23"/>
  <c r="E276" i="23"/>
  <c r="X263" i="23"/>
  <c r="AF263" i="23"/>
  <c r="R264" i="23"/>
  <c r="C265" i="23"/>
  <c r="K265" i="23" s="1"/>
  <c r="AB279" i="23" s="1"/>
  <c r="Q264" i="23"/>
  <c r="C233" i="1"/>
  <c r="F2625" i="3"/>
  <c r="F2626" i="3"/>
  <c r="F2651" i="3" s="1"/>
  <c r="F2676" i="3" s="1"/>
  <c r="F2701" i="3" s="1"/>
  <c r="F2726" i="3" s="1"/>
  <c r="F2751" i="3" s="1"/>
  <c r="F2776" i="3" s="1"/>
  <c r="F2801" i="3" s="1"/>
  <c r="F2826" i="3" s="1"/>
  <c r="F2876" i="3" s="1"/>
  <c r="F2901" i="3" s="1"/>
  <c r="Q164" i="1"/>
  <c r="D164" i="1"/>
  <c r="AC265" i="23" l="1"/>
  <c r="M265" i="23"/>
  <c r="E277" i="23"/>
  <c r="X264" i="23"/>
  <c r="AF264" i="23"/>
  <c r="R265" i="23"/>
  <c r="C266" i="23"/>
  <c r="K266" i="23" s="1"/>
  <c r="AB280" i="23" s="1"/>
  <c r="Q265" i="23"/>
  <c r="Q233" i="1"/>
  <c r="C234" i="1"/>
  <c r="F2650" i="3"/>
  <c r="F2675" i="3" s="1"/>
  <c r="F2700" i="3" s="1"/>
  <c r="F2725" i="3" s="1"/>
  <c r="F2750" i="3" s="1"/>
  <c r="F2775" i="3" s="1"/>
  <c r="F2800" i="3" s="1"/>
  <c r="F2825" i="3" s="1"/>
  <c r="F2850" i="3" s="1"/>
  <c r="F2900" i="3" s="1"/>
  <c r="F2925" i="3" s="1"/>
  <c r="F2649" i="3"/>
  <c r="L163" i="1"/>
  <c r="K163" i="1" s="1"/>
  <c r="J163" i="1"/>
  <c r="AC266" i="23" l="1"/>
  <c r="M266" i="23"/>
  <c r="E278" i="23"/>
  <c r="X265" i="23"/>
  <c r="AF265" i="23"/>
  <c r="R266" i="23"/>
  <c r="C267" i="23"/>
  <c r="K267" i="23" s="1"/>
  <c r="AB281" i="23" s="1"/>
  <c r="Q266" i="23"/>
  <c r="Q234" i="1"/>
  <c r="C235" i="1"/>
  <c r="F2674" i="3"/>
  <c r="F2699" i="3" s="1"/>
  <c r="F2724" i="3" s="1"/>
  <c r="F2749" i="3" s="1"/>
  <c r="F2774" i="3" s="1"/>
  <c r="F2799" i="3" s="1"/>
  <c r="F2824" i="3" s="1"/>
  <c r="F2849" i="3" s="1"/>
  <c r="F2874" i="3" s="1"/>
  <c r="F2924" i="3" s="1"/>
  <c r="F2949" i="3" s="1"/>
  <c r="F2673" i="3"/>
  <c r="E3867" i="3"/>
  <c r="E3866" i="3"/>
  <c r="Q163" i="1"/>
  <c r="D163" i="1"/>
  <c r="L162" i="1"/>
  <c r="K162" i="1" s="1"/>
  <c r="E3880" i="3"/>
  <c r="E3846" i="3"/>
  <c r="D162" i="1"/>
  <c r="Q162" i="1"/>
  <c r="E279" i="23" l="1"/>
  <c r="AC267" i="23"/>
  <c r="M267" i="23"/>
  <c r="X266" i="23"/>
  <c r="AF266" i="23"/>
  <c r="R267" i="23"/>
  <c r="C268" i="23"/>
  <c r="K268" i="23" s="1"/>
  <c r="AB282" i="23" s="1"/>
  <c r="Q267" i="23"/>
  <c r="C236" i="1"/>
  <c r="Q235" i="1"/>
  <c r="F3894" i="3"/>
  <c r="F3918" i="3" s="1"/>
  <c r="F3942" i="3" s="1"/>
  <c r="F3966" i="3" s="1"/>
  <c r="F3990" i="3" s="1"/>
  <c r="F4014" i="3" s="1"/>
  <c r="F4038" i="3" s="1"/>
  <c r="F4062" i="3" s="1"/>
  <c r="F4086" i="3" s="1"/>
  <c r="F4110" i="3" s="1"/>
  <c r="F4134" i="3" s="1"/>
  <c r="F4158" i="3" s="1"/>
  <c r="F4182" i="3" s="1"/>
  <c r="F4206" i="3" s="1"/>
  <c r="F4230" i="3" s="1"/>
  <c r="F4254" i="3" s="1"/>
  <c r="F4278" i="3" s="1"/>
  <c r="F4302" i="3" s="1"/>
  <c r="F4326" i="3" s="1"/>
  <c r="F4350" i="3" s="1"/>
  <c r="F4374" i="3" s="1"/>
  <c r="F4398" i="3" s="1"/>
  <c r="F4422" i="3" s="1"/>
  <c r="F4446" i="3" s="1"/>
  <c r="F4470" i="3" s="1"/>
  <c r="F4494" i="3" s="1"/>
  <c r="F4518" i="3" s="1"/>
  <c r="F4542" i="3" s="1"/>
  <c r="F4566" i="3" s="1"/>
  <c r="F4590" i="3" s="1"/>
  <c r="F4614" i="3" s="1"/>
  <c r="F4638" i="3" s="1"/>
  <c r="F4662" i="3" s="1"/>
  <c r="F4686" i="3" s="1"/>
  <c r="F4710" i="3" s="1"/>
  <c r="F4734" i="3" s="1"/>
  <c r="F4758" i="3" s="1"/>
  <c r="F4782" i="3" s="1"/>
  <c r="F4806" i="3" s="1"/>
  <c r="F4830" i="3" s="1"/>
  <c r="F4854" i="3" s="1"/>
  <c r="F4878" i="3" s="1"/>
  <c r="F4902" i="3" s="1"/>
  <c r="F4926" i="3" s="1"/>
  <c r="F4950" i="3" s="1"/>
  <c r="F4974" i="3" s="1"/>
  <c r="F4998" i="3" s="1"/>
  <c r="F5022" i="3" s="1"/>
  <c r="F5046" i="3" s="1"/>
  <c r="F5070" i="3" s="1"/>
  <c r="F5094" i="3" s="1"/>
  <c r="F5118" i="3" s="1"/>
  <c r="F5142" i="3" s="1"/>
  <c r="F5166" i="3" s="1"/>
  <c r="F5190" i="3" s="1"/>
  <c r="F5214" i="3" s="1"/>
  <c r="F5238" i="3" s="1"/>
  <c r="F5262" i="3" s="1"/>
  <c r="F5286" i="3" s="1"/>
  <c r="F5310" i="3" s="1"/>
  <c r="F5334" i="3" s="1"/>
  <c r="F5358" i="3" s="1"/>
  <c r="F5382" i="3" s="1"/>
  <c r="F5406" i="3" s="1"/>
  <c r="F5430" i="3" s="1"/>
  <c r="F5454" i="3" s="1"/>
  <c r="F5478" i="3" s="1"/>
  <c r="F5502" i="3" s="1"/>
  <c r="F2697" i="3"/>
  <c r="F2698" i="3"/>
  <c r="F2723" i="3" s="1"/>
  <c r="F2748" i="3" s="1"/>
  <c r="F2773" i="3" s="1"/>
  <c r="F2798" i="3" s="1"/>
  <c r="F2823" i="3" s="1"/>
  <c r="F2848" i="3" s="1"/>
  <c r="F2873" i="3" s="1"/>
  <c r="F2898" i="3" s="1"/>
  <c r="F2948" i="3" s="1"/>
  <c r="F2973" i="3" s="1"/>
  <c r="L161" i="1"/>
  <c r="K161" i="1" s="1"/>
  <c r="Q161" i="1"/>
  <c r="AC268" i="23" l="1"/>
  <c r="M268" i="23"/>
  <c r="E280" i="23"/>
  <c r="X267" i="23"/>
  <c r="AF267" i="23"/>
  <c r="R268" i="23"/>
  <c r="C269" i="23"/>
  <c r="K269" i="23" s="1"/>
  <c r="AB283" i="23" s="1"/>
  <c r="Q268" i="23"/>
  <c r="Q236" i="1"/>
  <c r="C237" i="1"/>
  <c r="F2721" i="3"/>
  <c r="F2722" i="3"/>
  <c r="F2747" i="3" s="1"/>
  <c r="F2772" i="3" s="1"/>
  <c r="F2797" i="3" s="1"/>
  <c r="F2822" i="3" s="1"/>
  <c r="F2847" i="3" s="1"/>
  <c r="F2872" i="3" s="1"/>
  <c r="F2897" i="3" s="1"/>
  <c r="F2922" i="3" s="1"/>
  <c r="F2972" i="3" s="1"/>
  <c r="F2997" i="3" s="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5" i="1"/>
  <c r="T116" i="1"/>
  <c r="T117" i="1"/>
  <c r="T118" i="1"/>
  <c r="T121" i="1"/>
  <c r="T127" i="1"/>
  <c r="T128" i="1"/>
  <c r="T129" i="1"/>
  <c r="T130" i="1"/>
  <c r="T131" i="1"/>
  <c r="T132" i="1"/>
  <c r="T133" i="1"/>
  <c r="T134" i="1"/>
  <c r="T135" i="1"/>
  <c r="T137" i="1"/>
  <c r="T14"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5" i="1"/>
  <c r="S116" i="1"/>
  <c r="S117" i="1"/>
  <c r="S118" i="1"/>
  <c r="S121" i="1"/>
  <c r="S127" i="1"/>
  <c r="S128" i="1"/>
  <c r="S129" i="1"/>
  <c r="S130" i="1"/>
  <c r="S131" i="1"/>
  <c r="S132" i="1"/>
  <c r="S133" i="1"/>
  <c r="S134" i="1"/>
  <c r="S135" i="1"/>
  <c r="S137" i="1"/>
  <c r="L160" i="1"/>
  <c r="K160" i="1" s="1"/>
  <c r="AC269" i="23" l="1"/>
  <c r="M269" i="23"/>
  <c r="E281" i="23"/>
  <c r="X268" i="23"/>
  <c r="AF268" i="23"/>
  <c r="R269" i="23"/>
  <c r="C270" i="23"/>
  <c r="K270" i="23" s="1"/>
  <c r="AB284" i="23" s="1"/>
  <c r="Q269" i="23"/>
  <c r="Q237" i="1"/>
  <c r="C238" i="1"/>
  <c r="F2746" i="3"/>
  <c r="F2771" i="3" s="1"/>
  <c r="F2796" i="3" s="1"/>
  <c r="F2821" i="3" s="1"/>
  <c r="F2846" i="3" s="1"/>
  <c r="F2871" i="3" s="1"/>
  <c r="F2896" i="3" s="1"/>
  <c r="F2921" i="3" s="1"/>
  <c r="F2946" i="3" s="1"/>
  <c r="F2996" i="3" s="1"/>
  <c r="F3021" i="3" s="1"/>
  <c r="F2745" i="3"/>
  <c r="Q160" i="1"/>
  <c r="L159" i="1"/>
  <c r="K159" i="1" s="1"/>
  <c r="J159" i="1"/>
  <c r="E282" i="23" l="1"/>
  <c r="AC270" i="23"/>
  <c r="M270" i="23"/>
  <c r="X269" i="23"/>
  <c r="AF269" i="23"/>
  <c r="R270" i="23"/>
  <c r="C271" i="23"/>
  <c r="K271" i="23" s="1"/>
  <c r="AB285" i="23" s="1"/>
  <c r="Q270" i="23"/>
  <c r="Q238" i="1"/>
  <c r="C239" i="1"/>
  <c r="F2770" i="3"/>
  <c r="F2795" i="3" s="1"/>
  <c r="F2820" i="3" s="1"/>
  <c r="F2845" i="3" s="1"/>
  <c r="F2870" i="3" s="1"/>
  <c r="F2895" i="3" s="1"/>
  <c r="F2920" i="3" s="1"/>
  <c r="F2945" i="3" s="1"/>
  <c r="F2970" i="3" s="1"/>
  <c r="F3020" i="3" s="1"/>
  <c r="F3045" i="3" s="1"/>
  <c r="F2769" i="3"/>
  <c r="E3775" i="3"/>
  <c r="F3775" i="3" s="1"/>
  <c r="F3799" i="3" s="1"/>
  <c r="F3823" i="3" s="1"/>
  <c r="F3847" i="3" s="1"/>
  <c r="F3871" i="3" s="1"/>
  <c r="F3895" i="3" s="1"/>
  <c r="F3919" i="3" s="1"/>
  <c r="F3943" i="3" s="1"/>
  <c r="F3967" i="3" s="1"/>
  <c r="F3991" i="3" s="1"/>
  <c r="F4015" i="3" s="1"/>
  <c r="F4039" i="3" s="1"/>
  <c r="F4063" i="3" s="1"/>
  <c r="F4087" i="3" s="1"/>
  <c r="F4111" i="3" s="1"/>
  <c r="F4135" i="3" s="1"/>
  <c r="F4159" i="3" s="1"/>
  <c r="F4183" i="3" s="1"/>
  <c r="F4207" i="3" s="1"/>
  <c r="F4231" i="3" s="1"/>
  <c r="F4255" i="3" s="1"/>
  <c r="F4279" i="3" s="1"/>
  <c r="F4303" i="3" s="1"/>
  <c r="F4327" i="3" s="1"/>
  <c r="F4351" i="3" s="1"/>
  <c r="F4375" i="3" s="1"/>
  <c r="F4399" i="3" s="1"/>
  <c r="F4423" i="3" s="1"/>
  <c r="F4447" i="3" s="1"/>
  <c r="F4471" i="3" s="1"/>
  <c r="F4495" i="3" s="1"/>
  <c r="F4519" i="3" s="1"/>
  <c r="F4543" i="3" s="1"/>
  <c r="F4567" i="3" s="1"/>
  <c r="F4591" i="3" s="1"/>
  <c r="F4615" i="3" s="1"/>
  <c r="F4639" i="3" s="1"/>
  <c r="F4663" i="3" s="1"/>
  <c r="F4687" i="3" s="1"/>
  <c r="F4711" i="3" s="1"/>
  <c r="F4735" i="3" s="1"/>
  <c r="F4759" i="3" s="1"/>
  <c r="F4783" i="3" s="1"/>
  <c r="F4807" i="3" s="1"/>
  <c r="F4831" i="3" s="1"/>
  <c r="F4855" i="3" s="1"/>
  <c r="F4879" i="3" s="1"/>
  <c r="F4903" i="3" s="1"/>
  <c r="F4927" i="3" s="1"/>
  <c r="F4951" i="3" s="1"/>
  <c r="F4975" i="3" s="1"/>
  <c r="F4999" i="3" s="1"/>
  <c r="F5023" i="3" s="1"/>
  <c r="F5047" i="3" s="1"/>
  <c r="F5071" i="3" s="1"/>
  <c r="F5095" i="3" s="1"/>
  <c r="F5119" i="3" s="1"/>
  <c r="F5143" i="3" s="1"/>
  <c r="F5167" i="3" s="1"/>
  <c r="F5191" i="3" s="1"/>
  <c r="F5215" i="3" s="1"/>
  <c r="F5239" i="3" s="1"/>
  <c r="F5263" i="3" s="1"/>
  <c r="F5287" i="3" s="1"/>
  <c r="F5311" i="3" s="1"/>
  <c r="F5335" i="3" s="1"/>
  <c r="F5359" i="3" s="1"/>
  <c r="F5383" i="3" s="1"/>
  <c r="F5407" i="3" s="1"/>
  <c r="F5431" i="3" s="1"/>
  <c r="F5455" i="3" s="1"/>
  <c r="F5479" i="3" s="1"/>
  <c r="F5503" i="3" s="1"/>
  <c r="E3786" i="3"/>
  <c r="Q159" i="1"/>
  <c r="AC271" i="23" l="1"/>
  <c r="M271" i="23"/>
  <c r="E283" i="23"/>
  <c r="X270" i="23"/>
  <c r="AF270" i="23"/>
  <c r="R271" i="23"/>
  <c r="C272" i="23"/>
  <c r="K272" i="23" s="1"/>
  <c r="AB286" i="23" s="1"/>
  <c r="Q271" i="23"/>
  <c r="C240" i="1"/>
  <c r="Q239" i="1"/>
  <c r="F2793" i="3"/>
  <c r="F2794" i="3"/>
  <c r="F2819" i="3" s="1"/>
  <c r="F2844" i="3" s="1"/>
  <c r="F2869" i="3" s="1"/>
  <c r="F2894" i="3" s="1"/>
  <c r="F2919" i="3" s="1"/>
  <c r="F2944" i="3" s="1"/>
  <c r="F2969" i="3" s="1"/>
  <c r="F2994" i="3" s="1"/>
  <c r="F3044" i="3" s="1"/>
  <c r="F3069" i="3" s="1"/>
  <c r="E3790" i="3"/>
  <c r="E3781" i="3"/>
  <c r="L158" i="1"/>
  <c r="K158" i="1" s="1"/>
  <c r="E284" i="23" l="1"/>
  <c r="AC272" i="23"/>
  <c r="M272" i="23"/>
  <c r="X271" i="23"/>
  <c r="AF271" i="23"/>
  <c r="R272" i="23"/>
  <c r="C273" i="23"/>
  <c r="K273" i="23" s="1"/>
  <c r="AB287" i="23" s="1"/>
  <c r="Q272" i="23"/>
  <c r="Q240" i="1"/>
  <c r="C241" i="1"/>
  <c r="F2817" i="3"/>
  <c r="F2818" i="3"/>
  <c r="F2843" i="3" s="1"/>
  <c r="F2868" i="3" s="1"/>
  <c r="F2893" i="3" s="1"/>
  <c r="F2918" i="3" s="1"/>
  <c r="F2943" i="3" s="1"/>
  <c r="F2968" i="3" s="1"/>
  <c r="F2993" i="3" s="1"/>
  <c r="F3018" i="3" s="1"/>
  <c r="F3068" i="3" s="1"/>
  <c r="F3093" i="3" s="1"/>
  <c r="E3746" i="3"/>
  <c r="E3748" i="3"/>
  <c r="Q158" i="1"/>
  <c r="AC273" i="23" l="1"/>
  <c r="M273" i="23"/>
  <c r="E285" i="23"/>
  <c r="X272" i="23"/>
  <c r="AF272" i="23"/>
  <c r="R273" i="23"/>
  <c r="C274" i="23"/>
  <c r="K274" i="23" s="1"/>
  <c r="AB288" i="23" s="1"/>
  <c r="Q273" i="23"/>
  <c r="C242" i="1"/>
  <c r="Q241" i="1"/>
  <c r="F2842" i="3"/>
  <c r="F2867" i="3" s="1"/>
  <c r="F2892" i="3" s="1"/>
  <c r="F2917" i="3" s="1"/>
  <c r="F2942" i="3" s="1"/>
  <c r="F2967" i="3" s="1"/>
  <c r="F2992" i="3" s="1"/>
  <c r="F3017" i="3" s="1"/>
  <c r="F3042" i="3" s="1"/>
  <c r="F3092" i="3" s="1"/>
  <c r="F3117" i="3" s="1"/>
  <c r="F2841" i="3"/>
  <c r="L157" i="1"/>
  <c r="K157" i="1" s="1"/>
  <c r="E3768" i="3"/>
  <c r="F3768" i="3" s="1"/>
  <c r="F3792" i="3" s="1"/>
  <c r="F3816" i="3" s="1"/>
  <c r="F3840" i="3" s="1"/>
  <c r="F3864" i="3" s="1"/>
  <c r="F3888" i="3" s="1"/>
  <c r="F3912" i="3" s="1"/>
  <c r="F3936" i="3" s="1"/>
  <c r="F3960" i="3" s="1"/>
  <c r="F3984" i="3" s="1"/>
  <c r="F4008" i="3" s="1"/>
  <c r="F4032" i="3" s="1"/>
  <c r="F4056" i="3" s="1"/>
  <c r="F4080" i="3" s="1"/>
  <c r="F4104" i="3" s="1"/>
  <c r="F4128" i="3" s="1"/>
  <c r="F4152" i="3" s="1"/>
  <c r="F4176" i="3" s="1"/>
  <c r="F4200" i="3" s="1"/>
  <c r="F4224" i="3" s="1"/>
  <c r="F4248" i="3" s="1"/>
  <c r="F4272" i="3" s="1"/>
  <c r="F4296" i="3" s="1"/>
  <c r="F4320" i="3" s="1"/>
  <c r="F4344" i="3" s="1"/>
  <c r="F4368" i="3" s="1"/>
  <c r="F4392" i="3" s="1"/>
  <c r="F4416" i="3" s="1"/>
  <c r="F4440" i="3" s="1"/>
  <c r="F4464" i="3" s="1"/>
  <c r="F4488" i="3" s="1"/>
  <c r="F4512" i="3" s="1"/>
  <c r="F4536" i="3" s="1"/>
  <c r="F4560" i="3" s="1"/>
  <c r="F4584" i="3" s="1"/>
  <c r="F4608" i="3" s="1"/>
  <c r="F4632" i="3" s="1"/>
  <c r="F4656" i="3" s="1"/>
  <c r="F4680" i="3" s="1"/>
  <c r="F4704" i="3" s="1"/>
  <c r="F4728" i="3" s="1"/>
  <c r="F4752" i="3" s="1"/>
  <c r="F4776" i="3" s="1"/>
  <c r="F4800" i="3" s="1"/>
  <c r="F4824" i="3" s="1"/>
  <c r="F4848" i="3" s="1"/>
  <c r="F4872" i="3" s="1"/>
  <c r="F4896" i="3" s="1"/>
  <c r="F4920" i="3" s="1"/>
  <c r="F4944" i="3" s="1"/>
  <c r="F4968" i="3" s="1"/>
  <c r="F4992" i="3" s="1"/>
  <c r="F5016" i="3" s="1"/>
  <c r="F5040" i="3" s="1"/>
  <c r="F5064" i="3" s="1"/>
  <c r="F5088" i="3" s="1"/>
  <c r="F5112" i="3" s="1"/>
  <c r="F5136" i="3" s="1"/>
  <c r="F5160" i="3" s="1"/>
  <c r="F5184" i="3" s="1"/>
  <c r="F5208" i="3" s="1"/>
  <c r="F5232" i="3" s="1"/>
  <c r="F5256" i="3" s="1"/>
  <c r="F5280" i="3" s="1"/>
  <c r="F5304" i="3" s="1"/>
  <c r="F5328" i="3" s="1"/>
  <c r="F5352" i="3" s="1"/>
  <c r="F5376" i="3" s="1"/>
  <c r="F5400" i="3" s="1"/>
  <c r="F5424" i="3" s="1"/>
  <c r="F5448" i="3" s="1"/>
  <c r="F5472" i="3" s="1"/>
  <c r="F5496" i="3" s="1"/>
  <c r="F5520" i="3" s="1"/>
  <c r="F5544" i="3" s="1"/>
  <c r="F5568" i="3" s="1"/>
  <c r="F5592" i="3" s="1"/>
  <c r="F5616" i="3" s="1"/>
  <c r="F5640" i="3" s="1"/>
  <c r="F5664" i="3" s="1"/>
  <c r="F5688" i="3" s="1"/>
  <c r="F5712" i="3" s="1"/>
  <c r="F5736" i="3" s="1"/>
  <c r="F5760" i="3" s="1"/>
  <c r="F5784" i="3" s="1"/>
  <c r="F5808" i="3" s="1"/>
  <c r="F5832" i="3" s="1"/>
  <c r="F5856" i="3" s="1"/>
  <c r="F5880" i="3" s="1"/>
  <c r="F5904" i="3" s="1"/>
  <c r="F5928" i="3" s="1"/>
  <c r="F5952" i="3" s="1"/>
  <c r="F5976" i="3" s="1"/>
  <c r="F6000" i="3" s="1"/>
  <c r="F6024" i="3" s="1"/>
  <c r="F6048" i="3" s="1"/>
  <c r="F6072" i="3" s="1"/>
  <c r="F6096" i="3" s="1"/>
  <c r="F6120" i="3" s="1"/>
  <c r="F6144" i="3" s="1"/>
  <c r="F6168" i="3" s="1"/>
  <c r="F6192" i="3" s="1"/>
  <c r="F6216" i="3" s="1"/>
  <c r="F6240" i="3" s="1"/>
  <c r="F6264" i="3" s="1"/>
  <c r="F6288" i="3" s="1"/>
  <c r="F6312" i="3" s="1"/>
  <c r="F6336" i="3" s="1"/>
  <c r="F6360" i="3" s="1"/>
  <c r="F6384" i="3" s="1"/>
  <c r="F6408" i="3" s="1"/>
  <c r="F6432" i="3" s="1"/>
  <c r="F6456" i="3" s="1"/>
  <c r="F6480" i="3" s="1"/>
  <c r="F6504" i="3" s="1"/>
  <c r="F6528" i="3" s="1"/>
  <c r="F6552" i="3" s="1"/>
  <c r="F6576" i="3" s="1"/>
  <c r="F6600" i="3" s="1"/>
  <c r="F6624" i="3" s="1"/>
  <c r="F6648" i="3" s="1"/>
  <c r="F6672" i="3" s="1"/>
  <c r="F6696" i="3" s="1"/>
  <c r="F6720" i="3" s="1"/>
  <c r="F6744" i="3" s="1"/>
  <c r="F6768" i="3" s="1"/>
  <c r="F6792" i="3" s="1"/>
  <c r="F6816" i="3" s="1"/>
  <c r="F6840" i="3" s="1"/>
  <c r="F6864" i="3" s="1"/>
  <c r="F6888" i="3" s="1"/>
  <c r="F6912" i="3" s="1"/>
  <c r="F6936" i="3" s="1"/>
  <c r="F6960" i="3" s="1"/>
  <c r="F6984" i="3" s="1"/>
  <c r="F7008" i="3" s="1"/>
  <c r="F7032" i="3" s="1"/>
  <c r="F7056" i="3" s="1"/>
  <c r="F7080" i="3" s="1"/>
  <c r="F7104" i="3" s="1"/>
  <c r="F7128" i="3" s="1"/>
  <c r="F7152" i="3" s="1"/>
  <c r="F7176" i="3" s="1"/>
  <c r="F7200" i="3" s="1"/>
  <c r="F7224" i="3" s="1"/>
  <c r="F7248" i="3" s="1"/>
  <c r="F7272" i="3" s="1"/>
  <c r="F7296" i="3" s="1"/>
  <c r="F7320" i="3" s="1"/>
  <c r="F7344" i="3" s="1"/>
  <c r="F7368" i="3" s="1"/>
  <c r="F7392" i="3" s="1"/>
  <c r="F7416" i="3" s="1"/>
  <c r="F7440" i="3" s="1"/>
  <c r="F7464" i="3" s="1"/>
  <c r="F7488" i="3" s="1"/>
  <c r="F7512" i="3" s="1"/>
  <c r="F7536" i="3" s="1"/>
  <c r="F7560" i="3" s="1"/>
  <c r="F7584" i="3" s="1"/>
  <c r="F7608" i="3" s="1"/>
  <c r="F7632" i="3" s="1"/>
  <c r="F7656" i="3" s="1"/>
  <c r="F7680" i="3" s="1"/>
  <c r="F7704" i="3" s="1"/>
  <c r="F7728" i="3" s="1"/>
  <c r="F7752" i="3" s="1"/>
  <c r="F7776" i="3" s="1"/>
  <c r="F7800" i="3" s="1"/>
  <c r="F7824" i="3" s="1"/>
  <c r="F7848" i="3" s="1"/>
  <c r="F7872" i="3" s="1"/>
  <c r="F7896" i="3" s="1"/>
  <c r="F7920" i="3" s="1"/>
  <c r="F7944" i="3" s="1"/>
  <c r="F7968" i="3" s="1"/>
  <c r="F8016" i="3" s="1"/>
  <c r="E3769" i="3"/>
  <c r="F3769" i="3" s="1"/>
  <c r="F3793" i="3" s="1"/>
  <c r="F3817" i="3" s="1"/>
  <c r="F3841" i="3" s="1"/>
  <c r="F3865" i="3" s="1"/>
  <c r="F3889" i="3" s="1"/>
  <c r="F3913" i="3" s="1"/>
  <c r="F3937" i="3" s="1"/>
  <c r="F3961" i="3" s="1"/>
  <c r="F3985" i="3" s="1"/>
  <c r="F4009" i="3" s="1"/>
  <c r="F4033" i="3" s="1"/>
  <c r="F4057" i="3" s="1"/>
  <c r="F4081" i="3" s="1"/>
  <c r="F4105" i="3" s="1"/>
  <c r="F4129" i="3" s="1"/>
  <c r="F4153" i="3" s="1"/>
  <c r="F4177" i="3" s="1"/>
  <c r="F4201" i="3" s="1"/>
  <c r="F4225" i="3" s="1"/>
  <c r="F4249" i="3" s="1"/>
  <c r="F4273" i="3" s="1"/>
  <c r="F4297" i="3" s="1"/>
  <c r="F4321" i="3" s="1"/>
  <c r="F4345" i="3" s="1"/>
  <c r="F4369" i="3" s="1"/>
  <c r="F4393" i="3" s="1"/>
  <c r="F4417" i="3" s="1"/>
  <c r="F4441" i="3" s="1"/>
  <c r="F4465" i="3" s="1"/>
  <c r="F4489" i="3" s="1"/>
  <c r="F4513" i="3" s="1"/>
  <c r="F4537" i="3" s="1"/>
  <c r="F4561" i="3" s="1"/>
  <c r="F4585" i="3" s="1"/>
  <c r="F4609" i="3" s="1"/>
  <c r="F4633" i="3" s="1"/>
  <c r="F4657" i="3" s="1"/>
  <c r="F4681" i="3" s="1"/>
  <c r="F4705" i="3" s="1"/>
  <c r="F4729" i="3" s="1"/>
  <c r="F4753" i="3" s="1"/>
  <c r="F4777" i="3" s="1"/>
  <c r="F4801" i="3" s="1"/>
  <c r="F4825" i="3" s="1"/>
  <c r="F4849" i="3" s="1"/>
  <c r="F4873" i="3" s="1"/>
  <c r="F4897" i="3" s="1"/>
  <c r="F4921" i="3" s="1"/>
  <c r="F4945" i="3" s="1"/>
  <c r="F4969" i="3" s="1"/>
  <c r="F4993" i="3" s="1"/>
  <c r="F5017" i="3" s="1"/>
  <c r="F5041" i="3" s="1"/>
  <c r="F5065" i="3" s="1"/>
  <c r="F5089" i="3" s="1"/>
  <c r="F5113" i="3" s="1"/>
  <c r="F5137" i="3" s="1"/>
  <c r="F5161" i="3" s="1"/>
  <c r="F5185" i="3" s="1"/>
  <c r="F5209" i="3" s="1"/>
  <c r="F5233" i="3" s="1"/>
  <c r="F5257" i="3" s="1"/>
  <c r="F5281" i="3" s="1"/>
  <c r="F5305" i="3" s="1"/>
  <c r="F5329" i="3" s="1"/>
  <c r="F5353" i="3" s="1"/>
  <c r="F5377" i="3" s="1"/>
  <c r="F5401" i="3" s="1"/>
  <c r="F5425" i="3" s="1"/>
  <c r="F5449" i="3" s="1"/>
  <c r="F5473" i="3" s="1"/>
  <c r="F5497" i="3" s="1"/>
  <c r="F5521" i="3" s="1"/>
  <c r="AC274" i="23" l="1"/>
  <c r="M274" i="23"/>
  <c r="E286" i="23"/>
  <c r="X273" i="23"/>
  <c r="AF273" i="23"/>
  <c r="R274" i="23"/>
  <c r="C275" i="23"/>
  <c r="K275" i="23" s="1"/>
  <c r="AB289" i="23" s="1"/>
  <c r="Q274" i="23"/>
  <c r="F8040" i="3"/>
  <c r="F8064" i="3" s="1"/>
  <c r="F8088" i="3" s="1"/>
  <c r="F8112" i="3" s="1"/>
  <c r="F8136" i="3" s="1"/>
  <c r="F8160" i="3" s="1"/>
  <c r="F8184" i="3" s="1"/>
  <c r="F8208" i="3" s="1"/>
  <c r="F8232" i="3" s="1"/>
  <c r="F8256" i="3" s="1"/>
  <c r="F8280" i="3" s="1"/>
  <c r="F8304" i="3" s="1"/>
  <c r="F8328" i="3" s="1"/>
  <c r="F8352" i="3" s="1"/>
  <c r="F8376" i="3" s="1"/>
  <c r="F8400" i="3" s="1"/>
  <c r="F8424" i="3" s="1"/>
  <c r="F8448" i="3" s="1"/>
  <c r="F8472" i="3" s="1"/>
  <c r="F8496" i="3" s="1"/>
  <c r="F8520" i="3" s="1"/>
  <c r="F8544" i="3" s="1"/>
  <c r="F8568" i="3" s="1"/>
  <c r="F8592" i="3" s="1"/>
  <c r="F8616" i="3" s="1"/>
  <c r="F8640" i="3" s="1"/>
  <c r="F8664" i="3" s="1"/>
  <c r="F8688" i="3" s="1"/>
  <c r="F8712" i="3" s="1"/>
  <c r="F8736" i="3" s="1"/>
  <c r="F8760" i="3" s="1"/>
  <c r="F8784" i="3" s="1"/>
  <c r="F8808" i="3" s="1"/>
  <c r="F8832" i="3" s="1"/>
  <c r="F8856" i="3" s="1"/>
  <c r="F8880" i="3" s="1"/>
  <c r="F8904" i="3" s="1"/>
  <c r="F8928" i="3" s="1"/>
  <c r="F8952" i="3" s="1"/>
  <c r="F8976" i="3" s="1"/>
  <c r="F9000" i="3" s="1"/>
  <c r="F9024" i="3" s="1"/>
  <c r="F9048" i="3" s="1"/>
  <c r="F9072" i="3" s="1"/>
  <c r="F9096" i="3" s="1"/>
  <c r="F9120" i="3" s="1"/>
  <c r="F9144" i="3" s="1"/>
  <c r="F9168" i="3" s="1"/>
  <c r="F9192" i="3" s="1"/>
  <c r="F9216" i="3" s="1"/>
  <c r="F9240" i="3" s="1"/>
  <c r="F9264" i="3" s="1"/>
  <c r="F9288" i="3" s="1"/>
  <c r="F9312" i="3" s="1"/>
  <c r="F9336" i="3" s="1"/>
  <c r="F9360" i="3" s="1"/>
  <c r="F9384" i="3" s="1"/>
  <c r="F9408" i="3" s="1"/>
  <c r="F9432" i="3" s="1"/>
  <c r="F9456" i="3" s="1"/>
  <c r="F9480" i="3" s="1"/>
  <c r="F9504" i="3" s="1"/>
  <c r="F9528" i="3" s="1"/>
  <c r="F9552" i="3" s="1"/>
  <c r="F9576" i="3" s="1"/>
  <c r="F9600" i="3" s="1"/>
  <c r="F9624" i="3" s="1"/>
  <c r="F9648" i="3" s="1"/>
  <c r="F9672" i="3" s="1"/>
  <c r="F9696" i="3" s="1"/>
  <c r="F9720" i="3" s="1"/>
  <c r="F9744" i="3" s="1"/>
  <c r="F9768" i="3" s="1"/>
  <c r="F9792" i="3" s="1"/>
  <c r="F9816" i="3" s="1"/>
  <c r="F9840" i="3" s="1"/>
  <c r="F9864" i="3" s="1"/>
  <c r="F9888" i="3" s="1"/>
  <c r="F9912" i="3" s="1"/>
  <c r="F9936" i="3" s="1"/>
  <c r="F9960" i="3" s="1"/>
  <c r="F9984" i="3" s="1"/>
  <c r="F10008" i="3" s="1"/>
  <c r="Q242" i="1"/>
  <c r="C243" i="1"/>
  <c r="F2865" i="3"/>
  <c r="F2866" i="3"/>
  <c r="F2891" i="3" s="1"/>
  <c r="F2916" i="3" s="1"/>
  <c r="F2941" i="3" s="1"/>
  <c r="F2966" i="3" s="1"/>
  <c r="F2991" i="3" s="1"/>
  <c r="F3016" i="3" s="1"/>
  <c r="F3041" i="3" s="1"/>
  <c r="F3066" i="3" s="1"/>
  <c r="F3116" i="3" s="1"/>
  <c r="F3141" i="3" s="1"/>
  <c r="E3726" i="3"/>
  <c r="E3722" i="3"/>
  <c r="E3742" i="3"/>
  <c r="F3742" i="3" s="1"/>
  <c r="F3766" i="3" s="1"/>
  <c r="F3790" i="3" s="1"/>
  <c r="F3814" i="3" s="1"/>
  <c r="F3838" i="3" s="1"/>
  <c r="F3862" i="3" s="1"/>
  <c r="F3886" i="3" s="1"/>
  <c r="F3910" i="3" s="1"/>
  <c r="F3934" i="3" s="1"/>
  <c r="F3958" i="3" s="1"/>
  <c r="F3982" i="3" s="1"/>
  <c r="F4006" i="3" s="1"/>
  <c r="F4030" i="3" s="1"/>
  <c r="F4054" i="3" s="1"/>
  <c r="F4078" i="3" s="1"/>
  <c r="F4102" i="3" s="1"/>
  <c r="F4126" i="3" s="1"/>
  <c r="F4150" i="3" s="1"/>
  <c r="F4174" i="3" s="1"/>
  <c r="F4198" i="3" s="1"/>
  <c r="F4222" i="3" s="1"/>
  <c r="F4246" i="3" s="1"/>
  <c r="F4270" i="3" s="1"/>
  <c r="F4294" i="3" s="1"/>
  <c r="F4318" i="3" s="1"/>
  <c r="F4342" i="3" s="1"/>
  <c r="F4366" i="3" s="1"/>
  <c r="F4390" i="3" s="1"/>
  <c r="F4414" i="3" s="1"/>
  <c r="F4438" i="3" s="1"/>
  <c r="F4462" i="3" s="1"/>
  <c r="F4486" i="3" s="1"/>
  <c r="F4510" i="3" s="1"/>
  <c r="F4534" i="3" s="1"/>
  <c r="F4558" i="3" s="1"/>
  <c r="F4582" i="3" s="1"/>
  <c r="F4606" i="3" s="1"/>
  <c r="F4630" i="3" s="1"/>
  <c r="F4654" i="3" s="1"/>
  <c r="F4678" i="3" s="1"/>
  <c r="F4702" i="3" s="1"/>
  <c r="F4726" i="3" s="1"/>
  <c r="F4750" i="3" s="1"/>
  <c r="F4774" i="3" s="1"/>
  <c r="F4798" i="3" s="1"/>
  <c r="F4822" i="3" s="1"/>
  <c r="F4846" i="3" s="1"/>
  <c r="F4870" i="3" s="1"/>
  <c r="F4894" i="3" s="1"/>
  <c r="F4918" i="3" s="1"/>
  <c r="F4942" i="3" s="1"/>
  <c r="F4966" i="3" s="1"/>
  <c r="F4990" i="3" s="1"/>
  <c r="F5014" i="3" s="1"/>
  <c r="F5038" i="3" s="1"/>
  <c r="F5062" i="3" s="1"/>
  <c r="F5086" i="3" s="1"/>
  <c r="F5110" i="3" s="1"/>
  <c r="F5134" i="3" s="1"/>
  <c r="F5158" i="3" s="1"/>
  <c r="F5182" i="3" s="1"/>
  <c r="F5206" i="3" s="1"/>
  <c r="F5230" i="3" s="1"/>
  <c r="F5254" i="3" s="1"/>
  <c r="F5278" i="3" s="1"/>
  <c r="F5302" i="3" s="1"/>
  <c r="F5326" i="3" s="1"/>
  <c r="F5350" i="3" s="1"/>
  <c r="F5374" i="3" s="1"/>
  <c r="F5398" i="3" s="1"/>
  <c r="F5422" i="3" s="1"/>
  <c r="F5446" i="3" s="1"/>
  <c r="F5470" i="3" s="1"/>
  <c r="F5494" i="3" s="1"/>
  <c r="F5518" i="3" s="1"/>
  <c r="Q157" i="1"/>
  <c r="D157" i="1"/>
  <c r="AC275" i="23" l="1"/>
  <c r="M275" i="23"/>
  <c r="E287" i="23"/>
  <c r="X274" i="23"/>
  <c r="AF274" i="23"/>
  <c r="R275" i="23"/>
  <c r="C276" i="23"/>
  <c r="K276" i="23" s="1"/>
  <c r="AB290" i="23" s="1"/>
  <c r="Q275" i="23"/>
  <c r="Q243" i="1"/>
  <c r="C244" i="1"/>
  <c r="F2890" i="3"/>
  <c r="F2915" i="3" s="1"/>
  <c r="F2940" i="3" s="1"/>
  <c r="F2965" i="3" s="1"/>
  <c r="F2990" i="3" s="1"/>
  <c r="F3015" i="3" s="1"/>
  <c r="F3040" i="3" s="1"/>
  <c r="F3065" i="3" s="1"/>
  <c r="F3090" i="3" s="1"/>
  <c r="F3140" i="3" s="1"/>
  <c r="F3165" i="3" s="1"/>
  <c r="F2889" i="3"/>
  <c r="E3702" i="3"/>
  <c r="E3736" i="3"/>
  <c r="L156" i="1"/>
  <c r="K156" i="1" s="1"/>
  <c r="J156" i="1"/>
  <c r="J157" i="1" s="1"/>
  <c r="AC276" i="23" l="1"/>
  <c r="M276" i="23"/>
  <c r="E288" i="23"/>
  <c r="X275" i="23"/>
  <c r="AF275" i="23"/>
  <c r="R276" i="23"/>
  <c r="C277" i="23"/>
  <c r="K277" i="23" s="1"/>
  <c r="AB291" i="23" s="1"/>
  <c r="Q276" i="23"/>
  <c r="Q244" i="1"/>
  <c r="C245" i="1"/>
  <c r="F2913" i="3"/>
  <c r="F2914" i="3"/>
  <c r="F2939" i="3" s="1"/>
  <c r="F2964" i="3" s="1"/>
  <c r="F2989" i="3" s="1"/>
  <c r="F3014" i="3" s="1"/>
  <c r="F3039" i="3" s="1"/>
  <c r="F3064" i="3" s="1"/>
  <c r="F3089" i="3" s="1"/>
  <c r="F3114" i="3" s="1"/>
  <c r="F3164" i="3" s="1"/>
  <c r="F3189" i="3" s="1"/>
  <c r="Q156" i="1"/>
  <c r="D156" i="1"/>
  <c r="L155" i="1"/>
  <c r="K155" i="1" s="1"/>
  <c r="AC277" i="23" l="1"/>
  <c r="M277" i="23"/>
  <c r="E289" i="23"/>
  <c r="X276" i="23"/>
  <c r="AF276" i="23"/>
  <c r="R277" i="23"/>
  <c r="C278" i="23"/>
  <c r="K278" i="23" s="1"/>
  <c r="AB292" i="23" s="1"/>
  <c r="Q277" i="23"/>
  <c r="Q245" i="1"/>
  <c r="C246" i="1"/>
  <c r="F2938" i="3"/>
  <c r="F2963" i="3" s="1"/>
  <c r="F2988" i="3" s="1"/>
  <c r="F3013" i="3" s="1"/>
  <c r="F3038" i="3" s="1"/>
  <c r="F3063" i="3" s="1"/>
  <c r="F3088" i="3" s="1"/>
  <c r="F3113" i="3" s="1"/>
  <c r="F3138" i="3" s="1"/>
  <c r="F3188" i="3" s="1"/>
  <c r="F3213" i="3" s="1"/>
  <c r="F2937" i="3"/>
  <c r="E3676" i="3"/>
  <c r="E3686" i="3"/>
  <c r="E3688" i="3"/>
  <c r="Q155" i="1"/>
  <c r="AC278" i="23" l="1"/>
  <c r="M278" i="23"/>
  <c r="E290" i="23"/>
  <c r="X277" i="23"/>
  <c r="AF277" i="23"/>
  <c r="C279" i="23"/>
  <c r="K279" i="23" s="1"/>
  <c r="AB293" i="23" s="1"/>
  <c r="R278" i="23"/>
  <c r="Q278" i="23"/>
  <c r="T278" i="23"/>
  <c r="Q246" i="1"/>
  <c r="C247" i="1"/>
  <c r="F2962" i="3"/>
  <c r="F2987" i="3" s="1"/>
  <c r="F3012" i="3" s="1"/>
  <c r="F3037" i="3" s="1"/>
  <c r="F3062" i="3" s="1"/>
  <c r="F3087" i="3" s="1"/>
  <c r="F3112" i="3" s="1"/>
  <c r="F3137" i="3" s="1"/>
  <c r="F3162" i="3" s="1"/>
  <c r="F3212" i="3" s="1"/>
  <c r="F3237" i="3" s="1"/>
  <c r="F2961" i="3"/>
  <c r="L154" i="1"/>
  <c r="K154" i="1" s="1"/>
  <c r="Q154" i="1"/>
  <c r="E291" i="23" l="1"/>
  <c r="AC279" i="23"/>
  <c r="M279" i="23"/>
  <c r="X278" i="23"/>
  <c r="AF278" i="23"/>
  <c r="Q279" i="23"/>
  <c r="R279" i="23"/>
  <c r="C280" i="23"/>
  <c r="K280" i="23" s="1"/>
  <c r="AB294" i="23" s="1"/>
  <c r="T279" i="23"/>
  <c r="Q247" i="1"/>
  <c r="C248" i="1"/>
  <c r="F2985" i="3"/>
  <c r="F2986" i="3"/>
  <c r="F3011" i="3" s="1"/>
  <c r="F3036" i="3" s="1"/>
  <c r="F3061" i="3" s="1"/>
  <c r="F3086" i="3" s="1"/>
  <c r="F3111" i="3" s="1"/>
  <c r="F3136" i="3" s="1"/>
  <c r="F3161" i="3" s="1"/>
  <c r="F3186" i="3" s="1"/>
  <c r="F3236" i="3" s="1"/>
  <c r="F3261" i="3" s="1"/>
  <c r="D154" i="1"/>
  <c r="E154" i="1" s="1"/>
  <c r="AC280" i="23" l="1"/>
  <c r="M280" i="23"/>
  <c r="E292" i="23"/>
  <c r="X279" i="23"/>
  <c r="AF279" i="23"/>
  <c r="T280" i="23"/>
  <c r="R280" i="23"/>
  <c r="C281" i="23"/>
  <c r="K281" i="23" s="1"/>
  <c r="AB295" i="23" s="1"/>
  <c r="Q280" i="23"/>
  <c r="Q248" i="1"/>
  <c r="C249" i="1"/>
  <c r="F3009" i="3"/>
  <c r="F3010" i="3"/>
  <c r="F3035" i="3" s="1"/>
  <c r="F3060" i="3" s="1"/>
  <c r="F3085" i="3" s="1"/>
  <c r="F3110" i="3" s="1"/>
  <c r="F3135" i="3" s="1"/>
  <c r="F3160" i="3" s="1"/>
  <c r="F3185" i="3" s="1"/>
  <c r="F3210" i="3" s="1"/>
  <c r="F3260" i="3" s="1"/>
  <c r="F3285" i="3" s="1"/>
  <c r="E155" i="1"/>
  <c r="L153" i="1"/>
  <c r="K153" i="1" s="1"/>
  <c r="Q153" i="1"/>
  <c r="D153" i="1"/>
  <c r="E293" i="23" l="1"/>
  <c r="AC281" i="23"/>
  <c r="M281" i="23"/>
  <c r="X280" i="23"/>
  <c r="AF280" i="23"/>
  <c r="C282" i="23"/>
  <c r="K282" i="23" s="1"/>
  <c r="AB296" i="23" s="1"/>
  <c r="Q281" i="23"/>
  <c r="T281" i="23"/>
  <c r="R281" i="23"/>
  <c r="Q249" i="1"/>
  <c r="C250" i="1"/>
  <c r="F3033" i="3"/>
  <c r="F3034" i="3"/>
  <c r="F3059" i="3" s="1"/>
  <c r="F3084" i="3" s="1"/>
  <c r="F3109" i="3" s="1"/>
  <c r="F3134" i="3" s="1"/>
  <c r="F3159" i="3" s="1"/>
  <c r="F3184" i="3" s="1"/>
  <c r="F3209" i="3" s="1"/>
  <c r="F3234" i="3" s="1"/>
  <c r="F3284" i="3" s="1"/>
  <c r="F3309" i="3" s="1"/>
  <c r="E156" i="1"/>
  <c r="L152" i="1"/>
  <c r="K152" i="1" s="1"/>
  <c r="J152" i="1"/>
  <c r="E3606" i="3"/>
  <c r="D152" i="1"/>
  <c r="Q152" i="1"/>
  <c r="AC282" i="23" l="1"/>
  <c r="M282" i="23"/>
  <c r="E294" i="23"/>
  <c r="X281" i="23"/>
  <c r="AF281" i="23"/>
  <c r="C283" i="23"/>
  <c r="K283" i="23" s="1"/>
  <c r="AB297" i="23" s="1"/>
  <c r="R282" i="23"/>
  <c r="Q282" i="23"/>
  <c r="T282" i="23"/>
  <c r="Q250" i="1"/>
  <c r="C251" i="1"/>
  <c r="F3057" i="3"/>
  <c r="F3058" i="3"/>
  <c r="F3083" i="3" s="1"/>
  <c r="F3108" i="3" s="1"/>
  <c r="F3133" i="3" s="1"/>
  <c r="F3158" i="3" s="1"/>
  <c r="F3183" i="3" s="1"/>
  <c r="F3208" i="3" s="1"/>
  <c r="F3233" i="3" s="1"/>
  <c r="F3258" i="3" s="1"/>
  <c r="F3308" i="3" s="1"/>
  <c r="F3333" i="3" s="1"/>
  <c r="E157" i="1"/>
  <c r="E3578" i="3"/>
  <c r="Q151" i="1"/>
  <c r="L151" i="1"/>
  <c r="K151" i="1" s="1"/>
  <c r="E3582" i="3"/>
  <c r="D151" i="1"/>
  <c r="L150" i="1"/>
  <c r="K150" i="1" s="1"/>
  <c r="Q150" i="1"/>
  <c r="E150" i="1"/>
  <c r="E3554" i="3"/>
  <c r="AC283" i="23" l="1"/>
  <c r="M283" i="23"/>
  <c r="E295" i="23"/>
  <c r="X282" i="23"/>
  <c r="AF282" i="23"/>
  <c r="Q283" i="23"/>
  <c r="T283" i="23"/>
  <c r="R283" i="23"/>
  <c r="C284" i="23"/>
  <c r="K284" i="23" s="1"/>
  <c r="AB298" i="23" s="1"/>
  <c r="Q251" i="1"/>
  <c r="C252" i="1"/>
  <c r="F3081" i="3"/>
  <c r="F3082" i="3"/>
  <c r="F3107" i="3" s="1"/>
  <c r="F3132" i="3" s="1"/>
  <c r="F3157" i="3" s="1"/>
  <c r="F3182" i="3" s="1"/>
  <c r="F3207" i="3" s="1"/>
  <c r="F3232" i="3" s="1"/>
  <c r="F3257" i="3" s="1"/>
  <c r="F3282" i="3" s="1"/>
  <c r="F3332" i="3" s="1"/>
  <c r="F3357" i="3" s="1"/>
  <c r="E151" i="1"/>
  <c r="E158" i="1"/>
  <c r="R158" i="1" s="1"/>
  <c r="E3556" i="3"/>
  <c r="F3556" i="3" s="1"/>
  <c r="F3580" i="3" s="1"/>
  <c r="F3604" i="3" s="1"/>
  <c r="F3628" i="3" s="1"/>
  <c r="F3652" i="3" s="1"/>
  <c r="F3676" i="3" s="1"/>
  <c r="F3700" i="3" s="1"/>
  <c r="F3724" i="3" s="1"/>
  <c r="F3748" i="3" s="1"/>
  <c r="F3772" i="3" s="1"/>
  <c r="F3796" i="3" s="1"/>
  <c r="F3820" i="3" s="1"/>
  <c r="F3844" i="3" s="1"/>
  <c r="F3869" i="3" s="1"/>
  <c r="F3893" i="3" s="1"/>
  <c r="F3917" i="3" s="1"/>
  <c r="F3941" i="3" s="1"/>
  <c r="F3965" i="3" s="1"/>
  <c r="F3989" i="3" s="1"/>
  <c r="F4013" i="3" s="1"/>
  <c r="F4037" i="3" s="1"/>
  <c r="F4061" i="3" s="1"/>
  <c r="F4085" i="3" s="1"/>
  <c r="F4109" i="3" s="1"/>
  <c r="F4133" i="3" s="1"/>
  <c r="F4157" i="3" s="1"/>
  <c r="F4181" i="3" s="1"/>
  <c r="F4205" i="3" s="1"/>
  <c r="F4229" i="3" s="1"/>
  <c r="F4253" i="3" s="1"/>
  <c r="F4277" i="3" s="1"/>
  <c r="F4301" i="3" s="1"/>
  <c r="F4325" i="3" s="1"/>
  <c r="F4349" i="3" s="1"/>
  <c r="F4373" i="3" s="1"/>
  <c r="F4397" i="3" s="1"/>
  <c r="F4421" i="3" s="1"/>
  <c r="F4445" i="3" s="1"/>
  <c r="F4469" i="3" s="1"/>
  <c r="F4493" i="3" s="1"/>
  <c r="F4517" i="3" s="1"/>
  <c r="F4541" i="3" s="1"/>
  <c r="F4565" i="3" s="1"/>
  <c r="F4589" i="3" s="1"/>
  <c r="F4613" i="3" s="1"/>
  <c r="F4637" i="3" s="1"/>
  <c r="F4661" i="3" s="1"/>
  <c r="F4685" i="3" s="1"/>
  <c r="F4709" i="3" s="1"/>
  <c r="F4733" i="3" s="1"/>
  <c r="F4757" i="3" s="1"/>
  <c r="F4781" i="3" s="1"/>
  <c r="F4805" i="3" s="1"/>
  <c r="F4829" i="3" s="1"/>
  <c r="F4853" i="3" s="1"/>
  <c r="F4877" i="3" s="1"/>
  <c r="F4901" i="3" s="1"/>
  <c r="F4925" i="3" s="1"/>
  <c r="F4949" i="3" s="1"/>
  <c r="F4973" i="3" s="1"/>
  <c r="F4997" i="3" s="1"/>
  <c r="F5021" i="3" s="1"/>
  <c r="F5045" i="3" s="1"/>
  <c r="F5069" i="3" s="1"/>
  <c r="F5093" i="3" s="1"/>
  <c r="F5117" i="3" s="1"/>
  <c r="F5141" i="3" s="1"/>
  <c r="F5165" i="3" s="1"/>
  <c r="F5189" i="3" s="1"/>
  <c r="F5213" i="3" s="1"/>
  <c r="F5237" i="3" s="1"/>
  <c r="F5261" i="3" s="1"/>
  <c r="F5285" i="3" s="1"/>
  <c r="F5309" i="3" s="1"/>
  <c r="F5333" i="3" s="1"/>
  <c r="F5357" i="3" s="1"/>
  <c r="F5381" i="3" s="1"/>
  <c r="F5405" i="3" s="1"/>
  <c r="F5429" i="3" s="1"/>
  <c r="F5453" i="3" s="1"/>
  <c r="F5477" i="3" s="1"/>
  <c r="F5501" i="3" s="1"/>
  <c r="E3569" i="3"/>
  <c r="L149" i="1"/>
  <c r="K149" i="1" s="1"/>
  <c r="L148" i="1"/>
  <c r="E3534" i="3"/>
  <c r="E3530" i="3"/>
  <c r="Q149" i="1"/>
  <c r="D149" i="1"/>
  <c r="J148" i="1"/>
  <c r="E3506" i="3"/>
  <c r="Q148" i="1"/>
  <c r="D148" i="1"/>
  <c r="E296" i="23" l="1"/>
  <c r="AC284" i="23"/>
  <c r="M284" i="23"/>
  <c r="X283" i="23"/>
  <c r="AF283" i="23"/>
  <c r="T284" i="23"/>
  <c r="R284" i="23"/>
  <c r="C285" i="23"/>
  <c r="K285" i="23" s="1"/>
  <c r="AB299" i="23" s="1"/>
  <c r="Q284" i="23"/>
  <c r="Q252" i="1"/>
  <c r="C253" i="1"/>
  <c r="F3105" i="3"/>
  <c r="F3106" i="3"/>
  <c r="F3131" i="3" s="1"/>
  <c r="F3156" i="3" s="1"/>
  <c r="F3181" i="3" s="1"/>
  <c r="F3206" i="3" s="1"/>
  <c r="F3231" i="3" s="1"/>
  <c r="F3256" i="3" s="1"/>
  <c r="F3281" i="3" s="1"/>
  <c r="F3306" i="3" s="1"/>
  <c r="F3356" i="3" s="1"/>
  <c r="F3381" i="3" s="1"/>
  <c r="E159" i="1"/>
  <c r="R159" i="1" s="1"/>
  <c r="E152" i="1"/>
  <c r="L147" i="1"/>
  <c r="K147" i="1" s="1"/>
  <c r="Q147" i="1"/>
  <c r="Q146" i="1"/>
  <c r="L146" i="1"/>
  <c r="K146" i="1" s="1"/>
  <c r="E3458" i="3"/>
  <c r="AC285" i="23" l="1"/>
  <c r="M285" i="23"/>
  <c r="E297" i="23"/>
  <c r="X284" i="23"/>
  <c r="AF284" i="23"/>
  <c r="Q285" i="23"/>
  <c r="R285" i="23"/>
  <c r="C286" i="23"/>
  <c r="K286" i="23" s="1"/>
  <c r="AB300" i="23" s="1"/>
  <c r="T285" i="23"/>
  <c r="Q253" i="1"/>
  <c r="C254" i="1"/>
  <c r="F3129" i="3"/>
  <c r="F3130" i="3"/>
  <c r="F3155" i="3" s="1"/>
  <c r="F3180" i="3" s="1"/>
  <c r="F3205" i="3" s="1"/>
  <c r="F3230" i="3" s="1"/>
  <c r="F3255" i="3" s="1"/>
  <c r="F3280" i="3" s="1"/>
  <c r="F3305" i="3" s="1"/>
  <c r="F3330" i="3" s="1"/>
  <c r="F3380" i="3" s="1"/>
  <c r="F3405" i="3" s="1"/>
  <c r="E160" i="1"/>
  <c r="R160" i="1" s="1"/>
  <c r="J145" i="1"/>
  <c r="E298" i="23" l="1"/>
  <c r="AC286" i="23"/>
  <c r="M286" i="23"/>
  <c r="X285" i="23"/>
  <c r="AF285" i="23"/>
  <c r="T286" i="23"/>
  <c r="C287" i="23"/>
  <c r="K287" i="23" s="1"/>
  <c r="AB301" i="23" s="1"/>
  <c r="R286" i="23"/>
  <c r="Q286" i="23"/>
  <c r="C255" i="1"/>
  <c r="Q254" i="1"/>
  <c r="F3153" i="3"/>
  <c r="F3154" i="3"/>
  <c r="F3179" i="3" s="1"/>
  <c r="F3204" i="3" s="1"/>
  <c r="F3229" i="3" s="1"/>
  <c r="F3254" i="3" s="1"/>
  <c r="F3279" i="3" s="1"/>
  <c r="F3304" i="3" s="1"/>
  <c r="F3329" i="3" s="1"/>
  <c r="F3354" i="3" s="1"/>
  <c r="F3404" i="3" s="1"/>
  <c r="F3429" i="3" s="1"/>
  <c r="E161" i="1"/>
  <c r="E3438" i="3"/>
  <c r="E3434" i="3"/>
  <c r="D145" i="1"/>
  <c r="Q145" i="1"/>
  <c r="AC287" i="23" l="1"/>
  <c r="M287" i="23"/>
  <c r="E299" i="23"/>
  <c r="X286" i="23"/>
  <c r="AF286" i="23"/>
  <c r="Q287" i="23"/>
  <c r="R287" i="23"/>
  <c r="C288" i="23"/>
  <c r="K288" i="23" s="1"/>
  <c r="AB302" i="23" s="1"/>
  <c r="T287" i="23"/>
  <c r="S161" i="1"/>
  <c r="R161" i="1"/>
  <c r="C256" i="1"/>
  <c r="Q255" i="1"/>
  <c r="F3177" i="3"/>
  <c r="F3178" i="3"/>
  <c r="F3203" i="3" s="1"/>
  <c r="F3228" i="3" s="1"/>
  <c r="F3253" i="3" s="1"/>
  <c r="F3278" i="3" s="1"/>
  <c r="F3303" i="3" s="1"/>
  <c r="F3328" i="3" s="1"/>
  <c r="F3353" i="3" s="1"/>
  <c r="F3378" i="3" s="1"/>
  <c r="F3428" i="3" s="1"/>
  <c r="F3453" i="3" s="1"/>
  <c r="E162" i="1"/>
  <c r="R162" i="1" s="1"/>
  <c r="E3414" i="3"/>
  <c r="E3410" i="3"/>
  <c r="E300" i="23" l="1"/>
  <c r="AC288" i="23"/>
  <c r="M288" i="23"/>
  <c r="X287" i="23"/>
  <c r="AF287" i="23"/>
  <c r="C289" i="23"/>
  <c r="K289" i="23" s="1"/>
  <c r="AB303" i="23" s="1"/>
  <c r="R288" i="23"/>
  <c r="T288" i="23"/>
  <c r="Q288" i="23"/>
  <c r="Q256" i="1"/>
  <c r="C257" i="1"/>
  <c r="T162" i="1"/>
  <c r="S162" i="1"/>
  <c r="F3201" i="3"/>
  <c r="F3202" i="3"/>
  <c r="F3227" i="3" s="1"/>
  <c r="F3252" i="3" s="1"/>
  <c r="F3277" i="3" s="1"/>
  <c r="F3302" i="3" s="1"/>
  <c r="F3327" i="3" s="1"/>
  <c r="F3352" i="3" s="1"/>
  <c r="F3377" i="3" s="1"/>
  <c r="F3402" i="3" s="1"/>
  <c r="F3452" i="3" s="1"/>
  <c r="F3477" i="3" s="1"/>
  <c r="E163" i="1"/>
  <c r="R163" i="1" s="1"/>
  <c r="Q144" i="1"/>
  <c r="D144" i="1"/>
  <c r="AC289" i="23" l="1"/>
  <c r="M289" i="23"/>
  <c r="E301" i="23"/>
  <c r="X288" i="23"/>
  <c r="AF288" i="23"/>
  <c r="Q289" i="23"/>
  <c r="C290" i="23"/>
  <c r="K290" i="23" s="1"/>
  <c r="AB304" i="23" s="1"/>
  <c r="T289" i="23"/>
  <c r="R289" i="23"/>
  <c r="Q257" i="1"/>
  <c r="C258" i="1"/>
  <c r="S163" i="1"/>
  <c r="T163" i="1"/>
  <c r="F3225" i="3"/>
  <c r="F3226" i="3"/>
  <c r="E164" i="1"/>
  <c r="R164" i="1" s="1"/>
  <c r="J143" i="1"/>
  <c r="E3390" i="3"/>
  <c r="E3386" i="3"/>
  <c r="Q143" i="1"/>
  <c r="AC290" i="23" l="1"/>
  <c r="M290" i="23"/>
  <c r="E302" i="23"/>
  <c r="X289" i="23"/>
  <c r="AF289" i="23"/>
  <c r="T290" i="23"/>
  <c r="C291" i="23"/>
  <c r="K291" i="23" s="1"/>
  <c r="AB305" i="23" s="1"/>
  <c r="R290" i="23"/>
  <c r="Q290" i="23"/>
  <c r="Q258" i="1"/>
  <c r="C259" i="1"/>
  <c r="S164" i="1"/>
  <c r="T164" i="1"/>
  <c r="F3251" i="3"/>
  <c r="F3276" i="3" s="1"/>
  <c r="F3301" i="3" s="1"/>
  <c r="F3326" i="3" s="1"/>
  <c r="F3351" i="3" s="1"/>
  <c r="F3376" i="3" s="1"/>
  <c r="F3401" i="3" s="1"/>
  <c r="F3426" i="3" s="1"/>
  <c r="F3476" i="3" s="1"/>
  <c r="F3501" i="3" s="1"/>
  <c r="F3250" i="3"/>
  <c r="F3274" i="3" s="1"/>
  <c r="F3298" i="3" s="1"/>
  <c r="F3322" i="3" s="1"/>
  <c r="F3346" i="3" s="1"/>
  <c r="F3370" i="3" s="1"/>
  <c r="F3394" i="3" s="1"/>
  <c r="F3418" i="3" s="1"/>
  <c r="F3442" i="3" s="1"/>
  <c r="F3466" i="3" s="1"/>
  <c r="F3490" i="3" s="1"/>
  <c r="F3514" i="3" s="1"/>
  <c r="F3538" i="3" s="1"/>
  <c r="F3562" i="3" s="1"/>
  <c r="F3586" i="3" s="1"/>
  <c r="F3610" i="3" s="1"/>
  <c r="F3634" i="3" s="1"/>
  <c r="F3658" i="3" s="1"/>
  <c r="F3682" i="3" s="1"/>
  <c r="F3706" i="3" s="1"/>
  <c r="F3730" i="3" s="1"/>
  <c r="F3754" i="3" s="1"/>
  <c r="F3778" i="3" s="1"/>
  <c r="F3802" i="3" s="1"/>
  <c r="F3826" i="3" s="1"/>
  <c r="F3850" i="3" s="1"/>
  <c r="F3874" i="3" s="1"/>
  <c r="F3898" i="3" s="1"/>
  <c r="F3922" i="3" s="1"/>
  <c r="F3946" i="3" s="1"/>
  <c r="F3970" i="3" s="1"/>
  <c r="F3994" i="3" s="1"/>
  <c r="F4018" i="3" s="1"/>
  <c r="F4042" i="3" s="1"/>
  <c r="F4066" i="3" s="1"/>
  <c r="F4090" i="3" s="1"/>
  <c r="F4114" i="3" s="1"/>
  <c r="F4138" i="3" s="1"/>
  <c r="F4162" i="3" s="1"/>
  <c r="F4186" i="3" s="1"/>
  <c r="F4210" i="3" s="1"/>
  <c r="F4234" i="3" s="1"/>
  <c r="F4258" i="3" s="1"/>
  <c r="F4282" i="3" s="1"/>
  <c r="F4306" i="3" s="1"/>
  <c r="F4330" i="3" s="1"/>
  <c r="F4354" i="3" s="1"/>
  <c r="F4378" i="3" s="1"/>
  <c r="F4402" i="3" s="1"/>
  <c r="F4426" i="3" s="1"/>
  <c r="F4450" i="3" s="1"/>
  <c r="F4474" i="3" s="1"/>
  <c r="F4498" i="3" s="1"/>
  <c r="F4522" i="3" s="1"/>
  <c r="F4546" i="3" s="1"/>
  <c r="F4570" i="3" s="1"/>
  <c r="F4594" i="3" s="1"/>
  <c r="F4618" i="3" s="1"/>
  <c r="F4642" i="3" s="1"/>
  <c r="F4666" i="3" s="1"/>
  <c r="F4690" i="3" s="1"/>
  <c r="F4714" i="3" s="1"/>
  <c r="F4738" i="3" s="1"/>
  <c r="F4762" i="3" s="1"/>
  <c r="F4786" i="3" s="1"/>
  <c r="F4810" i="3" s="1"/>
  <c r="F4834" i="3" s="1"/>
  <c r="F4858" i="3" s="1"/>
  <c r="F4882" i="3" s="1"/>
  <c r="F4906" i="3" s="1"/>
  <c r="F4930" i="3" s="1"/>
  <c r="F4954" i="3" s="1"/>
  <c r="F4978" i="3" s="1"/>
  <c r="F5002" i="3" s="1"/>
  <c r="F5026" i="3" s="1"/>
  <c r="F5050" i="3" s="1"/>
  <c r="F5074" i="3" s="1"/>
  <c r="F5098" i="3" s="1"/>
  <c r="F5122" i="3" s="1"/>
  <c r="F5146" i="3" s="1"/>
  <c r="F5170" i="3" s="1"/>
  <c r="F5194" i="3" s="1"/>
  <c r="F5218" i="3" s="1"/>
  <c r="F5242" i="3" s="1"/>
  <c r="F5266" i="3" s="1"/>
  <c r="F5290" i="3" s="1"/>
  <c r="F5314" i="3" s="1"/>
  <c r="F5338" i="3" s="1"/>
  <c r="F5362" i="3" s="1"/>
  <c r="F5386" i="3" s="1"/>
  <c r="F5410" i="3" s="1"/>
  <c r="F5434" i="3" s="1"/>
  <c r="F5458" i="3" s="1"/>
  <c r="F5482" i="3" s="1"/>
  <c r="F5506" i="3" s="1"/>
  <c r="F5530" i="3" s="1"/>
  <c r="F5554" i="3" s="1"/>
  <c r="F5578" i="3" s="1"/>
  <c r="F5602" i="3" s="1"/>
  <c r="F5626" i="3" s="1"/>
  <c r="F5650" i="3" s="1"/>
  <c r="F5674" i="3" s="1"/>
  <c r="F5698" i="3" s="1"/>
  <c r="F5722" i="3" s="1"/>
  <c r="F5746" i="3" s="1"/>
  <c r="F5770" i="3" s="1"/>
  <c r="F5794" i="3" s="1"/>
  <c r="F5818" i="3" s="1"/>
  <c r="F5842" i="3" s="1"/>
  <c r="F5866" i="3" s="1"/>
  <c r="F5890" i="3" s="1"/>
  <c r="F5914" i="3" s="1"/>
  <c r="F5938" i="3" s="1"/>
  <c r="F5962" i="3" s="1"/>
  <c r="F5986" i="3" s="1"/>
  <c r="F6010" i="3" s="1"/>
  <c r="F6034" i="3" s="1"/>
  <c r="F6058" i="3" s="1"/>
  <c r="F6082" i="3" s="1"/>
  <c r="F6106" i="3" s="1"/>
  <c r="F6130" i="3" s="1"/>
  <c r="F6154" i="3" s="1"/>
  <c r="F6178" i="3" s="1"/>
  <c r="F6202" i="3" s="1"/>
  <c r="F6226" i="3" s="1"/>
  <c r="F6250" i="3" s="1"/>
  <c r="F6274" i="3" s="1"/>
  <c r="F6298" i="3" s="1"/>
  <c r="F6322" i="3" s="1"/>
  <c r="F6346" i="3" s="1"/>
  <c r="F6370" i="3" s="1"/>
  <c r="F6394" i="3" s="1"/>
  <c r="F6418" i="3" s="1"/>
  <c r="F6442" i="3" s="1"/>
  <c r="F6466" i="3" s="1"/>
  <c r="F6490" i="3" s="1"/>
  <c r="F6514" i="3" s="1"/>
  <c r="F6538" i="3" s="1"/>
  <c r="F6562" i="3" s="1"/>
  <c r="F6586" i="3" s="1"/>
  <c r="F6610" i="3" s="1"/>
  <c r="F6634" i="3" s="1"/>
  <c r="F6658" i="3" s="1"/>
  <c r="F6682" i="3" s="1"/>
  <c r="F6706" i="3" s="1"/>
  <c r="F6730" i="3" s="1"/>
  <c r="F6754" i="3" s="1"/>
  <c r="F6778" i="3" s="1"/>
  <c r="F6802" i="3" s="1"/>
  <c r="F6826" i="3" s="1"/>
  <c r="F6850" i="3" s="1"/>
  <c r="F6874" i="3" s="1"/>
  <c r="F6898" i="3" s="1"/>
  <c r="F6922" i="3" s="1"/>
  <c r="F6946" i="3" s="1"/>
  <c r="F6970" i="3" s="1"/>
  <c r="F6994" i="3" s="1"/>
  <c r="F7018" i="3" s="1"/>
  <c r="F7042" i="3" s="1"/>
  <c r="F7066" i="3" s="1"/>
  <c r="F7090" i="3" s="1"/>
  <c r="F7114" i="3" s="1"/>
  <c r="F7138" i="3" s="1"/>
  <c r="F7162" i="3" s="1"/>
  <c r="F7186" i="3" s="1"/>
  <c r="F7210" i="3" s="1"/>
  <c r="F7234" i="3" s="1"/>
  <c r="F7258" i="3" s="1"/>
  <c r="F7282" i="3" s="1"/>
  <c r="F7306" i="3" s="1"/>
  <c r="F7330" i="3" s="1"/>
  <c r="F7354" i="3" s="1"/>
  <c r="F7378" i="3" s="1"/>
  <c r="F7402" i="3" s="1"/>
  <c r="F7426" i="3" s="1"/>
  <c r="F7450" i="3" s="1"/>
  <c r="F7474" i="3" s="1"/>
  <c r="F7498" i="3" s="1"/>
  <c r="F7522" i="3" s="1"/>
  <c r="F7546" i="3" s="1"/>
  <c r="F7570" i="3" s="1"/>
  <c r="F7594" i="3" s="1"/>
  <c r="F7618" i="3" s="1"/>
  <c r="F7642" i="3" s="1"/>
  <c r="F7666" i="3" s="1"/>
  <c r="F7690" i="3" s="1"/>
  <c r="F7714" i="3" s="1"/>
  <c r="F7738" i="3" s="1"/>
  <c r="F7762" i="3" s="1"/>
  <c r="F7786" i="3" s="1"/>
  <c r="F7810" i="3" s="1"/>
  <c r="F7834" i="3" s="1"/>
  <c r="F7858" i="3" s="1"/>
  <c r="F7882" i="3" s="1"/>
  <c r="F7906" i="3" s="1"/>
  <c r="F7930" i="3" s="1"/>
  <c r="F7954" i="3" s="1"/>
  <c r="F8002" i="3" s="1"/>
  <c r="F8026" i="3" s="1"/>
  <c r="F3249" i="3"/>
  <c r="E165" i="1"/>
  <c r="R165" i="1" s="1"/>
  <c r="AC291" i="23" l="1"/>
  <c r="M291" i="23"/>
  <c r="E303" i="23"/>
  <c r="X290" i="23"/>
  <c r="AF290" i="23"/>
  <c r="Q291" i="23"/>
  <c r="C292" i="23"/>
  <c r="K292" i="23" s="1"/>
  <c r="AB306" i="23" s="1"/>
  <c r="T291" i="23"/>
  <c r="R291" i="23"/>
  <c r="F8050" i="3"/>
  <c r="F8074" i="3" s="1"/>
  <c r="F8098" i="3" s="1"/>
  <c r="F8122" i="3" s="1"/>
  <c r="F8146" i="3" s="1"/>
  <c r="F8170" i="3" s="1"/>
  <c r="F8194" i="3" s="1"/>
  <c r="F8218" i="3" s="1"/>
  <c r="F8242" i="3" s="1"/>
  <c r="F8266" i="3" s="1"/>
  <c r="F8290" i="3" s="1"/>
  <c r="F8314" i="3" s="1"/>
  <c r="F8338" i="3" s="1"/>
  <c r="F8362" i="3" s="1"/>
  <c r="F8386" i="3" s="1"/>
  <c r="F8410" i="3" s="1"/>
  <c r="F8434" i="3" s="1"/>
  <c r="F8458" i="3" s="1"/>
  <c r="F8482" i="3" s="1"/>
  <c r="F8506" i="3" s="1"/>
  <c r="F8530" i="3" s="1"/>
  <c r="F8554" i="3" s="1"/>
  <c r="F8578" i="3" s="1"/>
  <c r="F8602" i="3" s="1"/>
  <c r="F8626" i="3" s="1"/>
  <c r="F8650" i="3" s="1"/>
  <c r="F8674" i="3" s="1"/>
  <c r="F8698" i="3" s="1"/>
  <c r="F8722" i="3" s="1"/>
  <c r="F8746" i="3" s="1"/>
  <c r="F8770" i="3" s="1"/>
  <c r="F8794" i="3" s="1"/>
  <c r="F8818" i="3" s="1"/>
  <c r="F8842" i="3" s="1"/>
  <c r="F8866" i="3" s="1"/>
  <c r="F8890" i="3" s="1"/>
  <c r="F8914" i="3" s="1"/>
  <c r="F8938" i="3" s="1"/>
  <c r="F8962" i="3" s="1"/>
  <c r="F8986" i="3" s="1"/>
  <c r="F9010" i="3" s="1"/>
  <c r="F9034" i="3" s="1"/>
  <c r="F9058" i="3" s="1"/>
  <c r="F9082" i="3" s="1"/>
  <c r="F9106" i="3" s="1"/>
  <c r="F9130" i="3" s="1"/>
  <c r="F9154" i="3" s="1"/>
  <c r="F9178" i="3" s="1"/>
  <c r="F9202" i="3" s="1"/>
  <c r="F9226" i="3" s="1"/>
  <c r="F9250" i="3" s="1"/>
  <c r="F9274" i="3" s="1"/>
  <c r="F9298" i="3" s="1"/>
  <c r="F9322" i="3" s="1"/>
  <c r="F9346" i="3" s="1"/>
  <c r="F9370" i="3" s="1"/>
  <c r="F9394" i="3" s="1"/>
  <c r="F9418" i="3" s="1"/>
  <c r="F9442" i="3" s="1"/>
  <c r="F9466" i="3" s="1"/>
  <c r="F9490" i="3" s="1"/>
  <c r="F9514" i="3" s="1"/>
  <c r="F9538" i="3" s="1"/>
  <c r="F9562" i="3" s="1"/>
  <c r="F9586" i="3" s="1"/>
  <c r="F9610" i="3" s="1"/>
  <c r="F9634" i="3" s="1"/>
  <c r="F9658" i="3" s="1"/>
  <c r="F9682" i="3" s="1"/>
  <c r="F9706" i="3" s="1"/>
  <c r="F9730" i="3" s="1"/>
  <c r="F9754" i="3" s="1"/>
  <c r="F9778" i="3" s="1"/>
  <c r="F9802" i="3" s="1"/>
  <c r="F9826" i="3" s="1"/>
  <c r="F9850" i="3" s="1"/>
  <c r="F9874" i="3" s="1"/>
  <c r="F9898" i="3" s="1"/>
  <c r="F9922" i="3" s="1"/>
  <c r="F9946" i="3" s="1"/>
  <c r="F9970" i="3" s="1"/>
  <c r="F9994" i="3" s="1"/>
  <c r="C260" i="1"/>
  <c r="Q259" i="1"/>
  <c r="S165" i="1"/>
  <c r="T165" i="1"/>
  <c r="F3275" i="3"/>
  <c r="F3300" i="3" s="1"/>
  <c r="F3325" i="3" s="1"/>
  <c r="F3350" i="3" s="1"/>
  <c r="F3375" i="3" s="1"/>
  <c r="F3400" i="3" s="1"/>
  <c r="F3425" i="3" s="1"/>
  <c r="F3450" i="3" s="1"/>
  <c r="F3500" i="3" s="1"/>
  <c r="F3525" i="3" s="1"/>
  <c r="F3299" i="3"/>
  <c r="F3324" i="3" s="1"/>
  <c r="F3349" i="3" s="1"/>
  <c r="F3374" i="3" s="1"/>
  <c r="F3399" i="3" s="1"/>
  <c r="F3424" i="3" s="1"/>
  <c r="F3449" i="3" s="1"/>
  <c r="F3474" i="3" s="1"/>
  <c r="F3524" i="3" s="1"/>
  <c r="F3549" i="3" s="1"/>
  <c r="F3273" i="3"/>
  <c r="E166" i="1"/>
  <c r="R166" i="1" s="1"/>
  <c r="E3366" i="3"/>
  <c r="F3366" i="3" s="1"/>
  <c r="F3390" i="3" s="1"/>
  <c r="F3414" i="3" s="1"/>
  <c r="F3438" i="3" s="1"/>
  <c r="F3462" i="3" s="1"/>
  <c r="F3486" i="3" s="1"/>
  <c r="F3510" i="3" s="1"/>
  <c r="F3534" i="3" s="1"/>
  <c r="F3558" i="3" s="1"/>
  <c r="F3582" i="3" s="1"/>
  <c r="F3606" i="3" s="1"/>
  <c r="F3630" i="3" s="1"/>
  <c r="F3654" i="3" s="1"/>
  <c r="F3678" i="3" s="1"/>
  <c r="F3702" i="3" s="1"/>
  <c r="F3726" i="3" s="1"/>
  <c r="F3750" i="3" s="1"/>
  <c r="F3774" i="3" s="1"/>
  <c r="F3798" i="3" s="1"/>
  <c r="F3822" i="3" s="1"/>
  <c r="F3846" i="3" s="1"/>
  <c r="F3867" i="3" s="1"/>
  <c r="F3891" i="3" s="1"/>
  <c r="F3915" i="3" s="1"/>
  <c r="F3939" i="3" s="1"/>
  <c r="F3963" i="3" s="1"/>
  <c r="F3987" i="3" s="1"/>
  <c r="F4011" i="3" s="1"/>
  <c r="F4035" i="3" s="1"/>
  <c r="F4059" i="3" s="1"/>
  <c r="F4083" i="3" s="1"/>
  <c r="F4107" i="3" s="1"/>
  <c r="F4131" i="3" s="1"/>
  <c r="F4155" i="3" s="1"/>
  <c r="F4179" i="3" s="1"/>
  <c r="F4203" i="3" s="1"/>
  <c r="F4227" i="3" s="1"/>
  <c r="F4251" i="3" s="1"/>
  <c r="F4275" i="3" s="1"/>
  <c r="F4299" i="3" s="1"/>
  <c r="F4323" i="3" s="1"/>
  <c r="F4347" i="3" s="1"/>
  <c r="F4371" i="3" s="1"/>
  <c r="F4395" i="3" s="1"/>
  <c r="F4419" i="3" s="1"/>
  <c r="F4443" i="3" s="1"/>
  <c r="F4467" i="3" s="1"/>
  <c r="F4491" i="3" s="1"/>
  <c r="F4515" i="3" s="1"/>
  <c r="F4539" i="3" s="1"/>
  <c r="F4563" i="3" s="1"/>
  <c r="F4587" i="3" s="1"/>
  <c r="F4611" i="3" s="1"/>
  <c r="F4635" i="3" s="1"/>
  <c r="F4659" i="3" s="1"/>
  <c r="F4683" i="3" s="1"/>
  <c r="F4707" i="3" s="1"/>
  <c r="F4731" i="3" s="1"/>
  <c r="F4755" i="3" s="1"/>
  <c r="F4779" i="3" s="1"/>
  <c r="F4803" i="3" s="1"/>
  <c r="F4827" i="3" s="1"/>
  <c r="F4851" i="3" s="1"/>
  <c r="F4875" i="3" s="1"/>
  <c r="F4899" i="3" s="1"/>
  <c r="F4923" i="3" s="1"/>
  <c r="F4947" i="3" s="1"/>
  <c r="F4971" i="3" s="1"/>
  <c r="F4995" i="3" s="1"/>
  <c r="F5019" i="3" s="1"/>
  <c r="F5043" i="3" s="1"/>
  <c r="F5067" i="3" s="1"/>
  <c r="F5091" i="3" s="1"/>
  <c r="F5115" i="3" s="1"/>
  <c r="F5139" i="3" s="1"/>
  <c r="F5163" i="3" s="1"/>
  <c r="F5187" i="3" s="1"/>
  <c r="F5211" i="3" s="1"/>
  <c r="F5235" i="3" s="1"/>
  <c r="F5259" i="3" s="1"/>
  <c r="F5283" i="3" s="1"/>
  <c r="F5307" i="3" s="1"/>
  <c r="F5331" i="3" s="1"/>
  <c r="F5355" i="3" s="1"/>
  <c r="F5379" i="3" s="1"/>
  <c r="F5403" i="3" s="1"/>
  <c r="F5427" i="3" s="1"/>
  <c r="F5451" i="3" s="1"/>
  <c r="F5475" i="3" s="1"/>
  <c r="F5499" i="3" s="1"/>
  <c r="E3362" i="3"/>
  <c r="F3362" i="3" s="1"/>
  <c r="F3386" i="3" s="1"/>
  <c r="F3410" i="3" s="1"/>
  <c r="F3434" i="3" s="1"/>
  <c r="F3458" i="3" s="1"/>
  <c r="F3482" i="3" s="1"/>
  <c r="F3506" i="3" s="1"/>
  <c r="F3530" i="3" s="1"/>
  <c r="F3554" i="3" s="1"/>
  <c r="F3578" i="3" s="1"/>
  <c r="F3602" i="3" s="1"/>
  <c r="F3626" i="3" s="1"/>
  <c r="F3650" i="3" s="1"/>
  <c r="F3674" i="3" s="1"/>
  <c r="F3698" i="3" s="1"/>
  <c r="F3722" i="3" s="1"/>
  <c r="F3746" i="3" s="1"/>
  <c r="F3770" i="3" s="1"/>
  <c r="F3794" i="3" s="1"/>
  <c r="F3818" i="3" s="1"/>
  <c r="F3842" i="3" s="1"/>
  <c r="F3866" i="3" s="1"/>
  <c r="F3890" i="3" s="1"/>
  <c r="F3914" i="3" s="1"/>
  <c r="F3938" i="3" s="1"/>
  <c r="F3962" i="3" s="1"/>
  <c r="F3986" i="3" s="1"/>
  <c r="F4010" i="3" s="1"/>
  <c r="F4034" i="3" s="1"/>
  <c r="F4058" i="3" s="1"/>
  <c r="F4082" i="3" s="1"/>
  <c r="F4106" i="3" s="1"/>
  <c r="F4130" i="3" s="1"/>
  <c r="F4154" i="3" s="1"/>
  <c r="F4178" i="3" s="1"/>
  <c r="F4202" i="3" s="1"/>
  <c r="F4226" i="3" s="1"/>
  <c r="F4250" i="3" s="1"/>
  <c r="F4274" i="3" s="1"/>
  <c r="F4298" i="3" s="1"/>
  <c r="F4322" i="3" s="1"/>
  <c r="F4346" i="3" s="1"/>
  <c r="F4370" i="3" s="1"/>
  <c r="F4394" i="3" s="1"/>
  <c r="F4418" i="3" s="1"/>
  <c r="F4442" i="3" s="1"/>
  <c r="F4466" i="3" s="1"/>
  <c r="F4490" i="3" s="1"/>
  <c r="F4514" i="3" s="1"/>
  <c r="F4538" i="3" s="1"/>
  <c r="F4562" i="3" s="1"/>
  <c r="F4586" i="3" s="1"/>
  <c r="Q141" i="1"/>
  <c r="AC292" i="23" l="1"/>
  <c r="M292" i="23"/>
  <c r="E304" i="23"/>
  <c r="X291" i="23"/>
  <c r="AF291" i="23"/>
  <c r="C293" i="23"/>
  <c r="K293" i="23" s="1"/>
  <c r="AB307" i="23" s="1"/>
  <c r="R292" i="23"/>
  <c r="T292" i="23"/>
  <c r="Q292" i="23"/>
  <c r="C261" i="1"/>
  <c r="Q260" i="1"/>
  <c r="T166" i="1"/>
  <c r="S166" i="1"/>
  <c r="F4610" i="3"/>
  <c r="F4634" i="3" s="1"/>
  <c r="F4658" i="3" s="1"/>
  <c r="F4682" i="3" s="1"/>
  <c r="F4706" i="3" s="1"/>
  <c r="F4730" i="3" s="1"/>
  <c r="F4754" i="3" s="1"/>
  <c r="F4778" i="3" s="1"/>
  <c r="F4802" i="3" s="1"/>
  <c r="F4826" i="3" s="1"/>
  <c r="F4850" i="3" s="1"/>
  <c r="F4874" i="3" s="1"/>
  <c r="F4898" i="3" s="1"/>
  <c r="F4922" i="3" s="1"/>
  <c r="F4946" i="3" s="1"/>
  <c r="F4970" i="3" s="1"/>
  <c r="F4994" i="3" s="1"/>
  <c r="F5018" i="3" s="1"/>
  <c r="F5042" i="3" s="1"/>
  <c r="F5066" i="3" s="1"/>
  <c r="F5090" i="3" s="1"/>
  <c r="F5114" i="3" s="1"/>
  <c r="F5138" i="3" s="1"/>
  <c r="F5162" i="3" s="1"/>
  <c r="F5186" i="3" s="1"/>
  <c r="F5210" i="3" s="1"/>
  <c r="F5234" i="3" s="1"/>
  <c r="F5258" i="3" s="1"/>
  <c r="F5282" i="3" s="1"/>
  <c r="F5306" i="3" s="1"/>
  <c r="F5330" i="3" s="1"/>
  <c r="F5354" i="3" s="1"/>
  <c r="F5378" i="3" s="1"/>
  <c r="F5402" i="3" s="1"/>
  <c r="F5426" i="3" s="1"/>
  <c r="F5450" i="3" s="1"/>
  <c r="F5474" i="3" s="1"/>
  <c r="F5498" i="3" s="1"/>
  <c r="F3323" i="3"/>
  <c r="F3348" i="3" s="1"/>
  <c r="F3373" i="3" s="1"/>
  <c r="F3398" i="3" s="1"/>
  <c r="F3423" i="3" s="1"/>
  <c r="F3448" i="3" s="1"/>
  <c r="F3473" i="3" s="1"/>
  <c r="F3498" i="3" s="1"/>
  <c r="F3548" i="3" s="1"/>
  <c r="F3573" i="3" s="1"/>
  <c r="F3297" i="3"/>
  <c r="E167" i="1"/>
  <c r="R167" i="1" s="1"/>
  <c r="B139" i="1"/>
  <c r="C139" i="1" s="1"/>
  <c r="C140" i="1" s="1"/>
  <c r="E305" i="23" l="1"/>
  <c r="AC293" i="23"/>
  <c r="M293" i="23"/>
  <c r="X292" i="23"/>
  <c r="AF292" i="23"/>
  <c r="Q293" i="23"/>
  <c r="R293" i="23"/>
  <c r="C294" i="23"/>
  <c r="K294" i="23" s="1"/>
  <c r="AB308" i="23" s="1"/>
  <c r="T293" i="23"/>
  <c r="C262" i="1"/>
  <c r="Q261" i="1"/>
  <c r="S167" i="1"/>
  <c r="T167" i="1"/>
  <c r="F3597" i="3"/>
  <c r="F3621" i="3" s="1"/>
  <c r="F3645" i="3" s="1"/>
  <c r="F3669" i="3" s="1"/>
  <c r="F3693" i="3" s="1"/>
  <c r="F3717" i="3" s="1"/>
  <c r="F3741" i="3" s="1"/>
  <c r="F3765" i="3" s="1"/>
  <c r="F3789" i="3" s="1"/>
  <c r="F3813" i="3" s="1"/>
  <c r="F3837" i="3" s="1"/>
  <c r="F3861" i="3" s="1"/>
  <c r="F3885" i="3" s="1"/>
  <c r="F3909" i="3" s="1"/>
  <c r="F3933" i="3" s="1"/>
  <c r="F3957" i="3" s="1"/>
  <c r="F3981" i="3" s="1"/>
  <c r="F4005" i="3" s="1"/>
  <c r="F4029" i="3" s="1"/>
  <c r="F4053" i="3" s="1"/>
  <c r="F4077" i="3" s="1"/>
  <c r="F4101" i="3" s="1"/>
  <c r="F4125" i="3" s="1"/>
  <c r="F4149" i="3" s="1"/>
  <c r="F4173" i="3" s="1"/>
  <c r="F4197" i="3" s="1"/>
  <c r="F4221" i="3" s="1"/>
  <c r="F4245" i="3" s="1"/>
  <c r="F4269" i="3" s="1"/>
  <c r="F4293" i="3" s="1"/>
  <c r="F4317" i="3" s="1"/>
  <c r="F4341" i="3" s="1"/>
  <c r="F4365" i="3" s="1"/>
  <c r="F4389" i="3" s="1"/>
  <c r="F4413" i="3" s="1"/>
  <c r="F4437" i="3" s="1"/>
  <c r="F4461" i="3" s="1"/>
  <c r="F4485" i="3" s="1"/>
  <c r="F4509" i="3" s="1"/>
  <c r="F4533" i="3" s="1"/>
  <c r="F4557" i="3" s="1"/>
  <c r="F4581" i="3" s="1"/>
  <c r="F4605" i="3" s="1"/>
  <c r="F4629" i="3" s="1"/>
  <c r="F4653" i="3" s="1"/>
  <c r="F4677" i="3" s="1"/>
  <c r="F4701" i="3" s="1"/>
  <c r="F4725" i="3" s="1"/>
  <c r="F4749" i="3" s="1"/>
  <c r="F4773" i="3" s="1"/>
  <c r="F4797" i="3" s="1"/>
  <c r="F4821" i="3" s="1"/>
  <c r="F4845" i="3" s="1"/>
  <c r="F4869" i="3" s="1"/>
  <c r="F4893" i="3" s="1"/>
  <c r="F4917" i="3" s="1"/>
  <c r="F4941" i="3" s="1"/>
  <c r="F4965" i="3" s="1"/>
  <c r="F4989" i="3" s="1"/>
  <c r="F5013" i="3" s="1"/>
  <c r="F5037" i="3" s="1"/>
  <c r="F5061" i="3" s="1"/>
  <c r="F5085" i="3" s="1"/>
  <c r="F5109" i="3" s="1"/>
  <c r="F5133" i="3" s="1"/>
  <c r="F5157" i="3" s="1"/>
  <c r="F5181" i="3" s="1"/>
  <c r="F5205" i="3" s="1"/>
  <c r="F5229" i="3" s="1"/>
  <c r="F5253" i="3" s="1"/>
  <c r="F5277" i="3" s="1"/>
  <c r="F5301" i="3" s="1"/>
  <c r="F5325" i="3" s="1"/>
  <c r="F5349" i="3" s="1"/>
  <c r="F5373" i="3" s="1"/>
  <c r="F5397" i="3" s="1"/>
  <c r="F5421" i="3" s="1"/>
  <c r="F5445" i="3" s="1"/>
  <c r="F5469" i="3" s="1"/>
  <c r="F5493" i="3" s="1"/>
  <c r="F5517" i="3" s="1"/>
  <c r="F3321" i="3"/>
  <c r="F3347" i="3"/>
  <c r="F3372" i="3" s="1"/>
  <c r="F3397" i="3" s="1"/>
  <c r="F3422" i="3" s="1"/>
  <c r="F3447" i="3" s="1"/>
  <c r="F3472" i="3" s="1"/>
  <c r="F3497" i="3" s="1"/>
  <c r="F3522" i="3" s="1"/>
  <c r="F3572" i="3" s="1"/>
  <c r="E168" i="1"/>
  <c r="R168" i="1" s="1"/>
  <c r="E141" i="1"/>
  <c r="AC294" i="23" l="1"/>
  <c r="M294" i="23"/>
  <c r="E306" i="23"/>
  <c r="X293" i="23"/>
  <c r="AF293" i="23"/>
  <c r="T294" i="23"/>
  <c r="C295" i="23"/>
  <c r="K295" i="23" s="1"/>
  <c r="AB309" i="23" s="1"/>
  <c r="R294" i="23"/>
  <c r="Q294" i="23"/>
  <c r="C263" i="1"/>
  <c r="Q262" i="1"/>
  <c r="S168" i="1"/>
  <c r="T168" i="1"/>
  <c r="F3345" i="3"/>
  <c r="F3371" i="3"/>
  <c r="F3396" i="3" s="1"/>
  <c r="F3421" i="3" s="1"/>
  <c r="F3446" i="3" s="1"/>
  <c r="F3471" i="3" s="1"/>
  <c r="F3496" i="3" s="1"/>
  <c r="F3521" i="3" s="1"/>
  <c r="F3546" i="3" s="1"/>
  <c r="F3596" i="3" s="1"/>
  <c r="E142" i="1"/>
  <c r="T141" i="1"/>
  <c r="S141" i="1"/>
  <c r="E169" i="1"/>
  <c r="R169" i="1" s="1"/>
  <c r="Q140" i="1"/>
  <c r="AC295" i="23" l="1"/>
  <c r="M295" i="23"/>
  <c r="E307" i="23"/>
  <c r="X294" i="23"/>
  <c r="AF294" i="23"/>
  <c r="Q295" i="23"/>
  <c r="R295" i="23"/>
  <c r="C296" i="23"/>
  <c r="K296" i="23" s="1"/>
  <c r="AB310" i="23" s="1"/>
  <c r="T295" i="23"/>
  <c r="Q263" i="1"/>
  <c r="C264" i="1"/>
  <c r="E170" i="1"/>
  <c r="S169" i="1"/>
  <c r="T169" i="1"/>
  <c r="F3395" i="3"/>
  <c r="F3420" i="3" s="1"/>
  <c r="F3445" i="3" s="1"/>
  <c r="F3470" i="3" s="1"/>
  <c r="F3495" i="3" s="1"/>
  <c r="F3520" i="3" s="1"/>
  <c r="F3545" i="3" s="1"/>
  <c r="F3570" i="3" s="1"/>
  <c r="F3620" i="3" s="1"/>
  <c r="F3369" i="3"/>
  <c r="E143" i="1"/>
  <c r="T142" i="1"/>
  <c r="S142" i="1"/>
  <c r="L139" i="1"/>
  <c r="E308" i="23" l="1"/>
  <c r="AC296" i="23"/>
  <c r="M296" i="23"/>
  <c r="X295" i="23"/>
  <c r="AF295" i="23"/>
  <c r="C297" i="23"/>
  <c r="K297" i="23" s="1"/>
  <c r="AB311" i="23" s="1"/>
  <c r="R296" i="23"/>
  <c r="T296" i="23"/>
  <c r="Q296" i="23"/>
  <c r="E171" i="1"/>
  <c r="R171" i="1" s="1"/>
  <c r="R170" i="1"/>
  <c r="C265" i="1"/>
  <c r="Q264" i="1"/>
  <c r="E172" i="1"/>
  <c r="R172" i="1" s="1"/>
  <c r="T170" i="1"/>
  <c r="S170" i="1"/>
  <c r="F3419" i="3"/>
  <c r="F3444" i="3" s="1"/>
  <c r="F3469" i="3" s="1"/>
  <c r="F3494" i="3" s="1"/>
  <c r="F3519" i="3" s="1"/>
  <c r="F3544" i="3" s="1"/>
  <c r="F3569" i="3" s="1"/>
  <c r="F3594" i="3" s="1"/>
  <c r="F3644" i="3" s="1"/>
  <c r="F3393" i="3"/>
  <c r="E144" i="1"/>
  <c r="T143" i="1"/>
  <c r="S143" i="1"/>
  <c r="Q138" i="1"/>
  <c r="L137" i="1"/>
  <c r="K137" i="1" s="1"/>
  <c r="Q137" i="1"/>
  <c r="AC297" i="23" l="1"/>
  <c r="M297" i="23"/>
  <c r="E309" i="23"/>
  <c r="T171" i="1"/>
  <c r="X296" i="23"/>
  <c r="AF296" i="23"/>
  <c r="Q297" i="23"/>
  <c r="C298" i="23"/>
  <c r="K298" i="23" s="1"/>
  <c r="AB312" i="23" s="1"/>
  <c r="T297" i="23"/>
  <c r="R297" i="23"/>
  <c r="E173" i="1"/>
  <c r="R173" i="1" s="1"/>
  <c r="S171" i="1"/>
  <c r="Q265" i="1"/>
  <c r="C266" i="1"/>
  <c r="S173" i="1"/>
  <c r="S172" i="1"/>
  <c r="T172" i="1"/>
  <c r="F3443" i="3"/>
  <c r="F3468" i="3" s="1"/>
  <c r="F3493" i="3" s="1"/>
  <c r="F3518" i="3" s="1"/>
  <c r="F3543" i="3" s="1"/>
  <c r="F3568" i="3" s="1"/>
  <c r="F3593" i="3" s="1"/>
  <c r="F3618" i="3" s="1"/>
  <c r="F3668" i="3" s="1"/>
  <c r="F3417" i="3"/>
  <c r="S138" i="1"/>
  <c r="T138" i="1"/>
  <c r="E145" i="1"/>
  <c r="T144" i="1"/>
  <c r="S144" i="1"/>
  <c r="L136" i="1"/>
  <c r="E310" i="23" l="1"/>
  <c r="AC298" i="23"/>
  <c r="M298" i="23"/>
  <c r="E174" i="1"/>
  <c r="R174" i="1" s="1"/>
  <c r="X297" i="23"/>
  <c r="AF297" i="23"/>
  <c r="T298" i="23"/>
  <c r="C299" i="23"/>
  <c r="K299" i="23" s="1"/>
  <c r="AB313" i="23" s="1"/>
  <c r="R298" i="23"/>
  <c r="Q298" i="23"/>
  <c r="T173" i="1"/>
  <c r="C267" i="1"/>
  <c r="Q266" i="1"/>
  <c r="F3467" i="3"/>
  <c r="F3492" i="3" s="1"/>
  <c r="F3517" i="3" s="1"/>
  <c r="F3542" i="3" s="1"/>
  <c r="F3567" i="3" s="1"/>
  <c r="F3592" i="3" s="1"/>
  <c r="F3617" i="3" s="1"/>
  <c r="F3642" i="3" s="1"/>
  <c r="F3692" i="3" s="1"/>
  <c r="F3441" i="3"/>
  <c r="E146" i="1"/>
  <c r="T145" i="1"/>
  <c r="S145" i="1"/>
  <c r="S139" i="1"/>
  <c r="T139" i="1"/>
  <c r="L135" i="1"/>
  <c r="AC299" i="23" l="1"/>
  <c r="M299" i="23"/>
  <c r="E311" i="23"/>
  <c r="S174" i="1"/>
  <c r="E175" i="1"/>
  <c r="R175" i="1" s="1"/>
  <c r="T174" i="1"/>
  <c r="X298" i="23"/>
  <c r="AF298" i="23"/>
  <c r="Q299" i="23"/>
  <c r="C300" i="23"/>
  <c r="K300" i="23" s="1"/>
  <c r="AB314" i="23" s="1"/>
  <c r="T299" i="23"/>
  <c r="R299" i="23"/>
  <c r="C268" i="1"/>
  <c r="Q267" i="1"/>
  <c r="S175" i="1"/>
  <c r="F3491" i="3"/>
  <c r="F3516" i="3" s="1"/>
  <c r="F3541" i="3" s="1"/>
  <c r="F3566" i="3" s="1"/>
  <c r="F3591" i="3" s="1"/>
  <c r="F3616" i="3" s="1"/>
  <c r="F3641" i="3" s="1"/>
  <c r="F3666" i="3" s="1"/>
  <c r="F3716" i="3" s="1"/>
  <c r="F3465" i="3"/>
  <c r="E176" i="1"/>
  <c r="R176" i="1" s="1"/>
  <c r="E147" i="1"/>
  <c r="T146" i="1"/>
  <c r="S146" i="1"/>
  <c r="T140" i="1"/>
  <c r="S140" i="1"/>
  <c r="S136" i="1"/>
  <c r="T136" i="1"/>
  <c r="T149" i="1"/>
  <c r="S149" i="1"/>
  <c r="Q135" i="1"/>
  <c r="L134" i="1"/>
  <c r="Q134" i="1"/>
  <c r="E312" i="23" l="1"/>
  <c r="AC300" i="23"/>
  <c r="M300" i="23"/>
  <c r="T175" i="1"/>
  <c r="X299" i="23"/>
  <c r="AF299" i="23"/>
  <c r="C301" i="23"/>
  <c r="K301" i="23" s="1"/>
  <c r="AB315" i="23" s="1"/>
  <c r="R300" i="23"/>
  <c r="T300" i="23"/>
  <c r="Q300" i="23"/>
  <c r="C269" i="1"/>
  <c r="Q268" i="1"/>
  <c r="S176" i="1"/>
  <c r="T176" i="1"/>
  <c r="F3515" i="3"/>
  <c r="F3540" i="3" s="1"/>
  <c r="F3565" i="3" s="1"/>
  <c r="F3590" i="3" s="1"/>
  <c r="F3615" i="3" s="1"/>
  <c r="F3640" i="3" s="1"/>
  <c r="F3665" i="3" s="1"/>
  <c r="F3690" i="3" s="1"/>
  <c r="F3740" i="3" s="1"/>
  <c r="F3489" i="3"/>
  <c r="E177" i="1"/>
  <c r="R177" i="1" s="1"/>
  <c r="S150" i="1"/>
  <c r="T150" i="1"/>
  <c r="E148" i="1"/>
  <c r="T147" i="1"/>
  <c r="S147" i="1"/>
  <c r="M133" i="1"/>
  <c r="AC301" i="23" l="1"/>
  <c r="M301" i="23"/>
  <c r="E313" i="23"/>
  <c r="X300" i="23"/>
  <c r="AF300" i="23"/>
  <c r="Q301" i="23"/>
  <c r="R301" i="23"/>
  <c r="C302" i="23"/>
  <c r="K302" i="23" s="1"/>
  <c r="AB316" i="23" s="1"/>
  <c r="T301" i="23"/>
  <c r="C270" i="1"/>
  <c r="Q269" i="1"/>
  <c r="S177" i="1"/>
  <c r="T177" i="1"/>
  <c r="F3513" i="3"/>
  <c r="F3539" i="3"/>
  <c r="F3564" i="3" s="1"/>
  <c r="F3589" i="3" s="1"/>
  <c r="F3614" i="3" s="1"/>
  <c r="F3639" i="3" s="1"/>
  <c r="F3664" i="3" s="1"/>
  <c r="F3689" i="3" s="1"/>
  <c r="F3714" i="3" s="1"/>
  <c r="F3764" i="3" s="1"/>
  <c r="F4631" i="3" s="1"/>
  <c r="F4655" i="3" s="1"/>
  <c r="F4679" i="3" s="1"/>
  <c r="F4703" i="3" s="1"/>
  <c r="F4727" i="3" s="1"/>
  <c r="F4751" i="3" s="1"/>
  <c r="F4775" i="3" s="1"/>
  <c r="F4799" i="3" s="1"/>
  <c r="F4823" i="3" s="1"/>
  <c r="F4847" i="3" s="1"/>
  <c r="F4871" i="3" s="1"/>
  <c r="F4895" i="3" s="1"/>
  <c r="F4919" i="3" s="1"/>
  <c r="F4943" i="3" s="1"/>
  <c r="F4967" i="3" s="1"/>
  <c r="F4991" i="3" s="1"/>
  <c r="F5015" i="3" s="1"/>
  <c r="F5039" i="3" s="1"/>
  <c r="F5063" i="3" s="1"/>
  <c r="F5087" i="3" s="1"/>
  <c r="F5111" i="3" s="1"/>
  <c r="F5135" i="3" s="1"/>
  <c r="F5159" i="3" s="1"/>
  <c r="F5183" i="3" s="1"/>
  <c r="F5207" i="3" s="1"/>
  <c r="F5231" i="3" s="1"/>
  <c r="F5255" i="3" s="1"/>
  <c r="F5279" i="3" s="1"/>
  <c r="F5303" i="3" s="1"/>
  <c r="F5327" i="3" s="1"/>
  <c r="F5351" i="3" s="1"/>
  <c r="F5375" i="3" s="1"/>
  <c r="F5399" i="3" s="1"/>
  <c r="F5423" i="3" s="1"/>
  <c r="F5447" i="3" s="1"/>
  <c r="F5471" i="3" s="1"/>
  <c r="F5495" i="3" s="1"/>
  <c r="F5519" i="3" s="1"/>
  <c r="E178" i="1"/>
  <c r="R178" i="1" s="1"/>
  <c r="T148" i="1"/>
  <c r="S148" i="1"/>
  <c r="S151" i="1"/>
  <c r="T151" i="1"/>
  <c r="Q133" i="1"/>
  <c r="M132" i="1"/>
  <c r="AC302" i="23" l="1"/>
  <c r="M302" i="23"/>
  <c r="E314" i="23"/>
  <c r="X301" i="23"/>
  <c r="AF301" i="23"/>
  <c r="T302" i="23"/>
  <c r="C303" i="23"/>
  <c r="K303" i="23" s="1"/>
  <c r="AB317" i="23" s="1"/>
  <c r="R302" i="23"/>
  <c r="Q302" i="23"/>
  <c r="C271" i="1"/>
  <c r="Q270" i="1"/>
  <c r="T178" i="1"/>
  <c r="S178" i="1"/>
  <c r="F3563" i="3"/>
  <c r="F3588" i="3" s="1"/>
  <c r="F3613" i="3" s="1"/>
  <c r="F3638" i="3" s="1"/>
  <c r="F3663" i="3" s="1"/>
  <c r="F3688" i="3" s="1"/>
  <c r="F3713" i="3" s="1"/>
  <c r="F3738" i="3" s="1"/>
  <c r="F3788" i="3" s="1"/>
  <c r="F3537" i="3"/>
  <c r="E179" i="1"/>
  <c r="R179" i="1" s="1"/>
  <c r="S152" i="1"/>
  <c r="T152" i="1"/>
  <c r="M131" i="1"/>
  <c r="AC303" i="23" l="1"/>
  <c r="M303" i="23"/>
  <c r="E315" i="23"/>
  <c r="X302" i="23"/>
  <c r="AF302" i="23"/>
  <c r="Q303" i="23"/>
  <c r="R303" i="23"/>
  <c r="C304" i="23"/>
  <c r="K304" i="23" s="1"/>
  <c r="AB318" i="23" s="1"/>
  <c r="T303" i="23"/>
  <c r="C272" i="1"/>
  <c r="Q271" i="1"/>
  <c r="S179" i="1"/>
  <c r="T179" i="1"/>
  <c r="F3561" i="3"/>
  <c r="F3587" i="3"/>
  <c r="F3612" i="3" s="1"/>
  <c r="F3637" i="3" s="1"/>
  <c r="F3662" i="3" s="1"/>
  <c r="F3687" i="3" s="1"/>
  <c r="F3712" i="3" s="1"/>
  <c r="F3737" i="3" s="1"/>
  <c r="F3762" i="3" s="1"/>
  <c r="F3812" i="3" s="1"/>
  <c r="E180" i="1"/>
  <c r="R180" i="1" s="1"/>
  <c r="T153" i="1"/>
  <c r="S153" i="1"/>
  <c r="Q130" i="1"/>
  <c r="E316" i="23" l="1"/>
  <c r="AC304" i="23"/>
  <c r="M304" i="23"/>
  <c r="X303" i="23"/>
  <c r="AF303" i="23"/>
  <c r="C305" i="23"/>
  <c r="K305" i="23" s="1"/>
  <c r="AB319" i="23" s="1"/>
  <c r="R304" i="23"/>
  <c r="T304" i="23"/>
  <c r="Q304" i="23"/>
  <c r="C273" i="1"/>
  <c r="Q272" i="1"/>
  <c r="S180" i="1"/>
  <c r="T180" i="1"/>
  <c r="F3585" i="3"/>
  <c r="F3611" i="3"/>
  <c r="F3636" i="3" s="1"/>
  <c r="F3661" i="3" s="1"/>
  <c r="F3686" i="3" s="1"/>
  <c r="F3711" i="3" s="1"/>
  <c r="F3736" i="3" s="1"/>
  <c r="F3761" i="3" s="1"/>
  <c r="F3786" i="3" s="1"/>
  <c r="F3836" i="3" s="1"/>
  <c r="F3860" i="3" s="1"/>
  <c r="F3884" i="3" s="1"/>
  <c r="F3908" i="3" s="1"/>
  <c r="F3932" i="3" s="1"/>
  <c r="F3956" i="3" s="1"/>
  <c r="F3980" i="3" s="1"/>
  <c r="F4004" i="3" s="1"/>
  <c r="F4028" i="3" s="1"/>
  <c r="F4052" i="3" s="1"/>
  <c r="F4076" i="3" s="1"/>
  <c r="F4100" i="3" s="1"/>
  <c r="F4124" i="3" s="1"/>
  <c r="F4148" i="3" s="1"/>
  <c r="F4172" i="3" s="1"/>
  <c r="F4196" i="3" s="1"/>
  <c r="F4220" i="3" s="1"/>
  <c r="F4244" i="3" s="1"/>
  <c r="F4268" i="3" s="1"/>
  <c r="F4292" i="3" s="1"/>
  <c r="F4316" i="3" s="1"/>
  <c r="F4340" i="3" s="1"/>
  <c r="F4364" i="3" s="1"/>
  <c r="F4388" i="3" s="1"/>
  <c r="F4412" i="3" s="1"/>
  <c r="F4436" i="3" s="1"/>
  <c r="F4460" i="3" s="1"/>
  <c r="F4484" i="3" s="1"/>
  <c r="F4508" i="3" s="1"/>
  <c r="F4532" i="3" s="1"/>
  <c r="F4556" i="3" s="1"/>
  <c r="F4580" i="3" s="1"/>
  <c r="F4604" i="3" s="1"/>
  <c r="F4628" i="3" s="1"/>
  <c r="F4652" i="3" s="1"/>
  <c r="F4676" i="3" s="1"/>
  <c r="F4700" i="3" s="1"/>
  <c r="F4724" i="3" s="1"/>
  <c r="F4748" i="3" s="1"/>
  <c r="F4772" i="3" s="1"/>
  <c r="F4796" i="3" s="1"/>
  <c r="F4820" i="3" s="1"/>
  <c r="F4844" i="3" s="1"/>
  <c r="F4868" i="3" s="1"/>
  <c r="F4892" i="3" s="1"/>
  <c r="F4916" i="3" s="1"/>
  <c r="F4940" i="3" s="1"/>
  <c r="F4964" i="3" s="1"/>
  <c r="F4988" i="3" s="1"/>
  <c r="F5012" i="3" s="1"/>
  <c r="F5036" i="3" s="1"/>
  <c r="F5060" i="3" s="1"/>
  <c r="F5084" i="3" s="1"/>
  <c r="F5108" i="3" s="1"/>
  <c r="F5132" i="3" s="1"/>
  <c r="F5156" i="3" s="1"/>
  <c r="F5180" i="3" s="1"/>
  <c r="F5204" i="3" s="1"/>
  <c r="F5228" i="3" s="1"/>
  <c r="F5252" i="3" s="1"/>
  <c r="F5276" i="3" s="1"/>
  <c r="F5300" i="3" s="1"/>
  <c r="F5324" i="3" s="1"/>
  <c r="F5348" i="3" s="1"/>
  <c r="F5372" i="3" s="1"/>
  <c r="F5396" i="3" s="1"/>
  <c r="F5420" i="3" s="1"/>
  <c r="F5444" i="3" s="1"/>
  <c r="F5468" i="3" s="1"/>
  <c r="F5492" i="3" s="1"/>
  <c r="F5516" i="3" s="1"/>
  <c r="E181" i="1"/>
  <c r="R181" i="1" s="1"/>
  <c r="S154" i="1"/>
  <c r="T154" i="1"/>
  <c r="Q129" i="1"/>
  <c r="AC305" i="23" l="1"/>
  <c r="M305" i="23"/>
  <c r="E317" i="23"/>
  <c r="X304" i="23"/>
  <c r="AF304" i="23"/>
  <c r="Q305" i="23"/>
  <c r="C306" i="23"/>
  <c r="K306" i="23" s="1"/>
  <c r="AB320" i="23" s="1"/>
  <c r="T305" i="23"/>
  <c r="R305" i="23"/>
  <c r="C274" i="1"/>
  <c r="Q273" i="1"/>
  <c r="E182" i="1"/>
  <c r="R182" i="1" s="1"/>
  <c r="S181" i="1"/>
  <c r="T181" i="1"/>
  <c r="F3609" i="3"/>
  <c r="F3635" i="3"/>
  <c r="F3660" i="3" s="1"/>
  <c r="F3685" i="3" s="1"/>
  <c r="F3710" i="3" s="1"/>
  <c r="F3735" i="3" s="1"/>
  <c r="F3760" i="3" s="1"/>
  <c r="F3785" i="3" s="1"/>
  <c r="F3810" i="3" s="1"/>
  <c r="S155" i="1"/>
  <c r="T155" i="1"/>
  <c r="AC306" i="23" l="1"/>
  <c r="M306" i="23"/>
  <c r="E318" i="23"/>
  <c r="X305" i="23"/>
  <c r="AF305" i="23"/>
  <c r="T306" i="23"/>
  <c r="C307" i="23"/>
  <c r="R306" i="23"/>
  <c r="Q306" i="23"/>
  <c r="C275" i="1"/>
  <c r="Q274" i="1"/>
  <c r="E183" i="1"/>
  <c r="R183" i="1" s="1"/>
  <c r="T182" i="1"/>
  <c r="S182" i="1"/>
  <c r="F3659" i="3"/>
  <c r="F3684" i="3" s="1"/>
  <c r="F3709" i="3" s="1"/>
  <c r="F3734" i="3" s="1"/>
  <c r="F3759" i="3" s="1"/>
  <c r="F3784" i="3" s="1"/>
  <c r="F3809" i="3" s="1"/>
  <c r="F3834" i="3" s="1"/>
  <c r="F3858" i="3" s="1"/>
  <c r="F3882" i="3" s="1"/>
  <c r="F3906" i="3" s="1"/>
  <c r="F3930" i="3" s="1"/>
  <c r="F3954" i="3" s="1"/>
  <c r="F3978" i="3" s="1"/>
  <c r="F4002" i="3" s="1"/>
  <c r="F4026" i="3" s="1"/>
  <c r="F4050" i="3" s="1"/>
  <c r="F4074" i="3" s="1"/>
  <c r="F4098" i="3" s="1"/>
  <c r="F4122" i="3" s="1"/>
  <c r="F4146" i="3" s="1"/>
  <c r="F4170" i="3" s="1"/>
  <c r="F4194" i="3" s="1"/>
  <c r="F4218" i="3" s="1"/>
  <c r="F4242" i="3" s="1"/>
  <c r="F4266" i="3" s="1"/>
  <c r="F4290" i="3" s="1"/>
  <c r="F4314" i="3" s="1"/>
  <c r="F4338" i="3" s="1"/>
  <c r="F4362" i="3" s="1"/>
  <c r="F4386" i="3" s="1"/>
  <c r="F4410" i="3" s="1"/>
  <c r="F4434" i="3" s="1"/>
  <c r="F4458" i="3" s="1"/>
  <c r="F4482" i="3" s="1"/>
  <c r="F4506" i="3" s="1"/>
  <c r="F4530" i="3" s="1"/>
  <c r="F4554" i="3" s="1"/>
  <c r="F4578" i="3" s="1"/>
  <c r="F4602" i="3" s="1"/>
  <c r="F4626" i="3" s="1"/>
  <c r="F4650" i="3" s="1"/>
  <c r="F4674" i="3" s="1"/>
  <c r="F4698" i="3" s="1"/>
  <c r="F4722" i="3" s="1"/>
  <c r="F4746" i="3" s="1"/>
  <c r="F4770" i="3" s="1"/>
  <c r="F4794" i="3" s="1"/>
  <c r="F4818" i="3" s="1"/>
  <c r="F4842" i="3" s="1"/>
  <c r="F4866" i="3" s="1"/>
  <c r="F4890" i="3" s="1"/>
  <c r="F4914" i="3" s="1"/>
  <c r="F4938" i="3" s="1"/>
  <c r="F4962" i="3" s="1"/>
  <c r="F4986" i="3" s="1"/>
  <c r="F5010" i="3" s="1"/>
  <c r="F5034" i="3" s="1"/>
  <c r="F5058" i="3" s="1"/>
  <c r="F5082" i="3" s="1"/>
  <c r="F5106" i="3" s="1"/>
  <c r="F5130" i="3" s="1"/>
  <c r="F5154" i="3" s="1"/>
  <c r="F5178" i="3" s="1"/>
  <c r="F5202" i="3" s="1"/>
  <c r="F5226" i="3" s="1"/>
  <c r="F5250" i="3" s="1"/>
  <c r="F5274" i="3" s="1"/>
  <c r="F5298" i="3" s="1"/>
  <c r="F5322" i="3" s="1"/>
  <c r="F5346" i="3" s="1"/>
  <c r="F5370" i="3" s="1"/>
  <c r="F5394" i="3" s="1"/>
  <c r="F5418" i="3" s="1"/>
  <c r="F5442" i="3" s="1"/>
  <c r="F5466" i="3" s="1"/>
  <c r="F5490" i="3" s="1"/>
  <c r="F5514" i="3" s="1"/>
  <c r="F3633" i="3"/>
  <c r="S156" i="1"/>
  <c r="T156" i="1"/>
  <c r="L127" i="1"/>
  <c r="AC307" i="23" l="1"/>
  <c r="K307" i="23"/>
  <c r="AB321" i="23" s="1"/>
  <c r="E319" i="23"/>
  <c r="X306" i="23"/>
  <c r="AF306" i="23"/>
  <c r="T307" i="23"/>
  <c r="C308" i="23"/>
  <c r="R307" i="23"/>
  <c r="Q307" i="23"/>
  <c r="S183" i="1"/>
  <c r="E184" i="1"/>
  <c r="R184" i="1" s="1"/>
  <c r="T183" i="1"/>
  <c r="C276" i="1"/>
  <c r="Q275" i="1"/>
  <c r="F3657" i="3"/>
  <c r="F3683" i="3"/>
  <c r="F3708" i="3" s="1"/>
  <c r="F3733" i="3" s="1"/>
  <c r="F3758" i="3" s="1"/>
  <c r="F3783" i="3" s="1"/>
  <c r="F3808" i="3" s="1"/>
  <c r="F3833" i="3" s="1"/>
  <c r="F3857" i="3" s="1"/>
  <c r="F3881" i="3" s="1"/>
  <c r="F3905" i="3" s="1"/>
  <c r="F3929" i="3" s="1"/>
  <c r="F3953" i="3" s="1"/>
  <c r="F3977" i="3" s="1"/>
  <c r="F4001" i="3" s="1"/>
  <c r="F4025" i="3" s="1"/>
  <c r="F4049" i="3" s="1"/>
  <c r="F4073" i="3" s="1"/>
  <c r="F4097" i="3" s="1"/>
  <c r="F4121" i="3" s="1"/>
  <c r="F4145" i="3" s="1"/>
  <c r="F4169" i="3" s="1"/>
  <c r="F4193" i="3" s="1"/>
  <c r="F4217" i="3" s="1"/>
  <c r="F4241" i="3" s="1"/>
  <c r="F4265" i="3" s="1"/>
  <c r="F4289" i="3" s="1"/>
  <c r="F4313" i="3" s="1"/>
  <c r="F4337" i="3" s="1"/>
  <c r="F4361" i="3" s="1"/>
  <c r="F4385" i="3" s="1"/>
  <c r="F4409" i="3" s="1"/>
  <c r="F4433" i="3" s="1"/>
  <c r="F4457" i="3" s="1"/>
  <c r="F4481" i="3" s="1"/>
  <c r="F4505" i="3" s="1"/>
  <c r="F4529" i="3" s="1"/>
  <c r="F4553" i="3" s="1"/>
  <c r="F4577" i="3" s="1"/>
  <c r="F4601" i="3" s="1"/>
  <c r="F4625" i="3" s="1"/>
  <c r="F4649" i="3" s="1"/>
  <c r="F4673" i="3" s="1"/>
  <c r="F4697" i="3" s="1"/>
  <c r="F4721" i="3" s="1"/>
  <c r="F4745" i="3" s="1"/>
  <c r="F4769" i="3" s="1"/>
  <c r="F4793" i="3" s="1"/>
  <c r="F4817" i="3" s="1"/>
  <c r="F4841" i="3" s="1"/>
  <c r="F4865" i="3" s="1"/>
  <c r="F4889" i="3" s="1"/>
  <c r="F4913" i="3" s="1"/>
  <c r="F4937" i="3" s="1"/>
  <c r="F4961" i="3" s="1"/>
  <c r="F4985" i="3" s="1"/>
  <c r="F5009" i="3" s="1"/>
  <c r="F5033" i="3" s="1"/>
  <c r="F5057" i="3" s="1"/>
  <c r="F5081" i="3" s="1"/>
  <c r="F5105" i="3" s="1"/>
  <c r="F5129" i="3" s="1"/>
  <c r="F5153" i="3" s="1"/>
  <c r="F5177" i="3" s="1"/>
  <c r="F5201" i="3" s="1"/>
  <c r="F5225" i="3" s="1"/>
  <c r="F5249" i="3" s="1"/>
  <c r="F5273" i="3" s="1"/>
  <c r="F5297" i="3" s="1"/>
  <c r="F5321" i="3" s="1"/>
  <c r="F5345" i="3" s="1"/>
  <c r="F5369" i="3" s="1"/>
  <c r="F5393" i="3" s="1"/>
  <c r="F5417" i="3" s="1"/>
  <c r="F5441" i="3" s="1"/>
  <c r="F5465" i="3" s="1"/>
  <c r="F5489" i="3" s="1"/>
  <c r="F5513" i="3" s="1"/>
  <c r="S157" i="1"/>
  <c r="T157" i="1"/>
  <c r="AC308" i="23" l="1"/>
  <c r="K308" i="23"/>
  <c r="AB322" i="23" s="1"/>
  <c r="E320" i="23"/>
  <c r="X307" i="23"/>
  <c r="AF307" i="23"/>
  <c r="T308" i="23"/>
  <c r="C309" i="23"/>
  <c r="K309" i="23" s="1"/>
  <c r="AB323" i="23" s="1"/>
  <c r="R308" i="23"/>
  <c r="Q308" i="23"/>
  <c r="Q276" i="1"/>
  <c r="C277" i="1"/>
  <c r="T184" i="1"/>
  <c r="E185" i="1"/>
  <c r="R185" i="1" s="1"/>
  <c r="S184" i="1"/>
  <c r="F3681" i="3"/>
  <c r="F3707" i="3"/>
  <c r="F3732" i="3" s="1"/>
  <c r="F3757" i="3" s="1"/>
  <c r="F3782" i="3" s="1"/>
  <c r="F3807" i="3" s="1"/>
  <c r="F3832" i="3" s="1"/>
  <c r="F3856" i="3" s="1"/>
  <c r="F3880" i="3" s="1"/>
  <c r="F3904" i="3" s="1"/>
  <c r="F3928" i="3" s="1"/>
  <c r="F3952" i="3" s="1"/>
  <c r="F3976" i="3" s="1"/>
  <c r="F4000" i="3" s="1"/>
  <c r="F4024" i="3" s="1"/>
  <c r="F4048" i="3" s="1"/>
  <c r="F4072" i="3" s="1"/>
  <c r="F4096" i="3" s="1"/>
  <c r="F4120" i="3" s="1"/>
  <c r="F4144" i="3" s="1"/>
  <c r="F4168" i="3" s="1"/>
  <c r="F4192" i="3" s="1"/>
  <c r="F4216" i="3" s="1"/>
  <c r="F4240" i="3" s="1"/>
  <c r="F4264" i="3" s="1"/>
  <c r="F4288" i="3" s="1"/>
  <c r="F4312" i="3" s="1"/>
  <c r="F4336" i="3" s="1"/>
  <c r="F4360" i="3" s="1"/>
  <c r="F4384" i="3" s="1"/>
  <c r="F4408" i="3" s="1"/>
  <c r="F4432" i="3" s="1"/>
  <c r="F4456" i="3" s="1"/>
  <c r="F4480" i="3" s="1"/>
  <c r="F4504" i="3" s="1"/>
  <c r="F4528" i="3" s="1"/>
  <c r="F4552" i="3" s="1"/>
  <c r="F4576" i="3" s="1"/>
  <c r="F4600" i="3" s="1"/>
  <c r="F4624" i="3" s="1"/>
  <c r="F4648" i="3" s="1"/>
  <c r="F4672" i="3" s="1"/>
  <c r="F4696" i="3" s="1"/>
  <c r="F4720" i="3" s="1"/>
  <c r="F4744" i="3" s="1"/>
  <c r="F4768" i="3" s="1"/>
  <c r="F4792" i="3" s="1"/>
  <c r="F4816" i="3" s="1"/>
  <c r="F4840" i="3" s="1"/>
  <c r="F4864" i="3" s="1"/>
  <c r="F4888" i="3" s="1"/>
  <c r="F4912" i="3" s="1"/>
  <c r="F4936" i="3" s="1"/>
  <c r="F4960" i="3" s="1"/>
  <c r="F4984" i="3" s="1"/>
  <c r="F5008" i="3" s="1"/>
  <c r="F5032" i="3" s="1"/>
  <c r="F5056" i="3" s="1"/>
  <c r="F5080" i="3" s="1"/>
  <c r="F5104" i="3" s="1"/>
  <c r="F5128" i="3" s="1"/>
  <c r="F5152" i="3" s="1"/>
  <c r="F5176" i="3" s="1"/>
  <c r="F5200" i="3" s="1"/>
  <c r="F5224" i="3" s="1"/>
  <c r="F5248" i="3" s="1"/>
  <c r="F5272" i="3" s="1"/>
  <c r="F5296" i="3" s="1"/>
  <c r="F5320" i="3" s="1"/>
  <c r="F5344" i="3" s="1"/>
  <c r="F5368" i="3" s="1"/>
  <c r="F5392" i="3" s="1"/>
  <c r="F5416" i="3" s="1"/>
  <c r="F5440" i="3" s="1"/>
  <c r="F5464" i="3" s="1"/>
  <c r="F5488" i="3" s="1"/>
  <c r="F5512" i="3" s="1"/>
  <c r="S158" i="1"/>
  <c r="T158" i="1"/>
  <c r="AC309" i="23" l="1"/>
  <c r="M309" i="23"/>
  <c r="E321" i="23"/>
  <c r="X308" i="23"/>
  <c r="AF308" i="23"/>
  <c r="Q309" i="23"/>
  <c r="C310" i="23"/>
  <c r="K310" i="23" s="1"/>
  <c r="AB324" i="23" s="1"/>
  <c r="T309" i="23"/>
  <c r="R309" i="23"/>
  <c r="T185" i="1"/>
  <c r="E186" i="1"/>
  <c r="R186" i="1" s="1"/>
  <c r="S185" i="1"/>
  <c r="Q277" i="1"/>
  <c r="C278" i="1"/>
  <c r="T186" i="1"/>
  <c r="F3705" i="3"/>
  <c r="F3731" i="3"/>
  <c r="F3756" i="3" s="1"/>
  <c r="F3781" i="3" s="1"/>
  <c r="F3806" i="3" s="1"/>
  <c r="F3831" i="3" s="1"/>
  <c r="F3855" i="3" s="1"/>
  <c r="F3879" i="3" s="1"/>
  <c r="F3903" i="3" s="1"/>
  <c r="F3927" i="3" s="1"/>
  <c r="F3951" i="3" s="1"/>
  <c r="F3975" i="3" s="1"/>
  <c r="F3999" i="3" s="1"/>
  <c r="F4023" i="3" s="1"/>
  <c r="F4047" i="3" s="1"/>
  <c r="F4071" i="3" s="1"/>
  <c r="F4095" i="3" s="1"/>
  <c r="F4119" i="3" s="1"/>
  <c r="F4143" i="3" s="1"/>
  <c r="F4167" i="3" s="1"/>
  <c r="F4191" i="3" s="1"/>
  <c r="F4215" i="3" s="1"/>
  <c r="F4239" i="3" s="1"/>
  <c r="F4263" i="3" s="1"/>
  <c r="F4287" i="3" s="1"/>
  <c r="F4311" i="3" s="1"/>
  <c r="F4335" i="3" s="1"/>
  <c r="F4359" i="3" s="1"/>
  <c r="F4383" i="3" s="1"/>
  <c r="F4407" i="3" s="1"/>
  <c r="F4431" i="3" s="1"/>
  <c r="F4455" i="3" s="1"/>
  <c r="F4479" i="3" s="1"/>
  <c r="F4503" i="3" s="1"/>
  <c r="F4527" i="3" s="1"/>
  <c r="F4551" i="3" s="1"/>
  <c r="F4575" i="3" s="1"/>
  <c r="F4599" i="3" s="1"/>
  <c r="F4623" i="3" s="1"/>
  <c r="F4647" i="3" s="1"/>
  <c r="F4671" i="3" s="1"/>
  <c r="F4695" i="3" s="1"/>
  <c r="F4719" i="3" s="1"/>
  <c r="F4743" i="3" s="1"/>
  <c r="F4767" i="3" s="1"/>
  <c r="F4791" i="3" s="1"/>
  <c r="F4815" i="3" s="1"/>
  <c r="F4839" i="3" s="1"/>
  <c r="F4863" i="3" s="1"/>
  <c r="F4887" i="3" s="1"/>
  <c r="F4911" i="3" s="1"/>
  <c r="F4935" i="3" s="1"/>
  <c r="F4959" i="3" s="1"/>
  <c r="F4983" i="3" s="1"/>
  <c r="F5007" i="3" s="1"/>
  <c r="F5031" i="3" s="1"/>
  <c r="F5055" i="3" s="1"/>
  <c r="F5079" i="3" s="1"/>
  <c r="F5103" i="3" s="1"/>
  <c r="F5127" i="3" s="1"/>
  <c r="F5151" i="3" s="1"/>
  <c r="F5175" i="3" s="1"/>
  <c r="F5199" i="3" s="1"/>
  <c r="F5223" i="3" s="1"/>
  <c r="F5247" i="3" s="1"/>
  <c r="F5271" i="3" s="1"/>
  <c r="F5295" i="3" s="1"/>
  <c r="F5319" i="3" s="1"/>
  <c r="F5343" i="3" s="1"/>
  <c r="F5367" i="3" s="1"/>
  <c r="F5391" i="3" s="1"/>
  <c r="F5415" i="3" s="1"/>
  <c r="F5439" i="3" s="1"/>
  <c r="F5463" i="3" s="1"/>
  <c r="F5487" i="3" s="1"/>
  <c r="F5511" i="3" s="1"/>
  <c r="F5535" i="3" s="1"/>
  <c r="F5559" i="3" s="1"/>
  <c r="F5583" i="3" s="1"/>
  <c r="F5607" i="3" s="1"/>
  <c r="F5631" i="3" s="1"/>
  <c r="F5655" i="3" s="1"/>
  <c r="F5679" i="3" s="1"/>
  <c r="F5703" i="3" s="1"/>
  <c r="F5727" i="3" s="1"/>
  <c r="F5751" i="3" s="1"/>
  <c r="F5775" i="3" s="1"/>
  <c r="F5799" i="3" s="1"/>
  <c r="F5823" i="3" s="1"/>
  <c r="F5847" i="3" s="1"/>
  <c r="F5871" i="3" s="1"/>
  <c r="F5895" i="3" s="1"/>
  <c r="F5919" i="3" s="1"/>
  <c r="F5943" i="3" s="1"/>
  <c r="F5967" i="3" s="1"/>
  <c r="F5991" i="3" s="1"/>
  <c r="F6015" i="3" s="1"/>
  <c r="F6039" i="3" s="1"/>
  <c r="F6063" i="3" s="1"/>
  <c r="F6087" i="3" s="1"/>
  <c r="F6111" i="3" s="1"/>
  <c r="F6135" i="3" s="1"/>
  <c r="F6159" i="3" s="1"/>
  <c r="F6183" i="3" s="1"/>
  <c r="F6207" i="3" s="1"/>
  <c r="F6231" i="3" s="1"/>
  <c r="F6255" i="3" s="1"/>
  <c r="F6279" i="3" s="1"/>
  <c r="F6303" i="3" s="1"/>
  <c r="F6327" i="3" s="1"/>
  <c r="F6351" i="3" s="1"/>
  <c r="F6375" i="3" s="1"/>
  <c r="F6399" i="3" s="1"/>
  <c r="F6423" i="3" s="1"/>
  <c r="F6447" i="3" s="1"/>
  <c r="F6471" i="3" s="1"/>
  <c r="F6495" i="3" s="1"/>
  <c r="F6519" i="3" s="1"/>
  <c r="F6543" i="3" s="1"/>
  <c r="F6567" i="3" s="1"/>
  <c r="F6591" i="3" s="1"/>
  <c r="F6615" i="3" s="1"/>
  <c r="F6639" i="3" s="1"/>
  <c r="F6663" i="3" s="1"/>
  <c r="F6687" i="3" s="1"/>
  <c r="F6711" i="3" s="1"/>
  <c r="F6735" i="3" s="1"/>
  <c r="F6759" i="3" s="1"/>
  <c r="F6783" i="3" s="1"/>
  <c r="F6807" i="3" s="1"/>
  <c r="F6831" i="3" s="1"/>
  <c r="F6855" i="3" s="1"/>
  <c r="F6879" i="3" s="1"/>
  <c r="F6903" i="3" s="1"/>
  <c r="F6927" i="3" s="1"/>
  <c r="F6951" i="3" s="1"/>
  <c r="F6975" i="3" s="1"/>
  <c r="F6999" i="3" s="1"/>
  <c r="F7023" i="3" s="1"/>
  <c r="F7047" i="3" s="1"/>
  <c r="F7071" i="3" s="1"/>
  <c r="F7095" i="3" s="1"/>
  <c r="F7119" i="3" s="1"/>
  <c r="F7143" i="3" s="1"/>
  <c r="F7167" i="3" s="1"/>
  <c r="F7191" i="3" s="1"/>
  <c r="F7215" i="3" s="1"/>
  <c r="F7239" i="3" s="1"/>
  <c r="F7263" i="3" s="1"/>
  <c r="F7287" i="3" s="1"/>
  <c r="F7311" i="3" s="1"/>
  <c r="F7335" i="3" s="1"/>
  <c r="F7359" i="3" s="1"/>
  <c r="F7383" i="3" s="1"/>
  <c r="F7407" i="3" s="1"/>
  <c r="F7431" i="3" s="1"/>
  <c r="F7455" i="3" s="1"/>
  <c r="F7479" i="3" s="1"/>
  <c r="F7503" i="3" s="1"/>
  <c r="F7527" i="3" s="1"/>
  <c r="F7551" i="3" s="1"/>
  <c r="F7575" i="3" s="1"/>
  <c r="F7599" i="3" s="1"/>
  <c r="F7623" i="3" s="1"/>
  <c r="F7647" i="3" s="1"/>
  <c r="F7671" i="3" s="1"/>
  <c r="F7695" i="3" s="1"/>
  <c r="F7719" i="3" s="1"/>
  <c r="F7743" i="3" s="1"/>
  <c r="F7767" i="3" s="1"/>
  <c r="F7791" i="3" s="1"/>
  <c r="F7815" i="3" s="1"/>
  <c r="F7839" i="3" s="1"/>
  <c r="F7863" i="3" s="1"/>
  <c r="F7887" i="3" s="1"/>
  <c r="F7911" i="3" s="1"/>
  <c r="F7935" i="3" s="1"/>
  <c r="F7959" i="3" s="1"/>
  <c r="F8007" i="3" s="1"/>
  <c r="S159" i="1"/>
  <c r="T159" i="1"/>
  <c r="M124" i="1"/>
  <c r="E322" i="23" l="1"/>
  <c r="AC310" i="23"/>
  <c r="M310" i="23"/>
  <c r="E187" i="1"/>
  <c r="R187" i="1" s="1"/>
  <c r="S186" i="1"/>
  <c r="X309" i="23"/>
  <c r="AF309" i="23"/>
  <c r="C311" i="23"/>
  <c r="K311" i="23" s="1"/>
  <c r="AB325" i="23" s="1"/>
  <c r="R310" i="23"/>
  <c r="T310" i="23"/>
  <c r="Q310" i="23"/>
  <c r="F8031" i="3"/>
  <c r="F8055" i="3" s="1"/>
  <c r="F8079" i="3" s="1"/>
  <c r="F8103" i="3" s="1"/>
  <c r="F8127" i="3" s="1"/>
  <c r="F8151" i="3" s="1"/>
  <c r="F8175" i="3" s="1"/>
  <c r="F8199" i="3" s="1"/>
  <c r="F8223" i="3" s="1"/>
  <c r="F8247" i="3" s="1"/>
  <c r="F8271" i="3" s="1"/>
  <c r="F8295" i="3" s="1"/>
  <c r="F8319" i="3" s="1"/>
  <c r="F8343" i="3" s="1"/>
  <c r="F8367" i="3" s="1"/>
  <c r="F8391" i="3" s="1"/>
  <c r="F8415" i="3" s="1"/>
  <c r="F8439" i="3" s="1"/>
  <c r="F8463" i="3" s="1"/>
  <c r="F8487" i="3" s="1"/>
  <c r="F8511" i="3" s="1"/>
  <c r="F8535" i="3" s="1"/>
  <c r="F8559" i="3" s="1"/>
  <c r="F8583" i="3" s="1"/>
  <c r="F8607" i="3" s="1"/>
  <c r="F8631" i="3" s="1"/>
  <c r="F8655" i="3" s="1"/>
  <c r="F8679" i="3" s="1"/>
  <c r="F8703" i="3" s="1"/>
  <c r="F8727" i="3" s="1"/>
  <c r="F8751" i="3" s="1"/>
  <c r="F8775" i="3" s="1"/>
  <c r="F8799" i="3" s="1"/>
  <c r="F8823" i="3" s="1"/>
  <c r="F8847" i="3" s="1"/>
  <c r="F8871" i="3" s="1"/>
  <c r="F8895" i="3" s="1"/>
  <c r="F8919" i="3" s="1"/>
  <c r="F8943" i="3" s="1"/>
  <c r="F8967" i="3" s="1"/>
  <c r="F8991" i="3" s="1"/>
  <c r="F9015" i="3" s="1"/>
  <c r="F9039" i="3" s="1"/>
  <c r="F9063" i="3" s="1"/>
  <c r="F9087" i="3" s="1"/>
  <c r="F9111" i="3" s="1"/>
  <c r="F9135" i="3" s="1"/>
  <c r="F9159" i="3" s="1"/>
  <c r="F9183" i="3" s="1"/>
  <c r="F9207" i="3" s="1"/>
  <c r="F9231" i="3" s="1"/>
  <c r="F9255" i="3" s="1"/>
  <c r="F9279" i="3" s="1"/>
  <c r="F9303" i="3" s="1"/>
  <c r="F9327" i="3" s="1"/>
  <c r="F9351" i="3" s="1"/>
  <c r="F9375" i="3" s="1"/>
  <c r="F9399" i="3" s="1"/>
  <c r="F9423" i="3" s="1"/>
  <c r="F9447" i="3" s="1"/>
  <c r="F9471" i="3" s="1"/>
  <c r="F9495" i="3" s="1"/>
  <c r="F9519" i="3" s="1"/>
  <c r="F9543" i="3" s="1"/>
  <c r="F9567" i="3" s="1"/>
  <c r="F9591" i="3" s="1"/>
  <c r="F9615" i="3" s="1"/>
  <c r="F9639" i="3" s="1"/>
  <c r="F9663" i="3" s="1"/>
  <c r="F9687" i="3" s="1"/>
  <c r="F9711" i="3" s="1"/>
  <c r="F9735" i="3" s="1"/>
  <c r="F9759" i="3" s="1"/>
  <c r="F9783" i="3" s="1"/>
  <c r="F9807" i="3" s="1"/>
  <c r="F9831" i="3" s="1"/>
  <c r="F9855" i="3" s="1"/>
  <c r="F9879" i="3" s="1"/>
  <c r="F9903" i="3" s="1"/>
  <c r="F9927" i="3" s="1"/>
  <c r="F9951" i="3" s="1"/>
  <c r="F9975" i="3" s="1"/>
  <c r="F9999" i="3" s="1"/>
  <c r="Q278" i="1"/>
  <c r="C279" i="1"/>
  <c r="S187" i="1"/>
  <c r="T187" i="1"/>
  <c r="F3729" i="3"/>
  <c r="F3755" i="3"/>
  <c r="F3780" i="3" s="1"/>
  <c r="F3805" i="3" s="1"/>
  <c r="F3830" i="3" s="1"/>
  <c r="F3854" i="3" s="1"/>
  <c r="F3878" i="3" s="1"/>
  <c r="F3902" i="3" s="1"/>
  <c r="F3926" i="3" s="1"/>
  <c r="F3950" i="3" s="1"/>
  <c r="F3974" i="3" s="1"/>
  <c r="F3998" i="3" s="1"/>
  <c r="F4022" i="3" s="1"/>
  <c r="F4046" i="3" s="1"/>
  <c r="F4070" i="3" s="1"/>
  <c r="F4094" i="3" s="1"/>
  <c r="F4118" i="3" s="1"/>
  <c r="F4142" i="3" s="1"/>
  <c r="F4166" i="3" s="1"/>
  <c r="F4190" i="3" s="1"/>
  <c r="F4214" i="3" s="1"/>
  <c r="F4238" i="3" s="1"/>
  <c r="F4262" i="3" s="1"/>
  <c r="F4286" i="3" s="1"/>
  <c r="F4310" i="3" s="1"/>
  <c r="F4334" i="3" s="1"/>
  <c r="F4358" i="3" s="1"/>
  <c r="F4382" i="3" s="1"/>
  <c r="F4406" i="3" s="1"/>
  <c r="F4430" i="3" s="1"/>
  <c r="F4454" i="3" s="1"/>
  <c r="F4478" i="3" s="1"/>
  <c r="F4502" i="3" s="1"/>
  <c r="F4526" i="3" s="1"/>
  <c r="F4550" i="3" s="1"/>
  <c r="F4574" i="3" s="1"/>
  <c r="F4598" i="3" s="1"/>
  <c r="F4622" i="3" s="1"/>
  <c r="F4646" i="3" s="1"/>
  <c r="F4670" i="3" s="1"/>
  <c r="F4694" i="3" s="1"/>
  <c r="F4718" i="3" s="1"/>
  <c r="F4742" i="3" s="1"/>
  <c r="F4766" i="3" s="1"/>
  <c r="F4790" i="3" s="1"/>
  <c r="F4814" i="3" s="1"/>
  <c r="F4838" i="3" s="1"/>
  <c r="F4862" i="3" s="1"/>
  <c r="F4886" i="3" s="1"/>
  <c r="F4910" i="3" s="1"/>
  <c r="F4934" i="3" s="1"/>
  <c r="F4958" i="3" s="1"/>
  <c r="F4982" i="3" s="1"/>
  <c r="F5006" i="3" s="1"/>
  <c r="F5030" i="3" s="1"/>
  <c r="F5054" i="3" s="1"/>
  <c r="F5078" i="3" s="1"/>
  <c r="F5102" i="3" s="1"/>
  <c r="F5126" i="3" s="1"/>
  <c r="F5150" i="3" s="1"/>
  <c r="F5174" i="3" s="1"/>
  <c r="F5198" i="3" s="1"/>
  <c r="F5222" i="3" s="1"/>
  <c r="F5246" i="3" s="1"/>
  <c r="F5270" i="3" s="1"/>
  <c r="F5294" i="3" s="1"/>
  <c r="F5318" i="3" s="1"/>
  <c r="F5342" i="3" s="1"/>
  <c r="F5366" i="3" s="1"/>
  <c r="F5390" i="3" s="1"/>
  <c r="F5414" i="3" s="1"/>
  <c r="F5438" i="3" s="1"/>
  <c r="F5462" i="3" s="1"/>
  <c r="F5486" i="3" s="1"/>
  <c r="F5510" i="3" s="1"/>
  <c r="E188" i="1"/>
  <c r="R188" i="1" s="1"/>
  <c r="S160" i="1"/>
  <c r="T160" i="1"/>
  <c r="L123" i="1"/>
  <c r="K123" i="1" s="1"/>
  <c r="AC311" i="23" l="1"/>
  <c r="M311" i="23"/>
  <c r="E323" i="23"/>
  <c r="X310" i="23"/>
  <c r="AF310" i="23"/>
  <c r="Q311" i="23"/>
  <c r="R311" i="23"/>
  <c r="C312" i="23"/>
  <c r="K312" i="23" s="1"/>
  <c r="AB326" i="23" s="1"/>
  <c r="T311" i="23"/>
  <c r="Q279" i="1"/>
  <c r="C280" i="1"/>
  <c r="S188" i="1"/>
  <c r="T188" i="1"/>
  <c r="F3779" i="3"/>
  <c r="F3804" i="3" s="1"/>
  <c r="F3829" i="3" s="1"/>
  <c r="F3853" i="3" s="1"/>
  <c r="F3877" i="3" s="1"/>
  <c r="F3901" i="3" s="1"/>
  <c r="F3925" i="3" s="1"/>
  <c r="F3949" i="3" s="1"/>
  <c r="F3973" i="3" s="1"/>
  <c r="F3997" i="3" s="1"/>
  <c r="F4021" i="3" s="1"/>
  <c r="F4045" i="3" s="1"/>
  <c r="F4069" i="3" s="1"/>
  <c r="F4093" i="3" s="1"/>
  <c r="F4117" i="3" s="1"/>
  <c r="F4141" i="3" s="1"/>
  <c r="F4165" i="3" s="1"/>
  <c r="F4189" i="3" s="1"/>
  <c r="F4213" i="3" s="1"/>
  <c r="F4237" i="3" s="1"/>
  <c r="F4261" i="3" s="1"/>
  <c r="F4285" i="3" s="1"/>
  <c r="F4309" i="3" s="1"/>
  <c r="F4333" i="3" s="1"/>
  <c r="F4357" i="3" s="1"/>
  <c r="F4381" i="3" s="1"/>
  <c r="F4405" i="3" s="1"/>
  <c r="F4429" i="3" s="1"/>
  <c r="F4453" i="3" s="1"/>
  <c r="F4477" i="3" s="1"/>
  <c r="F4501" i="3" s="1"/>
  <c r="F4525" i="3" s="1"/>
  <c r="F4549" i="3" s="1"/>
  <c r="F4573" i="3" s="1"/>
  <c r="F4597" i="3" s="1"/>
  <c r="F4621" i="3" s="1"/>
  <c r="F4645" i="3" s="1"/>
  <c r="F4669" i="3" s="1"/>
  <c r="F4693" i="3" s="1"/>
  <c r="F4717" i="3" s="1"/>
  <c r="F4741" i="3" s="1"/>
  <c r="F4765" i="3" s="1"/>
  <c r="F4789" i="3" s="1"/>
  <c r="F4813" i="3" s="1"/>
  <c r="F4837" i="3" s="1"/>
  <c r="F4861" i="3" s="1"/>
  <c r="F4885" i="3" s="1"/>
  <c r="F4909" i="3" s="1"/>
  <c r="F4933" i="3" s="1"/>
  <c r="F4957" i="3" s="1"/>
  <c r="F4981" i="3" s="1"/>
  <c r="F5005" i="3" s="1"/>
  <c r="F5029" i="3" s="1"/>
  <c r="F5053" i="3" s="1"/>
  <c r="F5077" i="3" s="1"/>
  <c r="F5101" i="3" s="1"/>
  <c r="F5125" i="3" s="1"/>
  <c r="F5149" i="3" s="1"/>
  <c r="F5173" i="3" s="1"/>
  <c r="F5197" i="3" s="1"/>
  <c r="F5221" i="3" s="1"/>
  <c r="F5245" i="3" s="1"/>
  <c r="F5269" i="3" s="1"/>
  <c r="F5293" i="3" s="1"/>
  <c r="F5317" i="3" s="1"/>
  <c r="F5341" i="3" s="1"/>
  <c r="F5365" i="3" s="1"/>
  <c r="F5389" i="3" s="1"/>
  <c r="F5413" i="3" s="1"/>
  <c r="F5437" i="3" s="1"/>
  <c r="F5461" i="3" s="1"/>
  <c r="F5485" i="3" s="1"/>
  <c r="F5509" i="3" s="1"/>
  <c r="F3753" i="3"/>
  <c r="E189" i="1"/>
  <c r="R189" i="1" s="1"/>
  <c r="T161" i="1"/>
  <c r="E122" i="1"/>
  <c r="L121" i="1"/>
  <c r="L120" i="1"/>
  <c r="E324" i="23" l="1"/>
  <c r="AC312" i="23"/>
  <c r="M312" i="23"/>
  <c r="X311" i="23"/>
  <c r="AF311" i="23"/>
  <c r="T312" i="23"/>
  <c r="C313" i="23"/>
  <c r="K313" i="23" s="1"/>
  <c r="AB327" i="23" s="1"/>
  <c r="R312" i="23"/>
  <c r="Q312" i="23"/>
  <c r="Q280" i="1"/>
  <c r="C281" i="1"/>
  <c r="S189" i="1"/>
  <c r="T189" i="1"/>
  <c r="F3777" i="3"/>
  <c r="F3803" i="3"/>
  <c r="F3828" i="3" s="1"/>
  <c r="F3852" i="3" s="1"/>
  <c r="F3876" i="3" s="1"/>
  <c r="F3900" i="3" s="1"/>
  <c r="F3924" i="3" s="1"/>
  <c r="F3948" i="3" s="1"/>
  <c r="F3972" i="3" s="1"/>
  <c r="F3996" i="3" s="1"/>
  <c r="F4020" i="3" s="1"/>
  <c r="F4044" i="3" s="1"/>
  <c r="F4068" i="3" s="1"/>
  <c r="F4092" i="3" s="1"/>
  <c r="F4116" i="3" s="1"/>
  <c r="F4140" i="3" s="1"/>
  <c r="F4164" i="3" s="1"/>
  <c r="F4188" i="3" s="1"/>
  <c r="F4212" i="3" s="1"/>
  <c r="F4236" i="3" s="1"/>
  <c r="F4260" i="3" s="1"/>
  <c r="F4284" i="3" s="1"/>
  <c r="F4308" i="3" s="1"/>
  <c r="F4332" i="3" s="1"/>
  <c r="F4356" i="3" s="1"/>
  <c r="F4380" i="3" s="1"/>
  <c r="F4404" i="3" s="1"/>
  <c r="F4428" i="3" s="1"/>
  <c r="F4452" i="3" s="1"/>
  <c r="F4476" i="3" s="1"/>
  <c r="F4500" i="3" s="1"/>
  <c r="F4524" i="3" s="1"/>
  <c r="F4548" i="3" s="1"/>
  <c r="F4572" i="3" s="1"/>
  <c r="F4596" i="3" s="1"/>
  <c r="F4620" i="3" s="1"/>
  <c r="F4644" i="3" s="1"/>
  <c r="F4668" i="3" s="1"/>
  <c r="F4692" i="3" s="1"/>
  <c r="F4716" i="3" s="1"/>
  <c r="F4740" i="3" s="1"/>
  <c r="F4764" i="3" s="1"/>
  <c r="F4788" i="3" s="1"/>
  <c r="F4812" i="3" s="1"/>
  <c r="F4836" i="3" s="1"/>
  <c r="F4860" i="3" s="1"/>
  <c r="F4884" i="3" s="1"/>
  <c r="F4908" i="3" s="1"/>
  <c r="F4932" i="3" s="1"/>
  <c r="F4956" i="3" s="1"/>
  <c r="F4980" i="3" s="1"/>
  <c r="F5004" i="3" s="1"/>
  <c r="F5028" i="3" s="1"/>
  <c r="F5052" i="3" s="1"/>
  <c r="F5076" i="3" s="1"/>
  <c r="F5100" i="3" s="1"/>
  <c r="F5124" i="3" s="1"/>
  <c r="F5148" i="3" s="1"/>
  <c r="F5172" i="3" s="1"/>
  <c r="F5196" i="3" s="1"/>
  <c r="F5220" i="3" s="1"/>
  <c r="F5244" i="3" s="1"/>
  <c r="F5268" i="3" s="1"/>
  <c r="F5292" i="3" s="1"/>
  <c r="F5316" i="3" s="1"/>
  <c r="F5340" i="3" s="1"/>
  <c r="F5364" i="3" s="1"/>
  <c r="F5388" i="3" s="1"/>
  <c r="F5412" i="3" s="1"/>
  <c r="F5436" i="3" s="1"/>
  <c r="F5460" i="3" s="1"/>
  <c r="F5484" i="3" s="1"/>
  <c r="F5508" i="3" s="1"/>
  <c r="E190" i="1"/>
  <c r="R190" i="1" s="1"/>
  <c r="S122" i="1"/>
  <c r="T122" i="1"/>
  <c r="E123" i="1"/>
  <c r="AC313" i="23" l="1"/>
  <c r="M313" i="23"/>
  <c r="E325" i="23"/>
  <c r="X312" i="23"/>
  <c r="AF312" i="23"/>
  <c r="Q313" i="23"/>
  <c r="R313" i="23"/>
  <c r="C314" i="23"/>
  <c r="K314" i="23" s="1"/>
  <c r="AB328" i="23" s="1"/>
  <c r="T313" i="23"/>
  <c r="Q281" i="1"/>
  <c r="C282" i="1"/>
  <c r="T190" i="1"/>
  <c r="S190" i="1"/>
  <c r="F3801" i="3"/>
  <c r="F3827" i="3"/>
  <c r="F3851" i="3" s="1"/>
  <c r="F3875" i="3" s="1"/>
  <c r="E191" i="1"/>
  <c r="R191" i="1" s="1"/>
  <c r="T123" i="1"/>
  <c r="S123" i="1"/>
  <c r="E124" i="1"/>
  <c r="AC314" i="23" l="1"/>
  <c r="M314" i="23"/>
  <c r="E326" i="23"/>
  <c r="X313" i="23"/>
  <c r="AF313" i="23"/>
  <c r="C315" i="23"/>
  <c r="K315" i="23" s="1"/>
  <c r="AB329" i="23" s="1"/>
  <c r="R314" i="23"/>
  <c r="T314" i="23"/>
  <c r="Q314" i="23"/>
  <c r="Q282" i="1"/>
  <c r="C283" i="1"/>
  <c r="E192" i="1"/>
  <c r="R192" i="1" s="1"/>
  <c r="S191" i="1"/>
  <c r="T191" i="1"/>
  <c r="F3899" i="3"/>
  <c r="F3923" i="3" s="1"/>
  <c r="F3947" i="3" s="1"/>
  <c r="F3971" i="3" s="1"/>
  <c r="F3995" i="3" s="1"/>
  <c r="F4019" i="3" s="1"/>
  <c r="F4043" i="3" s="1"/>
  <c r="F4067" i="3" s="1"/>
  <c r="F4091" i="3" s="1"/>
  <c r="F4115" i="3" s="1"/>
  <c r="F4139" i="3" s="1"/>
  <c r="F4163" i="3" s="1"/>
  <c r="F4187" i="3" s="1"/>
  <c r="F4211" i="3" s="1"/>
  <c r="F4235" i="3" s="1"/>
  <c r="F4259" i="3" s="1"/>
  <c r="F4283" i="3" s="1"/>
  <c r="F4307" i="3" s="1"/>
  <c r="F4331" i="3" s="1"/>
  <c r="F4355" i="3" s="1"/>
  <c r="F4379" i="3" s="1"/>
  <c r="F4403" i="3" s="1"/>
  <c r="F4427" i="3" s="1"/>
  <c r="F4451" i="3" s="1"/>
  <c r="F4475" i="3" s="1"/>
  <c r="F4499" i="3" s="1"/>
  <c r="F4523" i="3" s="1"/>
  <c r="F4547" i="3" s="1"/>
  <c r="F4571" i="3" s="1"/>
  <c r="F4595" i="3" s="1"/>
  <c r="F4619" i="3" s="1"/>
  <c r="F4643" i="3" s="1"/>
  <c r="F4667" i="3" s="1"/>
  <c r="F4691" i="3" s="1"/>
  <c r="F4715" i="3" s="1"/>
  <c r="F4739" i="3" s="1"/>
  <c r="F4763" i="3" s="1"/>
  <c r="F4787" i="3" s="1"/>
  <c r="F4811" i="3" s="1"/>
  <c r="F4835" i="3" s="1"/>
  <c r="F4859" i="3" s="1"/>
  <c r="F4883" i="3" s="1"/>
  <c r="F4907" i="3" s="1"/>
  <c r="F4931" i="3" s="1"/>
  <c r="F4955" i="3" s="1"/>
  <c r="F4979" i="3" s="1"/>
  <c r="F5003" i="3" s="1"/>
  <c r="F5027" i="3" s="1"/>
  <c r="F5051" i="3" s="1"/>
  <c r="F5075" i="3" s="1"/>
  <c r="F5099" i="3" s="1"/>
  <c r="F5123" i="3" s="1"/>
  <c r="F5147" i="3" s="1"/>
  <c r="F5171" i="3" s="1"/>
  <c r="F5195" i="3" s="1"/>
  <c r="F5219" i="3" s="1"/>
  <c r="F5243" i="3" s="1"/>
  <c r="F5267" i="3" s="1"/>
  <c r="F5291" i="3" s="1"/>
  <c r="F5315" i="3" s="1"/>
  <c r="F5339" i="3" s="1"/>
  <c r="F5363" i="3" s="1"/>
  <c r="F5387" i="3" s="1"/>
  <c r="F5411" i="3" s="1"/>
  <c r="F5435" i="3" s="1"/>
  <c r="F5459" i="3" s="1"/>
  <c r="F5483" i="3" s="1"/>
  <c r="F5507" i="3" s="1"/>
  <c r="F3825" i="3"/>
  <c r="F3849" i="3" s="1"/>
  <c r="F3873" i="3" s="1"/>
  <c r="F3897" i="3" s="1"/>
  <c r="F3921" i="3" s="1"/>
  <c r="F3945" i="3" s="1"/>
  <c r="F3969" i="3" s="1"/>
  <c r="F3993" i="3" s="1"/>
  <c r="F4017" i="3" s="1"/>
  <c r="F4041" i="3" s="1"/>
  <c r="F4065" i="3" s="1"/>
  <c r="F4089" i="3" s="1"/>
  <c r="F4113" i="3" s="1"/>
  <c r="F4137" i="3" s="1"/>
  <c r="F4161" i="3" s="1"/>
  <c r="F4185" i="3" s="1"/>
  <c r="F4209" i="3" s="1"/>
  <c r="F4233" i="3" s="1"/>
  <c r="F4257" i="3" s="1"/>
  <c r="F4281" i="3" s="1"/>
  <c r="F4305" i="3" s="1"/>
  <c r="F4329" i="3" s="1"/>
  <c r="F4353" i="3" s="1"/>
  <c r="F4377" i="3" s="1"/>
  <c r="F4401" i="3" s="1"/>
  <c r="F4425" i="3" s="1"/>
  <c r="F4449" i="3" s="1"/>
  <c r="F4473" i="3" s="1"/>
  <c r="F4497" i="3" s="1"/>
  <c r="F4521" i="3" s="1"/>
  <c r="F4545" i="3" s="1"/>
  <c r="F4569" i="3" s="1"/>
  <c r="F4593" i="3" s="1"/>
  <c r="F4617" i="3" s="1"/>
  <c r="F4641" i="3" s="1"/>
  <c r="F4665" i="3" s="1"/>
  <c r="F4689" i="3" s="1"/>
  <c r="F4713" i="3" s="1"/>
  <c r="F4737" i="3" s="1"/>
  <c r="F4761" i="3" s="1"/>
  <c r="F4785" i="3" s="1"/>
  <c r="F4809" i="3" s="1"/>
  <c r="F4833" i="3" s="1"/>
  <c r="F4857" i="3" s="1"/>
  <c r="F4881" i="3" s="1"/>
  <c r="F4905" i="3" s="1"/>
  <c r="F4929" i="3" s="1"/>
  <c r="F4953" i="3" s="1"/>
  <c r="F4977" i="3" s="1"/>
  <c r="F5001" i="3" s="1"/>
  <c r="F5025" i="3" s="1"/>
  <c r="F5049" i="3" s="1"/>
  <c r="F5073" i="3" s="1"/>
  <c r="F5097" i="3" s="1"/>
  <c r="F5121" i="3" s="1"/>
  <c r="F5145" i="3" s="1"/>
  <c r="F5169" i="3" s="1"/>
  <c r="F5193" i="3" s="1"/>
  <c r="F5217" i="3" s="1"/>
  <c r="F5241" i="3" s="1"/>
  <c r="F5265" i="3" s="1"/>
  <c r="F5289" i="3" s="1"/>
  <c r="F5313" i="3" s="1"/>
  <c r="F5337" i="3" s="1"/>
  <c r="F5361" i="3" s="1"/>
  <c r="F5385" i="3" s="1"/>
  <c r="F5409" i="3" s="1"/>
  <c r="F5433" i="3" s="1"/>
  <c r="F5457" i="3" s="1"/>
  <c r="F5481" i="3" s="1"/>
  <c r="F5505" i="3" s="1"/>
  <c r="S124" i="1"/>
  <c r="E125" i="1"/>
  <c r="T124" i="1"/>
  <c r="E119" i="1"/>
  <c r="AC315" i="23" l="1"/>
  <c r="M315" i="23"/>
  <c r="E327" i="23"/>
  <c r="X314" i="23"/>
  <c r="AF314" i="23"/>
  <c r="Q315" i="23"/>
  <c r="C316" i="23"/>
  <c r="K316" i="23" s="1"/>
  <c r="AB330" i="23" s="1"/>
  <c r="T315" i="23"/>
  <c r="R315" i="23"/>
  <c r="Q283" i="1"/>
  <c r="C284" i="1"/>
  <c r="E193" i="1"/>
  <c r="R193" i="1" s="1"/>
  <c r="S192" i="1"/>
  <c r="T192" i="1"/>
  <c r="E120" i="1"/>
  <c r="S120" i="1" s="1"/>
  <c r="T119" i="1"/>
  <c r="E126" i="1"/>
  <c r="T125" i="1"/>
  <c r="S119" i="1"/>
  <c r="S125" i="1"/>
  <c r="AC316" i="23" l="1"/>
  <c r="M316" i="23"/>
  <c r="E328" i="23"/>
  <c r="X315" i="23"/>
  <c r="AF315" i="23"/>
  <c r="T316" i="23"/>
  <c r="C317" i="23"/>
  <c r="K317" i="23" s="1"/>
  <c r="AB331" i="23" s="1"/>
  <c r="R316" i="23"/>
  <c r="Q316" i="23"/>
  <c r="S193" i="1"/>
  <c r="T193" i="1"/>
  <c r="E194" i="1"/>
  <c r="R194" i="1" s="1"/>
  <c r="Q284" i="1"/>
  <c r="C285" i="1"/>
  <c r="T126" i="1"/>
  <c r="S126" i="1"/>
  <c r="T120" i="1"/>
  <c r="AC317" i="23" l="1"/>
  <c r="M317" i="23"/>
  <c r="E329" i="23"/>
  <c r="X316" i="23"/>
  <c r="AF316" i="23"/>
  <c r="Q317" i="23"/>
  <c r="C318" i="23"/>
  <c r="K318" i="23" s="1"/>
  <c r="AB332" i="23" s="1"/>
  <c r="T317" i="23"/>
  <c r="R317" i="23"/>
  <c r="E195" i="1"/>
  <c r="R195" i="1" s="1"/>
  <c r="S194" i="1"/>
  <c r="T194" i="1"/>
  <c r="Q285" i="1"/>
  <c r="C286" i="1"/>
  <c r="E113" i="1"/>
  <c r="AC318" i="23" l="1"/>
  <c r="M318" i="23"/>
  <c r="E330" i="23"/>
  <c r="X317" i="23"/>
  <c r="AF317" i="23"/>
  <c r="C319" i="23"/>
  <c r="K319" i="23" s="1"/>
  <c r="AB333" i="23" s="1"/>
  <c r="R318" i="23"/>
  <c r="T318" i="23"/>
  <c r="Q318" i="23"/>
  <c r="T195" i="1"/>
  <c r="E196" i="1"/>
  <c r="R196" i="1" s="1"/>
  <c r="S195" i="1"/>
  <c r="C287" i="1"/>
  <c r="Q286" i="1"/>
  <c r="T113" i="1"/>
  <c r="S113" i="1"/>
  <c r="E114" i="1"/>
  <c r="AC319" i="23" l="1"/>
  <c r="M319" i="23"/>
  <c r="E331" i="23"/>
  <c r="T196" i="1"/>
  <c r="X318" i="23"/>
  <c r="AF318" i="23"/>
  <c r="Q319" i="23"/>
  <c r="R319" i="23"/>
  <c r="C320" i="23"/>
  <c r="K320" i="23" s="1"/>
  <c r="AB334" i="23" s="1"/>
  <c r="T319" i="23"/>
  <c r="E197" i="1"/>
  <c r="R197" i="1" s="1"/>
  <c r="S196" i="1"/>
  <c r="Q287" i="1"/>
  <c r="C288" i="1"/>
  <c r="T114" i="1"/>
  <c r="S114" i="1"/>
  <c r="E332" i="23" l="1"/>
  <c r="AC320" i="23"/>
  <c r="M320" i="23"/>
  <c r="S197" i="1"/>
  <c r="T197" i="1"/>
  <c r="E198" i="1"/>
  <c r="R198" i="1" s="1"/>
  <c r="X319" i="23"/>
  <c r="AF319" i="23"/>
  <c r="T320" i="23"/>
  <c r="C321" i="23"/>
  <c r="K321" i="23" s="1"/>
  <c r="AB335" i="23" s="1"/>
  <c r="R320" i="23"/>
  <c r="Q320" i="23"/>
  <c r="Q288" i="1"/>
  <c r="C289" i="1"/>
  <c r="Q171" i="1"/>
  <c r="AC321" i="23" l="1"/>
  <c r="M321" i="23"/>
  <c r="E333" i="23"/>
  <c r="T198" i="1"/>
  <c r="E199" i="1"/>
  <c r="R199" i="1" s="1"/>
  <c r="S198" i="1"/>
  <c r="X320" i="23"/>
  <c r="AF320" i="23"/>
  <c r="Q321" i="23"/>
  <c r="R321" i="23"/>
  <c r="C322" i="23"/>
  <c r="K322" i="23" s="1"/>
  <c r="AB336" i="23" s="1"/>
  <c r="T321" i="23"/>
  <c r="Q289" i="1"/>
  <c r="C290" i="1"/>
  <c r="T199" i="1"/>
  <c r="Q172" i="1"/>
  <c r="E334" i="23" l="1"/>
  <c r="AC322" i="23"/>
  <c r="M322" i="23"/>
  <c r="E200" i="1"/>
  <c r="R200" i="1" s="1"/>
  <c r="S199" i="1"/>
  <c r="X321" i="23"/>
  <c r="AF321" i="23"/>
  <c r="C323" i="23"/>
  <c r="K323" i="23" s="1"/>
  <c r="AB337" i="23" s="1"/>
  <c r="R322" i="23"/>
  <c r="T322" i="23"/>
  <c r="Q322" i="23"/>
  <c r="C291" i="1"/>
  <c r="Q290" i="1"/>
  <c r="T200" i="1"/>
  <c r="E201" i="1"/>
  <c r="R201" i="1" s="1"/>
  <c r="Q173" i="1"/>
  <c r="S200" i="1" l="1"/>
  <c r="AC323" i="23"/>
  <c r="M323" i="23"/>
  <c r="E335" i="23"/>
  <c r="X322" i="23"/>
  <c r="AF322" i="23"/>
  <c r="Q323" i="23"/>
  <c r="C324" i="23"/>
  <c r="K324" i="23" s="1"/>
  <c r="AB338" i="23" s="1"/>
  <c r="T323" i="23"/>
  <c r="R323" i="23"/>
  <c r="C292" i="1"/>
  <c r="Q291" i="1"/>
  <c r="T201" i="1"/>
  <c r="S201" i="1"/>
  <c r="E202" i="1"/>
  <c r="R202" i="1" s="1"/>
  <c r="Q174" i="1"/>
  <c r="AC324" i="23" l="1"/>
  <c r="M324" i="23"/>
  <c r="E336" i="23"/>
  <c r="X323" i="23"/>
  <c r="AF323" i="23"/>
  <c r="T324" i="23"/>
  <c r="C325" i="23"/>
  <c r="K325" i="23" s="1"/>
  <c r="AB339" i="23" s="1"/>
  <c r="R324" i="23"/>
  <c r="Q324" i="23"/>
  <c r="Q292" i="1"/>
  <c r="C293" i="1"/>
  <c r="T202" i="1"/>
  <c r="S202" i="1"/>
  <c r="E203" i="1"/>
  <c r="R203" i="1" s="1"/>
  <c r="Q175" i="1"/>
  <c r="AC325" i="23" l="1"/>
  <c r="M325" i="23"/>
  <c r="E337" i="23"/>
  <c r="X324" i="23"/>
  <c r="AF324" i="23"/>
  <c r="T325" i="23"/>
  <c r="C326" i="23"/>
  <c r="K326" i="23" s="1"/>
  <c r="AB340" i="23" s="1"/>
  <c r="R325" i="23"/>
  <c r="C294" i="1"/>
  <c r="Q293" i="1"/>
  <c r="T203" i="1"/>
  <c r="S203" i="1"/>
  <c r="E204" i="1"/>
  <c r="R204" i="1" s="1"/>
  <c r="Q176" i="1"/>
  <c r="AC326" i="23" l="1"/>
  <c r="M326" i="23"/>
  <c r="E338" i="23"/>
  <c r="X325" i="23"/>
  <c r="AF325" i="23"/>
  <c r="T326" i="23"/>
  <c r="C327" i="23"/>
  <c r="K327" i="23" s="1"/>
  <c r="AB341" i="23" s="1"/>
  <c r="R326" i="23"/>
  <c r="Q294" i="1"/>
  <c r="C295" i="1"/>
  <c r="T204" i="1"/>
  <c r="E205" i="1"/>
  <c r="R205" i="1" s="1"/>
  <c r="S204" i="1"/>
  <c r="Q177" i="1"/>
  <c r="AC327" i="23" l="1"/>
  <c r="M327" i="23"/>
  <c r="E339" i="23"/>
  <c r="X326" i="23"/>
  <c r="AF326" i="23"/>
  <c r="T327" i="23"/>
  <c r="C328" i="23"/>
  <c r="K328" i="23" s="1"/>
  <c r="AB342" i="23" s="1"/>
  <c r="R327" i="23"/>
  <c r="C296" i="1"/>
  <c r="Q295" i="1"/>
  <c r="T205" i="1"/>
  <c r="S205" i="1"/>
  <c r="E206" i="1"/>
  <c r="R206" i="1" s="1"/>
  <c r="Q178" i="1"/>
  <c r="AC328" i="23" l="1"/>
  <c r="M328" i="23"/>
  <c r="E340" i="23"/>
  <c r="X327" i="23"/>
  <c r="AF327" i="23"/>
  <c r="T328" i="23"/>
  <c r="C329" i="23"/>
  <c r="K329" i="23" s="1"/>
  <c r="AB343" i="23" s="1"/>
  <c r="R328" i="23"/>
  <c r="C297" i="1"/>
  <c r="Q296" i="1"/>
  <c r="T206" i="1"/>
  <c r="S206" i="1"/>
  <c r="E207" i="1"/>
  <c r="R207" i="1" s="1"/>
  <c r="Q179" i="1"/>
  <c r="AC329" i="23" l="1"/>
  <c r="M329" i="23"/>
  <c r="E341" i="23"/>
  <c r="X328" i="23"/>
  <c r="AF328" i="23"/>
  <c r="T329" i="23"/>
  <c r="C330" i="23"/>
  <c r="K330" i="23" s="1"/>
  <c r="AB344" i="23" s="1"/>
  <c r="R329" i="23"/>
  <c r="Q297" i="1"/>
  <c r="C298" i="1"/>
  <c r="T207" i="1"/>
  <c r="S207" i="1"/>
  <c r="E208" i="1"/>
  <c r="R208" i="1" s="1"/>
  <c r="Q180" i="1"/>
  <c r="AC330" i="23" l="1"/>
  <c r="M330" i="23"/>
  <c r="E342" i="23"/>
  <c r="X329" i="23"/>
  <c r="AF329" i="23"/>
  <c r="T330" i="23"/>
  <c r="C331" i="23"/>
  <c r="K331" i="23" s="1"/>
  <c r="AB345" i="23" s="1"/>
  <c r="R330" i="23"/>
  <c r="Q298" i="1"/>
  <c r="C299" i="1"/>
  <c r="E209" i="1"/>
  <c r="R209" i="1" s="1"/>
  <c r="S208" i="1"/>
  <c r="T208" i="1"/>
  <c r="Q181" i="1"/>
  <c r="AC331" i="23" l="1"/>
  <c r="M331" i="23"/>
  <c r="E343" i="23"/>
  <c r="X330" i="23"/>
  <c r="AF330" i="23"/>
  <c r="T331" i="23"/>
  <c r="C332" i="23"/>
  <c r="K332" i="23" s="1"/>
  <c r="AB346" i="23" s="1"/>
  <c r="R331" i="23"/>
  <c r="Q299" i="1"/>
  <c r="C300" i="1"/>
  <c r="E210" i="1"/>
  <c r="R210" i="1" s="1"/>
  <c r="S209" i="1"/>
  <c r="T209" i="1"/>
  <c r="Q182" i="1"/>
  <c r="AC332" i="23" l="1"/>
  <c r="M332" i="23"/>
  <c r="E344" i="23"/>
  <c r="X331" i="23"/>
  <c r="AF331" i="23"/>
  <c r="T332" i="23"/>
  <c r="C333" i="23"/>
  <c r="K333" i="23" s="1"/>
  <c r="AB347" i="23" s="1"/>
  <c r="R332" i="23"/>
  <c r="C301" i="1"/>
  <c r="Q300" i="1"/>
  <c r="T210" i="1"/>
  <c r="S210" i="1"/>
  <c r="E211" i="1"/>
  <c r="R211" i="1" s="1"/>
  <c r="Q183" i="1"/>
  <c r="AC333" i="23" l="1"/>
  <c r="M333" i="23"/>
  <c r="E345" i="23"/>
  <c r="X332" i="23"/>
  <c r="AF332" i="23"/>
  <c r="T333" i="23"/>
  <c r="C334" i="23"/>
  <c r="K334" i="23" s="1"/>
  <c r="AB348" i="23" s="1"/>
  <c r="R333" i="23"/>
  <c r="C302" i="1"/>
  <c r="Q301" i="1"/>
  <c r="T211" i="1"/>
  <c r="E212" i="1"/>
  <c r="R212" i="1" s="1"/>
  <c r="S211" i="1"/>
  <c r="Q184" i="1"/>
  <c r="AC334" i="23" l="1"/>
  <c r="M334" i="23"/>
  <c r="E346" i="23"/>
  <c r="X333" i="23"/>
  <c r="AF333" i="23"/>
  <c r="T334" i="23"/>
  <c r="C335" i="23"/>
  <c r="K335" i="23" s="1"/>
  <c r="AB349" i="23" s="1"/>
  <c r="R334" i="23"/>
  <c r="Q302" i="1"/>
  <c r="C303" i="1"/>
  <c r="T212" i="1"/>
  <c r="S212" i="1"/>
  <c r="E213" i="1"/>
  <c r="R213" i="1" s="1"/>
  <c r="Q185" i="1"/>
  <c r="AC335" i="23" l="1"/>
  <c r="M335" i="23"/>
  <c r="E347" i="23"/>
  <c r="X334" i="23"/>
  <c r="AF334" i="23"/>
  <c r="C336" i="23"/>
  <c r="K336" i="23" s="1"/>
  <c r="AB350" i="23" s="1"/>
  <c r="T335" i="23"/>
  <c r="R335" i="23"/>
  <c r="AK342" i="23" s="1"/>
  <c r="Q303" i="1"/>
  <c r="C304" i="1"/>
  <c r="T213" i="1"/>
  <c r="S213" i="1"/>
  <c r="E214" i="1"/>
  <c r="R214" i="1" s="1"/>
  <c r="Q186" i="1"/>
  <c r="AC336" i="23" l="1"/>
  <c r="M336" i="23"/>
  <c r="E348" i="23"/>
  <c r="X335" i="23"/>
  <c r="AF335" i="23"/>
  <c r="T336" i="23"/>
  <c r="C337" i="23"/>
  <c r="K337" i="23" s="1"/>
  <c r="AB351" i="23" s="1"/>
  <c r="R336" i="23"/>
  <c r="AK343" i="23" s="1"/>
  <c r="C305" i="1"/>
  <c r="Q304" i="1"/>
  <c r="T214" i="1"/>
  <c r="E215" i="1"/>
  <c r="R215" i="1" s="1"/>
  <c r="S214" i="1"/>
  <c r="Q187" i="1"/>
  <c r="AC337" i="23" l="1"/>
  <c r="M337" i="23"/>
  <c r="E349" i="23"/>
  <c r="X336" i="23"/>
  <c r="AF336" i="23"/>
  <c r="T337" i="23"/>
  <c r="C338" i="23"/>
  <c r="K338" i="23" s="1"/>
  <c r="AB352" i="23" s="1"/>
  <c r="R337" i="23"/>
  <c r="AK344" i="23" s="1"/>
  <c r="Q305" i="1"/>
  <c r="C306" i="1"/>
  <c r="E216" i="1"/>
  <c r="R216" i="1" s="1"/>
  <c r="T215" i="1"/>
  <c r="S215" i="1"/>
  <c r="Q188" i="1"/>
  <c r="AC338" i="23" l="1"/>
  <c r="M338" i="23"/>
  <c r="E350" i="23"/>
  <c r="X337" i="23"/>
  <c r="AF337" i="23"/>
  <c r="T338" i="23"/>
  <c r="C339" i="23"/>
  <c r="K339" i="23" s="1"/>
  <c r="AB353" i="23" s="1"/>
  <c r="R338" i="23"/>
  <c r="AK345" i="23" s="1"/>
  <c r="Q306" i="1"/>
  <c r="C307" i="1"/>
  <c r="T216" i="1"/>
  <c r="E217" i="1"/>
  <c r="R217" i="1" s="1"/>
  <c r="S216" i="1"/>
  <c r="Q189" i="1"/>
  <c r="AC339" i="23" l="1"/>
  <c r="M339" i="23"/>
  <c r="E351" i="23"/>
  <c r="X338" i="23"/>
  <c r="AF338" i="23"/>
  <c r="T339" i="23"/>
  <c r="C340" i="23"/>
  <c r="K340" i="23" s="1"/>
  <c r="AB354" i="23" s="1"/>
  <c r="R339" i="23"/>
  <c r="AK346" i="23" s="1"/>
  <c r="Q307" i="1"/>
  <c r="C308" i="1"/>
  <c r="T217" i="1"/>
  <c r="E218" i="1"/>
  <c r="R218" i="1" s="1"/>
  <c r="S217" i="1"/>
  <c r="Q190" i="1"/>
  <c r="E352" i="23" l="1"/>
  <c r="AC340" i="23"/>
  <c r="M340" i="23"/>
  <c r="X339" i="23"/>
  <c r="AF339" i="23"/>
  <c r="T340" i="23"/>
  <c r="C341" i="23"/>
  <c r="K341" i="23" s="1"/>
  <c r="AB355" i="23" s="1"/>
  <c r="R340" i="23"/>
  <c r="AK347" i="23" s="1"/>
  <c r="Q308" i="1"/>
  <c r="C309" i="1"/>
  <c r="T218" i="1"/>
  <c r="E219" i="1"/>
  <c r="R219" i="1" s="1"/>
  <c r="S218" i="1"/>
  <c r="AC341" i="23" l="1"/>
  <c r="M341" i="23"/>
  <c r="E353" i="23"/>
  <c r="X340" i="23"/>
  <c r="AF340" i="23"/>
  <c r="T341" i="23"/>
  <c r="C342" i="23"/>
  <c r="K342" i="23" s="1"/>
  <c r="AB356" i="23" s="1"/>
  <c r="R341" i="23"/>
  <c r="AK348" i="23" s="1"/>
  <c r="C310" i="1"/>
  <c r="Q309" i="1"/>
  <c r="T219" i="1"/>
  <c r="E220" i="1"/>
  <c r="R220" i="1" s="1"/>
  <c r="S219" i="1"/>
  <c r="AC342" i="23" l="1"/>
  <c r="M342" i="23"/>
  <c r="E354" i="23"/>
  <c r="X341" i="23"/>
  <c r="AF341" i="23"/>
  <c r="T342" i="23"/>
  <c r="C343" i="23"/>
  <c r="K343" i="23" s="1"/>
  <c r="AB357" i="23" s="1"/>
  <c r="R342" i="23"/>
  <c r="AK349" i="23" s="1"/>
  <c r="C311" i="1"/>
  <c r="Q310" i="1"/>
  <c r="T220" i="1"/>
  <c r="E221" i="1"/>
  <c r="R221" i="1" s="1"/>
  <c r="S220" i="1"/>
  <c r="AC343" i="23" l="1"/>
  <c r="M343" i="23"/>
  <c r="E355" i="23"/>
  <c r="X342" i="23"/>
  <c r="AF342" i="23"/>
  <c r="T343" i="23"/>
  <c r="C344" i="23"/>
  <c r="K344" i="23" s="1"/>
  <c r="AB358" i="23" s="1"/>
  <c r="R343" i="23"/>
  <c r="AK350" i="23" s="1"/>
  <c r="C312" i="1"/>
  <c r="Q311" i="1"/>
  <c r="T221" i="1"/>
  <c r="E222" i="1"/>
  <c r="R222" i="1" s="1"/>
  <c r="S221" i="1"/>
  <c r="AC344" i="23" l="1"/>
  <c r="M344" i="23"/>
  <c r="E356" i="23"/>
  <c r="X343" i="23"/>
  <c r="AF343" i="23"/>
  <c r="T344" i="23"/>
  <c r="C345" i="23"/>
  <c r="K345" i="23" s="1"/>
  <c r="AB359" i="23" s="1"/>
  <c r="R344" i="23"/>
  <c r="AK351" i="23" s="1"/>
  <c r="C313" i="1"/>
  <c r="Q312" i="1"/>
  <c r="S222" i="1"/>
  <c r="T222" i="1"/>
  <c r="E223" i="1"/>
  <c r="R223" i="1" s="1"/>
  <c r="AC345" i="23" l="1"/>
  <c r="M345" i="23"/>
  <c r="E357" i="23"/>
  <c r="X344" i="23"/>
  <c r="AF344" i="23"/>
  <c r="T345" i="23"/>
  <c r="C346" i="23"/>
  <c r="K346" i="23" s="1"/>
  <c r="AB360" i="23" s="1"/>
  <c r="R345" i="23"/>
  <c r="AK352" i="23" s="1"/>
  <c r="C314" i="1"/>
  <c r="Q313" i="1"/>
  <c r="T223" i="1"/>
  <c r="E224" i="1"/>
  <c r="R224" i="1" s="1"/>
  <c r="S223" i="1"/>
  <c r="AC346" i="23" l="1"/>
  <c r="M346" i="23"/>
  <c r="E358" i="23"/>
  <c r="X345" i="23"/>
  <c r="AF345" i="23"/>
  <c r="T346" i="23"/>
  <c r="C347" i="23"/>
  <c r="K347" i="23" s="1"/>
  <c r="AB361" i="23" s="1"/>
  <c r="R346" i="23"/>
  <c r="AK353" i="23" s="1"/>
  <c r="C315" i="1"/>
  <c r="Q314" i="1"/>
  <c r="T224" i="1"/>
  <c r="E225" i="1"/>
  <c r="R225" i="1" s="1"/>
  <c r="S224" i="1"/>
  <c r="AC347" i="23" l="1"/>
  <c r="M347" i="23"/>
  <c r="E359" i="23"/>
  <c r="X346" i="23"/>
  <c r="AF346" i="23"/>
  <c r="T347" i="23"/>
  <c r="C348" i="23"/>
  <c r="K348" i="23" s="1"/>
  <c r="AB362" i="23" s="1"/>
  <c r="R347" i="23"/>
  <c r="AK354" i="23" s="1"/>
  <c r="Q315" i="1"/>
  <c r="C316" i="1"/>
  <c r="T225" i="1"/>
  <c r="E226" i="1"/>
  <c r="R226" i="1" s="1"/>
  <c r="S225" i="1"/>
  <c r="AC348" i="23" l="1"/>
  <c r="M348" i="23"/>
  <c r="E360" i="23"/>
  <c r="X347" i="23"/>
  <c r="AF347" i="23"/>
  <c r="T348" i="23"/>
  <c r="C349" i="23"/>
  <c r="R348" i="23"/>
  <c r="AK355" i="23" s="1"/>
  <c r="C317" i="1"/>
  <c r="Q316" i="1"/>
  <c r="E227" i="1"/>
  <c r="R227" i="1" s="1"/>
  <c r="T226" i="1"/>
  <c r="S226" i="1"/>
  <c r="AC349" i="23" l="1"/>
  <c r="K349" i="23"/>
  <c r="AB363" i="23" s="1"/>
  <c r="E361" i="23"/>
  <c r="X348" i="23"/>
  <c r="AF348" i="23"/>
  <c r="C350" i="23"/>
  <c r="K350" i="23" s="1"/>
  <c r="AB364" i="23" s="1"/>
  <c r="T349" i="23"/>
  <c r="R349" i="23"/>
  <c r="AK356" i="23" s="1"/>
  <c r="Q317" i="1"/>
  <c r="C318" i="1"/>
  <c r="T227" i="1"/>
  <c r="E228" i="1"/>
  <c r="R228" i="1" s="1"/>
  <c r="S227" i="1"/>
  <c r="AC350" i="23" l="1"/>
  <c r="M350" i="23"/>
  <c r="E362" i="23"/>
  <c r="X349" i="23"/>
  <c r="AF349" i="23"/>
  <c r="R350" i="23"/>
  <c r="AK357" i="23" s="1"/>
  <c r="T350" i="23"/>
  <c r="C351" i="23"/>
  <c r="K351" i="23" s="1"/>
  <c r="AB365" i="23" s="1"/>
  <c r="Q318" i="1"/>
  <c r="C319" i="1"/>
  <c r="E229" i="1"/>
  <c r="R229" i="1" s="1"/>
  <c r="T228" i="1"/>
  <c r="S228" i="1"/>
  <c r="E363" i="23" l="1"/>
  <c r="AC351" i="23"/>
  <c r="M351" i="23"/>
  <c r="X350" i="23"/>
  <c r="AF350" i="23"/>
  <c r="C352" i="23"/>
  <c r="K352" i="23" s="1"/>
  <c r="AB366" i="23" s="1"/>
  <c r="T351" i="23"/>
  <c r="R351" i="23"/>
  <c r="AK358" i="23" s="1"/>
  <c r="C320" i="1"/>
  <c r="Q319" i="1"/>
  <c r="T229" i="1"/>
  <c r="E230" i="1"/>
  <c r="R230" i="1" s="1"/>
  <c r="S229" i="1"/>
  <c r="E364" i="23" l="1"/>
  <c r="AC352" i="23"/>
  <c r="M352" i="23"/>
  <c r="X351" i="23"/>
  <c r="AF351" i="23"/>
  <c r="R352" i="23"/>
  <c r="AK359" i="23" s="1"/>
  <c r="C353" i="23"/>
  <c r="K353" i="23" s="1"/>
  <c r="AB367" i="23" s="1"/>
  <c r="T352" i="23"/>
  <c r="Q320" i="1"/>
  <c r="C321" i="1"/>
  <c r="E231" i="1"/>
  <c r="R231" i="1" s="1"/>
  <c r="T230" i="1"/>
  <c r="S230" i="1"/>
  <c r="AC353" i="23" l="1"/>
  <c r="M353" i="23"/>
  <c r="E365" i="23"/>
  <c r="X352" i="23"/>
  <c r="AF352" i="23"/>
  <c r="C354" i="23"/>
  <c r="K354" i="23" s="1"/>
  <c r="AB368" i="23" s="1"/>
  <c r="T353" i="23"/>
  <c r="R353" i="23"/>
  <c r="AK360" i="23" s="1"/>
  <c r="Q321" i="1"/>
  <c r="C322" i="1"/>
  <c r="T231" i="1"/>
  <c r="E232" i="1"/>
  <c r="R232" i="1" s="1"/>
  <c r="S231" i="1"/>
  <c r="E366" i="23" l="1"/>
  <c r="AC354" i="23"/>
  <c r="M354" i="23"/>
  <c r="X353" i="23"/>
  <c r="AF353" i="23"/>
  <c r="R354" i="23"/>
  <c r="AK361" i="23" s="1"/>
  <c r="T354" i="23"/>
  <c r="C355" i="23"/>
  <c r="K355" i="23" s="1"/>
  <c r="AB369" i="23" s="1"/>
  <c r="C323" i="1"/>
  <c r="Q322" i="1"/>
  <c r="E233" i="1"/>
  <c r="R233" i="1" s="1"/>
  <c r="T232" i="1"/>
  <c r="S232" i="1"/>
  <c r="AC355" i="23" l="1"/>
  <c r="M355" i="23"/>
  <c r="E367" i="23"/>
  <c r="X354" i="23"/>
  <c r="AF354" i="23"/>
  <c r="C356" i="23"/>
  <c r="K356" i="23" s="1"/>
  <c r="AB370" i="23" s="1"/>
  <c r="T355" i="23"/>
  <c r="R355" i="23"/>
  <c r="AK362" i="23" s="1"/>
  <c r="C324" i="1"/>
  <c r="Q323" i="1"/>
  <c r="T233" i="1"/>
  <c r="E234" i="1"/>
  <c r="R234" i="1" s="1"/>
  <c r="S233" i="1"/>
  <c r="AC356" i="23" l="1"/>
  <c r="M356" i="23"/>
  <c r="E368" i="23"/>
  <c r="X355" i="23"/>
  <c r="AF355" i="23"/>
  <c r="R356" i="23"/>
  <c r="AK363" i="23" s="1"/>
  <c r="C357" i="23"/>
  <c r="K357" i="23" s="1"/>
  <c r="AB371" i="23" s="1"/>
  <c r="T356" i="23"/>
  <c r="Q324" i="1"/>
  <c r="C325" i="1"/>
  <c r="C326" i="1" s="1"/>
  <c r="C327" i="1" s="1"/>
  <c r="C328" i="1" s="1"/>
  <c r="C329" i="1" s="1"/>
  <c r="C330" i="1" s="1"/>
  <c r="C331" i="1" s="1"/>
  <c r="T234" i="1"/>
  <c r="E235" i="1"/>
  <c r="R235" i="1" s="1"/>
  <c r="S234" i="1"/>
  <c r="AC357" i="23" l="1"/>
  <c r="M357" i="23"/>
  <c r="E369" i="23"/>
  <c r="X356" i="23"/>
  <c r="AF356" i="23"/>
  <c r="C358" i="23"/>
  <c r="K358" i="23" s="1"/>
  <c r="AB372" i="23" s="1"/>
  <c r="T357" i="23"/>
  <c r="R357" i="23"/>
  <c r="AK364" i="23" s="1"/>
  <c r="C332" i="1"/>
  <c r="E236" i="1"/>
  <c r="R236" i="1" s="1"/>
  <c r="T235" i="1"/>
  <c r="S235" i="1"/>
  <c r="E370" i="23" l="1"/>
  <c r="AC358" i="23"/>
  <c r="M358" i="23"/>
  <c r="X357" i="23"/>
  <c r="AF357" i="23"/>
  <c r="C359" i="23"/>
  <c r="K359" i="23" s="1"/>
  <c r="AB373" i="23" s="1"/>
  <c r="R358" i="23"/>
  <c r="AK365" i="23" s="1"/>
  <c r="T358" i="23"/>
  <c r="C333" i="1"/>
  <c r="T236" i="1"/>
  <c r="E237" i="1"/>
  <c r="R237" i="1" s="1"/>
  <c r="S236" i="1"/>
  <c r="E371" i="23" l="1"/>
  <c r="AC359" i="23"/>
  <c r="M359" i="23"/>
  <c r="X358" i="23"/>
  <c r="AF358" i="23"/>
  <c r="C360" i="23"/>
  <c r="K360" i="23" s="1"/>
  <c r="AB374" i="23" s="1"/>
  <c r="R359" i="23"/>
  <c r="AK366" i="23" s="1"/>
  <c r="T359" i="23"/>
  <c r="C334" i="1"/>
  <c r="E238" i="1"/>
  <c r="R238" i="1" s="1"/>
  <c r="T237" i="1"/>
  <c r="S237" i="1"/>
  <c r="E372" i="23" l="1"/>
  <c r="AC360" i="23"/>
  <c r="M360" i="23"/>
  <c r="X359" i="23"/>
  <c r="AF359" i="23"/>
  <c r="C361" i="23"/>
  <c r="K361" i="23" s="1"/>
  <c r="AB375" i="23" s="1"/>
  <c r="R360" i="23"/>
  <c r="AK367" i="23" s="1"/>
  <c r="T360" i="23"/>
  <c r="C335" i="1"/>
  <c r="C336" i="1" s="1"/>
  <c r="E239" i="1"/>
  <c r="R239" i="1" s="1"/>
  <c r="T238" i="1"/>
  <c r="S238" i="1"/>
  <c r="AC361" i="23" l="1"/>
  <c r="M361" i="23"/>
  <c r="E373" i="23"/>
  <c r="X360" i="23"/>
  <c r="AF360" i="23"/>
  <c r="C362" i="23"/>
  <c r="K362" i="23" s="1"/>
  <c r="AB376" i="23" s="1"/>
  <c r="R361" i="23"/>
  <c r="AK368" i="23" s="1"/>
  <c r="T361" i="23"/>
  <c r="C337" i="1"/>
  <c r="E240" i="1"/>
  <c r="R240" i="1" s="1"/>
  <c r="T239" i="1"/>
  <c r="S239" i="1"/>
  <c r="AC362" i="23" l="1"/>
  <c r="M362" i="23"/>
  <c r="E374" i="23"/>
  <c r="X361" i="23"/>
  <c r="AF361" i="23"/>
  <c r="C363" i="23"/>
  <c r="K363" i="23" s="1"/>
  <c r="AB377" i="23" s="1"/>
  <c r="R362" i="23"/>
  <c r="AK369" i="23" s="1"/>
  <c r="T362" i="23"/>
  <c r="C338" i="1"/>
  <c r="E241" i="1"/>
  <c r="R241" i="1" s="1"/>
  <c r="T240" i="1"/>
  <c r="S240" i="1"/>
  <c r="AC363" i="23" l="1"/>
  <c r="M363" i="23"/>
  <c r="E375" i="23"/>
  <c r="X362" i="23"/>
  <c r="AF362" i="23"/>
  <c r="T363" i="23"/>
  <c r="C364" i="23"/>
  <c r="K364" i="23" s="1"/>
  <c r="AB378" i="23" s="1"/>
  <c r="R363" i="23"/>
  <c r="AK370" i="23" s="1"/>
  <c r="C339" i="1"/>
  <c r="E242" i="1"/>
  <c r="R242" i="1" s="1"/>
  <c r="T241" i="1"/>
  <c r="S241" i="1"/>
  <c r="AC364" i="23" l="1"/>
  <c r="M364" i="23"/>
  <c r="E376" i="23"/>
  <c r="X363" i="23"/>
  <c r="AF363" i="23"/>
  <c r="T364" i="23"/>
  <c r="C365" i="23"/>
  <c r="K365" i="23" s="1"/>
  <c r="AB379" i="23" s="1"/>
  <c r="R364" i="23"/>
  <c r="AK371" i="23" s="1"/>
  <c r="C340" i="1"/>
  <c r="E243" i="1"/>
  <c r="R243" i="1" s="1"/>
  <c r="T242" i="1"/>
  <c r="S242" i="1"/>
  <c r="AC365" i="23" l="1"/>
  <c r="M365" i="23"/>
  <c r="E377" i="23"/>
  <c r="X364" i="23"/>
  <c r="AF364" i="23"/>
  <c r="T365" i="23"/>
  <c r="C366" i="23"/>
  <c r="K366" i="23" s="1"/>
  <c r="AB380" i="23" s="1"/>
  <c r="R365" i="23"/>
  <c r="AK372" i="23" s="1"/>
  <c r="C341" i="1"/>
  <c r="E244" i="1"/>
  <c r="R244" i="1" s="1"/>
  <c r="T243" i="1"/>
  <c r="S243" i="1"/>
  <c r="AC366" i="23" l="1"/>
  <c r="M366" i="23"/>
  <c r="E378" i="23"/>
  <c r="X365" i="23"/>
  <c r="AF365" i="23"/>
  <c r="T366" i="23"/>
  <c r="C367" i="23"/>
  <c r="K367" i="23" s="1"/>
  <c r="AB381" i="23" s="1"/>
  <c r="R366" i="23"/>
  <c r="AK373" i="23" s="1"/>
  <c r="C342" i="1"/>
  <c r="E245" i="1"/>
  <c r="R245" i="1" s="1"/>
  <c r="T244" i="1"/>
  <c r="S244" i="1"/>
  <c r="AC367" i="23" l="1"/>
  <c r="M367" i="23"/>
  <c r="E379" i="23"/>
  <c r="X366" i="23"/>
  <c r="AF366" i="23"/>
  <c r="T367" i="23"/>
  <c r="C368" i="23"/>
  <c r="K368" i="23" s="1"/>
  <c r="AB382" i="23" s="1"/>
  <c r="R367" i="23"/>
  <c r="AK374" i="23" s="1"/>
  <c r="C343" i="1"/>
  <c r="C344" i="1" s="1"/>
  <c r="C345" i="1" s="1"/>
  <c r="C346" i="1" s="1"/>
  <c r="C347" i="1" s="1"/>
  <c r="C348" i="1" s="1"/>
  <c r="C349" i="1" s="1"/>
  <c r="C350" i="1" s="1"/>
  <c r="C351" i="1" s="1"/>
  <c r="C352" i="1" s="1"/>
  <c r="C353" i="1" s="1"/>
  <c r="C354" i="1" s="1"/>
  <c r="C355" i="1" s="1"/>
  <c r="C356" i="1" s="1"/>
  <c r="C357" i="1" s="1"/>
  <c r="C358" i="1" s="1"/>
  <c r="C359" i="1" s="1"/>
  <c r="C360" i="1" s="1"/>
  <c r="C361" i="1" s="1"/>
  <c r="E246" i="1"/>
  <c r="T245" i="1"/>
  <c r="S245" i="1"/>
  <c r="AC368" i="23" l="1"/>
  <c r="M368" i="23"/>
  <c r="E380" i="23"/>
  <c r="X367" i="23"/>
  <c r="AF367" i="23"/>
  <c r="T368" i="23"/>
  <c r="C369" i="23"/>
  <c r="K369" i="23" s="1"/>
  <c r="AB383" i="23" s="1"/>
  <c r="R368" i="23"/>
  <c r="AK375" i="23" s="1"/>
  <c r="C362" i="1"/>
  <c r="E247" i="1"/>
  <c r="R246" i="1"/>
  <c r="AC369" i="23" l="1"/>
  <c r="M369" i="23"/>
  <c r="E381" i="23"/>
  <c r="X368" i="23"/>
  <c r="AF368" i="23"/>
  <c r="T369" i="23"/>
  <c r="C370" i="23"/>
  <c r="R369" i="23"/>
  <c r="AK376" i="23" s="1"/>
  <c r="C363" i="1"/>
  <c r="E248" i="1"/>
  <c r="R247" i="1"/>
  <c r="AC370" i="23" l="1"/>
  <c r="K370" i="23"/>
  <c r="AB384" i="23" s="1"/>
  <c r="E382" i="23"/>
  <c r="X369" i="23"/>
  <c r="AF369" i="23"/>
  <c r="C371" i="23"/>
  <c r="K371" i="23" s="1"/>
  <c r="AB385" i="23" s="1"/>
  <c r="R370" i="23"/>
  <c r="AK377" i="23" s="1"/>
  <c r="T370" i="23"/>
  <c r="C364" i="1"/>
  <c r="E249" i="1"/>
  <c r="R248" i="1"/>
  <c r="AC371" i="23" l="1"/>
  <c r="M371" i="23"/>
  <c r="E383" i="23"/>
  <c r="X370" i="23"/>
  <c r="AF370" i="23"/>
  <c r="T371" i="23"/>
  <c r="R371" i="23"/>
  <c r="AK378" i="23" s="1"/>
  <c r="C372" i="23"/>
  <c r="K372" i="23" s="1"/>
  <c r="AB386" i="23" s="1"/>
  <c r="C365" i="1"/>
  <c r="C366" i="1" s="1"/>
  <c r="C367" i="1" s="1"/>
  <c r="C368" i="1" s="1"/>
  <c r="C369" i="1" s="1"/>
  <c r="C370" i="1" s="1"/>
  <c r="C371" i="1" s="1"/>
  <c r="C372" i="1" s="1"/>
  <c r="C373" i="1" s="1"/>
  <c r="C374" i="1" s="1"/>
  <c r="C375" i="1" s="1"/>
  <c r="C376" i="1" s="1"/>
  <c r="C377" i="1" s="1"/>
  <c r="C378" i="1" s="1"/>
  <c r="C379" i="1" s="1"/>
  <c r="C380" i="1" s="1"/>
  <c r="C381" i="1" s="1"/>
  <c r="E250" i="1"/>
  <c r="R249" i="1"/>
  <c r="E384" i="23" l="1"/>
  <c r="AC372" i="23"/>
  <c r="M372" i="23"/>
  <c r="X371" i="23"/>
  <c r="AF371" i="23"/>
  <c r="C373" i="23"/>
  <c r="K373" i="23" s="1"/>
  <c r="AB387" i="23" s="1"/>
  <c r="R372" i="23"/>
  <c r="AK379" i="23" s="1"/>
  <c r="T372" i="23"/>
  <c r="C382" i="1"/>
  <c r="C383" i="1" s="1"/>
  <c r="C384" i="1" s="1"/>
  <c r="C385" i="1" s="1"/>
  <c r="C386" i="1" s="1"/>
  <c r="C387" i="1" s="1"/>
  <c r="C388" i="1" s="1"/>
  <c r="C389" i="1" s="1"/>
  <c r="C390" i="1" s="1"/>
  <c r="C391" i="1" s="1"/>
  <c r="C392" i="1" s="1"/>
  <c r="C393" i="1" s="1"/>
  <c r="C394" i="1" s="1"/>
  <c r="C395" i="1" s="1"/>
  <c r="C396" i="1" s="1"/>
  <c r="E251" i="1"/>
  <c r="R250" i="1"/>
  <c r="AC373" i="23" l="1"/>
  <c r="M373" i="23"/>
  <c r="E385" i="23"/>
  <c r="X372" i="23"/>
  <c r="AF372" i="23"/>
  <c r="R373" i="23"/>
  <c r="AK380" i="23" s="1"/>
  <c r="T373" i="23"/>
  <c r="C374" i="23"/>
  <c r="K374" i="23" s="1"/>
  <c r="AB388" i="23" s="1"/>
  <c r="C397" i="1"/>
  <c r="E252" i="1"/>
  <c r="R251" i="1"/>
  <c r="E386" i="23" l="1"/>
  <c r="AC374" i="23"/>
  <c r="M374" i="23"/>
  <c r="X373" i="23"/>
  <c r="AF373" i="23"/>
  <c r="C375" i="23"/>
  <c r="K375" i="23" s="1"/>
  <c r="AB389" i="23" s="1"/>
  <c r="R374" i="23"/>
  <c r="AK381" i="23" s="1"/>
  <c r="T374" i="23"/>
  <c r="C398" i="1"/>
  <c r="C399" i="1" s="1"/>
  <c r="C400" i="1" s="1"/>
  <c r="C401" i="1" s="1"/>
  <c r="C402" i="1" s="1"/>
  <c r="C403" i="1" s="1"/>
  <c r="C404" i="1" s="1"/>
  <c r="C405" i="1" s="1"/>
  <c r="C406" i="1" s="1"/>
  <c r="C407" i="1" s="1"/>
  <c r="C408" i="1" s="1"/>
  <c r="C409" i="1" s="1"/>
  <c r="C410" i="1" s="1"/>
  <c r="C411" i="1" s="1"/>
  <c r="C412" i="1" s="1"/>
  <c r="C413" i="1" s="1"/>
  <c r="C414" i="1" s="1"/>
  <c r="C415" i="1" s="1"/>
  <c r="C416" i="1" s="1"/>
  <c r="C417" i="1" s="1"/>
  <c r="C418" i="1" s="1"/>
  <c r="C419" i="1" s="1"/>
  <c r="C420" i="1" s="1"/>
  <c r="C421" i="1" s="1"/>
  <c r="C422" i="1" s="1"/>
  <c r="C423" i="1" s="1"/>
  <c r="C424" i="1" s="1"/>
  <c r="C425" i="1" s="1"/>
  <c r="C426" i="1" s="1"/>
  <c r="C427" i="1" s="1"/>
  <c r="C428" i="1" s="1"/>
  <c r="C429" i="1" s="1"/>
  <c r="C430" i="1" s="1"/>
  <c r="C431" i="1" s="1"/>
  <c r="C432" i="1" s="1"/>
  <c r="C433" i="1" s="1"/>
  <c r="C434" i="1" s="1"/>
  <c r="C435" i="1" s="1"/>
  <c r="C436" i="1" s="1"/>
  <c r="C437" i="1" s="1"/>
  <c r="C438" i="1" s="1"/>
  <c r="C439" i="1" s="1"/>
  <c r="C440" i="1" s="1"/>
  <c r="C441" i="1" s="1"/>
  <c r="C442" i="1" s="1"/>
  <c r="C443" i="1" s="1"/>
  <c r="C444" i="1" s="1"/>
  <c r="C445" i="1" s="1"/>
  <c r="C446" i="1" s="1"/>
  <c r="C447" i="1" s="1"/>
  <c r="C448" i="1" s="1"/>
  <c r="C449" i="1" s="1"/>
  <c r="C450" i="1" s="1"/>
  <c r="C451" i="1" s="1"/>
  <c r="C452" i="1" s="1"/>
  <c r="C453" i="1" s="1"/>
  <c r="C454" i="1" s="1"/>
  <c r="C455" i="1" s="1"/>
  <c r="C456" i="1" s="1"/>
  <c r="C457" i="1" s="1"/>
  <c r="C458" i="1" s="1"/>
  <c r="C459" i="1" s="1"/>
  <c r="C460" i="1" s="1"/>
  <c r="C461" i="1" s="1"/>
  <c r="E253" i="1"/>
  <c r="R252" i="1"/>
  <c r="C462" i="1" l="1"/>
  <c r="AC375" i="23"/>
  <c r="M375" i="23"/>
  <c r="E387" i="23"/>
  <c r="X374" i="23"/>
  <c r="AF374" i="23"/>
  <c r="T375" i="23"/>
  <c r="R375" i="23"/>
  <c r="AK382" i="23" s="1"/>
  <c r="C376" i="23"/>
  <c r="K376" i="23" s="1"/>
  <c r="AB390" i="23" s="1"/>
  <c r="E254" i="1"/>
  <c r="R253" i="1"/>
  <c r="C463" i="1" l="1"/>
  <c r="E388" i="23"/>
  <c r="AC376" i="23"/>
  <c r="M376" i="23"/>
  <c r="X375" i="23"/>
  <c r="AF375" i="23"/>
  <c r="C377" i="23"/>
  <c r="K377" i="23" s="1"/>
  <c r="AB391" i="23" s="1"/>
  <c r="T376" i="23"/>
  <c r="R376" i="23"/>
  <c r="AK383" i="23" s="1"/>
  <c r="E255" i="1"/>
  <c r="R254" i="1"/>
  <c r="E389" i="23" l="1"/>
  <c r="AC377" i="23"/>
  <c r="M377" i="23"/>
  <c r="X376" i="23"/>
  <c r="AF376" i="23"/>
  <c r="R377" i="23"/>
  <c r="AK384" i="23" s="1"/>
  <c r="T377" i="23"/>
  <c r="C378" i="23"/>
  <c r="K378" i="23" s="1"/>
  <c r="AB392" i="23" s="1"/>
  <c r="E256" i="1"/>
  <c r="R255" i="1"/>
  <c r="AC378" i="23" l="1"/>
  <c r="M378" i="23"/>
  <c r="E390" i="23"/>
  <c r="X377" i="23"/>
  <c r="AF377" i="23"/>
  <c r="T378" i="23"/>
  <c r="C379" i="23"/>
  <c r="K379" i="23" s="1"/>
  <c r="AB393" i="23" s="1"/>
  <c r="R378" i="23"/>
  <c r="AK385" i="23" s="1"/>
  <c r="E257" i="1"/>
  <c r="R256" i="1"/>
  <c r="E391" i="23" l="1"/>
  <c r="AC379" i="23"/>
  <c r="M379" i="23"/>
  <c r="X378" i="23"/>
  <c r="AF378" i="23"/>
  <c r="C380" i="23"/>
  <c r="K380" i="23" s="1"/>
  <c r="AB394" i="23" s="1"/>
  <c r="T379" i="23"/>
  <c r="R379" i="23"/>
  <c r="AK386" i="23" s="1"/>
  <c r="E258" i="1"/>
  <c r="R257" i="1"/>
  <c r="AC380" i="23" l="1"/>
  <c r="M380" i="23"/>
  <c r="E392" i="23"/>
  <c r="X379" i="23"/>
  <c r="AF379" i="23"/>
  <c r="R380" i="23"/>
  <c r="AK387" i="23" s="1"/>
  <c r="T380" i="23"/>
  <c r="C381" i="23"/>
  <c r="K381" i="23" s="1"/>
  <c r="AB395" i="23" s="1"/>
  <c r="E259" i="1"/>
  <c r="R258" i="1"/>
  <c r="D7063" i="3"/>
  <c r="E393" i="23" l="1"/>
  <c r="AC381" i="23"/>
  <c r="M381" i="23"/>
  <c r="X380" i="23"/>
  <c r="AF380" i="23"/>
  <c r="C382" i="23"/>
  <c r="K382" i="23" s="1"/>
  <c r="AB396" i="23" s="1"/>
  <c r="T381" i="23"/>
  <c r="R381" i="23"/>
  <c r="AK388" i="23" s="1"/>
  <c r="E260" i="1"/>
  <c r="R259" i="1"/>
  <c r="D7087" i="3"/>
  <c r="D7111" i="3" s="1"/>
  <c r="D7135" i="3" s="1"/>
  <c r="D7159" i="3" s="1"/>
  <c r="D7183" i="3" s="1"/>
  <c r="D7207" i="3" s="1"/>
  <c r="D7231" i="3" s="1"/>
  <c r="D7255" i="3" s="1"/>
  <c r="D7279" i="3" s="1"/>
  <c r="D7303" i="3" s="1"/>
  <c r="D7327" i="3" s="1"/>
  <c r="D7351" i="3" s="1"/>
  <c r="D7375" i="3" s="1"/>
  <c r="D7399" i="3" s="1"/>
  <c r="D7423" i="3" s="1"/>
  <c r="D7447" i="3" s="1"/>
  <c r="D7471" i="3" s="1"/>
  <c r="D7495" i="3" s="1"/>
  <c r="D7519" i="3" s="1"/>
  <c r="D7543" i="3" s="1"/>
  <c r="D7567" i="3" s="1"/>
  <c r="D7591" i="3" s="1"/>
  <c r="D7615" i="3" s="1"/>
  <c r="D7639" i="3" s="1"/>
  <c r="D7663" i="3" s="1"/>
  <c r="D7687" i="3" s="1"/>
  <c r="D7712" i="3" s="1"/>
  <c r="D7736" i="3" s="1"/>
  <c r="D7760" i="3" s="1"/>
  <c r="D7784" i="3" s="1"/>
  <c r="D7808" i="3" s="1"/>
  <c r="D7832" i="3" s="1"/>
  <c r="D7856" i="3" s="1"/>
  <c r="D7880" i="3" s="1"/>
  <c r="D7904" i="3" s="1"/>
  <c r="D7928" i="3" s="1"/>
  <c r="D7952" i="3" s="1"/>
  <c r="D7976" i="3" s="1"/>
  <c r="D8000" i="3" s="1"/>
  <c r="D8024" i="3" s="1"/>
  <c r="D8048" i="3" s="1"/>
  <c r="D8072" i="3" s="1"/>
  <c r="D8096" i="3" s="1"/>
  <c r="D8120" i="3" s="1"/>
  <c r="D8144" i="3" s="1"/>
  <c r="D8168" i="3" s="1"/>
  <c r="D8192" i="3" s="1"/>
  <c r="D8216" i="3" s="1"/>
  <c r="D8240" i="3" s="1"/>
  <c r="D8264" i="3" s="1"/>
  <c r="D8288" i="3" s="1"/>
  <c r="D8312" i="3" s="1"/>
  <c r="D8336" i="3" s="1"/>
  <c r="D8360" i="3" s="1"/>
  <c r="D8384" i="3" s="1"/>
  <c r="D8408" i="3" s="1"/>
  <c r="D8432" i="3" s="1"/>
  <c r="D8456" i="3" s="1"/>
  <c r="D8480" i="3" s="1"/>
  <c r="D8504" i="3" s="1"/>
  <c r="D8528" i="3" s="1"/>
  <c r="D8552" i="3" s="1"/>
  <c r="D8576" i="3" s="1"/>
  <c r="D8600" i="3" s="1"/>
  <c r="D8624" i="3" s="1"/>
  <c r="D8648" i="3" s="1"/>
  <c r="D8672" i="3" s="1"/>
  <c r="D8696" i="3" s="1"/>
  <c r="D8720" i="3" s="1"/>
  <c r="D8744" i="3" s="1"/>
  <c r="D8768" i="3" s="1"/>
  <c r="D8792" i="3" s="1"/>
  <c r="D8816" i="3" s="1"/>
  <c r="D8840" i="3" s="1"/>
  <c r="D8864" i="3" s="1"/>
  <c r="D8888" i="3" s="1"/>
  <c r="D8912" i="3" s="1"/>
  <c r="D8936" i="3" s="1"/>
  <c r="D8960" i="3" s="1"/>
  <c r="D8984" i="3" s="1"/>
  <c r="D9008" i="3" s="1"/>
  <c r="D9032" i="3" s="1"/>
  <c r="D9056" i="3" s="1"/>
  <c r="D9080" i="3" s="1"/>
  <c r="D9104" i="3" s="1"/>
  <c r="D9128" i="3" s="1"/>
  <c r="D9152" i="3" s="1"/>
  <c r="D9176" i="3" s="1"/>
  <c r="D9200" i="3" s="1"/>
  <c r="D9224" i="3" s="1"/>
  <c r="D9248" i="3" s="1"/>
  <c r="D9272" i="3" s="1"/>
  <c r="D9296" i="3" s="1"/>
  <c r="D9320" i="3" s="1"/>
  <c r="D9344" i="3" s="1"/>
  <c r="D9368" i="3" s="1"/>
  <c r="D9392" i="3" s="1"/>
  <c r="D9416" i="3" s="1"/>
  <c r="D9440" i="3" s="1"/>
  <c r="D9464" i="3" s="1"/>
  <c r="D9488" i="3" s="1"/>
  <c r="D9512" i="3" s="1"/>
  <c r="D9536" i="3" s="1"/>
  <c r="D9560" i="3" s="1"/>
  <c r="D9584" i="3" s="1"/>
  <c r="D9608" i="3" s="1"/>
  <c r="D9632" i="3" s="1"/>
  <c r="D9656" i="3" s="1"/>
  <c r="D9680" i="3" s="1"/>
  <c r="D9704" i="3" s="1"/>
  <c r="D9728" i="3" s="1"/>
  <c r="D9752" i="3" s="1"/>
  <c r="D9776" i="3" s="1"/>
  <c r="D9800" i="3" s="1"/>
  <c r="D9824" i="3" s="1"/>
  <c r="D9848" i="3" s="1"/>
  <c r="D9872" i="3" s="1"/>
  <c r="D9896" i="3" s="1"/>
  <c r="D9920" i="3" s="1"/>
  <c r="D9944" i="3" s="1"/>
  <c r="D9968" i="3" s="1"/>
  <c r="D9992" i="3" s="1"/>
  <c r="D10016" i="3" s="1"/>
  <c r="D10040" i="3" s="1"/>
  <c r="D10064" i="3" s="1"/>
  <c r="D10088" i="3" s="1"/>
  <c r="D10112" i="3" s="1"/>
  <c r="D10136" i="3" s="1"/>
  <c r="D10160" i="3" s="1"/>
  <c r="D10184" i="3" s="1"/>
  <c r="D10208" i="3" s="1"/>
  <c r="D10232" i="3" s="1"/>
  <c r="D10256" i="3" s="1"/>
  <c r="D10280" i="3" s="1"/>
  <c r="D10304" i="3" s="1"/>
  <c r="D10328" i="3" s="1"/>
  <c r="D10352" i="3" s="1"/>
  <c r="D10376" i="3" s="1"/>
  <c r="D10400" i="3" s="1"/>
  <c r="D10424" i="3" s="1"/>
  <c r="D10448" i="3" s="1"/>
  <c r="D10472" i="3" s="1"/>
  <c r="D10496" i="3" s="1"/>
  <c r="D10520" i="3" s="1"/>
  <c r="D10544" i="3" s="1"/>
  <c r="D10568" i="3" s="1"/>
  <c r="D10592" i="3" s="1"/>
  <c r="D10616" i="3" s="1"/>
  <c r="D10640" i="3" s="1"/>
  <c r="D10664" i="3" s="1"/>
  <c r="D10688" i="3" s="1"/>
  <c r="D10712" i="3" s="1"/>
  <c r="D10736" i="3" s="1"/>
  <c r="D10760" i="3" s="1"/>
  <c r="D10784" i="3" s="1"/>
  <c r="D10808" i="3" s="1"/>
  <c r="D10832" i="3" s="1"/>
  <c r="D10856" i="3" s="1"/>
  <c r="D10880" i="3" s="1"/>
  <c r="D10904" i="3" s="1"/>
  <c r="D10928" i="3" s="1"/>
  <c r="D10952" i="3" s="1"/>
  <c r="D10976" i="3" s="1"/>
  <c r="AC382" i="23" l="1"/>
  <c r="M382" i="23"/>
  <c r="E394" i="23"/>
  <c r="X381" i="23"/>
  <c r="AF381" i="23"/>
  <c r="T382" i="23"/>
  <c r="C383" i="23"/>
  <c r="K383" i="23" s="1"/>
  <c r="AB397" i="23" s="1"/>
  <c r="R382" i="23"/>
  <c r="AK389" i="23" s="1"/>
  <c r="E261" i="1"/>
  <c r="R260" i="1"/>
  <c r="E395" i="23" l="1"/>
  <c r="AC383" i="23"/>
  <c r="M383" i="23"/>
  <c r="X382" i="23"/>
  <c r="AF382" i="23"/>
  <c r="C384" i="23"/>
  <c r="K384" i="23" s="1"/>
  <c r="AB398" i="23" s="1"/>
  <c r="R383" i="23"/>
  <c r="AK390" i="23" s="1"/>
  <c r="T383" i="23"/>
  <c r="E262" i="1"/>
  <c r="R261" i="1"/>
  <c r="AC384" i="23" l="1"/>
  <c r="M384" i="23"/>
  <c r="E396" i="23"/>
  <c r="X383" i="23"/>
  <c r="AF383" i="23"/>
  <c r="C385" i="23"/>
  <c r="K385" i="23" s="1"/>
  <c r="AB399" i="23" s="1"/>
  <c r="R384" i="23"/>
  <c r="AK391" i="23" s="1"/>
  <c r="T384" i="23"/>
  <c r="E263" i="1"/>
  <c r="R262" i="1"/>
  <c r="AC385" i="23" l="1"/>
  <c r="M385" i="23"/>
  <c r="E397" i="23"/>
  <c r="X384" i="23"/>
  <c r="AF384" i="23"/>
  <c r="R385" i="23"/>
  <c r="AK392" i="23" s="1"/>
  <c r="T385" i="23"/>
  <c r="C386" i="23"/>
  <c r="K386" i="23" s="1"/>
  <c r="AB400" i="23" s="1"/>
  <c r="E264" i="1"/>
  <c r="R263" i="1"/>
  <c r="E398" i="23" l="1"/>
  <c r="AC386" i="23"/>
  <c r="M386" i="23"/>
  <c r="X385" i="23"/>
  <c r="AF385" i="23"/>
  <c r="T386" i="23"/>
  <c r="C387" i="23"/>
  <c r="K387" i="23" s="1"/>
  <c r="AB401" i="23" s="1"/>
  <c r="R386" i="23"/>
  <c r="AK393" i="23" s="1"/>
  <c r="E265" i="1"/>
  <c r="R264" i="1"/>
  <c r="AC387" i="23" l="1"/>
  <c r="M387" i="23"/>
  <c r="E399" i="23"/>
  <c r="X386" i="23"/>
  <c r="AF386" i="23"/>
  <c r="T387" i="23"/>
  <c r="C388" i="23"/>
  <c r="K388" i="23" s="1"/>
  <c r="AB402" i="23" s="1"/>
  <c r="R387" i="23"/>
  <c r="AK394" i="23" s="1"/>
  <c r="E266" i="1"/>
  <c r="R265" i="1"/>
  <c r="E400" i="23" l="1"/>
  <c r="AC388" i="23"/>
  <c r="M388" i="23"/>
  <c r="X387" i="23"/>
  <c r="AF387" i="23"/>
  <c r="C389" i="23"/>
  <c r="K389" i="23" s="1"/>
  <c r="AB403" i="23" s="1"/>
  <c r="R388" i="23"/>
  <c r="AK395" i="23" s="1"/>
  <c r="T388" i="23"/>
  <c r="E267" i="1"/>
  <c r="R266" i="1"/>
  <c r="AC389" i="23" l="1"/>
  <c r="M389" i="23"/>
  <c r="E401" i="23"/>
  <c r="P401" i="23"/>
  <c r="X388" i="23"/>
  <c r="AF388" i="23"/>
  <c r="C390" i="23"/>
  <c r="K390" i="23" s="1"/>
  <c r="AB404" i="23" s="1"/>
  <c r="R389" i="23"/>
  <c r="AK396" i="23" s="1"/>
  <c r="T389" i="23"/>
  <c r="E268" i="1"/>
  <c r="R267" i="1"/>
  <c r="AC390" i="23" l="1"/>
  <c r="M390" i="23"/>
  <c r="E402" i="23"/>
  <c r="X389" i="23"/>
  <c r="AF389" i="23"/>
  <c r="R390" i="23"/>
  <c r="AK397" i="23" s="1"/>
  <c r="C391" i="23"/>
  <c r="K391" i="23" s="1"/>
  <c r="AB405" i="23" s="1"/>
  <c r="T390" i="23"/>
  <c r="E269" i="1"/>
  <c r="R268" i="1"/>
  <c r="AC391" i="23" l="1"/>
  <c r="M391" i="23"/>
  <c r="E403" i="23"/>
  <c r="X390" i="23"/>
  <c r="AF390" i="23"/>
  <c r="T391" i="23"/>
  <c r="R391" i="23"/>
  <c r="AK398" i="23" s="1"/>
  <c r="C392" i="23"/>
  <c r="K392" i="23" s="1"/>
  <c r="AB406" i="23" s="1"/>
  <c r="E270" i="1"/>
  <c r="R269" i="1"/>
  <c r="E404" i="23" l="1"/>
  <c r="AC392" i="23"/>
  <c r="M392" i="23"/>
  <c r="X391" i="23"/>
  <c r="AF391" i="23"/>
  <c r="T392" i="23"/>
  <c r="C393" i="23"/>
  <c r="K393" i="23" s="1"/>
  <c r="AB407" i="23" s="1"/>
  <c r="R392" i="23"/>
  <c r="AK399" i="23" s="1"/>
  <c r="E271" i="1"/>
  <c r="R270" i="1"/>
  <c r="AC393" i="23" l="1"/>
  <c r="M393" i="23"/>
  <c r="E405" i="23"/>
  <c r="X392" i="23"/>
  <c r="AF392" i="23"/>
  <c r="C394" i="23"/>
  <c r="K394" i="23" s="1"/>
  <c r="AB408" i="23" s="1"/>
  <c r="R393" i="23"/>
  <c r="AK400" i="23" s="1"/>
  <c r="T393" i="23"/>
  <c r="E272" i="1"/>
  <c r="R271" i="1"/>
  <c r="AC394" i="23" l="1"/>
  <c r="M394" i="23"/>
  <c r="E406" i="23"/>
  <c r="X393" i="23"/>
  <c r="AF393" i="23"/>
  <c r="R394" i="23"/>
  <c r="AK401" i="23" s="1"/>
  <c r="T394" i="23"/>
  <c r="C395" i="23"/>
  <c r="K395" i="23" s="1"/>
  <c r="AB409" i="23" s="1"/>
  <c r="E273" i="1"/>
  <c r="R272" i="1"/>
  <c r="E407" i="23" l="1"/>
  <c r="M395" i="23"/>
  <c r="AC395" i="23"/>
  <c r="X394" i="23"/>
  <c r="AF394" i="23"/>
  <c r="R395" i="23"/>
  <c r="AK402" i="23" s="1"/>
  <c r="T395" i="23"/>
  <c r="C396" i="23"/>
  <c r="K396" i="23" s="1"/>
  <c r="AB410" i="23" s="1"/>
  <c r="E274" i="1"/>
  <c r="R273" i="1"/>
  <c r="M396" i="23" l="1"/>
  <c r="AC396" i="23"/>
  <c r="E408" i="23"/>
  <c r="X395" i="23"/>
  <c r="AF395" i="23"/>
  <c r="R396" i="23"/>
  <c r="AK403" i="23" s="1"/>
  <c r="T396" i="23"/>
  <c r="C397" i="23"/>
  <c r="K397" i="23" s="1"/>
  <c r="AB411" i="23" s="1"/>
  <c r="E275" i="1"/>
  <c r="R274" i="1"/>
  <c r="E409" i="23" l="1"/>
  <c r="M397" i="23"/>
  <c r="AC397" i="23"/>
  <c r="X396" i="23"/>
  <c r="AF396" i="23"/>
  <c r="R397" i="23"/>
  <c r="AK404" i="23" s="1"/>
  <c r="C398" i="23"/>
  <c r="K398" i="23" s="1"/>
  <c r="AB412" i="23" s="1"/>
  <c r="T397" i="23"/>
  <c r="E276" i="1"/>
  <c r="R275" i="1"/>
  <c r="T398" i="23" l="1"/>
  <c r="E410" i="23"/>
  <c r="X397" i="23"/>
  <c r="AF397" i="23"/>
  <c r="R398" i="23"/>
  <c r="C399" i="23"/>
  <c r="K399" i="23" s="1"/>
  <c r="AB413" i="23" s="1"/>
  <c r="E277" i="1"/>
  <c r="R276" i="1"/>
  <c r="E411" i="23" l="1"/>
  <c r="M398" i="23"/>
  <c r="AC398" i="23"/>
  <c r="M399" i="23"/>
  <c r="AC399" i="23"/>
  <c r="X398" i="23"/>
  <c r="AK405" i="23"/>
  <c r="C400" i="23"/>
  <c r="K400" i="23" s="1"/>
  <c r="AB414" i="23" s="1"/>
  <c r="T399" i="23"/>
  <c r="AF398" i="23"/>
  <c r="R399" i="23"/>
  <c r="E278" i="1"/>
  <c r="R277" i="1"/>
  <c r="M400" i="23" l="1"/>
  <c r="AC400" i="23"/>
  <c r="E412" i="23"/>
  <c r="X399" i="23"/>
  <c r="AK406" i="23"/>
  <c r="C401" i="23"/>
  <c r="K401" i="23" s="1"/>
  <c r="AB415" i="23" s="1"/>
  <c r="T400" i="23"/>
  <c r="AF399" i="23"/>
  <c r="R400" i="23"/>
  <c r="T278" i="1"/>
  <c r="R278" i="1"/>
  <c r="E279" i="1"/>
  <c r="M401" i="23" l="1"/>
  <c r="AC401" i="23"/>
  <c r="E413" i="23"/>
  <c r="X400" i="23"/>
  <c r="AK407" i="23"/>
  <c r="C402" i="23"/>
  <c r="K402" i="23" s="1"/>
  <c r="AB416" i="23" s="1"/>
  <c r="T401" i="23"/>
  <c r="AF400" i="23"/>
  <c r="R401" i="23"/>
  <c r="T279" i="1"/>
  <c r="R279" i="1"/>
  <c r="E280" i="1"/>
  <c r="M402" i="23" l="1"/>
  <c r="AC402" i="23"/>
  <c r="E414" i="23"/>
  <c r="X401" i="23"/>
  <c r="AK408" i="23"/>
  <c r="C403" i="23"/>
  <c r="K403" i="23" s="1"/>
  <c r="AB417" i="23" s="1"/>
  <c r="T402" i="23"/>
  <c r="AF401" i="23"/>
  <c r="N402" i="23"/>
  <c r="R402" i="23"/>
  <c r="P402" i="23"/>
  <c r="R280" i="1"/>
  <c r="E281" i="1"/>
  <c r="T280" i="1"/>
  <c r="M403" i="23" l="1"/>
  <c r="AC403" i="23"/>
  <c r="E415" i="23"/>
  <c r="X402" i="23"/>
  <c r="AK409" i="23"/>
  <c r="C404" i="23"/>
  <c r="K404" i="23" s="1"/>
  <c r="AB418" i="23" s="1"/>
  <c r="T403" i="23"/>
  <c r="AF402" i="23"/>
  <c r="R403" i="23"/>
  <c r="R281" i="1"/>
  <c r="E282" i="1"/>
  <c r="T281" i="1"/>
  <c r="M404" i="23" l="1"/>
  <c r="AC404" i="23"/>
  <c r="E416" i="23"/>
  <c r="X403" i="23"/>
  <c r="AK410" i="23"/>
  <c r="C405" i="23"/>
  <c r="K405" i="23" s="1"/>
  <c r="AB419" i="23" s="1"/>
  <c r="T404" i="23"/>
  <c r="AF403" i="23"/>
  <c r="R404" i="23"/>
  <c r="R282" i="1"/>
  <c r="T282" i="1"/>
  <c r="E283" i="1"/>
  <c r="M405" i="23" l="1"/>
  <c r="AC405" i="23"/>
  <c r="E417" i="23"/>
  <c r="X404" i="23"/>
  <c r="AK411" i="23"/>
  <c r="C406" i="23"/>
  <c r="K406" i="23" s="1"/>
  <c r="AB420" i="23" s="1"/>
  <c r="T405" i="23"/>
  <c r="AF404" i="23"/>
  <c r="R405" i="23"/>
  <c r="AK412" i="23" s="1"/>
  <c r="R283" i="1"/>
  <c r="E284" i="1"/>
  <c r="T283" i="1"/>
  <c r="E418" i="23" l="1"/>
  <c r="R406" i="23"/>
  <c r="X406" i="23" s="1"/>
  <c r="AF405" i="23"/>
  <c r="X405" i="23"/>
  <c r="C407" i="23"/>
  <c r="K407" i="23" s="1"/>
  <c r="AB421" i="23" s="1"/>
  <c r="T406" i="23"/>
  <c r="AF406" i="23"/>
  <c r="R284" i="1"/>
  <c r="T284" i="1"/>
  <c r="E285" i="1"/>
  <c r="M406" i="23" l="1"/>
  <c r="AC406" i="23"/>
  <c r="AK413" i="23"/>
  <c r="E419" i="23"/>
  <c r="R407" i="23"/>
  <c r="AK414" i="23" s="1"/>
  <c r="C408" i="23"/>
  <c r="K408" i="23" s="1"/>
  <c r="AB422" i="23" s="1"/>
  <c r="T407" i="23"/>
  <c r="R285" i="1"/>
  <c r="T285" i="1"/>
  <c r="E286" i="1"/>
  <c r="AF407" i="23" l="1"/>
  <c r="E420" i="23"/>
  <c r="M407" i="23"/>
  <c r="AC407" i="23"/>
  <c r="X407" i="23"/>
  <c r="C409" i="23"/>
  <c r="K409" i="23" s="1"/>
  <c r="AB423" i="23" s="1"/>
  <c r="R408" i="23"/>
  <c r="T408" i="23"/>
  <c r="R286" i="1"/>
  <c r="T286" i="1"/>
  <c r="E287" i="1"/>
  <c r="M408" i="23" l="1"/>
  <c r="AC408" i="23"/>
  <c r="E421" i="23"/>
  <c r="X408" i="23"/>
  <c r="AK415" i="23"/>
  <c r="AF408" i="23"/>
  <c r="C410" i="23"/>
  <c r="K410" i="23" s="1"/>
  <c r="AB424" i="23" s="1"/>
  <c r="R409" i="23"/>
  <c r="AK416" i="23" s="1"/>
  <c r="T409" i="23"/>
  <c r="R287" i="1"/>
  <c r="T287" i="1"/>
  <c r="E288" i="1"/>
  <c r="M409" i="23" l="1"/>
  <c r="AC409" i="23"/>
  <c r="E422" i="23"/>
  <c r="X409" i="23"/>
  <c r="AF409" i="23"/>
  <c r="C411" i="23"/>
  <c r="K411" i="23" s="1"/>
  <c r="AB425" i="23" s="1"/>
  <c r="T410" i="23"/>
  <c r="R410" i="23"/>
  <c r="AK417" i="23" s="1"/>
  <c r="R288" i="1"/>
  <c r="E289" i="1"/>
  <c r="T288" i="1"/>
  <c r="M410" i="23" l="1"/>
  <c r="AC410" i="23"/>
  <c r="E423" i="23"/>
  <c r="X410" i="23"/>
  <c r="AF410" i="23"/>
  <c r="C412" i="23"/>
  <c r="K412" i="23" s="1"/>
  <c r="AB426" i="23" s="1"/>
  <c r="T411" i="23"/>
  <c r="R411" i="23"/>
  <c r="AK418" i="23" s="1"/>
  <c r="R289" i="1"/>
  <c r="T289" i="1"/>
  <c r="E290" i="1"/>
  <c r="M411" i="23" l="1"/>
  <c r="AC411" i="23"/>
  <c r="E424" i="23"/>
  <c r="X411" i="23"/>
  <c r="AF411" i="23"/>
  <c r="C413" i="23"/>
  <c r="K413" i="23" s="1"/>
  <c r="AB427" i="23" s="1"/>
  <c r="R412" i="23"/>
  <c r="AK419" i="23" s="1"/>
  <c r="T412" i="23"/>
  <c r="R290" i="1"/>
  <c r="T290" i="1"/>
  <c r="E291" i="1"/>
  <c r="M412" i="23" l="1"/>
  <c r="AC412" i="23"/>
  <c r="E425" i="23"/>
  <c r="X412" i="23"/>
  <c r="AF412" i="23"/>
  <c r="C414" i="23"/>
  <c r="K414" i="23" s="1"/>
  <c r="AB428" i="23" s="1"/>
  <c r="R413" i="23"/>
  <c r="AK420" i="23" s="1"/>
  <c r="T413" i="23"/>
  <c r="R291" i="1"/>
  <c r="E292" i="1"/>
  <c r="T291" i="1"/>
  <c r="M413" i="23" l="1"/>
  <c r="AC413" i="23"/>
  <c r="E426" i="23"/>
  <c r="X413" i="23"/>
  <c r="AF413" i="23"/>
  <c r="C415" i="23"/>
  <c r="K415" i="23" s="1"/>
  <c r="AB429" i="23" s="1"/>
  <c r="T414" i="23"/>
  <c r="R414" i="23"/>
  <c r="AK421" i="23" s="1"/>
  <c r="R292" i="1"/>
  <c r="T292" i="1"/>
  <c r="E293" i="1"/>
  <c r="AC414" i="23" l="1"/>
  <c r="M414" i="23"/>
  <c r="E427" i="23"/>
  <c r="X414" i="23"/>
  <c r="AF414" i="23"/>
  <c r="C416" i="23"/>
  <c r="K416" i="23" s="1"/>
  <c r="AB430" i="23" s="1"/>
  <c r="T415" i="23"/>
  <c r="R415" i="23"/>
  <c r="AK422" i="23" s="1"/>
  <c r="R293" i="1"/>
  <c r="T293" i="1"/>
  <c r="E294" i="1"/>
  <c r="M415" i="23" l="1"/>
  <c r="AC415" i="23"/>
  <c r="C417" i="23"/>
  <c r="AC416" i="23"/>
  <c r="E428" i="23"/>
  <c r="X415" i="23"/>
  <c r="AF415" i="23"/>
  <c r="R416" i="23"/>
  <c r="AK423" i="23" s="1"/>
  <c r="T416" i="23"/>
  <c r="R294" i="1"/>
  <c r="T294" i="1"/>
  <c r="E295" i="1"/>
  <c r="AC417" i="23" l="1"/>
  <c r="K417" i="23"/>
  <c r="AB431" i="23" s="1"/>
  <c r="C418" i="23"/>
  <c r="K418" i="23" s="1"/>
  <c r="AB432" i="23" s="1"/>
  <c r="R417" i="23"/>
  <c r="AK424" i="23" s="1"/>
  <c r="AC418" i="23"/>
  <c r="T417" i="23"/>
  <c r="E429" i="23"/>
  <c r="T418" i="23"/>
  <c r="X416" i="23"/>
  <c r="AF416" i="23"/>
  <c r="R295" i="1"/>
  <c r="E296" i="1"/>
  <c r="T295" i="1"/>
  <c r="X417" i="23" l="1"/>
  <c r="AF417" i="23"/>
  <c r="R418" i="23"/>
  <c r="AK425" i="23" s="1"/>
  <c r="C419" i="23"/>
  <c r="K419" i="23" s="1"/>
  <c r="AB433" i="23" s="1"/>
  <c r="M418" i="23"/>
  <c r="E430" i="23"/>
  <c r="AC419" i="23"/>
  <c r="R296" i="1"/>
  <c r="E297" i="1"/>
  <c r="T296" i="1"/>
  <c r="X418" i="23" l="1"/>
  <c r="C420" i="23"/>
  <c r="K420" i="23" s="1"/>
  <c r="AB434" i="23" s="1"/>
  <c r="AF418" i="23"/>
  <c r="R419" i="23"/>
  <c r="AK426" i="23" s="1"/>
  <c r="M419" i="23"/>
  <c r="T419" i="23"/>
  <c r="AC420" i="23"/>
  <c r="E431" i="23"/>
  <c r="C421" i="23"/>
  <c r="AB435" i="23" s="1"/>
  <c r="R297" i="1"/>
  <c r="E298" i="1"/>
  <c r="T297" i="1"/>
  <c r="AF419" i="23" l="1"/>
  <c r="R420" i="23"/>
  <c r="X430" i="23" s="1"/>
  <c r="T420" i="23"/>
  <c r="X429" i="23"/>
  <c r="X419" i="23"/>
  <c r="AK427" i="23"/>
  <c r="E432" i="23"/>
  <c r="C422" i="23"/>
  <c r="AC421" i="23"/>
  <c r="R421" i="23"/>
  <c r="T421" i="23"/>
  <c r="R298" i="1"/>
  <c r="E299" i="1"/>
  <c r="T298" i="1"/>
  <c r="AF420" i="23" l="1"/>
  <c r="X420" i="23"/>
  <c r="AK428" i="23"/>
  <c r="X431" i="23"/>
  <c r="AC422" i="23"/>
  <c r="AB436" i="23"/>
  <c r="T422" i="23"/>
  <c r="R422" i="23"/>
  <c r="X422" i="23" s="1"/>
  <c r="C423" i="23"/>
  <c r="C424" i="23" s="1"/>
  <c r="E433" i="23"/>
  <c r="X421" i="23"/>
  <c r="AF421" i="23"/>
  <c r="R299" i="1"/>
  <c r="E300" i="1"/>
  <c r="T299" i="1"/>
  <c r="AC424" i="23" l="1"/>
  <c r="AB438" i="23"/>
  <c r="AC438" i="23" s="1"/>
  <c r="AC423" i="23"/>
  <c r="AB437" i="23"/>
  <c r="AC437" i="23" s="1"/>
  <c r="AF422" i="23"/>
  <c r="X432" i="23"/>
  <c r="AK429" i="23"/>
  <c r="T423" i="23"/>
  <c r="R423" i="23"/>
  <c r="X433" i="23" s="1"/>
  <c r="E434" i="23"/>
  <c r="AK430" i="23"/>
  <c r="C425" i="23"/>
  <c r="AB439" i="23" s="1"/>
  <c r="AC439" i="23" s="1"/>
  <c r="R424" i="23"/>
  <c r="X434" i="23" s="1"/>
  <c r="T424" i="23"/>
  <c r="AF423" i="23"/>
  <c r="R300" i="1"/>
  <c r="E301" i="1"/>
  <c r="T300" i="1"/>
  <c r="X423" i="23" l="1"/>
  <c r="E435" i="23"/>
  <c r="C426" i="23"/>
  <c r="R426" i="23" s="1"/>
  <c r="AC425" i="23"/>
  <c r="AK431" i="23"/>
  <c r="AF424" i="23"/>
  <c r="X424" i="23"/>
  <c r="R425" i="23"/>
  <c r="T425" i="23"/>
  <c r="R301" i="1"/>
  <c r="T301" i="1"/>
  <c r="E302" i="1"/>
  <c r="AK433" i="23" l="1"/>
  <c r="X436" i="23"/>
  <c r="AK432" i="23"/>
  <c r="X435" i="23"/>
  <c r="AC426" i="23"/>
  <c r="AB440" i="23"/>
  <c r="AC440" i="23" s="1"/>
  <c r="T426" i="23"/>
  <c r="C427" i="23"/>
  <c r="R427" i="23" s="1"/>
  <c r="E436" i="23"/>
  <c r="X425" i="23"/>
  <c r="AF426" i="23"/>
  <c r="X426" i="23"/>
  <c r="AF425" i="23"/>
  <c r="R302" i="1"/>
  <c r="T302" i="1"/>
  <c r="E303" i="1"/>
  <c r="C428" i="23" l="1"/>
  <c r="T427" i="23"/>
  <c r="AK434" i="23"/>
  <c r="X437" i="23"/>
  <c r="AC428" i="23"/>
  <c r="AB442" i="23"/>
  <c r="AC442" i="23" s="1"/>
  <c r="AC427" i="23"/>
  <c r="AB441" i="23"/>
  <c r="AC441" i="23" s="1"/>
  <c r="C429" i="23"/>
  <c r="AB443" i="23" s="1"/>
  <c r="AC443" i="23" s="1"/>
  <c r="T428" i="23"/>
  <c r="R428" i="23"/>
  <c r="AF427" i="23"/>
  <c r="X427" i="23"/>
  <c r="R303" i="1"/>
  <c r="T303" i="1"/>
  <c r="E304" i="1"/>
  <c r="AK435" i="23" l="1"/>
  <c r="X438" i="23"/>
  <c r="T429" i="23"/>
  <c r="AC429" i="23"/>
  <c r="C430" i="23"/>
  <c r="AB444" i="23" s="1"/>
  <c r="AC444" i="23" s="1"/>
  <c r="R429" i="23"/>
  <c r="X439" i="23" s="1"/>
  <c r="X428" i="23"/>
  <c r="AF428" i="23"/>
  <c r="R304" i="1"/>
  <c r="E305" i="1"/>
  <c r="T304" i="1"/>
  <c r="T430" i="23" l="1"/>
  <c r="AC430" i="23"/>
  <c r="AK436" i="23"/>
  <c r="AF429" i="23"/>
  <c r="C431" i="23"/>
  <c r="AB445" i="23" s="1"/>
  <c r="AC445" i="23" s="1"/>
  <c r="R430" i="23"/>
  <c r="X440" i="23" s="1"/>
  <c r="R305" i="1"/>
  <c r="T305" i="1"/>
  <c r="E306" i="1"/>
  <c r="T431" i="23" l="1"/>
  <c r="AC431" i="23"/>
  <c r="AK437" i="23"/>
  <c r="AF437" i="23"/>
  <c r="AF430" i="23"/>
  <c r="R431" i="23"/>
  <c r="X441" i="23" s="1"/>
  <c r="C432" i="23"/>
  <c r="R306" i="1"/>
  <c r="E307" i="1"/>
  <c r="T306" i="1"/>
  <c r="AC432" i="23" l="1"/>
  <c r="AB446" i="23"/>
  <c r="AC446" i="23" s="1"/>
  <c r="T432" i="23"/>
  <c r="C433" i="23"/>
  <c r="R432" i="23"/>
  <c r="X442" i="23" s="1"/>
  <c r="AF438" i="23"/>
  <c r="AK438" i="23"/>
  <c r="AF431" i="23"/>
  <c r="R307" i="1"/>
  <c r="T307" i="1"/>
  <c r="E308" i="1"/>
  <c r="AC433" i="23" l="1"/>
  <c r="AB447" i="23"/>
  <c r="AC447" i="23" s="1"/>
  <c r="AK439" i="23"/>
  <c r="AF439" i="23"/>
  <c r="AF432" i="23"/>
  <c r="C434" i="23"/>
  <c r="R433" i="23"/>
  <c r="X443" i="23" s="1"/>
  <c r="T433" i="23"/>
  <c r="R308" i="1"/>
  <c r="E309" i="1"/>
  <c r="T308" i="1"/>
  <c r="AC434" i="23" l="1"/>
  <c r="AB448" i="23"/>
  <c r="AC448" i="23" s="1"/>
  <c r="AK440" i="23"/>
  <c r="AF440" i="23"/>
  <c r="AF433" i="23"/>
  <c r="C435" i="23"/>
  <c r="R434" i="23"/>
  <c r="X444" i="23" s="1"/>
  <c r="T434" i="23"/>
  <c r="R309" i="1"/>
  <c r="T309" i="1"/>
  <c r="E310" i="1"/>
  <c r="AC435" i="23" l="1"/>
  <c r="AB449" i="23"/>
  <c r="AC449" i="23" s="1"/>
  <c r="AK441" i="23"/>
  <c r="AF441" i="23"/>
  <c r="AF434" i="23"/>
  <c r="C436" i="23"/>
  <c r="T435" i="23"/>
  <c r="R435" i="23"/>
  <c r="X445" i="23" s="1"/>
  <c r="R310" i="1"/>
  <c r="T310" i="1"/>
  <c r="E311" i="1"/>
  <c r="AC436" i="23" l="1"/>
  <c r="AB450" i="23"/>
  <c r="AC450" i="23" s="1"/>
  <c r="AK442" i="23"/>
  <c r="AF442" i="23"/>
  <c r="T437" i="23"/>
  <c r="R436" i="23"/>
  <c r="X446" i="23" s="1"/>
  <c r="T436" i="23"/>
  <c r="AF435" i="23"/>
  <c r="R311" i="1"/>
  <c r="T311" i="1"/>
  <c r="E312" i="1"/>
  <c r="AK443" i="23" l="1"/>
  <c r="AF443" i="23"/>
  <c r="AF436" i="23"/>
  <c r="R312" i="1"/>
  <c r="T312" i="1"/>
  <c r="E313" i="1"/>
  <c r="R313" i="1" l="1"/>
  <c r="T313" i="1"/>
  <c r="E314" i="1"/>
  <c r="R314" i="1" l="1"/>
  <c r="E315" i="1"/>
  <c r="T314" i="1"/>
  <c r="R315" i="1" l="1"/>
  <c r="T315" i="1"/>
  <c r="E316" i="1"/>
  <c r="E317" i="1" l="1"/>
  <c r="T316" i="1"/>
  <c r="R316" i="1"/>
  <c r="T317" i="1" l="1"/>
  <c r="E318" i="1"/>
  <c r="R317" i="1"/>
  <c r="T318" i="1" l="1"/>
  <c r="R318" i="1"/>
  <c r="E319" i="1"/>
  <c r="R319" i="1" l="1"/>
  <c r="E320" i="1"/>
  <c r="T319" i="1"/>
  <c r="R320" i="1" l="1"/>
  <c r="T320" i="1"/>
  <c r="E321" i="1"/>
  <c r="R321" i="1" l="1"/>
  <c r="T321" i="1"/>
  <c r="E322" i="1"/>
  <c r="R322" i="1" l="1"/>
  <c r="T322" i="1"/>
  <c r="E323" i="1"/>
  <c r="R323" i="1" l="1"/>
  <c r="T323" i="1"/>
  <c r="E324" i="1"/>
  <c r="E325" i="1" l="1"/>
  <c r="T324" i="1"/>
  <c r="R324" i="1"/>
  <c r="R325" i="1" l="1"/>
  <c r="T325" i="1"/>
  <c r="E326" i="1"/>
  <c r="R326" i="1" l="1"/>
  <c r="E327" i="1"/>
  <c r="T326" i="1"/>
  <c r="R327" i="1" l="1"/>
  <c r="T327" i="1"/>
  <c r="E328" i="1"/>
  <c r="T328" i="1" l="1"/>
  <c r="R328" i="1"/>
  <c r="E329" i="1"/>
  <c r="R329" i="1" l="1"/>
  <c r="T329" i="1"/>
  <c r="E330" i="1"/>
  <c r="E331" i="1" l="1"/>
  <c r="R330" i="1"/>
  <c r="T330" i="1"/>
  <c r="E332" i="1" l="1"/>
  <c r="T331" i="1"/>
  <c r="R331" i="1"/>
  <c r="E333" i="1" l="1"/>
  <c r="T332" i="1"/>
  <c r="R332" i="1"/>
  <c r="E334" i="1" l="1"/>
  <c r="T333" i="1"/>
  <c r="R333" i="1"/>
  <c r="E335" i="1" l="1"/>
  <c r="E336" i="1" s="1"/>
  <c r="R334" i="1"/>
  <c r="T334" i="1"/>
  <c r="E337" i="1" l="1"/>
  <c r="R336" i="1"/>
  <c r="T336" i="1"/>
  <c r="T335" i="1"/>
  <c r="R335" i="1"/>
  <c r="E338" i="1" l="1"/>
  <c r="T337" i="1"/>
  <c r="R337" i="1"/>
  <c r="E339" i="1" l="1"/>
  <c r="T338" i="1"/>
  <c r="R338" i="1"/>
  <c r="E340" i="1" l="1"/>
  <c r="R339" i="1"/>
  <c r="T339" i="1"/>
  <c r="R340" i="1" l="1"/>
  <c r="E341" i="1"/>
  <c r="T340" i="1"/>
  <c r="E342" i="1" l="1"/>
  <c r="R341" i="1"/>
  <c r="T341" i="1"/>
  <c r="E343" i="1" l="1"/>
  <c r="E344" i="1" s="1"/>
  <c r="R342" i="1"/>
  <c r="T342" i="1"/>
  <c r="E345" i="1" l="1"/>
  <c r="T344" i="1"/>
  <c r="R344" i="1"/>
  <c r="R343" i="1"/>
  <c r="T343" i="1"/>
  <c r="E346" i="1" l="1"/>
  <c r="R345" i="1"/>
  <c r="T345" i="1"/>
  <c r="E347" i="1" l="1"/>
  <c r="E348" i="1" s="1"/>
  <c r="R346" i="1"/>
  <c r="T346" i="1"/>
  <c r="E349" i="1" l="1"/>
  <c r="T348" i="1"/>
  <c r="R348" i="1"/>
  <c r="R347" i="1"/>
  <c r="T347" i="1"/>
  <c r="R349" i="1" l="1"/>
  <c r="E350" i="1"/>
  <c r="T349" i="1"/>
  <c r="E351" i="1" l="1"/>
  <c r="R350" i="1"/>
  <c r="T350" i="1"/>
  <c r="E352" i="1" l="1"/>
  <c r="R351" i="1"/>
  <c r="T351" i="1"/>
  <c r="E353" i="1" l="1"/>
  <c r="T352" i="1"/>
  <c r="R352" i="1"/>
  <c r="E354" i="1" l="1"/>
  <c r="E355" i="1" s="1"/>
  <c r="R353" i="1"/>
  <c r="T353" i="1"/>
  <c r="R355" i="1" l="1"/>
  <c r="E356" i="1"/>
  <c r="T355" i="1"/>
  <c r="T354" i="1"/>
  <c r="R354" i="1"/>
  <c r="E357" i="1" l="1"/>
  <c r="E358" i="1" s="1"/>
  <c r="E359" i="1" s="1"/>
  <c r="E360" i="1" s="1"/>
  <c r="E361" i="1" s="1"/>
  <c r="R356" i="1"/>
  <c r="T356" i="1"/>
  <c r="E362" i="1" l="1"/>
  <c r="R361" i="1"/>
  <c r="T361" i="1"/>
  <c r="R360" i="1"/>
  <c r="T360" i="1"/>
  <c r="R359" i="1"/>
  <c r="T359" i="1"/>
  <c r="R358" i="1"/>
  <c r="T358" i="1"/>
  <c r="T357" i="1"/>
  <c r="R357" i="1"/>
  <c r="E363" i="1" l="1"/>
  <c r="R362" i="1"/>
  <c r="T362" i="1"/>
  <c r="E364" i="1" l="1"/>
  <c r="R363" i="1"/>
  <c r="T363" i="1"/>
  <c r="E365" i="1" l="1"/>
  <c r="E366" i="1" s="1"/>
  <c r="T364" i="1"/>
  <c r="R364" i="1"/>
  <c r="R366" i="1" l="1"/>
  <c r="T366" i="1"/>
  <c r="E367" i="1"/>
  <c r="E368" i="1" s="1"/>
  <c r="R365" i="1"/>
  <c r="T365" i="1"/>
  <c r="E369" i="1" l="1"/>
  <c r="R368" i="1"/>
  <c r="T368" i="1"/>
  <c r="R367" i="1"/>
  <c r="T367" i="1"/>
  <c r="E370" i="1" l="1"/>
  <c r="T369" i="1"/>
  <c r="R369" i="1"/>
  <c r="R370" i="1" l="1"/>
  <c r="E371" i="1"/>
  <c r="T370" i="1"/>
  <c r="R371" i="1" l="1"/>
  <c r="T371" i="1"/>
  <c r="E372" i="1"/>
  <c r="E373" i="1" l="1"/>
  <c r="T372" i="1"/>
  <c r="R372" i="1"/>
  <c r="E374" i="1" l="1"/>
  <c r="T373" i="1"/>
  <c r="R373" i="1"/>
  <c r="E375" i="1" l="1"/>
  <c r="T374" i="1"/>
  <c r="R374" i="1"/>
  <c r="R375" i="1" l="1"/>
  <c r="E376" i="1"/>
  <c r="T375" i="1"/>
  <c r="E377" i="1" l="1"/>
  <c r="T376" i="1"/>
  <c r="R376" i="1"/>
  <c r="E378" i="1" l="1"/>
  <c r="T378" i="1" s="1"/>
  <c r="T377" i="1"/>
  <c r="R377" i="1"/>
  <c r="E379" i="1" l="1"/>
  <c r="R378" i="1"/>
  <c r="E380" i="1" l="1"/>
  <c r="E381" i="1" s="1"/>
  <c r="T379" i="1"/>
  <c r="R379" i="1"/>
  <c r="E382" i="1" l="1"/>
  <c r="R381" i="1"/>
  <c r="T381" i="1"/>
  <c r="T380" i="1"/>
  <c r="R380" i="1"/>
  <c r="R382" i="1" l="1"/>
  <c r="E383" i="1"/>
  <c r="E384" i="1" s="1"/>
  <c r="E385" i="1" s="1"/>
  <c r="T382" i="1"/>
  <c r="T385" i="1" l="1"/>
  <c r="E386" i="1"/>
  <c r="R385" i="1"/>
  <c r="R384" i="1"/>
  <c r="T384" i="1"/>
  <c r="T383" i="1"/>
  <c r="R383" i="1"/>
  <c r="R386" i="1" l="1"/>
  <c r="E387" i="1"/>
  <c r="E388" i="1" s="1"/>
  <c r="T386" i="1"/>
  <c r="E389" i="1" l="1"/>
  <c r="R388" i="1"/>
  <c r="T388" i="1"/>
  <c r="R387" i="1"/>
  <c r="T387" i="1"/>
  <c r="E390" i="1" l="1"/>
  <c r="T389" i="1"/>
  <c r="R389" i="1"/>
  <c r="E391" i="1" l="1"/>
  <c r="E392" i="1" s="1"/>
  <c r="R390" i="1"/>
  <c r="T390" i="1"/>
  <c r="E393" i="1" l="1"/>
  <c r="E394" i="1" s="1"/>
  <c r="T392" i="1"/>
  <c r="R392" i="1"/>
  <c r="R391" i="1"/>
  <c r="T391" i="1"/>
  <c r="E395" i="1" l="1"/>
  <c r="E396" i="1" s="1"/>
  <c r="R394" i="1"/>
  <c r="T394" i="1"/>
  <c r="R393" i="1"/>
  <c r="T393" i="1"/>
  <c r="E397" i="1" l="1"/>
  <c r="R396" i="1"/>
  <c r="T396" i="1"/>
  <c r="T395" i="1"/>
  <c r="R395" i="1"/>
  <c r="E398" i="1" l="1"/>
  <c r="E399" i="1" s="1"/>
  <c r="R397" i="1"/>
  <c r="T397" i="1"/>
  <c r="E400" i="1" l="1"/>
  <c r="T399" i="1"/>
  <c r="R399" i="1"/>
  <c r="R398" i="1"/>
  <c r="T398" i="1"/>
  <c r="E401" i="1" l="1"/>
  <c r="T400" i="1"/>
  <c r="R400" i="1"/>
  <c r="E402" i="1" l="1"/>
  <c r="E403" i="1" s="1"/>
  <c r="R401" i="1"/>
  <c r="T401" i="1"/>
  <c r="E404" i="1" l="1"/>
  <c r="R403" i="1"/>
  <c r="T403" i="1"/>
  <c r="R402" i="1"/>
  <c r="T402" i="1"/>
  <c r="E405" i="1" l="1"/>
  <c r="R404" i="1"/>
  <c r="T404" i="1"/>
  <c r="R405" i="1" l="1"/>
  <c r="E406" i="1"/>
  <c r="T405" i="1"/>
  <c r="E407" i="1" l="1"/>
  <c r="E408" i="1" s="1"/>
  <c r="R406" i="1"/>
  <c r="T406" i="1"/>
  <c r="E409" i="1" l="1"/>
  <c r="R408" i="1"/>
  <c r="T408" i="1"/>
  <c r="R407" i="1"/>
  <c r="T407" i="1"/>
  <c r="R409" i="1" l="1"/>
  <c r="E410" i="1"/>
  <c r="T409" i="1"/>
  <c r="T410" i="1" l="1"/>
  <c r="E411" i="1"/>
  <c r="R410" i="1"/>
  <c r="E412" i="1" l="1"/>
  <c r="T411" i="1"/>
  <c r="R411" i="1"/>
  <c r="E413" i="1" l="1"/>
  <c r="R412" i="1"/>
  <c r="T412" i="1"/>
  <c r="R413" i="1" l="1"/>
  <c r="E414" i="1"/>
  <c r="E415" i="1" s="1"/>
  <c r="T413" i="1"/>
  <c r="E416" i="1" l="1"/>
  <c r="R415" i="1"/>
  <c r="T415" i="1"/>
  <c r="R414" i="1"/>
  <c r="T414" i="1"/>
  <c r="E417" i="1" l="1"/>
  <c r="R416" i="1"/>
  <c r="T416" i="1"/>
  <c r="E418" i="1" l="1"/>
  <c r="E419" i="1" s="1"/>
  <c r="T417" i="1"/>
  <c r="R417" i="1"/>
  <c r="E420" i="1" l="1"/>
  <c r="R419" i="1"/>
  <c r="T419" i="1"/>
  <c r="R418" i="1"/>
  <c r="T418" i="1"/>
  <c r="E421" i="1" l="1"/>
  <c r="R420" i="1"/>
  <c r="T420" i="1"/>
  <c r="E422" i="1" l="1"/>
  <c r="E423" i="1" s="1"/>
  <c r="R421" i="1"/>
  <c r="T421" i="1"/>
  <c r="E424" i="1" l="1"/>
  <c r="T423" i="1"/>
  <c r="R423" i="1"/>
  <c r="R422" i="1"/>
  <c r="T422" i="1"/>
  <c r="T424" i="1" l="1"/>
  <c r="E425" i="1"/>
  <c r="R424" i="1"/>
  <c r="E426" i="1" l="1"/>
  <c r="T425" i="1"/>
  <c r="R425" i="1"/>
  <c r="E427" i="1" l="1"/>
  <c r="R426" i="1"/>
  <c r="T426" i="1"/>
  <c r="T427" i="1" l="1"/>
  <c r="E428" i="1"/>
  <c r="R427" i="1"/>
  <c r="E429" i="1" l="1"/>
  <c r="E430" i="1" s="1"/>
  <c r="R428" i="1"/>
  <c r="T428" i="1"/>
  <c r="E431" i="1" l="1"/>
  <c r="E432" i="1" s="1"/>
  <c r="E433" i="1" s="1"/>
  <c r="T430" i="1"/>
  <c r="R430" i="1"/>
  <c r="R429" i="1"/>
  <c r="T429" i="1"/>
  <c r="E434" i="1" l="1"/>
  <c r="E435" i="1" s="1"/>
  <c r="R433" i="1"/>
  <c r="T433" i="1"/>
  <c r="R432" i="1"/>
  <c r="T432" i="1"/>
  <c r="R431" i="1"/>
  <c r="T431" i="1"/>
  <c r="R435" i="1" l="1"/>
  <c r="E436" i="1"/>
  <c r="T435" i="1"/>
  <c r="R434" i="1"/>
  <c r="T434" i="1"/>
  <c r="E437" i="1" l="1"/>
  <c r="R436" i="1"/>
  <c r="T436" i="1"/>
  <c r="E438" i="1" l="1"/>
  <c r="E439" i="1" s="1"/>
  <c r="E440" i="1" s="1"/>
  <c r="E441" i="1" s="1"/>
  <c r="E442" i="1" s="1"/>
  <c r="T437" i="1"/>
  <c r="R437" i="1"/>
  <c r="R442" i="1" l="1"/>
  <c r="E443" i="1"/>
  <c r="E444" i="1" s="1"/>
  <c r="T442" i="1"/>
  <c r="T441" i="1"/>
  <c r="R441" i="1"/>
  <c r="T440" i="1"/>
  <c r="R440" i="1"/>
  <c r="R439" i="1"/>
  <c r="T439" i="1"/>
  <c r="R438" i="1"/>
  <c r="T438" i="1"/>
  <c r="R444" i="1" l="1"/>
  <c r="E445" i="1"/>
  <c r="E446" i="1" s="1"/>
  <c r="E447" i="1" s="1"/>
  <c r="T444" i="1"/>
  <c r="R443" i="1"/>
  <c r="T443" i="1"/>
  <c r="E448" i="1" l="1"/>
  <c r="T447" i="1"/>
  <c r="R447" i="1"/>
  <c r="R446" i="1"/>
  <c r="T446" i="1"/>
  <c r="R445" i="1"/>
  <c r="T445" i="1"/>
  <c r="E449" i="1" l="1"/>
  <c r="T448" i="1"/>
  <c r="R448" i="1"/>
  <c r="E450" i="1" l="1"/>
  <c r="T449" i="1"/>
  <c r="R449" i="1"/>
  <c r="E451" i="1" l="1"/>
  <c r="T450" i="1"/>
  <c r="R450" i="1"/>
  <c r="E452" i="1" l="1"/>
  <c r="E453" i="1" s="1"/>
  <c r="E454" i="1" s="1"/>
  <c r="E455" i="1" s="1"/>
  <c r="T451" i="1"/>
  <c r="R451" i="1"/>
  <c r="R455" i="1" l="1"/>
  <c r="E456" i="1"/>
  <c r="E457" i="1" s="1"/>
  <c r="E458" i="1" s="1"/>
  <c r="T455" i="1"/>
  <c r="R454" i="1"/>
  <c r="T454" i="1"/>
  <c r="T453" i="1"/>
  <c r="R453" i="1"/>
  <c r="T452" i="1"/>
  <c r="R452" i="1"/>
  <c r="E459" i="1" l="1"/>
  <c r="T458" i="1"/>
  <c r="R458" i="1"/>
  <c r="T457" i="1"/>
  <c r="R457" i="1"/>
  <c r="T456" i="1"/>
  <c r="R456" i="1"/>
  <c r="E460" i="1" l="1"/>
  <c r="E461" i="1" s="1"/>
  <c r="R459" i="1"/>
  <c r="T459" i="1"/>
  <c r="E462" i="1" l="1"/>
  <c r="T461" i="1"/>
  <c r="R461" i="1"/>
  <c r="T460" i="1"/>
  <c r="R460" i="1"/>
  <c r="R462" i="1" l="1"/>
  <c r="E463" i="1"/>
  <c r="E464" i="1" s="1"/>
  <c r="E465" i="1" s="1"/>
  <c r="T462" i="1"/>
  <c r="R465" i="1" l="1"/>
  <c r="T465" i="1"/>
  <c r="T464" i="1"/>
  <c r="R464" i="1"/>
  <c r="R463" i="1"/>
  <c r="T463" i="1"/>
</calcChain>
</file>

<file path=xl/sharedStrings.xml><?xml version="1.0" encoding="utf-8"?>
<sst xmlns="http://schemas.openxmlformats.org/spreadsheetml/2006/main" count="12416" uniqueCount="314">
  <si>
    <t>Casos confirmados</t>
  </si>
  <si>
    <t>Casos acumulados</t>
  </si>
  <si>
    <t>Nuevas muertes</t>
  </si>
  <si>
    <t>Muertes Acumuladas</t>
  </si>
  <si>
    <t>Recuperaciones</t>
  </si>
  <si>
    <t>UTI</t>
  </si>
  <si>
    <t>nuevas_muestras</t>
  </si>
  <si>
    <t>total_pruebas</t>
  </si>
  <si>
    <t>DescEpidemiologia</t>
  </si>
  <si>
    <t>DescTest</t>
  </si>
  <si>
    <t>Descartados</t>
  </si>
  <si>
    <t>Importados</t>
  </si>
  <si>
    <t>Contacto Estrecho</t>
  </si>
  <si>
    <t>Circulacion Comunitaria</t>
  </si>
  <si>
    <t>Investigacion</t>
  </si>
  <si>
    <t>Chaco</t>
  </si>
  <si>
    <t>Buenos Aires</t>
  </si>
  <si>
    <t>Mendoza</t>
  </si>
  <si>
    <t>Río Negro</t>
  </si>
  <si>
    <t>Neuquén</t>
  </si>
  <si>
    <t>Córdoba</t>
  </si>
  <si>
    <t>La Rioja</t>
  </si>
  <si>
    <t>Santa Fe</t>
  </si>
  <si>
    <t>Misiones</t>
  </si>
  <si>
    <t>PROVINCIA</t>
  </si>
  <si>
    <t>FECHA</t>
  </si>
  <si>
    <t>CASOS</t>
  </si>
  <si>
    <t>ACUMULADOS</t>
  </si>
  <si>
    <t>Catamarca</t>
  </si>
  <si>
    <t>Chubut</t>
  </si>
  <si>
    <t>Corrientes</t>
  </si>
  <si>
    <t>Entre Ríos</t>
  </si>
  <si>
    <t>Jujuy</t>
  </si>
  <si>
    <t>La Pampa</t>
  </si>
  <si>
    <t>Salta</t>
  </si>
  <si>
    <t>San Juan</t>
  </si>
  <si>
    <t>San Luis</t>
  </si>
  <si>
    <t>Santa Cruz</t>
  </si>
  <si>
    <t>Santiago del Estero</t>
  </si>
  <si>
    <t>Tierra del Fuego</t>
  </si>
  <si>
    <t>Tucumán</t>
  </si>
  <si>
    <t>Formosa</t>
  </si>
  <si>
    <t>DÍa</t>
  </si>
  <si>
    <t>CABA</t>
  </si>
  <si>
    <t>Partido</t>
  </si>
  <si>
    <t>Almirante Brown</t>
  </si>
  <si>
    <t>Avellaneda</t>
  </si>
  <si>
    <t>Berazategui</t>
  </si>
  <si>
    <t>Escobar</t>
  </si>
  <si>
    <t>Esteban Echeverría</t>
  </si>
  <si>
    <t>Ezeiza</t>
  </si>
  <si>
    <t>Florencio Varela</t>
  </si>
  <si>
    <t>General Rodríguez</t>
  </si>
  <si>
    <t>General San Martín</t>
  </si>
  <si>
    <t>Hurlingham</t>
  </si>
  <si>
    <t>Ituzaingó</t>
  </si>
  <si>
    <t>José C. Paz</t>
  </si>
  <si>
    <t>La Matanza</t>
  </si>
  <si>
    <t>Lanús</t>
  </si>
  <si>
    <t>Malvinas Argentinas</t>
  </si>
  <si>
    <t>Marcos Paz</t>
  </si>
  <si>
    <t>Merlo</t>
  </si>
  <si>
    <t>Moreno</t>
  </si>
  <si>
    <t>Morón</t>
  </si>
  <si>
    <t>Pilar</t>
  </si>
  <si>
    <t>Presidente Perón</t>
  </si>
  <si>
    <t>Quilmes</t>
  </si>
  <si>
    <t>San Fernando</t>
  </si>
  <si>
    <t>San Isidro</t>
  </si>
  <si>
    <t>San Miguel</t>
  </si>
  <si>
    <t>San Vicente</t>
  </si>
  <si>
    <t>Tigre</t>
  </si>
  <si>
    <t>Vicente López</t>
  </si>
  <si>
    <t>AMBA</t>
  </si>
  <si>
    <t>ZONA</t>
  </si>
  <si>
    <t>CORDON</t>
  </si>
  <si>
    <t>supKm2</t>
  </si>
  <si>
    <t>POBLACION</t>
  </si>
  <si>
    <t>BS AS</t>
  </si>
  <si>
    <t>SI</t>
  </si>
  <si>
    <t>SUR</t>
  </si>
  <si>
    <t>2do</t>
  </si>
  <si>
    <t>1er</t>
  </si>
  <si>
    <t>3ro</t>
  </si>
  <si>
    <t>Berisso</t>
  </si>
  <si>
    <t>Brandsen</t>
  </si>
  <si>
    <t>Campana</t>
  </si>
  <si>
    <t>Canuelas</t>
  </si>
  <si>
    <t>Ensenada</t>
  </si>
  <si>
    <t>NORTE</t>
  </si>
  <si>
    <t>General Las Heras</t>
  </si>
  <si>
    <t>OESTE</t>
  </si>
  <si>
    <t>La Plata</t>
  </si>
  <si>
    <t>Luján</t>
  </si>
  <si>
    <t>Mercedes</t>
  </si>
  <si>
    <t>Zárate</t>
  </si>
  <si>
    <t>Tres de Febrero</t>
  </si>
  <si>
    <t>Exaltación de La Cruz</t>
  </si>
  <si>
    <t>Lomas de Zamora</t>
  </si>
  <si>
    <t>MUERTES</t>
  </si>
  <si>
    <t>CANTIDAD</t>
  </si>
  <si>
    <t>M_acum</t>
  </si>
  <si>
    <t>Sgo. del Estero</t>
  </si>
  <si>
    <t xml:space="preserve"> 10/9/2020</t>
  </si>
  <si>
    <t>CRECIMIENTO (%)
AGOSTO-SEPTIEMBRE</t>
  </si>
  <si>
    <t>CRECIMIENTO (%) 
JULIO-
AGOSTO</t>
  </si>
  <si>
    <t>CRECIMIENTO MENSUAL DE CASOS TOTALES ACUMULADOS POR PROVINCIA</t>
  </si>
  <si>
    <t>CRECIMIENTO (%)
AGOSTO-
SEPTIEMBRE</t>
  </si>
  <si>
    <t>REC_N</t>
  </si>
  <si>
    <t>Altas</t>
  </si>
  <si>
    <t>DIF_uti</t>
  </si>
  <si>
    <t>DIF ACTIVOS</t>
  </si>
  <si>
    <t>INCIDENCIA</t>
  </si>
  <si>
    <t>INDICADORES SANITARIOS POR PROVINCIA</t>
  </si>
  <si>
    <t>IA 7 días</t>
  </si>
  <si>
    <t>Incidencia diaria</t>
  </si>
  <si>
    <t>R² = 0,4065</t>
  </si>
  <si>
    <t>RAZÓN Crecimiento</t>
  </si>
  <si>
    <t>RAZON</t>
  </si>
  <si>
    <t>poblacion</t>
  </si>
  <si>
    <t>color</t>
  </si>
  <si>
    <t>AGRONOMIA</t>
  </si>
  <si>
    <t>13894.1518251863</t>
  </si>
  <si>
    <t>AMARILLO</t>
  </si>
  <si>
    <t>ALMAGRO</t>
  </si>
  <si>
    <t>132001.427042455</t>
  </si>
  <si>
    <t>BALVANERA</t>
  </si>
  <si>
    <t>139147.002326925</t>
  </si>
  <si>
    <t>BARRACAS</t>
  </si>
  <si>
    <t>89526.2626614223</t>
  </si>
  <si>
    <t>ROJO</t>
  </si>
  <si>
    <t>BELGRANO</t>
  </si>
  <si>
    <t>126828.725593814</t>
  </si>
  <si>
    <t>LA BOCA</t>
  </si>
  <si>
    <t>44893.3782267116</t>
  </si>
  <si>
    <t>BOEDO</t>
  </si>
  <si>
    <t>47365.620010644</t>
  </si>
  <si>
    <t>CABALLITO</t>
  </si>
  <si>
    <t>176606.318778843</t>
  </si>
  <si>
    <t>CHACARITA</t>
  </si>
  <si>
    <t>27538.2054773793</t>
  </si>
  <si>
    <t>COGHLAN</t>
  </si>
  <si>
    <t>18723.5428199284</t>
  </si>
  <si>
    <t>COLEGIALES</t>
  </si>
  <si>
    <t>52311.0264170683</t>
  </si>
  <si>
    <t>CONSTITUCION</t>
  </si>
  <si>
    <t>43967.7176623338</t>
  </si>
  <si>
    <t>FLORES</t>
  </si>
  <si>
    <t>164174.252275683</t>
  </si>
  <si>
    <t>FLORESTA</t>
  </si>
  <si>
    <t>37432.7911250255</t>
  </si>
  <si>
    <t>LINIERS</t>
  </si>
  <si>
    <t>44197.9374295866</t>
  </si>
  <si>
    <t>MATADEROS</t>
  </si>
  <si>
    <t>64254.1068072983</t>
  </si>
  <si>
    <t>MONSERRAT</t>
  </si>
  <si>
    <t>40367.7954698363</t>
  </si>
  <si>
    <t>MONTE CASTRO</t>
  </si>
  <si>
    <t>33746.4362599639</t>
  </si>
  <si>
    <t>NUEVA POMPEYA</t>
  </si>
  <si>
    <t>42232.8870927002</t>
  </si>
  <si>
    <t>NUÑEZ</t>
  </si>
  <si>
    <t>52495.9434952754</t>
  </si>
  <si>
    <t>PALERMO</t>
  </si>
  <si>
    <t>226069.246435845</t>
  </si>
  <si>
    <t>PARQUE AVELLANEDA</t>
  </si>
  <si>
    <t>53206.1739239553</t>
  </si>
  <si>
    <t>PARQUE CHACABUCO</t>
  </si>
  <si>
    <t>56258.1955078042</t>
  </si>
  <si>
    <t>PARQUE CHAS</t>
  </si>
  <si>
    <t>17581.2665993342</t>
  </si>
  <si>
    <t>PARQUE PATRICIOS</t>
  </si>
  <si>
    <t>PATERNAL</t>
  </si>
  <si>
    <t>PUERTO MADERO</t>
  </si>
  <si>
    <t>RECOLETA</t>
  </si>
  <si>
    <t>RETIRO</t>
  </si>
  <si>
    <t>SAAVEDRA</t>
  </si>
  <si>
    <t>SAN CRISTOBAL</t>
  </si>
  <si>
    <t>SAN NICOLAS</t>
  </si>
  <si>
    <t>SAN TELMO</t>
  </si>
  <si>
    <t>VELEZ SARSFIELD</t>
  </si>
  <si>
    <t>VERSALLES</t>
  </si>
  <si>
    <t>VILLA CRESPO</t>
  </si>
  <si>
    <t>VILLA DEL PARQUE</t>
  </si>
  <si>
    <t>VILLA DEVOTO</t>
  </si>
  <si>
    <t>VILLA GRAL. MITRE</t>
  </si>
  <si>
    <t>VILLA LUGANO</t>
  </si>
  <si>
    <t>VILLA LURO</t>
  </si>
  <si>
    <t>VILLA ORTUZAR</t>
  </si>
  <si>
    <t>VILLA PUEYRREDON</t>
  </si>
  <si>
    <t>VILLA REAL</t>
  </si>
  <si>
    <t>VILLA RIACHUELO</t>
  </si>
  <si>
    <t>VILLA SANTA RITA</t>
  </si>
  <si>
    <t>VILLA SOLDATI</t>
  </si>
  <si>
    <t>VILLA URQUIZA</t>
  </si>
  <si>
    <t>BARRIO</t>
  </si>
  <si>
    <t>RAZÓN</t>
  </si>
  <si>
    <t>Inc. Acum. 14 días</t>
  </si>
  <si>
    <t>Casos del 2/3 al 16/3</t>
  </si>
  <si>
    <t>Casos del 15/2 al 1/3</t>
  </si>
  <si>
    <t>18 a29</t>
  </si>
  <si>
    <t>30 a39</t>
  </si>
  <si>
    <t>40a49</t>
  </si>
  <si>
    <t>50a59</t>
  </si>
  <si>
    <t>60a69</t>
  </si>
  <si>
    <t>70a79</t>
  </si>
  <si>
    <t>80a89</t>
  </si>
  <si>
    <t>90-99</t>
  </si>
  <si>
    <t>mas de 100</t>
  </si>
  <si>
    <t>Total</t>
  </si>
  <si>
    <t>Neuquen</t>
  </si>
  <si>
    <t>Tierra del fuego</t>
  </si>
  <si>
    <t>Entre Ríos</t>
  </si>
  <si>
    <t>Río Negro</t>
  </si>
  <si>
    <t>Buenos Aires</t>
  </si>
  <si>
    <t>Tierra del Fuego</t>
  </si>
  <si>
    <t>San Juan</t>
  </si>
  <si>
    <t>Santiago del Estero</t>
  </si>
  <si>
    <t>La Pampa</t>
  </si>
  <si>
    <t>Santa Fe</t>
  </si>
  <si>
    <t>San Luis</t>
  </si>
  <si>
    <t>Santa Cruz</t>
  </si>
  <si>
    <t>La Rioja</t>
  </si>
  <si>
    <t>Mayores de 61</t>
  </si>
  <si>
    <t>% Mayores de 60</t>
  </si>
  <si>
    <t>CASOS TOTALES</t>
  </si>
  <si>
    <t>FALL. TOTALES</t>
  </si>
  <si>
    <t>TOTAL PAIS</t>
  </si>
  <si>
    <t>Letalidad en Mayores de 60</t>
  </si>
  <si>
    <t>% de población &gt; 60 que falleció</t>
  </si>
  <si>
    <t>ACTIVOS</t>
  </si>
  <si>
    <t>ACTIVOS EN UTI</t>
  </si>
  <si>
    <t>CRECIM DE ACTIVOS</t>
  </si>
  <si>
    <t>CRECIM. MISMO DIA SEM. ANT</t>
  </si>
  <si>
    <t>POSITIVIDAD PROMEDIO REPORTE</t>
  </si>
  <si>
    <t>PROMEDIO SEMANAL</t>
  </si>
  <si>
    <t>PROM. MUERTES</t>
  </si>
  <si>
    <t>CRECIMIENTO PROM. CASOS DIARIOS</t>
  </si>
  <si>
    <t>% fall casos 20 dias antes</t>
  </si>
  <si>
    <t>AÑO</t>
  </si>
  <si>
    <t>semana</t>
  </si>
  <si>
    <t>desde</t>
  </si>
  <si>
    <t>hasta</t>
  </si>
  <si>
    <t>ambos</t>
  </si>
  <si>
    <t>prom. Diario</t>
  </si>
  <si>
    <t>incid diaria</t>
  </si>
  <si>
    <t>grupo</t>
  </si>
  <si>
    <t>casos</t>
  </si>
  <si>
    <t>prop</t>
  </si>
  <si>
    <t>0 a 9</t>
  </si>
  <si>
    <t>10 a 19</t>
  </si>
  <si>
    <t>20 a 29</t>
  </si>
  <si>
    <t>30 a 39</t>
  </si>
  <si>
    <t>40 a 49</t>
  </si>
  <si>
    <t>50 a 59</t>
  </si>
  <si>
    <t>60 a 69</t>
  </si>
  <si>
    <t>70 a 79</t>
  </si>
  <si>
    <t>80 o más</t>
  </si>
  <si>
    <t>NA</t>
  </si>
  <si>
    <t>VACUNADOS</t>
  </si>
  <si>
    <t>Sin Edad</t>
  </si>
  <si>
    <t>0 a 49</t>
  </si>
  <si>
    <t>prev. Vacuna</t>
  </si>
  <si>
    <t>FA</t>
  </si>
  <si>
    <t>PBA</t>
  </si>
  <si>
    <t>12 AL 16</t>
  </si>
  <si>
    <t>19 AL 23</t>
  </si>
  <si>
    <t>FDIAG</t>
  </si>
  <si>
    <t>FIS</t>
  </si>
  <si>
    <t>enos Aires</t>
  </si>
  <si>
    <t>uenos Aires</t>
  </si>
  <si>
    <t>% NACION</t>
  </si>
  <si>
    <t>% AMBA</t>
  </si>
  <si>
    <t>crecim uti</t>
  </si>
  <si>
    <t>cecim sem</t>
  </si>
  <si>
    <t>crcecim fall</t>
  </si>
  <si>
    <t>ANUNCIO</t>
  </si>
  <si>
    <t>Restricción Nocturna 00 a 06 hs</t>
  </si>
  <si>
    <t>Restricción Nocturna 20 a 06 hs</t>
  </si>
  <si>
    <t>Suspenden presencialidad Zonas Alerta</t>
  </si>
  <si>
    <t>baja o suba
CASOS</t>
  </si>
  <si>
    <t>CRECIM. FALL.</t>
  </si>
  <si>
    <t>&lt; 0,8</t>
  </si>
  <si>
    <t>&lt; 0,8 y &lt;1,2</t>
  </si>
  <si>
    <t>&gt;=1,2</t>
  </si>
  <si>
    <t>BAJO</t>
  </si>
  <si>
    <t>MEDIO</t>
  </si>
  <si>
    <t>ALTO</t>
  </si>
  <si>
    <t>&lt;=50</t>
  </si>
  <si>
    <t>&lt;150</t>
  </si>
  <si>
    <t>&lt;250</t>
  </si>
  <si>
    <t>&gt;500 y 80% UTI</t>
  </si>
  <si>
    <t>&gt;250</t>
  </si>
  <si>
    <t>ALARMA</t>
  </si>
  <si>
    <t>INCID 7 DIAS</t>
  </si>
  <si>
    <t>Se hace efectivo el 16/4</t>
  </si>
  <si>
    <t>el 23/4 empiezan a bajar</t>
  </si>
  <si>
    <t>PROM. DIARIO</t>
  </si>
  <si>
    <t>CONURB</t>
  </si>
  <si>
    <t>AMBA sin CABA</t>
  </si>
  <si>
    <t>crecim. Sem.</t>
  </si>
  <si>
    <t>Etiquetas de columna</t>
  </si>
  <si>
    <t>caba</t>
  </si>
  <si>
    <t>amba sin caba</t>
  </si>
  <si>
    <t>UTI 25/5/2021</t>
  </si>
  <si>
    <t>PROM 14 DIAS</t>
  </si>
  <si>
    <t>Población Mayores de 60
Proy. 2020</t>
  </si>
  <si>
    <t>Mayores de 60 Vacunados 1° dosis</t>
  </si>
  <si>
    <t>incid 14 dias</t>
  </si>
  <si>
    <t>razon</t>
  </si>
  <si>
    <t>DNU Activ. Presenciales, nocturnas, gimnasios, etc nacional</t>
  </si>
  <si>
    <t xml:space="preserve"> INCIDENCIA</t>
  </si>
  <si>
    <t>RAZON_p</t>
  </si>
  <si>
    <t>Positiv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</si>
</sst>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
    <numFmt numFmtId="165" formatCode="_-* #,##0_-;\-* #,##0_-;_-* &quot;-&quot;??_-;_-@_-"/>
    <numFmt numFmtId="166" formatCode="0.0"/>
    <numFmt numFmtId="167" formatCode="0.000"/>
    <numFmt numFmtId="168" formatCode="0.0000"/>
  </numFmts>
  <fonts count="60" x14ac:knownFonts="1">
    <font>
      <sz val="11"/>
      <color theme="1"/>
      <name val="Calibri"/>
      <family val="2"/>
      <scheme val="minor"/>
    </font>
    <font>
      <sz val="11"/>
      <color theme="1"/>
      <name val="Calibri"/>
      <family val="2"/>
      <scheme val="minor"/>
    </font>
    <font>
      <sz val="10"/>
      <color theme="1"/>
      <name val="Arial"/>
      <family val="2"/>
    </font>
    <font>
      <b/>
      <sz val="11"/>
      <color theme="1"/>
      <name val="Calibri"/>
      <family val="2"/>
      <scheme val="minor"/>
    </font>
    <font>
      <b/>
      <sz val="10"/>
      <color theme="1"/>
      <name val="Arial"/>
      <family val="2"/>
    </font>
    <font>
      <sz val="8"/>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0"/>
      <color theme="0"/>
      <name val="Calibri"/>
      <family val="2"/>
      <scheme val="minor"/>
    </font>
    <font>
      <sz val="11"/>
      <color rgb="FF14171A"/>
      <name val="Segoe UI"/>
      <family val="2"/>
    </font>
    <font>
      <sz val="12"/>
      <color theme="1"/>
      <name val="Calibri"/>
      <family val="2"/>
      <scheme val="minor"/>
    </font>
    <font>
      <b/>
      <sz val="12"/>
      <color theme="0"/>
      <name val="Calibri"/>
      <family val="2"/>
      <scheme val="minor"/>
    </font>
    <font>
      <b/>
      <sz val="14"/>
      <color theme="0"/>
      <name val="Calibri"/>
      <family val="2"/>
      <scheme val="minor"/>
    </font>
    <font>
      <b/>
      <sz val="12"/>
      <color theme="1"/>
      <name val="Calibri"/>
      <family val="2"/>
      <scheme val="minor"/>
    </font>
    <font>
      <sz val="14"/>
      <color theme="1"/>
      <name val="Calibri"/>
      <family val="2"/>
      <scheme val="minor"/>
    </font>
    <font>
      <b/>
      <sz val="14"/>
      <color theme="1"/>
      <name val="Calibri"/>
      <family val="2"/>
      <scheme val="minor"/>
    </font>
    <font>
      <b/>
      <sz val="11"/>
      <color rgb="FFFF0000"/>
      <name val="Calibri"/>
      <family val="2"/>
      <scheme val="minor"/>
    </font>
    <font>
      <b/>
      <sz val="11"/>
      <name val="Calibri"/>
      <family val="2"/>
      <scheme val="minor"/>
    </font>
    <font>
      <sz val="11"/>
      <name val="Calibri"/>
      <family val="2"/>
      <scheme val="minor"/>
    </font>
    <font>
      <sz val="10"/>
      <color rgb="FF000000"/>
      <name val="Arial"/>
      <family val="2"/>
    </font>
    <font>
      <sz val="10"/>
      <color theme="1"/>
      <name val="Calibri"/>
      <family val="2"/>
      <scheme val="minor"/>
    </font>
    <font>
      <b/>
      <sz val="11"/>
      <color rgb="FF314C59"/>
      <name val="Arial"/>
      <family val="2"/>
    </font>
    <font>
      <sz val="8"/>
      <color rgb="FF333333"/>
      <name val="Arial"/>
      <family val="2"/>
    </font>
    <font>
      <sz val="8"/>
      <color rgb="FFE02F44"/>
      <name val="Arial"/>
      <family val="2"/>
    </font>
    <font>
      <sz val="8"/>
      <color rgb="FFF2CC0C"/>
      <name val="Arial"/>
      <family val="2"/>
    </font>
    <font>
      <sz val="8"/>
      <color rgb="FFFF780A"/>
      <name val="Arial"/>
      <family val="2"/>
    </font>
    <font>
      <b/>
      <sz val="12"/>
      <color rgb="FF314C59"/>
      <name val="Arial"/>
      <family val="2"/>
    </font>
    <font>
      <sz val="9"/>
      <color rgb="FF595959"/>
      <name val="Calibri"/>
      <family val="2"/>
      <scheme val="minor"/>
    </font>
    <font>
      <b/>
      <sz val="10"/>
      <color theme="1"/>
      <name val="Calibri"/>
      <family val="2"/>
      <scheme val="minor"/>
    </font>
    <font>
      <sz val="9"/>
      <color rgb="FFE02F44"/>
      <name val="Arial"/>
      <family val="2"/>
    </font>
    <font>
      <sz val="9"/>
      <color rgb="FFFF780A"/>
      <name val="Arial"/>
      <family val="2"/>
    </font>
    <font>
      <sz val="9"/>
      <color rgb="FFF2CC0C"/>
      <name val="Arial"/>
      <family val="2"/>
    </font>
    <font>
      <sz val="10"/>
      <color rgb="FFE02F44"/>
      <name val="Arial"/>
      <family val="2"/>
    </font>
    <font>
      <sz val="10"/>
      <color rgb="FFF2CC0C"/>
      <name val="Arial"/>
      <family val="2"/>
    </font>
    <font>
      <sz val="10"/>
      <color rgb="FFFF780A"/>
      <name val="Arial"/>
      <family val="2"/>
    </font>
    <font>
      <sz val="6"/>
      <color rgb="FFE02F44"/>
      <name val="Arial"/>
      <family val="2"/>
    </font>
    <font>
      <sz val="6"/>
      <color rgb="FFF2CC0C"/>
      <name val="Arial"/>
      <family val="2"/>
    </font>
    <font>
      <sz val="6"/>
      <color rgb="FFFF780A"/>
      <name val="Arial"/>
      <family val="2"/>
    </font>
    <font>
      <sz val="11"/>
      <color indexed="8"/>
      <name val="Calibri"/>
      <family val="2"/>
    </font>
    <font>
      <sz val="10"/>
      <name val="Arial"/>
      <family val="2"/>
    </font>
    <font>
      <b/>
      <sz val="11"/>
      <color indexed="8"/>
      <name val="Calibri"/>
      <family val="2"/>
    </font>
    <font>
      <sz val="6"/>
      <color rgb="FF0083B3"/>
      <name val="Arial"/>
      <family val="2"/>
    </font>
    <font>
      <sz val="9"/>
      <color theme="0"/>
      <name val="Calibri"/>
      <family val="2"/>
      <scheme val="minor"/>
    </font>
    <font>
      <b/>
      <sz val="10"/>
      <name val="Calibri"/>
      <family val="2"/>
      <scheme val="minor"/>
    </font>
    <font>
      <sz val="10"/>
      <name val="Calibri"/>
      <family val="2"/>
      <scheme val="minor"/>
    </font>
    <font>
      <sz val="8"/>
      <color theme="0"/>
      <name val="Calibri"/>
      <family val="2"/>
      <scheme val="minor"/>
    </font>
    <font>
      <b/>
      <sz val="8"/>
      <color theme="0"/>
      <name val="Calibri"/>
      <family val="2"/>
      <scheme val="minor"/>
    </font>
  </fonts>
  <fills count="51">
    <fill>
      <patternFill patternType="none"/>
    </fill>
    <fill>
      <patternFill patternType="gray125"/>
    </fill>
    <fill>
      <patternFill patternType="solid">
        <fgColor rgb="FFFFFF00"/>
        <bgColor indexed="64"/>
      </patternFill>
    </fill>
    <fill>
      <patternFill patternType="solid">
        <fgColor rgb="FFFFFFFF"/>
        <bgColor indexed="64"/>
      </patternFill>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theme="0" tint="-4.9989318521683403E-2"/>
        <bgColor indexed="64"/>
      </patternFill>
    </fill>
    <fill>
      <patternFill patternType="solid">
        <fgColor theme="7"/>
        <bgColor indexed="64"/>
      </patternFill>
    </fill>
    <fill>
      <patternFill patternType="solid">
        <fgColor theme="2"/>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3"/>
        <bgColor indexed="64"/>
      </patternFill>
    </fill>
    <fill>
      <patternFill patternType="solid">
        <fgColor theme="4"/>
        <bgColor indexed="64"/>
      </patternFill>
    </fill>
    <fill>
      <patternFill patternType="solid">
        <fgColor rgb="FFFFC000"/>
        <bgColor indexed="64"/>
      </patternFill>
    </fill>
    <fill>
      <patternFill patternType="solid">
        <fgColor theme="5"/>
        <bgColor indexed="64"/>
      </patternFill>
    </fill>
    <fill>
      <patternFill patternType="solid">
        <fgColor theme="1" tint="4.9989318521683403E-2"/>
        <bgColor indexed="64"/>
      </patternFill>
    </fill>
    <fill>
      <patternFill patternType="solid">
        <fgColor rgb="FF00B050"/>
        <bgColor indexed="64"/>
      </patternFill>
    </fill>
    <fill>
      <patternFill patternType="solid">
        <fgColor theme="9"/>
        <bgColor indexed="64"/>
      </patternFill>
    </fill>
  </fills>
  <borders count="11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theme="0"/>
      </left>
      <right style="thin">
        <color theme="0"/>
      </right>
      <top style="thin">
        <color theme="0"/>
      </top>
      <bottom style="thin">
        <color theme="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thin">
        <color indexed="64"/>
      </right>
      <top style="thin">
        <color indexed="64"/>
      </top>
      <bottom/>
      <diagonal/>
    </border>
    <border>
      <left style="medium">
        <color indexed="64"/>
      </left>
      <right style="thin">
        <color theme="0"/>
      </right>
      <top style="medium">
        <color indexed="64"/>
      </top>
      <bottom style="thin">
        <color theme="0"/>
      </bottom>
      <diagonal/>
    </border>
    <border>
      <left style="thin">
        <color theme="0"/>
      </left>
      <right style="thin">
        <color theme="0"/>
      </right>
      <top style="medium">
        <color indexed="64"/>
      </top>
      <bottom/>
      <diagonal/>
    </border>
    <border>
      <left style="thin">
        <color theme="0"/>
      </left>
      <right style="medium">
        <color indexed="64"/>
      </right>
      <top style="medium">
        <color indexed="64"/>
      </top>
      <bottom/>
      <diagonal/>
    </border>
    <border>
      <left style="medium">
        <color indexed="64"/>
      </left>
      <right/>
      <top/>
      <bottom style="thin">
        <color theme="0"/>
      </bottom>
      <diagonal/>
    </border>
    <border>
      <left style="medium">
        <color indexed="64"/>
      </left>
      <right/>
      <top style="thin">
        <color theme="0"/>
      </top>
      <bottom style="thin">
        <color theme="0"/>
      </bottom>
      <diagonal/>
    </border>
    <border>
      <left style="medium">
        <color indexed="64"/>
      </left>
      <right/>
      <top style="thin">
        <color theme="0"/>
      </top>
      <bottom style="medium">
        <color indexed="64"/>
      </bottom>
      <diagonal/>
    </border>
    <border>
      <left style="thin">
        <color indexed="64"/>
      </left>
      <right style="medium">
        <color indexed="64"/>
      </right>
      <top style="thin">
        <color indexed="64"/>
      </top>
      <bottom/>
      <diagonal/>
    </border>
    <border>
      <left style="thin">
        <color indexed="64"/>
      </left>
      <right style="thin">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theme="2" tint="-0.499984740745262"/>
      </left>
      <right style="thin">
        <color theme="2" tint="-0.499984740745262"/>
      </right>
      <top style="thin">
        <color theme="2" tint="-0.499984740745262"/>
      </top>
      <bottom style="thin">
        <color theme="2" tint="-0.499984740745262"/>
      </bottom>
      <diagonal/>
    </border>
    <border>
      <left style="medium">
        <color theme="2" tint="-0.499984740745262"/>
      </left>
      <right style="thin">
        <color indexed="64"/>
      </right>
      <top style="medium">
        <color theme="2" tint="-0.499984740745262"/>
      </top>
      <bottom style="thin">
        <color indexed="64"/>
      </bottom>
      <diagonal/>
    </border>
    <border>
      <left style="thin">
        <color indexed="64"/>
      </left>
      <right style="thin">
        <color indexed="64"/>
      </right>
      <top style="medium">
        <color theme="2" tint="-0.499984740745262"/>
      </top>
      <bottom style="thin">
        <color indexed="64"/>
      </bottom>
      <diagonal/>
    </border>
    <border>
      <left style="thin">
        <color indexed="64"/>
      </left>
      <right style="medium">
        <color theme="2" tint="-0.499984740745262"/>
      </right>
      <top style="medium">
        <color theme="2" tint="-0.499984740745262"/>
      </top>
      <bottom style="thin">
        <color indexed="64"/>
      </bottom>
      <diagonal/>
    </border>
    <border>
      <left style="medium">
        <color theme="2" tint="-0.499984740745262"/>
      </left>
      <right style="thin">
        <color indexed="64"/>
      </right>
      <top style="thin">
        <color indexed="64"/>
      </top>
      <bottom style="thin">
        <color indexed="64"/>
      </bottom>
      <diagonal/>
    </border>
    <border>
      <left style="thin">
        <color indexed="64"/>
      </left>
      <right style="medium">
        <color theme="2" tint="-0.499984740745262"/>
      </right>
      <top style="thin">
        <color indexed="64"/>
      </top>
      <bottom style="thin">
        <color indexed="64"/>
      </bottom>
      <diagonal/>
    </border>
    <border>
      <left style="medium">
        <color theme="2" tint="-0.499984740745262"/>
      </left>
      <right style="thin">
        <color indexed="64"/>
      </right>
      <top style="thin">
        <color indexed="64"/>
      </top>
      <bottom style="medium">
        <color theme="2" tint="-0.499984740745262"/>
      </bottom>
      <diagonal/>
    </border>
    <border>
      <left style="thin">
        <color indexed="64"/>
      </left>
      <right style="thin">
        <color indexed="64"/>
      </right>
      <top/>
      <bottom style="medium">
        <color theme="2" tint="-0.499984740745262"/>
      </bottom>
      <diagonal/>
    </border>
    <border>
      <left style="thin">
        <color indexed="64"/>
      </left>
      <right style="thin">
        <color indexed="64"/>
      </right>
      <top style="thin">
        <color indexed="64"/>
      </top>
      <bottom style="medium">
        <color theme="2" tint="-0.499984740745262"/>
      </bottom>
      <diagonal/>
    </border>
    <border>
      <left style="thin">
        <color indexed="64"/>
      </left>
      <right style="medium">
        <color theme="2" tint="-0.499984740745262"/>
      </right>
      <top style="thin">
        <color indexed="64"/>
      </top>
      <bottom style="medium">
        <color theme="2" tint="-0.499984740745262"/>
      </bottom>
      <diagonal/>
    </border>
    <border>
      <left/>
      <right style="medium">
        <color theme="2" tint="-0.499984740745262"/>
      </right>
      <top style="medium">
        <color theme="2" tint="-0.499984740745262"/>
      </top>
      <bottom/>
      <diagonal/>
    </border>
    <border>
      <left/>
      <right style="medium">
        <color theme="2" tint="-0.499984740745262"/>
      </right>
      <top/>
      <bottom/>
      <diagonal/>
    </border>
    <border>
      <left/>
      <right/>
      <top style="thin">
        <color indexed="64"/>
      </top>
      <bottom style="thin">
        <color indexed="64"/>
      </bottom>
      <diagonal/>
    </border>
    <border>
      <left style="thin">
        <color indexed="64"/>
      </left>
      <right/>
      <top style="thin">
        <color indexed="64"/>
      </top>
      <bottom/>
      <diagonal/>
    </border>
    <border>
      <left style="thin">
        <color theme="2" tint="-0.499984740745262"/>
      </left>
      <right/>
      <top style="thin">
        <color theme="2" tint="-0.499984740745262"/>
      </top>
      <bottom style="thin">
        <color theme="2" tint="-0.499984740745262"/>
      </bottom>
      <diagonal/>
    </border>
    <border>
      <left style="medium">
        <color theme="2" tint="-0.499984740745262"/>
      </left>
      <right style="thin">
        <color indexed="64"/>
      </right>
      <top style="thin">
        <color indexed="64"/>
      </top>
      <bottom/>
      <diagonal/>
    </border>
    <border>
      <left style="thin">
        <color theme="2" tint="-0.499984740745262"/>
      </left>
      <right style="thin">
        <color theme="2" tint="-0.499984740745262"/>
      </right>
      <top style="thin">
        <color theme="2" tint="-0.499984740745262"/>
      </top>
      <bottom/>
      <diagonal/>
    </border>
    <border>
      <left style="thin">
        <color theme="2" tint="-0.499984740745262"/>
      </left>
      <right/>
      <top style="thin">
        <color theme="2" tint="-0.499984740745262"/>
      </top>
      <bottom/>
      <diagonal/>
    </border>
    <border>
      <left style="thin">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theme="3"/>
      </left>
      <right style="thin">
        <color theme="3"/>
      </right>
      <top style="thin">
        <color theme="3"/>
      </top>
      <bottom style="thin">
        <color theme="3"/>
      </bottom>
      <diagonal/>
    </border>
    <border>
      <left style="thin">
        <color theme="3"/>
      </left>
      <right style="thin">
        <color theme="3"/>
      </right>
      <top style="thin">
        <color theme="3"/>
      </top>
      <bottom/>
      <diagonal/>
    </border>
    <border>
      <left/>
      <right style="thin">
        <color theme="3"/>
      </right>
      <top style="thin">
        <color theme="3"/>
      </top>
      <bottom/>
      <diagonal/>
    </border>
    <border>
      <left/>
      <right style="thin">
        <color indexed="64"/>
      </right>
      <top style="thin">
        <color indexed="64"/>
      </top>
      <bottom/>
      <diagonal/>
    </border>
    <border>
      <left style="thin">
        <color theme="1"/>
      </left>
      <right style="thin">
        <color theme="1"/>
      </right>
      <top style="thin">
        <color theme="1"/>
      </top>
      <bottom style="thin">
        <color theme="1"/>
      </bottom>
      <diagonal/>
    </border>
    <border>
      <left style="thin">
        <color theme="1"/>
      </left>
      <right style="thin">
        <color theme="1"/>
      </right>
      <top style="thin">
        <color theme="1"/>
      </top>
      <bottom/>
      <diagonal/>
    </border>
    <border>
      <left/>
      <right style="thin">
        <color indexed="64"/>
      </right>
      <top style="medium">
        <color indexed="64"/>
      </top>
      <bottom style="thin">
        <color indexed="64"/>
      </bottom>
      <diagonal/>
    </border>
    <border>
      <left/>
      <right style="thick">
        <color rgb="FFF7F8FA"/>
      </right>
      <top/>
      <bottom style="thick">
        <color rgb="FFF7F8FA"/>
      </bottom>
      <diagonal/>
    </border>
    <border>
      <left/>
      <right/>
      <top/>
      <bottom style="thick">
        <color rgb="FFF7F8FA"/>
      </bottom>
      <diagonal/>
    </border>
    <border>
      <left/>
      <right/>
      <top/>
      <bottom style="medium">
        <color indexed="64"/>
      </bottom>
      <diagonal/>
    </border>
    <border>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right style="thick">
        <color rgb="FFF7F8FA"/>
      </right>
      <top/>
      <bottom/>
      <diagonal/>
    </border>
    <border>
      <left style="medium">
        <color indexed="64"/>
      </left>
      <right/>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right/>
      <top style="medium">
        <color indexed="64"/>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theme="0"/>
      </right>
      <top style="medium">
        <color indexed="64"/>
      </top>
      <bottom style="thin">
        <color theme="0"/>
      </bottom>
      <diagonal/>
    </border>
    <border>
      <left style="thin">
        <color theme="0"/>
      </left>
      <right style="thin">
        <color theme="0"/>
      </right>
      <top style="medium">
        <color indexed="64"/>
      </top>
      <bottom style="thin">
        <color theme="0"/>
      </bottom>
      <diagonal/>
    </border>
    <border>
      <left style="thin">
        <color theme="0"/>
      </left>
      <right style="medium">
        <color indexed="64"/>
      </right>
      <top style="medium">
        <color indexed="64"/>
      </top>
      <bottom style="thin">
        <color theme="0"/>
      </bottom>
      <diagonal/>
    </border>
    <border>
      <left style="medium">
        <color indexed="64"/>
      </left>
      <right style="thin">
        <color theme="0"/>
      </right>
      <top style="thin">
        <color theme="0"/>
      </top>
      <bottom style="thin">
        <color theme="0"/>
      </bottom>
      <diagonal/>
    </border>
    <border>
      <left style="medium">
        <color indexed="64"/>
      </left>
      <right style="thin">
        <color theme="0"/>
      </right>
      <top style="thin">
        <color theme="0"/>
      </top>
      <bottom/>
      <diagonal/>
    </border>
    <border>
      <left style="medium">
        <color indexed="64"/>
      </left>
      <right style="thin">
        <color theme="0"/>
      </right>
      <top style="medium">
        <color theme="0"/>
      </top>
      <bottom style="medium">
        <color indexed="64"/>
      </bottom>
      <diagonal/>
    </border>
    <border>
      <left/>
      <right/>
      <top style="medium">
        <color theme="0"/>
      </top>
      <bottom style="medium">
        <color indexed="64"/>
      </bottom>
      <diagonal/>
    </border>
    <border>
      <left style="medium">
        <color theme="3"/>
      </left>
      <right style="thin">
        <color theme="3"/>
      </right>
      <top style="medium">
        <color theme="3"/>
      </top>
      <bottom style="thin">
        <color theme="3"/>
      </bottom>
      <diagonal/>
    </border>
    <border>
      <left style="thin">
        <color theme="3"/>
      </left>
      <right style="thin">
        <color theme="3"/>
      </right>
      <top style="medium">
        <color theme="3"/>
      </top>
      <bottom style="thin">
        <color theme="3"/>
      </bottom>
      <diagonal/>
    </border>
    <border>
      <left style="thin">
        <color theme="3"/>
      </left>
      <right style="medium">
        <color theme="3"/>
      </right>
      <top style="medium">
        <color theme="3"/>
      </top>
      <bottom style="thin">
        <color theme="3"/>
      </bottom>
      <diagonal/>
    </border>
    <border>
      <left style="medium">
        <color theme="3"/>
      </left>
      <right style="thin">
        <color theme="3"/>
      </right>
      <top style="thin">
        <color theme="3"/>
      </top>
      <bottom style="thin">
        <color theme="3"/>
      </bottom>
      <diagonal/>
    </border>
    <border>
      <left style="thin">
        <color theme="3"/>
      </left>
      <right style="medium">
        <color theme="3"/>
      </right>
      <top style="thin">
        <color theme="3"/>
      </top>
      <bottom style="thin">
        <color theme="3"/>
      </bottom>
      <diagonal/>
    </border>
    <border>
      <left style="medium">
        <color theme="3"/>
      </left>
      <right style="thin">
        <color theme="3"/>
      </right>
      <top style="thin">
        <color theme="3"/>
      </top>
      <bottom style="medium">
        <color theme="3"/>
      </bottom>
      <diagonal/>
    </border>
    <border>
      <left style="thin">
        <color theme="3"/>
      </left>
      <right style="thin">
        <color theme="3"/>
      </right>
      <top style="thin">
        <color theme="3"/>
      </top>
      <bottom style="medium">
        <color theme="3"/>
      </bottom>
      <diagonal/>
    </border>
    <border>
      <left style="thin">
        <color theme="3"/>
      </left>
      <right style="medium">
        <color theme="3"/>
      </right>
      <top style="thin">
        <color theme="3"/>
      </top>
      <bottom style="medium">
        <color theme="3"/>
      </bottom>
      <diagonal/>
    </border>
    <border>
      <left style="medium">
        <color theme="3"/>
      </left>
      <right style="thin">
        <color theme="3"/>
      </right>
      <top style="thin">
        <color theme="3"/>
      </top>
      <bottom/>
      <diagonal/>
    </border>
    <border>
      <left style="thin">
        <color theme="3"/>
      </left>
      <right style="medium">
        <color theme="3"/>
      </right>
      <top style="thin">
        <color theme="3"/>
      </top>
      <bottom/>
      <diagonal/>
    </border>
    <border>
      <left/>
      <right style="thin">
        <color theme="3"/>
      </right>
      <top style="thin">
        <color theme="3"/>
      </top>
      <bottom style="thin">
        <color theme="3"/>
      </bottom>
      <diagonal/>
    </border>
    <border>
      <left style="medium">
        <color indexed="64"/>
      </left>
      <right style="thin">
        <color theme="3"/>
      </right>
      <top style="medium">
        <color indexed="64"/>
      </top>
      <bottom style="thin">
        <color theme="3"/>
      </bottom>
      <diagonal/>
    </border>
    <border>
      <left/>
      <right style="thin">
        <color theme="3"/>
      </right>
      <top style="medium">
        <color indexed="64"/>
      </top>
      <bottom style="thin">
        <color theme="3"/>
      </bottom>
      <diagonal/>
    </border>
    <border>
      <left style="thin">
        <color theme="3"/>
      </left>
      <right style="thin">
        <color theme="3"/>
      </right>
      <top style="medium">
        <color indexed="64"/>
      </top>
      <bottom style="thin">
        <color theme="3"/>
      </bottom>
      <diagonal/>
    </border>
    <border>
      <left style="medium">
        <color indexed="64"/>
      </left>
      <right style="thin">
        <color theme="3"/>
      </right>
      <top style="thin">
        <color theme="3"/>
      </top>
      <bottom style="thin">
        <color theme="3"/>
      </bottom>
      <diagonal/>
    </border>
    <border>
      <left style="thin">
        <color theme="3"/>
      </left>
      <right/>
      <top style="thin">
        <color theme="3"/>
      </top>
      <bottom/>
      <diagonal/>
    </border>
    <border>
      <left style="thin">
        <color theme="3"/>
      </left>
      <right/>
      <top style="medium">
        <color indexed="64"/>
      </top>
      <bottom style="thin">
        <color theme="3"/>
      </bottom>
      <diagonal/>
    </border>
    <border>
      <left style="thin">
        <color theme="3"/>
      </left>
      <right/>
      <top style="thin">
        <color theme="3"/>
      </top>
      <bottom style="thin">
        <color theme="3"/>
      </bottom>
      <diagonal/>
    </border>
    <border>
      <left style="medium">
        <color indexed="64"/>
      </left>
      <right style="thin">
        <color theme="3"/>
      </right>
      <top style="thin">
        <color theme="3"/>
      </top>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thin">
        <color theme="0"/>
      </left>
      <right style="thin">
        <color theme="0"/>
      </right>
      <top/>
      <bottom style="thin">
        <color theme="0"/>
      </bottom>
      <diagonal/>
    </border>
    <border>
      <left style="thin">
        <color theme="0"/>
      </left>
      <right/>
      <top style="medium">
        <color indexed="64"/>
      </top>
      <bottom style="thin">
        <color indexed="64"/>
      </bottom>
      <diagonal/>
    </border>
    <border>
      <left/>
      <right style="thin">
        <color theme="0"/>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s>
  <cellStyleXfs count="47">
    <xf numFmtId="0" fontId="0" fillId="0" borderId="0"/>
    <xf numFmtId="9" fontId="1" fillId="0" borderId="0" applyFont="0" applyFill="0" applyBorder="0" applyAlignment="0" applyProtection="0"/>
    <xf numFmtId="0" fontId="6" fillId="0" borderId="0" applyNumberFormat="0" applyFill="0" applyBorder="0" applyAlignment="0" applyProtection="0"/>
    <xf numFmtId="0" fontId="7" fillId="0" borderId="16" applyNumberFormat="0" applyFill="0" applyAlignment="0" applyProtection="0"/>
    <xf numFmtId="0" fontId="8" fillId="0" borderId="17" applyNumberFormat="0" applyFill="0" applyAlignment="0" applyProtection="0"/>
    <xf numFmtId="0" fontId="9" fillId="0" borderId="18" applyNumberFormat="0" applyFill="0" applyAlignment="0" applyProtection="0"/>
    <xf numFmtId="0" fontId="9" fillId="0" borderId="0" applyNumberFormat="0" applyFill="0" applyBorder="0" applyAlignment="0" applyProtection="0"/>
    <xf numFmtId="0" fontId="10" fillId="7" borderId="0" applyNumberFormat="0" applyBorder="0" applyAlignment="0" applyProtection="0"/>
    <xf numFmtId="0" fontId="11" fillId="8" borderId="0" applyNumberFormat="0" applyBorder="0" applyAlignment="0" applyProtection="0"/>
    <xf numFmtId="0" fontId="12" fillId="9" borderId="0" applyNumberFormat="0" applyBorder="0" applyAlignment="0" applyProtection="0"/>
    <xf numFmtId="0" fontId="13" fillId="10" borderId="19" applyNumberFormat="0" applyAlignment="0" applyProtection="0"/>
    <xf numFmtId="0" fontId="14" fillId="11" borderId="20" applyNumberFormat="0" applyAlignment="0" applyProtection="0"/>
    <xf numFmtId="0" fontId="15" fillId="11" borderId="19" applyNumberFormat="0" applyAlignment="0" applyProtection="0"/>
    <xf numFmtId="0" fontId="16" fillId="0" borderId="21" applyNumberFormat="0" applyFill="0" applyAlignment="0" applyProtection="0"/>
    <xf numFmtId="0" fontId="17" fillId="12" borderId="22" applyNumberFormat="0" applyAlignment="0" applyProtection="0"/>
    <xf numFmtId="0" fontId="18" fillId="0" borderId="0" applyNumberFormat="0" applyFill="0" applyBorder="0" applyAlignment="0" applyProtection="0"/>
    <xf numFmtId="0" fontId="1" fillId="13" borderId="23" applyNumberFormat="0" applyFont="0" applyAlignment="0" applyProtection="0"/>
    <xf numFmtId="0" fontId="19" fillId="0" borderId="0" applyNumberFormat="0" applyFill="0" applyBorder="0" applyAlignment="0" applyProtection="0"/>
    <xf numFmtId="0" fontId="3" fillId="0" borderId="24" applyNumberFormat="0" applyFill="0" applyAlignment="0" applyProtection="0"/>
    <xf numFmtId="0" fontId="20"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20"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20"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20"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20"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20"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43" fontId="1" fillId="0" borderId="0" applyFont="0" applyFill="0" applyBorder="0" applyAlignment="0" applyProtection="0"/>
    <xf numFmtId="0" fontId="1" fillId="0" borderId="0"/>
    <xf numFmtId="0" fontId="51" fillId="0" borderId="0"/>
    <xf numFmtId="0" fontId="52" fillId="0" borderId="0"/>
  </cellStyleXfs>
  <cellXfs count="651">
    <xf numFmtId="0" fontId="0" fillId="0" borderId="0" xfId="0"/>
    <xf numFmtId="0" fontId="0" fillId="0" borderId="1" xfId="0" applyBorder="1" applyAlignment="1">
      <alignment horizontal="center" vertical="center"/>
    </xf>
    <xf numFmtId="14" fontId="0" fillId="0" borderId="1" xfId="0" applyNumberFormat="1" applyBorder="1" applyAlignment="1">
      <alignment horizontal="center" vertical="center"/>
    </xf>
    <xf numFmtId="0" fontId="2" fillId="0" borderId="1" xfId="0" applyFont="1" applyBorder="1" applyAlignment="1">
      <alignment horizontal="center" vertical="center" wrapText="1"/>
    </xf>
    <xf numFmtId="0" fontId="0" fillId="0" borderId="1" xfId="0" applyBorder="1" applyAlignment="1">
      <alignment horizontal="center"/>
    </xf>
    <xf numFmtId="0" fontId="0" fillId="0" borderId="1" xfId="0" applyBorder="1"/>
    <xf numFmtId="0" fontId="0" fillId="0" borderId="0" xfId="0" applyAlignment="1">
      <alignment horizontal="center"/>
    </xf>
    <xf numFmtId="1" fontId="0" fillId="0" borderId="1" xfId="0" applyNumberFormat="1" applyBorder="1" applyAlignment="1">
      <alignment horizontal="center"/>
    </xf>
    <xf numFmtId="0" fontId="2" fillId="0" borderId="1" xfId="0" applyFont="1" applyBorder="1" applyAlignment="1">
      <alignment horizontal="center" wrapText="1"/>
    </xf>
    <xf numFmtId="14" fontId="0" fillId="0" borderId="1" xfId="0" applyNumberFormat="1" applyBorder="1"/>
    <xf numFmtId="0" fontId="0" fillId="0" borderId="1" xfId="0" applyFill="1" applyBorder="1" applyAlignment="1">
      <alignment horizontal="center" vertical="center"/>
    </xf>
    <xf numFmtId="0" fontId="0" fillId="0" borderId="1" xfId="0" applyFill="1" applyBorder="1" applyAlignment="1">
      <alignment horizontal="center"/>
    </xf>
    <xf numFmtId="3" fontId="0" fillId="0" borderId="1" xfId="0" applyNumberFormat="1" applyBorder="1" applyAlignment="1">
      <alignment horizontal="center"/>
    </xf>
    <xf numFmtId="0" fontId="0" fillId="0" borderId="2" xfId="0" applyBorder="1" applyAlignment="1">
      <alignment horizontal="center"/>
    </xf>
    <xf numFmtId="1" fontId="0" fillId="0" borderId="1" xfId="0" applyNumberFormat="1" applyBorder="1" applyAlignment="1">
      <alignment horizontal="center" vertical="center"/>
    </xf>
    <xf numFmtId="0" fontId="0" fillId="0" borderId="2" xfId="0" applyBorder="1" applyAlignment="1">
      <alignment horizontal="center" vertical="center"/>
    </xf>
    <xf numFmtId="0" fontId="3" fillId="0" borderId="0" xfId="0" applyFont="1"/>
    <xf numFmtId="0" fontId="0" fillId="0" borderId="0" xfId="0" applyAlignment="1">
      <alignment horizontal="center" vertical="center"/>
    </xf>
    <xf numFmtId="14" fontId="0" fillId="0" borderId="1" xfId="0" applyNumberFormat="1" applyBorder="1" applyAlignment="1">
      <alignment horizontal="center"/>
    </xf>
    <xf numFmtId="0" fontId="0" fillId="0" borderId="1" xfId="0" applyBorder="1" applyAlignment="1">
      <alignment horizontal="left"/>
    </xf>
    <xf numFmtId="0" fontId="3" fillId="0" borderId="1" xfId="0" applyFont="1" applyBorder="1" applyAlignment="1">
      <alignment horizontal="center"/>
    </xf>
    <xf numFmtId="0" fontId="3" fillId="0" borderId="1" xfId="0" applyFont="1" applyFill="1" applyBorder="1" applyAlignment="1">
      <alignment horizontal="center" vertical="center"/>
    </xf>
    <xf numFmtId="0" fontId="3" fillId="0" borderId="1" xfId="0" applyFont="1" applyFill="1" applyBorder="1" applyAlignment="1">
      <alignment horizontal="center"/>
    </xf>
    <xf numFmtId="1" fontId="0" fillId="0" borderId="0" xfId="0" applyNumberFormat="1" applyAlignment="1">
      <alignment horizontal="center"/>
    </xf>
    <xf numFmtId="1" fontId="2" fillId="0" borderId="1" xfId="0" applyNumberFormat="1" applyFont="1" applyBorder="1" applyAlignment="1">
      <alignment horizontal="center" wrapText="1"/>
    </xf>
    <xf numFmtId="0" fontId="0" fillId="2" borderId="1" xfId="0" applyFill="1" applyBorder="1" applyAlignment="1">
      <alignment horizontal="left"/>
    </xf>
    <xf numFmtId="0" fontId="0" fillId="0" borderId="4" xfId="0" applyBorder="1" applyAlignment="1">
      <alignment horizontal="center"/>
    </xf>
    <xf numFmtId="0" fontId="0" fillId="0" borderId="5" xfId="0" applyBorder="1" applyAlignment="1">
      <alignment horizontal="center"/>
    </xf>
    <xf numFmtId="164" fontId="0" fillId="0" borderId="1" xfId="1" applyNumberFormat="1" applyFont="1" applyBorder="1" applyAlignment="1">
      <alignment horizontal="center"/>
    </xf>
    <xf numFmtId="14" fontId="0" fillId="0" borderId="4" xfId="0" applyNumberFormat="1" applyBorder="1" applyAlignment="1">
      <alignment horizontal="center" vertical="center"/>
    </xf>
    <xf numFmtId="1" fontId="0" fillId="0" borderId="5" xfId="0" applyNumberFormat="1" applyBorder="1" applyAlignment="1">
      <alignment horizontal="center"/>
    </xf>
    <xf numFmtId="1" fontId="2" fillId="0" borderId="1" xfId="0" applyNumberFormat="1" applyFont="1" applyBorder="1" applyAlignment="1">
      <alignment horizontal="center" vertical="center"/>
    </xf>
    <xf numFmtId="0" fontId="0" fillId="0" borderId="15" xfId="0" applyBorder="1" applyAlignment="1">
      <alignment horizontal="center"/>
    </xf>
    <xf numFmtId="0" fontId="21" fillId="5" borderId="1" xfId="0" applyFont="1" applyFill="1" applyBorder="1" applyAlignment="1">
      <alignment horizontal="center"/>
    </xf>
    <xf numFmtId="14" fontId="0" fillId="0" borderId="5" xfId="0" applyNumberFormat="1" applyBorder="1" applyAlignment="1">
      <alignment horizontal="center" vertical="center"/>
    </xf>
    <xf numFmtId="164" fontId="0" fillId="0" borderId="1" xfId="1" applyNumberFormat="1" applyFont="1" applyBorder="1" applyAlignment="1">
      <alignment horizontal="center" vertical="center"/>
    </xf>
    <xf numFmtId="14" fontId="0" fillId="2" borderId="1" xfId="0" applyNumberFormat="1" applyFill="1" applyBorder="1" applyAlignment="1">
      <alignment horizontal="center" vertical="center"/>
    </xf>
    <xf numFmtId="14" fontId="0" fillId="0" borderId="0" xfId="0" applyNumberFormat="1" applyAlignment="1">
      <alignment horizontal="center"/>
    </xf>
    <xf numFmtId="14" fontId="0" fillId="0" borderId="1" xfId="0" applyNumberFormat="1" applyFill="1" applyBorder="1" applyAlignment="1">
      <alignment horizontal="center" vertical="center"/>
    </xf>
    <xf numFmtId="0" fontId="3" fillId="0" borderId="1" xfId="0" applyFont="1" applyBorder="1" applyAlignment="1">
      <alignment horizontal="center" vertical="center"/>
    </xf>
    <xf numFmtId="14" fontId="0" fillId="0" borderId="5" xfId="0" applyNumberFormat="1" applyFill="1" applyBorder="1" applyAlignment="1">
      <alignment horizontal="center" vertical="center"/>
    </xf>
    <xf numFmtId="0" fontId="0" fillId="0" borderId="0" xfId="0"/>
    <xf numFmtId="0" fontId="0" fillId="0" borderId="0" xfId="0" applyAlignment="1">
      <alignment horizontal="center"/>
    </xf>
    <xf numFmtId="0" fontId="0" fillId="0" borderId="8" xfId="0" applyBorder="1" applyAlignment="1">
      <alignment horizontal="center" vertical="center"/>
    </xf>
    <xf numFmtId="0" fontId="0" fillId="0" borderId="13" xfId="0" applyBorder="1" applyAlignment="1">
      <alignment horizontal="center" vertical="center"/>
    </xf>
    <xf numFmtId="0" fontId="23" fillId="0" borderId="0" xfId="0" applyFont="1"/>
    <xf numFmtId="0" fontId="23" fillId="0" borderId="0" xfId="0" applyFont="1" applyAlignment="1">
      <alignment horizontal="center" vertical="center"/>
    </xf>
    <xf numFmtId="0" fontId="23" fillId="0" borderId="1" xfId="0" applyFont="1" applyBorder="1" applyAlignment="1">
      <alignment horizontal="center" vertical="center"/>
    </xf>
    <xf numFmtId="9" fontId="26" fillId="0" borderId="1" xfId="1" applyFont="1" applyBorder="1" applyAlignment="1">
      <alignment horizontal="center" vertical="center"/>
    </xf>
    <xf numFmtId="16" fontId="24" fillId="5" borderId="26" xfId="0" applyNumberFormat="1" applyFont="1" applyFill="1" applyBorder="1" applyAlignment="1">
      <alignment horizontal="center" vertical="center"/>
    </xf>
    <xf numFmtId="14" fontId="24" fillId="5" borderId="27" xfId="0" applyNumberFormat="1" applyFont="1" applyFill="1" applyBorder="1" applyAlignment="1">
      <alignment horizontal="center" vertical="center" wrapText="1"/>
    </xf>
    <xf numFmtId="0" fontId="17" fillId="5" borderId="27" xfId="0" applyFont="1" applyFill="1" applyBorder="1" applyAlignment="1">
      <alignment horizontal="center" vertical="center" wrapText="1"/>
    </xf>
    <xf numFmtId="0" fontId="24" fillId="5" borderId="27" xfId="0" applyFont="1" applyFill="1" applyBorder="1" applyAlignment="1">
      <alignment horizontal="center" vertical="center" wrapText="1"/>
    </xf>
    <xf numFmtId="0" fontId="17" fillId="5" borderId="28" xfId="0" applyFont="1" applyFill="1" applyBorder="1" applyAlignment="1">
      <alignment horizontal="center" vertical="center" wrapText="1"/>
    </xf>
    <xf numFmtId="0" fontId="25" fillId="5" borderId="29" xfId="0" applyFont="1" applyFill="1" applyBorder="1" applyAlignment="1">
      <alignment horizontal="left" vertical="center"/>
    </xf>
    <xf numFmtId="9" fontId="26" fillId="0" borderId="11" xfId="1" applyFont="1" applyBorder="1" applyAlignment="1">
      <alignment horizontal="center" vertical="center"/>
    </xf>
    <xf numFmtId="0" fontId="25" fillId="5" borderId="30" xfId="0" applyFont="1" applyFill="1" applyBorder="1" applyAlignment="1">
      <alignment horizontal="left" vertical="center"/>
    </xf>
    <xf numFmtId="0" fontId="25" fillId="5" borderId="31" xfId="0" applyFont="1" applyFill="1" applyBorder="1" applyAlignment="1">
      <alignment horizontal="left" vertical="center"/>
    </xf>
    <xf numFmtId="9" fontId="26" fillId="0" borderId="13" xfId="1" applyFont="1" applyBorder="1" applyAlignment="1">
      <alignment horizontal="center" vertical="center"/>
    </xf>
    <xf numFmtId="9" fontId="26" fillId="0" borderId="14" xfId="1" applyFont="1" applyBorder="1" applyAlignment="1">
      <alignment horizontal="center" vertical="center"/>
    </xf>
    <xf numFmtId="0" fontId="23" fillId="0" borderId="13" xfId="0" applyFont="1" applyBorder="1" applyAlignment="1">
      <alignment horizontal="center" vertical="center"/>
    </xf>
    <xf numFmtId="0" fontId="23" fillId="4" borderId="0" xfId="0" applyFont="1" applyFill="1"/>
    <xf numFmtId="0" fontId="23" fillId="4" borderId="0" xfId="0" applyFont="1" applyFill="1" applyAlignment="1">
      <alignment horizontal="center" vertical="center"/>
    </xf>
    <xf numFmtId="0" fontId="27" fillId="0" borderId="1" xfId="0" applyFont="1" applyBorder="1" applyAlignment="1">
      <alignment horizontal="center" vertical="center"/>
    </xf>
    <xf numFmtId="9" fontId="28" fillId="0" borderId="11" xfId="1" applyFont="1" applyBorder="1" applyAlignment="1">
      <alignment horizontal="center" vertical="center"/>
    </xf>
    <xf numFmtId="0" fontId="27" fillId="0" borderId="13" xfId="0" applyFont="1" applyBorder="1" applyAlignment="1">
      <alignment horizontal="center" vertical="center"/>
    </xf>
    <xf numFmtId="9" fontId="28" fillId="0" borderId="14" xfId="1" applyFont="1" applyBorder="1" applyAlignment="1">
      <alignment horizontal="center" vertical="center"/>
    </xf>
    <xf numFmtId="0" fontId="3" fillId="0" borderId="5" xfId="0" applyFont="1" applyBorder="1" applyAlignment="1">
      <alignment horizontal="center" vertical="center"/>
    </xf>
    <xf numFmtId="9" fontId="0" fillId="0" borderId="0" xfId="1" applyFont="1" applyAlignment="1">
      <alignment horizontal="center"/>
    </xf>
    <xf numFmtId="0" fontId="0" fillId="0" borderId="1" xfId="0" applyFont="1" applyBorder="1" applyAlignment="1">
      <alignment horizontal="center"/>
    </xf>
    <xf numFmtId="1" fontId="0" fillId="0" borderId="4" xfId="0" applyNumberFormat="1" applyBorder="1" applyAlignment="1">
      <alignment horizontal="center"/>
    </xf>
    <xf numFmtId="164" fontId="0" fillId="0" borderId="5" xfId="1" applyNumberFormat="1" applyFont="1" applyBorder="1" applyAlignment="1">
      <alignment horizontal="center" vertical="center"/>
    </xf>
    <xf numFmtId="164" fontId="0" fillId="0" borderId="5" xfId="1" applyNumberFormat="1" applyFont="1" applyBorder="1" applyAlignment="1">
      <alignment horizontal="center"/>
    </xf>
    <xf numFmtId="0" fontId="32" fillId="0" borderId="34" xfId="0" applyFont="1" applyBorder="1" applyAlignment="1">
      <alignment horizontal="center" vertical="center" wrapText="1"/>
    </xf>
    <xf numFmtId="14" fontId="33" fillId="0" borderId="1" xfId="0" applyNumberFormat="1" applyFont="1" applyFill="1" applyBorder="1" applyAlignment="1">
      <alignment horizontal="center" vertical="center"/>
    </xf>
    <xf numFmtId="14" fontId="33" fillId="0" borderId="5" xfId="0" applyNumberFormat="1" applyFont="1" applyFill="1" applyBorder="1" applyAlignment="1">
      <alignment horizontal="center" vertical="center"/>
    </xf>
    <xf numFmtId="14" fontId="33" fillId="0" borderId="35" xfId="0" applyNumberFormat="1" applyFont="1" applyFill="1" applyBorder="1" applyAlignment="1">
      <alignment horizontal="center" vertical="center"/>
    </xf>
    <xf numFmtId="0" fontId="0" fillId="0" borderId="35" xfId="0" applyBorder="1" applyAlignment="1">
      <alignment horizontal="center"/>
    </xf>
    <xf numFmtId="1" fontId="0" fillId="0" borderId="35" xfId="0" applyNumberFormat="1" applyBorder="1" applyAlignment="1">
      <alignment horizontal="center"/>
    </xf>
    <xf numFmtId="0" fontId="0" fillId="0" borderId="47" xfId="0" applyBorder="1" applyAlignment="1">
      <alignment horizontal="center"/>
    </xf>
    <xf numFmtId="0" fontId="0" fillId="0" borderId="48" xfId="0" applyBorder="1" applyAlignment="1">
      <alignment horizontal="center"/>
    </xf>
    <xf numFmtId="0" fontId="0" fillId="0" borderId="49" xfId="0" applyBorder="1" applyAlignment="1">
      <alignment horizontal="center"/>
    </xf>
    <xf numFmtId="164" fontId="0" fillId="0" borderId="35" xfId="1" applyNumberFormat="1" applyFont="1" applyBorder="1" applyAlignment="1">
      <alignment horizontal="center" vertical="center"/>
    </xf>
    <xf numFmtId="164" fontId="0" fillId="0" borderId="35" xfId="1" applyNumberFormat="1" applyFont="1" applyBorder="1" applyAlignment="1">
      <alignment horizontal="center"/>
    </xf>
    <xf numFmtId="0" fontId="0" fillId="41" borderId="35" xfId="0" applyFill="1" applyBorder="1" applyAlignment="1">
      <alignment horizontal="center"/>
    </xf>
    <xf numFmtId="0" fontId="2" fillId="0" borderId="35" xfId="0" applyFont="1" applyBorder="1" applyAlignment="1">
      <alignment horizontal="center" wrapText="1"/>
    </xf>
    <xf numFmtId="14" fontId="33" fillId="0" borderId="51" xfId="0" applyNumberFormat="1" applyFont="1" applyFill="1" applyBorder="1" applyAlignment="1">
      <alignment horizontal="center" vertical="center"/>
    </xf>
    <xf numFmtId="0" fontId="0" fillId="0" borderId="51" xfId="0" applyBorder="1" applyAlignment="1">
      <alignment horizontal="center"/>
    </xf>
    <xf numFmtId="1" fontId="0" fillId="0" borderId="51" xfId="0" applyNumberFormat="1" applyBorder="1" applyAlignment="1">
      <alignment horizontal="center"/>
    </xf>
    <xf numFmtId="0" fontId="2" fillId="0" borderId="51" xfId="0" applyFont="1" applyBorder="1" applyAlignment="1">
      <alignment horizontal="center" wrapText="1"/>
    </xf>
    <xf numFmtId="164" fontId="0" fillId="0" borderId="51" xfId="1" applyNumberFormat="1" applyFont="1" applyBorder="1" applyAlignment="1">
      <alignment horizontal="center" vertical="center"/>
    </xf>
    <xf numFmtId="3" fontId="3" fillId="0" borderId="1" xfId="0" applyNumberFormat="1" applyFont="1" applyBorder="1" applyAlignment="1">
      <alignment horizontal="center"/>
    </xf>
    <xf numFmtId="3" fontId="0" fillId="0" borderId="5" xfId="0" applyNumberFormat="1" applyBorder="1" applyAlignment="1">
      <alignment horizontal="center"/>
    </xf>
    <xf numFmtId="0" fontId="0" fillId="0" borderId="52" xfId="0" applyBorder="1" applyAlignment="1">
      <alignment horizontal="center"/>
    </xf>
    <xf numFmtId="0" fontId="2" fillId="0" borderId="35" xfId="0" applyFont="1" applyBorder="1" applyAlignment="1">
      <alignment horizontal="center"/>
    </xf>
    <xf numFmtId="3" fontId="0" fillId="0" borderId="1" xfId="43" applyNumberFormat="1" applyFont="1" applyBorder="1" applyAlignment="1">
      <alignment horizontal="center" vertical="center"/>
    </xf>
    <xf numFmtId="3" fontId="3" fillId="0" borderId="1" xfId="43" applyNumberFormat="1" applyFont="1" applyBorder="1" applyAlignment="1">
      <alignment horizontal="center" vertical="center"/>
    </xf>
    <xf numFmtId="3" fontId="2" fillId="0" borderId="1" xfId="43" applyNumberFormat="1" applyFont="1" applyBorder="1" applyAlignment="1">
      <alignment horizontal="center" vertical="center" wrapText="1"/>
    </xf>
    <xf numFmtId="3" fontId="2" fillId="0" borderId="2" xfId="43" applyNumberFormat="1" applyFont="1" applyBorder="1" applyAlignment="1">
      <alignment horizontal="center" vertical="center" wrapText="1"/>
    </xf>
    <xf numFmtId="0" fontId="2" fillId="0" borderId="1" xfId="0" applyFont="1" applyBorder="1" applyAlignment="1">
      <alignment horizontal="center"/>
    </xf>
    <xf numFmtId="3" fontId="0" fillId="0" borderId="5" xfId="43" applyNumberFormat="1" applyFont="1" applyBorder="1" applyAlignment="1">
      <alignment horizontal="center" vertical="center"/>
    </xf>
    <xf numFmtId="3" fontId="0" fillId="0" borderId="0" xfId="0" applyNumberFormat="1" applyAlignment="1">
      <alignment horizontal="center"/>
    </xf>
    <xf numFmtId="1" fontId="0" fillId="0" borderId="1" xfId="0" applyNumberFormat="1" applyFont="1" applyBorder="1" applyAlignment="1">
      <alignment horizontal="center"/>
    </xf>
    <xf numFmtId="3" fontId="1" fillId="0" borderId="1" xfId="43" applyNumberFormat="1" applyFont="1" applyBorder="1" applyAlignment="1">
      <alignment horizontal="center" vertical="center"/>
    </xf>
    <xf numFmtId="0" fontId="0" fillId="0" borderId="1" xfId="0" applyFont="1" applyBorder="1" applyAlignment="1">
      <alignment horizontal="center" vertical="center"/>
    </xf>
    <xf numFmtId="14" fontId="33" fillId="42" borderId="1" xfId="0" applyNumberFormat="1" applyFont="1" applyFill="1" applyBorder="1" applyAlignment="1">
      <alignment horizontal="center" vertical="center"/>
    </xf>
    <xf numFmtId="14" fontId="33" fillId="43" borderId="1" xfId="0" applyNumberFormat="1" applyFont="1" applyFill="1" applyBorder="1" applyAlignment="1">
      <alignment horizontal="center" vertical="center"/>
    </xf>
    <xf numFmtId="14" fontId="33" fillId="4" borderId="1" xfId="0" applyNumberFormat="1" applyFont="1" applyFill="1" applyBorder="1" applyAlignment="1">
      <alignment horizontal="center" vertical="center"/>
    </xf>
    <xf numFmtId="0" fontId="0" fillId="0" borderId="2" xfId="0" applyFont="1" applyBorder="1" applyAlignment="1">
      <alignment horizontal="center" vertical="center"/>
    </xf>
    <xf numFmtId="14" fontId="33" fillId="4" borderId="5" xfId="0" applyNumberFormat="1" applyFont="1" applyFill="1" applyBorder="1" applyAlignment="1">
      <alignment horizontal="center" vertical="center"/>
    </xf>
    <xf numFmtId="3" fontId="1" fillId="0" borderId="5" xfId="43" applyNumberFormat="1" applyFont="1" applyBorder="1" applyAlignment="1">
      <alignment horizontal="center" vertical="center"/>
    </xf>
    <xf numFmtId="0" fontId="0" fillId="0" borderId="56" xfId="0" applyBorder="1" applyAlignment="1">
      <alignment horizontal="center"/>
    </xf>
    <xf numFmtId="1" fontId="0" fillId="0" borderId="56" xfId="0" applyNumberFormat="1" applyBorder="1" applyAlignment="1">
      <alignment horizontal="center"/>
    </xf>
    <xf numFmtId="3" fontId="1" fillId="0" borderId="56" xfId="43" applyNumberFormat="1" applyFont="1" applyBorder="1" applyAlignment="1">
      <alignment horizontal="center" vertical="center"/>
    </xf>
    <xf numFmtId="14" fontId="33" fillId="42" borderId="57" xfId="0" applyNumberFormat="1" applyFont="1" applyFill="1" applyBorder="1" applyAlignment="1">
      <alignment horizontal="center" vertical="center"/>
    </xf>
    <xf numFmtId="0" fontId="0" fillId="0" borderId="57" xfId="0" applyBorder="1" applyAlignment="1">
      <alignment horizontal="center"/>
    </xf>
    <xf numFmtId="14" fontId="33" fillId="42" borderId="5" xfId="0" applyNumberFormat="1" applyFont="1" applyFill="1" applyBorder="1" applyAlignment="1">
      <alignment horizontal="center" vertical="center"/>
    </xf>
    <xf numFmtId="1" fontId="0" fillId="0" borderId="58" xfId="0" applyNumberFormat="1" applyBorder="1" applyAlignment="1">
      <alignment horizontal="center"/>
    </xf>
    <xf numFmtId="1" fontId="0" fillId="0" borderId="57" xfId="0" applyNumberFormat="1" applyBorder="1" applyAlignment="1">
      <alignment horizontal="center"/>
    </xf>
    <xf numFmtId="3" fontId="1" fillId="0" borderId="57" xfId="43" applyNumberFormat="1" applyFont="1" applyBorder="1" applyAlignment="1">
      <alignment horizontal="center" vertical="center"/>
    </xf>
    <xf numFmtId="0" fontId="0" fillId="0" borderId="59" xfId="0" applyFont="1" applyBorder="1" applyAlignment="1">
      <alignment horizontal="center" vertical="center"/>
    </xf>
    <xf numFmtId="3" fontId="3" fillId="0" borderId="5" xfId="0" applyNumberFormat="1" applyFont="1" applyBorder="1" applyAlignment="1">
      <alignment horizontal="center"/>
    </xf>
    <xf numFmtId="14" fontId="33" fillId="4" borderId="60" xfId="0" applyNumberFormat="1" applyFont="1" applyFill="1" applyBorder="1" applyAlignment="1">
      <alignment horizontal="center" vertical="center"/>
    </xf>
    <xf numFmtId="14" fontId="33" fillId="4" borderId="61" xfId="0" applyNumberFormat="1" applyFont="1" applyFill="1" applyBorder="1" applyAlignment="1">
      <alignment horizontal="center" vertical="center"/>
    </xf>
    <xf numFmtId="165" fontId="0" fillId="0" borderId="1" xfId="43" applyNumberFormat="1" applyFont="1" applyBorder="1" applyAlignment="1">
      <alignment horizontal="center" vertical="center"/>
    </xf>
    <xf numFmtId="165" fontId="0" fillId="40" borderId="1" xfId="43" applyNumberFormat="1" applyFont="1" applyFill="1" applyBorder="1" applyAlignment="1">
      <alignment horizontal="center" vertical="center"/>
    </xf>
    <xf numFmtId="165" fontId="0" fillId="0" borderId="1" xfId="43" applyNumberFormat="1" applyFont="1" applyBorder="1" applyAlignment="1">
      <alignment horizontal="center"/>
    </xf>
    <xf numFmtId="165" fontId="0" fillId="0" borderId="1" xfId="43" applyNumberFormat="1" applyFont="1" applyFill="1" applyBorder="1" applyAlignment="1">
      <alignment horizontal="center" vertical="center"/>
    </xf>
    <xf numFmtId="165" fontId="0" fillId="2" borderId="1" xfId="43" applyNumberFormat="1" applyFont="1" applyFill="1" applyBorder="1" applyAlignment="1">
      <alignment horizontal="center" vertical="center"/>
    </xf>
    <xf numFmtId="165" fontId="0" fillId="0" borderId="1" xfId="43" applyNumberFormat="1" applyFont="1" applyFill="1" applyBorder="1" applyAlignment="1">
      <alignment horizontal="center"/>
    </xf>
    <xf numFmtId="165" fontId="0" fillId="0" borderId="4" xfId="43" applyNumberFormat="1" applyFont="1" applyBorder="1" applyAlignment="1">
      <alignment horizontal="center"/>
    </xf>
    <xf numFmtId="165" fontId="0" fillId="38" borderId="1" xfId="43" applyNumberFormat="1" applyFont="1" applyFill="1" applyBorder="1" applyAlignment="1">
      <alignment horizontal="center"/>
    </xf>
    <xf numFmtId="165" fontId="0" fillId="39" borderId="5" xfId="43" applyNumberFormat="1" applyFont="1" applyFill="1" applyBorder="1" applyAlignment="1">
      <alignment horizontal="center"/>
    </xf>
    <xf numFmtId="165" fontId="0" fillId="0" borderId="5" xfId="43" applyNumberFormat="1" applyFont="1" applyBorder="1" applyAlignment="1">
      <alignment horizontal="center"/>
    </xf>
    <xf numFmtId="165" fontId="0" fillId="39" borderId="1" xfId="43" applyNumberFormat="1" applyFont="1" applyFill="1" applyBorder="1" applyAlignment="1">
      <alignment horizontal="center"/>
    </xf>
    <xf numFmtId="165" fontId="30" fillId="0" borderId="1" xfId="43" applyNumberFormat="1" applyFont="1" applyBorder="1" applyAlignment="1">
      <alignment horizontal="center"/>
    </xf>
    <xf numFmtId="165" fontId="31" fillId="0" borderId="1" xfId="43" applyNumberFormat="1" applyFont="1" applyBorder="1" applyAlignment="1">
      <alignment horizontal="center"/>
    </xf>
    <xf numFmtId="165" fontId="0" fillId="0" borderId="35" xfId="43" applyNumberFormat="1" applyFont="1" applyBorder="1" applyAlignment="1">
      <alignment horizontal="center"/>
    </xf>
    <xf numFmtId="165" fontId="0" fillId="0" borderId="51" xfId="43" applyNumberFormat="1" applyFont="1" applyBorder="1" applyAlignment="1">
      <alignment horizontal="center"/>
    </xf>
    <xf numFmtId="165" fontId="29" fillId="0" borderId="1" xfId="43" applyNumberFormat="1" applyFont="1" applyBorder="1" applyAlignment="1">
      <alignment horizontal="center"/>
    </xf>
    <xf numFmtId="165" fontId="0" fillId="0" borderId="57" xfId="43" applyNumberFormat="1" applyFont="1" applyBorder="1" applyAlignment="1">
      <alignment horizontal="center"/>
    </xf>
    <xf numFmtId="165" fontId="0" fillId="0" borderId="60" xfId="43" applyNumberFormat="1" applyFont="1" applyBorder="1" applyAlignment="1">
      <alignment horizontal="center"/>
    </xf>
    <xf numFmtId="165" fontId="0" fillId="0" borderId="61" xfId="43" applyNumberFormat="1" applyFont="1" applyBorder="1" applyAlignment="1">
      <alignment horizontal="center"/>
    </xf>
    <xf numFmtId="165" fontId="0" fillId="0" borderId="0" xfId="43" applyNumberFormat="1" applyFont="1" applyAlignment="1">
      <alignment horizontal="center"/>
    </xf>
    <xf numFmtId="165" fontId="0" fillId="4" borderId="1" xfId="43" applyNumberFormat="1" applyFont="1" applyFill="1" applyBorder="1" applyAlignment="1">
      <alignment horizontal="center"/>
    </xf>
    <xf numFmtId="165" fontId="0" fillId="6" borderId="1" xfId="43" applyNumberFormat="1" applyFont="1" applyFill="1" applyBorder="1" applyAlignment="1">
      <alignment horizontal="center"/>
    </xf>
    <xf numFmtId="165" fontId="22" fillId="0" borderId="1" xfId="43" applyNumberFormat="1" applyFont="1" applyBorder="1" applyAlignment="1">
      <alignment horizontal="center" vertical="center"/>
    </xf>
    <xf numFmtId="165" fontId="29" fillId="0" borderId="5" xfId="43" applyNumberFormat="1" applyFont="1" applyBorder="1" applyAlignment="1">
      <alignment horizontal="center"/>
    </xf>
    <xf numFmtId="165" fontId="0" fillId="2" borderId="1" xfId="43" applyNumberFormat="1" applyFont="1" applyFill="1" applyBorder="1" applyAlignment="1">
      <alignment horizontal="center"/>
    </xf>
    <xf numFmtId="165" fontId="3" fillId="0" borderId="1" xfId="43" applyNumberFormat="1" applyFont="1" applyBorder="1" applyAlignment="1">
      <alignment horizontal="center" vertical="center"/>
    </xf>
    <xf numFmtId="165" fontId="4" fillId="0" borderId="1" xfId="43" applyNumberFormat="1" applyFont="1" applyBorder="1" applyAlignment="1">
      <alignment horizontal="center" wrapText="1"/>
    </xf>
    <xf numFmtId="165" fontId="2" fillId="0" borderId="1" xfId="43" applyNumberFormat="1" applyFont="1" applyBorder="1" applyAlignment="1">
      <alignment horizontal="center" wrapText="1"/>
    </xf>
    <xf numFmtId="165" fontId="2" fillId="2" borderId="1" xfId="43" applyNumberFormat="1" applyFont="1" applyFill="1" applyBorder="1" applyAlignment="1">
      <alignment horizontal="center" wrapText="1"/>
    </xf>
    <xf numFmtId="165" fontId="2" fillId="0" borderId="1" xfId="43" applyNumberFormat="1" applyFont="1" applyFill="1" applyBorder="1" applyAlignment="1">
      <alignment horizontal="center" wrapText="1"/>
    </xf>
    <xf numFmtId="165" fontId="3" fillId="0" borderId="51" xfId="43" applyNumberFormat="1" applyFont="1" applyBorder="1" applyAlignment="1">
      <alignment horizontal="center"/>
    </xf>
    <xf numFmtId="165" fontId="3" fillId="0" borderId="1" xfId="43" applyNumberFormat="1" applyFont="1" applyBorder="1" applyAlignment="1">
      <alignment horizontal="center"/>
    </xf>
    <xf numFmtId="165" fontId="3" fillId="0" borderId="5" xfId="43" applyNumberFormat="1" applyFont="1" applyBorder="1" applyAlignment="1">
      <alignment horizontal="center"/>
    </xf>
    <xf numFmtId="165" fontId="3" fillId="0" borderId="60" xfId="43" applyNumberFormat="1" applyFont="1" applyBorder="1" applyAlignment="1">
      <alignment horizontal="center"/>
    </xf>
    <xf numFmtId="165" fontId="3" fillId="0" borderId="61" xfId="43" applyNumberFormat="1" applyFont="1" applyBorder="1" applyAlignment="1">
      <alignment horizontal="center"/>
    </xf>
    <xf numFmtId="165" fontId="3" fillId="0" borderId="0" xfId="43" applyNumberFormat="1" applyFont="1" applyAlignment="1">
      <alignment horizontal="center"/>
    </xf>
    <xf numFmtId="14" fontId="20" fillId="5" borderId="1" xfId="0" applyNumberFormat="1" applyFont="1" applyFill="1" applyBorder="1" applyAlignment="1">
      <alignment horizontal="center" vertical="center" wrapText="1"/>
    </xf>
    <xf numFmtId="165" fontId="20" fillId="5" borderId="1" xfId="43" applyNumberFormat="1" applyFont="1" applyFill="1" applyBorder="1" applyAlignment="1">
      <alignment horizontal="center" vertical="center" wrapText="1"/>
    </xf>
    <xf numFmtId="165" fontId="17" fillId="5" borderId="1" xfId="43" applyNumberFormat="1" applyFont="1" applyFill="1" applyBorder="1" applyAlignment="1">
      <alignment horizontal="center" vertical="center" wrapText="1"/>
    </xf>
    <xf numFmtId="0" fontId="20" fillId="5" borderId="1" xfId="0" applyFont="1" applyFill="1" applyBorder="1" applyAlignment="1">
      <alignment horizontal="center" vertical="center" wrapText="1"/>
    </xf>
    <xf numFmtId="1" fontId="20" fillId="5" borderId="1" xfId="0" applyNumberFormat="1" applyFont="1" applyFill="1" applyBorder="1" applyAlignment="1">
      <alignment horizontal="center" vertical="center" wrapText="1"/>
    </xf>
    <xf numFmtId="0" fontId="0" fillId="0" borderId="0" xfId="0" applyAlignment="1">
      <alignment horizontal="center" vertical="center" wrapText="1"/>
    </xf>
    <xf numFmtId="166" fontId="34" fillId="0" borderId="9" xfId="0" applyNumberFormat="1" applyFont="1" applyBorder="1" applyAlignment="1">
      <alignment horizontal="center" vertical="center"/>
    </xf>
    <xf numFmtId="165" fontId="0" fillId="0" borderId="0" xfId="0" applyNumberFormat="1" applyAlignment="1">
      <alignment horizontal="center"/>
    </xf>
    <xf numFmtId="3" fontId="3" fillId="0" borderId="2" xfId="43" applyNumberFormat="1" applyFont="1" applyBorder="1" applyAlignment="1">
      <alignment horizontal="center" vertical="center"/>
    </xf>
    <xf numFmtId="1" fontId="34" fillId="0" borderId="1" xfId="0" applyNumberFormat="1" applyFont="1" applyBorder="1" applyAlignment="1">
      <alignment horizontal="center" vertical="center"/>
    </xf>
    <xf numFmtId="0" fontId="28" fillId="4" borderId="0" xfId="0" applyFont="1" applyFill="1" applyBorder="1" applyAlignment="1">
      <alignment vertical="center"/>
    </xf>
    <xf numFmtId="9" fontId="28" fillId="0" borderId="2" xfId="1" applyFont="1" applyBorder="1" applyAlignment="1">
      <alignment horizontal="center" vertical="center"/>
    </xf>
    <xf numFmtId="9" fontId="28" fillId="0" borderId="66" xfId="1" applyFont="1" applyBorder="1" applyAlignment="1">
      <alignment horizontal="center" vertical="center"/>
    </xf>
    <xf numFmtId="1" fontId="39" fillId="0" borderId="1" xfId="0" applyNumberFormat="1" applyFont="1" applyBorder="1" applyAlignment="1">
      <alignment horizontal="center" vertical="center"/>
    </xf>
    <xf numFmtId="165" fontId="31" fillId="4" borderId="1" xfId="43" applyNumberFormat="1" applyFont="1" applyFill="1" applyBorder="1" applyAlignment="1">
      <alignment horizontal="center"/>
    </xf>
    <xf numFmtId="0" fontId="3" fillId="0" borderId="8" xfId="0" applyFont="1" applyBorder="1" applyAlignment="1">
      <alignment horizontal="center" vertical="center"/>
    </xf>
    <xf numFmtId="1" fontId="34" fillId="0" borderId="8" xfId="0" applyNumberFormat="1" applyFont="1" applyBorder="1" applyAlignment="1">
      <alignment horizontal="center" vertical="center"/>
    </xf>
    <xf numFmtId="0" fontId="3" fillId="0" borderId="13" xfId="0" applyFont="1" applyBorder="1" applyAlignment="1">
      <alignment horizontal="center" vertical="center"/>
    </xf>
    <xf numFmtId="1" fontId="34" fillId="0" borderId="13" xfId="0" applyNumberFormat="1" applyFont="1" applyBorder="1" applyAlignment="1">
      <alignment horizontal="center" vertical="center"/>
    </xf>
    <xf numFmtId="165" fontId="3" fillId="0" borderId="1" xfId="0" applyNumberFormat="1" applyFont="1" applyBorder="1" applyAlignment="1">
      <alignment horizontal="center"/>
    </xf>
    <xf numFmtId="164" fontId="0" fillId="0" borderId="0" xfId="1" applyNumberFormat="1" applyFont="1" applyAlignment="1">
      <alignment horizontal="center"/>
    </xf>
    <xf numFmtId="0" fontId="40" fillId="0" borderId="0" xfId="0" applyFont="1" applyAlignment="1">
      <alignment horizontal="center" vertical="center" readingOrder="1"/>
    </xf>
    <xf numFmtId="14" fontId="41" fillId="4" borderId="1" xfId="0" applyNumberFormat="1" applyFont="1" applyFill="1" applyBorder="1" applyAlignment="1">
      <alignment horizontal="center" vertical="center"/>
    </xf>
    <xf numFmtId="165" fontId="1" fillId="0" borderId="1" xfId="43" applyNumberFormat="1" applyFont="1" applyBorder="1" applyAlignment="1">
      <alignment horizontal="center"/>
    </xf>
    <xf numFmtId="165" fontId="3" fillId="2" borderId="1" xfId="43" applyNumberFormat="1" applyFont="1" applyFill="1" applyBorder="1" applyAlignment="1">
      <alignment horizontal="center"/>
    </xf>
    <xf numFmtId="0" fontId="28" fillId="4" borderId="0" xfId="0" applyFont="1" applyFill="1" applyBorder="1" applyAlignment="1">
      <alignment horizontal="center" vertical="center" wrapText="1"/>
    </xf>
    <xf numFmtId="166" fontId="39" fillId="0" borderId="2" xfId="0" applyNumberFormat="1" applyFont="1" applyBorder="1" applyAlignment="1">
      <alignment horizontal="center" vertical="center"/>
    </xf>
    <xf numFmtId="14" fontId="0" fillId="0" borderId="0" xfId="0" applyNumberFormat="1"/>
    <xf numFmtId="0" fontId="20" fillId="5" borderId="0" xfId="0" applyFont="1" applyFill="1" applyAlignment="1">
      <alignment horizontal="center"/>
    </xf>
    <xf numFmtId="14" fontId="20" fillId="5" borderId="0" xfId="0" applyNumberFormat="1" applyFont="1" applyFill="1" applyAlignment="1">
      <alignment horizontal="center"/>
    </xf>
    <xf numFmtId="0" fontId="20" fillId="5" borderId="0" xfId="0" applyFont="1" applyFill="1"/>
    <xf numFmtId="166" fontId="34" fillId="0" borderId="0" xfId="0" applyNumberFormat="1" applyFont="1" applyAlignment="1">
      <alignment horizontal="center" vertical="center"/>
    </xf>
    <xf numFmtId="2" fontId="34" fillId="0" borderId="9" xfId="0" applyNumberFormat="1" applyFont="1" applyBorder="1" applyAlignment="1">
      <alignment horizontal="center" vertical="center"/>
    </xf>
    <xf numFmtId="2" fontId="39" fillId="0" borderId="1" xfId="0" applyNumberFormat="1" applyFont="1" applyBorder="1" applyAlignment="1">
      <alignment horizontal="center" vertical="center"/>
    </xf>
    <xf numFmtId="165" fontId="0" fillId="0" borderId="2" xfId="43" applyNumberFormat="1" applyFont="1" applyBorder="1" applyAlignment="1">
      <alignment horizontal="center"/>
    </xf>
    <xf numFmtId="165" fontId="18" fillId="0" borderId="1" xfId="43" applyNumberFormat="1" applyFont="1" applyBorder="1" applyAlignment="1">
      <alignment horizontal="center"/>
    </xf>
    <xf numFmtId="165" fontId="0" fillId="0" borderId="59" xfId="43" applyNumberFormat="1" applyFont="1" applyBorder="1" applyAlignment="1">
      <alignment horizontal="center"/>
    </xf>
    <xf numFmtId="165" fontId="0" fillId="40" borderId="1" xfId="43" applyNumberFormat="1" applyFont="1" applyFill="1" applyBorder="1" applyAlignment="1">
      <alignment horizontal="center"/>
    </xf>
    <xf numFmtId="9" fontId="0" fillId="0" borderId="0" xfId="0" applyNumberFormat="1" applyAlignment="1">
      <alignment horizontal="center"/>
    </xf>
    <xf numFmtId="165" fontId="0" fillId="44" borderId="1" xfId="43" applyNumberFormat="1" applyFont="1" applyFill="1" applyBorder="1" applyAlignment="1">
      <alignment horizontal="center"/>
    </xf>
    <xf numFmtId="0" fontId="0" fillId="0" borderId="0" xfId="0" applyAlignment="1"/>
    <xf numFmtId="0" fontId="24" fillId="44" borderId="0" xfId="0" applyFont="1" applyFill="1" applyAlignment="1">
      <alignment horizontal="center"/>
    </xf>
    <xf numFmtId="9" fontId="0" fillId="0" borderId="1" xfId="1" applyFont="1" applyBorder="1" applyAlignment="1">
      <alignment horizontal="center"/>
    </xf>
    <xf numFmtId="49" fontId="0" fillId="0" borderId="0" xfId="0" applyNumberFormat="1"/>
    <xf numFmtId="49" fontId="0" fillId="0" borderId="0" xfId="0" applyNumberFormat="1" applyAlignment="1">
      <alignment horizontal="center"/>
    </xf>
    <xf numFmtId="0" fontId="25" fillId="5" borderId="29" xfId="0" applyFont="1" applyFill="1" applyBorder="1" applyAlignment="1">
      <alignment vertical="center"/>
    </xf>
    <xf numFmtId="49" fontId="3" fillId="0" borderId="1" xfId="0" applyNumberFormat="1" applyFont="1" applyBorder="1" applyAlignment="1">
      <alignment horizontal="center"/>
    </xf>
    <xf numFmtId="0" fontId="0" fillId="4" borderId="0" xfId="0" applyFill="1" applyAlignment="1">
      <alignment horizontal="center"/>
    </xf>
    <xf numFmtId="0" fontId="0" fillId="4" borderId="0" xfId="0" applyFill="1"/>
    <xf numFmtId="16" fontId="24" fillId="5" borderId="27" xfId="0" applyNumberFormat="1" applyFont="1" applyFill="1" applyBorder="1" applyAlignment="1">
      <alignment horizontal="center" vertical="center" wrapText="1"/>
    </xf>
    <xf numFmtId="16" fontId="24" fillId="5" borderId="27" xfId="0" applyNumberFormat="1" applyFont="1" applyFill="1" applyBorder="1" applyAlignment="1">
      <alignment horizontal="center" vertical="center"/>
    </xf>
    <xf numFmtId="49" fontId="0" fillId="0" borderId="27" xfId="0" applyNumberFormat="1" applyBorder="1" applyAlignment="1">
      <alignment horizontal="center"/>
    </xf>
    <xf numFmtId="16" fontId="24" fillId="5" borderId="28" xfId="0" applyNumberFormat="1" applyFont="1" applyFill="1" applyBorder="1" applyAlignment="1">
      <alignment horizontal="center" vertical="center" wrapText="1"/>
    </xf>
    <xf numFmtId="1" fontId="34" fillId="0" borderId="9" xfId="0" applyNumberFormat="1" applyFont="1" applyBorder="1" applyAlignment="1">
      <alignment horizontal="center" vertical="center"/>
    </xf>
    <xf numFmtId="0" fontId="25" fillId="5" borderId="70" xfId="0" applyFont="1" applyFill="1" applyBorder="1" applyAlignment="1">
      <alignment vertical="center"/>
    </xf>
    <xf numFmtId="2" fontId="34" fillId="0" borderId="71" xfId="0" applyNumberFormat="1" applyFont="1" applyBorder="1" applyAlignment="1">
      <alignment horizontal="center" vertical="center"/>
    </xf>
    <xf numFmtId="49" fontId="3" fillId="0" borderId="13" xfId="0" applyNumberFormat="1" applyFont="1" applyBorder="1" applyAlignment="1">
      <alignment horizontal="center"/>
    </xf>
    <xf numFmtId="1" fontId="34" fillId="0" borderId="71" xfId="0" applyNumberFormat="1" applyFont="1" applyBorder="1" applyAlignment="1">
      <alignment horizontal="center" vertical="center"/>
    </xf>
    <xf numFmtId="0" fontId="0" fillId="4" borderId="0" xfId="0" applyFill="1" applyAlignment="1"/>
    <xf numFmtId="49" fontId="0" fillId="4" borderId="0" xfId="0" applyNumberFormat="1" applyFill="1"/>
    <xf numFmtId="0" fontId="26" fillId="0" borderId="1" xfId="0" applyNumberFormat="1" applyFont="1" applyBorder="1" applyAlignment="1">
      <alignment horizontal="center"/>
    </xf>
    <xf numFmtId="0" fontId="26" fillId="0" borderId="13" xfId="0" applyNumberFormat="1" applyFont="1" applyBorder="1" applyAlignment="1">
      <alignment horizontal="center"/>
    </xf>
    <xf numFmtId="0" fontId="20" fillId="5" borderId="1" xfId="0" applyFont="1" applyFill="1" applyBorder="1" applyAlignment="1">
      <alignment horizontal="center"/>
    </xf>
    <xf numFmtId="9" fontId="3" fillId="0" borderId="1" xfId="1" applyFont="1" applyBorder="1" applyAlignment="1">
      <alignment horizontal="center" vertical="center"/>
    </xf>
    <xf numFmtId="1" fontId="0" fillId="0" borderId="10" xfId="1" applyNumberFormat="1" applyFont="1" applyBorder="1" applyAlignment="1">
      <alignment horizontal="center" vertical="center"/>
    </xf>
    <xf numFmtId="9" fontId="3" fillId="0" borderId="11" xfId="1" applyNumberFormat="1" applyFont="1" applyBorder="1" applyAlignment="1">
      <alignment horizontal="center" vertical="center"/>
    </xf>
    <xf numFmtId="1" fontId="0" fillId="0" borderId="54" xfId="1" applyNumberFormat="1" applyFont="1" applyBorder="1" applyAlignment="1">
      <alignment horizontal="center" vertical="center"/>
    </xf>
    <xf numFmtId="0" fontId="0" fillId="0" borderId="6" xfId="0" applyBorder="1" applyAlignment="1">
      <alignment horizontal="center" vertical="center"/>
    </xf>
    <xf numFmtId="9" fontId="3" fillId="0" borderId="6" xfId="1" applyFont="1" applyBorder="1" applyAlignment="1">
      <alignment horizontal="center" vertical="center"/>
    </xf>
    <xf numFmtId="0" fontId="0" fillId="0" borderId="6" xfId="0" applyBorder="1" applyAlignment="1">
      <alignment horizontal="center" vertical="center" wrapText="1"/>
    </xf>
    <xf numFmtId="9" fontId="3" fillId="0" borderId="55" xfId="1" applyNumberFormat="1" applyFont="1" applyBorder="1" applyAlignment="1">
      <alignment horizontal="center" vertical="center"/>
    </xf>
    <xf numFmtId="164" fontId="26" fillId="0" borderId="75" xfId="1" applyNumberFormat="1" applyFont="1" applyBorder="1" applyAlignment="1">
      <alignment horizontal="center" vertical="center"/>
    </xf>
    <xf numFmtId="164" fontId="26" fillId="0" borderId="73" xfId="1" applyNumberFormat="1" applyFont="1" applyBorder="1" applyAlignment="1">
      <alignment horizontal="center" vertical="center"/>
    </xf>
    <xf numFmtId="1" fontId="0" fillId="0" borderId="25" xfId="1" applyNumberFormat="1" applyFont="1" applyBorder="1" applyAlignment="1">
      <alignment horizontal="center" vertical="center"/>
    </xf>
    <xf numFmtId="0" fontId="0" fillId="0" borderId="5" xfId="0" applyBorder="1" applyAlignment="1">
      <alignment horizontal="center" vertical="center"/>
    </xf>
    <xf numFmtId="9" fontId="3" fillId="0" borderId="5" xfId="1" applyFont="1" applyBorder="1" applyAlignment="1">
      <alignment horizontal="center" vertical="center"/>
    </xf>
    <xf numFmtId="9" fontId="3" fillId="0" borderId="32" xfId="1" applyNumberFormat="1" applyFont="1" applyBorder="1" applyAlignment="1">
      <alignment horizontal="center" vertical="center"/>
    </xf>
    <xf numFmtId="164" fontId="26" fillId="0" borderId="76" xfId="1" applyNumberFormat="1" applyFont="1" applyBorder="1" applyAlignment="1">
      <alignment horizontal="center" vertical="center"/>
    </xf>
    <xf numFmtId="1" fontId="3" fillId="0" borderId="77" xfId="1" applyNumberFormat="1" applyFont="1" applyBorder="1" applyAlignment="1">
      <alignment horizontal="center" vertical="center"/>
    </xf>
    <xf numFmtId="0" fontId="3" fillId="0" borderId="78" xfId="0" applyFont="1" applyBorder="1" applyAlignment="1">
      <alignment horizontal="center" vertical="center"/>
    </xf>
    <xf numFmtId="9" fontId="3" fillId="0" borderId="78" xfId="1" applyFont="1" applyBorder="1" applyAlignment="1">
      <alignment horizontal="center" vertical="center"/>
    </xf>
    <xf numFmtId="1" fontId="53" fillId="0" borderId="78" xfId="45" applyNumberFormat="1" applyFont="1" applyBorder="1" applyAlignment="1">
      <alignment horizontal="center"/>
    </xf>
    <xf numFmtId="9" fontId="3" fillId="0" borderId="71" xfId="1" applyNumberFormat="1" applyFont="1" applyBorder="1" applyAlignment="1">
      <alignment horizontal="center" vertical="center"/>
    </xf>
    <xf numFmtId="164" fontId="26" fillId="0" borderId="72" xfId="1" applyNumberFormat="1" applyFont="1" applyBorder="1" applyAlignment="1">
      <alignment horizontal="center" vertical="center"/>
    </xf>
    <xf numFmtId="0" fontId="20" fillId="5" borderId="26" xfId="0" applyFont="1" applyFill="1" applyBorder="1" applyAlignment="1">
      <alignment horizontal="center" vertical="center" wrapText="1"/>
    </xf>
    <xf numFmtId="0" fontId="0" fillId="0" borderId="79" xfId="0" applyBorder="1" applyAlignment="1">
      <alignment horizontal="center" vertical="center" wrapText="1"/>
    </xf>
    <xf numFmtId="0" fontId="0" fillId="0" borderId="80" xfId="0" applyBorder="1" applyAlignment="1">
      <alignment horizontal="center" vertical="center" wrapText="1"/>
    </xf>
    <xf numFmtId="9" fontId="20" fillId="5" borderId="80" xfId="1" applyFont="1" applyFill="1" applyBorder="1" applyAlignment="1">
      <alignment horizontal="center" vertical="center" wrapText="1"/>
    </xf>
    <xf numFmtId="0" fontId="20" fillId="5" borderId="80" xfId="0" applyFont="1" applyFill="1" applyBorder="1" applyAlignment="1">
      <alignment horizontal="center" vertical="center" wrapText="1"/>
    </xf>
    <xf numFmtId="0" fontId="20" fillId="5" borderId="81" xfId="0" applyFont="1" applyFill="1" applyBorder="1" applyAlignment="1">
      <alignment horizontal="center" vertical="center" wrapText="1"/>
    </xf>
    <xf numFmtId="0" fontId="20" fillId="5" borderId="82" xfId="0" applyFont="1" applyFill="1" applyBorder="1" applyAlignment="1">
      <alignment horizontal="center" vertical="center"/>
    </xf>
    <xf numFmtId="1" fontId="0" fillId="0" borderId="0" xfId="0" applyNumberFormat="1" applyBorder="1" applyAlignment="1">
      <alignment horizontal="center" vertical="center"/>
    </xf>
    <xf numFmtId="0" fontId="0" fillId="0" borderId="0" xfId="0" applyBorder="1" applyAlignment="1">
      <alignment horizontal="center" vertical="center"/>
    </xf>
    <xf numFmtId="0" fontId="20" fillId="5" borderId="83" xfId="0" applyFont="1" applyFill="1" applyBorder="1" applyAlignment="1">
      <alignment horizontal="center" vertical="center"/>
    </xf>
    <xf numFmtId="0" fontId="17" fillId="5" borderId="84" xfId="0" applyFont="1" applyFill="1" applyBorder="1" applyAlignment="1">
      <alignment horizontal="center" vertical="center"/>
    </xf>
    <xf numFmtId="0" fontId="3" fillId="0" borderId="85" xfId="0" applyFont="1" applyBorder="1" applyAlignment="1">
      <alignment horizontal="center" vertical="center"/>
    </xf>
    <xf numFmtId="165" fontId="20" fillId="5" borderId="1" xfId="43" applyNumberFormat="1" applyFont="1" applyFill="1" applyBorder="1" applyAlignment="1">
      <alignment horizontal="center"/>
    </xf>
    <xf numFmtId="1" fontId="34" fillId="0" borderId="5" xfId="0" applyNumberFormat="1" applyFont="1" applyBorder="1" applyAlignment="1">
      <alignment horizontal="center" vertical="center"/>
    </xf>
    <xf numFmtId="2" fontId="34" fillId="0" borderId="1" xfId="0" applyNumberFormat="1" applyFont="1" applyBorder="1" applyAlignment="1">
      <alignment horizontal="center" vertical="center"/>
    </xf>
    <xf numFmtId="2" fontId="34" fillId="0" borderId="5" xfId="0" applyNumberFormat="1" applyFont="1" applyBorder="1" applyAlignment="1">
      <alignment horizontal="center" vertical="center"/>
    </xf>
    <xf numFmtId="0" fontId="20" fillId="5" borderId="0" xfId="0" applyFont="1" applyFill="1" applyAlignment="1">
      <alignment horizontal="center" vertical="center" wrapText="1"/>
    </xf>
    <xf numFmtId="14" fontId="33" fillId="0" borderId="1" xfId="0" applyNumberFormat="1" applyFont="1" applyBorder="1" applyAlignment="1">
      <alignment horizontal="center" vertical="center"/>
    </xf>
    <xf numFmtId="9" fontId="0" fillId="0" borderId="5" xfId="1" applyFont="1" applyBorder="1" applyAlignment="1">
      <alignment horizontal="center"/>
    </xf>
    <xf numFmtId="0" fontId="0" fillId="0" borderId="0" xfId="0"/>
    <xf numFmtId="0" fontId="3" fillId="0" borderId="6" xfId="0" applyFont="1" applyBorder="1" applyAlignment="1">
      <alignment horizontal="center" vertical="center"/>
    </xf>
    <xf numFmtId="0" fontId="0" fillId="0" borderId="5" xfId="0" applyFill="1" applyBorder="1" applyAlignment="1">
      <alignment horizontal="center" vertical="center"/>
    </xf>
    <xf numFmtId="0" fontId="0" fillId="2" borderId="1" xfId="0" applyFill="1" applyBorder="1" applyAlignment="1">
      <alignment horizontal="center" vertical="center"/>
    </xf>
    <xf numFmtId="14" fontId="0" fillId="0" borderId="8" xfId="0" applyNumberFormat="1" applyBorder="1" applyAlignment="1">
      <alignment horizontal="center" vertical="center"/>
    </xf>
    <xf numFmtId="14" fontId="0" fillId="0" borderId="13" xfId="0" applyNumberFormat="1" applyBorder="1" applyAlignment="1">
      <alignment horizontal="center" vertical="center"/>
    </xf>
    <xf numFmtId="14" fontId="0" fillId="0" borderId="6" xfId="0" applyNumberFormat="1" applyBorder="1" applyAlignment="1">
      <alignment horizontal="center" vertical="center"/>
    </xf>
    <xf numFmtId="14" fontId="0" fillId="0" borderId="3" xfId="0" applyNumberFormat="1" applyBorder="1" applyAlignment="1">
      <alignment horizontal="center" vertical="center"/>
    </xf>
    <xf numFmtId="14" fontId="0" fillId="0" borderId="33" xfId="0" applyNumberFormat="1" applyBorder="1" applyAlignment="1">
      <alignment horizontal="center" vertical="center"/>
    </xf>
    <xf numFmtId="14" fontId="0" fillId="0" borderId="37" xfId="0" applyNumberFormat="1" applyBorder="1" applyAlignment="1">
      <alignment horizontal="center" vertical="center"/>
    </xf>
    <xf numFmtId="0" fontId="0" fillId="0" borderId="37" xfId="0" applyBorder="1" applyAlignment="1">
      <alignment horizontal="center" vertical="center"/>
    </xf>
    <xf numFmtId="14" fontId="0" fillId="0" borderId="42" xfId="0" applyNumberFormat="1" applyBorder="1" applyAlignment="1">
      <alignment horizontal="center" vertical="center"/>
    </xf>
    <xf numFmtId="0" fontId="0" fillId="0" borderId="43" xfId="0" applyBorder="1" applyAlignment="1">
      <alignment horizontal="center" vertical="center"/>
    </xf>
    <xf numFmtId="14" fontId="0" fillId="0" borderId="53" xfId="0" applyNumberFormat="1" applyBorder="1" applyAlignment="1">
      <alignment horizontal="center" vertical="center"/>
    </xf>
    <xf numFmtId="0" fontId="0" fillId="0" borderId="60" xfId="0" applyBorder="1" applyAlignment="1">
      <alignment horizontal="center" vertical="center"/>
    </xf>
    <xf numFmtId="0" fontId="3" fillId="0" borderId="2" xfId="0" applyFont="1" applyBorder="1" applyAlignment="1">
      <alignment horizontal="center" vertical="center"/>
    </xf>
    <xf numFmtId="0" fontId="0" fillId="0" borderId="1" xfId="0" applyBorder="1" applyAlignment="1">
      <alignment horizontal="center" vertical="center" wrapText="1"/>
    </xf>
    <xf numFmtId="14" fontId="0" fillId="0" borderId="48" xfId="0" applyNumberFormat="1" applyBorder="1" applyAlignment="1">
      <alignment horizontal="center" vertical="center"/>
    </xf>
    <xf numFmtId="0" fontId="3" fillId="0" borderId="59" xfId="0" applyFont="1" applyBorder="1" applyAlignment="1">
      <alignment horizontal="center" vertical="center"/>
    </xf>
    <xf numFmtId="14" fontId="0" fillId="0" borderId="67" xfId="0" applyNumberFormat="1" applyBorder="1" applyAlignment="1">
      <alignment horizontal="center" vertical="center"/>
    </xf>
    <xf numFmtId="0" fontId="3" fillId="0" borderId="62" xfId="0" applyFont="1" applyBorder="1" applyAlignment="1">
      <alignment horizontal="center" vertical="center"/>
    </xf>
    <xf numFmtId="14" fontId="0" fillId="0" borderId="68" xfId="0" applyNumberFormat="1" applyBorder="1" applyAlignment="1">
      <alignment horizontal="center" vertical="center"/>
    </xf>
    <xf numFmtId="0" fontId="3" fillId="0" borderId="66" xfId="0" applyFont="1" applyBorder="1" applyAlignment="1">
      <alignment horizontal="center" vertical="center"/>
    </xf>
    <xf numFmtId="0" fontId="0" fillId="0" borderId="0" xfId="0" applyFill="1" applyBorder="1" applyAlignment="1">
      <alignment horizontal="center" vertical="center"/>
    </xf>
    <xf numFmtId="0" fontId="0" fillId="0" borderId="74" xfId="0" applyBorder="1" applyAlignment="1">
      <alignment horizontal="center" vertical="center"/>
    </xf>
    <xf numFmtId="0" fontId="0" fillId="0" borderId="65" xfId="0" applyBorder="1" applyAlignment="1">
      <alignment horizontal="center" vertical="center"/>
    </xf>
    <xf numFmtId="0" fontId="21" fillId="5" borderId="1" xfId="0" applyFont="1" applyFill="1" applyBorder="1" applyAlignment="1">
      <alignment horizontal="center" vertical="center"/>
    </xf>
    <xf numFmtId="2" fontId="0" fillId="0" borderId="0" xfId="0" applyNumberFormat="1" applyAlignment="1">
      <alignment horizontal="center"/>
    </xf>
    <xf numFmtId="14" fontId="0" fillId="2" borderId="1" xfId="0" applyNumberFormat="1" applyFill="1" applyBorder="1" applyAlignment="1">
      <alignment horizontal="center"/>
    </xf>
    <xf numFmtId="165" fontId="0" fillId="0" borderId="5" xfId="43" applyNumberFormat="1" applyFont="1" applyFill="1" applyBorder="1" applyAlignment="1">
      <alignment horizontal="center" vertical="center"/>
    </xf>
    <xf numFmtId="165" fontId="0" fillId="0" borderId="5" xfId="43" applyNumberFormat="1" applyFont="1" applyFill="1" applyBorder="1" applyAlignment="1">
      <alignment horizontal="center"/>
    </xf>
    <xf numFmtId="165" fontId="4" fillId="0" borderId="5" xfId="43" applyNumberFormat="1" applyFont="1" applyBorder="1" applyAlignment="1">
      <alignment horizontal="center" wrapText="1"/>
    </xf>
    <xf numFmtId="165" fontId="2" fillId="0" borderId="5" xfId="43" applyNumberFormat="1" applyFont="1" applyFill="1" applyBorder="1" applyAlignment="1">
      <alignment horizontal="center" wrapText="1"/>
    </xf>
    <xf numFmtId="3" fontId="3" fillId="0" borderId="5" xfId="43" applyNumberFormat="1" applyFont="1" applyBorder="1" applyAlignment="1">
      <alignment horizontal="center" vertical="center"/>
    </xf>
    <xf numFmtId="165" fontId="0" fillId="0" borderId="1" xfId="0" applyNumberFormat="1" applyBorder="1" applyAlignment="1">
      <alignment horizontal="center"/>
    </xf>
    <xf numFmtId="0" fontId="0" fillId="41" borderId="1" xfId="0" applyFill="1" applyBorder="1" applyAlignment="1">
      <alignment horizontal="center"/>
    </xf>
    <xf numFmtId="9" fontId="3" fillId="38" borderId="1" xfId="1" applyFont="1" applyFill="1" applyBorder="1" applyAlignment="1">
      <alignment horizontal="center"/>
    </xf>
    <xf numFmtId="9" fontId="17" fillId="0" borderId="1" xfId="1" applyFont="1" applyBorder="1" applyAlignment="1">
      <alignment horizontal="center"/>
    </xf>
    <xf numFmtId="9" fontId="20" fillId="0" borderId="1" xfId="1" applyFont="1" applyBorder="1" applyAlignment="1">
      <alignment horizontal="center"/>
    </xf>
    <xf numFmtId="14" fontId="23" fillId="4" borderId="0" xfId="0" applyNumberFormat="1" applyFont="1" applyFill="1"/>
    <xf numFmtId="14" fontId="23" fillId="0" borderId="0" xfId="0" applyNumberFormat="1" applyFont="1"/>
    <xf numFmtId="14" fontId="23" fillId="0" borderId="0" xfId="0" applyNumberFormat="1" applyFont="1" applyAlignment="1">
      <alignment horizontal="center" vertical="center"/>
    </xf>
    <xf numFmtId="167" fontId="0" fillId="0" borderId="1" xfId="0" applyNumberFormat="1" applyBorder="1" applyAlignment="1">
      <alignment horizontal="center"/>
    </xf>
    <xf numFmtId="2" fontId="0" fillId="0" borderId="1" xfId="0" applyNumberFormat="1" applyBorder="1" applyAlignment="1">
      <alignment horizontal="center"/>
    </xf>
    <xf numFmtId="9" fontId="3" fillId="0" borderId="1" xfId="1" applyFont="1" applyBorder="1" applyAlignment="1">
      <alignment horizontal="center"/>
    </xf>
    <xf numFmtId="0" fontId="55" fillId="5" borderId="0" xfId="0" applyFont="1" applyFill="1" applyAlignment="1">
      <alignment horizontal="center" vertical="center" wrapText="1"/>
    </xf>
    <xf numFmtId="0" fontId="55" fillId="5" borderId="1" xfId="0" applyFont="1" applyFill="1" applyBorder="1" applyAlignment="1">
      <alignment horizontal="center" vertical="center" wrapText="1"/>
    </xf>
    <xf numFmtId="1" fontId="3" fillId="0" borderId="1" xfId="0" applyNumberFormat="1" applyFont="1" applyBorder="1" applyAlignment="1">
      <alignment horizontal="center"/>
    </xf>
    <xf numFmtId="0" fontId="0" fillId="46" borderId="0" xfId="0" applyFill="1"/>
    <xf numFmtId="1" fontId="3" fillId="0" borderId="5" xfId="0" applyNumberFormat="1" applyFont="1" applyBorder="1" applyAlignment="1">
      <alignment horizontal="center"/>
    </xf>
    <xf numFmtId="2" fontId="34" fillId="0" borderId="8" xfId="0" applyNumberFormat="1" applyFont="1" applyBorder="1" applyAlignment="1">
      <alignment horizontal="center" vertical="center"/>
    </xf>
    <xf numFmtId="1" fontId="3" fillId="0" borderId="8" xfId="0" applyNumberFormat="1" applyFont="1" applyBorder="1" applyAlignment="1">
      <alignment horizontal="center"/>
    </xf>
    <xf numFmtId="0" fontId="20" fillId="5" borderId="0" xfId="0" applyFont="1" applyFill="1" applyBorder="1" applyAlignment="1">
      <alignment horizontal="center"/>
    </xf>
    <xf numFmtId="9" fontId="0" fillId="0" borderId="1" xfId="1" applyFont="1" applyBorder="1" applyAlignment="1">
      <alignment horizontal="center" vertical="center"/>
    </xf>
    <xf numFmtId="164" fontId="3" fillId="0" borderId="1" xfId="0" applyNumberFormat="1" applyFont="1" applyBorder="1" applyAlignment="1">
      <alignment horizontal="center"/>
    </xf>
    <xf numFmtId="9" fontId="0" fillId="0" borderId="1" xfId="1" applyFont="1" applyFill="1" applyBorder="1" applyAlignment="1">
      <alignment horizontal="center" vertical="center"/>
    </xf>
    <xf numFmtId="0" fontId="56" fillId="4" borderId="1" xfId="0" applyFont="1" applyFill="1" applyBorder="1" applyAlignment="1">
      <alignment horizontal="center"/>
    </xf>
    <xf numFmtId="0" fontId="56" fillId="4" borderId="1" xfId="0" applyFont="1" applyFill="1" applyBorder="1" applyAlignment="1">
      <alignment horizontal="center" vertical="center"/>
    </xf>
    <xf numFmtId="0" fontId="31" fillId="0" borderId="1" xfId="0" applyFont="1" applyBorder="1" applyAlignment="1">
      <alignment horizontal="center" vertical="center"/>
    </xf>
    <xf numFmtId="0" fontId="57" fillId="4" borderId="1" xfId="0" applyFont="1" applyFill="1" applyBorder="1" applyAlignment="1">
      <alignment horizontal="center" vertical="center"/>
    </xf>
    <xf numFmtId="0" fontId="31" fillId="4" borderId="0" xfId="0" applyFont="1" applyFill="1"/>
    <xf numFmtId="14" fontId="0" fillId="0" borderId="56" xfId="0" applyNumberFormat="1" applyBorder="1" applyAlignment="1">
      <alignment horizontal="center" vertical="center"/>
    </xf>
    <xf numFmtId="0" fontId="3" fillId="0" borderId="56" xfId="0" applyFont="1" applyBorder="1" applyAlignment="1">
      <alignment horizontal="center" vertical="center"/>
    </xf>
    <xf numFmtId="0" fontId="0" fillId="0" borderId="56" xfId="0" applyBorder="1" applyAlignment="1">
      <alignment horizontal="center" vertical="center"/>
    </xf>
    <xf numFmtId="1" fontId="34" fillId="0" borderId="56" xfId="0" applyNumberFormat="1" applyFont="1" applyBorder="1" applyAlignment="1">
      <alignment horizontal="center" vertical="center"/>
    </xf>
    <xf numFmtId="2" fontId="34" fillId="0" borderId="56" xfId="0" applyNumberFormat="1" applyFont="1" applyBorder="1" applyAlignment="1">
      <alignment horizontal="center" vertical="center"/>
    </xf>
    <xf numFmtId="1" fontId="3" fillId="0" borderId="56" xfId="0" applyNumberFormat="1" applyFont="1" applyBorder="1" applyAlignment="1">
      <alignment horizontal="center"/>
    </xf>
    <xf numFmtId="14" fontId="0" fillId="0" borderId="87" xfId="0" applyNumberFormat="1" applyBorder="1" applyAlignment="1">
      <alignment horizontal="center" vertical="center"/>
    </xf>
    <xf numFmtId="0" fontId="3" fillId="0" borderId="87" xfId="0" applyFont="1" applyBorder="1" applyAlignment="1">
      <alignment horizontal="center" vertical="center"/>
    </xf>
    <xf numFmtId="0" fontId="0" fillId="0" borderId="87" xfId="0" applyBorder="1" applyAlignment="1">
      <alignment horizontal="center" vertical="center"/>
    </xf>
    <xf numFmtId="1" fontId="34" fillId="0" borderId="87" xfId="0" applyNumberFormat="1" applyFont="1" applyBorder="1" applyAlignment="1">
      <alignment horizontal="center" vertical="center"/>
    </xf>
    <xf numFmtId="2" fontId="34" fillId="0" borderId="87" xfId="0" applyNumberFormat="1" applyFont="1" applyBorder="1" applyAlignment="1">
      <alignment horizontal="center" vertical="center"/>
    </xf>
    <xf numFmtId="1" fontId="3" fillId="0" borderId="87" xfId="0" applyNumberFormat="1" applyFont="1" applyBorder="1" applyAlignment="1">
      <alignment horizontal="center"/>
    </xf>
    <xf numFmtId="1" fontId="3" fillId="0" borderId="88" xfId="0" applyNumberFormat="1" applyFont="1" applyBorder="1" applyAlignment="1">
      <alignment horizontal="center"/>
    </xf>
    <xf numFmtId="1" fontId="3" fillId="0" borderId="90" xfId="0" applyNumberFormat="1" applyFont="1" applyBorder="1" applyAlignment="1">
      <alignment horizontal="center"/>
    </xf>
    <xf numFmtId="14" fontId="0" fillId="0" borderId="92" xfId="0" applyNumberFormat="1" applyBorder="1" applyAlignment="1">
      <alignment horizontal="center" vertical="center"/>
    </xf>
    <xf numFmtId="0" fontId="3" fillId="0" borderId="92" xfId="0" applyFont="1" applyBorder="1" applyAlignment="1">
      <alignment horizontal="center" vertical="center"/>
    </xf>
    <xf numFmtId="0" fontId="0" fillId="0" borderId="92" xfId="0" applyBorder="1" applyAlignment="1">
      <alignment horizontal="center" vertical="center"/>
    </xf>
    <xf numFmtId="1" fontId="34" fillId="0" borderId="92" xfId="0" applyNumberFormat="1" applyFont="1" applyBorder="1" applyAlignment="1">
      <alignment horizontal="center" vertical="center"/>
    </xf>
    <xf numFmtId="2" fontId="34" fillId="0" borderId="92" xfId="0" applyNumberFormat="1" applyFont="1" applyBorder="1" applyAlignment="1">
      <alignment horizontal="center" vertical="center"/>
    </xf>
    <xf numFmtId="1" fontId="3" fillId="0" borderId="92" xfId="0" applyNumberFormat="1" applyFont="1" applyBorder="1" applyAlignment="1">
      <alignment horizontal="center"/>
    </xf>
    <xf numFmtId="1" fontId="3" fillId="0" borderId="93" xfId="0" applyNumberFormat="1" applyFont="1" applyBorder="1" applyAlignment="1">
      <alignment horizontal="center"/>
    </xf>
    <xf numFmtId="14" fontId="33" fillId="4" borderId="56" xfId="0" applyNumberFormat="1" applyFont="1" applyFill="1" applyBorder="1" applyAlignment="1">
      <alignment horizontal="center" vertical="center"/>
    </xf>
    <xf numFmtId="165" fontId="0" fillId="0" borderId="56" xfId="43" applyNumberFormat="1" applyFont="1" applyBorder="1" applyAlignment="1">
      <alignment horizontal="center"/>
    </xf>
    <xf numFmtId="165" fontId="3" fillId="0" borderId="56" xfId="43" applyNumberFormat="1" applyFont="1" applyBorder="1" applyAlignment="1">
      <alignment horizontal="center"/>
    </xf>
    <xf numFmtId="1" fontId="21" fillId="5" borderId="1" xfId="0" applyNumberFormat="1" applyFont="1" applyFill="1" applyBorder="1" applyAlignment="1">
      <alignment horizontal="center"/>
    </xf>
    <xf numFmtId="1" fontId="57" fillId="4" borderId="1" xfId="0" applyNumberFormat="1" applyFont="1" applyFill="1" applyBorder="1" applyAlignment="1">
      <alignment horizontal="center"/>
    </xf>
    <xf numFmtId="1" fontId="56" fillId="4" borderId="1" xfId="0" applyNumberFormat="1" applyFont="1" applyFill="1" applyBorder="1" applyAlignment="1">
      <alignment horizontal="center"/>
    </xf>
    <xf numFmtId="1" fontId="0" fillId="4" borderId="0" xfId="0" applyNumberFormat="1" applyFill="1" applyAlignment="1">
      <alignment horizontal="center"/>
    </xf>
    <xf numFmtId="1" fontId="56" fillId="46" borderId="1" xfId="0" applyNumberFormat="1" applyFont="1" applyFill="1" applyBorder="1" applyAlignment="1">
      <alignment horizontal="center"/>
    </xf>
    <xf numFmtId="1" fontId="31" fillId="0" borderId="1" xfId="43" applyNumberFormat="1" applyFont="1" applyBorder="1" applyAlignment="1">
      <alignment horizontal="center"/>
    </xf>
    <xf numFmtId="1" fontId="0" fillId="0" borderId="1" xfId="43" applyNumberFormat="1" applyFont="1" applyBorder="1" applyAlignment="1">
      <alignment horizontal="center"/>
    </xf>
    <xf numFmtId="14" fontId="0" fillId="46" borderId="0" xfId="0" applyNumberFormat="1" applyFill="1"/>
    <xf numFmtId="0" fontId="3" fillId="0" borderId="0" xfId="0" applyFont="1" applyAlignment="1">
      <alignment horizontal="center"/>
    </xf>
    <xf numFmtId="165" fontId="3" fillId="0" borderId="0" xfId="0" applyNumberFormat="1" applyFont="1" applyAlignment="1">
      <alignment horizontal="center"/>
    </xf>
    <xf numFmtId="165" fontId="17" fillId="48" borderId="1" xfId="0" applyNumberFormat="1" applyFont="1" applyFill="1" applyBorder="1" applyAlignment="1">
      <alignment horizontal="center"/>
    </xf>
    <xf numFmtId="14" fontId="0" fillId="0" borderId="5" xfId="0" applyNumberFormat="1" applyBorder="1" applyAlignment="1">
      <alignment horizontal="center"/>
    </xf>
    <xf numFmtId="1" fontId="0" fillId="0" borderId="5" xfId="43" applyNumberFormat="1" applyFont="1" applyBorder="1" applyAlignment="1">
      <alignment horizontal="center"/>
    </xf>
    <xf numFmtId="14" fontId="0" fillId="0" borderId="56" xfId="0" applyNumberFormat="1" applyBorder="1" applyAlignment="1">
      <alignment horizontal="center"/>
    </xf>
    <xf numFmtId="1" fontId="0" fillId="0" borderId="56" xfId="43" applyNumberFormat="1" applyFont="1" applyBorder="1" applyAlignment="1">
      <alignment horizontal="center"/>
    </xf>
    <xf numFmtId="1" fontId="0" fillId="0" borderId="56" xfId="43" applyNumberFormat="1" applyFont="1" applyFill="1" applyBorder="1" applyAlignment="1">
      <alignment horizontal="center"/>
    </xf>
    <xf numFmtId="14" fontId="0" fillId="0" borderId="57" xfId="0" applyNumberFormat="1" applyBorder="1" applyAlignment="1">
      <alignment horizontal="center" vertical="center"/>
    </xf>
    <xf numFmtId="0" fontId="3" fillId="0" borderId="57" xfId="0" applyFont="1" applyBorder="1" applyAlignment="1">
      <alignment horizontal="center" vertical="center"/>
    </xf>
    <xf numFmtId="0" fontId="0" fillId="0" borderId="57" xfId="0" applyBorder="1" applyAlignment="1">
      <alignment horizontal="center" vertical="center"/>
    </xf>
    <xf numFmtId="1" fontId="34" fillId="0" borderId="57" xfId="0" applyNumberFormat="1" applyFont="1" applyBorder="1" applyAlignment="1">
      <alignment horizontal="center" vertical="center"/>
    </xf>
    <xf numFmtId="2" fontId="34" fillId="0" borderId="57" xfId="0" applyNumberFormat="1" applyFont="1" applyBorder="1" applyAlignment="1">
      <alignment horizontal="center" vertical="center"/>
    </xf>
    <xf numFmtId="1" fontId="3" fillId="0" borderId="57" xfId="0" applyNumberFormat="1" applyFont="1" applyBorder="1" applyAlignment="1">
      <alignment horizontal="center"/>
    </xf>
    <xf numFmtId="1" fontId="3" fillId="0" borderId="95" xfId="0" applyNumberFormat="1" applyFont="1" applyBorder="1" applyAlignment="1">
      <alignment horizontal="center"/>
    </xf>
    <xf numFmtId="14" fontId="33" fillId="45" borderId="5" xfId="0" applyNumberFormat="1" applyFont="1" applyFill="1" applyBorder="1" applyAlignment="1">
      <alignment horizontal="center" vertical="center"/>
    </xf>
    <xf numFmtId="9" fontId="0" fillId="0" borderId="56" xfId="1" applyFont="1" applyBorder="1" applyAlignment="1">
      <alignment horizontal="center"/>
    </xf>
    <xf numFmtId="3" fontId="3" fillId="0" borderId="56" xfId="0" applyNumberFormat="1" applyFont="1" applyBorder="1" applyAlignment="1">
      <alignment horizontal="center"/>
    </xf>
    <xf numFmtId="2" fontId="0" fillId="0" borderId="56" xfId="0" applyNumberFormat="1" applyBorder="1" applyAlignment="1">
      <alignment horizontal="center"/>
    </xf>
    <xf numFmtId="167" fontId="0" fillId="0" borderId="56" xfId="0" applyNumberFormat="1" applyBorder="1" applyAlignment="1">
      <alignment horizontal="center"/>
    </xf>
    <xf numFmtId="14" fontId="33" fillId="4" borderId="57" xfId="0" applyNumberFormat="1" applyFont="1" applyFill="1" applyBorder="1" applyAlignment="1">
      <alignment horizontal="center" vertical="center"/>
    </xf>
    <xf numFmtId="165" fontId="3" fillId="0" borderId="57" xfId="43" applyNumberFormat="1" applyFont="1" applyBorder="1" applyAlignment="1">
      <alignment horizontal="center"/>
    </xf>
    <xf numFmtId="2" fontId="0" fillId="0" borderId="57" xfId="0" applyNumberFormat="1" applyBorder="1" applyAlignment="1">
      <alignment horizontal="center"/>
    </xf>
    <xf numFmtId="9" fontId="0" fillId="0" borderId="57" xfId="1" applyFont="1" applyBorder="1" applyAlignment="1">
      <alignment horizontal="center"/>
    </xf>
    <xf numFmtId="167" fontId="0" fillId="0" borderId="57" xfId="0" applyNumberFormat="1" applyBorder="1" applyAlignment="1">
      <alignment horizontal="center"/>
    </xf>
    <xf numFmtId="3" fontId="3" fillId="0" borderId="57" xfId="0" applyNumberFormat="1" applyFont="1" applyBorder="1" applyAlignment="1">
      <alignment horizontal="center"/>
    </xf>
    <xf numFmtId="0" fontId="3" fillId="0" borderId="96" xfId="0" applyFont="1" applyBorder="1" applyAlignment="1">
      <alignment horizontal="center" vertical="center"/>
    </xf>
    <xf numFmtId="0" fontId="3" fillId="0" borderId="98" xfId="0" applyFont="1" applyBorder="1" applyAlignment="1">
      <alignment horizontal="center" vertical="center"/>
    </xf>
    <xf numFmtId="0" fontId="3" fillId="0" borderId="99" xfId="0" applyFont="1" applyBorder="1" applyAlignment="1">
      <alignment horizontal="center" vertical="center"/>
    </xf>
    <xf numFmtId="1" fontId="34" fillId="0" borderId="99" xfId="0" applyNumberFormat="1" applyFont="1" applyBorder="1" applyAlignment="1">
      <alignment horizontal="center" vertical="center"/>
    </xf>
    <xf numFmtId="2" fontId="34" fillId="0" borderId="99" xfId="0" applyNumberFormat="1" applyFont="1" applyBorder="1" applyAlignment="1">
      <alignment horizontal="center" vertical="center"/>
    </xf>
    <xf numFmtId="1" fontId="3" fillId="0" borderId="99" xfId="0" applyNumberFormat="1" applyFont="1" applyBorder="1" applyAlignment="1">
      <alignment horizontal="center"/>
    </xf>
    <xf numFmtId="9" fontId="0" fillId="0" borderId="1" xfId="1" applyNumberFormat="1" applyFont="1" applyBorder="1" applyAlignment="1">
      <alignment horizontal="center"/>
    </xf>
    <xf numFmtId="0" fontId="0" fillId="0" borderId="8" xfId="0" applyBorder="1" applyAlignment="1">
      <alignment horizontal="center"/>
    </xf>
    <xf numFmtId="0" fontId="0" fillId="0" borderId="13" xfId="0" applyBorder="1" applyAlignment="1">
      <alignment horizontal="center"/>
    </xf>
    <xf numFmtId="0" fontId="0" fillId="0" borderId="87" xfId="0" applyBorder="1" applyAlignment="1">
      <alignment horizontal="center"/>
    </xf>
    <xf numFmtId="0" fontId="3" fillId="0" borderId="5" xfId="0" applyFont="1" applyBorder="1" applyAlignment="1">
      <alignment horizontal="left"/>
    </xf>
    <xf numFmtId="0" fontId="0" fillId="0" borderId="0" xfId="0" applyAlignment="1">
      <alignment horizontal="left"/>
    </xf>
    <xf numFmtId="0" fontId="3" fillId="0" borderId="1" xfId="0" applyFont="1" applyBorder="1" applyAlignment="1">
      <alignment horizontal="left"/>
    </xf>
    <xf numFmtId="0" fontId="0" fillId="0" borderId="0" xfId="0" applyAlignment="1">
      <alignment horizontal="left" vertical="center"/>
    </xf>
    <xf numFmtId="0" fontId="0" fillId="0" borderId="5" xfId="0" applyBorder="1" applyAlignment="1">
      <alignment horizontal="left"/>
    </xf>
    <xf numFmtId="0" fontId="3" fillId="0" borderId="7" xfId="0" applyFont="1" applyBorder="1" applyAlignment="1">
      <alignment horizontal="left"/>
    </xf>
    <xf numFmtId="0" fontId="0" fillId="0" borderId="10" xfId="0" applyBorder="1" applyAlignment="1">
      <alignment horizontal="left"/>
    </xf>
    <xf numFmtId="0" fontId="0" fillId="0" borderId="25" xfId="0" applyBorder="1" applyAlignment="1">
      <alignment horizontal="left"/>
    </xf>
    <xf numFmtId="0" fontId="0" fillId="0" borderId="12" xfId="0" applyBorder="1" applyAlignment="1">
      <alignment horizontal="left"/>
    </xf>
    <xf numFmtId="0" fontId="0" fillId="2" borderId="0" xfId="0" applyFill="1" applyAlignment="1">
      <alignment horizontal="left" vertical="center"/>
    </xf>
    <xf numFmtId="0" fontId="3" fillId="0" borderId="10" xfId="0" applyFont="1" applyBorder="1" applyAlignment="1">
      <alignment horizontal="left"/>
    </xf>
    <xf numFmtId="0" fontId="3" fillId="0" borderId="25" xfId="0" applyFont="1" applyBorder="1" applyAlignment="1">
      <alignment horizontal="left"/>
    </xf>
    <xf numFmtId="0" fontId="3" fillId="0" borderId="12" xfId="0" applyFont="1" applyBorder="1" applyAlignment="1">
      <alignment horizontal="left"/>
    </xf>
    <xf numFmtId="0" fontId="3" fillId="0" borderId="36" xfId="0" applyFont="1" applyBorder="1" applyAlignment="1">
      <alignment horizontal="left"/>
    </xf>
    <xf numFmtId="0" fontId="3" fillId="0" borderId="39" xfId="0" applyFont="1" applyBorder="1" applyAlignment="1">
      <alignment horizontal="left"/>
    </xf>
    <xf numFmtId="0" fontId="3" fillId="0" borderId="41" xfId="0" applyFont="1" applyBorder="1" applyAlignment="1">
      <alignment horizontal="left"/>
    </xf>
    <xf numFmtId="0" fontId="3" fillId="0" borderId="50" xfId="0" applyFont="1" applyBorder="1" applyAlignment="1">
      <alignment horizontal="left"/>
    </xf>
    <xf numFmtId="0" fontId="3" fillId="0" borderId="54" xfId="0" applyFont="1" applyBorder="1" applyAlignment="1">
      <alignment horizontal="left"/>
    </xf>
    <xf numFmtId="1" fontId="34" fillId="0" borderId="8" xfId="0" applyNumberFormat="1" applyFont="1" applyBorder="1" applyAlignment="1">
      <alignment horizontal="left" vertical="center"/>
    </xf>
    <xf numFmtId="166" fontId="34" fillId="0" borderId="1" xfId="0" applyNumberFormat="1" applyFont="1" applyBorder="1" applyAlignment="1">
      <alignment horizontal="left" vertical="center"/>
    </xf>
    <xf numFmtId="0" fontId="36" fillId="3" borderId="64" xfId="0" applyFont="1" applyFill="1" applyBorder="1" applyAlignment="1">
      <alignment horizontal="left" vertical="center" wrapText="1"/>
    </xf>
    <xf numFmtId="0" fontId="37" fillId="3" borderId="64" xfId="0" applyFont="1" applyFill="1" applyBorder="1" applyAlignment="1">
      <alignment horizontal="left" vertical="center" wrapText="1"/>
    </xf>
    <xf numFmtId="0" fontId="38" fillId="3" borderId="64" xfId="0" applyFont="1" applyFill="1" applyBorder="1" applyAlignment="1">
      <alignment horizontal="left" vertical="center" wrapText="1"/>
    </xf>
    <xf numFmtId="166" fontId="34" fillId="0" borderId="5" xfId="0" applyNumberFormat="1" applyFont="1" applyBorder="1" applyAlignment="1">
      <alignment horizontal="left" vertical="center"/>
    </xf>
    <xf numFmtId="166" fontId="34" fillId="0" borderId="9" xfId="0" applyNumberFormat="1" applyFont="1" applyBorder="1" applyAlignment="1">
      <alignment horizontal="left" vertical="center"/>
    </xf>
    <xf numFmtId="0" fontId="36" fillId="3" borderId="63" xfId="0" applyFont="1" applyFill="1" applyBorder="1" applyAlignment="1">
      <alignment horizontal="left" vertical="center" wrapText="1"/>
    </xf>
    <xf numFmtId="166" fontId="34" fillId="0" borderId="11" xfId="0" applyNumberFormat="1" applyFont="1" applyBorder="1" applyAlignment="1">
      <alignment horizontal="left" vertical="center"/>
    </xf>
    <xf numFmtId="166" fontId="34" fillId="0" borderId="14" xfId="0" applyNumberFormat="1" applyFont="1" applyBorder="1" applyAlignment="1">
      <alignment horizontal="left" vertical="center"/>
    </xf>
    <xf numFmtId="166" fontId="34" fillId="0" borderId="4" xfId="0" applyNumberFormat="1" applyFont="1" applyBorder="1" applyAlignment="1">
      <alignment horizontal="left" vertical="center"/>
    </xf>
    <xf numFmtId="0" fontId="0" fillId="0" borderId="0" xfId="0" applyFill="1" applyBorder="1" applyAlignment="1">
      <alignment horizontal="left"/>
    </xf>
    <xf numFmtId="166" fontId="34" fillId="0" borderId="48" xfId="0" applyNumberFormat="1" applyFont="1" applyBorder="1" applyAlignment="1">
      <alignment horizontal="left" vertical="center"/>
    </xf>
    <xf numFmtId="0" fontId="35" fillId="0" borderId="0" xfId="0" applyFont="1" applyFill="1" applyBorder="1" applyAlignment="1">
      <alignment horizontal="left" vertical="center" wrapText="1"/>
    </xf>
    <xf numFmtId="0" fontId="42" fillId="3" borderId="64" xfId="0" applyFont="1" applyFill="1" applyBorder="1" applyAlignment="1">
      <alignment horizontal="left" vertical="center" wrapText="1"/>
    </xf>
    <xf numFmtId="0" fontId="44" fillId="3" borderId="64" xfId="0" applyFont="1" applyFill="1" applyBorder="1" applyAlignment="1">
      <alignment horizontal="left" vertical="center" wrapText="1"/>
    </xf>
    <xf numFmtId="0" fontId="43" fillId="3" borderId="64" xfId="0" applyFont="1" applyFill="1" applyBorder="1" applyAlignment="1">
      <alignment horizontal="left" vertical="center" wrapText="1"/>
    </xf>
    <xf numFmtId="0" fontId="45" fillId="3" borderId="63" xfId="0" applyFont="1" applyFill="1" applyBorder="1" applyAlignment="1">
      <alignment horizontal="left" vertical="center" wrapText="1"/>
    </xf>
    <xf numFmtId="0" fontId="47" fillId="3" borderId="63" xfId="0" applyFont="1" applyFill="1" applyBorder="1" applyAlignment="1">
      <alignment horizontal="left" vertical="center" wrapText="1"/>
    </xf>
    <xf numFmtId="0" fontId="46" fillId="3" borderId="63" xfId="0" applyFont="1" applyFill="1" applyBorder="1" applyAlignment="1">
      <alignment horizontal="left" vertical="center" wrapText="1"/>
    </xf>
    <xf numFmtId="0" fontId="46" fillId="3" borderId="69" xfId="0" applyFont="1" applyFill="1" applyBorder="1" applyAlignment="1">
      <alignment horizontal="left" vertical="center" wrapText="1"/>
    </xf>
    <xf numFmtId="0" fontId="47" fillId="0" borderId="0" xfId="0" applyFont="1" applyFill="1" applyBorder="1" applyAlignment="1">
      <alignment horizontal="left" vertical="center" wrapText="1"/>
    </xf>
    <xf numFmtId="0" fontId="42" fillId="0" borderId="0" xfId="0" applyFont="1" applyFill="1" applyBorder="1" applyAlignment="1">
      <alignment horizontal="left" vertical="center" wrapText="1"/>
    </xf>
    <xf numFmtId="1" fontId="34" fillId="0" borderId="53" xfId="0" applyNumberFormat="1" applyFont="1" applyBorder="1" applyAlignment="1">
      <alignment horizontal="left" vertical="center"/>
    </xf>
    <xf numFmtId="166" fontId="34" fillId="0" borderId="32" xfId="0" applyNumberFormat="1" applyFont="1" applyBorder="1" applyAlignment="1">
      <alignment horizontal="left" vertical="center"/>
    </xf>
    <xf numFmtId="0" fontId="42" fillId="3" borderId="63" xfId="0" applyFont="1" applyFill="1" applyBorder="1" applyAlignment="1">
      <alignment horizontal="left" vertical="center" wrapText="1"/>
    </xf>
    <xf numFmtId="1" fontId="34" fillId="0" borderId="1" xfId="0" applyNumberFormat="1" applyFont="1" applyBorder="1" applyAlignment="1">
      <alignment horizontal="left" vertical="center"/>
    </xf>
    <xf numFmtId="0" fontId="43" fillId="3" borderId="63" xfId="0" applyFont="1" applyFill="1" applyBorder="1" applyAlignment="1">
      <alignment horizontal="left" vertical="center" wrapText="1"/>
    </xf>
    <xf numFmtId="0" fontId="44" fillId="3" borderId="63" xfId="0" applyFont="1" applyFill="1" applyBorder="1" applyAlignment="1">
      <alignment horizontal="left" vertical="center" wrapText="1"/>
    </xf>
    <xf numFmtId="1" fontId="34" fillId="0" borderId="13" xfId="0" applyNumberFormat="1" applyFont="1" applyBorder="1" applyAlignment="1">
      <alignment horizontal="left" vertical="center"/>
    </xf>
    <xf numFmtId="2" fontId="34" fillId="0" borderId="9" xfId="0" applyNumberFormat="1" applyFont="1" applyBorder="1" applyAlignment="1">
      <alignment horizontal="left" vertical="center"/>
    </xf>
    <xf numFmtId="2" fontId="34" fillId="0" borderId="11" xfId="0" applyNumberFormat="1" applyFont="1" applyBorder="1" applyAlignment="1">
      <alignment horizontal="left" vertical="center"/>
    </xf>
    <xf numFmtId="2" fontId="34" fillId="0" borderId="14" xfId="0" applyNumberFormat="1" applyFont="1" applyBorder="1" applyAlignment="1">
      <alignment horizontal="left" vertical="center"/>
    </xf>
    <xf numFmtId="167" fontId="34" fillId="0" borderId="9" xfId="0" applyNumberFormat="1" applyFont="1" applyBorder="1" applyAlignment="1">
      <alignment horizontal="left" vertical="center"/>
    </xf>
    <xf numFmtId="167" fontId="34" fillId="0" borderId="11" xfId="0" applyNumberFormat="1" applyFont="1" applyBorder="1" applyAlignment="1">
      <alignment horizontal="left" vertical="center"/>
    </xf>
    <xf numFmtId="1" fontId="3" fillId="0" borderId="1" xfId="0" applyNumberFormat="1" applyFont="1" applyBorder="1" applyAlignment="1">
      <alignment horizontal="left"/>
    </xf>
    <xf numFmtId="1" fontId="34" fillId="0" borderId="5" xfId="0" applyNumberFormat="1" applyFont="1" applyBorder="1" applyAlignment="1">
      <alignment horizontal="left" vertical="center"/>
    </xf>
    <xf numFmtId="2" fontId="34" fillId="0" borderId="32" xfId="0" applyNumberFormat="1" applyFont="1" applyBorder="1" applyAlignment="1">
      <alignment horizontal="left" vertical="center"/>
    </xf>
    <xf numFmtId="0" fontId="54" fillId="3" borderId="0" xfId="0" applyFont="1" applyFill="1" applyAlignment="1">
      <alignment horizontal="left" vertical="center" wrapText="1"/>
    </xf>
    <xf numFmtId="0" fontId="48" fillId="3" borderId="64" xfId="0" applyFont="1" applyFill="1" applyBorder="1" applyAlignment="1">
      <alignment horizontal="left" vertical="center" wrapText="1"/>
    </xf>
    <xf numFmtId="0" fontId="50" fillId="3" borderId="64" xfId="0" applyFont="1" applyFill="1" applyBorder="1" applyAlignment="1">
      <alignment horizontal="left" vertical="center" wrapText="1"/>
    </xf>
    <xf numFmtId="0" fontId="49" fillId="3" borderId="64" xfId="0" applyFont="1" applyFill="1" applyBorder="1" applyAlignment="1">
      <alignment horizontal="left" vertical="center" wrapText="1"/>
    </xf>
    <xf numFmtId="2" fontId="34" fillId="0" borderId="1" xfId="0" applyNumberFormat="1" applyFont="1" applyBorder="1" applyAlignment="1">
      <alignment horizontal="left" vertical="center"/>
    </xf>
    <xf numFmtId="2" fontId="34" fillId="0" borderId="5" xfId="0" applyNumberFormat="1" applyFont="1" applyBorder="1" applyAlignment="1">
      <alignment horizontal="left" vertical="center"/>
    </xf>
    <xf numFmtId="1" fontId="34" fillId="0" borderId="6" xfId="0" applyNumberFormat="1" applyFont="1" applyBorder="1" applyAlignment="1">
      <alignment horizontal="left" vertical="center"/>
    </xf>
    <xf numFmtId="2" fontId="34" fillId="0" borderId="55" xfId="0" applyNumberFormat="1" applyFont="1" applyBorder="1" applyAlignment="1">
      <alignment horizontal="left" vertical="center"/>
    </xf>
    <xf numFmtId="2" fontId="34" fillId="0" borderId="67" xfId="0" applyNumberFormat="1" applyFont="1" applyBorder="1" applyAlignment="1">
      <alignment horizontal="left" vertical="center"/>
    </xf>
    <xf numFmtId="166" fontId="0" fillId="0" borderId="0" xfId="0" applyNumberFormat="1" applyAlignment="1">
      <alignment horizontal="left"/>
    </xf>
    <xf numFmtId="0" fontId="3" fillId="38" borderId="10" xfId="0" applyFont="1" applyFill="1" applyBorder="1" applyAlignment="1">
      <alignment horizontal="left"/>
    </xf>
    <xf numFmtId="2" fontId="34" fillId="0" borderId="4" xfId="0" applyNumberFormat="1" applyFont="1" applyBorder="1" applyAlignment="1">
      <alignment horizontal="left" vertical="center"/>
    </xf>
    <xf numFmtId="2" fontId="34" fillId="0" borderId="68" xfId="0" applyNumberFormat="1" applyFont="1" applyBorder="1" applyAlignment="1">
      <alignment horizontal="left" vertical="center"/>
    </xf>
    <xf numFmtId="2" fontId="34" fillId="0" borderId="48" xfId="0" applyNumberFormat="1" applyFont="1" applyBorder="1" applyAlignment="1">
      <alignment horizontal="left" vertical="center"/>
    </xf>
    <xf numFmtId="1" fontId="3" fillId="0" borderId="5" xfId="0" applyNumberFormat="1" applyFont="1" applyBorder="1" applyAlignment="1">
      <alignment horizontal="left"/>
    </xf>
    <xf numFmtId="0" fontId="3" fillId="47" borderId="7" xfId="0" applyFont="1" applyFill="1" applyBorder="1" applyAlignment="1">
      <alignment horizontal="left"/>
    </xf>
    <xf numFmtId="2" fontId="34" fillId="0" borderId="8" xfId="0" applyNumberFormat="1" applyFont="1" applyBorder="1" applyAlignment="1">
      <alignment horizontal="left" vertical="center"/>
    </xf>
    <xf numFmtId="1" fontId="3" fillId="0" borderId="8" xfId="0" applyNumberFormat="1" applyFont="1" applyBorder="1" applyAlignment="1">
      <alignment horizontal="left"/>
    </xf>
    <xf numFmtId="1" fontId="3" fillId="0" borderId="9" xfId="0" applyNumberFormat="1" applyFont="1" applyBorder="1" applyAlignment="1">
      <alignment horizontal="left"/>
    </xf>
    <xf numFmtId="1" fontId="3" fillId="0" borderId="11" xfId="0" applyNumberFormat="1" applyFont="1" applyBorder="1" applyAlignment="1">
      <alignment horizontal="left"/>
    </xf>
    <xf numFmtId="0" fontId="3" fillId="0" borderId="10" xfId="0" applyFont="1" applyFill="1" applyBorder="1" applyAlignment="1">
      <alignment horizontal="left"/>
    </xf>
    <xf numFmtId="0" fontId="3" fillId="47" borderId="10" xfId="0" applyFont="1" applyFill="1" applyBorder="1" applyAlignment="1">
      <alignment horizontal="left"/>
    </xf>
    <xf numFmtId="0" fontId="3" fillId="0" borderId="25" xfId="0" applyFont="1" applyFill="1" applyBorder="1" applyAlignment="1">
      <alignment horizontal="left"/>
    </xf>
    <xf numFmtId="1" fontId="3" fillId="0" borderId="32" xfId="0" applyNumberFormat="1" applyFont="1" applyBorder="1" applyAlignment="1">
      <alignment horizontal="left"/>
    </xf>
    <xf numFmtId="0" fontId="3" fillId="46" borderId="86" xfId="0" applyFont="1" applyFill="1" applyBorder="1" applyAlignment="1">
      <alignment horizontal="left"/>
    </xf>
    <xf numFmtId="1" fontId="34" fillId="0" borderId="87" xfId="0" applyNumberFormat="1" applyFont="1" applyBorder="1" applyAlignment="1">
      <alignment horizontal="left" vertical="center"/>
    </xf>
    <xf numFmtId="2" fontId="34" fillId="0" borderId="87" xfId="0" applyNumberFormat="1" applyFont="1" applyBorder="1" applyAlignment="1">
      <alignment horizontal="left" vertical="center"/>
    </xf>
    <xf numFmtId="1" fontId="3" fillId="0" borderId="87" xfId="0" applyNumberFormat="1" applyFont="1" applyBorder="1" applyAlignment="1">
      <alignment horizontal="left"/>
    </xf>
    <xf numFmtId="1" fontId="3" fillId="0" borderId="88" xfId="0" applyNumberFormat="1" applyFont="1" applyBorder="1" applyAlignment="1">
      <alignment horizontal="left"/>
    </xf>
    <xf numFmtId="0" fontId="3" fillId="46" borderId="89" xfId="0" applyFont="1" applyFill="1" applyBorder="1" applyAlignment="1">
      <alignment horizontal="left"/>
    </xf>
    <xf numFmtId="1" fontId="34" fillId="0" borderId="56" xfId="0" applyNumberFormat="1" applyFont="1" applyBorder="1" applyAlignment="1">
      <alignment horizontal="left" vertical="center"/>
    </xf>
    <xf numFmtId="2" fontId="34" fillId="0" borderId="56" xfId="0" applyNumberFormat="1" applyFont="1" applyBorder="1" applyAlignment="1">
      <alignment horizontal="left" vertical="center"/>
    </xf>
    <xf numFmtId="1" fontId="3" fillId="0" borderId="56" xfId="0" applyNumberFormat="1" applyFont="1" applyBorder="1" applyAlignment="1">
      <alignment horizontal="left"/>
    </xf>
    <xf numFmtId="1" fontId="3" fillId="0" borderId="90" xfId="0" applyNumberFormat="1" applyFont="1" applyBorder="1" applyAlignment="1">
      <alignment horizontal="left"/>
    </xf>
    <xf numFmtId="0" fontId="3" fillId="4" borderId="89" xfId="0" applyFont="1" applyFill="1" applyBorder="1" applyAlignment="1">
      <alignment horizontal="left"/>
    </xf>
    <xf numFmtId="0" fontId="3" fillId="38" borderId="89" xfId="0" applyFont="1" applyFill="1" applyBorder="1" applyAlignment="1">
      <alignment horizontal="left"/>
    </xf>
    <xf numFmtId="0" fontId="3" fillId="4" borderId="94" xfId="0" applyFont="1" applyFill="1" applyBorder="1" applyAlignment="1">
      <alignment horizontal="left"/>
    </xf>
    <xf numFmtId="1" fontId="34" fillId="0" borderId="57" xfId="0" applyNumberFormat="1" applyFont="1" applyBorder="1" applyAlignment="1">
      <alignment horizontal="left" vertical="center"/>
    </xf>
    <xf numFmtId="2" fontId="34" fillId="0" borderId="57" xfId="0" applyNumberFormat="1" applyFont="1" applyBorder="1" applyAlignment="1">
      <alignment horizontal="left" vertical="center"/>
    </xf>
    <xf numFmtId="1" fontId="3" fillId="0" borderId="57" xfId="0" applyNumberFormat="1" applyFont="1" applyBorder="1" applyAlignment="1">
      <alignment horizontal="left"/>
    </xf>
    <xf numFmtId="1" fontId="3" fillId="0" borderId="95" xfId="0" applyNumberFormat="1" applyFont="1" applyBorder="1" applyAlignment="1">
      <alignment horizontal="left"/>
    </xf>
    <xf numFmtId="0" fontId="3" fillId="4" borderId="91" xfId="0" applyFont="1" applyFill="1" applyBorder="1" applyAlignment="1">
      <alignment horizontal="left"/>
    </xf>
    <xf numFmtId="0" fontId="3" fillId="0" borderId="86" xfId="0" applyFont="1" applyFill="1" applyBorder="1" applyAlignment="1">
      <alignment horizontal="left"/>
    </xf>
    <xf numFmtId="0" fontId="3" fillId="0" borderId="89" xfId="0" applyFont="1" applyFill="1" applyBorder="1" applyAlignment="1">
      <alignment horizontal="left"/>
    </xf>
    <xf numFmtId="0" fontId="3" fillId="0" borderId="91" xfId="0" applyFont="1" applyFill="1" applyBorder="1" applyAlignment="1">
      <alignment horizontal="left"/>
    </xf>
    <xf numFmtId="0" fontId="3" fillId="0" borderId="94" xfId="0" applyFont="1" applyFill="1" applyBorder="1" applyAlignment="1">
      <alignment horizontal="left"/>
    </xf>
    <xf numFmtId="0" fontId="3" fillId="46" borderId="97" xfId="0" applyFont="1" applyFill="1" applyBorder="1" applyAlignment="1">
      <alignment horizontal="left"/>
    </xf>
    <xf numFmtId="0" fontId="3" fillId="47" borderId="100" xfId="0" applyFont="1" applyFill="1" applyBorder="1" applyAlignment="1">
      <alignment horizontal="left"/>
    </xf>
    <xf numFmtId="0" fontId="3" fillId="0" borderId="100" xfId="0" applyFont="1" applyFill="1" applyBorder="1" applyAlignment="1">
      <alignment horizontal="left"/>
    </xf>
    <xf numFmtId="0" fontId="3" fillId="46" borderId="100" xfId="0" applyFont="1" applyFill="1" applyBorder="1" applyAlignment="1">
      <alignment horizontal="left"/>
    </xf>
    <xf numFmtId="0" fontId="3" fillId="38" borderId="100" xfId="0" applyFont="1" applyFill="1" applyBorder="1" applyAlignment="1">
      <alignment horizontal="left"/>
    </xf>
    <xf numFmtId="0" fontId="3" fillId="49" borderId="100" xfId="0" applyFont="1" applyFill="1" applyBorder="1" applyAlignment="1">
      <alignment horizontal="left"/>
    </xf>
    <xf numFmtId="165" fontId="0" fillId="0" borderId="101" xfId="43" applyNumberFormat="1" applyFont="1" applyBorder="1" applyAlignment="1">
      <alignment horizontal="center"/>
    </xf>
    <xf numFmtId="1" fontId="3" fillId="0" borderId="102" xfId="0" applyNumberFormat="1" applyFont="1" applyBorder="1" applyAlignment="1">
      <alignment horizontal="center"/>
    </xf>
    <xf numFmtId="1" fontId="3" fillId="0" borderId="103" xfId="0" applyNumberFormat="1" applyFont="1" applyBorder="1" applyAlignment="1">
      <alignment horizontal="center"/>
    </xf>
    <xf numFmtId="14" fontId="33" fillId="45" borderId="1" xfId="0" applyNumberFormat="1" applyFont="1" applyFill="1" applyBorder="1" applyAlignment="1">
      <alignment horizontal="center" vertical="center"/>
    </xf>
    <xf numFmtId="14" fontId="33" fillId="4" borderId="4" xfId="0" applyNumberFormat="1" applyFont="1" applyFill="1" applyBorder="1" applyAlignment="1">
      <alignment horizontal="center" vertical="center"/>
    </xf>
    <xf numFmtId="165" fontId="0" fillId="50" borderId="1" xfId="43" applyNumberFormat="1" applyFont="1" applyFill="1" applyBorder="1" applyAlignment="1">
      <alignment horizontal="center"/>
    </xf>
    <xf numFmtId="0" fontId="3" fillId="0" borderId="104" xfId="0" applyFont="1" applyFill="1" applyBorder="1" applyAlignment="1">
      <alignment horizontal="left"/>
    </xf>
    <xf numFmtId="0" fontId="3" fillId="0" borderId="58" xfId="0" applyFont="1" applyBorder="1" applyAlignment="1">
      <alignment horizontal="center" vertical="center"/>
    </xf>
    <xf numFmtId="1" fontId="3" fillId="0" borderId="101" xfId="0" applyNumberFormat="1" applyFont="1" applyBorder="1" applyAlignment="1">
      <alignment horizontal="center"/>
    </xf>
    <xf numFmtId="164" fontId="0" fillId="0" borderId="0" xfId="1" applyNumberFormat="1" applyFont="1" applyAlignment="1">
      <alignment horizontal="center" vertical="center"/>
    </xf>
    <xf numFmtId="9" fontId="0" fillId="0" borderId="8" xfId="1" applyFont="1" applyBorder="1" applyAlignment="1">
      <alignment horizontal="center"/>
    </xf>
    <xf numFmtId="1" fontId="0" fillId="0" borderId="9" xfId="0" applyNumberFormat="1" applyBorder="1" applyAlignment="1">
      <alignment horizontal="center"/>
    </xf>
    <xf numFmtId="1" fontId="0" fillId="0" borderId="11" xfId="0" applyNumberFormat="1" applyBorder="1" applyAlignment="1">
      <alignment horizontal="center"/>
    </xf>
    <xf numFmtId="2" fontId="34" fillId="0" borderId="13" xfId="0" applyNumberFormat="1" applyFont="1" applyBorder="1" applyAlignment="1">
      <alignment horizontal="center" vertical="center"/>
    </xf>
    <xf numFmtId="1" fontId="3" fillId="0" borderId="13" xfId="0" applyNumberFormat="1" applyFont="1" applyBorder="1" applyAlignment="1">
      <alignment horizontal="center"/>
    </xf>
    <xf numFmtId="9" fontId="0" fillId="0" borderId="13" xfId="1" applyFont="1" applyBorder="1" applyAlignment="1">
      <alignment horizontal="center"/>
    </xf>
    <xf numFmtId="1" fontId="0" fillId="0" borderId="14" xfId="0" applyNumberFormat="1" applyBorder="1" applyAlignment="1">
      <alignment horizontal="center"/>
    </xf>
    <xf numFmtId="1" fontId="0" fillId="0" borderId="32" xfId="0" applyNumberFormat="1" applyBorder="1" applyAlignment="1">
      <alignment horizontal="center"/>
    </xf>
    <xf numFmtId="2" fontId="34" fillId="0" borderId="11" xfId="0" applyNumberFormat="1" applyFont="1" applyBorder="1" applyAlignment="1">
      <alignment horizontal="center" vertical="center"/>
    </xf>
    <xf numFmtId="2" fontId="34" fillId="0" borderId="4" xfId="0" applyNumberFormat="1" applyFont="1" applyBorder="1" applyAlignment="1">
      <alignment horizontal="center" vertical="center"/>
    </xf>
    <xf numFmtId="0" fontId="3" fillId="0" borderId="3" xfId="0" applyFont="1" applyFill="1" applyBorder="1" applyAlignment="1">
      <alignment horizontal="center" vertical="center"/>
    </xf>
    <xf numFmtId="0" fontId="0" fillId="0" borderId="3" xfId="0" applyFill="1" applyBorder="1" applyAlignment="1">
      <alignment horizontal="center" vertical="center"/>
    </xf>
    <xf numFmtId="0" fontId="3" fillId="0" borderId="11" xfId="0" applyFont="1" applyBorder="1" applyAlignment="1">
      <alignment horizontal="center" vertical="center"/>
    </xf>
    <xf numFmtId="0" fontId="3" fillId="0" borderId="40" xfId="0" applyFont="1" applyBorder="1" applyAlignment="1">
      <alignment horizontal="center" vertical="center"/>
    </xf>
    <xf numFmtId="0" fontId="3" fillId="0" borderId="46" xfId="0" applyFont="1" applyBorder="1" applyAlignment="1">
      <alignment horizontal="center" vertical="center"/>
    </xf>
    <xf numFmtId="166" fontId="34" fillId="0" borderId="1" xfId="0" applyNumberFormat="1" applyFont="1" applyBorder="1" applyAlignment="1">
      <alignment horizontal="center" vertical="center"/>
    </xf>
    <xf numFmtId="0" fontId="38" fillId="3" borderId="64" xfId="0" applyFont="1" applyFill="1" applyBorder="1" applyAlignment="1">
      <alignment horizontal="center" vertical="center" wrapText="1"/>
    </xf>
    <xf numFmtId="166" fontId="34" fillId="0" borderId="11" xfId="0" applyNumberFormat="1" applyFont="1" applyBorder="1" applyAlignment="1">
      <alignment horizontal="center" vertical="center"/>
    </xf>
    <xf numFmtId="0" fontId="36" fillId="3" borderId="63" xfId="0" applyFont="1" applyFill="1" applyBorder="1" applyAlignment="1">
      <alignment horizontal="center" vertical="center" wrapText="1"/>
    </xf>
    <xf numFmtId="0" fontId="36" fillId="3" borderId="64" xfId="0" applyFont="1" applyFill="1" applyBorder="1" applyAlignment="1">
      <alignment horizontal="center" vertical="center" wrapText="1"/>
    </xf>
    <xf numFmtId="0" fontId="35" fillId="0" borderId="0" xfId="0" applyFont="1" applyFill="1" applyBorder="1" applyAlignment="1">
      <alignment horizontal="center" vertical="center" wrapText="1"/>
    </xf>
    <xf numFmtId="0" fontId="43" fillId="3" borderId="64" xfId="0" applyFont="1" applyFill="1" applyBorder="1" applyAlignment="1">
      <alignment horizontal="center" vertical="center" wrapText="1"/>
    </xf>
    <xf numFmtId="0" fontId="47" fillId="3" borderId="63" xfId="0" applyFont="1" applyFill="1" applyBorder="1" applyAlignment="1">
      <alignment horizontal="center" vertical="center" wrapText="1"/>
    </xf>
    <xf numFmtId="0" fontId="47" fillId="3" borderId="64" xfId="0" applyFont="1" applyFill="1" applyBorder="1" applyAlignment="1">
      <alignment horizontal="center" vertical="center" wrapText="1"/>
    </xf>
    <xf numFmtId="0" fontId="0" fillId="0" borderId="0" xfId="0" applyFill="1" applyBorder="1" applyAlignment="1">
      <alignment horizontal="center"/>
    </xf>
    <xf numFmtId="0" fontId="43" fillId="3" borderId="63" xfId="0" applyFont="1" applyFill="1" applyBorder="1" applyAlignment="1">
      <alignment horizontal="center" vertical="center" wrapText="1"/>
    </xf>
    <xf numFmtId="167" fontId="34" fillId="0" borderId="11" xfId="0" applyNumberFormat="1" applyFont="1" applyBorder="1" applyAlignment="1">
      <alignment horizontal="center" vertical="center"/>
    </xf>
    <xf numFmtId="0" fontId="48" fillId="3" borderId="64" xfId="0" applyFont="1" applyFill="1" applyBorder="1" applyAlignment="1">
      <alignment horizontal="center" vertical="center" wrapText="1"/>
    </xf>
    <xf numFmtId="0" fontId="42" fillId="3" borderId="64" xfId="0" applyFont="1" applyFill="1" applyBorder="1" applyAlignment="1">
      <alignment horizontal="center" vertical="center" wrapText="1"/>
    </xf>
    <xf numFmtId="166" fontId="0" fillId="0" borderId="0" xfId="0" applyNumberFormat="1" applyAlignment="1">
      <alignment horizontal="center"/>
    </xf>
    <xf numFmtId="1" fontId="3" fillId="0" borderId="11" xfId="0" applyNumberFormat="1" applyFont="1" applyBorder="1" applyAlignment="1">
      <alignment horizontal="center"/>
    </xf>
    <xf numFmtId="0" fontId="3" fillId="0" borderId="0" xfId="0" applyFont="1" applyAlignment="1">
      <alignment horizontal="center" vertical="center"/>
    </xf>
    <xf numFmtId="165" fontId="17" fillId="5" borderId="1" xfId="0" applyNumberFormat="1" applyFont="1" applyFill="1" applyBorder="1" applyAlignment="1">
      <alignment horizontal="center"/>
    </xf>
    <xf numFmtId="165" fontId="30" fillId="4" borderId="1" xfId="0" applyNumberFormat="1" applyFont="1" applyFill="1" applyBorder="1" applyAlignment="1">
      <alignment horizontal="center"/>
    </xf>
    <xf numFmtId="10" fontId="0" fillId="0" borderId="1" xfId="1" applyNumberFormat="1" applyFont="1" applyBorder="1" applyAlignment="1">
      <alignment horizontal="center"/>
    </xf>
    <xf numFmtId="0" fontId="0" fillId="0" borderId="8" xfId="0" applyBorder="1"/>
    <xf numFmtId="0" fontId="0" fillId="0" borderId="0" xfId="0" applyAlignment="1">
      <alignment horizontal="center"/>
    </xf>
    <xf numFmtId="0" fontId="0" fillId="0" borderId="0" xfId="0" applyAlignment="1">
      <alignment horizontal="center" vertical="center"/>
    </xf>
    <xf numFmtId="0" fontId="0" fillId="49" borderId="0" xfId="0" applyFill="1" applyAlignment="1">
      <alignment horizontal="center"/>
    </xf>
    <xf numFmtId="0" fontId="0" fillId="2" borderId="0" xfId="0" applyFill="1" applyAlignment="1">
      <alignment horizontal="center"/>
    </xf>
    <xf numFmtId="0" fontId="0" fillId="38" borderId="0" xfId="0" applyFill="1" applyAlignment="1">
      <alignment horizontal="center"/>
    </xf>
    <xf numFmtId="1" fontId="17" fillId="5" borderId="8" xfId="0" applyNumberFormat="1" applyFont="1" applyFill="1" applyBorder="1" applyAlignment="1">
      <alignment horizontal="center"/>
    </xf>
    <xf numFmtId="1" fontId="17" fillId="5" borderId="1" xfId="0" applyNumberFormat="1" applyFont="1" applyFill="1" applyBorder="1" applyAlignment="1">
      <alignment horizontal="center"/>
    </xf>
    <xf numFmtId="1" fontId="17" fillId="5" borderId="13" xfId="0" applyNumberFormat="1" applyFont="1" applyFill="1" applyBorder="1" applyAlignment="1">
      <alignment horizontal="center"/>
    </xf>
    <xf numFmtId="14" fontId="0" fillId="0" borderId="57" xfId="0" applyNumberFormat="1" applyBorder="1" applyAlignment="1">
      <alignment horizontal="center"/>
    </xf>
    <xf numFmtId="1" fontId="0" fillId="0" borderId="57" xfId="43" applyNumberFormat="1" applyFont="1" applyFill="1" applyBorder="1" applyAlignment="1">
      <alignment horizontal="center"/>
    </xf>
    <xf numFmtId="1" fontId="0" fillId="0" borderId="1" xfId="43" applyNumberFormat="1" applyFont="1" applyFill="1" applyBorder="1" applyAlignment="1">
      <alignment horizontal="center"/>
    </xf>
    <xf numFmtId="0" fontId="0" fillId="41" borderId="0" xfId="0" applyFill="1" applyAlignment="1">
      <alignment horizontal="center"/>
    </xf>
    <xf numFmtId="0" fontId="37" fillId="3" borderId="64" xfId="0" applyFont="1" applyFill="1" applyBorder="1" applyAlignment="1">
      <alignment horizontal="center" vertical="center" wrapText="1"/>
    </xf>
    <xf numFmtId="0" fontId="45" fillId="3" borderId="64" xfId="0" applyFont="1" applyFill="1" applyBorder="1" applyAlignment="1">
      <alignment horizontal="center" vertical="center" wrapText="1"/>
    </xf>
    <xf numFmtId="0" fontId="46" fillId="3" borderId="64" xfId="0" applyFont="1" applyFill="1" applyBorder="1" applyAlignment="1">
      <alignment horizontal="center" vertical="center" wrapText="1"/>
    </xf>
    <xf numFmtId="0" fontId="47" fillId="3" borderId="0" xfId="0" applyFont="1" applyFill="1" applyBorder="1" applyAlignment="1">
      <alignment horizontal="center" vertical="center" wrapText="1"/>
    </xf>
    <xf numFmtId="0" fontId="45" fillId="0" borderId="0" xfId="0" applyFont="1" applyFill="1" applyBorder="1" applyAlignment="1">
      <alignment horizontal="center" vertical="center" wrapText="1"/>
    </xf>
    <xf numFmtId="0" fontId="44" fillId="3" borderId="64" xfId="0" applyFont="1" applyFill="1" applyBorder="1" applyAlignment="1">
      <alignment horizontal="center" vertical="center" wrapText="1"/>
    </xf>
    <xf numFmtId="0" fontId="58" fillId="5" borderId="0" xfId="0" applyFont="1" applyFill="1" applyAlignment="1">
      <alignment horizontal="center" vertical="center" wrapText="1"/>
    </xf>
    <xf numFmtId="0" fontId="59" fillId="5" borderId="0" xfId="0" applyFont="1" applyFill="1" applyAlignment="1">
      <alignment horizontal="center" vertical="center" wrapText="1"/>
    </xf>
    <xf numFmtId="1" fontId="17" fillId="5" borderId="5" xfId="0" applyNumberFormat="1" applyFont="1" applyFill="1" applyBorder="1" applyAlignment="1">
      <alignment horizontal="center"/>
    </xf>
    <xf numFmtId="0" fontId="27" fillId="0" borderId="0" xfId="0" applyFont="1"/>
    <xf numFmtId="16" fontId="27" fillId="0" borderId="0" xfId="0" applyNumberFormat="1" applyFont="1"/>
    <xf numFmtId="9" fontId="0" fillId="0" borderId="0" xfId="1" applyFont="1"/>
    <xf numFmtId="0" fontId="0" fillId="4" borderId="0" xfId="0" applyFill="1" applyAlignment="1">
      <alignment horizontal="center" vertical="center"/>
    </xf>
    <xf numFmtId="9" fontId="0" fillId="0" borderId="0" xfId="1" applyFont="1" applyAlignment="1">
      <alignment horizontal="center" vertical="center"/>
    </xf>
    <xf numFmtId="9" fontId="20" fillId="5" borderId="0" xfId="1" applyFont="1" applyFill="1" applyAlignment="1">
      <alignment horizontal="center" vertical="center"/>
    </xf>
    <xf numFmtId="9" fontId="0" fillId="0" borderId="0" xfId="0" applyNumberFormat="1"/>
    <xf numFmtId="0" fontId="33" fillId="0" borderId="0" xfId="0" applyFont="1" applyAlignment="1">
      <alignment wrapText="1"/>
    </xf>
    <xf numFmtId="0" fontId="0" fillId="0" borderId="0" xfId="0" pivotButton="1"/>
    <xf numFmtId="20" fontId="0" fillId="0" borderId="0" xfId="0" applyNumberFormat="1" applyAlignment="1">
      <alignment horizontal="left"/>
    </xf>
    <xf numFmtId="2" fontId="0" fillId="0" borderId="0" xfId="0" applyNumberFormat="1"/>
    <xf numFmtId="1" fontId="0" fillId="0" borderId="0" xfId="0" applyNumberFormat="1"/>
    <xf numFmtId="9" fontId="27" fillId="0" borderId="0" xfId="1" applyFont="1"/>
    <xf numFmtId="9" fontId="0" fillId="0" borderId="0" xfId="0" applyNumberFormat="1" applyAlignment="1">
      <alignment horizontal="center" vertical="center"/>
    </xf>
    <xf numFmtId="0" fontId="20" fillId="5" borderId="1" xfId="0" applyFont="1" applyFill="1" applyBorder="1" applyAlignment="1">
      <alignment horizontal="center" vertical="center"/>
    </xf>
    <xf numFmtId="0" fontId="20" fillId="5" borderId="0" xfId="0" applyFont="1" applyFill="1" applyAlignment="1">
      <alignment horizontal="center" vertical="center"/>
    </xf>
    <xf numFmtId="1" fontId="34" fillId="0" borderId="6" xfId="0" applyNumberFormat="1" applyFont="1" applyBorder="1" applyAlignment="1">
      <alignment horizontal="center" vertical="center"/>
    </xf>
    <xf numFmtId="2" fontId="34" fillId="0" borderId="6" xfId="0" applyNumberFormat="1" applyFont="1" applyBorder="1" applyAlignment="1">
      <alignment horizontal="center" vertical="center"/>
    </xf>
    <xf numFmtId="1" fontId="3" fillId="0" borderId="6" xfId="0" applyNumberFormat="1" applyFont="1" applyBorder="1" applyAlignment="1">
      <alignment horizontal="center"/>
    </xf>
    <xf numFmtId="1" fontId="17" fillId="5" borderId="6" xfId="0" applyNumberFormat="1" applyFont="1" applyFill="1" applyBorder="1" applyAlignment="1">
      <alignment horizontal="center"/>
    </xf>
    <xf numFmtId="9" fontId="0" fillId="0" borderId="6" xfId="1" applyFont="1" applyBorder="1" applyAlignment="1">
      <alignment horizontal="center"/>
    </xf>
    <xf numFmtId="1" fontId="0" fillId="0" borderId="55" xfId="0" applyNumberFormat="1" applyBorder="1" applyAlignment="1">
      <alignment horizontal="center"/>
    </xf>
    <xf numFmtId="0" fontId="0" fillId="5" borderId="1" xfId="0" applyFill="1" applyBorder="1" applyAlignment="1">
      <alignment horizontal="center"/>
    </xf>
    <xf numFmtId="165" fontId="0" fillId="0" borderId="1" xfId="0" applyNumberFormat="1" applyFont="1" applyBorder="1" applyAlignment="1">
      <alignment horizontal="center"/>
    </xf>
    <xf numFmtId="0" fontId="17" fillId="5" borderId="0" xfId="0" applyFont="1" applyFill="1" applyAlignment="1">
      <alignment horizontal="center" vertical="center" wrapText="1"/>
    </xf>
    <xf numFmtId="9" fontId="3" fillId="0" borderId="1" xfId="1" applyNumberFormat="1" applyFont="1" applyBorder="1" applyAlignment="1">
      <alignment horizontal="center"/>
    </xf>
    <xf numFmtId="1" fontId="39" fillId="0" borderId="105" xfId="0" applyNumberFormat="1" applyFont="1" applyBorder="1" applyAlignment="1">
      <alignment horizontal="center" vertical="center"/>
    </xf>
    <xf numFmtId="1" fontId="39" fillId="0" borderId="13" xfId="0" applyNumberFormat="1" applyFont="1" applyBorder="1" applyAlignment="1">
      <alignment horizontal="center" vertical="center"/>
    </xf>
    <xf numFmtId="2" fontId="39" fillId="0" borderId="13" xfId="0" applyNumberFormat="1" applyFont="1" applyBorder="1" applyAlignment="1">
      <alignment horizontal="center" vertical="center"/>
    </xf>
    <xf numFmtId="1" fontId="39" fillId="0" borderId="106" xfId="0" applyNumberFormat="1" applyFont="1" applyBorder="1" applyAlignment="1">
      <alignment horizontal="center" vertical="center"/>
    </xf>
    <xf numFmtId="165" fontId="0" fillId="40" borderId="5" xfId="43" applyNumberFormat="1" applyFont="1" applyFill="1" applyBorder="1" applyAlignment="1">
      <alignment horizontal="center"/>
    </xf>
    <xf numFmtId="165" fontId="30" fillId="4" borderId="5" xfId="0" applyNumberFormat="1" applyFont="1" applyFill="1" applyBorder="1" applyAlignment="1">
      <alignment horizontal="center"/>
    </xf>
    <xf numFmtId="165" fontId="0" fillId="0" borderId="5" xfId="0" applyNumberFormat="1" applyFont="1" applyBorder="1" applyAlignment="1">
      <alignment horizontal="center"/>
    </xf>
    <xf numFmtId="2" fontId="0" fillId="0" borderId="5" xfId="0" applyNumberFormat="1" applyBorder="1" applyAlignment="1">
      <alignment horizontal="center"/>
    </xf>
    <xf numFmtId="14" fontId="0" fillId="0" borderId="1" xfId="0" applyNumberFormat="1" applyFont="1" applyBorder="1" applyAlignment="1">
      <alignment horizontal="center"/>
    </xf>
    <xf numFmtId="14" fontId="41" fillId="45" borderId="1" xfId="0" applyNumberFormat="1" applyFont="1" applyFill="1" applyBorder="1" applyAlignment="1">
      <alignment horizontal="center" vertical="center"/>
    </xf>
    <xf numFmtId="3" fontId="0" fillId="0" borderId="0" xfId="0" applyNumberFormat="1"/>
    <xf numFmtId="9" fontId="3" fillId="0" borderId="3" xfId="1" applyFont="1" applyFill="1" applyBorder="1" applyAlignment="1">
      <alignment horizontal="center" vertical="center"/>
    </xf>
    <xf numFmtId="0" fontId="20" fillId="5" borderId="15" xfId="0" applyFont="1" applyFill="1" applyBorder="1"/>
    <xf numFmtId="0" fontId="24" fillId="5" borderId="15" xfId="0" applyFont="1" applyFill="1" applyBorder="1" applyAlignment="1">
      <alignment horizontal="left"/>
    </xf>
    <xf numFmtId="0" fontId="0" fillId="0" borderId="0" xfId="0" applyAlignment="1">
      <alignment horizontal="center" vertical="center"/>
    </xf>
    <xf numFmtId="0" fontId="0" fillId="0" borderId="0" xfId="0" applyAlignment="1">
      <alignment horizontal="center"/>
    </xf>
    <xf numFmtId="0" fontId="0" fillId="0" borderId="0" xfId="0" applyAlignment="1">
      <alignment horizontal="center" vertical="center"/>
    </xf>
    <xf numFmtId="165" fontId="3" fillId="0" borderId="0" xfId="0" applyNumberFormat="1" applyFont="1" applyBorder="1" applyAlignment="1">
      <alignment horizontal="center"/>
    </xf>
    <xf numFmtId="168" fontId="0" fillId="0" borderId="0" xfId="0" applyNumberFormat="1" applyAlignment="1">
      <alignment horizontal="center"/>
    </xf>
    <xf numFmtId="0" fontId="24" fillId="5" borderId="107" xfId="0" applyFont="1" applyFill="1" applyBorder="1" applyAlignment="1">
      <alignment horizontal="left"/>
    </xf>
    <xf numFmtId="1" fontId="23" fillId="0" borderId="1" xfId="0" applyNumberFormat="1" applyFont="1" applyBorder="1" applyAlignment="1">
      <alignment horizontal="center" vertical="center"/>
    </xf>
    <xf numFmtId="9" fontId="26" fillId="0" borderId="0" xfId="1" applyFont="1" applyAlignment="1">
      <alignment horizontal="center" vertical="center"/>
    </xf>
    <xf numFmtId="9" fontId="26" fillId="49" borderId="0" xfId="1" applyFont="1" applyFill="1" applyAlignment="1">
      <alignment horizontal="center" vertical="center"/>
    </xf>
    <xf numFmtId="14" fontId="24" fillId="5" borderId="108" xfId="0" applyNumberFormat="1" applyFont="1" applyFill="1" applyBorder="1" applyAlignment="1">
      <alignment horizontal="center" vertical="center" wrapText="1"/>
    </xf>
    <xf numFmtId="14" fontId="24" fillId="5" borderId="109" xfId="0" applyNumberFormat="1" applyFont="1" applyFill="1" applyBorder="1" applyAlignment="1">
      <alignment vertical="center" wrapText="1"/>
    </xf>
    <xf numFmtId="1" fontId="56" fillId="47" borderId="1" xfId="0" applyNumberFormat="1" applyFont="1" applyFill="1" applyBorder="1" applyAlignment="1">
      <alignment horizontal="center"/>
    </xf>
    <xf numFmtId="0" fontId="56" fillId="47" borderId="1" xfId="0" applyFont="1" applyFill="1" applyBorder="1" applyAlignment="1">
      <alignment horizontal="center" vertical="center"/>
    </xf>
    <xf numFmtId="0" fontId="3" fillId="0" borderId="110" xfId="0" applyFont="1" applyBorder="1" applyAlignment="1">
      <alignment horizontal="left"/>
    </xf>
    <xf numFmtId="0" fontId="3" fillId="0" borderId="111" xfId="0" applyFont="1" applyBorder="1" applyAlignment="1">
      <alignment horizontal="left"/>
    </xf>
    <xf numFmtId="0" fontId="3" fillId="0" borderId="112" xfId="0" applyFont="1" applyBorder="1" applyAlignment="1">
      <alignment horizontal="left"/>
    </xf>
    <xf numFmtId="168" fontId="0" fillId="0" borderId="1" xfId="0" applyNumberFormat="1" applyBorder="1" applyAlignment="1">
      <alignment horizontal="center"/>
    </xf>
    <xf numFmtId="0" fontId="55" fillId="5" borderId="0" xfId="0" applyFont="1" applyFill="1" applyBorder="1" applyAlignment="1">
      <alignment horizontal="center" vertical="center" wrapText="1"/>
    </xf>
    <xf numFmtId="4" fontId="3" fillId="0" borderId="1" xfId="0" applyNumberFormat="1" applyFont="1" applyBorder="1" applyAlignment="1">
      <alignment horizontal="center"/>
    </xf>
    <xf numFmtId="165" fontId="26" fillId="0" borderId="1" xfId="0" applyNumberFormat="1" applyFont="1" applyBorder="1" applyAlignment="1">
      <alignment horizontal="center"/>
    </xf>
    <xf numFmtId="165" fontId="26" fillId="0" borderId="1" xfId="43" applyNumberFormat="1" applyFont="1" applyBorder="1" applyAlignment="1">
      <alignment horizontal="center"/>
    </xf>
    <xf numFmtId="165" fontId="26" fillId="38" borderId="1" xfId="43" applyNumberFormat="1" applyFont="1" applyFill="1" applyBorder="1" applyAlignment="1">
      <alignment horizontal="center"/>
    </xf>
    <xf numFmtId="0" fontId="0" fillId="0" borderId="3" xfId="0" applyFill="1" applyBorder="1" applyAlignment="1">
      <alignment horizontal="left"/>
    </xf>
    <xf numFmtId="0" fontId="3" fillId="0" borderId="9" xfId="0" applyFont="1" applyBorder="1" applyAlignment="1">
      <alignment horizontal="center" vertical="center"/>
    </xf>
    <xf numFmtId="0" fontId="3" fillId="0" borderId="14" xfId="0" applyFont="1" applyBorder="1" applyAlignment="1">
      <alignment horizontal="center" vertical="center"/>
    </xf>
    <xf numFmtId="0" fontId="3" fillId="0" borderId="32" xfId="0" applyFont="1" applyBorder="1" applyAlignment="1">
      <alignment horizontal="center" vertical="center"/>
    </xf>
    <xf numFmtId="0" fontId="3" fillId="0" borderId="38" xfId="0" applyFont="1" applyBorder="1" applyAlignment="1">
      <alignment horizontal="center" vertical="center"/>
    </xf>
    <xf numFmtId="0" fontId="3" fillId="0" borderId="44" xfId="0" applyFont="1" applyBorder="1" applyAlignment="1">
      <alignment horizontal="center" vertical="center"/>
    </xf>
    <xf numFmtId="0" fontId="3" fillId="0" borderId="45" xfId="0" applyFont="1" applyBorder="1" applyAlignment="1">
      <alignment horizontal="center" vertical="center"/>
    </xf>
    <xf numFmtId="0" fontId="3" fillId="0" borderId="55" xfId="0" applyFont="1" applyBorder="1" applyAlignment="1">
      <alignment horizontal="center" vertical="center"/>
    </xf>
    <xf numFmtId="0" fontId="3" fillId="0" borderId="6" xfId="0" applyFont="1" applyBorder="1" applyAlignment="1">
      <alignment horizontal="left"/>
    </xf>
    <xf numFmtId="14" fontId="3" fillId="4" borderId="1" xfId="0" applyNumberFormat="1" applyFont="1" applyFill="1" applyBorder="1" applyAlignment="1">
      <alignment horizontal="center" vertical="center"/>
    </xf>
    <xf numFmtId="165" fontId="31" fillId="0" borderId="1" xfId="0" applyNumberFormat="1" applyFont="1" applyBorder="1" applyAlignment="1">
      <alignment horizontal="center"/>
    </xf>
    <xf numFmtId="9" fontId="55" fillId="5" borderId="1" xfId="1" applyFont="1" applyFill="1" applyBorder="1" applyAlignment="1">
      <alignment horizontal="center" vertical="center" wrapText="1"/>
    </xf>
    <xf numFmtId="9" fontId="2" fillId="0" borderId="1" xfId="1" applyFont="1" applyBorder="1" applyAlignment="1">
      <alignment horizontal="center" vertical="center" wrapText="1"/>
    </xf>
    <xf numFmtId="9" fontId="2" fillId="0" borderId="1" xfId="1" applyFont="1" applyBorder="1" applyAlignment="1">
      <alignment horizontal="center" wrapText="1"/>
    </xf>
    <xf numFmtId="9" fontId="0" fillId="41" borderId="1" xfId="1" applyFont="1" applyFill="1" applyBorder="1" applyAlignment="1">
      <alignment horizontal="center"/>
    </xf>
    <xf numFmtId="43" fontId="0" fillId="0" borderId="1" xfId="0" applyNumberFormat="1" applyBorder="1" applyAlignment="1"/>
    <xf numFmtId="0" fontId="0" fillId="0" borderId="0" xfId="0" applyAlignment="1">
      <alignment vertical="center" wrapText="1"/>
    </xf>
    <xf numFmtId="43" fontId="3" fillId="0" borderId="1" xfId="0" applyNumberFormat="1" applyFont="1" applyBorder="1" applyAlignment="1"/>
    <xf numFmtId="0" fontId="26" fillId="4" borderId="0" xfId="0" applyFont="1" applyFill="1" applyBorder="1" applyAlignment="1">
      <alignment horizontal="center" vertical="center"/>
    </xf>
    <xf numFmtId="0" fontId="28" fillId="4" borderId="65" xfId="0" applyFont="1" applyFill="1" applyBorder="1" applyAlignment="1">
      <alignment horizontal="center" vertical="center" wrapText="1"/>
    </xf>
    <xf numFmtId="0" fontId="0" fillId="0" borderId="0" xfId="0" applyAlignment="1">
      <alignment horizontal="center" vertical="center"/>
    </xf>
    <xf numFmtId="0" fontId="0" fillId="0" borderId="0" xfId="0" applyAlignment="1">
      <alignment horizontal="center"/>
    </xf>
  </cellXfs>
  <cellStyles count="47">
    <cellStyle name="20% - Énfasis1" xfId="20" builtinId="30" customBuiltin="1"/>
    <cellStyle name="20% - Énfasis2" xfId="24" builtinId="34" customBuiltin="1"/>
    <cellStyle name="20% - Énfasis3" xfId="28" builtinId="38" customBuiltin="1"/>
    <cellStyle name="20% - Énfasis4" xfId="32" builtinId="42" customBuiltin="1"/>
    <cellStyle name="20% - Énfasis5" xfId="36" builtinId="46" customBuiltin="1"/>
    <cellStyle name="20% - Énfasis6" xfId="40" builtinId="50" customBuiltin="1"/>
    <cellStyle name="40% - Énfasis1" xfId="21" builtinId="31" customBuiltin="1"/>
    <cellStyle name="40% - Énfasis2" xfId="25" builtinId="35" customBuiltin="1"/>
    <cellStyle name="40% - Énfasis3" xfId="29" builtinId="39" customBuiltin="1"/>
    <cellStyle name="40% - Énfasis4" xfId="33" builtinId="43" customBuiltin="1"/>
    <cellStyle name="40% - Énfasis5" xfId="37" builtinId="47" customBuiltin="1"/>
    <cellStyle name="40% - Énfasis6" xfId="41" builtinId="51" customBuiltin="1"/>
    <cellStyle name="60% - Énfasis1" xfId="22" builtinId="32" customBuiltin="1"/>
    <cellStyle name="60% - Énfasis2" xfId="26" builtinId="36" customBuiltin="1"/>
    <cellStyle name="60% - Énfasis3" xfId="30" builtinId="40" customBuiltin="1"/>
    <cellStyle name="60% - Énfasis4" xfId="34" builtinId="44" customBuiltin="1"/>
    <cellStyle name="60% - Énfasis5" xfId="38" builtinId="48" customBuiltin="1"/>
    <cellStyle name="60% - Énfasis6" xfId="42" builtinId="52" customBuiltin="1"/>
    <cellStyle name="Bueno" xfId="7" builtinId="26" customBuiltin="1"/>
    <cellStyle name="Cálculo" xfId="12" builtinId="22" customBuiltin="1"/>
    <cellStyle name="Celda de comprobación" xfId="14" builtinId="23" customBuiltin="1"/>
    <cellStyle name="Celda vinculada" xfId="13" builtinId="24" customBuiltin="1"/>
    <cellStyle name="Encabezado 1" xfId="3" builtinId="16" customBuiltin="1"/>
    <cellStyle name="Encabezado 4" xfId="6" builtinId="19" customBuiltin="1"/>
    <cellStyle name="Énfasis1" xfId="19" builtinId="29" customBuiltin="1"/>
    <cellStyle name="Énfasis2" xfId="23" builtinId="33" customBuiltin="1"/>
    <cellStyle name="Énfasis3" xfId="27" builtinId="37" customBuiltin="1"/>
    <cellStyle name="Énfasis4" xfId="31" builtinId="41" customBuiltin="1"/>
    <cellStyle name="Énfasis5" xfId="35" builtinId="45" customBuiltin="1"/>
    <cellStyle name="Énfasis6" xfId="39" builtinId="49" customBuiltin="1"/>
    <cellStyle name="Entrada" xfId="10" builtinId="20" customBuiltin="1"/>
    <cellStyle name="Incorrecto" xfId="8" builtinId="27" customBuiltin="1"/>
    <cellStyle name="Millares" xfId="43" builtinId="3"/>
    <cellStyle name="Neutral" xfId="9" builtinId="28" customBuiltin="1"/>
    <cellStyle name="Normal" xfId="0" builtinId="0"/>
    <cellStyle name="Normal 2" xfId="44" xr:uid="{BD8374EA-58CE-4B0D-AE31-D259419460DB}"/>
    <cellStyle name="Normal 2 2" xfId="46" xr:uid="{06C535D4-AD6A-4CE9-A4D2-B1DA926D9A54}"/>
    <cellStyle name="Normal 3" xfId="45" xr:uid="{36E35D61-9097-4B3E-B3C6-3DE54C4DFFDA}"/>
    <cellStyle name="Notas" xfId="16" builtinId="10" customBuiltin="1"/>
    <cellStyle name="Porcentaje" xfId="1" builtinId="5"/>
    <cellStyle name="Salida" xfId="11" builtinId="21" customBuiltin="1"/>
    <cellStyle name="Texto de advertencia" xfId="15" builtinId="11" customBuiltin="1"/>
    <cellStyle name="Texto explicativo" xfId="17" builtinId="53" customBuiltin="1"/>
    <cellStyle name="Título" xfId="2" builtinId="15" customBuiltin="1"/>
    <cellStyle name="Título 2" xfId="4" builtinId="17" customBuiltin="1"/>
    <cellStyle name="Título 3" xfId="5" builtinId="18" customBuiltin="1"/>
    <cellStyle name="Total" xfId="18" builtinId="25" customBuiltin="1"/>
  </cellStyles>
  <dxfs count="1124">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sz val="12"/>
      </font>
    </dxf>
    <dxf>
      <font>
        <b/>
      </font>
    </dxf>
    <dxf>
      <border>
        <left style="thin">
          <color theme="0"/>
        </left>
        <right style="thin">
          <color theme="0"/>
        </right>
        <bottom style="thin">
          <color theme="0"/>
        </bottom>
        <vertical style="thin">
          <color theme="0"/>
        </vertical>
        <horizontal style="thin">
          <color theme="0"/>
        </horizontal>
      </border>
    </dxf>
    <dxf>
      <font>
        <color theme="0"/>
      </font>
    </dxf>
    <dxf>
      <fill>
        <patternFill patternType="solid">
          <bgColor theme="1"/>
        </patternFill>
      </fill>
    </dxf>
    <dxf>
      <border>
        <left style="thin">
          <color theme="0"/>
        </left>
        <right style="thin">
          <color theme="0"/>
        </right>
        <top style="thin">
          <color theme="0"/>
        </top>
        <bottom style="thin">
          <color theme="0"/>
        </bottom>
        <vertical style="thin">
          <color theme="0"/>
        </vertical>
        <horizontal style="thin">
          <color theme="0"/>
        </horizontal>
      </border>
    </dxf>
    <dxf>
      <font>
        <color theme="0"/>
      </font>
    </dxf>
    <dxf>
      <fill>
        <patternFill patternType="solid">
          <bgColor theme="1"/>
        </patternFill>
      </fill>
    </dxf>
    <dxf>
      <font>
        <b/>
        <color rgb="FF314C59"/>
        <name val="Arial"/>
        <scheme val="none"/>
      </font>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ill>
        <patternFill>
          <bgColor rgb="FFFF0000"/>
        </patternFill>
      </fill>
    </dxf>
    <dxf>
      <fill>
        <patternFill>
          <bgColor rgb="FFFF0000"/>
        </patternFill>
      </fill>
    </dxf>
    <dxf>
      <font>
        <b/>
        <i val="0"/>
        <color theme="0"/>
      </font>
      <fill>
        <patternFill>
          <bgColor rgb="FFFF0000"/>
        </patternFill>
      </fill>
    </dxf>
    <dxf>
      <font>
        <b/>
        <i val="0"/>
        <color auto="1"/>
      </font>
      <fill>
        <patternFill>
          <bgColor rgb="FFFFFF00"/>
        </patternFill>
      </fill>
    </dxf>
    <dxf>
      <font>
        <b/>
        <i val="0"/>
      </font>
      <fill>
        <patternFill>
          <bgColor rgb="FFFFFF00"/>
        </patternFill>
      </fill>
    </dxf>
    <dxf>
      <font>
        <color theme="0"/>
      </font>
      <fill>
        <patternFill>
          <bgColor rgb="FFFF0000"/>
        </patternFill>
      </fill>
    </dxf>
    <dxf>
      <font>
        <b/>
        <i val="0"/>
        <color auto="1"/>
      </font>
      <fill>
        <patternFill>
          <bgColor rgb="FFFFFF00"/>
        </patternFill>
      </fill>
    </dxf>
    <dxf>
      <font>
        <color theme="0"/>
      </font>
      <fill>
        <patternFill>
          <bgColor rgb="FF00B050"/>
        </patternFill>
      </fill>
    </dxf>
    <dxf>
      <font>
        <color theme="0"/>
      </font>
      <fill>
        <patternFill>
          <bgColor rgb="FFFF0000"/>
        </patternFill>
      </fill>
    </dxf>
    <dxf>
      <font>
        <b/>
        <i val="0"/>
        <color auto="1"/>
      </font>
      <fill>
        <patternFill>
          <bgColor rgb="FFFFFF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ill>
        <patternFill>
          <bgColor rgb="FFFFFF00"/>
        </patternFill>
      </fill>
    </dxf>
    <dxf>
      <fill>
        <patternFill>
          <bgColor rgb="FFFFC000"/>
        </patternFill>
      </fill>
    </dxf>
    <dxf>
      <fill>
        <patternFill>
          <bgColor rgb="FFFFFF0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FF00"/>
        </patternFill>
      </fill>
    </dxf>
    <dxf>
      <fill>
        <patternFill>
          <bgColor rgb="FFFFC000"/>
        </patternFill>
      </fill>
    </dxf>
    <dxf>
      <fill>
        <patternFill>
          <bgColor rgb="FFFFFF00"/>
        </patternFill>
      </fill>
    </dxf>
    <dxf>
      <fill>
        <patternFill>
          <bgColor rgb="FFFFC00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s-AR" sz="3200"/>
              <a:t>Evolución de las UTI</a:t>
            </a:r>
          </a:p>
        </c:rich>
      </c:tx>
      <c:layout>
        <c:manualLayout>
          <c:xMode val="edge"/>
          <c:yMode val="edge"/>
          <c:x val="0.47020491091961936"/>
          <c:y val="5.5749752967137935E-3"/>
        </c:manualLayout>
      </c:layout>
      <c:overlay val="0"/>
      <c:spPr>
        <a:noFill/>
        <a:ln>
          <a:noFill/>
        </a:ln>
        <a:effectLst/>
      </c:spPr>
      <c:txPr>
        <a:bodyPr rot="0" spcFirstLastPara="1" vertOverflow="ellipsis" vert="horz" wrap="square" anchor="ctr" anchorCtr="1"/>
        <a:lstStyle/>
        <a:p>
          <a:pPr>
            <a:defRPr sz="3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s-AR"/>
        </a:p>
      </c:txPr>
    </c:title>
    <c:autoTitleDeleted val="0"/>
    <c:plotArea>
      <c:layout>
        <c:manualLayout>
          <c:layoutTarget val="inner"/>
          <c:xMode val="edge"/>
          <c:yMode val="edge"/>
          <c:x val="4.5104828360665171E-2"/>
          <c:y val="6.3820574552910153E-2"/>
          <c:w val="0.92148254631336246"/>
          <c:h val="0.85297923168060907"/>
        </c:manualLayout>
      </c:layout>
      <c:barChart>
        <c:barDir val="col"/>
        <c:grouping val="clustered"/>
        <c:varyColors val="0"/>
        <c:ser>
          <c:idx val="0"/>
          <c:order val="0"/>
          <c:tx>
            <c:strRef>
              <c:f>UTI!$B$1</c:f>
              <c:strCache>
                <c:ptCount val="1"/>
                <c:pt idx="0">
                  <c:v>CANTIDAD</c:v>
                </c:pt>
              </c:strCache>
            </c:strRef>
          </c:tx>
          <c:spPr>
            <a:solidFill>
              <a:schemeClr val="accent1">
                <a:lumMod val="60000"/>
                <a:lumOff val="40000"/>
              </a:schemeClr>
            </a:solidFill>
            <a:ln>
              <a:noFill/>
            </a:ln>
            <a:effectLst>
              <a:outerShdw blurRad="57150" dist="19050" dir="5400000" algn="ctr" rotWithShape="0">
                <a:srgbClr val="000000">
                  <a:alpha val="63000"/>
                </a:srgbClr>
              </a:outerShdw>
            </a:effectLst>
          </c:spPr>
          <c:invertIfNegative val="0"/>
          <c:dPt>
            <c:idx val="87"/>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3-6E5D-407B-BB78-9B75AEBC3EC6}"/>
              </c:ext>
            </c:extLst>
          </c:dPt>
          <c:dPt>
            <c:idx val="89"/>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4-6E5D-407B-BB78-9B75AEBC3EC6}"/>
              </c:ext>
            </c:extLst>
          </c:dPt>
          <c:dPt>
            <c:idx val="90"/>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C-6E5D-407B-BB78-9B75AEBC3EC6}"/>
              </c:ext>
            </c:extLst>
          </c:dPt>
          <c:cat>
            <c:numRef>
              <c:f>UTI!$A$162:$A$263</c:f>
              <c:numCache>
                <c:formatCode>m/d/yyyy</c:formatCode>
                <c:ptCount val="102"/>
                <c:pt idx="0">
                  <c:v>44255</c:v>
                </c:pt>
                <c:pt idx="1">
                  <c:v>44256</c:v>
                </c:pt>
                <c:pt idx="2">
                  <c:v>44257</c:v>
                </c:pt>
                <c:pt idx="3">
                  <c:v>44258</c:v>
                </c:pt>
                <c:pt idx="4">
                  <c:v>44259</c:v>
                </c:pt>
                <c:pt idx="5">
                  <c:v>44260</c:v>
                </c:pt>
                <c:pt idx="6">
                  <c:v>44261</c:v>
                </c:pt>
                <c:pt idx="7">
                  <c:v>44262</c:v>
                </c:pt>
                <c:pt idx="8">
                  <c:v>44263</c:v>
                </c:pt>
                <c:pt idx="9">
                  <c:v>44264</c:v>
                </c:pt>
                <c:pt idx="10">
                  <c:v>44265</c:v>
                </c:pt>
                <c:pt idx="11">
                  <c:v>44266</c:v>
                </c:pt>
                <c:pt idx="12">
                  <c:v>44267</c:v>
                </c:pt>
                <c:pt idx="13">
                  <c:v>44268</c:v>
                </c:pt>
                <c:pt idx="14">
                  <c:v>44269</c:v>
                </c:pt>
                <c:pt idx="15">
                  <c:v>44270</c:v>
                </c:pt>
                <c:pt idx="16">
                  <c:v>44271</c:v>
                </c:pt>
                <c:pt idx="17">
                  <c:v>44272</c:v>
                </c:pt>
                <c:pt idx="18">
                  <c:v>44273</c:v>
                </c:pt>
                <c:pt idx="19">
                  <c:v>44274</c:v>
                </c:pt>
                <c:pt idx="20">
                  <c:v>44275</c:v>
                </c:pt>
                <c:pt idx="21">
                  <c:v>44276</c:v>
                </c:pt>
                <c:pt idx="22">
                  <c:v>44277</c:v>
                </c:pt>
                <c:pt idx="23">
                  <c:v>44278</c:v>
                </c:pt>
                <c:pt idx="24">
                  <c:v>44279</c:v>
                </c:pt>
                <c:pt idx="25">
                  <c:v>44280</c:v>
                </c:pt>
                <c:pt idx="26">
                  <c:v>44281</c:v>
                </c:pt>
                <c:pt idx="27">
                  <c:v>44282</c:v>
                </c:pt>
                <c:pt idx="28">
                  <c:v>44283</c:v>
                </c:pt>
                <c:pt idx="29">
                  <c:v>44284</c:v>
                </c:pt>
                <c:pt idx="30">
                  <c:v>44285</c:v>
                </c:pt>
                <c:pt idx="31">
                  <c:v>44286</c:v>
                </c:pt>
                <c:pt idx="32">
                  <c:v>44287</c:v>
                </c:pt>
                <c:pt idx="33">
                  <c:v>44288</c:v>
                </c:pt>
                <c:pt idx="34">
                  <c:v>44289</c:v>
                </c:pt>
                <c:pt idx="35">
                  <c:v>44290</c:v>
                </c:pt>
                <c:pt idx="36">
                  <c:v>44291</c:v>
                </c:pt>
                <c:pt idx="37">
                  <c:v>44292</c:v>
                </c:pt>
                <c:pt idx="38">
                  <c:v>44293</c:v>
                </c:pt>
                <c:pt idx="39">
                  <c:v>44294</c:v>
                </c:pt>
                <c:pt idx="40">
                  <c:v>44295</c:v>
                </c:pt>
                <c:pt idx="41">
                  <c:v>44296</c:v>
                </c:pt>
                <c:pt idx="42">
                  <c:v>44297</c:v>
                </c:pt>
                <c:pt idx="43">
                  <c:v>44298</c:v>
                </c:pt>
                <c:pt idx="44">
                  <c:v>44299</c:v>
                </c:pt>
                <c:pt idx="45">
                  <c:v>44300</c:v>
                </c:pt>
                <c:pt idx="46">
                  <c:v>44301</c:v>
                </c:pt>
                <c:pt idx="47">
                  <c:v>44302</c:v>
                </c:pt>
                <c:pt idx="48">
                  <c:v>44303</c:v>
                </c:pt>
                <c:pt idx="49">
                  <c:v>44304</c:v>
                </c:pt>
                <c:pt idx="50">
                  <c:v>44305</c:v>
                </c:pt>
                <c:pt idx="51">
                  <c:v>44306</c:v>
                </c:pt>
                <c:pt idx="52">
                  <c:v>44307</c:v>
                </c:pt>
                <c:pt idx="53">
                  <c:v>44308</c:v>
                </c:pt>
                <c:pt idx="54">
                  <c:v>44309</c:v>
                </c:pt>
                <c:pt idx="55">
                  <c:v>44310</c:v>
                </c:pt>
                <c:pt idx="56">
                  <c:v>44311</c:v>
                </c:pt>
                <c:pt idx="57">
                  <c:v>44312</c:v>
                </c:pt>
                <c:pt idx="58">
                  <c:v>44313</c:v>
                </c:pt>
                <c:pt idx="59">
                  <c:v>44314</c:v>
                </c:pt>
                <c:pt idx="60">
                  <c:v>44315</c:v>
                </c:pt>
                <c:pt idx="61">
                  <c:v>44316</c:v>
                </c:pt>
                <c:pt idx="62">
                  <c:v>44317</c:v>
                </c:pt>
                <c:pt idx="63">
                  <c:v>44318</c:v>
                </c:pt>
                <c:pt idx="64">
                  <c:v>44319</c:v>
                </c:pt>
                <c:pt idx="65">
                  <c:v>44320</c:v>
                </c:pt>
                <c:pt idx="66">
                  <c:v>44321</c:v>
                </c:pt>
                <c:pt idx="67">
                  <c:v>44322</c:v>
                </c:pt>
                <c:pt idx="68">
                  <c:v>44323</c:v>
                </c:pt>
                <c:pt idx="69">
                  <c:v>44324</c:v>
                </c:pt>
                <c:pt idx="70">
                  <c:v>44325</c:v>
                </c:pt>
                <c:pt idx="71">
                  <c:v>44326</c:v>
                </c:pt>
                <c:pt idx="72">
                  <c:v>44327</c:v>
                </c:pt>
                <c:pt idx="73">
                  <c:v>44328</c:v>
                </c:pt>
                <c:pt idx="74">
                  <c:v>44329</c:v>
                </c:pt>
                <c:pt idx="75">
                  <c:v>44330</c:v>
                </c:pt>
                <c:pt idx="76">
                  <c:v>44331</c:v>
                </c:pt>
                <c:pt idx="77">
                  <c:v>44332</c:v>
                </c:pt>
                <c:pt idx="78">
                  <c:v>44333</c:v>
                </c:pt>
                <c:pt idx="79">
                  <c:v>44334</c:v>
                </c:pt>
                <c:pt idx="80">
                  <c:v>44335</c:v>
                </c:pt>
                <c:pt idx="81">
                  <c:v>44336</c:v>
                </c:pt>
                <c:pt idx="82">
                  <c:v>44337</c:v>
                </c:pt>
                <c:pt idx="83">
                  <c:v>44338</c:v>
                </c:pt>
                <c:pt idx="84">
                  <c:v>44339</c:v>
                </c:pt>
                <c:pt idx="85">
                  <c:v>44340</c:v>
                </c:pt>
                <c:pt idx="86">
                  <c:v>44341</c:v>
                </c:pt>
                <c:pt idx="87">
                  <c:v>44342</c:v>
                </c:pt>
                <c:pt idx="88">
                  <c:v>44343</c:v>
                </c:pt>
                <c:pt idx="89">
                  <c:v>44344</c:v>
                </c:pt>
                <c:pt idx="90">
                  <c:v>44345</c:v>
                </c:pt>
                <c:pt idx="91">
                  <c:v>44346</c:v>
                </c:pt>
                <c:pt idx="92">
                  <c:v>44347</c:v>
                </c:pt>
                <c:pt idx="93">
                  <c:v>44348</c:v>
                </c:pt>
                <c:pt idx="94">
                  <c:v>44349</c:v>
                </c:pt>
                <c:pt idx="95">
                  <c:v>44350</c:v>
                </c:pt>
                <c:pt idx="96">
                  <c:v>44351</c:v>
                </c:pt>
                <c:pt idx="97">
                  <c:v>44352</c:v>
                </c:pt>
                <c:pt idx="98">
                  <c:v>44353</c:v>
                </c:pt>
                <c:pt idx="99">
                  <c:v>44354</c:v>
                </c:pt>
                <c:pt idx="100">
                  <c:v>44355</c:v>
                </c:pt>
                <c:pt idx="101">
                  <c:v>44356</c:v>
                </c:pt>
              </c:numCache>
            </c:numRef>
          </c:cat>
          <c:val>
            <c:numRef>
              <c:f>UTI!$B$162:$B$263</c:f>
              <c:numCache>
                <c:formatCode>0</c:formatCode>
                <c:ptCount val="102"/>
                <c:pt idx="0">
                  <c:v>3505</c:v>
                </c:pt>
                <c:pt idx="1">
                  <c:v>3505</c:v>
                </c:pt>
                <c:pt idx="2">
                  <c:v>3527</c:v>
                </c:pt>
                <c:pt idx="3">
                  <c:v>3521</c:v>
                </c:pt>
                <c:pt idx="4">
                  <c:v>3489</c:v>
                </c:pt>
                <c:pt idx="5">
                  <c:v>3485</c:v>
                </c:pt>
                <c:pt idx="6">
                  <c:v>3475</c:v>
                </c:pt>
                <c:pt idx="7">
                  <c:v>3467</c:v>
                </c:pt>
                <c:pt idx="8">
                  <c:v>3484</c:v>
                </c:pt>
                <c:pt idx="9">
                  <c:v>3525</c:v>
                </c:pt>
                <c:pt idx="10">
                  <c:v>3491</c:v>
                </c:pt>
                <c:pt idx="11">
                  <c:v>3438</c:v>
                </c:pt>
                <c:pt idx="12">
                  <c:v>3417</c:v>
                </c:pt>
                <c:pt idx="13">
                  <c:v>3454</c:v>
                </c:pt>
                <c:pt idx="14">
                  <c:v>3479</c:v>
                </c:pt>
                <c:pt idx="15">
                  <c:v>3469</c:v>
                </c:pt>
                <c:pt idx="16">
                  <c:v>3469</c:v>
                </c:pt>
                <c:pt idx="17">
                  <c:v>3485</c:v>
                </c:pt>
                <c:pt idx="18">
                  <c:v>3522</c:v>
                </c:pt>
                <c:pt idx="19">
                  <c:v>3534</c:v>
                </c:pt>
                <c:pt idx="20">
                  <c:v>3534</c:v>
                </c:pt>
                <c:pt idx="21">
                  <c:v>3534</c:v>
                </c:pt>
                <c:pt idx="22">
                  <c:v>3530</c:v>
                </c:pt>
                <c:pt idx="23">
                  <c:v>3591</c:v>
                </c:pt>
                <c:pt idx="24">
                  <c:v>3574</c:v>
                </c:pt>
                <c:pt idx="25">
                  <c:v>3585</c:v>
                </c:pt>
                <c:pt idx="26">
                  <c:v>3508</c:v>
                </c:pt>
                <c:pt idx="27">
                  <c:v>3506</c:v>
                </c:pt>
                <c:pt idx="28">
                  <c:v>3505</c:v>
                </c:pt>
                <c:pt idx="29">
                  <c:v>3639</c:v>
                </c:pt>
                <c:pt idx="30">
                  <c:v>3702</c:v>
                </c:pt>
                <c:pt idx="31">
                  <c:v>3638</c:v>
                </c:pt>
                <c:pt idx="32">
                  <c:v>3639</c:v>
                </c:pt>
                <c:pt idx="33">
                  <c:v>3619</c:v>
                </c:pt>
                <c:pt idx="34">
                  <c:v>3618</c:v>
                </c:pt>
                <c:pt idx="35">
                  <c:v>3626</c:v>
                </c:pt>
                <c:pt idx="36">
                  <c:v>3652</c:v>
                </c:pt>
                <c:pt idx="37">
                  <c:v>3642</c:v>
                </c:pt>
                <c:pt idx="38">
                  <c:v>3706</c:v>
                </c:pt>
                <c:pt idx="39">
                  <c:v>3742</c:v>
                </c:pt>
                <c:pt idx="40">
                  <c:v>3718</c:v>
                </c:pt>
                <c:pt idx="41">
                  <c:v>3761</c:v>
                </c:pt>
                <c:pt idx="42">
                  <c:v>3789</c:v>
                </c:pt>
                <c:pt idx="43">
                  <c:v>3819</c:v>
                </c:pt>
                <c:pt idx="44">
                  <c:v>3836</c:v>
                </c:pt>
                <c:pt idx="45">
                  <c:v>3879</c:v>
                </c:pt>
                <c:pt idx="46">
                  <c:v>3900</c:v>
                </c:pt>
                <c:pt idx="47">
                  <c:v>3971</c:v>
                </c:pt>
                <c:pt idx="48">
                  <c:v>3977</c:v>
                </c:pt>
                <c:pt idx="49">
                  <c:v>4105</c:v>
                </c:pt>
                <c:pt idx="50">
                  <c:v>4304</c:v>
                </c:pt>
                <c:pt idx="51">
                  <c:v>4366</c:v>
                </c:pt>
                <c:pt idx="52">
                  <c:v>4492</c:v>
                </c:pt>
                <c:pt idx="53">
                  <c:v>4791</c:v>
                </c:pt>
                <c:pt idx="54">
                  <c:v>4805</c:v>
                </c:pt>
                <c:pt idx="55">
                  <c:v>4858</c:v>
                </c:pt>
                <c:pt idx="56">
                  <c:v>4942</c:v>
                </c:pt>
                <c:pt idx="57">
                  <c:v>5036</c:v>
                </c:pt>
                <c:pt idx="58">
                  <c:v>5134</c:v>
                </c:pt>
                <c:pt idx="59">
                  <c:v>5178</c:v>
                </c:pt>
                <c:pt idx="60">
                  <c:v>5317</c:v>
                </c:pt>
                <c:pt idx="61">
                  <c:v>5369</c:v>
                </c:pt>
                <c:pt idx="62">
                  <c:v>5370</c:v>
                </c:pt>
                <c:pt idx="63">
                  <c:v>5371</c:v>
                </c:pt>
                <c:pt idx="64">
                  <c:v>5426</c:v>
                </c:pt>
                <c:pt idx="65">
                  <c:v>5389</c:v>
                </c:pt>
                <c:pt idx="66">
                  <c:v>5342</c:v>
                </c:pt>
                <c:pt idx="67">
                  <c:v>5299</c:v>
                </c:pt>
                <c:pt idx="68">
                  <c:v>5268</c:v>
                </c:pt>
                <c:pt idx="69">
                  <c:v>5285</c:v>
                </c:pt>
                <c:pt idx="70">
                  <c:v>5294</c:v>
                </c:pt>
                <c:pt idx="71">
                  <c:v>5357</c:v>
                </c:pt>
                <c:pt idx="72">
                  <c:v>5375</c:v>
                </c:pt>
                <c:pt idx="73">
                  <c:v>5394</c:v>
                </c:pt>
                <c:pt idx="74">
                  <c:v>5420</c:v>
                </c:pt>
                <c:pt idx="75">
                  <c:v>5457</c:v>
                </c:pt>
                <c:pt idx="76">
                  <c:v>5517</c:v>
                </c:pt>
                <c:pt idx="77">
                  <c:v>5538</c:v>
                </c:pt>
                <c:pt idx="78">
                  <c:v>5690</c:v>
                </c:pt>
                <c:pt idx="79">
                  <c:v>5813</c:v>
                </c:pt>
                <c:pt idx="80">
                  <c:v>5877</c:v>
                </c:pt>
                <c:pt idx="81">
                  <c:v>5951</c:v>
                </c:pt>
                <c:pt idx="82">
                  <c:v>6027</c:v>
                </c:pt>
                <c:pt idx="83">
                  <c:v>6138</c:v>
                </c:pt>
                <c:pt idx="84">
                  <c:v>6214</c:v>
                </c:pt>
                <c:pt idx="85">
                  <c:v>6373</c:v>
                </c:pt>
                <c:pt idx="86">
                  <c:v>6552</c:v>
                </c:pt>
                <c:pt idx="87">
                  <c:v>6644</c:v>
                </c:pt>
                <c:pt idx="88">
                  <c:v>6802</c:v>
                </c:pt>
                <c:pt idx="89">
                  <c:v>6872</c:v>
                </c:pt>
                <c:pt idx="90">
                  <c:v>6909</c:v>
                </c:pt>
                <c:pt idx="91">
                  <c:v>7206</c:v>
                </c:pt>
                <c:pt idx="92">
                  <c:v>7325</c:v>
                </c:pt>
                <c:pt idx="93">
                  <c:v>7417</c:v>
                </c:pt>
                <c:pt idx="94">
                  <c:v>7614</c:v>
                </c:pt>
                <c:pt idx="95">
                  <c:v>7698</c:v>
                </c:pt>
                <c:pt idx="96">
                  <c:v>7668</c:v>
                </c:pt>
                <c:pt idx="97">
                  <c:v>7731</c:v>
                </c:pt>
                <c:pt idx="98">
                  <c:v>7776</c:v>
                </c:pt>
                <c:pt idx="99">
                  <c:v>7827</c:v>
                </c:pt>
                <c:pt idx="100">
                  <c:v>7794</c:v>
                </c:pt>
                <c:pt idx="101">
                  <c:v>7769</c:v>
                </c:pt>
              </c:numCache>
            </c:numRef>
          </c:val>
          <c:extLst>
            <c:ext xmlns:c16="http://schemas.microsoft.com/office/drawing/2014/chart" uri="{C3380CC4-5D6E-409C-BE32-E72D297353CC}">
              <c16:uniqueId val="{00000000-DF4A-4EFF-A2B2-57D970193DE6}"/>
            </c:ext>
          </c:extLst>
        </c:ser>
        <c:dLbls>
          <c:showLegendKey val="0"/>
          <c:showVal val="0"/>
          <c:showCatName val="0"/>
          <c:showSerName val="0"/>
          <c:showPercent val="0"/>
          <c:showBubbleSize val="0"/>
        </c:dLbls>
        <c:gapWidth val="50"/>
        <c:axId val="623595352"/>
        <c:axId val="623590432"/>
      </c:barChart>
      <c:lineChart>
        <c:grouping val="standard"/>
        <c:varyColors val="0"/>
        <c:ser>
          <c:idx val="1"/>
          <c:order val="1"/>
          <c:tx>
            <c:strRef>
              <c:f>UTI!$C$1</c:f>
              <c:strCache>
                <c:ptCount val="1"/>
                <c:pt idx="0">
                  <c:v>% NACION</c:v>
                </c:pt>
              </c:strCache>
            </c:strRef>
          </c:tx>
          <c:spPr>
            <a:ln w="34925" cap="rnd">
              <a:solidFill>
                <a:srgbClr val="FFC000"/>
              </a:solidFill>
              <a:round/>
            </a:ln>
            <a:effectLst>
              <a:glow rad="190500">
                <a:schemeClr val="accent4">
                  <a:satMod val="175000"/>
                  <a:alpha val="40000"/>
                </a:schemeClr>
              </a:glow>
            </a:effectLst>
          </c:spPr>
          <c:marker>
            <c:symbol val="none"/>
          </c:marker>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021-4C85-BBB9-CC3CD43D3F67}"/>
                </c:ext>
              </c:extLst>
            </c:dLbl>
            <c:dLbl>
              <c:idx val="101"/>
              <c:spPr>
                <a:solidFill>
                  <a:srgbClr val="FFFF00"/>
                </a:solid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ysClr val="windowText" lastClr="000000"/>
                      </a:solidFill>
                      <a:latin typeface="+mn-lt"/>
                      <a:ea typeface="+mn-ea"/>
                      <a:cs typeface="+mn-cs"/>
                    </a:defRPr>
                  </a:pPr>
                  <a:endParaRPr lang="es-A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469C-4A71-AD6C-E1F8B1036769}"/>
                </c:ext>
              </c:extLst>
            </c:dLbl>
            <c:spPr>
              <a:solidFill>
                <a:srgbClr val="FFFF00"/>
              </a:solid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ysClr val="windowText" lastClr="000000"/>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numRef>
              <c:f>UTI!$A$162:$A$263</c:f>
              <c:numCache>
                <c:formatCode>m/d/yyyy</c:formatCode>
                <c:ptCount val="102"/>
                <c:pt idx="0">
                  <c:v>44255</c:v>
                </c:pt>
                <c:pt idx="1">
                  <c:v>44256</c:v>
                </c:pt>
                <c:pt idx="2">
                  <c:v>44257</c:v>
                </c:pt>
                <c:pt idx="3">
                  <c:v>44258</c:v>
                </c:pt>
                <c:pt idx="4">
                  <c:v>44259</c:v>
                </c:pt>
                <c:pt idx="5">
                  <c:v>44260</c:v>
                </c:pt>
                <c:pt idx="6">
                  <c:v>44261</c:v>
                </c:pt>
                <c:pt idx="7">
                  <c:v>44262</c:v>
                </c:pt>
                <c:pt idx="8">
                  <c:v>44263</c:v>
                </c:pt>
                <c:pt idx="9">
                  <c:v>44264</c:v>
                </c:pt>
                <c:pt idx="10">
                  <c:v>44265</c:v>
                </c:pt>
                <c:pt idx="11">
                  <c:v>44266</c:v>
                </c:pt>
                <c:pt idx="12">
                  <c:v>44267</c:v>
                </c:pt>
                <c:pt idx="13">
                  <c:v>44268</c:v>
                </c:pt>
                <c:pt idx="14">
                  <c:v>44269</c:v>
                </c:pt>
                <c:pt idx="15">
                  <c:v>44270</c:v>
                </c:pt>
                <c:pt idx="16">
                  <c:v>44271</c:v>
                </c:pt>
                <c:pt idx="17">
                  <c:v>44272</c:v>
                </c:pt>
                <c:pt idx="18">
                  <c:v>44273</c:v>
                </c:pt>
                <c:pt idx="19">
                  <c:v>44274</c:v>
                </c:pt>
                <c:pt idx="20">
                  <c:v>44275</c:v>
                </c:pt>
                <c:pt idx="21">
                  <c:v>44276</c:v>
                </c:pt>
                <c:pt idx="22">
                  <c:v>44277</c:v>
                </c:pt>
                <c:pt idx="23">
                  <c:v>44278</c:v>
                </c:pt>
                <c:pt idx="24">
                  <c:v>44279</c:v>
                </c:pt>
                <c:pt idx="25">
                  <c:v>44280</c:v>
                </c:pt>
                <c:pt idx="26">
                  <c:v>44281</c:v>
                </c:pt>
                <c:pt idx="27">
                  <c:v>44282</c:v>
                </c:pt>
                <c:pt idx="28">
                  <c:v>44283</c:v>
                </c:pt>
                <c:pt idx="29">
                  <c:v>44284</c:v>
                </c:pt>
                <c:pt idx="30">
                  <c:v>44285</c:v>
                </c:pt>
                <c:pt idx="31">
                  <c:v>44286</c:v>
                </c:pt>
                <c:pt idx="32">
                  <c:v>44287</c:v>
                </c:pt>
                <c:pt idx="33">
                  <c:v>44288</c:v>
                </c:pt>
                <c:pt idx="34">
                  <c:v>44289</c:v>
                </c:pt>
                <c:pt idx="35">
                  <c:v>44290</c:v>
                </c:pt>
                <c:pt idx="36">
                  <c:v>44291</c:v>
                </c:pt>
                <c:pt idx="37">
                  <c:v>44292</c:v>
                </c:pt>
                <c:pt idx="38">
                  <c:v>44293</c:v>
                </c:pt>
                <c:pt idx="39">
                  <c:v>44294</c:v>
                </c:pt>
                <c:pt idx="40">
                  <c:v>44295</c:v>
                </c:pt>
                <c:pt idx="41">
                  <c:v>44296</c:v>
                </c:pt>
                <c:pt idx="42">
                  <c:v>44297</c:v>
                </c:pt>
                <c:pt idx="43">
                  <c:v>44298</c:v>
                </c:pt>
                <c:pt idx="44">
                  <c:v>44299</c:v>
                </c:pt>
                <c:pt idx="45">
                  <c:v>44300</c:v>
                </c:pt>
                <c:pt idx="46">
                  <c:v>44301</c:v>
                </c:pt>
                <c:pt idx="47">
                  <c:v>44302</c:v>
                </c:pt>
                <c:pt idx="48">
                  <c:v>44303</c:v>
                </c:pt>
                <c:pt idx="49">
                  <c:v>44304</c:v>
                </c:pt>
                <c:pt idx="50">
                  <c:v>44305</c:v>
                </c:pt>
                <c:pt idx="51">
                  <c:v>44306</c:v>
                </c:pt>
                <c:pt idx="52">
                  <c:v>44307</c:v>
                </c:pt>
                <c:pt idx="53">
                  <c:v>44308</c:v>
                </c:pt>
                <c:pt idx="54">
                  <c:v>44309</c:v>
                </c:pt>
                <c:pt idx="55">
                  <c:v>44310</c:v>
                </c:pt>
                <c:pt idx="56">
                  <c:v>44311</c:v>
                </c:pt>
                <c:pt idx="57">
                  <c:v>44312</c:v>
                </c:pt>
                <c:pt idx="58">
                  <c:v>44313</c:v>
                </c:pt>
                <c:pt idx="59">
                  <c:v>44314</c:v>
                </c:pt>
                <c:pt idx="60">
                  <c:v>44315</c:v>
                </c:pt>
                <c:pt idx="61">
                  <c:v>44316</c:v>
                </c:pt>
                <c:pt idx="62">
                  <c:v>44317</c:v>
                </c:pt>
                <c:pt idx="63">
                  <c:v>44318</c:v>
                </c:pt>
                <c:pt idx="64">
                  <c:v>44319</c:v>
                </c:pt>
                <c:pt idx="65">
                  <c:v>44320</c:v>
                </c:pt>
                <c:pt idx="66">
                  <c:v>44321</c:v>
                </c:pt>
                <c:pt idx="67">
                  <c:v>44322</c:v>
                </c:pt>
                <c:pt idx="68">
                  <c:v>44323</c:v>
                </c:pt>
                <c:pt idx="69">
                  <c:v>44324</c:v>
                </c:pt>
                <c:pt idx="70">
                  <c:v>44325</c:v>
                </c:pt>
                <c:pt idx="71">
                  <c:v>44326</c:v>
                </c:pt>
                <c:pt idx="72">
                  <c:v>44327</c:v>
                </c:pt>
                <c:pt idx="73">
                  <c:v>44328</c:v>
                </c:pt>
                <c:pt idx="74">
                  <c:v>44329</c:v>
                </c:pt>
                <c:pt idx="75">
                  <c:v>44330</c:v>
                </c:pt>
                <c:pt idx="76">
                  <c:v>44331</c:v>
                </c:pt>
                <c:pt idx="77">
                  <c:v>44332</c:v>
                </c:pt>
                <c:pt idx="78">
                  <c:v>44333</c:v>
                </c:pt>
                <c:pt idx="79">
                  <c:v>44334</c:v>
                </c:pt>
                <c:pt idx="80">
                  <c:v>44335</c:v>
                </c:pt>
                <c:pt idx="81">
                  <c:v>44336</c:v>
                </c:pt>
                <c:pt idx="82">
                  <c:v>44337</c:v>
                </c:pt>
                <c:pt idx="83">
                  <c:v>44338</c:v>
                </c:pt>
                <c:pt idx="84">
                  <c:v>44339</c:v>
                </c:pt>
                <c:pt idx="85">
                  <c:v>44340</c:v>
                </c:pt>
                <c:pt idx="86">
                  <c:v>44341</c:v>
                </c:pt>
                <c:pt idx="87">
                  <c:v>44342</c:v>
                </c:pt>
                <c:pt idx="88">
                  <c:v>44343</c:v>
                </c:pt>
                <c:pt idx="89">
                  <c:v>44344</c:v>
                </c:pt>
                <c:pt idx="90">
                  <c:v>44345</c:v>
                </c:pt>
                <c:pt idx="91">
                  <c:v>44346</c:v>
                </c:pt>
                <c:pt idx="92">
                  <c:v>44347</c:v>
                </c:pt>
                <c:pt idx="93">
                  <c:v>44348</c:v>
                </c:pt>
                <c:pt idx="94">
                  <c:v>44349</c:v>
                </c:pt>
                <c:pt idx="95">
                  <c:v>44350</c:v>
                </c:pt>
                <c:pt idx="96">
                  <c:v>44351</c:v>
                </c:pt>
                <c:pt idx="97">
                  <c:v>44352</c:v>
                </c:pt>
                <c:pt idx="98">
                  <c:v>44353</c:v>
                </c:pt>
                <c:pt idx="99">
                  <c:v>44354</c:v>
                </c:pt>
                <c:pt idx="100">
                  <c:v>44355</c:v>
                </c:pt>
                <c:pt idx="101">
                  <c:v>44356</c:v>
                </c:pt>
              </c:numCache>
            </c:numRef>
          </c:cat>
          <c:val>
            <c:numRef>
              <c:f>UTI!$C$162:$C$263</c:f>
              <c:numCache>
                <c:formatCode>General</c:formatCode>
                <c:ptCount val="102"/>
                <c:pt idx="0">
                  <c:v>53.7</c:v>
                </c:pt>
                <c:pt idx="1">
                  <c:v>53.3</c:v>
                </c:pt>
                <c:pt idx="2">
                  <c:v>54</c:v>
                </c:pt>
                <c:pt idx="3">
                  <c:v>54.2</c:v>
                </c:pt>
                <c:pt idx="4">
                  <c:v>53.9</c:v>
                </c:pt>
                <c:pt idx="5">
                  <c:v>53.9</c:v>
                </c:pt>
                <c:pt idx="6">
                  <c:v>54.2</c:v>
                </c:pt>
                <c:pt idx="7">
                  <c:v>54</c:v>
                </c:pt>
                <c:pt idx="8">
                  <c:v>54.5</c:v>
                </c:pt>
                <c:pt idx="9">
                  <c:v>54.5</c:v>
                </c:pt>
                <c:pt idx="10">
                  <c:v>54.2</c:v>
                </c:pt>
                <c:pt idx="11">
                  <c:v>54.5</c:v>
                </c:pt>
                <c:pt idx="12">
                  <c:v>54.6</c:v>
                </c:pt>
                <c:pt idx="13">
                  <c:v>54.6</c:v>
                </c:pt>
                <c:pt idx="14">
                  <c:v>54.2</c:v>
                </c:pt>
                <c:pt idx="15">
                  <c:v>54.2</c:v>
                </c:pt>
                <c:pt idx="16">
                  <c:v>54.6</c:v>
                </c:pt>
                <c:pt idx="17">
                  <c:v>55.1</c:v>
                </c:pt>
                <c:pt idx="18">
                  <c:v>55.9</c:v>
                </c:pt>
                <c:pt idx="19">
                  <c:v>55.2</c:v>
                </c:pt>
                <c:pt idx="20">
                  <c:v>55.2</c:v>
                </c:pt>
                <c:pt idx="21">
                  <c:v>54.9</c:v>
                </c:pt>
                <c:pt idx="22">
                  <c:v>55</c:v>
                </c:pt>
                <c:pt idx="23">
                  <c:v>55.2</c:v>
                </c:pt>
                <c:pt idx="24">
                  <c:v>55.7</c:v>
                </c:pt>
                <c:pt idx="25">
                  <c:v>54.9</c:v>
                </c:pt>
                <c:pt idx="26">
                  <c:v>55.1</c:v>
                </c:pt>
                <c:pt idx="27">
                  <c:v>55.5</c:v>
                </c:pt>
                <c:pt idx="28">
                  <c:v>55.5</c:v>
                </c:pt>
                <c:pt idx="29">
                  <c:v>55.6</c:v>
                </c:pt>
                <c:pt idx="30">
                  <c:v>56</c:v>
                </c:pt>
                <c:pt idx="31">
                  <c:v>55.9</c:v>
                </c:pt>
                <c:pt idx="32">
                  <c:v>55.8</c:v>
                </c:pt>
                <c:pt idx="33">
                  <c:v>55.9</c:v>
                </c:pt>
                <c:pt idx="34">
                  <c:v>55.4</c:v>
                </c:pt>
                <c:pt idx="35">
                  <c:v>55.6</c:v>
                </c:pt>
                <c:pt idx="36">
                  <c:v>56.1</c:v>
                </c:pt>
                <c:pt idx="37">
                  <c:v>57.4</c:v>
                </c:pt>
                <c:pt idx="38">
                  <c:v>58.1</c:v>
                </c:pt>
                <c:pt idx="39">
                  <c:v>58.8</c:v>
                </c:pt>
                <c:pt idx="40">
                  <c:v>59.1</c:v>
                </c:pt>
                <c:pt idx="41">
                  <c:v>59.3</c:v>
                </c:pt>
                <c:pt idx="42">
                  <c:v>58.7</c:v>
                </c:pt>
                <c:pt idx="43">
                  <c:v>60.3</c:v>
                </c:pt>
                <c:pt idx="44">
                  <c:v>62.4</c:v>
                </c:pt>
                <c:pt idx="45">
                  <c:v>62.7</c:v>
                </c:pt>
                <c:pt idx="46">
                  <c:v>63.6</c:v>
                </c:pt>
                <c:pt idx="47">
                  <c:v>64.3</c:v>
                </c:pt>
                <c:pt idx="48">
                  <c:v>64.8</c:v>
                </c:pt>
                <c:pt idx="49">
                  <c:v>64.7</c:v>
                </c:pt>
                <c:pt idx="50">
                  <c:v>65.8</c:v>
                </c:pt>
                <c:pt idx="51">
                  <c:v>64.900000000000006</c:v>
                </c:pt>
                <c:pt idx="52">
                  <c:v>65.5</c:v>
                </c:pt>
                <c:pt idx="53">
                  <c:v>65.599999999999994</c:v>
                </c:pt>
                <c:pt idx="54">
                  <c:v>66.5</c:v>
                </c:pt>
                <c:pt idx="55">
                  <c:v>67.599999999999994</c:v>
                </c:pt>
                <c:pt idx="56">
                  <c:v>67.5</c:v>
                </c:pt>
                <c:pt idx="57">
                  <c:v>67.7</c:v>
                </c:pt>
                <c:pt idx="58">
                  <c:v>68.3</c:v>
                </c:pt>
                <c:pt idx="59">
                  <c:v>68.3</c:v>
                </c:pt>
                <c:pt idx="60">
                  <c:v>68.400000000000006</c:v>
                </c:pt>
                <c:pt idx="61">
                  <c:v>69.099999999999994</c:v>
                </c:pt>
                <c:pt idx="62">
                  <c:v>68.3</c:v>
                </c:pt>
                <c:pt idx="63">
                  <c:v>68.099999999999994</c:v>
                </c:pt>
                <c:pt idx="64">
                  <c:v>68</c:v>
                </c:pt>
                <c:pt idx="65">
                  <c:v>68.599999999999994</c:v>
                </c:pt>
                <c:pt idx="66">
                  <c:v>68.2</c:v>
                </c:pt>
                <c:pt idx="67">
                  <c:v>68.8</c:v>
                </c:pt>
                <c:pt idx="68">
                  <c:v>68.7</c:v>
                </c:pt>
                <c:pt idx="69">
                  <c:v>68.3</c:v>
                </c:pt>
                <c:pt idx="70">
                  <c:v>68.599999999999994</c:v>
                </c:pt>
                <c:pt idx="71">
                  <c:v>69.2</c:v>
                </c:pt>
                <c:pt idx="72">
                  <c:v>69.400000000000006</c:v>
                </c:pt>
                <c:pt idx="73">
                  <c:v>69.5</c:v>
                </c:pt>
                <c:pt idx="74">
                  <c:v>69.3</c:v>
                </c:pt>
                <c:pt idx="75">
                  <c:v>69.5</c:v>
                </c:pt>
                <c:pt idx="76">
                  <c:v>70.099999999999994</c:v>
                </c:pt>
                <c:pt idx="77">
                  <c:v>69.3</c:v>
                </c:pt>
                <c:pt idx="78">
                  <c:v>69.7</c:v>
                </c:pt>
                <c:pt idx="79">
                  <c:v>72.2</c:v>
                </c:pt>
                <c:pt idx="80">
                  <c:v>72</c:v>
                </c:pt>
                <c:pt idx="81">
                  <c:v>72.599999999999994</c:v>
                </c:pt>
                <c:pt idx="82">
                  <c:v>73.099999999999994</c:v>
                </c:pt>
                <c:pt idx="83">
                  <c:v>74.099999999999994</c:v>
                </c:pt>
                <c:pt idx="84">
                  <c:v>73.5</c:v>
                </c:pt>
                <c:pt idx="85">
                  <c:v>73.900000000000006</c:v>
                </c:pt>
                <c:pt idx="86">
                  <c:v>74.099999999999994</c:v>
                </c:pt>
                <c:pt idx="87">
                  <c:v>75</c:v>
                </c:pt>
                <c:pt idx="88">
                  <c:v>76.2</c:v>
                </c:pt>
                <c:pt idx="89">
                  <c:v>77.099999999999994</c:v>
                </c:pt>
                <c:pt idx="90">
                  <c:v>76.900000000000006</c:v>
                </c:pt>
                <c:pt idx="91">
                  <c:v>77.5</c:v>
                </c:pt>
                <c:pt idx="92">
                  <c:v>77.400000000000006</c:v>
                </c:pt>
                <c:pt idx="93">
                  <c:v>78.099999999999994</c:v>
                </c:pt>
                <c:pt idx="94">
                  <c:v>76.599999999999994</c:v>
                </c:pt>
                <c:pt idx="95">
                  <c:v>77.900000000000006</c:v>
                </c:pt>
                <c:pt idx="96">
                  <c:v>78.2</c:v>
                </c:pt>
                <c:pt idx="97">
                  <c:v>78.400000000000006</c:v>
                </c:pt>
                <c:pt idx="98">
                  <c:v>78.7</c:v>
                </c:pt>
                <c:pt idx="99">
                  <c:v>78.099999999999994</c:v>
                </c:pt>
                <c:pt idx="100">
                  <c:v>79.099999999999994</c:v>
                </c:pt>
                <c:pt idx="101">
                  <c:v>79.3</c:v>
                </c:pt>
              </c:numCache>
            </c:numRef>
          </c:val>
          <c:smooth val="1"/>
          <c:extLst>
            <c:ext xmlns:c16="http://schemas.microsoft.com/office/drawing/2014/chart" uri="{C3380CC4-5D6E-409C-BE32-E72D297353CC}">
              <c16:uniqueId val="{00000001-DF4A-4EFF-A2B2-57D970193DE6}"/>
            </c:ext>
          </c:extLst>
        </c:ser>
        <c:ser>
          <c:idx val="2"/>
          <c:order val="2"/>
          <c:tx>
            <c:strRef>
              <c:f>UTI!$D$1</c:f>
              <c:strCache>
                <c:ptCount val="1"/>
                <c:pt idx="0">
                  <c:v>% AMBA</c:v>
                </c:pt>
              </c:strCache>
            </c:strRef>
          </c:tx>
          <c:spPr>
            <a:ln w="34925" cap="rnd">
              <a:solidFill>
                <a:srgbClr val="FF0000"/>
              </a:solidFill>
              <a:round/>
            </a:ln>
            <a:effectLst>
              <a:glow rad="190500">
                <a:srgbClr val="FF0000">
                  <a:alpha val="40000"/>
                </a:srgbClr>
              </a:glow>
            </a:effectLst>
          </c:spPr>
          <c:marker>
            <c:symbol val="none"/>
          </c:marker>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021-4C85-BBB9-CC3CD43D3F67}"/>
                </c:ext>
              </c:extLst>
            </c:dLbl>
            <c:dLbl>
              <c:idx val="55"/>
              <c:layout>
                <c:manualLayout>
                  <c:x val="-1.5109279649626512E-2"/>
                  <c:y val="-2.2365223662142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021-4C85-BBB9-CC3CD43D3F67}"/>
                </c:ext>
              </c:extLst>
            </c:dLbl>
            <c:dLbl>
              <c:idx val="101"/>
              <c:layout>
                <c:manualLayout>
                  <c:x val="0"/>
                  <c:y val="1.2580438309955118E-2"/>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lumMod val="85000"/>
                        </a:schemeClr>
                      </a:solidFill>
                      <a:latin typeface="+mn-lt"/>
                      <a:ea typeface="+mn-ea"/>
                      <a:cs typeface="+mn-cs"/>
                    </a:defRPr>
                  </a:pPr>
                  <a:endParaRPr lang="es-A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69C-4A71-AD6C-E1F8B1036769}"/>
                </c:ext>
              </c:extLst>
            </c:dLbl>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numRef>
              <c:f>UTI!$A$162:$A$263</c:f>
              <c:numCache>
                <c:formatCode>m/d/yyyy</c:formatCode>
                <c:ptCount val="102"/>
                <c:pt idx="0">
                  <c:v>44255</c:v>
                </c:pt>
                <c:pt idx="1">
                  <c:v>44256</c:v>
                </c:pt>
                <c:pt idx="2">
                  <c:v>44257</c:v>
                </c:pt>
                <c:pt idx="3">
                  <c:v>44258</c:v>
                </c:pt>
                <c:pt idx="4">
                  <c:v>44259</c:v>
                </c:pt>
                <c:pt idx="5">
                  <c:v>44260</c:v>
                </c:pt>
                <c:pt idx="6">
                  <c:v>44261</c:v>
                </c:pt>
                <c:pt idx="7">
                  <c:v>44262</c:v>
                </c:pt>
                <c:pt idx="8">
                  <c:v>44263</c:v>
                </c:pt>
                <c:pt idx="9">
                  <c:v>44264</c:v>
                </c:pt>
                <c:pt idx="10">
                  <c:v>44265</c:v>
                </c:pt>
                <c:pt idx="11">
                  <c:v>44266</c:v>
                </c:pt>
                <c:pt idx="12">
                  <c:v>44267</c:v>
                </c:pt>
                <c:pt idx="13">
                  <c:v>44268</c:v>
                </c:pt>
                <c:pt idx="14">
                  <c:v>44269</c:v>
                </c:pt>
                <c:pt idx="15">
                  <c:v>44270</c:v>
                </c:pt>
                <c:pt idx="16">
                  <c:v>44271</c:v>
                </c:pt>
                <c:pt idx="17">
                  <c:v>44272</c:v>
                </c:pt>
                <c:pt idx="18">
                  <c:v>44273</c:v>
                </c:pt>
                <c:pt idx="19">
                  <c:v>44274</c:v>
                </c:pt>
                <c:pt idx="20">
                  <c:v>44275</c:v>
                </c:pt>
                <c:pt idx="21">
                  <c:v>44276</c:v>
                </c:pt>
                <c:pt idx="22">
                  <c:v>44277</c:v>
                </c:pt>
                <c:pt idx="23">
                  <c:v>44278</c:v>
                </c:pt>
                <c:pt idx="24">
                  <c:v>44279</c:v>
                </c:pt>
                <c:pt idx="25">
                  <c:v>44280</c:v>
                </c:pt>
                <c:pt idx="26">
                  <c:v>44281</c:v>
                </c:pt>
                <c:pt idx="27">
                  <c:v>44282</c:v>
                </c:pt>
                <c:pt idx="28">
                  <c:v>44283</c:v>
                </c:pt>
                <c:pt idx="29">
                  <c:v>44284</c:v>
                </c:pt>
                <c:pt idx="30">
                  <c:v>44285</c:v>
                </c:pt>
                <c:pt idx="31">
                  <c:v>44286</c:v>
                </c:pt>
                <c:pt idx="32">
                  <c:v>44287</c:v>
                </c:pt>
                <c:pt idx="33">
                  <c:v>44288</c:v>
                </c:pt>
                <c:pt idx="34">
                  <c:v>44289</c:v>
                </c:pt>
                <c:pt idx="35">
                  <c:v>44290</c:v>
                </c:pt>
                <c:pt idx="36">
                  <c:v>44291</c:v>
                </c:pt>
                <c:pt idx="37">
                  <c:v>44292</c:v>
                </c:pt>
                <c:pt idx="38">
                  <c:v>44293</c:v>
                </c:pt>
                <c:pt idx="39">
                  <c:v>44294</c:v>
                </c:pt>
                <c:pt idx="40">
                  <c:v>44295</c:v>
                </c:pt>
                <c:pt idx="41">
                  <c:v>44296</c:v>
                </c:pt>
                <c:pt idx="42">
                  <c:v>44297</c:v>
                </c:pt>
                <c:pt idx="43">
                  <c:v>44298</c:v>
                </c:pt>
                <c:pt idx="44">
                  <c:v>44299</c:v>
                </c:pt>
                <c:pt idx="45">
                  <c:v>44300</c:v>
                </c:pt>
                <c:pt idx="46">
                  <c:v>44301</c:v>
                </c:pt>
                <c:pt idx="47">
                  <c:v>44302</c:v>
                </c:pt>
                <c:pt idx="48">
                  <c:v>44303</c:v>
                </c:pt>
                <c:pt idx="49">
                  <c:v>44304</c:v>
                </c:pt>
                <c:pt idx="50">
                  <c:v>44305</c:v>
                </c:pt>
                <c:pt idx="51">
                  <c:v>44306</c:v>
                </c:pt>
                <c:pt idx="52">
                  <c:v>44307</c:v>
                </c:pt>
                <c:pt idx="53">
                  <c:v>44308</c:v>
                </c:pt>
                <c:pt idx="54">
                  <c:v>44309</c:v>
                </c:pt>
                <c:pt idx="55">
                  <c:v>44310</c:v>
                </c:pt>
                <c:pt idx="56">
                  <c:v>44311</c:v>
                </c:pt>
                <c:pt idx="57">
                  <c:v>44312</c:v>
                </c:pt>
                <c:pt idx="58">
                  <c:v>44313</c:v>
                </c:pt>
                <c:pt idx="59">
                  <c:v>44314</c:v>
                </c:pt>
                <c:pt idx="60">
                  <c:v>44315</c:v>
                </c:pt>
                <c:pt idx="61">
                  <c:v>44316</c:v>
                </c:pt>
                <c:pt idx="62">
                  <c:v>44317</c:v>
                </c:pt>
                <c:pt idx="63">
                  <c:v>44318</c:v>
                </c:pt>
                <c:pt idx="64">
                  <c:v>44319</c:v>
                </c:pt>
                <c:pt idx="65">
                  <c:v>44320</c:v>
                </c:pt>
                <c:pt idx="66">
                  <c:v>44321</c:v>
                </c:pt>
                <c:pt idx="67">
                  <c:v>44322</c:v>
                </c:pt>
                <c:pt idx="68">
                  <c:v>44323</c:v>
                </c:pt>
                <c:pt idx="69">
                  <c:v>44324</c:v>
                </c:pt>
                <c:pt idx="70">
                  <c:v>44325</c:v>
                </c:pt>
                <c:pt idx="71">
                  <c:v>44326</c:v>
                </c:pt>
                <c:pt idx="72">
                  <c:v>44327</c:v>
                </c:pt>
                <c:pt idx="73">
                  <c:v>44328</c:v>
                </c:pt>
                <c:pt idx="74">
                  <c:v>44329</c:v>
                </c:pt>
                <c:pt idx="75">
                  <c:v>44330</c:v>
                </c:pt>
                <c:pt idx="76">
                  <c:v>44331</c:v>
                </c:pt>
                <c:pt idx="77">
                  <c:v>44332</c:v>
                </c:pt>
                <c:pt idx="78">
                  <c:v>44333</c:v>
                </c:pt>
                <c:pt idx="79">
                  <c:v>44334</c:v>
                </c:pt>
                <c:pt idx="80">
                  <c:v>44335</c:v>
                </c:pt>
                <c:pt idx="81">
                  <c:v>44336</c:v>
                </c:pt>
                <c:pt idx="82">
                  <c:v>44337</c:v>
                </c:pt>
                <c:pt idx="83">
                  <c:v>44338</c:v>
                </c:pt>
                <c:pt idx="84">
                  <c:v>44339</c:v>
                </c:pt>
                <c:pt idx="85">
                  <c:v>44340</c:v>
                </c:pt>
                <c:pt idx="86">
                  <c:v>44341</c:v>
                </c:pt>
                <c:pt idx="87">
                  <c:v>44342</c:v>
                </c:pt>
                <c:pt idx="88">
                  <c:v>44343</c:v>
                </c:pt>
                <c:pt idx="89">
                  <c:v>44344</c:v>
                </c:pt>
                <c:pt idx="90">
                  <c:v>44345</c:v>
                </c:pt>
                <c:pt idx="91">
                  <c:v>44346</c:v>
                </c:pt>
                <c:pt idx="92">
                  <c:v>44347</c:v>
                </c:pt>
                <c:pt idx="93">
                  <c:v>44348</c:v>
                </c:pt>
                <c:pt idx="94">
                  <c:v>44349</c:v>
                </c:pt>
                <c:pt idx="95">
                  <c:v>44350</c:v>
                </c:pt>
                <c:pt idx="96">
                  <c:v>44351</c:v>
                </c:pt>
                <c:pt idx="97">
                  <c:v>44352</c:v>
                </c:pt>
                <c:pt idx="98">
                  <c:v>44353</c:v>
                </c:pt>
                <c:pt idx="99">
                  <c:v>44354</c:v>
                </c:pt>
                <c:pt idx="100">
                  <c:v>44355</c:v>
                </c:pt>
                <c:pt idx="101">
                  <c:v>44356</c:v>
                </c:pt>
              </c:numCache>
            </c:numRef>
          </c:cat>
          <c:val>
            <c:numRef>
              <c:f>UTI!$D$162:$D$263</c:f>
              <c:numCache>
                <c:formatCode>General</c:formatCode>
                <c:ptCount val="102"/>
                <c:pt idx="0">
                  <c:v>60.4</c:v>
                </c:pt>
                <c:pt idx="1">
                  <c:v>59.7</c:v>
                </c:pt>
                <c:pt idx="2">
                  <c:v>60</c:v>
                </c:pt>
                <c:pt idx="3">
                  <c:v>59.3</c:v>
                </c:pt>
                <c:pt idx="4">
                  <c:v>59</c:v>
                </c:pt>
                <c:pt idx="5">
                  <c:v>59.3</c:v>
                </c:pt>
                <c:pt idx="6">
                  <c:v>59.7</c:v>
                </c:pt>
                <c:pt idx="7">
                  <c:v>59</c:v>
                </c:pt>
                <c:pt idx="8">
                  <c:v>59.5</c:v>
                </c:pt>
                <c:pt idx="9">
                  <c:v>60.1</c:v>
                </c:pt>
                <c:pt idx="10">
                  <c:v>59.4</c:v>
                </c:pt>
                <c:pt idx="11">
                  <c:v>60</c:v>
                </c:pt>
                <c:pt idx="12">
                  <c:v>60</c:v>
                </c:pt>
                <c:pt idx="13">
                  <c:v>60</c:v>
                </c:pt>
                <c:pt idx="14">
                  <c:v>59.4</c:v>
                </c:pt>
                <c:pt idx="15">
                  <c:v>58.6</c:v>
                </c:pt>
                <c:pt idx="16">
                  <c:v>59.4</c:v>
                </c:pt>
                <c:pt idx="17">
                  <c:v>59.8</c:v>
                </c:pt>
                <c:pt idx="18">
                  <c:v>61.5</c:v>
                </c:pt>
                <c:pt idx="19">
                  <c:v>60.8</c:v>
                </c:pt>
                <c:pt idx="20">
                  <c:v>60.7</c:v>
                </c:pt>
                <c:pt idx="21">
                  <c:v>59.9</c:v>
                </c:pt>
                <c:pt idx="22">
                  <c:v>58.1</c:v>
                </c:pt>
                <c:pt idx="23">
                  <c:v>58.5</c:v>
                </c:pt>
                <c:pt idx="24">
                  <c:v>59.2</c:v>
                </c:pt>
                <c:pt idx="25">
                  <c:v>57.8</c:v>
                </c:pt>
                <c:pt idx="26">
                  <c:v>58.6</c:v>
                </c:pt>
                <c:pt idx="27">
                  <c:v>59.9</c:v>
                </c:pt>
                <c:pt idx="28">
                  <c:v>59.9</c:v>
                </c:pt>
                <c:pt idx="29">
                  <c:v>60.3</c:v>
                </c:pt>
                <c:pt idx="30">
                  <c:v>61</c:v>
                </c:pt>
                <c:pt idx="31">
                  <c:v>61.5</c:v>
                </c:pt>
                <c:pt idx="32">
                  <c:v>61.6</c:v>
                </c:pt>
                <c:pt idx="33">
                  <c:v>61.9</c:v>
                </c:pt>
                <c:pt idx="34">
                  <c:v>61.4</c:v>
                </c:pt>
                <c:pt idx="35">
                  <c:v>61.5</c:v>
                </c:pt>
                <c:pt idx="36">
                  <c:v>62</c:v>
                </c:pt>
                <c:pt idx="37">
                  <c:v>63.5</c:v>
                </c:pt>
                <c:pt idx="38">
                  <c:v>64.5</c:v>
                </c:pt>
                <c:pt idx="39">
                  <c:v>66.099999999999994</c:v>
                </c:pt>
                <c:pt idx="40">
                  <c:v>67</c:v>
                </c:pt>
                <c:pt idx="41">
                  <c:v>68.099999999999994</c:v>
                </c:pt>
                <c:pt idx="42">
                  <c:v>66.7</c:v>
                </c:pt>
                <c:pt idx="43">
                  <c:v>67.900000000000006</c:v>
                </c:pt>
                <c:pt idx="44">
                  <c:v>70.8</c:v>
                </c:pt>
                <c:pt idx="45">
                  <c:v>71.400000000000006</c:v>
                </c:pt>
                <c:pt idx="46">
                  <c:v>72.5</c:v>
                </c:pt>
                <c:pt idx="47">
                  <c:v>73.8</c:v>
                </c:pt>
                <c:pt idx="48">
                  <c:v>74.3</c:v>
                </c:pt>
                <c:pt idx="49">
                  <c:v>74.2</c:v>
                </c:pt>
                <c:pt idx="50">
                  <c:v>74.5</c:v>
                </c:pt>
                <c:pt idx="51">
                  <c:v>75</c:v>
                </c:pt>
                <c:pt idx="52">
                  <c:v>75.400000000000006</c:v>
                </c:pt>
                <c:pt idx="53">
                  <c:v>75.400000000000006</c:v>
                </c:pt>
                <c:pt idx="54">
                  <c:v>76.2</c:v>
                </c:pt>
                <c:pt idx="55">
                  <c:v>77.900000000000006</c:v>
                </c:pt>
                <c:pt idx="56">
                  <c:v>76.599999999999994</c:v>
                </c:pt>
                <c:pt idx="57">
                  <c:v>76.2</c:v>
                </c:pt>
                <c:pt idx="58">
                  <c:v>77.400000000000006</c:v>
                </c:pt>
                <c:pt idx="59">
                  <c:v>76.8</c:v>
                </c:pt>
                <c:pt idx="60">
                  <c:v>76.599999999999994</c:v>
                </c:pt>
                <c:pt idx="61">
                  <c:v>77.900000000000006</c:v>
                </c:pt>
                <c:pt idx="62">
                  <c:v>77.3</c:v>
                </c:pt>
                <c:pt idx="63">
                  <c:v>76.2</c:v>
                </c:pt>
                <c:pt idx="64">
                  <c:v>75.099999999999994</c:v>
                </c:pt>
                <c:pt idx="65">
                  <c:v>76.5</c:v>
                </c:pt>
                <c:pt idx="66">
                  <c:v>75.900000000000006</c:v>
                </c:pt>
                <c:pt idx="67">
                  <c:v>76.5</c:v>
                </c:pt>
                <c:pt idx="68">
                  <c:v>76.5</c:v>
                </c:pt>
                <c:pt idx="69">
                  <c:v>75.3</c:v>
                </c:pt>
                <c:pt idx="70">
                  <c:v>76.8</c:v>
                </c:pt>
                <c:pt idx="71">
                  <c:v>77</c:v>
                </c:pt>
                <c:pt idx="72">
                  <c:v>75.7</c:v>
                </c:pt>
                <c:pt idx="73">
                  <c:v>76.099999999999994</c:v>
                </c:pt>
                <c:pt idx="74">
                  <c:v>76.400000000000006</c:v>
                </c:pt>
                <c:pt idx="75">
                  <c:v>76.099999999999994</c:v>
                </c:pt>
                <c:pt idx="76">
                  <c:v>76.5</c:v>
                </c:pt>
                <c:pt idx="77">
                  <c:v>75.400000000000006</c:v>
                </c:pt>
                <c:pt idx="78">
                  <c:v>75.7</c:v>
                </c:pt>
                <c:pt idx="79">
                  <c:v>76.2</c:v>
                </c:pt>
                <c:pt idx="80">
                  <c:v>76.400000000000006</c:v>
                </c:pt>
                <c:pt idx="81">
                  <c:v>76.400000000000006</c:v>
                </c:pt>
                <c:pt idx="82">
                  <c:v>76.400000000000006</c:v>
                </c:pt>
                <c:pt idx="83">
                  <c:v>77.099999999999994</c:v>
                </c:pt>
                <c:pt idx="84">
                  <c:v>76.599999999999994</c:v>
                </c:pt>
                <c:pt idx="85">
                  <c:v>76.2</c:v>
                </c:pt>
                <c:pt idx="86">
                  <c:v>76.2</c:v>
                </c:pt>
                <c:pt idx="87">
                  <c:v>76.599999999999994</c:v>
                </c:pt>
                <c:pt idx="88">
                  <c:v>77.5</c:v>
                </c:pt>
                <c:pt idx="89">
                  <c:v>76.599999999999994</c:v>
                </c:pt>
                <c:pt idx="90">
                  <c:v>77</c:v>
                </c:pt>
                <c:pt idx="91">
                  <c:v>77.2</c:v>
                </c:pt>
                <c:pt idx="92">
                  <c:v>76.900000000000006</c:v>
                </c:pt>
                <c:pt idx="93">
                  <c:v>77.3</c:v>
                </c:pt>
                <c:pt idx="94">
                  <c:v>74.900000000000006</c:v>
                </c:pt>
                <c:pt idx="95">
                  <c:v>75.400000000000006</c:v>
                </c:pt>
                <c:pt idx="96">
                  <c:v>75.7</c:v>
                </c:pt>
                <c:pt idx="97">
                  <c:v>75.3</c:v>
                </c:pt>
                <c:pt idx="98">
                  <c:v>75.3</c:v>
                </c:pt>
                <c:pt idx="99">
                  <c:v>74</c:v>
                </c:pt>
                <c:pt idx="100">
                  <c:v>77.3</c:v>
                </c:pt>
                <c:pt idx="101">
                  <c:v>77.2</c:v>
                </c:pt>
              </c:numCache>
            </c:numRef>
          </c:val>
          <c:smooth val="1"/>
          <c:extLst>
            <c:ext xmlns:c16="http://schemas.microsoft.com/office/drawing/2014/chart" uri="{C3380CC4-5D6E-409C-BE32-E72D297353CC}">
              <c16:uniqueId val="{00000002-DF4A-4EFF-A2B2-57D970193DE6}"/>
            </c:ext>
          </c:extLst>
        </c:ser>
        <c:dLbls>
          <c:showLegendKey val="0"/>
          <c:showVal val="0"/>
          <c:showCatName val="0"/>
          <c:showSerName val="0"/>
          <c:showPercent val="0"/>
          <c:showBubbleSize val="0"/>
        </c:dLbls>
        <c:marker val="1"/>
        <c:smooth val="0"/>
        <c:axId val="587783688"/>
        <c:axId val="587787296"/>
      </c:lineChart>
      <c:dateAx>
        <c:axId val="623595352"/>
        <c:scaling>
          <c:orientation val="minMax"/>
        </c:scaling>
        <c:delete val="0"/>
        <c:axPos val="b"/>
        <c:numFmt formatCode="m/d/yyyy" sourceLinked="1"/>
        <c:majorTickMark val="out"/>
        <c:minorTickMark val="none"/>
        <c:tickLblPos val="nextTo"/>
        <c:spPr>
          <a:noFill/>
          <a:ln w="12700" cap="flat" cmpd="sng" algn="ctr">
            <a:solidFill>
              <a:schemeClr val="lt1">
                <a:lumMod val="95000"/>
                <a:alpha val="54000"/>
              </a:schemeClr>
            </a:solidFill>
            <a:round/>
          </a:ln>
          <a:effectLst/>
        </c:spPr>
        <c:txPr>
          <a:bodyPr rot="-2700000" spcFirstLastPara="1" vertOverflow="ellipsis" wrap="square" anchor="ctr" anchorCtr="1"/>
          <a:lstStyle/>
          <a:p>
            <a:pPr>
              <a:defRPr sz="1000" b="0" i="0" u="none" strike="noStrike" kern="1200" baseline="0">
                <a:solidFill>
                  <a:schemeClr val="lt1">
                    <a:lumMod val="85000"/>
                  </a:schemeClr>
                </a:solidFill>
                <a:latin typeface="+mn-lt"/>
                <a:ea typeface="+mn-ea"/>
                <a:cs typeface="+mn-cs"/>
              </a:defRPr>
            </a:pPr>
            <a:endParaRPr lang="es-AR"/>
          </a:p>
        </c:txPr>
        <c:crossAx val="623590432"/>
        <c:crosses val="autoZero"/>
        <c:auto val="1"/>
        <c:lblOffset val="100"/>
        <c:baseTimeUnit val="days"/>
      </c:dateAx>
      <c:valAx>
        <c:axId val="623590432"/>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s-AR"/>
          </a:p>
        </c:txPr>
        <c:crossAx val="623595352"/>
        <c:crosses val="autoZero"/>
        <c:crossBetween val="between"/>
      </c:valAx>
      <c:valAx>
        <c:axId val="58778729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s-AR"/>
          </a:p>
        </c:txPr>
        <c:crossAx val="587783688"/>
        <c:crosses val="max"/>
        <c:crossBetween val="between"/>
      </c:valAx>
      <c:dateAx>
        <c:axId val="587783688"/>
        <c:scaling>
          <c:orientation val="minMax"/>
        </c:scaling>
        <c:delete val="1"/>
        <c:axPos val="b"/>
        <c:numFmt formatCode="m/d/yyyy" sourceLinked="1"/>
        <c:majorTickMark val="out"/>
        <c:minorTickMark val="none"/>
        <c:tickLblPos val="nextTo"/>
        <c:crossAx val="587787296"/>
        <c:crosses val="autoZero"/>
        <c:auto val="1"/>
        <c:lblOffset val="100"/>
        <c:baseTimeUnit val="days"/>
      </c:dateAx>
      <c:spPr>
        <a:noFill/>
        <a:ln>
          <a:noFill/>
        </a:ln>
        <a:effectLst/>
      </c:spPr>
    </c:plotArea>
    <c:legend>
      <c:legendPos val="b"/>
      <c:layout>
        <c:manualLayout>
          <c:xMode val="edge"/>
          <c:yMode val="edge"/>
          <c:x val="6.3891640255072171E-2"/>
          <c:y val="0.11262311860071089"/>
          <c:w val="0.33905747004867864"/>
          <c:h val="4.8483458513830936E-2"/>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lt1">
                  <a:lumMod val="85000"/>
                </a:schemeClr>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A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194</xdr:row>
      <xdr:rowOff>0</xdr:rowOff>
    </xdr:from>
    <xdr:to>
      <xdr:col>2</xdr:col>
      <xdr:colOff>304800</xdr:colOff>
      <xdr:row>195</xdr:row>
      <xdr:rowOff>114300</xdr:rowOff>
    </xdr:to>
    <xdr:sp macro="" textlink="">
      <xdr:nvSpPr>
        <xdr:cNvPr id="1042" name="AutoShape 18" descr="Bandera triangular en poste">
          <a:extLst>
            <a:ext uri="{FF2B5EF4-FFF2-40B4-BE49-F238E27FC236}">
              <a16:creationId xmlns:a16="http://schemas.microsoft.com/office/drawing/2014/main" id="{938FEF52-C04F-4B7C-8D0E-DBCBAF925501}"/>
            </a:ext>
          </a:extLst>
        </xdr:cNvPr>
        <xdr:cNvSpPr>
          <a:spLocks noChangeAspect="1" noChangeArrowheads="1"/>
        </xdr:cNvSpPr>
      </xdr:nvSpPr>
      <xdr:spPr bwMode="auto">
        <a:xfrm>
          <a:off x="1419225" y="3699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195</xdr:row>
      <xdr:rowOff>0</xdr:rowOff>
    </xdr:from>
    <xdr:ext cx="304800" cy="304800"/>
    <xdr:sp macro="" textlink="">
      <xdr:nvSpPr>
        <xdr:cNvPr id="3" name="AutoShape 18" descr="Bandera triangular en poste">
          <a:extLst>
            <a:ext uri="{FF2B5EF4-FFF2-40B4-BE49-F238E27FC236}">
              <a16:creationId xmlns:a16="http://schemas.microsoft.com/office/drawing/2014/main" id="{E82823FD-CCA1-4152-8164-BA6525D9E126}"/>
            </a:ext>
          </a:extLst>
        </xdr:cNvPr>
        <xdr:cNvSpPr>
          <a:spLocks noChangeAspect="1" noChangeArrowheads="1"/>
        </xdr:cNvSpPr>
      </xdr:nvSpPr>
      <xdr:spPr bwMode="auto">
        <a:xfrm>
          <a:off x="1423147" y="36979412"/>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196</xdr:row>
      <xdr:rowOff>0</xdr:rowOff>
    </xdr:from>
    <xdr:ext cx="304800" cy="304800"/>
    <xdr:sp macro="" textlink="">
      <xdr:nvSpPr>
        <xdr:cNvPr id="4" name="AutoShape 18" descr="Bandera triangular en poste">
          <a:extLst>
            <a:ext uri="{FF2B5EF4-FFF2-40B4-BE49-F238E27FC236}">
              <a16:creationId xmlns:a16="http://schemas.microsoft.com/office/drawing/2014/main" id="{AEE1B9BB-7A72-49B5-97DF-E1854B0EC8D4}"/>
            </a:ext>
          </a:extLst>
        </xdr:cNvPr>
        <xdr:cNvSpPr>
          <a:spLocks noChangeAspect="1" noChangeArrowheads="1"/>
        </xdr:cNvSpPr>
      </xdr:nvSpPr>
      <xdr:spPr bwMode="auto">
        <a:xfrm>
          <a:off x="1423147" y="37169912"/>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12</xdr:col>
      <xdr:colOff>215468</xdr:colOff>
      <xdr:row>0</xdr:row>
      <xdr:rowOff>101974</xdr:rowOff>
    </xdr:from>
    <xdr:to>
      <xdr:col>12</xdr:col>
      <xdr:colOff>1136838</xdr:colOff>
      <xdr:row>0</xdr:row>
      <xdr:rowOff>557256</xdr:rowOff>
    </xdr:to>
    <xdr:pic>
      <xdr:nvPicPr>
        <xdr:cNvPr id="2" name="Imagen 1">
          <a:extLst>
            <a:ext uri="{FF2B5EF4-FFF2-40B4-BE49-F238E27FC236}">
              <a16:creationId xmlns:a16="http://schemas.microsoft.com/office/drawing/2014/main" id="{A483E939-7382-4FA0-A198-8B0B3F2DE69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827439" y="101974"/>
          <a:ext cx="921370" cy="4552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6</xdr:col>
      <xdr:colOff>262014</xdr:colOff>
      <xdr:row>164</xdr:row>
      <xdr:rowOff>96347</xdr:rowOff>
    </xdr:from>
    <xdr:to>
      <xdr:col>28</xdr:col>
      <xdr:colOff>308875</xdr:colOff>
      <xdr:row>212</xdr:row>
      <xdr:rowOff>37881</xdr:rowOff>
    </xdr:to>
    <xdr:graphicFrame macro="">
      <xdr:nvGraphicFramePr>
        <xdr:cNvPr id="2" name="Gráfico 1">
          <a:extLst>
            <a:ext uri="{FF2B5EF4-FFF2-40B4-BE49-F238E27FC236}">
              <a16:creationId xmlns:a16="http://schemas.microsoft.com/office/drawing/2014/main" id="{1B45F8A0-EF55-4D9D-B147-1A62DF67D3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194</xdr:row>
      <xdr:rowOff>0</xdr:rowOff>
    </xdr:from>
    <xdr:to>
      <xdr:col>2</xdr:col>
      <xdr:colOff>304800</xdr:colOff>
      <xdr:row>195</xdr:row>
      <xdr:rowOff>114300</xdr:rowOff>
    </xdr:to>
    <xdr:sp macro="" textlink="">
      <xdr:nvSpPr>
        <xdr:cNvPr id="2" name="AutoShape 18" descr="Bandera triangular en poste">
          <a:extLst>
            <a:ext uri="{FF2B5EF4-FFF2-40B4-BE49-F238E27FC236}">
              <a16:creationId xmlns:a16="http://schemas.microsoft.com/office/drawing/2014/main" id="{C510C5C9-88FF-4C2A-8976-1B4A31AAEC7D}"/>
            </a:ext>
          </a:extLst>
        </xdr:cNvPr>
        <xdr:cNvSpPr>
          <a:spLocks noChangeAspect="1" noChangeArrowheads="1"/>
        </xdr:cNvSpPr>
      </xdr:nvSpPr>
      <xdr:spPr bwMode="auto">
        <a:xfrm>
          <a:off x="2000250" y="3732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195</xdr:row>
      <xdr:rowOff>0</xdr:rowOff>
    </xdr:from>
    <xdr:ext cx="304800" cy="304800"/>
    <xdr:sp macro="" textlink="">
      <xdr:nvSpPr>
        <xdr:cNvPr id="3" name="AutoShape 18" descr="Bandera triangular en poste">
          <a:extLst>
            <a:ext uri="{FF2B5EF4-FFF2-40B4-BE49-F238E27FC236}">
              <a16:creationId xmlns:a16="http://schemas.microsoft.com/office/drawing/2014/main" id="{0DF0B58C-65DD-4DA8-BC1F-1CCCB0229AD5}"/>
            </a:ext>
          </a:extLst>
        </xdr:cNvPr>
        <xdr:cNvSpPr>
          <a:spLocks noChangeAspect="1" noChangeArrowheads="1"/>
        </xdr:cNvSpPr>
      </xdr:nvSpPr>
      <xdr:spPr bwMode="auto">
        <a:xfrm>
          <a:off x="2000250" y="3751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196</xdr:row>
      <xdr:rowOff>0</xdr:rowOff>
    </xdr:from>
    <xdr:ext cx="304800" cy="304800"/>
    <xdr:sp macro="" textlink="">
      <xdr:nvSpPr>
        <xdr:cNvPr id="4" name="AutoShape 18" descr="Bandera triangular en poste">
          <a:extLst>
            <a:ext uri="{FF2B5EF4-FFF2-40B4-BE49-F238E27FC236}">
              <a16:creationId xmlns:a16="http://schemas.microsoft.com/office/drawing/2014/main" id="{8854D321-1E47-4EAF-844D-EBC42D693D5F}"/>
            </a:ext>
          </a:extLst>
        </xdr:cNvPr>
        <xdr:cNvSpPr>
          <a:spLocks noChangeAspect="1" noChangeArrowheads="1"/>
        </xdr:cNvSpPr>
      </xdr:nvSpPr>
      <xdr:spPr bwMode="auto">
        <a:xfrm>
          <a:off x="2000250" y="37728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NER" refreshedDate="44355.385679513885" createdVersion="7" refreshedVersion="7" minRefreshableVersion="3" recordCount="11088" xr:uid="{F09CE542-F911-4528-8AE9-B8B41D0C17A1}">
  <cacheSource type="worksheet">
    <worksheetSource ref="A1:M11089" sheet="casos_provincias"/>
  </cacheSource>
  <cacheFields count="13">
    <cacheField name="PROVINCIA" numFmtId="0">
      <sharedItems count="24">
        <s v="Buenos Aires"/>
        <s v="Catamarca"/>
        <s v="Chaco"/>
        <s v="Chubut"/>
        <s v="CABA"/>
        <s v="Córdoba"/>
        <s v="Corrientes"/>
        <s v="Entre Ríos"/>
        <s v="Formosa"/>
        <s v="Jujuy"/>
        <s v="La Pampa"/>
        <s v="La Rioja"/>
        <s v="Mendoza"/>
        <s v="Misiones"/>
        <s v="Neuquén"/>
        <s v="Río Negro"/>
        <s v="Salta"/>
        <s v="San Juan"/>
        <s v="San Luis"/>
        <s v="Santa Cruz"/>
        <s v="Santa Fe"/>
        <s v="Santiago del Estero"/>
        <s v="Tierra del Fuego"/>
        <s v="Tucumán"/>
      </sharedItems>
    </cacheField>
    <cacheField name="FECHA" numFmtId="14">
      <sharedItems containsSemiMixedTypes="0" containsNonDate="0" containsDate="1" containsString="0" minDate="2020-03-03T00:00:00" maxDate="2021-06-08T00:00:00" count="462">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sharedItems>
    </cacheField>
    <cacheField name="CASOS" numFmtId="0">
      <sharedItems containsSemiMixedTypes="0" containsString="0" containsNumber="1" containsInteger="1" minValue="-53" maxValue="15550"/>
    </cacheField>
    <cacheField name="ACUMULADOS" numFmtId="0">
      <sharedItems containsSemiMixedTypes="0" containsString="0" containsNumber="1" containsInteger="1" minValue="0" maxValue="1677536"/>
    </cacheField>
    <cacheField name="MUERTES" numFmtId="0">
      <sharedItems containsString="0" containsBlank="1" containsNumber="1" containsInteger="1" minValue="-1" maxValue="3153"/>
    </cacheField>
    <cacheField name="M_acum" numFmtId="0">
      <sharedItems containsString="0" containsBlank="1" containsNumber="1" containsInteger="1" minValue="0" maxValue="42048"/>
    </cacheField>
    <cacheField name="INCIDENCIA" numFmtId="0">
      <sharedItems containsString="0" containsBlank="1" containsNumber="1" minValue="1" maxValue="3622.8112354240711"/>
    </cacheField>
    <cacheField name="RAZON" numFmtId="0">
      <sharedItems containsString="0" containsBlank="1" containsNumber="1" minValue="8.9483394833948335E-2" maxValue="98"/>
    </cacheField>
    <cacheField name="ambos" numFmtId="0">
      <sharedItems containsString="0" containsBlank="1" containsNumber="1" minValue="52.813770738195096" maxValue="32944.892715335031"/>
    </cacheField>
    <cacheField name="prom. Diario" numFmtId="0">
      <sharedItems containsString="0" containsBlank="1" containsNumber="1" minValue="26" maxValue="12007.571428571429"/>
    </cacheField>
    <cacheField name="incid diaria" numFmtId="0">
      <sharedItems containsString="0" containsBlank="1" containsNumber="1" minValue="5.040614940197365" maxValue="362.36374181459468"/>
    </cacheField>
    <cacheField name="crecim. Sem." numFmtId="0">
      <sharedItems containsString="0" containsBlank="1" containsNumber="1" minValue="-3.2279792746113989" maxValue="13.647900763358779"/>
    </cacheField>
    <cacheField name="INCID 7 DIAS" numFmtId="0">
      <sharedItems containsBlank="1" containsMixedTypes="1" containsNumber="1" minValue="55.023769276908361" maxValue="2536.546192702162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88">
  <r>
    <x v="0"/>
    <x v="0"/>
    <n v="0"/>
    <n v="0"/>
    <m/>
    <m/>
    <m/>
    <m/>
    <m/>
    <m/>
    <m/>
    <m/>
    <m/>
  </r>
  <r>
    <x v="1"/>
    <x v="0"/>
    <n v="0"/>
    <n v="0"/>
    <m/>
    <m/>
    <m/>
    <m/>
    <m/>
    <m/>
    <m/>
    <m/>
    <m/>
  </r>
  <r>
    <x v="2"/>
    <x v="0"/>
    <n v="0"/>
    <n v="0"/>
    <m/>
    <m/>
    <m/>
    <m/>
    <m/>
    <m/>
    <m/>
    <m/>
    <m/>
  </r>
  <r>
    <x v="3"/>
    <x v="0"/>
    <n v="0"/>
    <n v="0"/>
    <m/>
    <m/>
    <m/>
    <m/>
    <m/>
    <m/>
    <m/>
    <m/>
    <m/>
  </r>
  <r>
    <x v="4"/>
    <x v="0"/>
    <n v="1"/>
    <n v="1"/>
    <m/>
    <m/>
    <m/>
    <m/>
    <m/>
    <m/>
    <m/>
    <m/>
    <m/>
  </r>
  <r>
    <x v="5"/>
    <x v="0"/>
    <n v="0"/>
    <n v="0"/>
    <m/>
    <m/>
    <m/>
    <m/>
    <m/>
    <m/>
    <m/>
    <m/>
    <m/>
  </r>
  <r>
    <x v="6"/>
    <x v="0"/>
    <n v="0"/>
    <n v="0"/>
    <m/>
    <m/>
    <m/>
    <m/>
    <m/>
    <m/>
    <m/>
    <m/>
    <m/>
  </r>
  <r>
    <x v="7"/>
    <x v="0"/>
    <n v="0"/>
    <n v="0"/>
    <m/>
    <m/>
    <m/>
    <m/>
    <m/>
    <m/>
    <m/>
    <m/>
    <m/>
  </r>
  <r>
    <x v="8"/>
    <x v="0"/>
    <n v="0"/>
    <n v="0"/>
    <m/>
    <m/>
    <m/>
    <m/>
    <m/>
    <m/>
    <m/>
    <m/>
    <m/>
  </r>
  <r>
    <x v="9"/>
    <x v="0"/>
    <n v="0"/>
    <n v="0"/>
    <m/>
    <m/>
    <m/>
    <m/>
    <m/>
    <m/>
    <m/>
    <m/>
    <m/>
  </r>
  <r>
    <x v="10"/>
    <x v="0"/>
    <n v="0"/>
    <n v="0"/>
    <m/>
    <m/>
    <m/>
    <m/>
    <m/>
    <m/>
    <m/>
    <m/>
    <m/>
  </r>
  <r>
    <x v="11"/>
    <x v="0"/>
    <n v="0"/>
    <n v="0"/>
    <m/>
    <m/>
    <m/>
    <m/>
    <m/>
    <m/>
    <m/>
    <m/>
    <m/>
  </r>
  <r>
    <x v="12"/>
    <x v="0"/>
    <n v="0"/>
    <n v="0"/>
    <m/>
    <m/>
    <m/>
    <m/>
    <m/>
    <m/>
    <m/>
    <m/>
    <m/>
  </r>
  <r>
    <x v="13"/>
    <x v="0"/>
    <n v="0"/>
    <n v="0"/>
    <m/>
    <m/>
    <m/>
    <m/>
    <m/>
    <m/>
    <m/>
    <m/>
    <m/>
  </r>
  <r>
    <x v="14"/>
    <x v="0"/>
    <n v="0"/>
    <n v="0"/>
    <m/>
    <m/>
    <m/>
    <m/>
    <m/>
    <m/>
    <m/>
    <m/>
    <m/>
  </r>
  <r>
    <x v="15"/>
    <x v="0"/>
    <n v="0"/>
    <n v="0"/>
    <m/>
    <m/>
    <m/>
    <m/>
    <m/>
    <m/>
    <m/>
    <m/>
    <m/>
  </r>
  <r>
    <x v="16"/>
    <x v="0"/>
    <n v="0"/>
    <n v="0"/>
    <m/>
    <m/>
    <m/>
    <m/>
    <m/>
    <m/>
    <m/>
    <m/>
    <m/>
  </r>
  <r>
    <x v="17"/>
    <x v="0"/>
    <n v="0"/>
    <n v="0"/>
    <m/>
    <m/>
    <m/>
    <m/>
    <m/>
    <m/>
    <m/>
    <m/>
    <m/>
  </r>
  <r>
    <x v="18"/>
    <x v="0"/>
    <n v="0"/>
    <n v="0"/>
    <m/>
    <m/>
    <m/>
    <m/>
    <m/>
    <m/>
    <m/>
    <m/>
    <m/>
  </r>
  <r>
    <x v="19"/>
    <x v="0"/>
    <n v="0"/>
    <n v="0"/>
    <m/>
    <m/>
    <m/>
    <m/>
    <m/>
    <m/>
    <m/>
    <m/>
    <m/>
  </r>
  <r>
    <x v="20"/>
    <x v="0"/>
    <n v="0"/>
    <n v="0"/>
    <m/>
    <m/>
    <m/>
    <m/>
    <m/>
    <m/>
    <m/>
    <m/>
    <m/>
  </r>
  <r>
    <x v="21"/>
    <x v="0"/>
    <n v="0"/>
    <n v="0"/>
    <m/>
    <m/>
    <m/>
    <m/>
    <m/>
    <m/>
    <m/>
    <m/>
    <m/>
  </r>
  <r>
    <x v="22"/>
    <x v="0"/>
    <n v="0"/>
    <n v="0"/>
    <m/>
    <m/>
    <m/>
    <m/>
    <m/>
    <m/>
    <m/>
    <m/>
    <m/>
  </r>
  <r>
    <x v="23"/>
    <x v="0"/>
    <n v="0"/>
    <n v="0"/>
    <m/>
    <m/>
    <m/>
    <m/>
    <m/>
    <m/>
    <m/>
    <m/>
    <m/>
  </r>
  <r>
    <x v="0"/>
    <x v="1"/>
    <n v="0"/>
    <n v="0"/>
    <m/>
    <n v="0"/>
    <m/>
    <m/>
    <m/>
    <m/>
    <m/>
    <m/>
    <m/>
  </r>
  <r>
    <x v="1"/>
    <x v="1"/>
    <n v="0"/>
    <n v="0"/>
    <m/>
    <n v="0"/>
    <m/>
    <m/>
    <m/>
    <m/>
    <m/>
    <m/>
    <m/>
  </r>
  <r>
    <x v="2"/>
    <x v="1"/>
    <n v="0"/>
    <n v="0"/>
    <m/>
    <n v="0"/>
    <m/>
    <m/>
    <m/>
    <m/>
    <m/>
    <m/>
    <m/>
  </r>
  <r>
    <x v="3"/>
    <x v="1"/>
    <n v="0"/>
    <n v="0"/>
    <m/>
    <n v="0"/>
    <m/>
    <m/>
    <m/>
    <m/>
    <m/>
    <m/>
    <m/>
  </r>
  <r>
    <x v="4"/>
    <x v="1"/>
    <n v="0"/>
    <n v="1"/>
    <m/>
    <n v="0"/>
    <m/>
    <m/>
    <m/>
    <m/>
    <m/>
    <m/>
    <m/>
  </r>
  <r>
    <x v="5"/>
    <x v="1"/>
    <n v="0"/>
    <n v="0"/>
    <m/>
    <n v="0"/>
    <m/>
    <m/>
    <m/>
    <m/>
    <m/>
    <m/>
    <m/>
  </r>
  <r>
    <x v="6"/>
    <x v="1"/>
    <n v="0"/>
    <n v="0"/>
    <m/>
    <n v="0"/>
    <m/>
    <m/>
    <m/>
    <m/>
    <m/>
    <m/>
    <m/>
  </r>
  <r>
    <x v="7"/>
    <x v="1"/>
    <n v="0"/>
    <n v="0"/>
    <m/>
    <n v="0"/>
    <m/>
    <m/>
    <m/>
    <m/>
    <m/>
    <m/>
    <m/>
  </r>
  <r>
    <x v="8"/>
    <x v="1"/>
    <n v="0"/>
    <n v="0"/>
    <m/>
    <n v="0"/>
    <m/>
    <m/>
    <m/>
    <m/>
    <m/>
    <m/>
    <m/>
  </r>
  <r>
    <x v="9"/>
    <x v="1"/>
    <n v="0"/>
    <n v="0"/>
    <m/>
    <n v="0"/>
    <m/>
    <m/>
    <m/>
    <m/>
    <m/>
    <m/>
    <m/>
  </r>
  <r>
    <x v="10"/>
    <x v="1"/>
    <n v="0"/>
    <n v="0"/>
    <m/>
    <n v="0"/>
    <m/>
    <m/>
    <m/>
    <m/>
    <m/>
    <m/>
    <m/>
  </r>
  <r>
    <x v="11"/>
    <x v="1"/>
    <n v="0"/>
    <n v="0"/>
    <m/>
    <n v="0"/>
    <m/>
    <m/>
    <m/>
    <m/>
    <m/>
    <m/>
    <m/>
  </r>
  <r>
    <x v="12"/>
    <x v="1"/>
    <n v="0"/>
    <n v="0"/>
    <m/>
    <n v="0"/>
    <m/>
    <m/>
    <m/>
    <m/>
    <m/>
    <m/>
    <m/>
  </r>
  <r>
    <x v="13"/>
    <x v="1"/>
    <n v="0"/>
    <n v="0"/>
    <m/>
    <n v="0"/>
    <m/>
    <m/>
    <m/>
    <m/>
    <m/>
    <m/>
    <m/>
  </r>
  <r>
    <x v="14"/>
    <x v="1"/>
    <n v="0"/>
    <n v="0"/>
    <m/>
    <n v="0"/>
    <m/>
    <m/>
    <m/>
    <m/>
    <m/>
    <m/>
    <m/>
  </r>
  <r>
    <x v="15"/>
    <x v="1"/>
    <n v="0"/>
    <n v="0"/>
    <m/>
    <n v="0"/>
    <m/>
    <m/>
    <m/>
    <m/>
    <m/>
    <m/>
    <m/>
  </r>
  <r>
    <x v="16"/>
    <x v="1"/>
    <n v="0"/>
    <n v="0"/>
    <m/>
    <n v="0"/>
    <m/>
    <m/>
    <m/>
    <m/>
    <m/>
    <m/>
    <m/>
  </r>
  <r>
    <x v="17"/>
    <x v="1"/>
    <n v="0"/>
    <n v="0"/>
    <m/>
    <n v="0"/>
    <m/>
    <m/>
    <m/>
    <m/>
    <m/>
    <m/>
    <m/>
  </r>
  <r>
    <x v="18"/>
    <x v="1"/>
    <n v="0"/>
    <n v="0"/>
    <m/>
    <n v="0"/>
    <m/>
    <m/>
    <m/>
    <m/>
    <m/>
    <m/>
    <m/>
  </r>
  <r>
    <x v="19"/>
    <x v="1"/>
    <n v="0"/>
    <n v="0"/>
    <m/>
    <n v="0"/>
    <m/>
    <m/>
    <m/>
    <m/>
    <m/>
    <m/>
    <m/>
  </r>
  <r>
    <x v="20"/>
    <x v="1"/>
    <n v="0"/>
    <n v="0"/>
    <m/>
    <n v="0"/>
    <m/>
    <m/>
    <m/>
    <m/>
    <m/>
    <m/>
    <m/>
  </r>
  <r>
    <x v="21"/>
    <x v="1"/>
    <n v="0"/>
    <n v="0"/>
    <m/>
    <n v="0"/>
    <m/>
    <m/>
    <m/>
    <m/>
    <m/>
    <m/>
    <m/>
  </r>
  <r>
    <x v="22"/>
    <x v="1"/>
    <n v="0"/>
    <n v="0"/>
    <m/>
    <n v="0"/>
    <m/>
    <m/>
    <m/>
    <m/>
    <m/>
    <m/>
    <m/>
  </r>
  <r>
    <x v="23"/>
    <x v="1"/>
    <n v="0"/>
    <n v="0"/>
    <m/>
    <n v="0"/>
    <m/>
    <m/>
    <m/>
    <m/>
    <m/>
    <m/>
    <m/>
  </r>
  <r>
    <x v="0"/>
    <x v="2"/>
    <n v="0"/>
    <n v="0"/>
    <m/>
    <n v="0"/>
    <m/>
    <m/>
    <m/>
    <m/>
    <m/>
    <m/>
    <m/>
  </r>
  <r>
    <x v="1"/>
    <x v="2"/>
    <n v="0"/>
    <n v="0"/>
    <m/>
    <n v="0"/>
    <m/>
    <m/>
    <m/>
    <m/>
    <m/>
    <m/>
    <m/>
  </r>
  <r>
    <x v="2"/>
    <x v="2"/>
    <n v="0"/>
    <n v="0"/>
    <m/>
    <n v="0"/>
    <m/>
    <m/>
    <m/>
    <m/>
    <m/>
    <m/>
    <m/>
  </r>
  <r>
    <x v="3"/>
    <x v="2"/>
    <n v="0"/>
    <n v="0"/>
    <m/>
    <n v="0"/>
    <m/>
    <m/>
    <m/>
    <m/>
    <m/>
    <m/>
    <m/>
  </r>
  <r>
    <x v="4"/>
    <x v="2"/>
    <n v="1"/>
    <n v="2"/>
    <m/>
    <n v="0"/>
    <m/>
    <m/>
    <m/>
    <m/>
    <m/>
    <m/>
    <m/>
  </r>
  <r>
    <x v="5"/>
    <x v="2"/>
    <n v="0"/>
    <n v="0"/>
    <m/>
    <n v="0"/>
    <m/>
    <m/>
    <m/>
    <m/>
    <m/>
    <m/>
    <m/>
  </r>
  <r>
    <x v="6"/>
    <x v="2"/>
    <n v="0"/>
    <n v="0"/>
    <m/>
    <n v="0"/>
    <m/>
    <m/>
    <m/>
    <m/>
    <m/>
    <m/>
    <m/>
  </r>
  <r>
    <x v="7"/>
    <x v="2"/>
    <n v="0"/>
    <n v="0"/>
    <m/>
    <n v="0"/>
    <m/>
    <m/>
    <m/>
    <m/>
    <m/>
    <m/>
    <m/>
  </r>
  <r>
    <x v="8"/>
    <x v="2"/>
    <n v="0"/>
    <n v="0"/>
    <m/>
    <n v="0"/>
    <m/>
    <m/>
    <m/>
    <m/>
    <m/>
    <m/>
    <m/>
  </r>
  <r>
    <x v="9"/>
    <x v="2"/>
    <n v="0"/>
    <n v="0"/>
    <m/>
    <n v="0"/>
    <m/>
    <m/>
    <m/>
    <m/>
    <m/>
    <m/>
    <m/>
  </r>
  <r>
    <x v="10"/>
    <x v="2"/>
    <n v="0"/>
    <n v="0"/>
    <m/>
    <n v="0"/>
    <m/>
    <m/>
    <m/>
    <m/>
    <m/>
    <m/>
    <m/>
  </r>
  <r>
    <x v="11"/>
    <x v="2"/>
    <n v="0"/>
    <n v="0"/>
    <m/>
    <n v="0"/>
    <m/>
    <m/>
    <m/>
    <m/>
    <m/>
    <m/>
    <m/>
  </r>
  <r>
    <x v="12"/>
    <x v="2"/>
    <n v="0"/>
    <n v="0"/>
    <m/>
    <n v="0"/>
    <m/>
    <m/>
    <m/>
    <m/>
    <m/>
    <m/>
    <m/>
  </r>
  <r>
    <x v="13"/>
    <x v="2"/>
    <n v="0"/>
    <n v="0"/>
    <m/>
    <n v="0"/>
    <m/>
    <m/>
    <m/>
    <m/>
    <m/>
    <m/>
    <m/>
  </r>
  <r>
    <x v="14"/>
    <x v="2"/>
    <n v="0"/>
    <n v="0"/>
    <m/>
    <n v="0"/>
    <m/>
    <m/>
    <m/>
    <m/>
    <m/>
    <m/>
    <m/>
  </r>
  <r>
    <x v="15"/>
    <x v="2"/>
    <n v="0"/>
    <n v="0"/>
    <m/>
    <n v="0"/>
    <m/>
    <m/>
    <m/>
    <m/>
    <m/>
    <m/>
    <m/>
  </r>
  <r>
    <x v="16"/>
    <x v="2"/>
    <n v="0"/>
    <n v="0"/>
    <m/>
    <n v="0"/>
    <m/>
    <m/>
    <m/>
    <m/>
    <m/>
    <m/>
    <m/>
  </r>
  <r>
    <x v="17"/>
    <x v="2"/>
    <n v="0"/>
    <n v="0"/>
    <m/>
    <n v="0"/>
    <m/>
    <m/>
    <m/>
    <m/>
    <m/>
    <m/>
    <m/>
  </r>
  <r>
    <x v="18"/>
    <x v="2"/>
    <n v="0"/>
    <n v="0"/>
    <m/>
    <n v="0"/>
    <m/>
    <m/>
    <m/>
    <m/>
    <m/>
    <m/>
    <m/>
  </r>
  <r>
    <x v="19"/>
    <x v="2"/>
    <n v="0"/>
    <n v="0"/>
    <m/>
    <n v="0"/>
    <m/>
    <m/>
    <m/>
    <m/>
    <m/>
    <m/>
    <m/>
  </r>
  <r>
    <x v="20"/>
    <x v="2"/>
    <n v="0"/>
    <n v="0"/>
    <m/>
    <n v="0"/>
    <m/>
    <m/>
    <m/>
    <m/>
    <m/>
    <m/>
    <m/>
  </r>
  <r>
    <x v="21"/>
    <x v="2"/>
    <n v="0"/>
    <n v="0"/>
    <m/>
    <n v="0"/>
    <m/>
    <m/>
    <m/>
    <m/>
    <m/>
    <m/>
    <m/>
  </r>
  <r>
    <x v="22"/>
    <x v="2"/>
    <n v="0"/>
    <n v="0"/>
    <m/>
    <n v="0"/>
    <m/>
    <m/>
    <m/>
    <m/>
    <m/>
    <m/>
    <m/>
  </r>
  <r>
    <x v="23"/>
    <x v="2"/>
    <n v="0"/>
    <n v="0"/>
    <m/>
    <n v="0"/>
    <m/>
    <m/>
    <m/>
    <m/>
    <m/>
    <m/>
    <m/>
  </r>
  <r>
    <x v="0"/>
    <x v="3"/>
    <n v="1"/>
    <n v="1"/>
    <m/>
    <n v="0"/>
    <m/>
    <m/>
    <m/>
    <m/>
    <m/>
    <m/>
    <m/>
  </r>
  <r>
    <x v="1"/>
    <x v="3"/>
    <n v="0"/>
    <n v="0"/>
    <m/>
    <n v="0"/>
    <m/>
    <m/>
    <m/>
    <m/>
    <m/>
    <m/>
    <m/>
  </r>
  <r>
    <x v="2"/>
    <x v="3"/>
    <n v="0"/>
    <n v="0"/>
    <m/>
    <n v="0"/>
    <m/>
    <m/>
    <m/>
    <m/>
    <m/>
    <m/>
    <m/>
  </r>
  <r>
    <x v="3"/>
    <x v="3"/>
    <n v="0"/>
    <n v="0"/>
    <m/>
    <n v="0"/>
    <m/>
    <m/>
    <m/>
    <m/>
    <m/>
    <m/>
    <m/>
  </r>
  <r>
    <x v="4"/>
    <x v="3"/>
    <n v="4"/>
    <n v="6"/>
    <m/>
    <n v="0"/>
    <m/>
    <m/>
    <m/>
    <m/>
    <m/>
    <m/>
    <m/>
  </r>
  <r>
    <x v="5"/>
    <x v="3"/>
    <n v="1"/>
    <n v="1"/>
    <m/>
    <n v="0"/>
    <m/>
    <m/>
    <m/>
    <m/>
    <m/>
    <m/>
    <m/>
  </r>
  <r>
    <x v="6"/>
    <x v="3"/>
    <n v="0"/>
    <n v="0"/>
    <m/>
    <n v="0"/>
    <m/>
    <m/>
    <m/>
    <m/>
    <m/>
    <m/>
    <m/>
  </r>
  <r>
    <x v="7"/>
    <x v="3"/>
    <n v="0"/>
    <n v="0"/>
    <m/>
    <n v="0"/>
    <m/>
    <m/>
    <m/>
    <m/>
    <m/>
    <m/>
    <m/>
  </r>
  <r>
    <x v="8"/>
    <x v="3"/>
    <n v="0"/>
    <n v="0"/>
    <m/>
    <n v="0"/>
    <m/>
    <m/>
    <m/>
    <m/>
    <m/>
    <m/>
    <m/>
  </r>
  <r>
    <x v="9"/>
    <x v="3"/>
    <n v="0"/>
    <n v="0"/>
    <m/>
    <n v="0"/>
    <m/>
    <m/>
    <m/>
    <m/>
    <m/>
    <m/>
    <m/>
  </r>
  <r>
    <x v="10"/>
    <x v="3"/>
    <n v="0"/>
    <n v="0"/>
    <m/>
    <n v="0"/>
    <m/>
    <m/>
    <m/>
    <m/>
    <m/>
    <m/>
    <m/>
  </r>
  <r>
    <x v="11"/>
    <x v="3"/>
    <n v="0"/>
    <n v="0"/>
    <m/>
    <n v="0"/>
    <m/>
    <m/>
    <m/>
    <m/>
    <m/>
    <m/>
    <m/>
  </r>
  <r>
    <x v="12"/>
    <x v="3"/>
    <n v="0"/>
    <n v="0"/>
    <m/>
    <n v="0"/>
    <m/>
    <m/>
    <m/>
    <m/>
    <m/>
    <m/>
    <m/>
  </r>
  <r>
    <x v="13"/>
    <x v="3"/>
    <n v="0"/>
    <n v="0"/>
    <m/>
    <n v="0"/>
    <m/>
    <m/>
    <m/>
    <m/>
    <m/>
    <m/>
    <m/>
  </r>
  <r>
    <x v="14"/>
    <x v="3"/>
    <n v="0"/>
    <n v="0"/>
    <m/>
    <n v="0"/>
    <m/>
    <m/>
    <m/>
    <m/>
    <m/>
    <m/>
    <m/>
  </r>
  <r>
    <x v="15"/>
    <x v="3"/>
    <n v="0"/>
    <n v="0"/>
    <m/>
    <n v="0"/>
    <m/>
    <m/>
    <m/>
    <m/>
    <m/>
    <m/>
    <m/>
  </r>
  <r>
    <x v="16"/>
    <x v="3"/>
    <n v="0"/>
    <n v="0"/>
    <m/>
    <n v="0"/>
    <m/>
    <m/>
    <m/>
    <m/>
    <m/>
    <m/>
    <m/>
  </r>
  <r>
    <x v="17"/>
    <x v="3"/>
    <n v="0"/>
    <n v="0"/>
    <m/>
    <n v="0"/>
    <m/>
    <m/>
    <m/>
    <m/>
    <m/>
    <m/>
    <m/>
  </r>
  <r>
    <x v="18"/>
    <x v="3"/>
    <n v="0"/>
    <n v="0"/>
    <m/>
    <n v="0"/>
    <m/>
    <m/>
    <m/>
    <m/>
    <m/>
    <m/>
    <m/>
  </r>
  <r>
    <x v="19"/>
    <x v="3"/>
    <n v="0"/>
    <n v="0"/>
    <m/>
    <n v="0"/>
    <m/>
    <m/>
    <m/>
    <m/>
    <m/>
    <m/>
    <m/>
  </r>
  <r>
    <x v="20"/>
    <x v="3"/>
    <n v="0"/>
    <n v="0"/>
    <m/>
    <n v="0"/>
    <m/>
    <m/>
    <m/>
    <m/>
    <m/>
    <m/>
    <m/>
  </r>
  <r>
    <x v="21"/>
    <x v="3"/>
    <n v="0"/>
    <n v="0"/>
    <m/>
    <n v="0"/>
    <m/>
    <m/>
    <m/>
    <m/>
    <m/>
    <m/>
    <m/>
  </r>
  <r>
    <x v="22"/>
    <x v="3"/>
    <n v="0"/>
    <n v="0"/>
    <m/>
    <n v="0"/>
    <m/>
    <m/>
    <m/>
    <m/>
    <m/>
    <m/>
    <m/>
  </r>
  <r>
    <x v="23"/>
    <x v="3"/>
    <n v="0"/>
    <n v="0"/>
    <m/>
    <n v="0"/>
    <m/>
    <m/>
    <m/>
    <m/>
    <m/>
    <m/>
    <m/>
  </r>
  <r>
    <x v="0"/>
    <x v="4"/>
    <n v="0"/>
    <n v="1"/>
    <m/>
    <n v="0"/>
    <m/>
    <m/>
    <m/>
    <m/>
    <m/>
    <m/>
    <m/>
  </r>
  <r>
    <x v="1"/>
    <x v="4"/>
    <n v="0"/>
    <n v="0"/>
    <m/>
    <n v="0"/>
    <m/>
    <m/>
    <m/>
    <m/>
    <m/>
    <m/>
    <m/>
  </r>
  <r>
    <x v="2"/>
    <x v="4"/>
    <n v="0"/>
    <n v="0"/>
    <m/>
    <n v="0"/>
    <m/>
    <m/>
    <m/>
    <m/>
    <m/>
    <m/>
    <m/>
  </r>
  <r>
    <x v="3"/>
    <x v="4"/>
    <n v="0"/>
    <n v="0"/>
    <m/>
    <n v="0"/>
    <m/>
    <m/>
    <m/>
    <m/>
    <m/>
    <m/>
    <m/>
  </r>
  <r>
    <x v="4"/>
    <x v="4"/>
    <n v="1"/>
    <n v="7"/>
    <n v="1"/>
    <n v="1"/>
    <m/>
    <m/>
    <m/>
    <m/>
    <m/>
    <m/>
    <m/>
  </r>
  <r>
    <x v="5"/>
    <x v="4"/>
    <n v="0"/>
    <n v="1"/>
    <m/>
    <n v="0"/>
    <m/>
    <m/>
    <m/>
    <m/>
    <m/>
    <m/>
    <m/>
  </r>
  <r>
    <x v="6"/>
    <x v="4"/>
    <n v="0"/>
    <n v="0"/>
    <m/>
    <n v="0"/>
    <m/>
    <m/>
    <m/>
    <m/>
    <m/>
    <m/>
    <m/>
  </r>
  <r>
    <x v="7"/>
    <x v="4"/>
    <n v="0"/>
    <n v="0"/>
    <m/>
    <n v="0"/>
    <m/>
    <m/>
    <m/>
    <m/>
    <m/>
    <m/>
    <m/>
  </r>
  <r>
    <x v="8"/>
    <x v="4"/>
    <n v="0"/>
    <n v="0"/>
    <m/>
    <n v="0"/>
    <m/>
    <m/>
    <m/>
    <m/>
    <m/>
    <m/>
    <m/>
  </r>
  <r>
    <x v="9"/>
    <x v="4"/>
    <n v="0"/>
    <n v="0"/>
    <m/>
    <n v="0"/>
    <m/>
    <m/>
    <m/>
    <m/>
    <m/>
    <m/>
    <m/>
  </r>
  <r>
    <x v="10"/>
    <x v="4"/>
    <n v="0"/>
    <n v="0"/>
    <m/>
    <n v="0"/>
    <m/>
    <m/>
    <m/>
    <m/>
    <m/>
    <m/>
    <m/>
  </r>
  <r>
    <x v="11"/>
    <x v="4"/>
    <n v="0"/>
    <n v="0"/>
    <m/>
    <n v="0"/>
    <m/>
    <m/>
    <m/>
    <m/>
    <m/>
    <m/>
    <m/>
  </r>
  <r>
    <x v="12"/>
    <x v="4"/>
    <n v="0"/>
    <n v="0"/>
    <m/>
    <n v="0"/>
    <m/>
    <m/>
    <m/>
    <m/>
    <m/>
    <m/>
    <m/>
  </r>
  <r>
    <x v="13"/>
    <x v="4"/>
    <n v="0"/>
    <n v="0"/>
    <m/>
    <n v="0"/>
    <m/>
    <m/>
    <m/>
    <m/>
    <m/>
    <m/>
    <m/>
  </r>
  <r>
    <x v="14"/>
    <x v="4"/>
    <n v="0"/>
    <n v="0"/>
    <m/>
    <n v="0"/>
    <m/>
    <m/>
    <m/>
    <m/>
    <m/>
    <m/>
    <m/>
  </r>
  <r>
    <x v="15"/>
    <x v="4"/>
    <n v="0"/>
    <n v="0"/>
    <m/>
    <n v="0"/>
    <m/>
    <m/>
    <m/>
    <m/>
    <m/>
    <m/>
    <m/>
  </r>
  <r>
    <x v="16"/>
    <x v="4"/>
    <n v="0"/>
    <n v="0"/>
    <m/>
    <n v="0"/>
    <m/>
    <m/>
    <m/>
    <m/>
    <m/>
    <m/>
    <m/>
  </r>
  <r>
    <x v="17"/>
    <x v="4"/>
    <n v="0"/>
    <n v="0"/>
    <m/>
    <n v="0"/>
    <m/>
    <m/>
    <m/>
    <m/>
    <m/>
    <m/>
    <m/>
  </r>
  <r>
    <x v="18"/>
    <x v="4"/>
    <n v="0"/>
    <n v="0"/>
    <m/>
    <n v="0"/>
    <m/>
    <m/>
    <m/>
    <m/>
    <m/>
    <m/>
    <m/>
  </r>
  <r>
    <x v="19"/>
    <x v="4"/>
    <n v="0"/>
    <n v="0"/>
    <m/>
    <n v="0"/>
    <m/>
    <m/>
    <m/>
    <m/>
    <m/>
    <m/>
    <m/>
  </r>
  <r>
    <x v="20"/>
    <x v="4"/>
    <n v="0"/>
    <n v="0"/>
    <m/>
    <n v="0"/>
    <m/>
    <m/>
    <m/>
    <m/>
    <m/>
    <m/>
    <m/>
  </r>
  <r>
    <x v="21"/>
    <x v="4"/>
    <n v="0"/>
    <n v="0"/>
    <m/>
    <n v="0"/>
    <m/>
    <m/>
    <m/>
    <m/>
    <m/>
    <m/>
    <m/>
  </r>
  <r>
    <x v="22"/>
    <x v="4"/>
    <n v="0"/>
    <n v="0"/>
    <m/>
    <n v="0"/>
    <m/>
    <m/>
    <m/>
    <m/>
    <m/>
    <m/>
    <m/>
  </r>
  <r>
    <x v="23"/>
    <x v="4"/>
    <n v="0"/>
    <n v="0"/>
    <m/>
    <n v="0"/>
    <m/>
    <m/>
    <m/>
    <m/>
    <m/>
    <m/>
    <m/>
  </r>
  <r>
    <x v="0"/>
    <x v="5"/>
    <n v="1"/>
    <n v="2"/>
    <m/>
    <n v="0"/>
    <m/>
    <m/>
    <m/>
    <m/>
    <m/>
    <m/>
    <m/>
  </r>
  <r>
    <x v="1"/>
    <x v="5"/>
    <n v="0"/>
    <n v="0"/>
    <m/>
    <n v="0"/>
    <m/>
    <m/>
    <m/>
    <m/>
    <m/>
    <m/>
    <m/>
  </r>
  <r>
    <x v="2"/>
    <x v="5"/>
    <n v="0"/>
    <n v="0"/>
    <m/>
    <n v="0"/>
    <m/>
    <m/>
    <m/>
    <m/>
    <m/>
    <m/>
    <m/>
  </r>
  <r>
    <x v="3"/>
    <x v="5"/>
    <n v="0"/>
    <n v="0"/>
    <m/>
    <n v="0"/>
    <m/>
    <m/>
    <m/>
    <m/>
    <m/>
    <m/>
    <m/>
  </r>
  <r>
    <x v="4"/>
    <x v="5"/>
    <n v="2"/>
    <n v="9"/>
    <m/>
    <n v="1"/>
    <m/>
    <m/>
    <m/>
    <m/>
    <m/>
    <m/>
    <m/>
  </r>
  <r>
    <x v="5"/>
    <x v="5"/>
    <n v="0"/>
    <n v="1"/>
    <m/>
    <n v="0"/>
    <m/>
    <m/>
    <m/>
    <m/>
    <m/>
    <m/>
    <m/>
  </r>
  <r>
    <x v="6"/>
    <x v="5"/>
    <n v="0"/>
    <n v="0"/>
    <m/>
    <n v="0"/>
    <m/>
    <m/>
    <m/>
    <m/>
    <m/>
    <m/>
    <m/>
  </r>
  <r>
    <x v="7"/>
    <x v="5"/>
    <n v="0"/>
    <n v="0"/>
    <m/>
    <n v="0"/>
    <m/>
    <m/>
    <m/>
    <m/>
    <m/>
    <m/>
    <m/>
  </r>
  <r>
    <x v="8"/>
    <x v="5"/>
    <n v="0"/>
    <n v="0"/>
    <m/>
    <n v="0"/>
    <m/>
    <m/>
    <m/>
    <m/>
    <m/>
    <m/>
    <m/>
  </r>
  <r>
    <x v="9"/>
    <x v="5"/>
    <n v="0"/>
    <n v="0"/>
    <m/>
    <n v="0"/>
    <m/>
    <m/>
    <m/>
    <m/>
    <m/>
    <m/>
    <m/>
  </r>
  <r>
    <x v="10"/>
    <x v="5"/>
    <n v="0"/>
    <n v="0"/>
    <m/>
    <n v="0"/>
    <m/>
    <m/>
    <m/>
    <m/>
    <m/>
    <m/>
    <m/>
  </r>
  <r>
    <x v="11"/>
    <x v="5"/>
    <n v="0"/>
    <n v="0"/>
    <m/>
    <n v="0"/>
    <m/>
    <m/>
    <m/>
    <m/>
    <m/>
    <m/>
    <m/>
  </r>
  <r>
    <x v="12"/>
    <x v="5"/>
    <n v="0"/>
    <n v="0"/>
    <m/>
    <n v="0"/>
    <m/>
    <m/>
    <m/>
    <m/>
    <m/>
    <m/>
    <m/>
  </r>
  <r>
    <x v="13"/>
    <x v="5"/>
    <n v="0"/>
    <n v="0"/>
    <m/>
    <n v="0"/>
    <m/>
    <m/>
    <m/>
    <m/>
    <m/>
    <m/>
    <m/>
  </r>
  <r>
    <x v="14"/>
    <x v="5"/>
    <n v="0"/>
    <n v="0"/>
    <m/>
    <n v="0"/>
    <m/>
    <m/>
    <m/>
    <m/>
    <m/>
    <m/>
    <m/>
  </r>
  <r>
    <x v="15"/>
    <x v="5"/>
    <n v="0"/>
    <n v="0"/>
    <m/>
    <n v="0"/>
    <m/>
    <m/>
    <m/>
    <m/>
    <m/>
    <m/>
    <m/>
  </r>
  <r>
    <x v="16"/>
    <x v="5"/>
    <n v="0"/>
    <n v="0"/>
    <m/>
    <n v="0"/>
    <m/>
    <m/>
    <m/>
    <m/>
    <m/>
    <m/>
    <m/>
  </r>
  <r>
    <x v="17"/>
    <x v="5"/>
    <n v="0"/>
    <n v="0"/>
    <m/>
    <n v="0"/>
    <m/>
    <m/>
    <m/>
    <m/>
    <m/>
    <m/>
    <m/>
  </r>
  <r>
    <x v="18"/>
    <x v="5"/>
    <n v="0"/>
    <n v="0"/>
    <m/>
    <n v="0"/>
    <m/>
    <m/>
    <m/>
    <m/>
    <m/>
    <m/>
    <m/>
  </r>
  <r>
    <x v="19"/>
    <x v="5"/>
    <n v="0"/>
    <n v="0"/>
    <m/>
    <n v="0"/>
    <m/>
    <m/>
    <m/>
    <m/>
    <m/>
    <m/>
    <m/>
  </r>
  <r>
    <x v="20"/>
    <x v="5"/>
    <n v="0"/>
    <n v="0"/>
    <m/>
    <n v="0"/>
    <m/>
    <m/>
    <m/>
    <m/>
    <m/>
    <m/>
    <m/>
  </r>
  <r>
    <x v="21"/>
    <x v="5"/>
    <n v="0"/>
    <n v="0"/>
    <m/>
    <n v="0"/>
    <m/>
    <m/>
    <m/>
    <m/>
    <m/>
    <m/>
    <m/>
  </r>
  <r>
    <x v="22"/>
    <x v="5"/>
    <n v="0"/>
    <n v="0"/>
    <m/>
    <n v="0"/>
    <m/>
    <m/>
    <m/>
    <m/>
    <m/>
    <m/>
    <m/>
  </r>
  <r>
    <x v="23"/>
    <x v="5"/>
    <n v="0"/>
    <n v="0"/>
    <m/>
    <n v="0"/>
    <m/>
    <m/>
    <m/>
    <m/>
    <m/>
    <m/>
    <m/>
  </r>
  <r>
    <x v="0"/>
    <x v="6"/>
    <n v="0"/>
    <n v="2"/>
    <m/>
    <n v="0"/>
    <m/>
    <m/>
    <m/>
    <m/>
    <m/>
    <m/>
    <m/>
  </r>
  <r>
    <x v="1"/>
    <x v="6"/>
    <n v="0"/>
    <n v="0"/>
    <m/>
    <n v="0"/>
    <m/>
    <m/>
    <m/>
    <m/>
    <m/>
    <m/>
    <m/>
  </r>
  <r>
    <x v="2"/>
    <x v="6"/>
    <n v="2"/>
    <n v="2"/>
    <m/>
    <n v="0"/>
    <m/>
    <m/>
    <m/>
    <m/>
    <m/>
    <m/>
    <m/>
  </r>
  <r>
    <x v="3"/>
    <x v="6"/>
    <n v="0"/>
    <n v="0"/>
    <m/>
    <n v="0"/>
    <m/>
    <m/>
    <m/>
    <m/>
    <m/>
    <m/>
    <m/>
  </r>
  <r>
    <x v="4"/>
    <x v="6"/>
    <n v="1"/>
    <n v="10"/>
    <m/>
    <n v="1"/>
    <m/>
    <m/>
    <m/>
    <m/>
    <m/>
    <m/>
    <m/>
  </r>
  <r>
    <x v="5"/>
    <x v="6"/>
    <n v="0"/>
    <n v="1"/>
    <m/>
    <n v="0"/>
    <m/>
    <m/>
    <m/>
    <m/>
    <m/>
    <m/>
    <m/>
  </r>
  <r>
    <x v="6"/>
    <x v="6"/>
    <n v="0"/>
    <n v="0"/>
    <m/>
    <n v="0"/>
    <m/>
    <m/>
    <m/>
    <m/>
    <m/>
    <m/>
    <m/>
  </r>
  <r>
    <x v="7"/>
    <x v="6"/>
    <n v="0"/>
    <n v="0"/>
    <m/>
    <n v="0"/>
    <m/>
    <m/>
    <m/>
    <m/>
    <m/>
    <m/>
    <m/>
  </r>
  <r>
    <x v="8"/>
    <x v="6"/>
    <n v="0"/>
    <n v="0"/>
    <m/>
    <n v="0"/>
    <m/>
    <m/>
    <m/>
    <m/>
    <m/>
    <m/>
    <m/>
  </r>
  <r>
    <x v="9"/>
    <x v="6"/>
    <n v="0"/>
    <n v="0"/>
    <m/>
    <n v="0"/>
    <m/>
    <m/>
    <m/>
    <m/>
    <m/>
    <m/>
    <m/>
  </r>
  <r>
    <x v="10"/>
    <x v="6"/>
    <n v="0"/>
    <n v="0"/>
    <m/>
    <n v="0"/>
    <m/>
    <m/>
    <m/>
    <m/>
    <m/>
    <m/>
    <m/>
  </r>
  <r>
    <x v="11"/>
    <x v="6"/>
    <n v="0"/>
    <n v="0"/>
    <m/>
    <n v="0"/>
    <m/>
    <m/>
    <m/>
    <m/>
    <m/>
    <m/>
    <m/>
  </r>
  <r>
    <x v="12"/>
    <x v="6"/>
    <n v="0"/>
    <n v="0"/>
    <m/>
    <n v="0"/>
    <m/>
    <m/>
    <m/>
    <m/>
    <m/>
    <m/>
    <m/>
  </r>
  <r>
    <x v="13"/>
    <x v="6"/>
    <n v="0"/>
    <n v="0"/>
    <m/>
    <n v="0"/>
    <m/>
    <m/>
    <m/>
    <m/>
    <m/>
    <m/>
    <m/>
  </r>
  <r>
    <x v="14"/>
    <x v="6"/>
    <n v="0"/>
    <n v="0"/>
    <m/>
    <n v="0"/>
    <m/>
    <m/>
    <m/>
    <m/>
    <m/>
    <m/>
    <m/>
  </r>
  <r>
    <x v="15"/>
    <x v="6"/>
    <n v="1"/>
    <n v="1"/>
    <m/>
    <n v="0"/>
    <m/>
    <m/>
    <m/>
    <m/>
    <m/>
    <m/>
    <m/>
  </r>
  <r>
    <x v="16"/>
    <x v="6"/>
    <n v="0"/>
    <n v="0"/>
    <m/>
    <n v="0"/>
    <m/>
    <m/>
    <m/>
    <m/>
    <m/>
    <m/>
    <m/>
  </r>
  <r>
    <x v="17"/>
    <x v="6"/>
    <n v="0"/>
    <n v="0"/>
    <m/>
    <n v="0"/>
    <m/>
    <m/>
    <m/>
    <m/>
    <m/>
    <m/>
    <m/>
  </r>
  <r>
    <x v="18"/>
    <x v="6"/>
    <n v="1"/>
    <n v="1"/>
    <m/>
    <n v="0"/>
    <m/>
    <m/>
    <m/>
    <m/>
    <m/>
    <m/>
    <m/>
  </r>
  <r>
    <x v="19"/>
    <x v="6"/>
    <n v="0"/>
    <n v="0"/>
    <m/>
    <n v="0"/>
    <m/>
    <m/>
    <m/>
    <m/>
    <m/>
    <m/>
    <m/>
  </r>
  <r>
    <x v="20"/>
    <x v="6"/>
    <n v="0"/>
    <n v="0"/>
    <m/>
    <n v="0"/>
    <m/>
    <m/>
    <m/>
    <m/>
    <m/>
    <m/>
    <m/>
  </r>
  <r>
    <x v="21"/>
    <x v="6"/>
    <n v="0"/>
    <n v="0"/>
    <m/>
    <n v="0"/>
    <m/>
    <m/>
    <m/>
    <m/>
    <m/>
    <m/>
    <m/>
  </r>
  <r>
    <x v="22"/>
    <x v="6"/>
    <n v="0"/>
    <n v="0"/>
    <m/>
    <n v="0"/>
    <m/>
    <m/>
    <m/>
    <m/>
    <m/>
    <m/>
    <m/>
  </r>
  <r>
    <x v="23"/>
    <x v="6"/>
    <n v="0"/>
    <n v="0"/>
    <m/>
    <n v="0"/>
    <m/>
    <m/>
    <m/>
    <m/>
    <m/>
    <m/>
    <m/>
  </r>
  <r>
    <x v="0"/>
    <x v="7"/>
    <n v="1"/>
    <n v="3"/>
    <m/>
    <n v="0"/>
    <m/>
    <m/>
    <m/>
    <m/>
    <m/>
    <m/>
    <m/>
  </r>
  <r>
    <x v="1"/>
    <x v="7"/>
    <n v="0"/>
    <n v="0"/>
    <m/>
    <n v="0"/>
    <m/>
    <m/>
    <m/>
    <m/>
    <m/>
    <m/>
    <m/>
  </r>
  <r>
    <x v="2"/>
    <x v="7"/>
    <n v="0"/>
    <n v="2"/>
    <m/>
    <n v="0"/>
    <m/>
    <m/>
    <m/>
    <m/>
    <m/>
    <m/>
    <m/>
  </r>
  <r>
    <x v="3"/>
    <x v="7"/>
    <n v="0"/>
    <n v="0"/>
    <m/>
    <n v="0"/>
    <m/>
    <m/>
    <m/>
    <m/>
    <m/>
    <m/>
    <m/>
  </r>
  <r>
    <x v="4"/>
    <x v="7"/>
    <n v="1"/>
    <n v="11"/>
    <m/>
    <n v="1"/>
    <m/>
    <m/>
    <m/>
    <m/>
    <m/>
    <m/>
    <m/>
  </r>
  <r>
    <x v="5"/>
    <x v="7"/>
    <n v="0"/>
    <n v="1"/>
    <m/>
    <n v="0"/>
    <m/>
    <m/>
    <m/>
    <m/>
    <m/>
    <m/>
    <m/>
  </r>
  <r>
    <x v="6"/>
    <x v="7"/>
    <n v="0"/>
    <n v="0"/>
    <m/>
    <n v="0"/>
    <m/>
    <m/>
    <m/>
    <m/>
    <m/>
    <m/>
    <m/>
  </r>
  <r>
    <x v="7"/>
    <x v="7"/>
    <n v="0"/>
    <n v="0"/>
    <m/>
    <n v="0"/>
    <m/>
    <m/>
    <m/>
    <m/>
    <m/>
    <m/>
    <m/>
  </r>
  <r>
    <x v="8"/>
    <x v="7"/>
    <n v="0"/>
    <n v="0"/>
    <m/>
    <n v="0"/>
    <m/>
    <m/>
    <m/>
    <m/>
    <m/>
    <m/>
    <m/>
  </r>
  <r>
    <x v="9"/>
    <x v="7"/>
    <n v="0"/>
    <n v="0"/>
    <m/>
    <n v="0"/>
    <m/>
    <m/>
    <m/>
    <m/>
    <m/>
    <m/>
    <m/>
  </r>
  <r>
    <x v="10"/>
    <x v="7"/>
    <n v="0"/>
    <n v="0"/>
    <m/>
    <n v="0"/>
    <m/>
    <m/>
    <m/>
    <m/>
    <m/>
    <m/>
    <m/>
  </r>
  <r>
    <x v="11"/>
    <x v="7"/>
    <n v="0"/>
    <n v="0"/>
    <m/>
    <n v="0"/>
    <m/>
    <m/>
    <m/>
    <m/>
    <m/>
    <m/>
    <m/>
  </r>
  <r>
    <x v="12"/>
    <x v="7"/>
    <n v="0"/>
    <n v="0"/>
    <m/>
    <n v="0"/>
    <m/>
    <m/>
    <m/>
    <m/>
    <m/>
    <m/>
    <m/>
  </r>
  <r>
    <x v="13"/>
    <x v="7"/>
    <n v="0"/>
    <n v="0"/>
    <m/>
    <n v="0"/>
    <m/>
    <m/>
    <m/>
    <m/>
    <m/>
    <m/>
    <m/>
  </r>
  <r>
    <x v="14"/>
    <x v="7"/>
    <n v="0"/>
    <n v="0"/>
    <m/>
    <n v="0"/>
    <m/>
    <m/>
    <m/>
    <m/>
    <m/>
    <m/>
    <m/>
  </r>
  <r>
    <x v="15"/>
    <x v="7"/>
    <n v="0"/>
    <n v="1"/>
    <m/>
    <n v="0"/>
    <m/>
    <m/>
    <m/>
    <m/>
    <m/>
    <m/>
    <m/>
  </r>
  <r>
    <x v="16"/>
    <x v="7"/>
    <n v="0"/>
    <n v="0"/>
    <m/>
    <n v="0"/>
    <m/>
    <m/>
    <m/>
    <m/>
    <m/>
    <m/>
    <m/>
  </r>
  <r>
    <x v="17"/>
    <x v="7"/>
    <n v="0"/>
    <n v="0"/>
    <m/>
    <n v="0"/>
    <m/>
    <m/>
    <m/>
    <m/>
    <m/>
    <m/>
    <m/>
  </r>
  <r>
    <x v="18"/>
    <x v="7"/>
    <n v="0"/>
    <n v="1"/>
    <m/>
    <n v="0"/>
    <m/>
    <m/>
    <m/>
    <m/>
    <m/>
    <m/>
    <m/>
  </r>
  <r>
    <x v="19"/>
    <x v="7"/>
    <n v="0"/>
    <n v="0"/>
    <m/>
    <n v="0"/>
    <m/>
    <m/>
    <m/>
    <m/>
    <m/>
    <m/>
    <m/>
  </r>
  <r>
    <x v="20"/>
    <x v="7"/>
    <n v="0"/>
    <n v="0"/>
    <m/>
    <n v="0"/>
    <m/>
    <m/>
    <m/>
    <m/>
    <m/>
    <m/>
    <m/>
  </r>
  <r>
    <x v="21"/>
    <x v="7"/>
    <n v="0"/>
    <n v="0"/>
    <m/>
    <n v="0"/>
    <m/>
    <m/>
    <m/>
    <m/>
    <m/>
    <m/>
    <m/>
  </r>
  <r>
    <x v="22"/>
    <x v="7"/>
    <n v="0"/>
    <n v="0"/>
    <m/>
    <n v="0"/>
    <m/>
    <m/>
    <m/>
    <m/>
    <m/>
    <m/>
    <m/>
  </r>
  <r>
    <x v="23"/>
    <x v="7"/>
    <n v="0"/>
    <n v="0"/>
    <m/>
    <n v="0"/>
    <m/>
    <m/>
    <m/>
    <m/>
    <m/>
    <m/>
    <m/>
  </r>
  <r>
    <x v="0"/>
    <x v="8"/>
    <n v="1"/>
    <n v="4"/>
    <m/>
    <n v="0"/>
    <m/>
    <m/>
    <m/>
    <m/>
    <m/>
    <m/>
    <m/>
  </r>
  <r>
    <x v="1"/>
    <x v="8"/>
    <n v="0"/>
    <n v="0"/>
    <m/>
    <n v="0"/>
    <m/>
    <m/>
    <m/>
    <m/>
    <m/>
    <m/>
    <m/>
  </r>
  <r>
    <x v="2"/>
    <x v="8"/>
    <n v="0"/>
    <n v="2"/>
    <m/>
    <n v="0"/>
    <m/>
    <m/>
    <m/>
    <m/>
    <m/>
    <m/>
    <m/>
  </r>
  <r>
    <x v="3"/>
    <x v="8"/>
    <n v="0"/>
    <n v="0"/>
    <m/>
    <n v="0"/>
    <m/>
    <m/>
    <m/>
    <m/>
    <m/>
    <m/>
    <m/>
  </r>
  <r>
    <x v="4"/>
    <x v="8"/>
    <n v="1"/>
    <n v="12"/>
    <m/>
    <n v="1"/>
    <m/>
    <m/>
    <m/>
    <m/>
    <m/>
    <m/>
    <m/>
  </r>
  <r>
    <x v="5"/>
    <x v="8"/>
    <n v="0"/>
    <n v="1"/>
    <m/>
    <n v="0"/>
    <m/>
    <m/>
    <m/>
    <m/>
    <m/>
    <m/>
    <m/>
  </r>
  <r>
    <x v="6"/>
    <x v="8"/>
    <n v="0"/>
    <n v="0"/>
    <m/>
    <n v="0"/>
    <m/>
    <m/>
    <m/>
    <m/>
    <m/>
    <m/>
    <m/>
  </r>
  <r>
    <x v="7"/>
    <x v="8"/>
    <n v="0"/>
    <n v="0"/>
    <m/>
    <n v="0"/>
    <m/>
    <m/>
    <m/>
    <m/>
    <m/>
    <m/>
    <m/>
  </r>
  <r>
    <x v="8"/>
    <x v="8"/>
    <n v="0"/>
    <n v="0"/>
    <m/>
    <n v="0"/>
    <m/>
    <m/>
    <m/>
    <m/>
    <m/>
    <m/>
    <m/>
  </r>
  <r>
    <x v="9"/>
    <x v="8"/>
    <n v="0"/>
    <n v="0"/>
    <m/>
    <n v="0"/>
    <m/>
    <m/>
    <m/>
    <m/>
    <m/>
    <m/>
    <m/>
  </r>
  <r>
    <x v="10"/>
    <x v="8"/>
    <n v="0"/>
    <n v="0"/>
    <m/>
    <n v="0"/>
    <m/>
    <m/>
    <m/>
    <m/>
    <m/>
    <m/>
    <m/>
  </r>
  <r>
    <x v="11"/>
    <x v="8"/>
    <n v="0"/>
    <n v="0"/>
    <m/>
    <n v="0"/>
    <m/>
    <m/>
    <m/>
    <m/>
    <m/>
    <m/>
    <m/>
  </r>
  <r>
    <x v="12"/>
    <x v="8"/>
    <n v="0"/>
    <n v="0"/>
    <m/>
    <n v="0"/>
    <m/>
    <m/>
    <m/>
    <m/>
    <m/>
    <m/>
    <m/>
  </r>
  <r>
    <x v="13"/>
    <x v="8"/>
    <n v="0"/>
    <n v="0"/>
    <m/>
    <n v="0"/>
    <m/>
    <m/>
    <m/>
    <m/>
    <m/>
    <m/>
    <m/>
  </r>
  <r>
    <x v="14"/>
    <x v="8"/>
    <n v="0"/>
    <n v="0"/>
    <m/>
    <n v="0"/>
    <m/>
    <m/>
    <m/>
    <m/>
    <m/>
    <m/>
    <m/>
  </r>
  <r>
    <x v="15"/>
    <x v="8"/>
    <n v="0"/>
    <n v="1"/>
    <m/>
    <n v="0"/>
    <m/>
    <m/>
    <m/>
    <m/>
    <m/>
    <m/>
    <m/>
  </r>
  <r>
    <x v="16"/>
    <x v="8"/>
    <n v="0"/>
    <n v="0"/>
    <m/>
    <n v="0"/>
    <m/>
    <m/>
    <m/>
    <m/>
    <m/>
    <m/>
    <m/>
  </r>
  <r>
    <x v="17"/>
    <x v="8"/>
    <n v="0"/>
    <n v="0"/>
    <m/>
    <n v="0"/>
    <m/>
    <m/>
    <m/>
    <m/>
    <m/>
    <m/>
    <m/>
  </r>
  <r>
    <x v="18"/>
    <x v="8"/>
    <n v="0"/>
    <n v="1"/>
    <m/>
    <n v="0"/>
    <m/>
    <m/>
    <m/>
    <m/>
    <m/>
    <m/>
    <m/>
  </r>
  <r>
    <x v="19"/>
    <x v="8"/>
    <n v="0"/>
    <n v="0"/>
    <m/>
    <n v="0"/>
    <m/>
    <m/>
    <m/>
    <m/>
    <m/>
    <m/>
    <m/>
  </r>
  <r>
    <x v="20"/>
    <x v="8"/>
    <n v="0"/>
    <n v="0"/>
    <m/>
    <n v="0"/>
    <m/>
    <m/>
    <m/>
    <m/>
    <m/>
    <m/>
    <m/>
  </r>
  <r>
    <x v="21"/>
    <x v="8"/>
    <n v="0"/>
    <n v="0"/>
    <m/>
    <n v="0"/>
    <m/>
    <m/>
    <m/>
    <m/>
    <m/>
    <m/>
    <m/>
  </r>
  <r>
    <x v="22"/>
    <x v="8"/>
    <n v="0"/>
    <n v="0"/>
    <m/>
    <n v="0"/>
    <m/>
    <m/>
    <m/>
    <m/>
    <m/>
    <m/>
    <m/>
  </r>
  <r>
    <x v="23"/>
    <x v="8"/>
    <n v="0"/>
    <n v="0"/>
    <m/>
    <n v="0"/>
    <m/>
    <m/>
    <m/>
    <m/>
    <m/>
    <m/>
    <m/>
  </r>
  <r>
    <x v="0"/>
    <x v="9"/>
    <n v="4"/>
    <n v="8"/>
    <m/>
    <n v="0"/>
    <m/>
    <m/>
    <m/>
    <m/>
    <m/>
    <m/>
    <m/>
  </r>
  <r>
    <x v="1"/>
    <x v="9"/>
    <n v="0"/>
    <n v="0"/>
    <m/>
    <n v="0"/>
    <m/>
    <m/>
    <m/>
    <m/>
    <m/>
    <m/>
    <m/>
  </r>
  <r>
    <x v="2"/>
    <x v="9"/>
    <n v="2"/>
    <n v="4"/>
    <m/>
    <n v="0"/>
    <m/>
    <m/>
    <m/>
    <m/>
    <m/>
    <m/>
    <m/>
  </r>
  <r>
    <x v="3"/>
    <x v="9"/>
    <n v="0"/>
    <n v="0"/>
    <m/>
    <n v="0"/>
    <m/>
    <m/>
    <m/>
    <m/>
    <m/>
    <m/>
    <m/>
  </r>
  <r>
    <x v="4"/>
    <x v="9"/>
    <n v="2"/>
    <n v="14"/>
    <m/>
    <n v="1"/>
    <m/>
    <m/>
    <m/>
    <m/>
    <m/>
    <m/>
    <m/>
  </r>
  <r>
    <x v="5"/>
    <x v="9"/>
    <n v="1"/>
    <n v="2"/>
    <m/>
    <n v="0"/>
    <m/>
    <m/>
    <m/>
    <m/>
    <m/>
    <m/>
    <m/>
  </r>
  <r>
    <x v="6"/>
    <x v="9"/>
    <n v="0"/>
    <n v="0"/>
    <m/>
    <n v="0"/>
    <m/>
    <m/>
    <m/>
    <m/>
    <m/>
    <m/>
    <m/>
  </r>
  <r>
    <x v="7"/>
    <x v="9"/>
    <n v="1"/>
    <n v="1"/>
    <m/>
    <n v="0"/>
    <m/>
    <m/>
    <m/>
    <m/>
    <m/>
    <m/>
    <m/>
  </r>
  <r>
    <x v="8"/>
    <x v="9"/>
    <n v="0"/>
    <n v="0"/>
    <m/>
    <n v="0"/>
    <m/>
    <m/>
    <m/>
    <m/>
    <m/>
    <m/>
    <m/>
  </r>
  <r>
    <x v="9"/>
    <x v="9"/>
    <n v="0"/>
    <n v="0"/>
    <m/>
    <n v="0"/>
    <m/>
    <m/>
    <m/>
    <m/>
    <m/>
    <m/>
    <m/>
  </r>
  <r>
    <x v="10"/>
    <x v="9"/>
    <n v="0"/>
    <n v="0"/>
    <m/>
    <n v="0"/>
    <m/>
    <m/>
    <m/>
    <m/>
    <m/>
    <m/>
    <m/>
  </r>
  <r>
    <x v="11"/>
    <x v="9"/>
    <n v="0"/>
    <n v="0"/>
    <m/>
    <n v="0"/>
    <m/>
    <m/>
    <m/>
    <m/>
    <m/>
    <m/>
    <m/>
  </r>
  <r>
    <x v="12"/>
    <x v="9"/>
    <n v="0"/>
    <n v="0"/>
    <m/>
    <n v="0"/>
    <m/>
    <m/>
    <m/>
    <m/>
    <m/>
    <m/>
    <m/>
  </r>
  <r>
    <x v="13"/>
    <x v="9"/>
    <n v="0"/>
    <n v="0"/>
    <m/>
    <n v="0"/>
    <m/>
    <m/>
    <m/>
    <m/>
    <m/>
    <m/>
    <m/>
  </r>
  <r>
    <x v="14"/>
    <x v="9"/>
    <n v="0"/>
    <n v="0"/>
    <m/>
    <n v="0"/>
    <m/>
    <m/>
    <m/>
    <m/>
    <m/>
    <m/>
    <m/>
  </r>
  <r>
    <x v="15"/>
    <x v="9"/>
    <n v="0"/>
    <n v="1"/>
    <m/>
    <n v="0"/>
    <m/>
    <m/>
    <m/>
    <m/>
    <m/>
    <m/>
    <m/>
  </r>
  <r>
    <x v="16"/>
    <x v="9"/>
    <n v="0"/>
    <n v="0"/>
    <m/>
    <n v="0"/>
    <m/>
    <m/>
    <m/>
    <m/>
    <m/>
    <m/>
    <m/>
  </r>
  <r>
    <x v="17"/>
    <x v="9"/>
    <n v="0"/>
    <n v="0"/>
    <m/>
    <n v="0"/>
    <m/>
    <m/>
    <m/>
    <m/>
    <m/>
    <m/>
    <m/>
  </r>
  <r>
    <x v="18"/>
    <x v="9"/>
    <n v="0"/>
    <n v="1"/>
    <m/>
    <n v="0"/>
    <m/>
    <m/>
    <m/>
    <m/>
    <m/>
    <m/>
    <m/>
  </r>
  <r>
    <x v="19"/>
    <x v="9"/>
    <n v="0"/>
    <n v="0"/>
    <m/>
    <n v="0"/>
    <m/>
    <m/>
    <m/>
    <m/>
    <m/>
    <m/>
    <m/>
  </r>
  <r>
    <x v="20"/>
    <x v="9"/>
    <n v="0"/>
    <n v="0"/>
    <m/>
    <n v="0"/>
    <m/>
    <m/>
    <m/>
    <m/>
    <m/>
    <m/>
    <m/>
  </r>
  <r>
    <x v="21"/>
    <x v="9"/>
    <n v="0"/>
    <n v="0"/>
    <m/>
    <n v="0"/>
    <m/>
    <m/>
    <m/>
    <m/>
    <m/>
    <m/>
    <m/>
  </r>
  <r>
    <x v="22"/>
    <x v="9"/>
    <n v="0"/>
    <n v="0"/>
    <m/>
    <n v="0"/>
    <m/>
    <m/>
    <m/>
    <m/>
    <m/>
    <m/>
    <m/>
  </r>
  <r>
    <x v="23"/>
    <x v="9"/>
    <n v="0"/>
    <n v="0"/>
    <m/>
    <n v="0"/>
    <m/>
    <m/>
    <m/>
    <m/>
    <m/>
    <m/>
    <m/>
  </r>
  <r>
    <x v="0"/>
    <x v="10"/>
    <n v="1"/>
    <n v="9"/>
    <m/>
    <n v="0"/>
    <m/>
    <m/>
    <m/>
    <m/>
    <m/>
    <m/>
    <m/>
  </r>
  <r>
    <x v="1"/>
    <x v="10"/>
    <n v="0"/>
    <n v="0"/>
    <m/>
    <n v="0"/>
    <m/>
    <m/>
    <m/>
    <m/>
    <m/>
    <m/>
    <m/>
  </r>
  <r>
    <x v="2"/>
    <x v="10"/>
    <n v="0"/>
    <n v="4"/>
    <n v="1"/>
    <n v="1"/>
    <m/>
    <m/>
    <m/>
    <m/>
    <m/>
    <m/>
    <m/>
  </r>
  <r>
    <x v="3"/>
    <x v="10"/>
    <n v="0"/>
    <n v="0"/>
    <m/>
    <n v="0"/>
    <m/>
    <m/>
    <m/>
    <m/>
    <m/>
    <m/>
    <m/>
  </r>
  <r>
    <x v="4"/>
    <x v="10"/>
    <n v="2"/>
    <n v="16"/>
    <m/>
    <n v="1"/>
    <m/>
    <m/>
    <m/>
    <m/>
    <m/>
    <m/>
    <m/>
  </r>
  <r>
    <x v="5"/>
    <x v="10"/>
    <n v="0"/>
    <n v="2"/>
    <m/>
    <n v="0"/>
    <m/>
    <m/>
    <m/>
    <m/>
    <m/>
    <m/>
    <m/>
  </r>
  <r>
    <x v="6"/>
    <x v="10"/>
    <n v="0"/>
    <n v="0"/>
    <m/>
    <n v="0"/>
    <m/>
    <m/>
    <m/>
    <m/>
    <m/>
    <m/>
    <m/>
  </r>
  <r>
    <x v="7"/>
    <x v="10"/>
    <n v="0"/>
    <n v="1"/>
    <m/>
    <n v="0"/>
    <m/>
    <m/>
    <m/>
    <m/>
    <m/>
    <m/>
    <m/>
  </r>
  <r>
    <x v="8"/>
    <x v="10"/>
    <n v="0"/>
    <n v="0"/>
    <m/>
    <n v="0"/>
    <m/>
    <m/>
    <m/>
    <m/>
    <m/>
    <m/>
    <m/>
  </r>
  <r>
    <x v="9"/>
    <x v="10"/>
    <n v="0"/>
    <n v="0"/>
    <m/>
    <n v="0"/>
    <m/>
    <m/>
    <m/>
    <m/>
    <m/>
    <m/>
    <m/>
  </r>
  <r>
    <x v="10"/>
    <x v="10"/>
    <n v="0"/>
    <n v="0"/>
    <m/>
    <n v="0"/>
    <m/>
    <m/>
    <m/>
    <m/>
    <m/>
    <m/>
    <m/>
  </r>
  <r>
    <x v="11"/>
    <x v="10"/>
    <n v="0"/>
    <n v="0"/>
    <m/>
    <n v="0"/>
    <m/>
    <m/>
    <m/>
    <m/>
    <m/>
    <m/>
    <m/>
  </r>
  <r>
    <x v="12"/>
    <x v="10"/>
    <n v="0"/>
    <n v="0"/>
    <m/>
    <n v="0"/>
    <m/>
    <m/>
    <m/>
    <m/>
    <m/>
    <m/>
    <m/>
  </r>
  <r>
    <x v="13"/>
    <x v="10"/>
    <n v="0"/>
    <n v="0"/>
    <m/>
    <n v="0"/>
    <m/>
    <m/>
    <m/>
    <m/>
    <m/>
    <m/>
    <m/>
  </r>
  <r>
    <x v="14"/>
    <x v="10"/>
    <n v="0"/>
    <n v="0"/>
    <m/>
    <n v="0"/>
    <m/>
    <m/>
    <m/>
    <m/>
    <m/>
    <m/>
    <m/>
  </r>
  <r>
    <x v="15"/>
    <x v="10"/>
    <n v="0"/>
    <n v="1"/>
    <m/>
    <n v="0"/>
    <m/>
    <m/>
    <m/>
    <m/>
    <m/>
    <m/>
    <m/>
  </r>
  <r>
    <x v="16"/>
    <x v="10"/>
    <n v="0"/>
    <n v="0"/>
    <m/>
    <n v="0"/>
    <m/>
    <m/>
    <m/>
    <m/>
    <m/>
    <m/>
    <m/>
  </r>
  <r>
    <x v="17"/>
    <x v="10"/>
    <n v="0"/>
    <n v="0"/>
    <m/>
    <n v="0"/>
    <m/>
    <m/>
    <m/>
    <m/>
    <m/>
    <m/>
    <m/>
  </r>
  <r>
    <x v="18"/>
    <x v="10"/>
    <n v="0"/>
    <n v="1"/>
    <m/>
    <n v="0"/>
    <m/>
    <m/>
    <m/>
    <m/>
    <m/>
    <m/>
    <m/>
  </r>
  <r>
    <x v="19"/>
    <x v="10"/>
    <n v="0"/>
    <n v="0"/>
    <m/>
    <n v="0"/>
    <m/>
    <m/>
    <m/>
    <m/>
    <m/>
    <m/>
    <m/>
  </r>
  <r>
    <x v="20"/>
    <x v="10"/>
    <n v="0"/>
    <n v="0"/>
    <m/>
    <n v="0"/>
    <m/>
    <m/>
    <m/>
    <m/>
    <m/>
    <m/>
    <m/>
  </r>
  <r>
    <x v="21"/>
    <x v="10"/>
    <n v="0"/>
    <n v="0"/>
    <m/>
    <n v="0"/>
    <m/>
    <m/>
    <m/>
    <m/>
    <m/>
    <m/>
    <m/>
  </r>
  <r>
    <x v="22"/>
    <x v="10"/>
    <n v="0"/>
    <n v="0"/>
    <m/>
    <n v="0"/>
    <m/>
    <m/>
    <m/>
    <m/>
    <m/>
    <m/>
    <m/>
  </r>
  <r>
    <x v="23"/>
    <x v="10"/>
    <n v="0"/>
    <n v="0"/>
    <m/>
    <n v="0"/>
    <m/>
    <m/>
    <m/>
    <m/>
    <m/>
    <m/>
    <m/>
  </r>
  <r>
    <x v="0"/>
    <x v="11"/>
    <n v="1"/>
    <n v="10"/>
    <m/>
    <n v="0"/>
    <m/>
    <m/>
    <m/>
    <m/>
    <m/>
    <m/>
    <m/>
  </r>
  <r>
    <x v="1"/>
    <x v="11"/>
    <n v="0"/>
    <n v="0"/>
    <m/>
    <n v="0"/>
    <m/>
    <m/>
    <m/>
    <m/>
    <m/>
    <m/>
    <m/>
  </r>
  <r>
    <x v="2"/>
    <x v="11"/>
    <n v="1"/>
    <n v="5"/>
    <m/>
    <n v="1"/>
    <m/>
    <m/>
    <m/>
    <m/>
    <m/>
    <m/>
    <m/>
  </r>
  <r>
    <x v="3"/>
    <x v="11"/>
    <n v="0"/>
    <n v="0"/>
    <m/>
    <n v="0"/>
    <m/>
    <m/>
    <m/>
    <m/>
    <m/>
    <m/>
    <m/>
  </r>
  <r>
    <x v="4"/>
    <x v="11"/>
    <n v="6"/>
    <n v="22"/>
    <m/>
    <n v="1"/>
    <m/>
    <m/>
    <m/>
    <m/>
    <m/>
    <m/>
    <m/>
  </r>
  <r>
    <x v="5"/>
    <x v="11"/>
    <n v="0"/>
    <n v="2"/>
    <m/>
    <n v="0"/>
    <m/>
    <m/>
    <m/>
    <m/>
    <m/>
    <m/>
    <m/>
  </r>
  <r>
    <x v="6"/>
    <x v="11"/>
    <n v="0"/>
    <n v="0"/>
    <m/>
    <n v="0"/>
    <m/>
    <m/>
    <m/>
    <m/>
    <m/>
    <m/>
    <m/>
  </r>
  <r>
    <x v="7"/>
    <x v="11"/>
    <n v="0"/>
    <n v="1"/>
    <m/>
    <n v="0"/>
    <m/>
    <m/>
    <m/>
    <m/>
    <m/>
    <m/>
    <m/>
  </r>
  <r>
    <x v="8"/>
    <x v="11"/>
    <n v="0"/>
    <n v="0"/>
    <m/>
    <n v="0"/>
    <m/>
    <m/>
    <m/>
    <m/>
    <m/>
    <m/>
    <m/>
  </r>
  <r>
    <x v="9"/>
    <x v="11"/>
    <n v="0"/>
    <n v="0"/>
    <m/>
    <n v="0"/>
    <m/>
    <m/>
    <m/>
    <m/>
    <m/>
    <m/>
    <m/>
  </r>
  <r>
    <x v="10"/>
    <x v="11"/>
    <n v="0"/>
    <n v="0"/>
    <m/>
    <n v="0"/>
    <m/>
    <m/>
    <m/>
    <m/>
    <m/>
    <m/>
    <m/>
  </r>
  <r>
    <x v="11"/>
    <x v="11"/>
    <n v="0"/>
    <n v="0"/>
    <m/>
    <n v="0"/>
    <m/>
    <m/>
    <m/>
    <m/>
    <m/>
    <m/>
    <m/>
  </r>
  <r>
    <x v="12"/>
    <x v="11"/>
    <n v="0"/>
    <n v="0"/>
    <m/>
    <n v="0"/>
    <m/>
    <m/>
    <m/>
    <m/>
    <m/>
    <m/>
    <m/>
  </r>
  <r>
    <x v="13"/>
    <x v="11"/>
    <n v="0"/>
    <n v="0"/>
    <m/>
    <n v="0"/>
    <m/>
    <m/>
    <m/>
    <m/>
    <m/>
    <m/>
    <m/>
  </r>
  <r>
    <x v="14"/>
    <x v="11"/>
    <n v="0"/>
    <n v="0"/>
    <m/>
    <n v="0"/>
    <m/>
    <m/>
    <m/>
    <m/>
    <m/>
    <m/>
    <m/>
  </r>
  <r>
    <x v="15"/>
    <x v="11"/>
    <n v="0"/>
    <n v="1"/>
    <m/>
    <n v="0"/>
    <m/>
    <m/>
    <m/>
    <m/>
    <m/>
    <m/>
    <m/>
  </r>
  <r>
    <x v="16"/>
    <x v="11"/>
    <n v="0"/>
    <n v="0"/>
    <m/>
    <n v="0"/>
    <m/>
    <m/>
    <m/>
    <m/>
    <m/>
    <m/>
    <m/>
  </r>
  <r>
    <x v="17"/>
    <x v="11"/>
    <n v="0"/>
    <n v="0"/>
    <m/>
    <n v="0"/>
    <m/>
    <m/>
    <m/>
    <m/>
    <m/>
    <m/>
    <m/>
  </r>
  <r>
    <x v="18"/>
    <x v="11"/>
    <n v="2"/>
    <n v="3"/>
    <m/>
    <n v="0"/>
    <m/>
    <m/>
    <m/>
    <m/>
    <m/>
    <m/>
    <m/>
  </r>
  <r>
    <x v="19"/>
    <x v="11"/>
    <n v="0"/>
    <n v="0"/>
    <m/>
    <n v="0"/>
    <m/>
    <m/>
    <m/>
    <m/>
    <m/>
    <m/>
    <m/>
  </r>
  <r>
    <x v="20"/>
    <x v="11"/>
    <n v="1"/>
    <n v="1"/>
    <m/>
    <n v="0"/>
    <m/>
    <m/>
    <m/>
    <m/>
    <m/>
    <m/>
    <m/>
  </r>
  <r>
    <x v="21"/>
    <x v="11"/>
    <n v="0"/>
    <n v="0"/>
    <m/>
    <n v="0"/>
    <m/>
    <m/>
    <m/>
    <m/>
    <m/>
    <m/>
    <m/>
  </r>
  <r>
    <x v="22"/>
    <x v="11"/>
    <n v="0"/>
    <n v="0"/>
    <m/>
    <n v="0"/>
    <m/>
    <m/>
    <m/>
    <m/>
    <m/>
    <m/>
    <m/>
  </r>
  <r>
    <x v="23"/>
    <x v="11"/>
    <n v="0"/>
    <n v="0"/>
    <m/>
    <n v="0"/>
    <m/>
    <m/>
    <m/>
    <m/>
    <m/>
    <m/>
    <m/>
  </r>
  <r>
    <x v="0"/>
    <x v="12"/>
    <n v="1"/>
    <n v="11"/>
    <m/>
    <n v="0"/>
    <m/>
    <m/>
    <m/>
    <m/>
    <m/>
    <m/>
    <m/>
  </r>
  <r>
    <x v="1"/>
    <x v="12"/>
    <n v="0"/>
    <n v="0"/>
    <m/>
    <n v="0"/>
    <m/>
    <m/>
    <m/>
    <m/>
    <m/>
    <m/>
    <m/>
  </r>
  <r>
    <x v="2"/>
    <x v="12"/>
    <n v="2"/>
    <n v="7"/>
    <m/>
    <n v="1"/>
    <m/>
    <m/>
    <m/>
    <m/>
    <m/>
    <m/>
    <m/>
  </r>
  <r>
    <x v="3"/>
    <x v="12"/>
    <n v="0"/>
    <n v="0"/>
    <m/>
    <n v="0"/>
    <m/>
    <m/>
    <m/>
    <m/>
    <m/>
    <m/>
    <m/>
  </r>
  <r>
    <x v="4"/>
    <x v="12"/>
    <n v="6"/>
    <n v="28"/>
    <m/>
    <n v="1"/>
    <m/>
    <m/>
    <m/>
    <m/>
    <m/>
    <m/>
    <m/>
  </r>
  <r>
    <x v="5"/>
    <x v="12"/>
    <n v="0"/>
    <n v="2"/>
    <m/>
    <n v="0"/>
    <m/>
    <m/>
    <m/>
    <m/>
    <m/>
    <m/>
    <m/>
  </r>
  <r>
    <x v="6"/>
    <x v="12"/>
    <n v="0"/>
    <n v="0"/>
    <m/>
    <n v="0"/>
    <m/>
    <m/>
    <m/>
    <m/>
    <m/>
    <m/>
    <m/>
  </r>
  <r>
    <x v="7"/>
    <x v="12"/>
    <n v="0"/>
    <n v="1"/>
    <m/>
    <n v="0"/>
    <m/>
    <m/>
    <m/>
    <m/>
    <m/>
    <m/>
    <m/>
  </r>
  <r>
    <x v="8"/>
    <x v="12"/>
    <n v="0"/>
    <n v="0"/>
    <m/>
    <n v="0"/>
    <m/>
    <m/>
    <m/>
    <m/>
    <m/>
    <m/>
    <m/>
  </r>
  <r>
    <x v="9"/>
    <x v="12"/>
    <n v="0"/>
    <n v="0"/>
    <m/>
    <n v="0"/>
    <m/>
    <m/>
    <m/>
    <m/>
    <m/>
    <m/>
    <m/>
  </r>
  <r>
    <x v="10"/>
    <x v="12"/>
    <n v="0"/>
    <n v="0"/>
    <m/>
    <n v="0"/>
    <m/>
    <m/>
    <m/>
    <m/>
    <m/>
    <m/>
    <m/>
  </r>
  <r>
    <x v="11"/>
    <x v="12"/>
    <n v="0"/>
    <n v="0"/>
    <m/>
    <n v="0"/>
    <m/>
    <m/>
    <m/>
    <m/>
    <m/>
    <m/>
    <m/>
  </r>
  <r>
    <x v="12"/>
    <x v="12"/>
    <n v="0"/>
    <n v="0"/>
    <m/>
    <n v="0"/>
    <m/>
    <m/>
    <m/>
    <m/>
    <m/>
    <m/>
    <m/>
  </r>
  <r>
    <x v="13"/>
    <x v="12"/>
    <n v="0"/>
    <n v="0"/>
    <m/>
    <n v="0"/>
    <m/>
    <m/>
    <m/>
    <m/>
    <m/>
    <m/>
    <m/>
  </r>
  <r>
    <x v="14"/>
    <x v="12"/>
    <n v="0"/>
    <n v="0"/>
    <m/>
    <n v="0"/>
    <m/>
    <m/>
    <m/>
    <m/>
    <m/>
    <m/>
    <m/>
  </r>
  <r>
    <x v="15"/>
    <x v="12"/>
    <n v="0"/>
    <n v="1"/>
    <m/>
    <n v="0"/>
    <m/>
    <m/>
    <m/>
    <m/>
    <m/>
    <m/>
    <m/>
  </r>
  <r>
    <x v="16"/>
    <x v="12"/>
    <n v="0"/>
    <n v="0"/>
    <m/>
    <n v="0"/>
    <m/>
    <m/>
    <m/>
    <m/>
    <m/>
    <m/>
    <m/>
  </r>
  <r>
    <x v="17"/>
    <x v="12"/>
    <n v="0"/>
    <n v="0"/>
    <m/>
    <n v="0"/>
    <m/>
    <m/>
    <m/>
    <m/>
    <m/>
    <m/>
    <m/>
  </r>
  <r>
    <x v="18"/>
    <x v="12"/>
    <n v="0"/>
    <n v="3"/>
    <m/>
    <n v="0"/>
    <m/>
    <m/>
    <m/>
    <m/>
    <m/>
    <m/>
    <m/>
  </r>
  <r>
    <x v="19"/>
    <x v="12"/>
    <n v="0"/>
    <n v="0"/>
    <m/>
    <n v="0"/>
    <m/>
    <m/>
    <m/>
    <m/>
    <m/>
    <m/>
    <m/>
  </r>
  <r>
    <x v="20"/>
    <x v="12"/>
    <n v="0"/>
    <n v="1"/>
    <m/>
    <n v="0"/>
    <m/>
    <m/>
    <m/>
    <m/>
    <m/>
    <m/>
    <m/>
  </r>
  <r>
    <x v="21"/>
    <x v="12"/>
    <n v="0"/>
    <n v="0"/>
    <m/>
    <n v="0"/>
    <m/>
    <m/>
    <m/>
    <m/>
    <m/>
    <m/>
    <m/>
  </r>
  <r>
    <x v="22"/>
    <x v="12"/>
    <n v="2"/>
    <n v="2"/>
    <m/>
    <n v="0"/>
    <m/>
    <m/>
    <m/>
    <m/>
    <m/>
    <m/>
    <m/>
  </r>
  <r>
    <x v="23"/>
    <x v="12"/>
    <n v="0"/>
    <n v="0"/>
    <m/>
    <n v="0"/>
    <m/>
    <m/>
    <m/>
    <m/>
    <m/>
    <m/>
    <m/>
  </r>
  <r>
    <x v="0"/>
    <x v="13"/>
    <n v="1"/>
    <n v="12"/>
    <m/>
    <n v="0"/>
    <m/>
    <m/>
    <m/>
    <m/>
    <m/>
    <m/>
    <m/>
  </r>
  <r>
    <x v="1"/>
    <x v="13"/>
    <n v="0"/>
    <n v="0"/>
    <m/>
    <n v="0"/>
    <m/>
    <m/>
    <m/>
    <m/>
    <m/>
    <m/>
    <m/>
  </r>
  <r>
    <x v="2"/>
    <x v="13"/>
    <n v="3"/>
    <n v="10"/>
    <m/>
    <n v="1"/>
    <m/>
    <m/>
    <m/>
    <m/>
    <m/>
    <m/>
    <m/>
  </r>
  <r>
    <x v="3"/>
    <x v="13"/>
    <n v="0"/>
    <n v="0"/>
    <m/>
    <n v="0"/>
    <m/>
    <m/>
    <m/>
    <m/>
    <m/>
    <m/>
    <m/>
  </r>
  <r>
    <x v="4"/>
    <x v="13"/>
    <n v="5"/>
    <n v="33"/>
    <m/>
    <n v="1"/>
    <m/>
    <m/>
    <m/>
    <m/>
    <m/>
    <m/>
    <m/>
  </r>
  <r>
    <x v="5"/>
    <x v="13"/>
    <n v="0"/>
    <n v="2"/>
    <m/>
    <n v="0"/>
    <m/>
    <m/>
    <m/>
    <m/>
    <m/>
    <m/>
    <m/>
  </r>
  <r>
    <x v="6"/>
    <x v="13"/>
    <n v="0"/>
    <n v="0"/>
    <m/>
    <n v="0"/>
    <m/>
    <m/>
    <m/>
    <m/>
    <m/>
    <m/>
    <m/>
  </r>
  <r>
    <x v="7"/>
    <x v="13"/>
    <n v="0"/>
    <n v="1"/>
    <m/>
    <n v="0"/>
    <m/>
    <m/>
    <m/>
    <m/>
    <m/>
    <m/>
    <m/>
  </r>
  <r>
    <x v="8"/>
    <x v="13"/>
    <n v="0"/>
    <n v="0"/>
    <m/>
    <n v="0"/>
    <m/>
    <m/>
    <m/>
    <m/>
    <m/>
    <m/>
    <m/>
  </r>
  <r>
    <x v="9"/>
    <x v="13"/>
    <n v="0"/>
    <n v="0"/>
    <m/>
    <n v="0"/>
    <m/>
    <m/>
    <m/>
    <m/>
    <m/>
    <m/>
    <m/>
  </r>
  <r>
    <x v="10"/>
    <x v="13"/>
    <n v="0"/>
    <n v="0"/>
    <m/>
    <n v="0"/>
    <m/>
    <m/>
    <m/>
    <m/>
    <m/>
    <m/>
    <m/>
  </r>
  <r>
    <x v="11"/>
    <x v="13"/>
    <n v="0"/>
    <n v="0"/>
    <m/>
    <n v="0"/>
    <m/>
    <m/>
    <m/>
    <m/>
    <m/>
    <m/>
    <m/>
  </r>
  <r>
    <x v="12"/>
    <x v="13"/>
    <n v="0"/>
    <n v="0"/>
    <m/>
    <n v="0"/>
    <m/>
    <m/>
    <m/>
    <m/>
    <m/>
    <m/>
    <m/>
  </r>
  <r>
    <x v="13"/>
    <x v="13"/>
    <n v="0"/>
    <n v="0"/>
    <m/>
    <n v="0"/>
    <m/>
    <m/>
    <m/>
    <m/>
    <m/>
    <m/>
    <m/>
  </r>
  <r>
    <x v="14"/>
    <x v="13"/>
    <n v="0"/>
    <n v="0"/>
    <m/>
    <n v="0"/>
    <m/>
    <m/>
    <m/>
    <m/>
    <m/>
    <m/>
    <m/>
  </r>
  <r>
    <x v="15"/>
    <x v="13"/>
    <n v="0"/>
    <n v="1"/>
    <m/>
    <n v="0"/>
    <m/>
    <m/>
    <m/>
    <m/>
    <m/>
    <m/>
    <m/>
  </r>
  <r>
    <x v="16"/>
    <x v="13"/>
    <n v="0"/>
    <n v="0"/>
    <m/>
    <n v="0"/>
    <m/>
    <m/>
    <m/>
    <m/>
    <m/>
    <m/>
    <m/>
  </r>
  <r>
    <x v="17"/>
    <x v="13"/>
    <n v="0"/>
    <n v="0"/>
    <m/>
    <n v="0"/>
    <m/>
    <m/>
    <m/>
    <m/>
    <m/>
    <m/>
    <m/>
  </r>
  <r>
    <x v="18"/>
    <x v="13"/>
    <n v="0"/>
    <n v="3"/>
    <m/>
    <n v="0"/>
    <m/>
    <m/>
    <m/>
    <m/>
    <m/>
    <m/>
    <m/>
  </r>
  <r>
    <x v="19"/>
    <x v="13"/>
    <n v="0"/>
    <n v="0"/>
    <m/>
    <n v="0"/>
    <m/>
    <m/>
    <m/>
    <m/>
    <m/>
    <m/>
    <m/>
  </r>
  <r>
    <x v="20"/>
    <x v="13"/>
    <n v="0"/>
    <n v="1"/>
    <m/>
    <n v="0"/>
    <m/>
    <m/>
    <m/>
    <m/>
    <m/>
    <m/>
    <m/>
  </r>
  <r>
    <x v="21"/>
    <x v="13"/>
    <n v="0"/>
    <n v="0"/>
    <m/>
    <n v="0"/>
    <m/>
    <m/>
    <m/>
    <m/>
    <m/>
    <m/>
    <m/>
  </r>
  <r>
    <x v="22"/>
    <x v="13"/>
    <n v="0"/>
    <n v="2"/>
    <m/>
    <n v="0"/>
    <m/>
    <m/>
    <m/>
    <m/>
    <m/>
    <m/>
    <m/>
  </r>
  <r>
    <x v="23"/>
    <x v="13"/>
    <n v="0"/>
    <n v="0"/>
    <m/>
    <n v="0"/>
    <m/>
    <m/>
    <m/>
    <m/>
    <m/>
    <m/>
    <m/>
  </r>
  <r>
    <x v="0"/>
    <x v="14"/>
    <n v="1"/>
    <n v="13"/>
    <m/>
    <n v="0"/>
    <m/>
    <m/>
    <m/>
    <m/>
    <m/>
    <m/>
    <m/>
  </r>
  <r>
    <x v="1"/>
    <x v="14"/>
    <n v="0"/>
    <n v="0"/>
    <m/>
    <n v="0"/>
    <m/>
    <m/>
    <m/>
    <m/>
    <m/>
    <m/>
    <m/>
  </r>
  <r>
    <x v="2"/>
    <x v="14"/>
    <n v="1"/>
    <n v="11"/>
    <m/>
    <n v="1"/>
    <m/>
    <m/>
    <m/>
    <m/>
    <m/>
    <m/>
    <m/>
  </r>
  <r>
    <x v="3"/>
    <x v="14"/>
    <n v="0"/>
    <n v="0"/>
    <m/>
    <n v="0"/>
    <m/>
    <m/>
    <m/>
    <m/>
    <m/>
    <m/>
    <m/>
  </r>
  <r>
    <x v="4"/>
    <x v="14"/>
    <n v="4"/>
    <n v="37"/>
    <m/>
    <n v="1"/>
    <m/>
    <m/>
    <m/>
    <m/>
    <m/>
    <m/>
    <m/>
  </r>
  <r>
    <x v="5"/>
    <x v="14"/>
    <n v="2"/>
    <n v="4"/>
    <m/>
    <n v="0"/>
    <m/>
    <m/>
    <m/>
    <m/>
    <m/>
    <m/>
    <m/>
  </r>
  <r>
    <x v="6"/>
    <x v="14"/>
    <n v="0"/>
    <n v="0"/>
    <m/>
    <n v="0"/>
    <m/>
    <m/>
    <m/>
    <m/>
    <m/>
    <m/>
    <m/>
  </r>
  <r>
    <x v="7"/>
    <x v="14"/>
    <n v="1"/>
    <n v="2"/>
    <m/>
    <n v="0"/>
    <m/>
    <m/>
    <m/>
    <m/>
    <m/>
    <m/>
    <m/>
  </r>
  <r>
    <x v="8"/>
    <x v="14"/>
    <n v="0"/>
    <n v="0"/>
    <m/>
    <n v="0"/>
    <m/>
    <m/>
    <m/>
    <m/>
    <m/>
    <m/>
    <m/>
  </r>
  <r>
    <x v="9"/>
    <x v="14"/>
    <n v="1"/>
    <n v="1"/>
    <m/>
    <n v="0"/>
    <m/>
    <m/>
    <m/>
    <m/>
    <m/>
    <m/>
    <m/>
  </r>
  <r>
    <x v="10"/>
    <x v="14"/>
    <n v="0"/>
    <n v="0"/>
    <m/>
    <n v="0"/>
    <m/>
    <m/>
    <m/>
    <m/>
    <m/>
    <m/>
    <m/>
  </r>
  <r>
    <x v="11"/>
    <x v="14"/>
    <n v="0"/>
    <n v="0"/>
    <m/>
    <n v="0"/>
    <m/>
    <m/>
    <m/>
    <m/>
    <m/>
    <m/>
    <m/>
  </r>
  <r>
    <x v="12"/>
    <x v="14"/>
    <n v="0"/>
    <n v="0"/>
    <m/>
    <n v="0"/>
    <m/>
    <m/>
    <m/>
    <m/>
    <m/>
    <m/>
    <m/>
  </r>
  <r>
    <x v="13"/>
    <x v="14"/>
    <n v="0"/>
    <n v="0"/>
    <m/>
    <n v="0"/>
    <m/>
    <m/>
    <m/>
    <m/>
    <m/>
    <m/>
    <m/>
  </r>
  <r>
    <x v="14"/>
    <x v="14"/>
    <n v="0"/>
    <n v="0"/>
    <m/>
    <n v="0"/>
    <m/>
    <m/>
    <m/>
    <m/>
    <m/>
    <m/>
    <m/>
  </r>
  <r>
    <x v="15"/>
    <x v="14"/>
    <n v="1"/>
    <n v="2"/>
    <m/>
    <n v="0"/>
    <m/>
    <m/>
    <m/>
    <m/>
    <m/>
    <m/>
    <m/>
  </r>
  <r>
    <x v="16"/>
    <x v="14"/>
    <n v="1"/>
    <n v="1"/>
    <m/>
    <n v="0"/>
    <m/>
    <m/>
    <m/>
    <m/>
    <m/>
    <m/>
    <m/>
  </r>
  <r>
    <x v="17"/>
    <x v="14"/>
    <n v="0"/>
    <n v="0"/>
    <m/>
    <n v="0"/>
    <m/>
    <m/>
    <m/>
    <m/>
    <m/>
    <m/>
    <m/>
  </r>
  <r>
    <x v="18"/>
    <x v="14"/>
    <n v="0"/>
    <n v="3"/>
    <m/>
    <n v="0"/>
    <m/>
    <m/>
    <m/>
    <m/>
    <m/>
    <m/>
    <m/>
  </r>
  <r>
    <x v="19"/>
    <x v="14"/>
    <n v="1"/>
    <n v="1"/>
    <m/>
    <n v="0"/>
    <m/>
    <m/>
    <m/>
    <m/>
    <m/>
    <m/>
    <m/>
  </r>
  <r>
    <x v="20"/>
    <x v="14"/>
    <n v="0"/>
    <n v="1"/>
    <m/>
    <n v="0"/>
    <m/>
    <m/>
    <m/>
    <m/>
    <m/>
    <m/>
    <m/>
  </r>
  <r>
    <x v="21"/>
    <x v="14"/>
    <n v="0"/>
    <n v="0"/>
    <m/>
    <n v="0"/>
    <m/>
    <m/>
    <m/>
    <m/>
    <m/>
    <m/>
    <m/>
  </r>
  <r>
    <x v="22"/>
    <x v="14"/>
    <n v="0"/>
    <n v="2"/>
    <m/>
    <n v="0"/>
    <m/>
    <m/>
    <m/>
    <m/>
    <m/>
    <m/>
    <m/>
  </r>
  <r>
    <x v="23"/>
    <x v="14"/>
    <n v="0"/>
    <n v="0"/>
    <m/>
    <n v="0"/>
    <m/>
    <m/>
    <m/>
    <m/>
    <m/>
    <m/>
    <m/>
  </r>
  <r>
    <x v="0"/>
    <x v="15"/>
    <n v="6"/>
    <n v="19"/>
    <m/>
    <n v="0"/>
    <m/>
    <m/>
    <m/>
    <m/>
    <m/>
    <m/>
    <m/>
  </r>
  <r>
    <x v="1"/>
    <x v="15"/>
    <n v="0"/>
    <n v="0"/>
    <m/>
    <n v="0"/>
    <m/>
    <m/>
    <m/>
    <m/>
    <m/>
    <m/>
    <m/>
  </r>
  <r>
    <x v="2"/>
    <x v="15"/>
    <n v="1"/>
    <n v="12"/>
    <m/>
    <n v="1"/>
    <m/>
    <m/>
    <m/>
    <m/>
    <m/>
    <m/>
    <m/>
  </r>
  <r>
    <x v="3"/>
    <x v="15"/>
    <n v="0"/>
    <n v="0"/>
    <m/>
    <n v="0"/>
    <m/>
    <m/>
    <m/>
    <m/>
    <m/>
    <m/>
    <m/>
  </r>
  <r>
    <x v="4"/>
    <x v="15"/>
    <n v="10"/>
    <n v="47"/>
    <m/>
    <n v="1"/>
    <m/>
    <m/>
    <m/>
    <m/>
    <m/>
    <m/>
    <m/>
  </r>
  <r>
    <x v="5"/>
    <x v="15"/>
    <n v="1"/>
    <n v="5"/>
    <m/>
    <n v="0"/>
    <m/>
    <m/>
    <m/>
    <m/>
    <m/>
    <m/>
    <m/>
  </r>
  <r>
    <x v="6"/>
    <x v="15"/>
    <n v="0"/>
    <n v="0"/>
    <m/>
    <n v="0"/>
    <m/>
    <m/>
    <m/>
    <m/>
    <m/>
    <m/>
    <m/>
  </r>
  <r>
    <x v="7"/>
    <x v="15"/>
    <n v="1"/>
    <n v="3"/>
    <m/>
    <n v="0"/>
    <m/>
    <m/>
    <m/>
    <m/>
    <m/>
    <m/>
    <m/>
  </r>
  <r>
    <x v="8"/>
    <x v="15"/>
    <n v="0"/>
    <n v="0"/>
    <m/>
    <n v="0"/>
    <m/>
    <m/>
    <m/>
    <m/>
    <m/>
    <m/>
    <m/>
  </r>
  <r>
    <x v="9"/>
    <x v="15"/>
    <n v="0"/>
    <n v="1"/>
    <m/>
    <n v="0"/>
    <m/>
    <m/>
    <m/>
    <m/>
    <m/>
    <m/>
    <m/>
  </r>
  <r>
    <x v="10"/>
    <x v="15"/>
    <n v="0"/>
    <n v="0"/>
    <m/>
    <n v="0"/>
    <m/>
    <m/>
    <m/>
    <m/>
    <m/>
    <m/>
    <m/>
  </r>
  <r>
    <x v="11"/>
    <x v="15"/>
    <n v="0"/>
    <n v="0"/>
    <m/>
    <n v="0"/>
    <m/>
    <m/>
    <m/>
    <m/>
    <m/>
    <m/>
    <m/>
  </r>
  <r>
    <x v="12"/>
    <x v="15"/>
    <n v="0"/>
    <n v="0"/>
    <m/>
    <n v="0"/>
    <m/>
    <m/>
    <m/>
    <m/>
    <m/>
    <m/>
    <m/>
  </r>
  <r>
    <x v="13"/>
    <x v="15"/>
    <n v="0"/>
    <n v="0"/>
    <m/>
    <n v="0"/>
    <m/>
    <m/>
    <m/>
    <m/>
    <m/>
    <m/>
    <m/>
  </r>
  <r>
    <x v="14"/>
    <x v="15"/>
    <n v="0"/>
    <n v="0"/>
    <m/>
    <n v="0"/>
    <m/>
    <m/>
    <m/>
    <m/>
    <m/>
    <m/>
    <m/>
  </r>
  <r>
    <x v="15"/>
    <x v="15"/>
    <n v="0"/>
    <n v="2"/>
    <m/>
    <n v="0"/>
    <m/>
    <m/>
    <m/>
    <m/>
    <m/>
    <m/>
    <m/>
  </r>
  <r>
    <x v="16"/>
    <x v="15"/>
    <n v="0"/>
    <n v="1"/>
    <m/>
    <n v="0"/>
    <m/>
    <m/>
    <m/>
    <m/>
    <m/>
    <m/>
    <m/>
  </r>
  <r>
    <x v="17"/>
    <x v="15"/>
    <n v="0"/>
    <n v="0"/>
    <m/>
    <n v="0"/>
    <m/>
    <m/>
    <m/>
    <m/>
    <m/>
    <m/>
    <m/>
  </r>
  <r>
    <x v="18"/>
    <x v="15"/>
    <n v="0"/>
    <n v="3"/>
    <m/>
    <n v="0"/>
    <m/>
    <m/>
    <m/>
    <m/>
    <m/>
    <m/>
    <m/>
  </r>
  <r>
    <x v="19"/>
    <x v="15"/>
    <n v="0"/>
    <n v="1"/>
    <m/>
    <n v="0"/>
    <m/>
    <m/>
    <m/>
    <m/>
    <m/>
    <m/>
    <m/>
  </r>
  <r>
    <x v="20"/>
    <x v="15"/>
    <n v="0"/>
    <n v="1"/>
    <m/>
    <n v="0"/>
    <m/>
    <m/>
    <m/>
    <m/>
    <m/>
    <m/>
    <m/>
  </r>
  <r>
    <x v="21"/>
    <x v="15"/>
    <n v="0"/>
    <n v="0"/>
    <m/>
    <n v="0"/>
    <m/>
    <m/>
    <m/>
    <m/>
    <m/>
    <m/>
    <m/>
  </r>
  <r>
    <x v="22"/>
    <x v="15"/>
    <n v="0"/>
    <n v="2"/>
    <m/>
    <n v="0"/>
    <m/>
    <m/>
    <m/>
    <m/>
    <m/>
    <m/>
    <m/>
  </r>
  <r>
    <x v="23"/>
    <x v="15"/>
    <n v="0"/>
    <n v="0"/>
    <m/>
    <n v="0"/>
    <m/>
    <m/>
    <m/>
    <m/>
    <m/>
    <m/>
    <m/>
  </r>
  <r>
    <x v="0"/>
    <x v="16"/>
    <n v="14"/>
    <n v="33"/>
    <m/>
    <n v="0"/>
    <m/>
    <m/>
    <m/>
    <m/>
    <m/>
    <m/>
    <m/>
  </r>
  <r>
    <x v="1"/>
    <x v="16"/>
    <n v="0"/>
    <n v="0"/>
    <m/>
    <n v="0"/>
    <m/>
    <m/>
    <m/>
    <m/>
    <m/>
    <m/>
    <m/>
  </r>
  <r>
    <x v="2"/>
    <x v="16"/>
    <n v="2"/>
    <n v="14"/>
    <m/>
    <n v="1"/>
    <m/>
    <m/>
    <m/>
    <m/>
    <m/>
    <m/>
    <m/>
  </r>
  <r>
    <x v="3"/>
    <x v="16"/>
    <n v="0"/>
    <n v="0"/>
    <m/>
    <n v="0"/>
    <m/>
    <m/>
    <m/>
    <m/>
    <m/>
    <m/>
    <m/>
  </r>
  <r>
    <x v="4"/>
    <x v="16"/>
    <n v="8"/>
    <n v="55"/>
    <m/>
    <n v="1"/>
    <m/>
    <m/>
    <m/>
    <m/>
    <m/>
    <m/>
    <m/>
  </r>
  <r>
    <x v="5"/>
    <x v="16"/>
    <n v="3"/>
    <n v="8"/>
    <m/>
    <n v="0"/>
    <m/>
    <m/>
    <m/>
    <m/>
    <m/>
    <m/>
    <m/>
  </r>
  <r>
    <x v="6"/>
    <x v="16"/>
    <n v="0"/>
    <n v="0"/>
    <m/>
    <n v="0"/>
    <m/>
    <m/>
    <m/>
    <m/>
    <m/>
    <m/>
    <m/>
  </r>
  <r>
    <x v="7"/>
    <x v="16"/>
    <n v="0"/>
    <n v="3"/>
    <m/>
    <n v="0"/>
    <m/>
    <m/>
    <m/>
    <m/>
    <m/>
    <m/>
    <m/>
  </r>
  <r>
    <x v="8"/>
    <x v="16"/>
    <n v="0"/>
    <n v="0"/>
    <m/>
    <n v="0"/>
    <m/>
    <m/>
    <m/>
    <m/>
    <m/>
    <m/>
    <m/>
  </r>
  <r>
    <x v="9"/>
    <x v="16"/>
    <n v="0"/>
    <n v="1"/>
    <m/>
    <n v="0"/>
    <m/>
    <m/>
    <m/>
    <m/>
    <m/>
    <m/>
    <m/>
  </r>
  <r>
    <x v="10"/>
    <x v="16"/>
    <n v="0"/>
    <n v="0"/>
    <m/>
    <n v="0"/>
    <m/>
    <m/>
    <m/>
    <m/>
    <m/>
    <m/>
    <m/>
  </r>
  <r>
    <x v="11"/>
    <x v="16"/>
    <n v="0"/>
    <n v="0"/>
    <m/>
    <n v="0"/>
    <m/>
    <m/>
    <m/>
    <m/>
    <m/>
    <m/>
    <m/>
  </r>
  <r>
    <x v="12"/>
    <x v="16"/>
    <n v="0"/>
    <n v="0"/>
    <m/>
    <n v="0"/>
    <m/>
    <m/>
    <m/>
    <m/>
    <m/>
    <m/>
    <m/>
  </r>
  <r>
    <x v="13"/>
    <x v="16"/>
    <n v="0"/>
    <n v="0"/>
    <m/>
    <n v="0"/>
    <m/>
    <m/>
    <m/>
    <m/>
    <m/>
    <m/>
    <m/>
  </r>
  <r>
    <x v="14"/>
    <x v="16"/>
    <n v="0"/>
    <n v="0"/>
    <m/>
    <n v="0"/>
    <m/>
    <m/>
    <m/>
    <m/>
    <m/>
    <m/>
    <m/>
  </r>
  <r>
    <x v="15"/>
    <x v="16"/>
    <n v="1"/>
    <n v="3"/>
    <m/>
    <n v="0"/>
    <m/>
    <m/>
    <m/>
    <m/>
    <m/>
    <m/>
    <m/>
  </r>
  <r>
    <x v="16"/>
    <x v="16"/>
    <n v="0"/>
    <n v="1"/>
    <m/>
    <n v="0"/>
    <m/>
    <m/>
    <m/>
    <m/>
    <m/>
    <m/>
    <m/>
  </r>
  <r>
    <x v="17"/>
    <x v="16"/>
    <n v="0"/>
    <n v="0"/>
    <m/>
    <n v="0"/>
    <m/>
    <m/>
    <m/>
    <m/>
    <m/>
    <m/>
    <m/>
  </r>
  <r>
    <x v="18"/>
    <x v="16"/>
    <n v="0"/>
    <n v="3"/>
    <m/>
    <n v="0"/>
    <m/>
    <m/>
    <m/>
    <m/>
    <m/>
    <m/>
    <m/>
  </r>
  <r>
    <x v="19"/>
    <x v="16"/>
    <n v="0"/>
    <n v="1"/>
    <m/>
    <n v="0"/>
    <m/>
    <m/>
    <m/>
    <m/>
    <m/>
    <m/>
    <m/>
  </r>
  <r>
    <x v="20"/>
    <x v="16"/>
    <n v="1"/>
    <n v="2"/>
    <m/>
    <n v="0"/>
    <m/>
    <m/>
    <m/>
    <m/>
    <m/>
    <m/>
    <m/>
  </r>
  <r>
    <x v="21"/>
    <x v="16"/>
    <n v="0"/>
    <n v="0"/>
    <m/>
    <n v="0"/>
    <m/>
    <m/>
    <m/>
    <m/>
    <m/>
    <m/>
    <m/>
  </r>
  <r>
    <x v="22"/>
    <x v="16"/>
    <n v="0"/>
    <n v="2"/>
    <m/>
    <n v="0"/>
    <m/>
    <m/>
    <m/>
    <m/>
    <m/>
    <m/>
    <m/>
  </r>
  <r>
    <x v="23"/>
    <x v="16"/>
    <n v="1"/>
    <n v="1"/>
    <m/>
    <n v="0"/>
    <m/>
    <m/>
    <m/>
    <m/>
    <m/>
    <m/>
    <m/>
  </r>
  <r>
    <x v="0"/>
    <x v="17"/>
    <n v="9"/>
    <n v="42"/>
    <m/>
    <n v="0"/>
    <m/>
    <m/>
    <m/>
    <m/>
    <m/>
    <m/>
    <m/>
  </r>
  <r>
    <x v="1"/>
    <x v="17"/>
    <n v="0"/>
    <n v="0"/>
    <m/>
    <n v="0"/>
    <m/>
    <m/>
    <m/>
    <m/>
    <m/>
    <m/>
    <m/>
  </r>
  <r>
    <x v="2"/>
    <x v="17"/>
    <n v="1"/>
    <n v="15"/>
    <m/>
    <n v="1"/>
    <m/>
    <m/>
    <m/>
    <m/>
    <m/>
    <m/>
    <m/>
  </r>
  <r>
    <x v="3"/>
    <x v="17"/>
    <n v="0"/>
    <n v="0"/>
    <m/>
    <n v="0"/>
    <m/>
    <m/>
    <m/>
    <m/>
    <m/>
    <m/>
    <m/>
  </r>
  <r>
    <x v="4"/>
    <x v="17"/>
    <n v="9"/>
    <n v="64"/>
    <m/>
    <n v="1"/>
    <m/>
    <m/>
    <m/>
    <m/>
    <m/>
    <m/>
    <m/>
  </r>
  <r>
    <x v="5"/>
    <x v="17"/>
    <n v="5"/>
    <n v="13"/>
    <m/>
    <n v="0"/>
    <m/>
    <m/>
    <m/>
    <m/>
    <m/>
    <m/>
    <m/>
  </r>
  <r>
    <x v="6"/>
    <x v="17"/>
    <n v="1"/>
    <n v="1"/>
    <m/>
    <n v="0"/>
    <m/>
    <m/>
    <m/>
    <m/>
    <m/>
    <m/>
    <m/>
  </r>
  <r>
    <x v="7"/>
    <x v="17"/>
    <n v="1"/>
    <n v="4"/>
    <m/>
    <n v="0"/>
    <m/>
    <m/>
    <m/>
    <m/>
    <m/>
    <m/>
    <m/>
  </r>
  <r>
    <x v="8"/>
    <x v="17"/>
    <n v="0"/>
    <n v="0"/>
    <m/>
    <n v="0"/>
    <m/>
    <m/>
    <m/>
    <m/>
    <m/>
    <m/>
    <m/>
  </r>
  <r>
    <x v="9"/>
    <x v="17"/>
    <n v="0"/>
    <n v="1"/>
    <m/>
    <n v="0"/>
    <m/>
    <m/>
    <m/>
    <m/>
    <m/>
    <m/>
    <m/>
  </r>
  <r>
    <x v="10"/>
    <x v="17"/>
    <n v="0"/>
    <n v="0"/>
    <m/>
    <n v="0"/>
    <m/>
    <m/>
    <m/>
    <m/>
    <m/>
    <m/>
    <m/>
  </r>
  <r>
    <x v="11"/>
    <x v="17"/>
    <n v="0"/>
    <n v="0"/>
    <m/>
    <n v="0"/>
    <m/>
    <m/>
    <m/>
    <m/>
    <m/>
    <m/>
    <m/>
  </r>
  <r>
    <x v="12"/>
    <x v="17"/>
    <n v="0"/>
    <n v="0"/>
    <m/>
    <n v="0"/>
    <m/>
    <m/>
    <m/>
    <m/>
    <m/>
    <m/>
    <m/>
  </r>
  <r>
    <x v="13"/>
    <x v="17"/>
    <n v="0"/>
    <n v="0"/>
    <m/>
    <n v="0"/>
    <m/>
    <m/>
    <m/>
    <m/>
    <m/>
    <m/>
    <m/>
  </r>
  <r>
    <x v="14"/>
    <x v="17"/>
    <n v="2"/>
    <n v="2"/>
    <m/>
    <n v="0"/>
    <m/>
    <m/>
    <m/>
    <m/>
    <m/>
    <m/>
    <m/>
  </r>
  <r>
    <x v="15"/>
    <x v="17"/>
    <n v="0"/>
    <n v="3"/>
    <m/>
    <n v="0"/>
    <m/>
    <m/>
    <m/>
    <m/>
    <m/>
    <m/>
    <m/>
  </r>
  <r>
    <x v="16"/>
    <x v="17"/>
    <n v="0"/>
    <n v="1"/>
    <m/>
    <n v="0"/>
    <m/>
    <m/>
    <m/>
    <m/>
    <m/>
    <m/>
    <m/>
  </r>
  <r>
    <x v="17"/>
    <x v="17"/>
    <n v="0"/>
    <n v="0"/>
    <m/>
    <n v="0"/>
    <m/>
    <m/>
    <m/>
    <m/>
    <m/>
    <m/>
    <m/>
  </r>
  <r>
    <x v="18"/>
    <x v="17"/>
    <n v="0"/>
    <n v="3"/>
    <m/>
    <n v="0"/>
    <m/>
    <m/>
    <m/>
    <m/>
    <m/>
    <m/>
    <m/>
  </r>
  <r>
    <x v="19"/>
    <x v="17"/>
    <n v="0"/>
    <n v="1"/>
    <m/>
    <n v="0"/>
    <m/>
    <m/>
    <m/>
    <m/>
    <m/>
    <m/>
    <m/>
  </r>
  <r>
    <x v="20"/>
    <x v="17"/>
    <n v="0"/>
    <n v="2"/>
    <m/>
    <n v="0"/>
    <m/>
    <m/>
    <m/>
    <m/>
    <m/>
    <m/>
    <m/>
  </r>
  <r>
    <x v="21"/>
    <x v="17"/>
    <n v="1"/>
    <n v="1"/>
    <m/>
    <n v="0"/>
    <m/>
    <m/>
    <m/>
    <m/>
    <m/>
    <m/>
    <m/>
  </r>
  <r>
    <x v="22"/>
    <x v="17"/>
    <n v="1"/>
    <n v="3"/>
    <m/>
    <n v="0"/>
    <m/>
    <m/>
    <m/>
    <m/>
    <m/>
    <m/>
    <m/>
  </r>
  <r>
    <x v="23"/>
    <x v="17"/>
    <n v="0"/>
    <n v="1"/>
    <m/>
    <n v="0"/>
    <m/>
    <m/>
    <m/>
    <m/>
    <m/>
    <m/>
    <m/>
  </r>
  <r>
    <x v="0"/>
    <x v="18"/>
    <n v="15"/>
    <n v="57"/>
    <n v="1"/>
    <n v="1"/>
    <m/>
    <m/>
    <m/>
    <m/>
    <m/>
    <m/>
    <m/>
  </r>
  <r>
    <x v="1"/>
    <x v="18"/>
    <n v="0"/>
    <n v="0"/>
    <m/>
    <n v="0"/>
    <m/>
    <m/>
    <m/>
    <m/>
    <m/>
    <m/>
    <m/>
  </r>
  <r>
    <x v="2"/>
    <x v="18"/>
    <n v="5"/>
    <n v="20"/>
    <m/>
    <n v="1"/>
    <m/>
    <m/>
    <m/>
    <m/>
    <m/>
    <m/>
    <m/>
  </r>
  <r>
    <x v="3"/>
    <x v="18"/>
    <n v="0"/>
    <n v="0"/>
    <m/>
    <n v="0"/>
    <m/>
    <m/>
    <m/>
    <m/>
    <m/>
    <m/>
    <m/>
  </r>
  <r>
    <x v="4"/>
    <x v="18"/>
    <n v="29"/>
    <n v="93"/>
    <m/>
    <n v="1"/>
    <m/>
    <m/>
    <m/>
    <m/>
    <m/>
    <m/>
    <m/>
  </r>
  <r>
    <x v="5"/>
    <x v="18"/>
    <n v="4"/>
    <n v="17"/>
    <m/>
    <n v="0"/>
    <m/>
    <m/>
    <m/>
    <m/>
    <m/>
    <m/>
    <m/>
  </r>
  <r>
    <x v="6"/>
    <x v="18"/>
    <n v="2"/>
    <n v="3"/>
    <m/>
    <n v="0"/>
    <m/>
    <m/>
    <m/>
    <m/>
    <m/>
    <m/>
    <m/>
  </r>
  <r>
    <x v="7"/>
    <x v="18"/>
    <n v="0"/>
    <n v="4"/>
    <m/>
    <n v="0"/>
    <m/>
    <m/>
    <m/>
    <m/>
    <m/>
    <m/>
    <m/>
  </r>
  <r>
    <x v="8"/>
    <x v="18"/>
    <n v="0"/>
    <n v="0"/>
    <m/>
    <n v="0"/>
    <m/>
    <m/>
    <m/>
    <m/>
    <m/>
    <m/>
    <m/>
  </r>
  <r>
    <x v="9"/>
    <x v="18"/>
    <n v="0"/>
    <n v="1"/>
    <m/>
    <n v="0"/>
    <m/>
    <m/>
    <m/>
    <m/>
    <m/>
    <m/>
    <m/>
  </r>
  <r>
    <x v="10"/>
    <x v="18"/>
    <n v="0"/>
    <n v="0"/>
    <m/>
    <n v="0"/>
    <m/>
    <m/>
    <m/>
    <m/>
    <m/>
    <m/>
    <m/>
  </r>
  <r>
    <x v="11"/>
    <x v="18"/>
    <n v="0"/>
    <n v="0"/>
    <m/>
    <n v="0"/>
    <m/>
    <m/>
    <m/>
    <m/>
    <m/>
    <m/>
    <m/>
  </r>
  <r>
    <x v="12"/>
    <x v="18"/>
    <n v="5"/>
    <n v="5"/>
    <m/>
    <n v="0"/>
    <m/>
    <m/>
    <m/>
    <m/>
    <m/>
    <m/>
    <m/>
  </r>
  <r>
    <x v="13"/>
    <x v="18"/>
    <n v="0"/>
    <n v="0"/>
    <m/>
    <n v="0"/>
    <m/>
    <m/>
    <m/>
    <m/>
    <m/>
    <m/>
    <m/>
  </r>
  <r>
    <x v="14"/>
    <x v="18"/>
    <n v="0"/>
    <n v="2"/>
    <m/>
    <n v="0"/>
    <m/>
    <m/>
    <m/>
    <m/>
    <m/>
    <m/>
    <m/>
  </r>
  <r>
    <x v="15"/>
    <x v="18"/>
    <n v="1"/>
    <n v="4"/>
    <m/>
    <n v="0"/>
    <m/>
    <m/>
    <m/>
    <m/>
    <m/>
    <m/>
    <m/>
  </r>
  <r>
    <x v="16"/>
    <x v="18"/>
    <n v="0"/>
    <n v="1"/>
    <m/>
    <n v="0"/>
    <m/>
    <m/>
    <m/>
    <m/>
    <m/>
    <m/>
    <m/>
  </r>
  <r>
    <x v="17"/>
    <x v="18"/>
    <n v="0"/>
    <n v="0"/>
    <m/>
    <n v="0"/>
    <m/>
    <m/>
    <m/>
    <m/>
    <m/>
    <m/>
    <m/>
  </r>
  <r>
    <x v="18"/>
    <x v="18"/>
    <n v="0"/>
    <n v="3"/>
    <m/>
    <n v="0"/>
    <m/>
    <m/>
    <m/>
    <m/>
    <m/>
    <m/>
    <m/>
  </r>
  <r>
    <x v="19"/>
    <x v="18"/>
    <n v="0"/>
    <n v="1"/>
    <m/>
    <n v="0"/>
    <m/>
    <m/>
    <m/>
    <m/>
    <m/>
    <m/>
    <m/>
  </r>
  <r>
    <x v="20"/>
    <x v="18"/>
    <n v="2"/>
    <n v="4"/>
    <m/>
    <n v="0"/>
    <m/>
    <m/>
    <m/>
    <m/>
    <m/>
    <m/>
    <m/>
  </r>
  <r>
    <x v="21"/>
    <x v="18"/>
    <n v="0"/>
    <n v="1"/>
    <m/>
    <n v="0"/>
    <m/>
    <m/>
    <m/>
    <m/>
    <m/>
    <m/>
    <m/>
  </r>
  <r>
    <x v="22"/>
    <x v="18"/>
    <n v="3"/>
    <n v="6"/>
    <m/>
    <n v="0"/>
    <m/>
    <m/>
    <m/>
    <m/>
    <m/>
    <m/>
    <m/>
  </r>
  <r>
    <x v="23"/>
    <x v="18"/>
    <n v="1"/>
    <n v="2"/>
    <m/>
    <n v="0"/>
    <m/>
    <m/>
    <m/>
    <m/>
    <m/>
    <m/>
    <m/>
  </r>
  <r>
    <x v="0"/>
    <x v="19"/>
    <n v="8"/>
    <n v="65"/>
    <m/>
    <n v="1"/>
    <m/>
    <m/>
    <m/>
    <m/>
    <m/>
    <m/>
    <m/>
  </r>
  <r>
    <x v="1"/>
    <x v="19"/>
    <n v="0"/>
    <n v="0"/>
    <m/>
    <n v="0"/>
    <m/>
    <m/>
    <m/>
    <m/>
    <m/>
    <m/>
    <m/>
  </r>
  <r>
    <x v="2"/>
    <x v="19"/>
    <n v="7"/>
    <n v="27"/>
    <m/>
    <n v="1"/>
    <m/>
    <m/>
    <m/>
    <m/>
    <m/>
    <m/>
    <m/>
  </r>
  <r>
    <x v="3"/>
    <x v="19"/>
    <n v="0"/>
    <n v="0"/>
    <m/>
    <n v="0"/>
    <m/>
    <m/>
    <m/>
    <m/>
    <m/>
    <m/>
    <m/>
  </r>
  <r>
    <x v="4"/>
    <x v="19"/>
    <n v="11"/>
    <n v="104"/>
    <m/>
    <n v="1"/>
    <m/>
    <m/>
    <m/>
    <m/>
    <m/>
    <m/>
    <m/>
  </r>
  <r>
    <x v="5"/>
    <x v="19"/>
    <n v="8"/>
    <n v="25"/>
    <m/>
    <n v="0"/>
    <m/>
    <m/>
    <m/>
    <m/>
    <m/>
    <m/>
    <m/>
  </r>
  <r>
    <x v="6"/>
    <x v="19"/>
    <n v="0"/>
    <n v="3"/>
    <m/>
    <n v="0"/>
    <m/>
    <m/>
    <m/>
    <m/>
    <m/>
    <m/>
    <m/>
  </r>
  <r>
    <x v="7"/>
    <x v="19"/>
    <n v="0"/>
    <n v="4"/>
    <m/>
    <n v="0"/>
    <m/>
    <m/>
    <m/>
    <m/>
    <m/>
    <m/>
    <m/>
  </r>
  <r>
    <x v="8"/>
    <x v="19"/>
    <n v="0"/>
    <n v="0"/>
    <m/>
    <n v="0"/>
    <m/>
    <m/>
    <m/>
    <m/>
    <m/>
    <m/>
    <m/>
  </r>
  <r>
    <x v="9"/>
    <x v="19"/>
    <n v="0"/>
    <n v="1"/>
    <m/>
    <n v="0"/>
    <m/>
    <m/>
    <m/>
    <m/>
    <m/>
    <m/>
    <m/>
  </r>
  <r>
    <x v="10"/>
    <x v="19"/>
    <n v="0"/>
    <n v="0"/>
    <m/>
    <n v="0"/>
    <m/>
    <m/>
    <m/>
    <m/>
    <m/>
    <m/>
    <m/>
  </r>
  <r>
    <x v="11"/>
    <x v="19"/>
    <n v="0"/>
    <n v="0"/>
    <m/>
    <n v="0"/>
    <m/>
    <m/>
    <m/>
    <m/>
    <m/>
    <m/>
    <m/>
  </r>
  <r>
    <x v="12"/>
    <x v="19"/>
    <n v="0"/>
    <n v="5"/>
    <m/>
    <n v="0"/>
    <m/>
    <m/>
    <m/>
    <m/>
    <m/>
    <m/>
    <m/>
  </r>
  <r>
    <x v="13"/>
    <x v="19"/>
    <n v="1"/>
    <n v="1"/>
    <m/>
    <n v="0"/>
    <m/>
    <m/>
    <m/>
    <m/>
    <m/>
    <m/>
    <m/>
  </r>
  <r>
    <x v="14"/>
    <x v="19"/>
    <n v="0"/>
    <n v="2"/>
    <m/>
    <n v="0"/>
    <m/>
    <m/>
    <m/>
    <m/>
    <m/>
    <m/>
    <m/>
  </r>
  <r>
    <x v="15"/>
    <x v="19"/>
    <n v="0"/>
    <n v="4"/>
    <m/>
    <n v="0"/>
    <m/>
    <m/>
    <m/>
    <m/>
    <m/>
    <m/>
    <m/>
  </r>
  <r>
    <x v="16"/>
    <x v="19"/>
    <n v="0"/>
    <n v="1"/>
    <m/>
    <n v="0"/>
    <m/>
    <m/>
    <m/>
    <m/>
    <m/>
    <m/>
    <m/>
  </r>
  <r>
    <x v="17"/>
    <x v="19"/>
    <n v="0"/>
    <n v="0"/>
    <m/>
    <n v="0"/>
    <m/>
    <m/>
    <m/>
    <m/>
    <m/>
    <m/>
    <m/>
  </r>
  <r>
    <x v="18"/>
    <x v="19"/>
    <n v="0"/>
    <n v="3"/>
    <m/>
    <n v="0"/>
    <m/>
    <m/>
    <m/>
    <m/>
    <m/>
    <m/>
    <m/>
  </r>
  <r>
    <x v="19"/>
    <x v="19"/>
    <n v="0"/>
    <n v="1"/>
    <m/>
    <n v="0"/>
    <m/>
    <m/>
    <m/>
    <m/>
    <m/>
    <m/>
    <m/>
  </r>
  <r>
    <x v="20"/>
    <x v="19"/>
    <n v="0"/>
    <n v="4"/>
    <m/>
    <n v="0"/>
    <m/>
    <m/>
    <m/>
    <m/>
    <m/>
    <m/>
    <m/>
  </r>
  <r>
    <x v="21"/>
    <x v="19"/>
    <n v="0"/>
    <n v="1"/>
    <m/>
    <n v="0"/>
    <m/>
    <m/>
    <m/>
    <m/>
    <m/>
    <m/>
    <m/>
  </r>
  <r>
    <x v="22"/>
    <x v="19"/>
    <n v="0"/>
    <n v="6"/>
    <m/>
    <n v="0"/>
    <m/>
    <m/>
    <m/>
    <m/>
    <m/>
    <m/>
    <m/>
  </r>
  <r>
    <x v="23"/>
    <x v="19"/>
    <n v="5"/>
    <n v="7"/>
    <m/>
    <n v="0"/>
    <m/>
    <m/>
    <m/>
    <m/>
    <m/>
    <m/>
    <m/>
  </r>
  <r>
    <x v="0"/>
    <x v="20"/>
    <n v="5"/>
    <n v="70"/>
    <m/>
    <n v="1"/>
    <m/>
    <m/>
    <m/>
    <m/>
    <m/>
    <m/>
    <m/>
  </r>
  <r>
    <x v="1"/>
    <x v="20"/>
    <n v="0"/>
    <n v="0"/>
    <m/>
    <n v="0"/>
    <m/>
    <m/>
    <m/>
    <m/>
    <m/>
    <m/>
    <m/>
  </r>
  <r>
    <x v="2"/>
    <x v="20"/>
    <n v="4"/>
    <n v="31"/>
    <m/>
    <n v="1"/>
    <m/>
    <m/>
    <m/>
    <m/>
    <m/>
    <m/>
    <m/>
  </r>
  <r>
    <x v="3"/>
    <x v="20"/>
    <n v="0"/>
    <n v="0"/>
    <m/>
    <n v="0"/>
    <m/>
    <m/>
    <m/>
    <m/>
    <m/>
    <m/>
    <m/>
  </r>
  <r>
    <x v="4"/>
    <x v="20"/>
    <n v="11"/>
    <n v="115"/>
    <m/>
    <n v="1"/>
    <m/>
    <m/>
    <m/>
    <m/>
    <m/>
    <m/>
    <m/>
  </r>
  <r>
    <x v="5"/>
    <x v="20"/>
    <n v="3"/>
    <n v="28"/>
    <m/>
    <n v="0"/>
    <m/>
    <m/>
    <m/>
    <m/>
    <m/>
    <m/>
    <m/>
  </r>
  <r>
    <x v="6"/>
    <x v="20"/>
    <n v="0"/>
    <n v="3"/>
    <m/>
    <n v="0"/>
    <m/>
    <m/>
    <m/>
    <m/>
    <m/>
    <m/>
    <m/>
  </r>
  <r>
    <x v="7"/>
    <x v="20"/>
    <n v="0"/>
    <n v="4"/>
    <m/>
    <n v="0"/>
    <m/>
    <m/>
    <m/>
    <m/>
    <m/>
    <m/>
    <m/>
  </r>
  <r>
    <x v="8"/>
    <x v="20"/>
    <n v="0"/>
    <n v="0"/>
    <m/>
    <n v="0"/>
    <m/>
    <m/>
    <m/>
    <m/>
    <m/>
    <m/>
    <m/>
  </r>
  <r>
    <x v="9"/>
    <x v="20"/>
    <n v="0"/>
    <n v="1"/>
    <m/>
    <n v="0"/>
    <m/>
    <m/>
    <m/>
    <m/>
    <m/>
    <m/>
    <m/>
  </r>
  <r>
    <x v="10"/>
    <x v="20"/>
    <n v="0"/>
    <n v="0"/>
    <m/>
    <n v="0"/>
    <m/>
    <m/>
    <m/>
    <m/>
    <m/>
    <m/>
    <m/>
  </r>
  <r>
    <x v="11"/>
    <x v="20"/>
    <n v="0"/>
    <n v="0"/>
    <m/>
    <n v="0"/>
    <m/>
    <m/>
    <m/>
    <m/>
    <m/>
    <m/>
    <m/>
  </r>
  <r>
    <x v="12"/>
    <x v="20"/>
    <n v="0"/>
    <n v="5"/>
    <m/>
    <n v="0"/>
    <m/>
    <m/>
    <m/>
    <m/>
    <m/>
    <m/>
    <m/>
  </r>
  <r>
    <x v="13"/>
    <x v="20"/>
    <n v="0"/>
    <n v="1"/>
    <m/>
    <n v="0"/>
    <m/>
    <m/>
    <m/>
    <m/>
    <m/>
    <m/>
    <m/>
  </r>
  <r>
    <x v="14"/>
    <x v="20"/>
    <n v="0"/>
    <n v="2"/>
    <m/>
    <n v="0"/>
    <m/>
    <m/>
    <m/>
    <m/>
    <m/>
    <m/>
    <m/>
  </r>
  <r>
    <x v="15"/>
    <x v="20"/>
    <n v="0"/>
    <n v="4"/>
    <m/>
    <n v="0"/>
    <m/>
    <m/>
    <m/>
    <m/>
    <m/>
    <m/>
    <m/>
  </r>
  <r>
    <x v="16"/>
    <x v="20"/>
    <n v="0"/>
    <n v="1"/>
    <m/>
    <n v="0"/>
    <m/>
    <m/>
    <m/>
    <m/>
    <m/>
    <m/>
    <m/>
  </r>
  <r>
    <x v="17"/>
    <x v="20"/>
    <n v="0"/>
    <n v="0"/>
    <m/>
    <n v="0"/>
    <m/>
    <m/>
    <m/>
    <m/>
    <m/>
    <m/>
    <m/>
  </r>
  <r>
    <x v="18"/>
    <x v="20"/>
    <n v="0"/>
    <n v="3"/>
    <m/>
    <n v="0"/>
    <m/>
    <m/>
    <m/>
    <m/>
    <m/>
    <m/>
    <m/>
  </r>
  <r>
    <x v="19"/>
    <x v="20"/>
    <n v="0"/>
    <n v="1"/>
    <m/>
    <n v="0"/>
    <m/>
    <m/>
    <m/>
    <m/>
    <m/>
    <m/>
    <m/>
  </r>
  <r>
    <x v="20"/>
    <x v="20"/>
    <n v="13"/>
    <n v="17"/>
    <m/>
    <n v="0"/>
    <m/>
    <m/>
    <m/>
    <m/>
    <m/>
    <m/>
    <m/>
  </r>
  <r>
    <x v="21"/>
    <x v="20"/>
    <n v="0"/>
    <n v="1"/>
    <m/>
    <n v="0"/>
    <m/>
    <m/>
    <m/>
    <m/>
    <m/>
    <m/>
    <m/>
  </r>
  <r>
    <x v="22"/>
    <x v="20"/>
    <n v="0"/>
    <n v="6"/>
    <m/>
    <n v="0"/>
    <m/>
    <m/>
    <m/>
    <m/>
    <m/>
    <m/>
    <m/>
  </r>
  <r>
    <x v="23"/>
    <x v="20"/>
    <n v="0"/>
    <n v="7"/>
    <m/>
    <n v="0"/>
    <m/>
    <m/>
    <m/>
    <m/>
    <m/>
    <m/>
    <m/>
  </r>
  <r>
    <x v="0"/>
    <x v="21"/>
    <n v="28"/>
    <n v="98"/>
    <n v="1"/>
    <n v="2"/>
    <m/>
    <m/>
    <m/>
    <m/>
    <m/>
    <m/>
    <m/>
  </r>
  <r>
    <x v="1"/>
    <x v="21"/>
    <n v="0"/>
    <n v="0"/>
    <m/>
    <n v="0"/>
    <m/>
    <m/>
    <m/>
    <m/>
    <m/>
    <m/>
    <m/>
  </r>
  <r>
    <x v="2"/>
    <x v="21"/>
    <n v="9"/>
    <n v="40"/>
    <n v="1"/>
    <n v="2"/>
    <m/>
    <m/>
    <m/>
    <m/>
    <m/>
    <m/>
    <m/>
  </r>
  <r>
    <x v="3"/>
    <x v="21"/>
    <n v="0"/>
    <n v="0"/>
    <m/>
    <n v="0"/>
    <m/>
    <m/>
    <m/>
    <m/>
    <m/>
    <m/>
    <m/>
  </r>
  <r>
    <x v="4"/>
    <x v="21"/>
    <n v="30"/>
    <n v="145"/>
    <m/>
    <n v="1"/>
    <m/>
    <m/>
    <m/>
    <m/>
    <m/>
    <m/>
    <m/>
  </r>
  <r>
    <x v="5"/>
    <x v="21"/>
    <n v="7"/>
    <n v="35"/>
    <m/>
    <n v="0"/>
    <m/>
    <m/>
    <m/>
    <m/>
    <m/>
    <m/>
    <m/>
  </r>
  <r>
    <x v="6"/>
    <x v="21"/>
    <n v="0"/>
    <n v="3"/>
    <m/>
    <n v="0"/>
    <m/>
    <m/>
    <m/>
    <m/>
    <m/>
    <m/>
    <m/>
  </r>
  <r>
    <x v="7"/>
    <x v="21"/>
    <n v="0"/>
    <n v="4"/>
    <m/>
    <n v="0"/>
    <m/>
    <m/>
    <m/>
    <m/>
    <m/>
    <m/>
    <m/>
  </r>
  <r>
    <x v="8"/>
    <x v="21"/>
    <n v="0"/>
    <n v="0"/>
    <m/>
    <n v="0"/>
    <m/>
    <m/>
    <m/>
    <m/>
    <m/>
    <m/>
    <m/>
  </r>
  <r>
    <x v="9"/>
    <x v="21"/>
    <n v="0"/>
    <n v="1"/>
    <m/>
    <n v="0"/>
    <m/>
    <m/>
    <m/>
    <m/>
    <m/>
    <m/>
    <m/>
  </r>
  <r>
    <x v="10"/>
    <x v="21"/>
    <n v="1"/>
    <n v="1"/>
    <m/>
    <n v="0"/>
    <m/>
    <m/>
    <m/>
    <m/>
    <m/>
    <m/>
    <m/>
  </r>
  <r>
    <x v="11"/>
    <x v="21"/>
    <n v="0"/>
    <n v="0"/>
    <m/>
    <n v="0"/>
    <m/>
    <m/>
    <m/>
    <m/>
    <m/>
    <m/>
    <m/>
  </r>
  <r>
    <x v="12"/>
    <x v="21"/>
    <n v="0"/>
    <n v="5"/>
    <m/>
    <n v="0"/>
    <m/>
    <m/>
    <m/>
    <m/>
    <m/>
    <m/>
    <m/>
  </r>
  <r>
    <x v="13"/>
    <x v="21"/>
    <n v="0"/>
    <n v="1"/>
    <m/>
    <n v="0"/>
    <m/>
    <m/>
    <m/>
    <m/>
    <m/>
    <m/>
    <m/>
  </r>
  <r>
    <x v="14"/>
    <x v="21"/>
    <n v="1"/>
    <n v="3"/>
    <m/>
    <n v="0"/>
    <m/>
    <m/>
    <m/>
    <m/>
    <m/>
    <m/>
    <m/>
  </r>
  <r>
    <x v="15"/>
    <x v="21"/>
    <n v="0"/>
    <n v="4"/>
    <m/>
    <n v="0"/>
    <m/>
    <m/>
    <m/>
    <m/>
    <m/>
    <m/>
    <m/>
  </r>
  <r>
    <x v="16"/>
    <x v="21"/>
    <n v="0"/>
    <n v="1"/>
    <m/>
    <n v="0"/>
    <m/>
    <m/>
    <m/>
    <m/>
    <m/>
    <m/>
    <m/>
  </r>
  <r>
    <x v="17"/>
    <x v="21"/>
    <n v="0"/>
    <n v="0"/>
    <m/>
    <n v="0"/>
    <m/>
    <m/>
    <m/>
    <m/>
    <m/>
    <m/>
    <m/>
  </r>
  <r>
    <x v="18"/>
    <x v="21"/>
    <n v="0"/>
    <n v="3"/>
    <m/>
    <n v="0"/>
    <m/>
    <m/>
    <m/>
    <m/>
    <m/>
    <m/>
    <m/>
  </r>
  <r>
    <x v="19"/>
    <x v="21"/>
    <n v="1"/>
    <n v="2"/>
    <m/>
    <n v="0"/>
    <m/>
    <m/>
    <m/>
    <m/>
    <m/>
    <m/>
    <m/>
  </r>
  <r>
    <x v="20"/>
    <x v="21"/>
    <n v="3"/>
    <n v="20"/>
    <m/>
    <n v="0"/>
    <m/>
    <m/>
    <m/>
    <m/>
    <m/>
    <m/>
    <m/>
  </r>
  <r>
    <x v="21"/>
    <x v="21"/>
    <n v="0"/>
    <n v="1"/>
    <m/>
    <n v="0"/>
    <m/>
    <m/>
    <m/>
    <m/>
    <m/>
    <m/>
    <m/>
  </r>
  <r>
    <x v="22"/>
    <x v="21"/>
    <n v="4"/>
    <n v="10"/>
    <m/>
    <n v="0"/>
    <m/>
    <m/>
    <m/>
    <m/>
    <m/>
    <m/>
    <m/>
  </r>
  <r>
    <x v="23"/>
    <x v="21"/>
    <n v="0"/>
    <n v="7"/>
    <m/>
    <n v="0"/>
    <m/>
    <m/>
    <m/>
    <m/>
    <m/>
    <m/>
    <m/>
  </r>
  <r>
    <x v="0"/>
    <x v="22"/>
    <n v="30"/>
    <n v="128"/>
    <m/>
    <n v="2"/>
    <m/>
    <m/>
    <m/>
    <m/>
    <m/>
    <m/>
    <m/>
  </r>
  <r>
    <x v="1"/>
    <x v="22"/>
    <n v="0"/>
    <n v="0"/>
    <m/>
    <n v="0"/>
    <m/>
    <m/>
    <m/>
    <m/>
    <m/>
    <m/>
    <m/>
  </r>
  <r>
    <x v="2"/>
    <x v="22"/>
    <n v="12"/>
    <n v="52"/>
    <n v="1"/>
    <n v="3"/>
    <m/>
    <m/>
    <m/>
    <m/>
    <m/>
    <m/>
    <m/>
  </r>
  <r>
    <x v="3"/>
    <x v="22"/>
    <n v="0"/>
    <n v="0"/>
    <m/>
    <n v="0"/>
    <m/>
    <m/>
    <m/>
    <m/>
    <m/>
    <m/>
    <m/>
  </r>
  <r>
    <x v="4"/>
    <x v="22"/>
    <n v="21"/>
    <n v="166"/>
    <n v="1"/>
    <n v="2"/>
    <m/>
    <m/>
    <m/>
    <m/>
    <m/>
    <m/>
    <m/>
  </r>
  <r>
    <x v="5"/>
    <x v="22"/>
    <n v="15"/>
    <n v="50"/>
    <m/>
    <n v="0"/>
    <m/>
    <m/>
    <m/>
    <m/>
    <m/>
    <m/>
    <m/>
  </r>
  <r>
    <x v="6"/>
    <x v="22"/>
    <n v="0"/>
    <n v="3"/>
    <m/>
    <n v="0"/>
    <m/>
    <m/>
    <m/>
    <m/>
    <m/>
    <m/>
    <m/>
  </r>
  <r>
    <x v="7"/>
    <x v="22"/>
    <n v="3"/>
    <n v="7"/>
    <m/>
    <n v="0"/>
    <m/>
    <m/>
    <m/>
    <m/>
    <m/>
    <m/>
    <m/>
  </r>
  <r>
    <x v="8"/>
    <x v="22"/>
    <n v="0"/>
    <n v="0"/>
    <m/>
    <n v="0"/>
    <m/>
    <m/>
    <m/>
    <m/>
    <m/>
    <m/>
    <m/>
  </r>
  <r>
    <x v="9"/>
    <x v="22"/>
    <n v="0"/>
    <n v="1"/>
    <m/>
    <n v="0"/>
    <m/>
    <m/>
    <m/>
    <m/>
    <m/>
    <m/>
    <m/>
  </r>
  <r>
    <x v="10"/>
    <x v="22"/>
    <n v="0"/>
    <n v="1"/>
    <m/>
    <n v="0"/>
    <m/>
    <m/>
    <m/>
    <m/>
    <m/>
    <m/>
    <m/>
  </r>
  <r>
    <x v="11"/>
    <x v="22"/>
    <n v="0"/>
    <n v="0"/>
    <m/>
    <n v="0"/>
    <m/>
    <m/>
    <m/>
    <m/>
    <m/>
    <m/>
    <m/>
  </r>
  <r>
    <x v="12"/>
    <x v="22"/>
    <n v="1"/>
    <n v="6"/>
    <m/>
    <n v="0"/>
    <m/>
    <m/>
    <m/>
    <m/>
    <m/>
    <m/>
    <m/>
  </r>
  <r>
    <x v="13"/>
    <x v="22"/>
    <n v="0"/>
    <n v="1"/>
    <m/>
    <n v="0"/>
    <m/>
    <m/>
    <m/>
    <m/>
    <m/>
    <m/>
    <m/>
  </r>
  <r>
    <x v="14"/>
    <x v="22"/>
    <n v="1"/>
    <n v="4"/>
    <m/>
    <n v="0"/>
    <m/>
    <m/>
    <m/>
    <m/>
    <m/>
    <m/>
    <m/>
  </r>
  <r>
    <x v="15"/>
    <x v="22"/>
    <n v="0"/>
    <n v="4"/>
    <m/>
    <n v="0"/>
    <m/>
    <m/>
    <m/>
    <m/>
    <m/>
    <m/>
    <m/>
  </r>
  <r>
    <x v="16"/>
    <x v="22"/>
    <n v="0"/>
    <n v="1"/>
    <m/>
    <n v="0"/>
    <m/>
    <m/>
    <m/>
    <m/>
    <m/>
    <m/>
    <m/>
  </r>
  <r>
    <x v="17"/>
    <x v="22"/>
    <n v="0"/>
    <n v="0"/>
    <m/>
    <n v="0"/>
    <m/>
    <m/>
    <m/>
    <m/>
    <m/>
    <m/>
    <m/>
  </r>
  <r>
    <x v="18"/>
    <x v="22"/>
    <n v="3"/>
    <n v="6"/>
    <m/>
    <n v="0"/>
    <m/>
    <m/>
    <m/>
    <m/>
    <m/>
    <m/>
    <m/>
  </r>
  <r>
    <x v="19"/>
    <x v="22"/>
    <n v="5"/>
    <n v="7"/>
    <m/>
    <n v="0"/>
    <m/>
    <m/>
    <m/>
    <m/>
    <m/>
    <m/>
    <m/>
  </r>
  <r>
    <x v="20"/>
    <x v="22"/>
    <n v="22"/>
    <n v="42"/>
    <m/>
    <n v="0"/>
    <m/>
    <m/>
    <m/>
    <m/>
    <m/>
    <m/>
    <m/>
  </r>
  <r>
    <x v="21"/>
    <x v="22"/>
    <n v="0"/>
    <n v="1"/>
    <m/>
    <n v="0"/>
    <m/>
    <m/>
    <m/>
    <m/>
    <m/>
    <m/>
    <m/>
  </r>
  <r>
    <x v="22"/>
    <x v="22"/>
    <n v="1"/>
    <n v="11"/>
    <m/>
    <n v="0"/>
    <m/>
    <m/>
    <m/>
    <m/>
    <m/>
    <m/>
    <m/>
  </r>
  <r>
    <x v="23"/>
    <x v="22"/>
    <n v="2"/>
    <n v="9"/>
    <m/>
    <n v="0"/>
    <m/>
    <m/>
    <m/>
    <m/>
    <m/>
    <m/>
    <m/>
  </r>
  <r>
    <x v="0"/>
    <x v="23"/>
    <n v="27"/>
    <n v="155"/>
    <n v="2"/>
    <n v="4"/>
    <m/>
    <m/>
    <m/>
    <m/>
    <m/>
    <m/>
    <m/>
  </r>
  <r>
    <x v="1"/>
    <x v="23"/>
    <n v="0"/>
    <n v="0"/>
    <m/>
    <n v="0"/>
    <m/>
    <m/>
    <m/>
    <m/>
    <m/>
    <m/>
    <m/>
  </r>
  <r>
    <x v="2"/>
    <x v="23"/>
    <n v="3"/>
    <n v="55"/>
    <m/>
    <n v="3"/>
    <m/>
    <m/>
    <m/>
    <m/>
    <m/>
    <m/>
    <m/>
  </r>
  <r>
    <x v="3"/>
    <x v="23"/>
    <n v="0"/>
    <n v="0"/>
    <n v="1"/>
    <n v="1"/>
    <m/>
    <m/>
    <m/>
    <m/>
    <m/>
    <m/>
    <m/>
  </r>
  <r>
    <x v="4"/>
    <x v="23"/>
    <n v="30"/>
    <n v="196"/>
    <n v="1"/>
    <n v="3"/>
    <m/>
    <m/>
    <m/>
    <m/>
    <m/>
    <m/>
    <m/>
  </r>
  <r>
    <x v="5"/>
    <x v="23"/>
    <n v="4"/>
    <n v="54"/>
    <m/>
    <n v="0"/>
    <m/>
    <m/>
    <m/>
    <m/>
    <m/>
    <m/>
    <m/>
  </r>
  <r>
    <x v="6"/>
    <x v="23"/>
    <n v="0"/>
    <n v="3"/>
    <m/>
    <n v="0"/>
    <m/>
    <m/>
    <m/>
    <m/>
    <m/>
    <m/>
    <m/>
  </r>
  <r>
    <x v="7"/>
    <x v="23"/>
    <n v="0"/>
    <n v="7"/>
    <m/>
    <n v="0"/>
    <m/>
    <m/>
    <m/>
    <m/>
    <m/>
    <m/>
    <m/>
  </r>
  <r>
    <x v="8"/>
    <x v="23"/>
    <n v="0"/>
    <n v="0"/>
    <m/>
    <n v="0"/>
    <m/>
    <m/>
    <m/>
    <m/>
    <m/>
    <m/>
    <m/>
  </r>
  <r>
    <x v="9"/>
    <x v="23"/>
    <n v="2"/>
    <n v="3"/>
    <m/>
    <n v="0"/>
    <m/>
    <m/>
    <m/>
    <m/>
    <m/>
    <m/>
    <m/>
  </r>
  <r>
    <x v="10"/>
    <x v="23"/>
    <n v="0"/>
    <n v="1"/>
    <m/>
    <n v="0"/>
    <m/>
    <m/>
    <m/>
    <m/>
    <m/>
    <m/>
    <m/>
  </r>
  <r>
    <x v="11"/>
    <x v="23"/>
    <n v="0"/>
    <n v="0"/>
    <m/>
    <n v="0"/>
    <m/>
    <m/>
    <m/>
    <m/>
    <m/>
    <m/>
    <m/>
  </r>
  <r>
    <x v="12"/>
    <x v="23"/>
    <n v="1"/>
    <n v="7"/>
    <m/>
    <n v="0"/>
    <m/>
    <m/>
    <m/>
    <m/>
    <m/>
    <m/>
    <m/>
  </r>
  <r>
    <x v="13"/>
    <x v="23"/>
    <n v="0"/>
    <n v="1"/>
    <m/>
    <n v="0"/>
    <m/>
    <m/>
    <m/>
    <m/>
    <m/>
    <m/>
    <m/>
  </r>
  <r>
    <x v="14"/>
    <x v="23"/>
    <n v="3"/>
    <n v="7"/>
    <m/>
    <n v="0"/>
    <m/>
    <m/>
    <m/>
    <m/>
    <m/>
    <m/>
    <m/>
  </r>
  <r>
    <x v="15"/>
    <x v="23"/>
    <n v="0"/>
    <n v="4"/>
    <m/>
    <n v="0"/>
    <m/>
    <m/>
    <m/>
    <m/>
    <m/>
    <m/>
    <m/>
  </r>
  <r>
    <x v="16"/>
    <x v="23"/>
    <n v="0"/>
    <n v="1"/>
    <m/>
    <n v="0"/>
    <m/>
    <m/>
    <m/>
    <m/>
    <m/>
    <m/>
    <m/>
  </r>
  <r>
    <x v="17"/>
    <x v="23"/>
    <n v="0"/>
    <n v="0"/>
    <m/>
    <n v="0"/>
    <m/>
    <m/>
    <m/>
    <m/>
    <m/>
    <m/>
    <m/>
  </r>
  <r>
    <x v="18"/>
    <x v="23"/>
    <n v="0"/>
    <n v="6"/>
    <m/>
    <n v="0"/>
    <m/>
    <m/>
    <m/>
    <m/>
    <m/>
    <m/>
    <m/>
  </r>
  <r>
    <x v="19"/>
    <x v="23"/>
    <n v="2"/>
    <n v="9"/>
    <m/>
    <n v="0"/>
    <m/>
    <m/>
    <m/>
    <m/>
    <m/>
    <m/>
    <m/>
  </r>
  <r>
    <x v="20"/>
    <x v="23"/>
    <n v="12"/>
    <n v="54"/>
    <m/>
    <n v="0"/>
    <m/>
    <m/>
    <m/>
    <m/>
    <m/>
    <m/>
    <m/>
  </r>
  <r>
    <x v="21"/>
    <x v="23"/>
    <n v="0"/>
    <n v="1"/>
    <m/>
    <n v="0"/>
    <m/>
    <m/>
    <m/>
    <m/>
    <m/>
    <m/>
    <m/>
  </r>
  <r>
    <x v="22"/>
    <x v="23"/>
    <n v="3"/>
    <n v="14"/>
    <m/>
    <n v="0"/>
    <m/>
    <m/>
    <m/>
    <m/>
    <m/>
    <m/>
    <m/>
  </r>
  <r>
    <x v="23"/>
    <x v="23"/>
    <n v="0"/>
    <n v="9"/>
    <m/>
    <n v="0"/>
    <m/>
    <m/>
    <m/>
    <m/>
    <m/>
    <m/>
    <m/>
  </r>
  <r>
    <x v="0"/>
    <x v="24"/>
    <n v="36"/>
    <n v="191"/>
    <n v="1"/>
    <n v="5"/>
    <m/>
    <m/>
    <m/>
    <m/>
    <m/>
    <m/>
    <m/>
  </r>
  <r>
    <x v="1"/>
    <x v="24"/>
    <n v="0"/>
    <n v="0"/>
    <m/>
    <n v="0"/>
    <m/>
    <m/>
    <m/>
    <m/>
    <m/>
    <m/>
    <m/>
  </r>
  <r>
    <x v="2"/>
    <x v="24"/>
    <n v="3"/>
    <n v="58"/>
    <m/>
    <n v="3"/>
    <m/>
    <m/>
    <m/>
    <m/>
    <m/>
    <m/>
    <m/>
  </r>
  <r>
    <x v="3"/>
    <x v="24"/>
    <n v="0"/>
    <n v="0"/>
    <m/>
    <n v="1"/>
    <m/>
    <m/>
    <m/>
    <m/>
    <m/>
    <m/>
    <m/>
  </r>
  <r>
    <x v="4"/>
    <x v="24"/>
    <n v="43"/>
    <n v="239"/>
    <n v="1"/>
    <n v="4"/>
    <m/>
    <m/>
    <m/>
    <m/>
    <m/>
    <m/>
    <m/>
  </r>
  <r>
    <x v="5"/>
    <x v="24"/>
    <n v="5"/>
    <n v="59"/>
    <m/>
    <n v="0"/>
    <m/>
    <m/>
    <m/>
    <m/>
    <m/>
    <m/>
    <m/>
  </r>
  <r>
    <x v="6"/>
    <x v="24"/>
    <n v="2"/>
    <n v="5"/>
    <m/>
    <n v="0"/>
    <m/>
    <m/>
    <m/>
    <m/>
    <m/>
    <m/>
    <m/>
  </r>
  <r>
    <x v="7"/>
    <x v="24"/>
    <n v="3"/>
    <n v="10"/>
    <m/>
    <n v="0"/>
    <m/>
    <m/>
    <m/>
    <m/>
    <m/>
    <m/>
    <m/>
  </r>
  <r>
    <x v="8"/>
    <x v="24"/>
    <n v="0"/>
    <n v="0"/>
    <m/>
    <n v="0"/>
    <m/>
    <m/>
    <m/>
    <m/>
    <m/>
    <m/>
    <m/>
  </r>
  <r>
    <x v="9"/>
    <x v="24"/>
    <n v="0"/>
    <n v="3"/>
    <m/>
    <n v="0"/>
    <m/>
    <m/>
    <m/>
    <m/>
    <m/>
    <m/>
    <m/>
  </r>
  <r>
    <x v="10"/>
    <x v="24"/>
    <n v="0"/>
    <n v="1"/>
    <m/>
    <n v="0"/>
    <m/>
    <m/>
    <m/>
    <m/>
    <m/>
    <m/>
    <m/>
  </r>
  <r>
    <x v="11"/>
    <x v="24"/>
    <n v="0"/>
    <n v="0"/>
    <m/>
    <n v="0"/>
    <m/>
    <m/>
    <m/>
    <m/>
    <m/>
    <m/>
    <m/>
  </r>
  <r>
    <x v="12"/>
    <x v="24"/>
    <n v="1"/>
    <n v="8"/>
    <n v="1"/>
    <n v="1"/>
    <m/>
    <m/>
    <m/>
    <m/>
    <m/>
    <m/>
    <m/>
  </r>
  <r>
    <x v="13"/>
    <x v="24"/>
    <n v="0"/>
    <n v="1"/>
    <m/>
    <n v="0"/>
    <m/>
    <m/>
    <m/>
    <m/>
    <m/>
    <m/>
    <m/>
  </r>
  <r>
    <x v="14"/>
    <x v="24"/>
    <n v="3"/>
    <n v="10"/>
    <m/>
    <n v="0"/>
    <m/>
    <m/>
    <m/>
    <m/>
    <m/>
    <m/>
    <m/>
  </r>
  <r>
    <x v="15"/>
    <x v="24"/>
    <n v="3"/>
    <n v="7"/>
    <n v="1"/>
    <n v="1"/>
    <m/>
    <m/>
    <m/>
    <m/>
    <m/>
    <m/>
    <m/>
  </r>
  <r>
    <x v="16"/>
    <x v="24"/>
    <n v="0"/>
    <n v="1"/>
    <m/>
    <n v="0"/>
    <m/>
    <m/>
    <m/>
    <m/>
    <m/>
    <m/>
    <m/>
  </r>
  <r>
    <x v="17"/>
    <x v="24"/>
    <n v="0"/>
    <n v="0"/>
    <m/>
    <n v="0"/>
    <m/>
    <m/>
    <m/>
    <m/>
    <m/>
    <m/>
    <m/>
  </r>
  <r>
    <x v="18"/>
    <x v="24"/>
    <n v="0"/>
    <n v="6"/>
    <m/>
    <n v="0"/>
    <m/>
    <m/>
    <m/>
    <m/>
    <m/>
    <m/>
    <m/>
  </r>
  <r>
    <x v="19"/>
    <x v="24"/>
    <n v="0"/>
    <n v="9"/>
    <m/>
    <n v="0"/>
    <m/>
    <m/>
    <m/>
    <m/>
    <m/>
    <m/>
    <m/>
  </r>
  <r>
    <x v="20"/>
    <x v="24"/>
    <n v="9"/>
    <n v="63"/>
    <m/>
    <n v="0"/>
    <m/>
    <m/>
    <m/>
    <m/>
    <m/>
    <m/>
    <m/>
  </r>
  <r>
    <x v="21"/>
    <x v="24"/>
    <n v="1"/>
    <n v="2"/>
    <m/>
    <n v="0"/>
    <m/>
    <m/>
    <m/>
    <m/>
    <m/>
    <m/>
    <m/>
  </r>
  <r>
    <x v="22"/>
    <x v="24"/>
    <n v="0"/>
    <n v="14"/>
    <m/>
    <n v="0"/>
    <m/>
    <m/>
    <m/>
    <m/>
    <m/>
    <m/>
    <m/>
  </r>
  <r>
    <x v="23"/>
    <x v="24"/>
    <n v="6"/>
    <n v="15"/>
    <m/>
    <n v="0"/>
    <m/>
    <m/>
    <m/>
    <m/>
    <m/>
    <m/>
    <m/>
  </r>
  <r>
    <x v="0"/>
    <x v="25"/>
    <n v="8"/>
    <n v="199"/>
    <n v="1"/>
    <n v="6"/>
    <m/>
    <m/>
    <m/>
    <m/>
    <m/>
    <m/>
    <m/>
  </r>
  <r>
    <x v="1"/>
    <x v="25"/>
    <n v="0"/>
    <n v="0"/>
    <m/>
    <n v="0"/>
    <m/>
    <m/>
    <m/>
    <m/>
    <m/>
    <m/>
    <m/>
  </r>
  <r>
    <x v="2"/>
    <x v="25"/>
    <n v="5"/>
    <n v="63"/>
    <m/>
    <n v="3"/>
    <m/>
    <m/>
    <m/>
    <m/>
    <m/>
    <m/>
    <m/>
  </r>
  <r>
    <x v="3"/>
    <x v="25"/>
    <n v="0"/>
    <n v="0"/>
    <m/>
    <n v="1"/>
    <m/>
    <m/>
    <m/>
    <m/>
    <m/>
    <m/>
    <m/>
  </r>
  <r>
    <x v="4"/>
    <x v="25"/>
    <n v="18"/>
    <n v="257"/>
    <n v="1"/>
    <n v="5"/>
    <m/>
    <m/>
    <m/>
    <m/>
    <m/>
    <m/>
    <m/>
  </r>
  <r>
    <x v="5"/>
    <x v="25"/>
    <n v="1"/>
    <n v="60"/>
    <m/>
    <n v="0"/>
    <m/>
    <m/>
    <m/>
    <m/>
    <m/>
    <m/>
    <m/>
  </r>
  <r>
    <x v="6"/>
    <x v="25"/>
    <n v="3"/>
    <n v="8"/>
    <m/>
    <n v="0"/>
    <m/>
    <m/>
    <m/>
    <m/>
    <m/>
    <m/>
    <m/>
  </r>
  <r>
    <x v="7"/>
    <x v="25"/>
    <n v="0"/>
    <n v="10"/>
    <m/>
    <n v="0"/>
    <m/>
    <m/>
    <m/>
    <m/>
    <m/>
    <m/>
    <m/>
  </r>
  <r>
    <x v="8"/>
    <x v="25"/>
    <n v="0"/>
    <n v="0"/>
    <m/>
    <n v="0"/>
    <m/>
    <m/>
    <m/>
    <m/>
    <m/>
    <m/>
    <m/>
  </r>
  <r>
    <x v="9"/>
    <x v="25"/>
    <n v="0"/>
    <n v="3"/>
    <m/>
    <n v="0"/>
    <m/>
    <m/>
    <m/>
    <m/>
    <m/>
    <m/>
    <m/>
  </r>
  <r>
    <x v="10"/>
    <x v="25"/>
    <n v="0"/>
    <n v="1"/>
    <m/>
    <n v="0"/>
    <m/>
    <m/>
    <m/>
    <m/>
    <m/>
    <m/>
    <m/>
  </r>
  <r>
    <x v="11"/>
    <x v="25"/>
    <n v="0"/>
    <n v="0"/>
    <m/>
    <n v="0"/>
    <m/>
    <m/>
    <m/>
    <m/>
    <m/>
    <m/>
    <m/>
  </r>
  <r>
    <x v="12"/>
    <x v="25"/>
    <n v="1"/>
    <n v="9"/>
    <m/>
    <n v="1"/>
    <m/>
    <m/>
    <m/>
    <m/>
    <m/>
    <m/>
    <m/>
  </r>
  <r>
    <x v="13"/>
    <x v="25"/>
    <n v="0"/>
    <n v="1"/>
    <m/>
    <n v="0"/>
    <m/>
    <m/>
    <m/>
    <m/>
    <m/>
    <m/>
    <m/>
  </r>
  <r>
    <x v="14"/>
    <x v="25"/>
    <n v="2"/>
    <n v="12"/>
    <m/>
    <n v="0"/>
    <m/>
    <m/>
    <m/>
    <m/>
    <m/>
    <m/>
    <m/>
  </r>
  <r>
    <x v="15"/>
    <x v="25"/>
    <n v="0"/>
    <n v="7"/>
    <m/>
    <n v="1"/>
    <m/>
    <m/>
    <m/>
    <m/>
    <m/>
    <m/>
    <m/>
  </r>
  <r>
    <x v="16"/>
    <x v="25"/>
    <n v="0"/>
    <n v="1"/>
    <m/>
    <n v="0"/>
    <m/>
    <m/>
    <m/>
    <m/>
    <m/>
    <m/>
    <m/>
  </r>
  <r>
    <x v="17"/>
    <x v="25"/>
    <n v="0"/>
    <n v="0"/>
    <m/>
    <n v="0"/>
    <m/>
    <m/>
    <m/>
    <m/>
    <m/>
    <m/>
    <m/>
  </r>
  <r>
    <x v="18"/>
    <x v="25"/>
    <n v="0"/>
    <n v="6"/>
    <m/>
    <n v="0"/>
    <m/>
    <m/>
    <m/>
    <m/>
    <m/>
    <m/>
    <m/>
  </r>
  <r>
    <x v="19"/>
    <x v="25"/>
    <n v="0"/>
    <n v="9"/>
    <m/>
    <n v="0"/>
    <m/>
    <m/>
    <m/>
    <m/>
    <m/>
    <m/>
    <m/>
  </r>
  <r>
    <x v="20"/>
    <x v="25"/>
    <n v="13"/>
    <n v="76"/>
    <m/>
    <n v="0"/>
    <m/>
    <m/>
    <m/>
    <m/>
    <m/>
    <m/>
    <m/>
  </r>
  <r>
    <x v="21"/>
    <x v="25"/>
    <n v="0"/>
    <n v="2"/>
    <m/>
    <n v="0"/>
    <m/>
    <m/>
    <m/>
    <m/>
    <m/>
    <m/>
    <m/>
  </r>
  <r>
    <x v="22"/>
    <x v="25"/>
    <n v="4"/>
    <n v="18"/>
    <m/>
    <n v="0"/>
    <m/>
    <m/>
    <m/>
    <m/>
    <m/>
    <m/>
    <m/>
  </r>
  <r>
    <x v="23"/>
    <x v="25"/>
    <n v="0"/>
    <n v="15"/>
    <m/>
    <n v="0"/>
    <m/>
    <m/>
    <m/>
    <m/>
    <m/>
    <m/>
    <m/>
  </r>
  <r>
    <x v="0"/>
    <x v="26"/>
    <n v="18"/>
    <n v="217"/>
    <m/>
    <n v="6"/>
    <m/>
    <m/>
    <m/>
    <m/>
    <m/>
    <m/>
    <m/>
  </r>
  <r>
    <x v="1"/>
    <x v="26"/>
    <n v="0"/>
    <n v="0"/>
    <m/>
    <n v="0"/>
    <m/>
    <m/>
    <m/>
    <m/>
    <m/>
    <m/>
    <m/>
  </r>
  <r>
    <x v="2"/>
    <x v="26"/>
    <n v="6"/>
    <n v="69"/>
    <m/>
    <n v="3"/>
    <m/>
    <m/>
    <m/>
    <m/>
    <m/>
    <m/>
    <m/>
  </r>
  <r>
    <x v="3"/>
    <x v="26"/>
    <n v="0"/>
    <n v="0"/>
    <m/>
    <n v="1"/>
    <m/>
    <m/>
    <m/>
    <m/>
    <m/>
    <m/>
    <m/>
  </r>
  <r>
    <x v="4"/>
    <x v="26"/>
    <n v="1"/>
    <n v="258"/>
    <m/>
    <n v="5"/>
    <m/>
    <m/>
    <m/>
    <m/>
    <m/>
    <m/>
    <m/>
  </r>
  <r>
    <x v="5"/>
    <x v="26"/>
    <n v="13"/>
    <n v="73"/>
    <m/>
    <n v="0"/>
    <m/>
    <m/>
    <m/>
    <m/>
    <m/>
    <m/>
    <m/>
  </r>
  <r>
    <x v="6"/>
    <x v="26"/>
    <n v="1"/>
    <n v="9"/>
    <m/>
    <n v="0"/>
    <m/>
    <m/>
    <m/>
    <m/>
    <m/>
    <m/>
    <m/>
  </r>
  <r>
    <x v="7"/>
    <x v="26"/>
    <n v="0"/>
    <n v="10"/>
    <m/>
    <n v="0"/>
    <m/>
    <m/>
    <m/>
    <m/>
    <m/>
    <m/>
    <m/>
  </r>
  <r>
    <x v="8"/>
    <x v="26"/>
    <n v="0"/>
    <n v="0"/>
    <m/>
    <n v="0"/>
    <m/>
    <m/>
    <m/>
    <m/>
    <m/>
    <m/>
    <m/>
  </r>
  <r>
    <x v="9"/>
    <x v="26"/>
    <n v="0"/>
    <n v="3"/>
    <m/>
    <n v="0"/>
    <m/>
    <m/>
    <m/>
    <m/>
    <m/>
    <m/>
    <m/>
  </r>
  <r>
    <x v="10"/>
    <x v="26"/>
    <n v="2"/>
    <n v="3"/>
    <m/>
    <n v="0"/>
    <m/>
    <m/>
    <m/>
    <m/>
    <m/>
    <m/>
    <m/>
  </r>
  <r>
    <x v="11"/>
    <x v="26"/>
    <n v="1"/>
    <n v="1"/>
    <m/>
    <n v="0"/>
    <m/>
    <m/>
    <m/>
    <m/>
    <m/>
    <m/>
    <m/>
  </r>
  <r>
    <x v="12"/>
    <x v="26"/>
    <n v="1"/>
    <n v="10"/>
    <m/>
    <n v="1"/>
    <m/>
    <m/>
    <m/>
    <m/>
    <m/>
    <m/>
    <m/>
  </r>
  <r>
    <x v="13"/>
    <x v="26"/>
    <n v="1"/>
    <n v="2"/>
    <m/>
    <n v="0"/>
    <m/>
    <m/>
    <m/>
    <m/>
    <m/>
    <m/>
    <m/>
  </r>
  <r>
    <x v="14"/>
    <x v="26"/>
    <n v="0"/>
    <n v="12"/>
    <m/>
    <n v="0"/>
    <m/>
    <m/>
    <m/>
    <m/>
    <m/>
    <m/>
    <m/>
  </r>
  <r>
    <x v="15"/>
    <x v="26"/>
    <n v="1"/>
    <n v="8"/>
    <m/>
    <n v="1"/>
    <m/>
    <m/>
    <m/>
    <m/>
    <m/>
    <m/>
    <m/>
  </r>
  <r>
    <x v="16"/>
    <x v="26"/>
    <n v="0"/>
    <n v="1"/>
    <m/>
    <n v="0"/>
    <m/>
    <m/>
    <m/>
    <m/>
    <m/>
    <m/>
    <m/>
  </r>
  <r>
    <x v="17"/>
    <x v="26"/>
    <n v="1"/>
    <n v="1"/>
    <m/>
    <n v="0"/>
    <m/>
    <m/>
    <m/>
    <m/>
    <m/>
    <m/>
    <m/>
  </r>
  <r>
    <x v="18"/>
    <x v="26"/>
    <n v="0"/>
    <n v="6"/>
    <m/>
    <n v="0"/>
    <m/>
    <m/>
    <m/>
    <m/>
    <m/>
    <m/>
    <m/>
  </r>
  <r>
    <x v="19"/>
    <x v="26"/>
    <n v="0"/>
    <n v="9"/>
    <m/>
    <n v="0"/>
    <m/>
    <m/>
    <m/>
    <m/>
    <m/>
    <m/>
    <m/>
  </r>
  <r>
    <x v="20"/>
    <x v="26"/>
    <n v="14"/>
    <n v="90"/>
    <m/>
    <n v="0"/>
    <m/>
    <m/>
    <m/>
    <m/>
    <m/>
    <m/>
    <m/>
  </r>
  <r>
    <x v="21"/>
    <x v="26"/>
    <n v="0"/>
    <n v="2"/>
    <m/>
    <n v="0"/>
    <m/>
    <m/>
    <m/>
    <m/>
    <m/>
    <m/>
    <m/>
  </r>
  <r>
    <x v="22"/>
    <x v="26"/>
    <n v="3"/>
    <n v="21"/>
    <m/>
    <n v="0"/>
    <m/>
    <m/>
    <m/>
    <m/>
    <m/>
    <m/>
    <m/>
  </r>
  <r>
    <x v="23"/>
    <x v="26"/>
    <n v="0"/>
    <n v="15"/>
    <m/>
    <n v="0"/>
    <m/>
    <m/>
    <m/>
    <m/>
    <m/>
    <m/>
    <m/>
  </r>
  <r>
    <x v="0"/>
    <x v="27"/>
    <n v="36"/>
    <n v="253"/>
    <n v="2"/>
    <n v="8"/>
    <m/>
    <m/>
    <m/>
    <m/>
    <m/>
    <m/>
    <m/>
  </r>
  <r>
    <x v="1"/>
    <x v="27"/>
    <n v="0"/>
    <n v="0"/>
    <m/>
    <n v="0"/>
    <m/>
    <m/>
    <m/>
    <m/>
    <m/>
    <m/>
    <m/>
  </r>
  <r>
    <x v="2"/>
    <x v="27"/>
    <n v="12"/>
    <n v="81"/>
    <m/>
    <n v="3"/>
    <m/>
    <m/>
    <m/>
    <m/>
    <m/>
    <m/>
    <m/>
  </r>
  <r>
    <x v="3"/>
    <x v="27"/>
    <n v="0"/>
    <n v="0"/>
    <m/>
    <n v="1"/>
    <m/>
    <m/>
    <m/>
    <m/>
    <m/>
    <m/>
    <m/>
  </r>
  <r>
    <x v="4"/>
    <x v="27"/>
    <n v="34"/>
    <n v="292"/>
    <m/>
    <n v="5"/>
    <m/>
    <m/>
    <m/>
    <m/>
    <m/>
    <m/>
    <m/>
  </r>
  <r>
    <x v="5"/>
    <x v="27"/>
    <n v="8"/>
    <n v="81"/>
    <m/>
    <n v="0"/>
    <m/>
    <m/>
    <m/>
    <m/>
    <m/>
    <m/>
    <m/>
  </r>
  <r>
    <x v="6"/>
    <x v="27"/>
    <n v="10"/>
    <n v="19"/>
    <m/>
    <n v="0"/>
    <m/>
    <m/>
    <m/>
    <m/>
    <m/>
    <m/>
    <m/>
  </r>
  <r>
    <x v="7"/>
    <x v="27"/>
    <n v="3"/>
    <n v="13"/>
    <m/>
    <n v="0"/>
    <m/>
    <m/>
    <m/>
    <m/>
    <m/>
    <m/>
    <m/>
  </r>
  <r>
    <x v="8"/>
    <x v="27"/>
    <n v="0"/>
    <n v="0"/>
    <m/>
    <n v="0"/>
    <m/>
    <m/>
    <m/>
    <m/>
    <m/>
    <m/>
    <m/>
  </r>
  <r>
    <x v="9"/>
    <x v="27"/>
    <n v="0"/>
    <n v="3"/>
    <m/>
    <n v="0"/>
    <m/>
    <m/>
    <m/>
    <m/>
    <m/>
    <m/>
    <m/>
  </r>
  <r>
    <x v="10"/>
    <x v="27"/>
    <n v="0"/>
    <n v="3"/>
    <m/>
    <n v="0"/>
    <m/>
    <m/>
    <m/>
    <m/>
    <m/>
    <m/>
    <m/>
  </r>
  <r>
    <x v="11"/>
    <x v="27"/>
    <n v="0"/>
    <n v="1"/>
    <m/>
    <n v="0"/>
    <m/>
    <m/>
    <m/>
    <m/>
    <m/>
    <m/>
    <m/>
  </r>
  <r>
    <x v="12"/>
    <x v="27"/>
    <n v="3"/>
    <n v="13"/>
    <m/>
    <n v="1"/>
    <m/>
    <m/>
    <m/>
    <m/>
    <m/>
    <m/>
    <m/>
  </r>
  <r>
    <x v="13"/>
    <x v="27"/>
    <n v="0"/>
    <n v="2"/>
    <m/>
    <n v="0"/>
    <m/>
    <m/>
    <m/>
    <m/>
    <m/>
    <m/>
    <m/>
  </r>
  <r>
    <x v="14"/>
    <x v="27"/>
    <n v="8"/>
    <n v="20"/>
    <n v="1"/>
    <n v="1"/>
    <m/>
    <m/>
    <m/>
    <m/>
    <m/>
    <m/>
    <m/>
  </r>
  <r>
    <x v="15"/>
    <x v="27"/>
    <n v="0"/>
    <n v="8"/>
    <m/>
    <n v="1"/>
    <m/>
    <m/>
    <m/>
    <m/>
    <m/>
    <m/>
    <m/>
  </r>
  <r>
    <x v="16"/>
    <x v="27"/>
    <n v="0"/>
    <n v="1"/>
    <m/>
    <n v="0"/>
    <m/>
    <m/>
    <m/>
    <m/>
    <m/>
    <m/>
    <m/>
  </r>
  <r>
    <x v="17"/>
    <x v="27"/>
    <n v="0"/>
    <n v="1"/>
    <m/>
    <n v="0"/>
    <m/>
    <m/>
    <m/>
    <m/>
    <m/>
    <m/>
    <m/>
  </r>
  <r>
    <x v="18"/>
    <x v="27"/>
    <n v="0"/>
    <n v="6"/>
    <m/>
    <n v="0"/>
    <m/>
    <m/>
    <m/>
    <m/>
    <m/>
    <m/>
    <m/>
  </r>
  <r>
    <x v="19"/>
    <x v="27"/>
    <n v="0"/>
    <n v="9"/>
    <m/>
    <n v="0"/>
    <m/>
    <m/>
    <m/>
    <m/>
    <m/>
    <m/>
    <m/>
  </r>
  <r>
    <x v="20"/>
    <x v="27"/>
    <n v="21"/>
    <n v="111"/>
    <m/>
    <n v="0"/>
    <m/>
    <m/>
    <m/>
    <m/>
    <m/>
    <m/>
    <m/>
  </r>
  <r>
    <x v="21"/>
    <x v="27"/>
    <n v="0"/>
    <n v="2"/>
    <m/>
    <n v="0"/>
    <m/>
    <m/>
    <m/>
    <m/>
    <m/>
    <m/>
    <m/>
  </r>
  <r>
    <x v="22"/>
    <x v="27"/>
    <n v="11"/>
    <n v="32"/>
    <m/>
    <n v="0"/>
    <m/>
    <m/>
    <m/>
    <m/>
    <m/>
    <m/>
    <m/>
  </r>
  <r>
    <x v="23"/>
    <x v="27"/>
    <n v="0"/>
    <n v="15"/>
    <n v="1"/>
    <n v="1"/>
    <m/>
    <m/>
    <m/>
    <m/>
    <m/>
    <m/>
    <m/>
  </r>
  <r>
    <x v="0"/>
    <x v="28"/>
    <n v="17"/>
    <n v="270"/>
    <m/>
    <n v="8"/>
    <m/>
    <m/>
    <m/>
    <m/>
    <m/>
    <m/>
    <m/>
  </r>
  <r>
    <x v="1"/>
    <x v="28"/>
    <n v="0"/>
    <n v="0"/>
    <m/>
    <n v="0"/>
    <m/>
    <m/>
    <m/>
    <m/>
    <m/>
    <m/>
    <m/>
  </r>
  <r>
    <x v="2"/>
    <x v="28"/>
    <n v="3"/>
    <n v="84"/>
    <n v="1"/>
    <n v="4"/>
    <m/>
    <m/>
    <m/>
    <m/>
    <m/>
    <m/>
    <m/>
  </r>
  <r>
    <x v="3"/>
    <x v="28"/>
    <n v="0"/>
    <n v="0"/>
    <m/>
    <n v="1"/>
    <m/>
    <m/>
    <m/>
    <m/>
    <m/>
    <m/>
    <m/>
  </r>
  <r>
    <x v="4"/>
    <x v="28"/>
    <n v="19"/>
    <n v="311"/>
    <m/>
    <n v="5"/>
    <m/>
    <m/>
    <m/>
    <m/>
    <m/>
    <m/>
    <m/>
  </r>
  <r>
    <x v="5"/>
    <x v="28"/>
    <n v="14"/>
    <n v="95"/>
    <n v="1"/>
    <n v="1"/>
    <m/>
    <m/>
    <m/>
    <m/>
    <m/>
    <m/>
    <m/>
  </r>
  <r>
    <x v="6"/>
    <x v="28"/>
    <n v="1"/>
    <n v="20"/>
    <m/>
    <n v="0"/>
    <m/>
    <m/>
    <m/>
    <m/>
    <m/>
    <m/>
    <m/>
  </r>
  <r>
    <x v="7"/>
    <x v="28"/>
    <n v="0"/>
    <n v="13"/>
    <m/>
    <n v="0"/>
    <m/>
    <m/>
    <m/>
    <m/>
    <m/>
    <m/>
    <m/>
  </r>
  <r>
    <x v="8"/>
    <x v="28"/>
    <n v="0"/>
    <n v="0"/>
    <m/>
    <n v="0"/>
    <m/>
    <m/>
    <m/>
    <m/>
    <m/>
    <m/>
    <m/>
  </r>
  <r>
    <x v="9"/>
    <x v="28"/>
    <n v="0"/>
    <n v="3"/>
    <m/>
    <n v="0"/>
    <m/>
    <m/>
    <m/>
    <m/>
    <m/>
    <m/>
    <m/>
  </r>
  <r>
    <x v="10"/>
    <x v="28"/>
    <n v="0"/>
    <n v="3"/>
    <m/>
    <n v="0"/>
    <m/>
    <m/>
    <m/>
    <m/>
    <m/>
    <m/>
    <m/>
  </r>
  <r>
    <x v="11"/>
    <x v="28"/>
    <n v="0"/>
    <n v="1"/>
    <n v="1"/>
    <n v="1"/>
    <m/>
    <m/>
    <m/>
    <m/>
    <m/>
    <m/>
    <m/>
  </r>
  <r>
    <x v="12"/>
    <x v="28"/>
    <n v="2"/>
    <n v="15"/>
    <m/>
    <n v="1"/>
    <m/>
    <m/>
    <m/>
    <m/>
    <m/>
    <m/>
    <m/>
  </r>
  <r>
    <x v="13"/>
    <x v="28"/>
    <n v="1"/>
    <n v="3"/>
    <m/>
    <n v="0"/>
    <m/>
    <m/>
    <m/>
    <m/>
    <m/>
    <m/>
    <m/>
  </r>
  <r>
    <x v="14"/>
    <x v="28"/>
    <n v="0"/>
    <n v="20"/>
    <m/>
    <n v="1"/>
    <m/>
    <m/>
    <m/>
    <m/>
    <m/>
    <m/>
    <m/>
  </r>
  <r>
    <x v="15"/>
    <x v="28"/>
    <n v="1"/>
    <n v="9"/>
    <m/>
    <n v="1"/>
    <m/>
    <m/>
    <m/>
    <m/>
    <m/>
    <m/>
    <m/>
  </r>
  <r>
    <x v="16"/>
    <x v="28"/>
    <n v="0"/>
    <n v="1"/>
    <m/>
    <n v="0"/>
    <m/>
    <m/>
    <m/>
    <m/>
    <m/>
    <m/>
    <m/>
  </r>
  <r>
    <x v="17"/>
    <x v="28"/>
    <n v="0"/>
    <n v="1"/>
    <m/>
    <n v="0"/>
    <m/>
    <m/>
    <m/>
    <m/>
    <m/>
    <m/>
    <m/>
  </r>
  <r>
    <x v="18"/>
    <x v="28"/>
    <n v="0"/>
    <n v="6"/>
    <m/>
    <n v="0"/>
    <m/>
    <m/>
    <m/>
    <m/>
    <m/>
    <m/>
    <m/>
  </r>
  <r>
    <x v="19"/>
    <x v="28"/>
    <n v="0"/>
    <n v="9"/>
    <m/>
    <n v="0"/>
    <m/>
    <m/>
    <m/>
    <m/>
    <m/>
    <m/>
    <m/>
  </r>
  <r>
    <x v="20"/>
    <x v="28"/>
    <n v="22"/>
    <n v="133"/>
    <m/>
    <n v="0"/>
    <m/>
    <m/>
    <m/>
    <m/>
    <m/>
    <m/>
    <m/>
  </r>
  <r>
    <x v="21"/>
    <x v="28"/>
    <n v="0"/>
    <n v="2"/>
    <m/>
    <n v="0"/>
    <m/>
    <m/>
    <m/>
    <m/>
    <m/>
    <m/>
    <m/>
  </r>
  <r>
    <x v="22"/>
    <x v="28"/>
    <n v="7"/>
    <n v="39"/>
    <m/>
    <n v="0"/>
    <m/>
    <m/>
    <m/>
    <m/>
    <m/>
    <m/>
    <m/>
  </r>
  <r>
    <x v="23"/>
    <x v="28"/>
    <n v="1"/>
    <n v="16"/>
    <m/>
    <n v="1"/>
    <m/>
    <m/>
    <m/>
    <m/>
    <m/>
    <m/>
    <m/>
  </r>
  <r>
    <x v="0"/>
    <x v="29"/>
    <n v="10"/>
    <n v="280"/>
    <n v="2"/>
    <n v="10"/>
    <m/>
    <m/>
    <m/>
    <m/>
    <m/>
    <m/>
    <m/>
  </r>
  <r>
    <x v="1"/>
    <x v="29"/>
    <n v="0"/>
    <n v="0"/>
    <m/>
    <n v="0"/>
    <m/>
    <m/>
    <m/>
    <m/>
    <m/>
    <m/>
    <m/>
  </r>
  <r>
    <x v="2"/>
    <x v="29"/>
    <n v="12"/>
    <n v="96"/>
    <m/>
    <n v="4"/>
    <m/>
    <m/>
    <m/>
    <m/>
    <m/>
    <m/>
    <m/>
  </r>
  <r>
    <x v="3"/>
    <x v="29"/>
    <n v="0"/>
    <n v="0"/>
    <m/>
    <n v="1"/>
    <m/>
    <m/>
    <m/>
    <m/>
    <m/>
    <m/>
    <m/>
  </r>
  <r>
    <x v="4"/>
    <x v="29"/>
    <n v="10"/>
    <n v="321"/>
    <n v="1"/>
    <n v="6"/>
    <m/>
    <m/>
    <m/>
    <m/>
    <m/>
    <m/>
    <m/>
  </r>
  <r>
    <x v="5"/>
    <x v="29"/>
    <n v="6"/>
    <n v="101"/>
    <m/>
    <n v="1"/>
    <m/>
    <m/>
    <m/>
    <m/>
    <m/>
    <m/>
    <m/>
  </r>
  <r>
    <x v="6"/>
    <x v="29"/>
    <n v="1"/>
    <n v="21"/>
    <m/>
    <n v="0"/>
    <m/>
    <m/>
    <m/>
    <m/>
    <m/>
    <m/>
    <m/>
  </r>
  <r>
    <x v="7"/>
    <x v="29"/>
    <n v="1"/>
    <n v="14"/>
    <m/>
    <n v="0"/>
    <m/>
    <m/>
    <m/>
    <m/>
    <m/>
    <m/>
    <m/>
  </r>
  <r>
    <x v="8"/>
    <x v="29"/>
    <n v="0"/>
    <n v="0"/>
    <m/>
    <n v="0"/>
    <m/>
    <m/>
    <m/>
    <m/>
    <m/>
    <m/>
    <m/>
  </r>
  <r>
    <x v="9"/>
    <x v="29"/>
    <n v="0"/>
    <n v="3"/>
    <m/>
    <n v="0"/>
    <m/>
    <m/>
    <m/>
    <m/>
    <m/>
    <m/>
    <m/>
  </r>
  <r>
    <x v="10"/>
    <x v="29"/>
    <n v="0"/>
    <n v="3"/>
    <m/>
    <n v="0"/>
    <m/>
    <m/>
    <m/>
    <m/>
    <m/>
    <m/>
    <m/>
  </r>
  <r>
    <x v="11"/>
    <x v="29"/>
    <n v="0"/>
    <n v="1"/>
    <m/>
    <n v="1"/>
    <m/>
    <m/>
    <m/>
    <m/>
    <m/>
    <m/>
    <m/>
  </r>
  <r>
    <x v="12"/>
    <x v="29"/>
    <n v="10"/>
    <n v="25"/>
    <m/>
    <n v="1"/>
    <m/>
    <m/>
    <m/>
    <m/>
    <m/>
    <m/>
    <m/>
  </r>
  <r>
    <x v="13"/>
    <x v="29"/>
    <n v="0"/>
    <n v="3"/>
    <m/>
    <n v="0"/>
    <m/>
    <m/>
    <m/>
    <m/>
    <m/>
    <m/>
    <m/>
  </r>
  <r>
    <x v="14"/>
    <x v="29"/>
    <n v="4"/>
    <n v="24"/>
    <m/>
    <n v="1"/>
    <m/>
    <m/>
    <m/>
    <m/>
    <m/>
    <m/>
    <m/>
  </r>
  <r>
    <x v="15"/>
    <x v="29"/>
    <n v="0"/>
    <n v="9"/>
    <n v="1"/>
    <n v="2"/>
    <m/>
    <m/>
    <m/>
    <m/>
    <m/>
    <m/>
    <m/>
  </r>
  <r>
    <x v="16"/>
    <x v="29"/>
    <n v="2"/>
    <n v="3"/>
    <m/>
    <n v="0"/>
    <m/>
    <m/>
    <m/>
    <m/>
    <m/>
    <m/>
    <m/>
  </r>
  <r>
    <x v="17"/>
    <x v="29"/>
    <n v="0"/>
    <n v="1"/>
    <m/>
    <n v="0"/>
    <m/>
    <m/>
    <m/>
    <m/>
    <m/>
    <m/>
    <m/>
  </r>
  <r>
    <x v="18"/>
    <x v="29"/>
    <n v="1"/>
    <n v="7"/>
    <m/>
    <n v="0"/>
    <m/>
    <m/>
    <m/>
    <m/>
    <m/>
    <m/>
    <m/>
  </r>
  <r>
    <x v="19"/>
    <x v="29"/>
    <n v="10"/>
    <n v="19"/>
    <m/>
    <n v="0"/>
    <m/>
    <m/>
    <m/>
    <m/>
    <m/>
    <m/>
    <m/>
  </r>
  <r>
    <x v="20"/>
    <x v="29"/>
    <n v="11"/>
    <n v="144"/>
    <n v="1"/>
    <n v="1"/>
    <m/>
    <m/>
    <m/>
    <m/>
    <m/>
    <m/>
    <m/>
  </r>
  <r>
    <x v="21"/>
    <x v="29"/>
    <n v="0"/>
    <n v="2"/>
    <m/>
    <n v="0"/>
    <m/>
    <m/>
    <m/>
    <m/>
    <m/>
    <m/>
    <m/>
  </r>
  <r>
    <x v="22"/>
    <x v="29"/>
    <n v="0"/>
    <n v="39"/>
    <m/>
    <n v="0"/>
    <m/>
    <m/>
    <m/>
    <m/>
    <m/>
    <m/>
    <m/>
  </r>
  <r>
    <x v="23"/>
    <x v="29"/>
    <n v="1"/>
    <n v="17"/>
    <m/>
    <n v="1"/>
    <m/>
    <m/>
    <m/>
    <m/>
    <m/>
    <m/>
    <m/>
  </r>
  <r>
    <x v="0"/>
    <x v="30"/>
    <n v="36"/>
    <n v="316"/>
    <n v="2"/>
    <n v="12"/>
    <m/>
    <m/>
    <m/>
    <m/>
    <m/>
    <m/>
    <m/>
  </r>
  <r>
    <x v="1"/>
    <x v="30"/>
    <n v="0"/>
    <n v="0"/>
    <m/>
    <n v="0"/>
    <m/>
    <m/>
    <m/>
    <m/>
    <m/>
    <m/>
    <m/>
  </r>
  <r>
    <x v="2"/>
    <x v="30"/>
    <n v="3"/>
    <n v="99"/>
    <n v="1"/>
    <n v="5"/>
    <m/>
    <m/>
    <m/>
    <m/>
    <m/>
    <m/>
    <m/>
  </r>
  <r>
    <x v="3"/>
    <x v="30"/>
    <n v="0"/>
    <n v="0"/>
    <m/>
    <n v="1"/>
    <m/>
    <m/>
    <m/>
    <m/>
    <m/>
    <m/>
    <m/>
  </r>
  <r>
    <x v="4"/>
    <x v="30"/>
    <n v="24"/>
    <n v="345"/>
    <m/>
    <n v="6"/>
    <m/>
    <m/>
    <m/>
    <m/>
    <m/>
    <m/>
    <m/>
  </r>
  <r>
    <x v="5"/>
    <x v="30"/>
    <n v="16"/>
    <n v="117"/>
    <m/>
    <n v="1"/>
    <m/>
    <m/>
    <m/>
    <m/>
    <m/>
    <m/>
    <m/>
  </r>
  <r>
    <x v="6"/>
    <x v="30"/>
    <n v="1"/>
    <n v="22"/>
    <m/>
    <n v="0"/>
    <m/>
    <m/>
    <m/>
    <m/>
    <m/>
    <m/>
    <m/>
  </r>
  <r>
    <x v="7"/>
    <x v="30"/>
    <n v="2"/>
    <n v="16"/>
    <m/>
    <n v="0"/>
    <m/>
    <m/>
    <m/>
    <m/>
    <m/>
    <m/>
    <m/>
  </r>
  <r>
    <x v="8"/>
    <x v="30"/>
    <n v="0"/>
    <n v="0"/>
    <m/>
    <n v="0"/>
    <m/>
    <m/>
    <m/>
    <m/>
    <m/>
    <m/>
    <m/>
  </r>
  <r>
    <x v="9"/>
    <x v="30"/>
    <n v="2"/>
    <n v="5"/>
    <m/>
    <n v="0"/>
    <m/>
    <m/>
    <m/>
    <m/>
    <m/>
    <m/>
    <m/>
  </r>
  <r>
    <x v="10"/>
    <x v="30"/>
    <n v="0"/>
    <n v="3"/>
    <m/>
    <n v="0"/>
    <m/>
    <m/>
    <m/>
    <m/>
    <m/>
    <m/>
    <m/>
  </r>
  <r>
    <x v="11"/>
    <x v="30"/>
    <n v="3"/>
    <n v="4"/>
    <m/>
    <n v="1"/>
    <m/>
    <m/>
    <m/>
    <m/>
    <m/>
    <m/>
    <m/>
  </r>
  <r>
    <x v="12"/>
    <x v="30"/>
    <n v="0"/>
    <n v="25"/>
    <n v="1"/>
    <n v="2"/>
    <m/>
    <m/>
    <m/>
    <m/>
    <m/>
    <m/>
    <m/>
  </r>
  <r>
    <x v="13"/>
    <x v="30"/>
    <n v="0"/>
    <n v="3"/>
    <m/>
    <n v="0"/>
    <m/>
    <m/>
    <m/>
    <m/>
    <m/>
    <m/>
    <m/>
  </r>
  <r>
    <x v="14"/>
    <x v="30"/>
    <n v="4"/>
    <n v="28"/>
    <m/>
    <n v="1"/>
    <m/>
    <m/>
    <m/>
    <m/>
    <m/>
    <m/>
    <m/>
  </r>
  <r>
    <x v="15"/>
    <x v="30"/>
    <n v="0"/>
    <n v="9"/>
    <m/>
    <n v="2"/>
    <m/>
    <m/>
    <m/>
    <m/>
    <m/>
    <m/>
    <m/>
  </r>
  <r>
    <x v="16"/>
    <x v="30"/>
    <n v="0"/>
    <n v="3"/>
    <m/>
    <n v="0"/>
    <m/>
    <m/>
    <m/>
    <m/>
    <m/>
    <m/>
    <m/>
  </r>
  <r>
    <x v="17"/>
    <x v="30"/>
    <n v="0"/>
    <n v="1"/>
    <m/>
    <n v="0"/>
    <m/>
    <m/>
    <m/>
    <m/>
    <m/>
    <m/>
    <m/>
  </r>
  <r>
    <x v="18"/>
    <x v="30"/>
    <n v="2"/>
    <n v="9"/>
    <m/>
    <n v="0"/>
    <m/>
    <m/>
    <m/>
    <m/>
    <m/>
    <m/>
    <m/>
  </r>
  <r>
    <x v="19"/>
    <x v="30"/>
    <n v="2"/>
    <n v="21"/>
    <m/>
    <n v="0"/>
    <m/>
    <m/>
    <m/>
    <m/>
    <m/>
    <m/>
    <m/>
  </r>
  <r>
    <x v="20"/>
    <x v="30"/>
    <n v="8"/>
    <n v="152"/>
    <m/>
    <n v="1"/>
    <m/>
    <m/>
    <m/>
    <m/>
    <m/>
    <m/>
    <m/>
  </r>
  <r>
    <x v="21"/>
    <x v="30"/>
    <n v="1"/>
    <n v="3"/>
    <m/>
    <n v="0"/>
    <m/>
    <m/>
    <m/>
    <m/>
    <m/>
    <m/>
    <m/>
  </r>
  <r>
    <x v="22"/>
    <x v="30"/>
    <n v="24"/>
    <n v="63"/>
    <m/>
    <n v="0"/>
    <m/>
    <m/>
    <m/>
    <m/>
    <m/>
    <m/>
    <m/>
  </r>
  <r>
    <x v="23"/>
    <x v="30"/>
    <n v="4"/>
    <n v="21"/>
    <m/>
    <n v="1"/>
    <m/>
    <m/>
    <m/>
    <m/>
    <m/>
    <m/>
    <m/>
  </r>
  <r>
    <x v="0"/>
    <x v="31"/>
    <n v="22"/>
    <n v="338"/>
    <n v="3"/>
    <n v="15"/>
    <m/>
    <m/>
    <m/>
    <m/>
    <m/>
    <m/>
    <m/>
  </r>
  <r>
    <x v="1"/>
    <x v="31"/>
    <n v="0"/>
    <n v="0"/>
    <m/>
    <n v="0"/>
    <m/>
    <m/>
    <m/>
    <m/>
    <m/>
    <m/>
    <m/>
  </r>
  <r>
    <x v="2"/>
    <x v="31"/>
    <n v="8"/>
    <n v="107"/>
    <n v="1"/>
    <n v="6"/>
    <m/>
    <m/>
    <m/>
    <m/>
    <m/>
    <m/>
    <m/>
  </r>
  <r>
    <x v="3"/>
    <x v="31"/>
    <n v="0"/>
    <n v="0"/>
    <m/>
    <n v="1"/>
    <m/>
    <m/>
    <m/>
    <m/>
    <m/>
    <m/>
    <m/>
  </r>
  <r>
    <x v="4"/>
    <x v="31"/>
    <n v="28"/>
    <n v="373"/>
    <m/>
    <n v="6"/>
    <m/>
    <m/>
    <m/>
    <m/>
    <m/>
    <m/>
    <m/>
  </r>
  <r>
    <x v="5"/>
    <x v="31"/>
    <n v="14"/>
    <n v="131"/>
    <m/>
    <n v="1"/>
    <m/>
    <m/>
    <m/>
    <m/>
    <m/>
    <m/>
    <m/>
  </r>
  <r>
    <x v="6"/>
    <x v="31"/>
    <n v="0"/>
    <n v="22"/>
    <m/>
    <n v="0"/>
    <m/>
    <m/>
    <m/>
    <m/>
    <m/>
    <m/>
    <m/>
  </r>
  <r>
    <x v="7"/>
    <x v="31"/>
    <n v="2"/>
    <n v="18"/>
    <m/>
    <n v="0"/>
    <m/>
    <m/>
    <m/>
    <m/>
    <m/>
    <m/>
    <m/>
  </r>
  <r>
    <x v="8"/>
    <x v="31"/>
    <n v="0"/>
    <n v="0"/>
    <m/>
    <n v="0"/>
    <m/>
    <m/>
    <m/>
    <m/>
    <m/>
    <m/>
    <m/>
  </r>
  <r>
    <x v="9"/>
    <x v="31"/>
    <n v="0"/>
    <n v="5"/>
    <m/>
    <n v="0"/>
    <m/>
    <m/>
    <m/>
    <m/>
    <m/>
    <m/>
    <m/>
  </r>
  <r>
    <x v="10"/>
    <x v="31"/>
    <n v="0"/>
    <n v="3"/>
    <m/>
    <n v="0"/>
    <m/>
    <m/>
    <m/>
    <m/>
    <m/>
    <m/>
    <m/>
  </r>
  <r>
    <x v="11"/>
    <x v="31"/>
    <n v="0"/>
    <n v="4"/>
    <m/>
    <n v="1"/>
    <m/>
    <m/>
    <m/>
    <m/>
    <m/>
    <m/>
    <m/>
  </r>
  <r>
    <x v="12"/>
    <x v="31"/>
    <n v="2"/>
    <n v="27"/>
    <n v="1"/>
    <n v="3"/>
    <m/>
    <m/>
    <m/>
    <m/>
    <m/>
    <m/>
    <m/>
  </r>
  <r>
    <x v="13"/>
    <x v="31"/>
    <n v="0"/>
    <n v="3"/>
    <m/>
    <n v="0"/>
    <m/>
    <m/>
    <m/>
    <m/>
    <m/>
    <m/>
    <m/>
  </r>
  <r>
    <x v="14"/>
    <x v="31"/>
    <n v="1"/>
    <n v="29"/>
    <m/>
    <n v="1"/>
    <m/>
    <m/>
    <m/>
    <m/>
    <m/>
    <m/>
    <m/>
  </r>
  <r>
    <x v="15"/>
    <x v="31"/>
    <n v="1"/>
    <n v="10"/>
    <m/>
    <n v="2"/>
    <m/>
    <m/>
    <m/>
    <m/>
    <m/>
    <m/>
    <m/>
  </r>
  <r>
    <x v="16"/>
    <x v="31"/>
    <n v="0"/>
    <n v="3"/>
    <m/>
    <n v="0"/>
    <m/>
    <m/>
    <m/>
    <m/>
    <m/>
    <m/>
    <m/>
  </r>
  <r>
    <x v="17"/>
    <x v="31"/>
    <n v="0"/>
    <n v="1"/>
    <m/>
    <n v="0"/>
    <m/>
    <m/>
    <m/>
    <m/>
    <m/>
    <m/>
    <m/>
  </r>
  <r>
    <x v="18"/>
    <x v="31"/>
    <n v="1"/>
    <n v="10"/>
    <m/>
    <n v="0"/>
    <m/>
    <m/>
    <m/>
    <m/>
    <m/>
    <m/>
    <m/>
  </r>
  <r>
    <x v="19"/>
    <x v="31"/>
    <n v="0"/>
    <n v="21"/>
    <m/>
    <n v="0"/>
    <m/>
    <m/>
    <m/>
    <m/>
    <m/>
    <m/>
    <m/>
  </r>
  <r>
    <x v="20"/>
    <x v="31"/>
    <n v="8"/>
    <n v="160"/>
    <m/>
    <n v="1"/>
    <m/>
    <m/>
    <m/>
    <m/>
    <m/>
    <m/>
    <m/>
  </r>
  <r>
    <x v="21"/>
    <x v="31"/>
    <n v="0"/>
    <n v="3"/>
    <m/>
    <n v="0"/>
    <m/>
    <m/>
    <m/>
    <m/>
    <m/>
    <m/>
    <m/>
  </r>
  <r>
    <x v="22"/>
    <x v="31"/>
    <n v="1"/>
    <n v="64"/>
    <m/>
    <n v="0"/>
    <m/>
    <m/>
    <m/>
    <m/>
    <m/>
    <m/>
    <m/>
  </r>
  <r>
    <x v="23"/>
    <x v="31"/>
    <n v="0"/>
    <n v="21"/>
    <m/>
    <n v="1"/>
    <m/>
    <m/>
    <m/>
    <m/>
    <m/>
    <m/>
    <m/>
  </r>
  <r>
    <x v="0"/>
    <x v="32"/>
    <n v="26"/>
    <n v="364"/>
    <n v="1"/>
    <n v="16"/>
    <m/>
    <m/>
    <m/>
    <m/>
    <m/>
    <m/>
    <m/>
  </r>
  <r>
    <x v="1"/>
    <x v="32"/>
    <n v="0"/>
    <n v="0"/>
    <m/>
    <n v="0"/>
    <m/>
    <m/>
    <m/>
    <m/>
    <m/>
    <m/>
    <m/>
  </r>
  <r>
    <x v="2"/>
    <x v="32"/>
    <n v="8"/>
    <n v="115"/>
    <m/>
    <n v="6"/>
    <m/>
    <m/>
    <m/>
    <m/>
    <m/>
    <m/>
    <m/>
  </r>
  <r>
    <x v="3"/>
    <x v="32"/>
    <n v="0"/>
    <n v="0"/>
    <m/>
    <n v="1"/>
    <m/>
    <m/>
    <m/>
    <m/>
    <m/>
    <m/>
    <m/>
  </r>
  <r>
    <x v="4"/>
    <x v="32"/>
    <n v="34"/>
    <n v="407"/>
    <n v="1"/>
    <n v="7"/>
    <m/>
    <m/>
    <m/>
    <m/>
    <m/>
    <m/>
    <m/>
  </r>
  <r>
    <x v="5"/>
    <x v="32"/>
    <n v="3"/>
    <n v="134"/>
    <m/>
    <n v="1"/>
    <m/>
    <m/>
    <m/>
    <m/>
    <m/>
    <m/>
    <m/>
  </r>
  <r>
    <x v="6"/>
    <x v="32"/>
    <n v="0"/>
    <n v="22"/>
    <m/>
    <n v="0"/>
    <m/>
    <m/>
    <m/>
    <m/>
    <m/>
    <m/>
    <m/>
  </r>
  <r>
    <x v="7"/>
    <x v="32"/>
    <n v="0"/>
    <n v="18"/>
    <m/>
    <n v="0"/>
    <m/>
    <m/>
    <m/>
    <m/>
    <m/>
    <m/>
    <m/>
  </r>
  <r>
    <x v="8"/>
    <x v="32"/>
    <n v="0"/>
    <n v="0"/>
    <m/>
    <n v="0"/>
    <m/>
    <m/>
    <m/>
    <m/>
    <m/>
    <m/>
    <m/>
  </r>
  <r>
    <x v="9"/>
    <x v="32"/>
    <n v="0"/>
    <n v="5"/>
    <m/>
    <n v="0"/>
    <m/>
    <m/>
    <m/>
    <m/>
    <m/>
    <m/>
    <m/>
  </r>
  <r>
    <x v="10"/>
    <x v="32"/>
    <n v="0"/>
    <n v="3"/>
    <m/>
    <n v="0"/>
    <m/>
    <m/>
    <m/>
    <m/>
    <m/>
    <m/>
    <m/>
  </r>
  <r>
    <x v="11"/>
    <x v="32"/>
    <n v="2"/>
    <n v="6"/>
    <m/>
    <n v="1"/>
    <m/>
    <m/>
    <m/>
    <m/>
    <m/>
    <m/>
    <m/>
  </r>
  <r>
    <x v="12"/>
    <x v="32"/>
    <n v="0"/>
    <n v="27"/>
    <m/>
    <n v="3"/>
    <m/>
    <m/>
    <m/>
    <m/>
    <m/>
    <m/>
    <m/>
  </r>
  <r>
    <x v="13"/>
    <x v="32"/>
    <n v="0"/>
    <n v="3"/>
    <m/>
    <n v="0"/>
    <m/>
    <m/>
    <m/>
    <m/>
    <m/>
    <m/>
    <m/>
  </r>
  <r>
    <x v="14"/>
    <x v="32"/>
    <n v="4"/>
    <n v="33"/>
    <m/>
    <n v="1"/>
    <m/>
    <m/>
    <m/>
    <m/>
    <m/>
    <m/>
    <m/>
  </r>
  <r>
    <x v="15"/>
    <x v="32"/>
    <n v="5"/>
    <n v="15"/>
    <m/>
    <n v="2"/>
    <m/>
    <m/>
    <m/>
    <m/>
    <m/>
    <m/>
    <m/>
  </r>
  <r>
    <x v="16"/>
    <x v="32"/>
    <n v="0"/>
    <n v="3"/>
    <m/>
    <n v="0"/>
    <m/>
    <m/>
    <m/>
    <m/>
    <m/>
    <m/>
    <m/>
  </r>
  <r>
    <x v="17"/>
    <x v="32"/>
    <n v="0"/>
    <n v="1"/>
    <m/>
    <n v="0"/>
    <m/>
    <m/>
    <m/>
    <m/>
    <m/>
    <m/>
    <m/>
  </r>
  <r>
    <x v="18"/>
    <x v="32"/>
    <n v="0"/>
    <n v="10"/>
    <m/>
    <n v="0"/>
    <m/>
    <m/>
    <m/>
    <m/>
    <m/>
    <m/>
    <m/>
  </r>
  <r>
    <x v="19"/>
    <x v="32"/>
    <n v="1"/>
    <n v="22"/>
    <m/>
    <n v="0"/>
    <m/>
    <m/>
    <m/>
    <m/>
    <m/>
    <m/>
    <m/>
  </r>
  <r>
    <x v="20"/>
    <x v="32"/>
    <n v="5"/>
    <n v="165"/>
    <m/>
    <n v="1"/>
    <m/>
    <m/>
    <m/>
    <m/>
    <m/>
    <m/>
    <m/>
  </r>
  <r>
    <x v="21"/>
    <x v="32"/>
    <n v="1"/>
    <n v="4"/>
    <m/>
    <n v="0"/>
    <m/>
    <m/>
    <m/>
    <m/>
    <m/>
    <m/>
    <m/>
  </r>
  <r>
    <x v="22"/>
    <x v="32"/>
    <n v="8"/>
    <n v="72"/>
    <m/>
    <n v="0"/>
    <m/>
    <m/>
    <m/>
    <m/>
    <m/>
    <m/>
    <m/>
  </r>
  <r>
    <x v="23"/>
    <x v="32"/>
    <n v="1"/>
    <n v="22"/>
    <m/>
    <n v="1"/>
    <m/>
    <m/>
    <m/>
    <m/>
    <m/>
    <m/>
    <m/>
  </r>
  <r>
    <x v="0"/>
    <x v="33"/>
    <n v="33"/>
    <n v="397"/>
    <n v="1"/>
    <n v="17"/>
    <m/>
    <m/>
    <m/>
    <m/>
    <m/>
    <m/>
    <m/>
  </r>
  <r>
    <x v="1"/>
    <x v="33"/>
    <n v="0"/>
    <n v="0"/>
    <m/>
    <n v="0"/>
    <m/>
    <m/>
    <m/>
    <m/>
    <m/>
    <m/>
    <m/>
  </r>
  <r>
    <x v="2"/>
    <x v="33"/>
    <n v="0"/>
    <n v="115"/>
    <m/>
    <n v="6"/>
    <m/>
    <m/>
    <m/>
    <m/>
    <m/>
    <m/>
    <m/>
  </r>
  <r>
    <x v="3"/>
    <x v="33"/>
    <n v="0"/>
    <n v="0"/>
    <m/>
    <n v="1"/>
    <m/>
    <m/>
    <m/>
    <m/>
    <m/>
    <m/>
    <m/>
  </r>
  <r>
    <x v="4"/>
    <x v="33"/>
    <n v="32"/>
    <n v="439"/>
    <m/>
    <n v="7"/>
    <m/>
    <m/>
    <m/>
    <m/>
    <m/>
    <m/>
    <m/>
  </r>
  <r>
    <x v="5"/>
    <x v="33"/>
    <n v="5"/>
    <n v="139"/>
    <n v="1"/>
    <n v="2"/>
    <m/>
    <m/>
    <m/>
    <m/>
    <m/>
    <m/>
    <m/>
  </r>
  <r>
    <x v="6"/>
    <x v="33"/>
    <n v="0"/>
    <n v="22"/>
    <m/>
    <n v="0"/>
    <m/>
    <m/>
    <m/>
    <m/>
    <m/>
    <m/>
    <m/>
  </r>
  <r>
    <x v="7"/>
    <x v="33"/>
    <n v="1"/>
    <n v="19"/>
    <m/>
    <n v="0"/>
    <m/>
    <m/>
    <m/>
    <m/>
    <m/>
    <m/>
    <m/>
  </r>
  <r>
    <x v="8"/>
    <x v="33"/>
    <n v="0"/>
    <n v="0"/>
    <m/>
    <n v="0"/>
    <m/>
    <m/>
    <m/>
    <m/>
    <m/>
    <m/>
    <m/>
  </r>
  <r>
    <x v="9"/>
    <x v="33"/>
    <n v="0"/>
    <n v="5"/>
    <m/>
    <n v="0"/>
    <m/>
    <m/>
    <m/>
    <m/>
    <m/>
    <m/>
    <m/>
  </r>
  <r>
    <x v="10"/>
    <x v="33"/>
    <n v="0"/>
    <n v="3"/>
    <m/>
    <n v="0"/>
    <m/>
    <m/>
    <m/>
    <m/>
    <m/>
    <m/>
    <m/>
  </r>
  <r>
    <x v="11"/>
    <x v="33"/>
    <n v="2"/>
    <n v="8"/>
    <m/>
    <n v="1"/>
    <m/>
    <m/>
    <m/>
    <m/>
    <m/>
    <m/>
    <m/>
  </r>
  <r>
    <x v="12"/>
    <x v="33"/>
    <n v="2"/>
    <n v="29"/>
    <m/>
    <n v="3"/>
    <m/>
    <m/>
    <m/>
    <m/>
    <m/>
    <m/>
    <m/>
  </r>
  <r>
    <x v="13"/>
    <x v="33"/>
    <n v="0"/>
    <n v="3"/>
    <m/>
    <n v="0"/>
    <m/>
    <m/>
    <m/>
    <m/>
    <m/>
    <m/>
    <m/>
  </r>
  <r>
    <x v="14"/>
    <x v="33"/>
    <n v="11"/>
    <n v="44"/>
    <m/>
    <n v="1"/>
    <m/>
    <m/>
    <m/>
    <m/>
    <m/>
    <m/>
    <m/>
  </r>
  <r>
    <x v="15"/>
    <x v="33"/>
    <n v="2"/>
    <n v="17"/>
    <m/>
    <n v="2"/>
    <m/>
    <m/>
    <m/>
    <m/>
    <m/>
    <m/>
    <m/>
  </r>
  <r>
    <x v="16"/>
    <x v="33"/>
    <n v="0"/>
    <n v="3"/>
    <m/>
    <n v="0"/>
    <m/>
    <m/>
    <m/>
    <m/>
    <m/>
    <m/>
    <m/>
  </r>
  <r>
    <x v="17"/>
    <x v="33"/>
    <n v="0"/>
    <n v="1"/>
    <m/>
    <n v="0"/>
    <m/>
    <m/>
    <m/>
    <m/>
    <m/>
    <m/>
    <m/>
  </r>
  <r>
    <x v="18"/>
    <x v="33"/>
    <n v="0"/>
    <n v="10"/>
    <m/>
    <n v="0"/>
    <m/>
    <m/>
    <m/>
    <m/>
    <m/>
    <m/>
    <m/>
  </r>
  <r>
    <x v="19"/>
    <x v="33"/>
    <n v="1"/>
    <n v="23"/>
    <m/>
    <n v="0"/>
    <m/>
    <m/>
    <m/>
    <m/>
    <m/>
    <m/>
    <m/>
  </r>
  <r>
    <x v="20"/>
    <x v="33"/>
    <n v="11"/>
    <n v="176"/>
    <m/>
    <n v="1"/>
    <m/>
    <m/>
    <m/>
    <m/>
    <m/>
    <m/>
    <m/>
  </r>
  <r>
    <x v="21"/>
    <x v="33"/>
    <n v="0"/>
    <n v="4"/>
    <m/>
    <n v="0"/>
    <m/>
    <m/>
    <m/>
    <m/>
    <m/>
    <m/>
    <m/>
  </r>
  <r>
    <x v="22"/>
    <x v="33"/>
    <n v="3"/>
    <n v="75"/>
    <m/>
    <n v="0"/>
    <m/>
    <m/>
    <m/>
    <m/>
    <m/>
    <m/>
    <m/>
  </r>
  <r>
    <x v="23"/>
    <x v="33"/>
    <n v="0"/>
    <n v="22"/>
    <m/>
    <n v="1"/>
    <m/>
    <m/>
    <m/>
    <m/>
    <m/>
    <m/>
    <m/>
  </r>
  <r>
    <x v="0"/>
    <x v="34"/>
    <n v="12"/>
    <n v="409"/>
    <n v="2"/>
    <n v="19"/>
    <m/>
    <m/>
    <m/>
    <m/>
    <m/>
    <m/>
    <m/>
  </r>
  <r>
    <x v="1"/>
    <x v="34"/>
    <n v="0"/>
    <n v="0"/>
    <m/>
    <n v="0"/>
    <m/>
    <m/>
    <m/>
    <m/>
    <m/>
    <m/>
    <m/>
  </r>
  <r>
    <x v="2"/>
    <x v="34"/>
    <n v="4"/>
    <n v="119"/>
    <m/>
    <n v="6"/>
    <m/>
    <m/>
    <m/>
    <m/>
    <m/>
    <m/>
    <m/>
  </r>
  <r>
    <x v="3"/>
    <x v="34"/>
    <n v="0"/>
    <n v="0"/>
    <m/>
    <n v="1"/>
    <m/>
    <m/>
    <m/>
    <m/>
    <m/>
    <m/>
    <m/>
  </r>
  <r>
    <x v="4"/>
    <x v="34"/>
    <n v="17"/>
    <n v="456"/>
    <n v="3"/>
    <n v="10"/>
    <m/>
    <m/>
    <m/>
    <m/>
    <m/>
    <m/>
    <m/>
  </r>
  <r>
    <x v="5"/>
    <x v="34"/>
    <n v="7"/>
    <n v="146"/>
    <m/>
    <n v="2"/>
    <m/>
    <m/>
    <m/>
    <m/>
    <m/>
    <m/>
    <m/>
  </r>
  <r>
    <x v="6"/>
    <x v="34"/>
    <n v="2"/>
    <n v="24"/>
    <m/>
    <n v="0"/>
    <m/>
    <m/>
    <m/>
    <m/>
    <m/>
    <m/>
    <m/>
  </r>
  <r>
    <x v="7"/>
    <x v="34"/>
    <n v="0"/>
    <n v="19"/>
    <m/>
    <n v="0"/>
    <m/>
    <m/>
    <m/>
    <m/>
    <m/>
    <m/>
    <m/>
  </r>
  <r>
    <x v="8"/>
    <x v="34"/>
    <n v="0"/>
    <n v="0"/>
    <m/>
    <n v="0"/>
    <m/>
    <m/>
    <m/>
    <m/>
    <m/>
    <m/>
    <m/>
  </r>
  <r>
    <x v="9"/>
    <x v="34"/>
    <n v="0"/>
    <n v="5"/>
    <m/>
    <n v="0"/>
    <m/>
    <m/>
    <m/>
    <m/>
    <m/>
    <m/>
    <m/>
  </r>
  <r>
    <x v="10"/>
    <x v="34"/>
    <n v="0"/>
    <n v="3"/>
    <m/>
    <n v="0"/>
    <m/>
    <m/>
    <m/>
    <m/>
    <m/>
    <m/>
    <m/>
  </r>
  <r>
    <x v="11"/>
    <x v="34"/>
    <n v="1"/>
    <n v="9"/>
    <m/>
    <n v="1"/>
    <m/>
    <m/>
    <m/>
    <m/>
    <m/>
    <m/>
    <m/>
  </r>
  <r>
    <x v="12"/>
    <x v="34"/>
    <n v="1"/>
    <n v="30"/>
    <m/>
    <n v="3"/>
    <m/>
    <m/>
    <m/>
    <m/>
    <m/>
    <m/>
    <m/>
  </r>
  <r>
    <x v="13"/>
    <x v="34"/>
    <n v="0"/>
    <n v="3"/>
    <m/>
    <n v="0"/>
    <m/>
    <m/>
    <m/>
    <m/>
    <m/>
    <m/>
    <m/>
  </r>
  <r>
    <x v="14"/>
    <x v="34"/>
    <n v="6"/>
    <n v="50"/>
    <n v="1"/>
    <n v="2"/>
    <m/>
    <m/>
    <m/>
    <m/>
    <m/>
    <m/>
    <m/>
  </r>
  <r>
    <x v="15"/>
    <x v="34"/>
    <n v="2"/>
    <n v="19"/>
    <m/>
    <n v="2"/>
    <m/>
    <m/>
    <m/>
    <m/>
    <m/>
    <m/>
    <m/>
  </r>
  <r>
    <x v="16"/>
    <x v="34"/>
    <n v="0"/>
    <n v="3"/>
    <m/>
    <n v="0"/>
    <m/>
    <m/>
    <m/>
    <m/>
    <m/>
    <m/>
    <m/>
  </r>
  <r>
    <x v="17"/>
    <x v="34"/>
    <n v="0"/>
    <n v="1"/>
    <m/>
    <n v="0"/>
    <m/>
    <m/>
    <m/>
    <m/>
    <m/>
    <m/>
    <m/>
  </r>
  <r>
    <x v="18"/>
    <x v="34"/>
    <n v="1"/>
    <n v="11"/>
    <m/>
    <n v="0"/>
    <m/>
    <m/>
    <m/>
    <m/>
    <m/>
    <m/>
    <m/>
  </r>
  <r>
    <x v="19"/>
    <x v="34"/>
    <n v="0"/>
    <n v="23"/>
    <m/>
    <n v="0"/>
    <m/>
    <m/>
    <m/>
    <m/>
    <m/>
    <m/>
    <m/>
  </r>
  <r>
    <x v="20"/>
    <x v="34"/>
    <n v="8"/>
    <n v="184"/>
    <m/>
    <n v="1"/>
    <m/>
    <m/>
    <m/>
    <m/>
    <m/>
    <m/>
    <m/>
  </r>
  <r>
    <x v="21"/>
    <x v="34"/>
    <n v="6"/>
    <n v="10"/>
    <m/>
    <n v="0"/>
    <m/>
    <m/>
    <m/>
    <m/>
    <m/>
    <m/>
    <m/>
  </r>
  <r>
    <x v="22"/>
    <x v="34"/>
    <n v="2"/>
    <n v="77"/>
    <m/>
    <n v="0"/>
    <m/>
    <m/>
    <m/>
    <m/>
    <m/>
    <m/>
    <m/>
  </r>
  <r>
    <x v="23"/>
    <x v="34"/>
    <n v="5"/>
    <n v="27"/>
    <m/>
    <n v="1"/>
    <m/>
    <m/>
    <m/>
    <m/>
    <m/>
    <m/>
    <m/>
  </r>
  <r>
    <x v="0"/>
    <x v="35"/>
    <n v="34"/>
    <n v="443"/>
    <n v="4"/>
    <n v="23"/>
    <m/>
    <m/>
    <m/>
    <m/>
    <m/>
    <m/>
    <m/>
  </r>
  <r>
    <x v="1"/>
    <x v="35"/>
    <n v="0"/>
    <n v="0"/>
    <m/>
    <n v="0"/>
    <m/>
    <m/>
    <m/>
    <m/>
    <m/>
    <m/>
    <m/>
  </r>
  <r>
    <x v="2"/>
    <x v="35"/>
    <n v="4"/>
    <n v="123"/>
    <m/>
    <n v="6"/>
    <m/>
    <m/>
    <m/>
    <m/>
    <m/>
    <m/>
    <m/>
  </r>
  <r>
    <x v="3"/>
    <x v="35"/>
    <n v="0"/>
    <n v="0"/>
    <m/>
    <n v="1"/>
    <m/>
    <m/>
    <m/>
    <m/>
    <m/>
    <m/>
    <m/>
  </r>
  <r>
    <x v="4"/>
    <x v="35"/>
    <n v="24"/>
    <n v="480"/>
    <n v="2"/>
    <n v="12"/>
    <m/>
    <m/>
    <m/>
    <m/>
    <m/>
    <m/>
    <m/>
  </r>
  <r>
    <x v="5"/>
    <x v="35"/>
    <n v="4"/>
    <n v="150"/>
    <m/>
    <n v="2"/>
    <m/>
    <m/>
    <m/>
    <m/>
    <m/>
    <m/>
    <m/>
  </r>
  <r>
    <x v="6"/>
    <x v="35"/>
    <n v="0"/>
    <n v="24"/>
    <m/>
    <n v="0"/>
    <m/>
    <m/>
    <m/>
    <m/>
    <m/>
    <m/>
    <m/>
  </r>
  <r>
    <x v="7"/>
    <x v="35"/>
    <n v="1"/>
    <n v="20"/>
    <m/>
    <n v="0"/>
    <m/>
    <m/>
    <m/>
    <m/>
    <m/>
    <m/>
    <m/>
  </r>
  <r>
    <x v="8"/>
    <x v="35"/>
    <n v="0"/>
    <n v="0"/>
    <m/>
    <n v="0"/>
    <m/>
    <m/>
    <m/>
    <m/>
    <m/>
    <m/>
    <m/>
  </r>
  <r>
    <x v="9"/>
    <x v="35"/>
    <n v="0"/>
    <n v="5"/>
    <m/>
    <n v="0"/>
    <m/>
    <m/>
    <m/>
    <m/>
    <m/>
    <m/>
    <m/>
  </r>
  <r>
    <x v="10"/>
    <x v="35"/>
    <n v="0"/>
    <n v="3"/>
    <m/>
    <n v="0"/>
    <m/>
    <m/>
    <m/>
    <m/>
    <m/>
    <m/>
    <m/>
  </r>
  <r>
    <x v="11"/>
    <x v="35"/>
    <n v="0"/>
    <n v="9"/>
    <m/>
    <n v="1"/>
    <m/>
    <m/>
    <m/>
    <m/>
    <m/>
    <m/>
    <m/>
  </r>
  <r>
    <x v="12"/>
    <x v="35"/>
    <n v="2"/>
    <n v="32"/>
    <n v="1"/>
    <n v="4"/>
    <m/>
    <m/>
    <m/>
    <m/>
    <m/>
    <m/>
    <m/>
  </r>
  <r>
    <x v="13"/>
    <x v="35"/>
    <n v="0"/>
    <n v="3"/>
    <m/>
    <n v="0"/>
    <m/>
    <m/>
    <m/>
    <m/>
    <m/>
    <m/>
    <m/>
  </r>
  <r>
    <x v="14"/>
    <x v="35"/>
    <n v="3"/>
    <n v="53"/>
    <m/>
    <n v="2"/>
    <m/>
    <m/>
    <m/>
    <m/>
    <m/>
    <m/>
    <m/>
  </r>
  <r>
    <x v="15"/>
    <x v="35"/>
    <n v="2"/>
    <n v="21"/>
    <m/>
    <n v="2"/>
    <m/>
    <m/>
    <m/>
    <m/>
    <m/>
    <m/>
    <m/>
  </r>
  <r>
    <x v="16"/>
    <x v="35"/>
    <n v="0"/>
    <n v="3"/>
    <m/>
    <n v="0"/>
    <m/>
    <m/>
    <m/>
    <m/>
    <m/>
    <m/>
    <m/>
  </r>
  <r>
    <x v="17"/>
    <x v="35"/>
    <n v="0"/>
    <n v="1"/>
    <m/>
    <n v="0"/>
    <m/>
    <m/>
    <m/>
    <m/>
    <m/>
    <m/>
    <m/>
  </r>
  <r>
    <x v="18"/>
    <x v="35"/>
    <n v="0"/>
    <n v="11"/>
    <m/>
    <n v="0"/>
    <m/>
    <m/>
    <m/>
    <m/>
    <m/>
    <m/>
    <m/>
  </r>
  <r>
    <x v="19"/>
    <x v="35"/>
    <n v="8"/>
    <n v="31"/>
    <m/>
    <n v="0"/>
    <m/>
    <m/>
    <m/>
    <m/>
    <m/>
    <m/>
    <m/>
  </r>
  <r>
    <x v="20"/>
    <x v="35"/>
    <n v="3"/>
    <n v="187"/>
    <m/>
    <n v="1"/>
    <m/>
    <m/>
    <m/>
    <m/>
    <m/>
    <m/>
    <m/>
  </r>
  <r>
    <x v="21"/>
    <x v="35"/>
    <n v="-1"/>
    <n v="9"/>
    <m/>
    <n v="0"/>
    <m/>
    <m/>
    <m/>
    <m/>
    <m/>
    <m/>
    <m/>
  </r>
  <r>
    <x v="22"/>
    <x v="35"/>
    <n v="2"/>
    <n v="79"/>
    <m/>
    <n v="0"/>
    <m/>
    <m/>
    <m/>
    <m/>
    <m/>
    <m/>
    <m/>
  </r>
  <r>
    <x v="23"/>
    <x v="35"/>
    <n v="1"/>
    <n v="28"/>
    <m/>
    <n v="1"/>
    <m/>
    <m/>
    <m/>
    <m/>
    <m/>
    <m/>
    <m/>
  </r>
  <r>
    <x v="0"/>
    <x v="36"/>
    <n v="17"/>
    <n v="460"/>
    <n v="1"/>
    <n v="24"/>
    <m/>
    <m/>
    <m/>
    <m/>
    <m/>
    <m/>
    <m/>
  </r>
  <r>
    <x v="1"/>
    <x v="36"/>
    <n v="0"/>
    <n v="0"/>
    <m/>
    <n v="0"/>
    <m/>
    <m/>
    <m/>
    <m/>
    <m/>
    <m/>
    <m/>
  </r>
  <r>
    <x v="2"/>
    <x v="36"/>
    <n v="15"/>
    <n v="138"/>
    <m/>
    <n v="6"/>
    <m/>
    <m/>
    <m/>
    <m/>
    <m/>
    <m/>
    <m/>
  </r>
  <r>
    <x v="3"/>
    <x v="36"/>
    <n v="0"/>
    <n v="0"/>
    <m/>
    <n v="1"/>
    <m/>
    <m/>
    <m/>
    <m/>
    <m/>
    <m/>
    <m/>
  </r>
  <r>
    <x v="4"/>
    <x v="36"/>
    <n v="18"/>
    <n v="498"/>
    <n v="2"/>
    <n v="14"/>
    <m/>
    <m/>
    <m/>
    <m/>
    <m/>
    <m/>
    <m/>
  </r>
  <r>
    <x v="5"/>
    <x v="36"/>
    <n v="1"/>
    <n v="151"/>
    <m/>
    <n v="2"/>
    <m/>
    <m/>
    <m/>
    <m/>
    <m/>
    <m/>
    <m/>
  </r>
  <r>
    <x v="6"/>
    <x v="36"/>
    <n v="0"/>
    <n v="24"/>
    <m/>
    <n v="0"/>
    <m/>
    <m/>
    <m/>
    <m/>
    <m/>
    <m/>
    <m/>
  </r>
  <r>
    <x v="7"/>
    <x v="36"/>
    <n v="0"/>
    <n v="20"/>
    <m/>
    <n v="0"/>
    <m/>
    <m/>
    <m/>
    <m/>
    <m/>
    <m/>
    <m/>
  </r>
  <r>
    <x v="8"/>
    <x v="36"/>
    <n v="0"/>
    <n v="0"/>
    <m/>
    <n v="0"/>
    <m/>
    <m/>
    <m/>
    <m/>
    <m/>
    <m/>
    <m/>
  </r>
  <r>
    <x v="9"/>
    <x v="36"/>
    <n v="0"/>
    <n v="5"/>
    <m/>
    <n v="0"/>
    <m/>
    <m/>
    <m/>
    <m/>
    <m/>
    <m/>
    <m/>
  </r>
  <r>
    <x v="10"/>
    <x v="36"/>
    <n v="1"/>
    <n v="4"/>
    <m/>
    <n v="0"/>
    <m/>
    <m/>
    <m/>
    <m/>
    <m/>
    <m/>
    <m/>
  </r>
  <r>
    <x v="11"/>
    <x v="36"/>
    <n v="0"/>
    <n v="9"/>
    <m/>
    <n v="1"/>
    <m/>
    <m/>
    <m/>
    <m/>
    <m/>
    <m/>
    <m/>
  </r>
  <r>
    <x v="12"/>
    <x v="36"/>
    <n v="6"/>
    <n v="38"/>
    <m/>
    <n v="4"/>
    <m/>
    <m/>
    <m/>
    <m/>
    <m/>
    <m/>
    <m/>
  </r>
  <r>
    <x v="13"/>
    <x v="36"/>
    <n v="0"/>
    <n v="3"/>
    <m/>
    <n v="0"/>
    <m/>
    <m/>
    <m/>
    <m/>
    <m/>
    <m/>
    <m/>
  </r>
  <r>
    <x v="14"/>
    <x v="36"/>
    <n v="17"/>
    <n v="70"/>
    <n v="1"/>
    <n v="3"/>
    <m/>
    <m/>
    <m/>
    <m/>
    <m/>
    <m/>
    <m/>
  </r>
  <r>
    <x v="15"/>
    <x v="36"/>
    <n v="1"/>
    <n v="22"/>
    <m/>
    <n v="2"/>
    <m/>
    <m/>
    <m/>
    <m/>
    <m/>
    <m/>
    <m/>
  </r>
  <r>
    <x v="16"/>
    <x v="36"/>
    <n v="0"/>
    <n v="3"/>
    <m/>
    <n v="0"/>
    <m/>
    <m/>
    <m/>
    <m/>
    <m/>
    <m/>
    <m/>
  </r>
  <r>
    <x v="17"/>
    <x v="36"/>
    <n v="0"/>
    <n v="1"/>
    <m/>
    <n v="0"/>
    <m/>
    <m/>
    <m/>
    <m/>
    <m/>
    <m/>
    <m/>
  </r>
  <r>
    <x v="18"/>
    <x v="36"/>
    <n v="0"/>
    <n v="11"/>
    <m/>
    <n v="0"/>
    <m/>
    <m/>
    <m/>
    <m/>
    <m/>
    <m/>
    <m/>
  </r>
  <r>
    <x v="19"/>
    <x v="36"/>
    <n v="0"/>
    <n v="31"/>
    <m/>
    <n v="0"/>
    <m/>
    <m/>
    <m/>
    <m/>
    <m/>
    <m/>
    <m/>
  </r>
  <r>
    <x v="20"/>
    <x v="36"/>
    <n v="2"/>
    <n v="189"/>
    <m/>
    <n v="1"/>
    <m/>
    <m/>
    <m/>
    <m/>
    <m/>
    <m/>
    <m/>
  </r>
  <r>
    <x v="21"/>
    <x v="36"/>
    <n v="0"/>
    <n v="9"/>
    <m/>
    <n v="0"/>
    <m/>
    <m/>
    <m/>
    <m/>
    <m/>
    <m/>
    <m/>
  </r>
  <r>
    <x v="22"/>
    <x v="36"/>
    <n v="2"/>
    <n v="81"/>
    <m/>
    <n v="0"/>
    <m/>
    <m/>
    <m/>
    <m/>
    <m/>
    <m/>
    <m/>
  </r>
  <r>
    <x v="23"/>
    <x v="36"/>
    <n v="0"/>
    <n v="28"/>
    <n v="1"/>
    <n v="2"/>
    <m/>
    <m/>
    <m/>
    <m/>
    <m/>
    <m/>
    <m/>
  </r>
  <r>
    <x v="0"/>
    <x v="37"/>
    <n v="28"/>
    <n v="488"/>
    <n v="6"/>
    <n v="30"/>
    <m/>
    <m/>
    <m/>
    <m/>
    <m/>
    <m/>
    <m/>
  </r>
  <r>
    <x v="1"/>
    <x v="37"/>
    <n v="0"/>
    <n v="0"/>
    <m/>
    <n v="0"/>
    <m/>
    <m/>
    <m/>
    <m/>
    <m/>
    <m/>
    <m/>
  </r>
  <r>
    <x v="2"/>
    <x v="37"/>
    <n v="6"/>
    <n v="144"/>
    <n v="1"/>
    <n v="7"/>
    <m/>
    <m/>
    <m/>
    <m/>
    <m/>
    <m/>
    <m/>
  </r>
  <r>
    <x v="3"/>
    <x v="37"/>
    <n v="0"/>
    <n v="0"/>
    <m/>
    <n v="1"/>
    <m/>
    <m/>
    <m/>
    <m/>
    <m/>
    <m/>
    <m/>
  </r>
  <r>
    <x v="4"/>
    <x v="37"/>
    <n v="23"/>
    <n v="521"/>
    <n v="6"/>
    <n v="20"/>
    <m/>
    <m/>
    <m/>
    <m/>
    <m/>
    <m/>
    <m/>
  </r>
  <r>
    <x v="5"/>
    <x v="37"/>
    <n v="5"/>
    <n v="156"/>
    <m/>
    <n v="2"/>
    <m/>
    <m/>
    <m/>
    <m/>
    <m/>
    <m/>
    <m/>
  </r>
  <r>
    <x v="6"/>
    <x v="37"/>
    <n v="0"/>
    <n v="24"/>
    <m/>
    <n v="0"/>
    <m/>
    <m/>
    <m/>
    <m/>
    <m/>
    <m/>
    <m/>
  </r>
  <r>
    <x v="7"/>
    <x v="37"/>
    <n v="2"/>
    <n v="22"/>
    <m/>
    <n v="0"/>
    <m/>
    <m/>
    <m/>
    <m/>
    <m/>
    <m/>
    <m/>
  </r>
  <r>
    <x v="8"/>
    <x v="37"/>
    <n v="0"/>
    <n v="0"/>
    <m/>
    <n v="0"/>
    <m/>
    <m/>
    <m/>
    <m/>
    <m/>
    <m/>
    <m/>
  </r>
  <r>
    <x v="9"/>
    <x v="37"/>
    <n v="0"/>
    <n v="5"/>
    <m/>
    <n v="0"/>
    <m/>
    <m/>
    <m/>
    <m/>
    <m/>
    <m/>
    <m/>
  </r>
  <r>
    <x v="10"/>
    <x v="37"/>
    <n v="0"/>
    <n v="4"/>
    <m/>
    <n v="0"/>
    <m/>
    <m/>
    <m/>
    <m/>
    <m/>
    <m/>
    <m/>
  </r>
  <r>
    <x v="11"/>
    <x v="37"/>
    <n v="5"/>
    <n v="14"/>
    <m/>
    <n v="1"/>
    <m/>
    <m/>
    <m/>
    <m/>
    <m/>
    <m/>
    <m/>
  </r>
  <r>
    <x v="12"/>
    <x v="37"/>
    <n v="2"/>
    <n v="40"/>
    <m/>
    <n v="4"/>
    <m/>
    <m/>
    <m/>
    <m/>
    <m/>
    <m/>
    <m/>
  </r>
  <r>
    <x v="13"/>
    <x v="37"/>
    <n v="0"/>
    <n v="3"/>
    <m/>
    <n v="0"/>
    <m/>
    <m/>
    <m/>
    <m/>
    <m/>
    <m/>
    <m/>
  </r>
  <r>
    <x v="14"/>
    <x v="37"/>
    <n v="7"/>
    <n v="77"/>
    <m/>
    <n v="3"/>
    <m/>
    <m/>
    <m/>
    <m/>
    <m/>
    <m/>
    <m/>
  </r>
  <r>
    <x v="15"/>
    <x v="37"/>
    <n v="13"/>
    <n v="35"/>
    <m/>
    <n v="2"/>
    <m/>
    <m/>
    <m/>
    <m/>
    <m/>
    <m/>
    <m/>
  </r>
  <r>
    <x v="16"/>
    <x v="37"/>
    <n v="0"/>
    <n v="3"/>
    <m/>
    <n v="0"/>
    <m/>
    <m/>
    <m/>
    <m/>
    <m/>
    <m/>
    <m/>
  </r>
  <r>
    <x v="17"/>
    <x v="37"/>
    <n v="0"/>
    <n v="1"/>
    <m/>
    <n v="0"/>
    <m/>
    <m/>
    <m/>
    <m/>
    <m/>
    <m/>
    <m/>
  </r>
  <r>
    <x v="18"/>
    <x v="37"/>
    <n v="0"/>
    <n v="11"/>
    <m/>
    <n v="0"/>
    <m/>
    <m/>
    <m/>
    <m/>
    <m/>
    <m/>
    <m/>
  </r>
  <r>
    <x v="19"/>
    <x v="37"/>
    <n v="0"/>
    <n v="31"/>
    <m/>
    <n v="0"/>
    <m/>
    <m/>
    <m/>
    <m/>
    <m/>
    <m/>
    <m/>
  </r>
  <r>
    <x v="20"/>
    <x v="37"/>
    <n v="7"/>
    <n v="196"/>
    <n v="1"/>
    <n v="2"/>
    <m/>
    <m/>
    <m/>
    <m/>
    <m/>
    <m/>
    <m/>
  </r>
  <r>
    <x v="21"/>
    <x v="37"/>
    <n v="0"/>
    <n v="9"/>
    <m/>
    <n v="0"/>
    <m/>
    <m/>
    <m/>
    <m/>
    <m/>
    <m/>
    <m/>
  </r>
  <r>
    <x v="22"/>
    <x v="37"/>
    <n v="0"/>
    <n v="81"/>
    <m/>
    <n v="0"/>
    <m/>
    <m/>
    <m/>
    <m/>
    <m/>
    <m/>
    <m/>
  </r>
  <r>
    <x v="23"/>
    <x v="37"/>
    <n v="1"/>
    <n v="29"/>
    <m/>
    <n v="2"/>
    <m/>
    <m/>
    <m/>
    <m/>
    <m/>
    <m/>
    <m/>
  </r>
  <r>
    <x v="0"/>
    <x v="38"/>
    <n v="19"/>
    <n v="507"/>
    <n v="1"/>
    <n v="31"/>
    <m/>
    <m/>
    <m/>
    <m/>
    <m/>
    <m/>
    <m/>
  </r>
  <r>
    <x v="1"/>
    <x v="38"/>
    <n v="0"/>
    <n v="0"/>
    <m/>
    <n v="0"/>
    <m/>
    <m/>
    <m/>
    <m/>
    <m/>
    <m/>
    <m/>
  </r>
  <r>
    <x v="2"/>
    <x v="38"/>
    <n v="5"/>
    <n v="149"/>
    <m/>
    <n v="7"/>
    <m/>
    <m/>
    <m/>
    <m/>
    <m/>
    <m/>
    <m/>
  </r>
  <r>
    <x v="3"/>
    <x v="38"/>
    <n v="0"/>
    <n v="0"/>
    <m/>
    <n v="1"/>
    <m/>
    <m/>
    <m/>
    <m/>
    <m/>
    <m/>
    <m/>
  </r>
  <r>
    <x v="4"/>
    <x v="38"/>
    <n v="11"/>
    <n v="532"/>
    <n v="1"/>
    <n v="21"/>
    <m/>
    <m/>
    <m/>
    <m/>
    <m/>
    <m/>
    <m/>
  </r>
  <r>
    <x v="5"/>
    <x v="38"/>
    <n v="13"/>
    <n v="169"/>
    <m/>
    <n v="2"/>
    <m/>
    <m/>
    <m/>
    <m/>
    <m/>
    <m/>
    <m/>
  </r>
  <r>
    <x v="6"/>
    <x v="38"/>
    <n v="0"/>
    <n v="24"/>
    <m/>
    <n v="0"/>
    <m/>
    <m/>
    <m/>
    <m/>
    <m/>
    <m/>
    <m/>
  </r>
  <r>
    <x v="7"/>
    <x v="38"/>
    <n v="0"/>
    <n v="22"/>
    <m/>
    <n v="0"/>
    <m/>
    <m/>
    <m/>
    <m/>
    <m/>
    <m/>
    <m/>
  </r>
  <r>
    <x v="8"/>
    <x v="38"/>
    <n v="0"/>
    <n v="0"/>
    <m/>
    <n v="0"/>
    <m/>
    <m/>
    <m/>
    <m/>
    <m/>
    <m/>
    <m/>
  </r>
  <r>
    <x v="9"/>
    <x v="38"/>
    <n v="0"/>
    <n v="5"/>
    <m/>
    <n v="0"/>
    <m/>
    <m/>
    <m/>
    <m/>
    <m/>
    <m/>
    <m/>
  </r>
  <r>
    <x v="10"/>
    <x v="38"/>
    <n v="1"/>
    <n v="5"/>
    <m/>
    <n v="0"/>
    <m/>
    <m/>
    <m/>
    <m/>
    <m/>
    <m/>
    <m/>
  </r>
  <r>
    <x v="11"/>
    <x v="38"/>
    <n v="0"/>
    <n v="14"/>
    <m/>
    <n v="1"/>
    <m/>
    <m/>
    <m/>
    <m/>
    <m/>
    <m/>
    <m/>
  </r>
  <r>
    <x v="12"/>
    <x v="38"/>
    <n v="9"/>
    <n v="49"/>
    <m/>
    <n v="4"/>
    <m/>
    <m/>
    <m/>
    <m/>
    <m/>
    <m/>
    <m/>
  </r>
  <r>
    <x v="13"/>
    <x v="38"/>
    <n v="0"/>
    <n v="3"/>
    <m/>
    <n v="0"/>
    <m/>
    <m/>
    <m/>
    <m/>
    <m/>
    <m/>
    <m/>
  </r>
  <r>
    <x v="14"/>
    <x v="38"/>
    <n v="7"/>
    <n v="84"/>
    <m/>
    <n v="3"/>
    <m/>
    <m/>
    <m/>
    <m/>
    <m/>
    <m/>
    <m/>
  </r>
  <r>
    <x v="15"/>
    <x v="38"/>
    <n v="7"/>
    <n v="42"/>
    <n v="1"/>
    <n v="3"/>
    <m/>
    <m/>
    <m/>
    <m/>
    <m/>
    <m/>
    <m/>
  </r>
  <r>
    <x v="16"/>
    <x v="38"/>
    <n v="0"/>
    <n v="3"/>
    <m/>
    <n v="0"/>
    <m/>
    <m/>
    <m/>
    <m/>
    <m/>
    <m/>
    <m/>
  </r>
  <r>
    <x v="17"/>
    <x v="38"/>
    <n v="0"/>
    <n v="1"/>
    <m/>
    <n v="0"/>
    <m/>
    <m/>
    <m/>
    <m/>
    <m/>
    <m/>
    <m/>
  </r>
  <r>
    <x v="18"/>
    <x v="38"/>
    <n v="0"/>
    <n v="11"/>
    <m/>
    <n v="0"/>
    <m/>
    <m/>
    <m/>
    <m/>
    <m/>
    <m/>
    <m/>
  </r>
  <r>
    <x v="19"/>
    <x v="38"/>
    <n v="6"/>
    <n v="37"/>
    <m/>
    <n v="0"/>
    <m/>
    <m/>
    <m/>
    <m/>
    <m/>
    <m/>
    <m/>
  </r>
  <r>
    <x v="20"/>
    <x v="38"/>
    <n v="1"/>
    <n v="197"/>
    <m/>
    <n v="2"/>
    <m/>
    <m/>
    <m/>
    <m/>
    <m/>
    <m/>
    <m/>
  </r>
  <r>
    <x v="21"/>
    <x v="38"/>
    <n v="0"/>
    <n v="9"/>
    <m/>
    <n v="0"/>
    <m/>
    <m/>
    <m/>
    <m/>
    <m/>
    <m/>
    <m/>
  </r>
  <r>
    <x v="22"/>
    <x v="38"/>
    <n v="2"/>
    <n v="83"/>
    <m/>
    <n v="0"/>
    <m/>
    <m/>
    <m/>
    <m/>
    <m/>
    <m/>
    <m/>
  </r>
  <r>
    <x v="23"/>
    <x v="38"/>
    <n v="0"/>
    <n v="29"/>
    <m/>
    <n v="2"/>
    <m/>
    <m/>
    <m/>
    <m/>
    <m/>
    <m/>
    <m/>
  </r>
  <r>
    <x v="0"/>
    <x v="39"/>
    <n v="37"/>
    <n v="544"/>
    <n v="4"/>
    <n v="35"/>
    <m/>
    <m/>
    <m/>
    <m/>
    <m/>
    <m/>
    <m/>
  </r>
  <r>
    <x v="1"/>
    <x v="39"/>
    <n v="0"/>
    <n v="0"/>
    <m/>
    <n v="0"/>
    <m/>
    <m/>
    <m/>
    <m/>
    <m/>
    <m/>
    <m/>
  </r>
  <r>
    <x v="2"/>
    <x v="39"/>
    <n v="0"/>
    <n v="149"/>
    <m/>
    <n v="7"/>
    <m/>
    <m/>
    <m/>
    <m/>
    <m/>
    <m/>
    <m/>
  </r>
  <r>
    <x v="3"/>
    <x v="39"/>
    <n v="0"/>
    <n v="0"/>
    <m/>
    <n v="1"/>
    <m/>
    <m/>
    <m/>
    <m/>
    <m/>
    <m/>
    <m/>
  </r>
  <r>
    <x v="4"/>
    <x v="39"/>
    <n v="46"/>
    <n v="578"/>
    <n v="3"/>
    <n v="24"/>
    <m/>
    <m/>
    <m/>
    <m/>
    <m/>
    <m/>
    <m/>
  </r>
  <r>
    <x v="5"/>
    <x v="39"/>
    <n v="32"/>
    <n v="201"/>
    <m/>
    <n v="2"/>
    <m/>
    <m/>
    <m/>
    <m/>
    <m/>
    <m/>
    <m/>
  </r>
  <r>
    <x v="6"/>
    <x v="39"/>
    <n v="0"/>
    <n v="24"/>
    <m/>
    <n v="0"/>
    <m/>
    <m/>
    <m/>
    <m/>
    <m/>
    <m/>
    <m/>
  </r>
  <r>
    <x v="7"/>
    <x v="39"/>
    <n v="0"/>
    <n v="22"/>
    <m/>
    <n v="0"/>
    <m/>
    <m/>
    <m/>
    <m/>
    <m/>
    <m/>
    <m/>
  </r>
  <r>
    <x v="8"/>
    <x v="39"/>
    <n v="0"/>
    <n v="0"/>
    <m/>
    <n v="0"/>
    <m/>
    <m/>
    <m/>
    <m/>
    <m/>
    <m/>
    <m/>
  </r>
  <r>
    <x v="9"/>
    <x v="39"/>
    <n v="0"/>
    <n v="5"/>
    <m/>
    <n v="0"/>
    <m/>
    <m/>
    <m/>
    <m/>
    <m/>
    <m/>
    <m/>
  </r>
  <r>
    <x v="10"/>
    <x v="39"/>
    <n v="0"/>
    <n v="5"/>
    <m/>
    <n v="0"/>
    <m/>
    <m/>
    <m/>
    <m/>
    <m/>
    <m/>
    <m/>
  </r>
  <r>
    <x v="11"/>
    <x v="39"/>
    <n v="4"/>
    <n v="18"/>
    <m/>
    <n v="1"/>
    <m/>
    <m/>
    <m/>
    <m/>
    <m/>
    <m/>
    <m/>
  </r>
  <r>
    <x v="12"/>
    <x v="39"/>
    <n v="5"/>
    <n v="54"/>
    <m/>
    <n v="4"/>
    <m/>
    <m/>
    <m/>
    <m/>
    <m/>
    <m/>
    <m/>
  </r>
  <r>
    <x v="13"/>
    <x v="39"/>
    <n v="0"/>
    <n v="3"/>
    <m/>
    <n v="0"/>
    <m/>
    <m/>
    <m/>
    <m/>
    <m/>
    <m/>
    <m/>
  </r>
  <r>
    <x v="14"/>
    <x v="39"/>
    <n v="1"/>
    <n v="85"/>
    <m/>
    <n v="3"/>
    <m/>
    <m/>
    <m/>
    <m/>
    <m/>
    <m/>
    <m/>
  </r>
  <r>
    <x v="15"/>
    <x v="39"/>
    <n v="23"/>
    <n v="65"/>
    <m/>
    <n v="3"/>
    <m/>
    <m/>
    <m/>
    <m/>
    <m/>
    <m/>
    <m/>
  </r>
  <r>
    <x v="16"/>
    <x v="39"/>
    <n v="0"/>
    <n v="3"/>
    <m/>
    <n v="0"/>
    <m/>
    <m/>
    <m/>
    <m/>
    <m/>
    <m/>
    <m/>
  </r>
  <r>
    <x v="17"/>
    <x v="39"/>
    <n v="1"/>
    <n v="2"/>
    <m/>
    <n v="0"/>
    <m/>
    <m/>
    <m/>
    <m/>
    <m/>
    <m/>
    <m/>
  </r>
  <r>
    <x v="18"/>
    <x v="39"/>
    <n v="0"/>
    <n v="11"/>
    <m/>
    <n v="0"/>
    <m/>
    <m/>
    <m/>
    <m/>
    <m/>
    <m/>
    <m/>
  </r>
  <r>
    <x v="19"/>
    <x v="39"/>
    <n v="3"/>
    <n v="40"/>
    <m/>
    <n v="0"/>
    <m/>
    <m/>
    <m/>
    <m/>
    <m/>
    <m/>
    <m/>
  </r>
  <r>
    <x v="20"/>
    <x v="39"/>
    <n v="3"/>
    <n v="200"/>
    <m/>
    <n v="2"/>
    <m/>
    <m/>
    <m/>
    <m/>
    <m/>
    <m/>
    <m/>
  </r>
  <r>
    <x v="21"/>
    <x v="39"/>
    <n v="3"/>
    <n v="12"/>
    <m/>
    <n v="0"/>
    <m/>
    <m/>
    <m/>
    <m/>
    <m/>
    <m/>
    <m/>
  </r>
  <r>
    <x v="22"/>
    <x v="39"/>
    <n v="8"/>
    <n v="91"/>
    <m/>
    <n v="0"/>
    <m/>
    <m/>
    <m/>
    <m/>
    <m/>
    <m/>
    <m/>
  </r>
  <r>
    <x v="23"/>
    <x v="39"/>
    <n v="1"/>
    <n v="30"/>
    <m/>
    <n v="2"/>
    <m/>
    <m/>
    <m/>
    <m/>
    <m/>
    <m/>
    <m/>
  </r>
  <r>
    <x v="0"/>
    <x v="40"/>
    <n v="28"/>
    <n v="572"/>
    <n v="4"/>
    <n v="39"/>
    <m/>
    <m/>
    <m/>
    <m/>
    <m/>
    <m/>
    <m/>
  </r>
  <r>
    <x v="1"/>
    <x v="40"/>
    <n v="0"/>
    <n v="0"/>
    <m/>
    <n v="0"/>
    <m/>
    <m/>
    <m/>
    <m/>
    <m/>
    <m/>
    <m/>
  </r>
  <r>
    <x v="2"/>
    <x v="40"/>
    <n v="1"/>
    <n v="150"/>
    <m/>
    <n v="7"/>
    <m/>
    <m/>
    <m/>
    <m/>
    <m/>
    <m/>
    <m/>
  </r>
  <r>
    <x v="3"/>
    <x v="40"/>
    <n v="0"/>
    <n v="0"/>
    <m/>
    <n v="1"/>
    <m/>
    <m/>
    <m/>
    <m/>
    <m/>
    <m/>
    <m/>
  </r>
  <r>
    <x v="4"/>
    <x v="40"/>
    <n v="8"/>
    <n v="586"/>
    <n v="1"/>
    <n v="25"/>
    <m/>
    <m/>
    <m/>
    <m/>
    <m/>
    <m/>
    <m/>
  </r>
  <r>
    <x v="5"/>
    <x v="40"/>
    <n v="5"/>
    <n v="206"/>
    <n v="1"/>
    <n v="3"/>
    <m/>
    <m/>
    <m/>
    <m/>
    <m/>
    <m/>
    <m/>
  </r>
  <r>
    <x v="6"/>
    <x v="40"/>
    <n v="0"/>
    <n v="24"/>
    <m/>
    <n v="0"/>
    <m/>
    <m/>
    <m/>
    <m/>
    <m/>
    <m/>
    <m/>
  </r>
  <r>
    <x v="7"/>
    <x v="40"/>
    <n v="-1"/>
    <n v="21"/>
    <m/>
    <n v="0"/>
    <m/>
    <m/>
    <m/>
    <m/>
    <m/>
    <m/>
    <m/>
  </r>
  <r>
    <x v="8"/>
    <x v="40"/>
    <n v="0"/>
    <n v="0"/>
    <m/>
    <n v="0"/>
    <m/>
    <m/>
    <m/>
    <m/>
    <m/>
    <m/>
    <m/>
  </r>
  <r>
    <x v="9"/>
    <x v="40"/>
    <n v="0"/>
    <n v="5"/>
    <m/>
    <n v="0"/>
    <m/>
    <m/>
    <m/>
    <m/>
    <m/>
    <m/>
    <m/>
  </r>
  <r>
    <x v="10"/>
    <x v="40"/>
    <n v="0"/>
    <n v="5"/>
    <m/>
    <n v="0"/>
    <m/>
    <m/>
    <m/>
    <m/>
    <m/>
    <m/>
    <m/>
  </r>
  <r>
    <x v="11"/>
    <x v="40"/>
    <n v="1"/>
    <n v="19"/>
    <m/>
    <n v="1"/>
    <m/>
    <m/>
    <m/>
    <m/>
    <m/>
    <m/>
    <m/>
  </r>
  <r>
    <x v="12"/>
    <x v="40"/>
    <n v="3"/>
    <n v="57"/>
    <m/>
    <n v="4"/>
    <m/>
    <m/>
    <m/>
    <m/>
    <m/>
    <m/>
    <m/>
  </r>
  <r>
    <x v="13"/>
    <x v="40"/>
    <n v="0"/>
    <n v="3"/>
    <m/>
    <n v="0"/>
    <m/>
    <m/>
    <m/>
    <m/>
    <m/>
    <m/>
    <m/>
  </r>
  <r>
    <x v="14"/>
    <x v="40"/>
    <n v="1"/>
    <n v="86"/>
    <m/>
    <n v="3"/>
    <m/>
    <m/>
    <m/>
    <m/>
    <m/>
    <m/>
    <m/>
  </r>
  <r>
    <x v="15"/>
    <x v="40"/>
    <n v="13"/>
    <n v="78"/>
    <m/>
    <n v="3"/>
    <m/>
    <m/>
    <m/>
    <m/>
    <m/>
    <m/>
    <m/>
  </r>
  <r>
    <x v="16"/>
    <x v="40"/>
    <n v="0"/>
    <n v="3"/>
    <m/>
    <n v="0"/>
    <m/>
    <m/>
    <m/>
    <m/>
    <m/>
    <m/>
    <m/>
  </r>
  <r>
    <x v="17"/>
    <x v="40"/>
    <n v="0"/>
    <n v="2"/>
    <m/>
    <n v="0"/>
    <m/>
    <m/>
    <m/>
    <m/>
    <m/>
    <m/>
    <m/>
  </r>
  <r>
    <x v="18"/>
    <x v="40"/>
    <n v="0"/>
    <n v="11"/>
    <m/>
    <n v="0"/>
    <m/>
    <m/>
    <m/>
    <m/>
    <m/>
    <m/>
    <m/>
  </r>
  <r>
    <x v="19"/>
    <x v="40"/>
    <n v="0"/>
    <n v="40"/>
    <m/>
    <n v="0"/>
    <m/>
    <m/>
    <m/>
    <m/>
    <m/>
    <m/>
    <m/>
  </r>
  <r>
    <x v="20"/>
    <x v="40"/>
    <n v="3"/>
    <n v="203"/>
    <m/>
    <n v="2"/>
    <m/>
    <m/>
    <m/>
    <m/>
    <m/>
    <m/>
    <m/>
  </r>
  <r>
    <x v="21"/>
    <x v="40"/>
    <n v="0"/>
    <n v="12"/>
    <m/>
    <n v="0"/>
    <m/>
    <m/>
    <m/>
    <m/>
    <m/>
    <m/>
    <m/>
  </r>
  <r>
    <x v="22"/>
    <x v="40"/>
    <n v="4"/>
    <n v="95"/>
    <m/>
    <n v="0"/>
    <m/>
    <m/>
    <m/>
    <m/>
    <m/>
    <m/>
    <m/>
  </r>
  <r>
    <x v="23"/>
    <x v="40"/>
    <n v="0"/>
    <n v="30"/>
    <m/>
    <n v="2"/>
    <m/>
    <m/>
    <m/>
    <m/>
    <m/>
    <m/>
    <m/>
  </r>
  <r>
    <x v="0"/>
    <x v="41"/>
    <n v="29"/>
    <n v="601"/>
    <n v="1"/>
    <n v="40"/>
    <m/>
    <m/>
    <m/>
    <m/>
    <m/>
    <m/>
    <m/>
  </r>
  <r>
    <x v="1"/>
    <x v="41"/>
    <n v="0"/>
    <n v="0"/>
    <m/>
    <n v="0"/>
    <m/>
    <m/>
    <m/>
    <m/>
    <m/>
    <m/>
    <m/>
  </r>
  <r>
    <x v="2"/>
    <x v="41"/>
    <n v="3"/>
    <n v="153"/>
    <m/>
    <n v="7"/>
    <m/>
    <m/>
    <m/>
    <m/>
    <m/>
    <m/>
    <m/>
  </r>
  <r>
    <x v="3"/>
    <x v="41"/>
    <n v="0"/>
    <n v="0"/>
    <m/>
    <n v="1"/>
    <m/>
    <m/>
    <m/>
    <m/>
    <m/>
    <m/>
    <m/>
  </r>
  <r>
    <x v="4"/>
    <x v="41"/>
    <n v="10"/>
    <n v="596"/>
    <n v="1"/>
    <n v="26"/>
    <m/>
    <m/>
    <m/>
    <m/>
    <m/>
    <m/>
    <m/>
  </r>
  <r>
    <x v="5"/>
    <x v="41"/>
    <n v="4"/>
    <n v="210"/>
    <n v="1"/>
    <n v="4"/>
    <m/>
    <m/>
    <m/>
    <m/>
    <m/>
    <m/>
    <m/>
  </r>
  <r>
    <x v="6"/>
    <x v="41"/>
    <n v="7"/>
    <n v="31"/>
    <m/>
    <n v="0"/>
    <m/>
    <m/>
    <m/>
    <m/>
    <m/>
    <m/>
    <m/>
  </r>
  <r>
    <x v="7"/>
    <x v="41"/>
    <n v="0"/>
    <n v="21"/>
    <m/>
    <n v="0"/>
    <m/>
    <m/>
    <m/>
    <m/>
    <m/>
    <m/>
    <m/>
  </r>
  <r>
    <x v="8"/>
    <x v="41"/>
    <n v="0"/>
    <n v="0"/>
    <m/>
    <n v="0"/>
    <m/>
    <m/>
    <m/>
    <m/>
    <m/>
    <m/>
    <m/>
  </r>
  <r>
    <x v="9"/>
    <x v="41"/>
    <n v="0"/>
    <n v="5"/>
    <m/>
    <n v="0"/>
    <m/>
    <m/>
    <m/>
    <m/>
    <m/>
    <m/>
    <m/>
  </r>
  <r>
    <x v="10"/>
    <x v="41"/>
    <n v="0"/>
    <n v="5"/>
    <m/>
    <n v="0"/>
    <m/>
    <m/>
    <m/>
    <m/>
    <m/>
    <m/>
    <m/>
  </r>
  <r>
    <x v="11"/>
    <x v="41"/>
    <n v="3"/>
    <n v="22"/>
    <m/>
    <n v="1"/>
    <m/>
    <m/>
    <m/>
    <m/>
    <m/>
    <m/>
    <m/>
  </r>
  <r>
    <x v="12"/>
    <x v="41"/>
    <n v="2"/>
    <n v="59"/>
    <m/>
    <n v="4"/>
    <m/>
    <m/>
    <m/>
    <m/>
    <m/>
    <m/>
    <m/>
  </r>
  <r>
    <x v="13"/>
    <x v="41"/>
    <n v="0"/>
    <n v="3"/>
    <m/>
    <n v="0"/>
    <m/>
    <m/>
    <m/>
    <m/>
    <m/>
    <m/>
    <m/>
  </r>
  <r>
    <x v="14"/>
    <x v="41"/>
    <n v="2"/>
    <n v="88"/>
    <m/>
    <n v="3"/>
    <m/>
    <m/>
    <m/>
    <m/>
    <m/>
    <m/>
    <m/>
  </r>
  <r>
    <x v="15"/>
    <x v="41"/>
    <n v="3"/>
    <n v="81"/>
    <m/>
    <n v="3"/>
    <m/>
    <m/>
    <m/>
    <m/>
    <m/>
    <m/>
    <m/>
  </r>
  <r>
    <x v="16"/>
    <x v="41"/>
    <n v="0"/>
    <n v="3"/>
    <m/>
    <n v="0"/>
    <m/>
    <m/>
    <m/>
    <m/>
    <m/>
    <m/>
    <m/>
  </r>
  <r>
    <x v="17"/>
    <x v="41"/>
    <n v="0"/>
    <n v="2"/>
    <m/>
    <n v="0"/>
    <m/>
    <m/>
    <m/>
    <m/>
    <m/>
    <m/>
    <m/>
  </r>
  <r>
    <x v="18"/>
    <x v="41"/>
    <n v="0"/>
    <n v="11"/>
    <m/>
    <n v="0"/>
    <m/>
    <m/>
    <m/>
    <m/>
    <m/>
    <m/>
    <m/>
  </r>
  <r>
    <x v="19"/>
    <x v="41"/>
    <n v="0"/>
    <n v="40"/>
    <m/>
    <n v="0"/>
    <m/>
    <m/>
    <m/>
    <m/>
    <m/>
    <m/>
    <m/>
  </r>
  <r>
    <x v="20"/>
    <x v="41"/>
    <n v="2"/>
    <n v="205"/>
    <m/>
    <n v="2"/>
    <m/>
    <m/>
    <m/>
    <m/>
    <m/>
    <m/>
    <m/>
  </r>
  <r>
    <x v="21"/>
    <x v="41"/>
    <n v="0"/>
    <n v="12"/>
    <m/>
    <n v="0"/>
    <m/>
    <m/>
    <m/>
    <m/>
    <m/>
    <m/>
    <m/>
  </r>
  <r>
    <x v="22"/>
    <x v="41"/>
    <n v="4"/>
    <n v="99"/>
    <m/>
    <n v="0"/>
    <m/>
    <m/>
    <m/>
    <m/>
    <m/>
    <m/>
    <m/>
  </r>
  <r>
    <x v="23"/>
    <x v="41"/>
    <n v="0"/>
    <n v="30"/>
    <m/>
    <n v="2"/>
    <m/>
    <m/>
    <m/>
    <m/>
    <m/>
    <m/>
    <m/>
  </r>
  <r>
    <x v="0"/>
    <x v="42"/>
    <n v="66"/>
    <n v="667"/>
    <n v="2"/>
    <n v="42"/>
    <m/>
    <m/>
    <m/>
    <m/>
    <m/>
    <m/>
    <m/>
  </r>
  <r>
    <x v="1"/>
    <x v="42"/>
    <n v="0"/>
    <n v="0"/>
    <m/>
    <n v="0"/>
    <m/>
    <m/>
    <m/>
    <m/>
    <m/>
    <m/>
    <m/>
  </r>
  <r>
    <x v="2"/>
    <x v="42"/>
    <n v="31"/>
    <n v="184"/>
    <n v="1"/>
    <n v="8"/>
    <m/>
    <m/>
    <m/>
    <m/>
    <m/>
    <m/>
    <m/>
  </r>
  <r>
    <x v="3"/>
    <x v="42"/>
    <n v="0"/>
    <n v="0"/>
    <m/>
    <n v="1"/>
    <m/>
    <m/>
    <m/>
    <m/>
    <m/>
    <m/>
    <m/>
  </r>
  <r>
    <x v="4"/>
    <x v="42"/>
    <n v="22"/>
    <n v="618"/>
    <n v="2"/>
    <n v="28"/>
    <m/>
    <m/>
    <m/>
    <m/>
    <m/>
    <m/>
    <m/>
  </r>
  <r>
    <x v="5"/>
    <x v="42"/>
    <n v="12"/>
    <n v="222"/>
    <n v="1"/>
    <n v="5"/>
    <m/>
    <m/>
    <m/>
    <m/>
    <m/>
    <m/>
    <m/>
  </r>
  <r>
    <x v="6"/>
    <x v="42"/>
    <n v="1"/>
    <n v="32"/>
    <m/>
    <n v="0"/>
    <m/>
    <m/>
    <m/>
    <m/>
    <m/>
    <m/>
    <m/>
  </r>
  <r>
    <x v="7"/>
    <x v="42"/>
    <n v="0"/>
    <n v="21"/>
    <m/>
    <n v="0"/>
    <m/>
    <m/>
    <m/>
    <m/>
    <m/>
    <m/>
    <m/>
  </r>
  <r>
    <x v="8"/>
    <x v="42"/>
    <n v="0"/>
    <n v="0"/>
    <m/>
    <n v="0"/>
    <m/>
    <m/>
    <m/>
    <m/>
    <m/>
    <m/>
    <m/>
  </r>
  <r>
    <x v="9"/>
    <x v="42"/>
    <n v="0"/>
    <n v="5"/>
    <m/>
    <n v="0"/>
    <m/>
    <m/>
    <m/>
    <m/>
    <m/>
    <m/>
    <m/>
  </r>
  <r>
    <x v="10"/>
    <x v="42"/>
    <n v="0"/>
    <n v="5"/>
    <m/>
    <n v="0"/>
    <m/>
    <m/>
    <m/>
    <m/>
    <m/>
    <m/>
    <m/>
  </r>
  <r>
    <x v="11"/>
    <x v="42"/>
    <n v="6"/>
    <n v="28"/>
    <m/>
    <n v="1"/>
    <m/>
    <m/>
    <m/>
    <m/>
    <m/>
    <m/>
    <m/>
  </r>
  <r>
    <x v="12"/>
    <x v="42"/>
    <n v="3"/>
    <n v="62"/>
    <m/>
    <n v="4"/>
    <m/>
    <m/>
    <m/>
    <m/>
    <m/>
    <m/>
    <m/>
  </r>
  <r>
    <x v="13"/>
    <x v="42"/>
    <n v="0"/>
    <n v="3"/>
    <m/>
    <n v="0"/>
    <m/>
    <m/>
    <m/>
    <m/>
    <m/>
    <m/>
    <m/>
  </r>
  <r>
    <x v="14"/>
    <x v="42"/>
    <n v="2"/>
    <n v="90"/>
    <m/>
    <n v="3"/>
    <m/>
    <m/>
    <m/>
    <m/>
    <m/>
    <m/>
    <m/>
  </r>
  <r>
    <x v="15"/>
    <x v="42"/>
    <n v="13"/>
    <n v="94"/>
    <n v="1"/>
    <n v="4"/>
    <m/>
    <m/>
    <m/>
    <m/>
    <m/>
    <m/>
    <m/>
  </r>
  <r>
    <x v="16"/>
    <x v="42"/>
    <n v="0"/>
    <n v="3"/>
    <m/>
    <n v="0"/>
    <m/>
    <m/>
    <m/>
    <m/>
    <m/>
    <m/>
    <m/>
  </r>
  <r>
    <x v="17"/>
    <x v="42"/>
    <n v="0"/>
    <n v="2"/>
    <m/>
    <n v="0"/>
    <m/>
    <m/>
    <m/>
    <m/>
    <m/>
    <m/>
    <m/>
  </r>
  <r>
    <x v="18"/>
    <x v="42"/>
    <n v="0"/>
    <n v="11"/>
    <m/>
    <n v="0"/>
    <m/>
    <m/>
    <m/>
    <m/>
    <m/>
    <m/>
    <m/>
  </r>
  <r>
    <x v="19"/>
    <x v="42"/>
    <n v="0"/>
    <n v="40"/>
    <m/>
    <n v="0"/>
    <m/>
    <m/>
    <m/>
    <m/>
    <m/>
    <m/>
    <m/>
  </r>
  <r>
    <x v="20"/>
    <x v="42"/>
    <n v="2"/>
    <n v="207"/>
    <m/>
    <n v="2"/>
    <m/>
    <m/>
    <m/>
    <m/>
    <m/>
    <m/>
    <m/>
  </r>
  <r>
    <x v="21"/>
    <x v="42"/>
    <n v="0"/>
    <n v="12"/>
    <m/>
    <n v="0"/>
    <m/>
    <m/>
    <m/>
    <m/>
    <m/>
    <m/>
    <m/>
  </r>
  <r>
    <x v="22"/>
    <x v="42"/>
    <n v="8"/>
    <n v="107"/>
    <m/>
    <n v="0"/>
    <m/>
    <m/>
    <m/>
    <m/>
    <m/>
    <m/>
    <m/>
  </r>
  <r>
    <x v="23"/>
    <x v="42"/>
    <n v="0"/>
    <n v="30"/>
    <m/>
    <n v="2"/>
    <m/>
    <m/>
    <m/>
    <m/>
    <m/>
    <m/>
    <m/>
  </r>
  <r>
    <x v="0"/>
    <x v="43"/>
    <n v="62"/>
    <n v="729"/>
    <n v="1"/>
    <n v="43"/>
    <m/>
    <m/>
    <m/>
    <m/>
    <m/>
    <m/>
    <m/>
  </r>
  <r>
    <x v="1"/>
    <x v="43"/>
    <n v="0"/>
    <n v="0"/>
    <m/>
    <n v="0"/>
    <m/>
    <m/>
    <m/>
    <m/>
    <m/>
    <m/>
    <m/>
  </r>
  <r>
    <x v="2"/>
    <x v="43"/>
    <n v="7"/>
    <n v="191"/>
    <m/>
    <n v="8"/>
    <m/>
    <m/>
    <m/>
    <m/>
    <m/>
    <m/>
    <m/>
  </r>
  <r>
    <x v="3"/>
    <x v="43"/>
    <n v="1"/>
    <n v="1"/>
    <m/>
    <n v="1"/>
    <m/>
    <m/>
    <m/>
    <m/>
    <m/>
    <m/>
    <m/>
  </r>
  <r>
    <x v="4"/>
    <x v="43"/>
    <n v="30"/>
    <n v="648"/>
    <n v="4"/>
    <n v="32"/>
    <m/>
    <m/>
    <m/>
    <m/>
    <m/>
    <m/>
    <m/>
  </r>
  <r>
    <x v="5"/>
    <x v="43"/>
    <n v="6"/>
    <n v="228"/>
    <n v="1"/>
    <n v="6"/>
    <m/>
    <m/>
    <m/>
    <m/>
    <m/>
    <m/>
    <m/>
  </r>
  <r>
    <x v="6"/>
    <x v="43"/>
    <n v="-1"/>
    <n v="31"/>
    <m/>
    <n v="0"/>
    <m/>
    <m/>
    <m/>
    <m/>
    <m/>
    <m/>
    <m/>
  </r>
  <r>
    <x v="7"/>
    <x v="43"/>
    <n v="0"/>
    <n v="21"/>
    <m/>
    <n v="0"/>
    <m/>
    <m/>
    <m/>
    <m/>
    <m/>
    <m/>
    <m/>
  </r>
  <r>
    <x v="8"/>
    <x v="43"/>
    <n v="0"/>
    <n v="0"/>
    <m/>
    <n v="0"/>
    <m/>
    <m/>
    <m/>
    <m/>
    <m/>
    <m/>
    <m/>
  </r>
  <r>
    <x v="9"/>
    <x v="43"/>
    <n v="0"/>
    <n v="5"/>
    <m/>
    <n v="0"/>
    <m/>
    <m/>
    <m/>
    <m/>
    <m/>
    <m/>
    <m/>
  </r>
  <r>
    <x v="10"/>
    <x v="43"/>
    <n v="0"/>
    <n v="5"/>
    <m/>
    <n v="0"/>
    <m/>
    <m/>
    <m/>
    <m/>
    <m/>
    <m/>
    <m/>
  </r>
  <r>
    <x v="11"/>
    <x v="43"/>
    <n v="3"/>
    <n v="31"/>
    <n v="1"/>
    <n v="2"/>
    <m/>
    <m/>
    <m/>
    <m/>
    <m/>
    <m/>
    <m/>
  </r>
  <r>
    <x v="12"/>
    <x v="43"/>
    <n v="1"/>
    <n v="63"/>
    <m/>
    <n v="4"/>
    <m/>
    <m/>
    <m/>
    <m/>
    <m/>
    <m/>
    <m/>
  </r>
  <r>
    <x v="13"/>
    <x v="43"/>
    <n v="0"/>
    <n v="3"/>
    <m/>
    <n v="0"/>
    <m/>
    <m/>
    <m/>
    <m/>
    <m/>
    <m/>
    <m/>
  </r>
  <r>
    <x v="14"/>
    <x v="43"/>
    <n v="1"/>
    <n v="91"/>
    <m/>
    <n v="3"/>
    <m/>
    <m/>
    <m/>
    <m/>
    <m/>
    <m/>
    <m/>
  </r>
  <r>
    <x v="15"/>
    <x v="43"/>
    <n v="12"/>
    <n v="106"/>
    <m/>
    <n v="4"/>
    <m/>
    <m/>
    <m/>
    <m/>
    <m/>
    <m/>
    <m/>
  </r>
  <r>
    <x v="16"/>
    <x v="43"/>
    <n v="1"/>
    <n v="4"/>
    <m/>
    <n v="0"/>
    <m/>
    <m/>
    <m/>
    <m/>
    <m/>
    <m/>
    <m/>
  </r>
  <r>
    <x v="17"/>
    <x v="43"/>
    <n v="0"/>
    <n v="2"/>
    <m/>
    <n v="0"/>
    <m/>
    <m/>
    <m/>
    <m/>
    <m/>
    <m/>
    <m/>
  </r>
  <r>
    <x v="18"/>
    <x v="43"/>
    <n v="0"/>
    <n v="11"/>
    <m/>
    <n v="0"/>
    <m/>
    <m/>
    <m/>
    <m/>
    <m/>
    <m/>
    <m/>
  </r>
  <r>
    <x v="19"/>
    <x v="43"/>
    <n v="0"/>
    <n v="40"/>
    <m/>
    <n v="0"/>
    <m/>
    <m/>
    <m/>
    <m/>
    <m/>
    <m/>
    <m/>
  </r>
  <r>
    <x v="20"/>
    <x v="43"/>
    <n v="2"/>
    <n v="209"/>
    <m/>
    <n v="2"/>
    <m/>
    <m/>
    <m/>
    <m/>
    <m/>
    <m/>
    <m/>
  </r>
  <r>
    <x v="21"/>
    <x v="43"/>
    <n v="0"/>
    <n v="12"/>
    <m/>
    <n v="0"/>
    <m/>
    <m/>
    <m/>
    <m/>
    <m/>
    <m/>
    <m/>
  </r>
  <r>
    <x v="22"/>
    <x v="43"/>
    <n v="3"/>
    <n v="110"/>
    <m/>
    <n v="0"/>
    <m/>
    <m/>
    <m/>
    <m/>
    <m/>
    <m/>
    <m/>
  </r>
  <r>
    <x v="23"/>
    <x v="43"/>
    <n v="0"/>
    <n v="30"/>
    <m/>
    <n v="2"/>
    <m/>
    <m/>
    <m/>
    <m/>
    <m/>
    <m/>
    <m/>
  </r>
  <r>
    <x v="0"/>
    <x v="44"/>
    <n v="30"/>
    <n v="759"/>
    <n v="5"/>
    <n v="48"/>
    <m/>
    <m/>
    <m/>
    <m/>
    <m/>
    <m/>
    <m/>
  </r>
  <r>
    <x v="1"/>
    <x v="44"/>
    <n v="0"/>
    <n v="0"/>
    <m/>
    <n v="0"/>
    <m/>
    <m/>
    <m/>
    <m/>
    <m/>
    <m/>
    <m/>
  </r>
  <r>
    <x v="2"/>
    <x v="44"/>
    <n v="11"/>
    <n v="202"/>
    <n v="1"/>
    <n v="9"/>
    <m/>
    <m/>
    <m/>
    <m/>
    <m/>
    <m/>
    <m/>
  </r>
  <r>
    <x v="3"/>
    <x v="44"/>
    <n v="0"/>
    <n v="1"/>
    <m/>
    <n v="1"/>
    <m/>
    <m/>
    <m/>
    <m/>
    <m/>
    <m/>
    <m/>
  </r>
  <r>
    <x v="4"/>
    <x v="44"/>
    <n v="15"/>
    <n v="663"/>
    <n v="3"/>
    <n v="35"/>
    <m/>
    <m/>
    <m/>
    <m/>
    <m/>
    <m/>
    <m/>
  </r>
  <r>
    <x v="5"/>
    <x v="44"/>
    <n v="13"/>
    <n v="241"/>
    <m/>
    <n v="6"/>
    <m/>
    <m/>
    <m/>
    <m/>
    <m/>
    <m/>
    <m/>
  </r>
  <r>
    <x v="6"/>
    <x v="44"/>
    <n v="0"/>
    <n v="31"/>
    <m/>
    <n v="0"/>
    <m/>
    <m/>
    <m/>
    <m/>
    <m/>
    <m/>
    <m/>
  </r>
  <r>
    <x v="7"/>
    <x v="44"/>
    <n v="1"/>
    <n v="22"/>
    <m/>
    <n v="0"/>
    <m/>
    <m/>
    <m/>
    <m/>
    <m/>
    <m/>
    <m/>
  </r>
  <r>
    <x v="8"/>
    <x v="44"/>
    <n v="0"/>
    <n v="0"/>
    <m/>
    <n v="0"/>
    <m/>
    <m/>
    <m/>
    <m/>
    <m/>
    <m/>
    <m/>
  </r>
  <r>
    <x v="9"/>
    <x v="44"/>
    <n v="0"/>
    <n v="5"/>
    <m/>
    <n v="0"/>
    <m/>
    <m/>
    <m/>
    <m/>
    <m/>
    <m/>
    <m/>
  </r>
  <r>
    <x v="10"/>
    <x v="44"/>
    <n v="0"/>
    <n v="5"/>
    <m/>
    <n v="0"/>
    <m/>
    <m/>
    <m/>
    <m/>
    <m/>
    <m/>
    <m/>
  </r>
  <r>
    <x v="11"/>
    <x v="44"/>
    <n v="3"/>
    <n v="34"/>
    <m/>
    <n v="2"/>
    <m/>
    <m/>
    <m/>
    <m/>
    <m/>
    <m/>
    <m/>
  </r>
  <r>
    <x v="12"/>
    <x v="44"/>
    <n v="5"/>
    <n v="68"/>
    <n v="1"/>
    <n v="5"/>
    <m/>
    <m/>
    <m/>
    <m/>
    <m/>
    <m/>
    <m/>
  </r>
  <r>
    <x v="13"/>
    <x v="44"/>
    <n v="0"/>
    <n v="3"/>
    <m/>
    <n v="0"/>
    <m/>
    <m/>
    <m/>
    <m/>
    <m/>
    <m/>
    <m/>
  </r>
  <r>
    <x v="14"/>
    <x v="44"/>
    <n v="1"/>
    <n v="92"/>
    <m/>
    <n v="3"/>
    <m/>
    <m/>
    <m/>
    <m/>
    <m/>
    <m/>
    <m/>
  </r>
  <r>
    <x v="15"/>
    <x v="44"/>
    <n v="9"/>
    <n v="115"/>
    <m/>
    <n v="4"/>
    <m/>
    <m/>
    <m/>
    <m/>
    <m/>
    <m/>
    <m/>
  </r>
  <r>
    <x v="16"/>
    <x v="44"/>
    <n v="-1"/>
    <n v="3"/>
    <m/>
    <n v="0"/>
    <m/>
    <m/>
    <m/>
    <m/>
    <m/>
    <m/>
    <m/>
  </r>
  <r>
    <x v="17"/>
    <x v="44"/>
    <n v="0"/>
    <n v="2"/>
    <m/>
    <n v="0"/>
    <m/>
    <m/>
    <m/>
    <m/>
    <m/>
    <m/>
    <m/>
  </r>
  <r>
    <x v="18"/>
    <x v="44"/>
    <n v="0"/>
    <n v="11"/>
    <m/>
    <n v="0"/>
    <m/>
    <m/>
    <m/>
    <m/>
    <m/>
    <m/>
    <m/>
  </r>
  <r>
    <x v="19"/>
    <x v="44"/>
    <n v="0"/>
    <n v="40"/>
    <m/>
    <n v="0"/>
    <m/>
    <m/>
    <m/>
    <m/>
    <m/>
    <m/>
    <m/>
  </r>
  <r>
    <x v="20"/>
    <x v="44"/>
    <n v="3"/>
    <n v="212"/>
    <m/>
    <n v="2"/>
    <m/>
    <m/>
    <m/>
    <m/>
    <m/>
    <m/>
    <m/>
  </r>
  <r>
    <x v="21"/>
    <x v="44"/>
    <n v="0"/>
    <n v="12"/>
    <m/>
    <n v="0"/>
    <m/>
    <m/>
    <m/>
    <m/>
    <m/>
    <m/>
    <m/>
  </r>
  <r>
    <x v="22"/>
    <x v="44"/>
    <n v="7"/>
    <n v="117"/>
    <m/>
    <n v="0"/>
    <m/>
    <m/>
    <m/>
    <m/>
    <m/>
    <m/>
    <m/>
  </r>
  <r>
    <x v="23"/>
    <x v="44"/>
    <n v="0"/>
    <n v="30"/>
    <m/>
    <n v="2"/>
    <m/>
    <m/>
    <m/>
    <m/>
    <m/>
    <m/>
    <m/>
  </r>
  <r>
    <x v="0"/>
    <x v="45"/>
    <n v="35"/>
    <n v="794"/>
    <n v="3"/>
    <n v="51"/>
    <m/>
    <m/>
    <m/>
    <m/>
    <m/>
    <m/>
    <m/>
  </r>
  <r>
    <x v="1"/>
    <x v="45"/>
    <n v="0"/>
    <n v="0"/>
    <m/>
    <n v="0"/>
    <m/>
    <m/>
    <m/>
    <m/>
    <m/>
    <m/>
    <m/>
  </r>
  <r>
    <x v="2"/>
    <x v="45"/>
    <n v="22"/>
    <n v="224"/>
    <m/>
    <n v="9"/>
    <m/>
    <m/>
    <m/>
    <m/>
    <m/>
    <m/>
    <m/>
  </r>
  <r>
    <x v="3"/>
    <x v="45"/>
    <n v="0"/>
    <n v="1"/>
    <m/>
    <n v="1"/>
    <m/>
    <m/>
    <m/>
    <m/>
    <m/>
    <m/>
    <m/>
  </r>
  <r>
    <x v="4"/>
    <x v="45"/>
    <n v="14"/>
    <n v="677"/>
    <n v="1"/>
    <n v="36"/>
    <m/>
    <m/>
    <m/>
    <m/>
    <m/>
    <m/>
    <m/>
  </r>
  <r>
    <x v="5"/>
    <x v="45"/>
    <n v="6"/>
    <n v="247"/>
    <m/>
    <n v="6"/>
    <m/>
    <m/>
    <m/>
    <m/>
    <m/>
    <m/>
    <m/>
  </r>
  <r>
    <x v="6"/>
    <x v="45"/>
    <n v="0"/>
    <n v="31"/>
    <m/>
    <n v="0"/>
    <m/>
    <m/>
    <m/>
    <m/>
    <m/>
    <m/>
    <m/>
  </r>
  <r>
    <x v="7"/>
    <x v="45"/>
    <n v="0"/>
    <n v="22"/>
    <m/>
    <n v="0"/>
    <m/>
    <m/>
    <m/>
    <m/>
    <m/>
    <m/>
    <m/>
  </r>
  <r>
    <x v="8"/>
    <x v="45"/>
    <n v="0"/>
    <n v="0"/>
    <m/>
    <n v="0"/>
    <m/>
    <m/>
    <m/>
    <m/>
    <m/>
    <m/>
    <m/>
  </r>
  <r>
    <x v="9"/>
    <x v="45"/>
    <n v="0"/>
    <n v="5"/>
    <m/>
    <n v="0"/>
    <m/>
    <m/>
    <m/>
    <m/>
    <m/>
    <m/>
    <m/>
  </r>
  <r>
    <x v="10"/>
    <x v="45"/>
    <n v="0"/>
    <n v="5"/>
    <m/>
    <n v="0"/>
    <m/>
    <m/>
    <m/>
    <m/>
    <m/>
    <m/>
    <m/>
  </r>
  <r>
    <x v="11"/>
    <x v="45"/>
    <n v="1"/>
    <n v="35"/>
    <n v="1"/>
    <n v="3"/>
    <m/>
    <m/>
    <m/>
    <m/>
    <m/>
    <m/>
    <m/>
  </r>
  <r>
    <x v="12"/>
    <x v="45"/>
    <n v="1"/>
    <n v="69"/>
    <n v="2"/>
    <n v="7"/>
    <m/>
    <m/>
    <m/>
    <m/>
    <m/>
    <m/>
    <m/>
  </r>
  <r>
    <x v="13"/>
    <x v="45"/>
    <n v="1"/>
    <n v="4"/>
    <m/>
    <n v="0"/>
    <m/>
    <m/>
    <m/>
    <m/>
    <m/>
    <m/>
    <m/>
  </r>
  <r>
    <x v="14"/>
    <x v="45"/>
    <n v="1"/>
    <n v="93"/>
    <m/>
    <n v="3"/>
    <m/>
    <m/>
    <m/>
    <m/>
    <m/>
    <m/>
    <m/>
  </r>
  <r>
    <x v="15"/>
    <x v="45"/>
    <n v="1"/>
    <n v="116"/>
    <m/>
    <n v="4"/>
    <m/>
    <m/>
    <m/>
    <m/>
    <m/>
    <m/>
    <m/>
  </r>
  <r>
    <x v="16"/>
    <x v="45"/>
    <n v="0"/>
    <n v="3"/>
    <m/>
    <n v="0"/>
    <m/>
    <m/>
    <m/>
    <m/>
    <m/>
    <m/>
    <m/>
  </r>
  <r>
    <x v="17"/>
    <x v="45"/>
    <n v="0"/>
    <n v="2"/>
    <m/>
    <n v="0"/>
    <m/>
    <m/>
    <m/>
    <m/>
    <m/>
    <m/>
    <m/>
  </r>
  <r>
    <x v="18"/>
    <x v="45"/>
    <n v="0"/>
    <n v="11"/>
    <m/>
    <n v="0"/>
    <m/>
    <m/>
    <m/>
    <m/>
    <m/>
    <m/>
    <m/>
  </r>
  <r>
    <x v="19"/>
    <x v="45"/>
    <n v="0"/>
    <n v="40"/>
    <m/>
    <n v="0"/>
    <m/>
    <m/>
    <m/>
    <m/>
    <m/>
    <m/>
    <m/>
  </r>
  <r>
    <x v="20"/>
    <x v="45"/>
    <n v="6"/>
    <n v="218"/>
    <m/>
    <n v="2"/>
    <m/>
    <m/>
    <m/>
    <m/>
    <m/>
    <m/>
    <m/>
  </r>
  <r>
    <x v="21"/>
    <x v="45"/>
    <n v="0"/>
    <n v="12"/>
    <m/>
    <n v="0"/>
    <m/>
    <m/>
    <m/>
    <m/>
    <m/>
    <m/>
    <m/>
  </r>
  <r>
    <x v="22"/>
    <x v="45"/>
    <n v="2"/>
    <n v="119"/>
    <m/>
    <n v="0"/>
    <m/>
    <m/>
    <m/>
    <m/>
    <m/>
    <m/>
    <m/>
  </r>
  <r>
    <x v="23"/>
    <x v="45"/>
    <n v="0"/>
    <n v="30"/>
    <m/>
    <n v="2"/>
    <m/>
    <m/>
    <m/>
    <m/>
    <m/>
    <m/>
    <m/>
  </r>
  <r>
    <x v="0"/>
    <x v="46"/>
    <n v="31"/>
    <n v="825"/>
    <n v="2"/>
    <n v="53"/>
    <m/>
    <m/>
    <m/>
    <m/>
    <m/>
    <m/>
    <m/>
  </r>
  <r>
    <x v="1"/>
    <x v="46"/>
    <n v="0"/>
    <n v="0"/>
    <m/>
    <n v="0"/>
    <m/>
    <m/>
    <m/>
    <m/>
    <m/>
    <m/>
    <m/>
  </r>
  <r>
    <x v="2"/>
    <x v="46"/>
    <n v="24"/>
    <n v="248"/>
    <m/>
    <n v="9"/>
    <m/>
    <m/>
    <m/>
    <m/>
    <m/>
    <m/>
    <m/>
  </r>
  <r>
    <x v="3"/>
    <x v="46"/>
    <n v="0"/>
    <n v="1"/>
    <m/>
    <n v="1"/>
    <m/>
    <m/>
    <m/>
    <m/>
    <m/>
    <m/>
    <m/>
  </r>
  <r>
    <x v="4"/>
    <x v="46"/>
    <n v="14"/>
    <n v="691"/>
    <n v="1"/>
    <n v="37"/>
    <m/>
    <m/>
    <m/>
    <m/>
    <m/>
    <m/>
    <m/>
  </r>
  <r>
    <x v="5"/>
    <x v="46"/>
    <n v="2"/>
    <n v="249"/>
    <m/>
    <n v="6"/>
    <m/>
    <m/>
    <m/>
    <m/>
    <m/>
    <m/>
    <m/>
  </r>
  <r>
    <x v="6"/>
    <x v="46"/>
    <n v="0"/>
    <n v="31"/>
    <m/>
    <n v="0"/>
    <m/>
    <m/>
    <m/>
    <m/>
    <m/>
    <m/>
    <m/>
  </r>
  <r>
    <x v="7"/>
    <x v="46"/>
    <n v="0"/>
    <n v="22"/>
    <m/>
    <n v="0"/>
    <m/>
    <m/>
    <m/>
    <m/>
    <m/>
    <m/>
    <m/>
  </r>
  <r>
    <x v="8"/>
    <x v="46"/>
    <n v="0"/>
    <n v="0"/>
    <m/>
    <n v="0"/>
    <m/>
    <m/>
    <m/>
    <m/>
    <m/>
    <m/>
    <m/>
  </r>
  <r>
    <x v="9"/>
    <x v="46"/>
    <n v="0"/>
    <n v="5"/>
    <m/>
    <n v="0"/>
    <m/>
    <m/>
    <m/>
    <m/>
    <m/>
    <m/>
    <m/>
  </r>
  <r>
    <x v="10"/>
    <x v="46"/>
    <n v="0"/>
    <n v="5"/>
    <m/>
    <n v="0"/>
    <m/>
    <m/>
    <m/>
    <m/>
    <m/>
    <m/>
    <m/>
  </r>
  <r>
    <x v="11"/>
    <x v="46"/>
    <n v="0"/>
    <n v="35"/>
    <m/>
    <n v="3"/>
    <m/>
    <m/>
    <m/>
    <m/>
    <m/>
    <m/>
    <m/>
  </r>
  <r>
    <x v="12"/>
    <x v="46"/>
    <n v="0"/>
    <n v="69"/>
    <m/>
    <n v="7"/>
    <m/>
    <m/>
    <m/>
    <m/>
    <m/>
    <m/>
    <m/>
  </r>
  <r>
    <x v="13"/>
    <x v="46"/>
    <n v="1"/>
    <n v="5"/>
    <m/>
    <n v="0"/>
    <m/>
    <m/>
    <m/>
    <m/>
    <m/>
    <m/>
    <m/>
  </r>
  <r>
    <x v="14"/>
    <x v="46"/>
    <n v="3"/>
    <n v="96"/>
    <m/>
    <n v="3"/>
    <m/>
    <m/>
    <m/>
    <m/>
    <m/>
    <m/>
    <m/>
  </r>
  <r>
    <x v="15"/>
    <x v="46"/>
    <n v="3"/>
    <n v="119"/>
    <m/>
    <n v="4"/>
    <m/>
    <m/>
    <m/>
    <m/>
    <m/>
    <m/>
    <m/>
  </r>
  <r>
    <x v="16"/>
    <x v="46"/>
    <n v="0"/>
    <n v="3"/>
    <m/>
    <n v="0"/>
    <m/>
    <m/>
    <m/>
    <m/>
    <m/>
    <m/>
    <m/>
  </r>
  <r>
    <x v="17"/>
    <x v="46"/>
    <n v="0"/>
    <n v="2"/>
    <m/>
    <n v="0"/>
    <m/>
    <m/>
    <m/>
    <m/>
    <m/>
    <m/>
    <m/>
  </r>
  <r>
    <x v="18"/>
    <x v="46"/>
    <n v="0"/>
    <n v="11"/>
    <m/>
    <n v="0"/>
    <m/>
    <m/>
    <m/>
    <m/>
    <m/>
    <m/>
    <m/>
  </r>
  <r>
    <x v="19"/>
    <x v="46"/>
    <n v="0"/>
    <n v="40"/>
    <m/>
    <n v="0"/>
    <m/>
    <m/>
    <m/>
    <m/>
    <m/>
    <m/>
    <m/>
  </r>
  <r>
    <x v="20"/>
    <x v="46"/>
    <n v="3"/>
    <n v="221"/>
    <m/>
    <n v="2"/>
    <m/>
    <m/>
    <m/>
    <m/>
    <m/>
    <m/>
    <m/>
  </r>
  <r>
    <x v="21"/>
    <x v="46"/>
    <n v="0"/>
    <n v="12"/>
    <m/>
    <n v="0"/>
    <m/>
    <m/>
    <m/>
    <m/>
    <m/>
    <m/>
    <m/>
  </r>
  <r>
    <x v="22"/>
    <x v="46"/>
    <n v="0"/>
    <n v="119"/>
    <m/>
    <n v="0"/>
    <m/>
    <m/>
    <m/>
    <m/>
    <m/>
    <m/>
    <m/>
  </r>
  <r>
    <x v="23"/>
    <x v="46"/>
    <n v="0"/>
    <n v="30"/>
    <m/>
    <n v="2"/>
    <m/>
    <m/>
    <m/>
    <m/>
    <m/>
    <m/>
    <m/>
  </r>
  <r>
    <x v="0"/>
    <x v="47"/>
    <n v="48"/>
    <n v="873"/>
    <n v="1"/>
    <n v="54"/>
    <m/>
    <m/>
    <m/>
    <m/>
    <m/>
    <m/>
    <m/>
  </r>
  <r>
    <x v="1"/>
    <x v="47"/>
    <n v="0"/>
    <n v="0"/>
    <m/>
    <n v="0"/>
    <m/>
    <m/>
    <m/>
    <m/>
    <m/>
    <m/>
    <m/>
  </r>
  <r>
    <x v="2"/>
    <x v="47"/>
    <n v="5"/>
    <n v="253"/>
    <m/>
    <n v="9"/>
    <m/>
    <m/>
    <m/>
    <m/>
    <m/>
    <m/>
    <m/>
  </r>
  <r>
    <x v="3"/>
    <x v="47"/>
    <n v="1"/>
    <n v="2"/>
    <m/>
    <n v="1"/>
    <m/>
    <m/>
    <m/>
    <m/>
    <m/>
    <m/>
    <m/>
  </r>
  <r>
    <x v="4"/>
    <x v="47"/>
    <n v="15"/>
    <n v="706"/>
    <m/>
    <n v="37"/>
    <m/>
    <m/>
    <m/>
    <m/>
    <m/>
    <m/>
    <m/>
  </r>
  <r>
    <x v="5"/>
    <x v="47"/>
    <n v="11"/>
    <n v="260"/>
    <n v="1"/>
    <n v="7"/>
    <m/>
    <m/>
    <m/>
    <m/>
    <m/>
    <m/>
    <m/>
  </r>
  <r>
    <x v="6"/>
    <x v="47"/>
    <n v="0"/>
    <n v="31"/>
    <m/>
    <n v="0"/>
    <m/>
    <m/>
    <m/>
    <m/>
    <m/>
    <m/>
    <m/>
  </r>
  <r>
    <x v="7"/>
    <x v="47"/>
    <n v="0"/>
    <n v="22"/>
    <m/>
    <n v="0"/>
    <m/>
    <m/>
    <m/>
    <m/>
    <m/>
    <m/>
    <m/>
  </r>
  <r>
    <x v="8"/>
    <x v="47"/>
    <n v="0"/>
    <n v="0"/>
    <m/>
    <n v="0"/>
    <m/>
    <m/>
    <m/>
    <m/>
    <m/>
    <m/>
    <m/>
  </r>
  <r>
    <x v="9"/>
    <x v="47"/>
    <n v="0"/>
    <n v="5"/>
    <m/>
    <n v="0"/>
    <m/>
    <m/>
    <m/>
    <m/>
    <m/>
    <m/>
    <m/>
  </r>
  <r>
    <x v="10"/>
    <x v="47"/>
    <n v="0"/>
    <n v="5"/>
    <m/>
    <n v="0"/>
    <m/>
    <m/>
    <m/>
    <m/>
    <m/>
    <m/>
    <m/>
  </r>
  <r>
    <x v="11"/>
    <x v="47"/>
    <n v="4"/>
    <n v="39"/>
    <m/>
    <n v="3"/>
    <m/>
    <m/>
    <m/>
    <m/>
    <m/>
    <m/>
    <m/>
  </r>
  <r>
    <x v="12"/>
    <x v="47"/>
    <n v="3"/>
    <n v="72"/>
    <m/>
    <n v="7"/>
    <m/>
    <m/>
    <m/>
    <m/>
    <m/>
    <m/>
    <m/>
  </r>
  <r>
    <x v="13"/>
    <x v="47"/>
    <n v="0"/>
    <n v="5"/>
    <m/>
    <n v="0"/>
    <m/>
    <m/>
    <m/>
    <m/>
    <m/>
    <m/>
    <m/>
  </r>
  <r>
    <x v="14"/>
    <x v="47"/>
    <n v="3"/>
    <n v="99"/>
    <m/>
    <n v="3"/>
    <m/>
    <m/>
    <m/>
    <m/>
    <m/>
    <m/>
    <m/>
  </r>
  <r>
    <x v="15"/>
    <x v="47"/>
    <n v="8"/>
    <n v="127"/>
    <m/>
    <n v="4"/>
    <m/>
    <m/>
    <m/>
    <m/>
    <m/>
    <m/>
    <m/>
  </r>
  <r>
    <x v="16"/>
    <x v="47"/>
    <n v="0"/>
    <n v="3"/>
    <m/>
    <n v="0"/>
    <m/>
    <m/>
    <m/>
    <m/>
    <m/>
    <m/>
    <m/>
  </r>
  <r>
    <x v="17"/>
    <x v="47"/>
    <n v="0"/>
    <n v="2"/>
    <m/>
    <n v="0"/>
    <m/>
    <m/>
    <m/>
    <m/>
    <m/>
    <m/>
    <m/>
  </r>
  <r>
    <x v="18"/>
    <x v="47"/>
    <n v="0"/>
    <n v="11"/>
    <m/>
    <n v="0"/>
    <m/>
    <m/>
    <m/>
    <m/>
    <m/>
    <m/>
    <m/>
  </r>
  <r>
    <x v="19"/>
    <x v="47"/>
    <n v="0"/>
    <n v="40"/>
    <m/>
    <n v="0"/>
    <m/>
    <m/>
    <m/>
    <m/>
    <m/>
    <m/>
    <m/>
  </r>
  <r>
    <x v="20"/>
    <x v="47"/>
    <n v="1"/>
    <n v="222"/>
    <m/>
    <n v="2"/>
    <m/>
    <m/>
    <m/>
    <m/>
    <m/>
    <m/>
    <m/>
  </r>
  <r>
    <x v="21"/>
    <x v="47"/>
    <n v="0"/>
    <n v="12"/>
    <m/>
    <n v="0"/>
    <m/>
    <m/>
    <m/>
    <m/>
    <m/>
    <m/>
    <m/>
  </r>
  <r>
    <x v="22"/>
    <x v="47"/>
    <n v="3"/>
    <n v="122"/>
    <m/>
    <n v="0"/>
    <m/>
    <m/>
    <m/>
    <m/>
    <m/>
    <m/>
    <m/>
  </r>
  <r>
    <x v="23"/>
    <x v="47"/>
    <n v="0"/>
    <n v="30"/>
    <m/>
    <n v="2"/>
    <m/>
    <m/>
    <m/>
    <m/>
    <m/>
    <m/>
    <m/>
  </r>
  <r>
    <x v="0"/>
    <x v="48"/>
    <n v="42"/>
    <n v="915"/>
    <m/>
    <n v="54"/>
    <m/>
    <m/>
    <m/>
    <m/>
    <m/>
    <m/>
    <m/>
  </r>
  <r>
    <x v="1"/>
    <x v="48"/>
    <n v="0"/>
    <n v="0"/>
    <m/>
    <n v="0"/>
    <m/>
    <m/>
    <m/>
    <m/>
    <m/>
    <m/>
    <m/>
  </r>
  <r>
    <x v="2"/>
    <x v="48"/>
    <n v="5"/>
    <n v="258"/>
    <n v="1"/>
    <n v="10"/>
    <m/>
    <m/>
    <m/>
    <m/>
    <m/>
    <m/>
    <m/>
  </r>
  <r>
    <x v="3"/>
    <x v="48"/>
    <n v="0"/>
    <n v="2"/>
    <m/>
    <n v="1"/>
    <m/>
    <m/>
    <m/>
    <m/>
    <m/>
    <m/>
    <m/>
  </r>
  <r>
    <x v="4"/>
    <x v="48"/>
    <n v="22"/>
    <n v="728"/>
    <n v="1"/>
    <n v="38"/>
    <m/>
    <m/>
    <m/>
    <m/>
    <m/>
    <m/>
    <m/>
  </r>
  <r>
    <x v="5"/>
    <x v="48"/>
    <n v="0"/>
    <n v="260"/>
    <n v="2"/>
    <n v="9"/>
    <m/>
    <m/>
    <m/>
    <m/>
    <m/>
    <m/>
    <m/>
  </r>
  <r>
    <x v="6"/>
    <x v="48"/>
    <n v="3"/>
    <n v="34"/>
    <m/>
    <n v="0"/>
    <m/>
    <m/>
    <m/>
    <m/>
    <m/>
    <m/>
    <m/>
  </r>
  <r>
    <x v="7"/>
    <x v="48"/>
    <n v="0"/>
    <n v="22"/>
    <m/>
    <n v="0"/>
    <m/>
    <m/>
    <m/>
    <m/>
    <m/>
    <m/>
    <m/>
  </r>
  <r>
    <x v="8"/>
    <x v="48"/>
    <n v="0"/>
    <n v="0"/>
    <m/>
    <n v="0"/>
    <m/>
    <m/>
    <m/>
    <m/>
    <m/>
    <m/>
    <m/>
  </r>
  <r>
    <x v="9"/>
    <x v="48"/>
    <n v="0"/>
    <n v="5"/>
    <m/>
    <n v="0"/>
    <m/>
    <m/>
    <m/>
    <m/>
    <m/>
    <m/>
    <m/>
  </r>
  <r>
    <x v="10"/>
    <x v="48"/>
    <n v="0"/>
    <n v="5"/>
    <m/>
    <n v="0"/>
    <m/>
    <m/>
    <m/>
    <m/>
    <m/>
    <m/>
    <m/>
  </r>
  <r>
    <x v="11"/>
    <x v="48"/>
    <n v="0"/>
    <n v="39"/>
    <m/>
    <n v="3"/>
    <m/>
    <m/>
    <m/>
    <m/>
    <m/>
    <m/>
    <m/>
  </r>
  <r>
    <x v="12"/>
    <x v="48"/>
    <n v="1"/>
    <n v="73"/>
    <n v="1"/>
    <n v="8"/>
    <m/>
    <m/>
    <m/>
    <m/>
    <m/>
    <m/>
    <m/>
  </r>
  <r>
    <x v="13"/>
    <x v="48"/>
    <n v="0"/>
    <n v="5"/>
    <m/>
    <n v="0"/>
    <m/>
    <m/>
    <m/>
    <m/>
    <m/>
    <m/>
    <m/>
  </r>
  <r>
    <x v="14"/>
    <x v="48"/>
    <n v="3"/>
    <n v="102"/>
    <m/>
    <n v="3"/>
    <m/>
    <m/>
    <m/>
    <m/>
    <m/>
    <m/>
    <m/>
  </r>
  <r>
    <x v="15"/>
    <x v="48"/>
    <n v="10"/>
    <n v="137"/>
    <n v="3"/>
    <n v="7"/>
    <m/>
    <m/>
    <m/>
    <m/>
    <m/>
    <m/>
    <m/>
  </r>
  <r>
    <x v="16"/>
    <x v="48"/>
    <n v="0"/>
    <n v="3"/>
    <m/>
    <n v="0"/>
    <m/>
    <m/>
    <m/>
    <m/>
    <m/>
    <m/>
    <m/>
  </r>
  <r>
    <x v="17"/>
    <x v="48"/>
    <n v="0"/>
    <n v="2"/>
    <m/>
    <n v="0"/>
    <m/>
    <m/>
    <m/>
    <m/>
    <m/>
    <m/>
    <m/>
  </r>
  <r>
    <x v="18"/>
    <x v="48"/>
    <n v="0"/>
    <n v="11"/>
    <m/>
    <n v="0"/>
    <m/>
    <m/>
    <m/>
    <m/>
    <m/>
    <m/>
    <m/>
  </r>
  <r>
    <x v="19"/>
    <x v="48"/>
    <n v="1"/>
    <n v="41"/>
    <m/>
    <n v="0"/>
    <m/>
    <m/>
    <m/>
    <m/>
    <m/>
    <m/>
    <m/>
  </r>
  <r>
    <x v="20"/>
    <x v="48"/>
    <n v="2"/>
    <n v="224"/>
    <m/>
    <n v="2"/>
    <m/>
    <m/>
    <m/>
    <m/>
    <m/>
    <m/>
    <m/>
  </r>
  <r>
    <x v="21"/>
    <x v="48"/>
    <n v="0"/>
    <n v="12"/>
    <m/>
    <n v="0"/>
    <m/>
    <m/>
    <m/>
    <m/>
    <m/>
    <m/>
    <m/>
  </r>
  <r>
    <x v="22"/>
    <x v="48"/>
    <n v="0"/>
    <n v="122"/>
    <m/>
    <n v="0"/>
    <m/>
    <m/>
    <m/>
    <m/>
    <m/>
    <m/>
    <m/>
  </r>
  <r>
    <x v="23"/>
    <x v="48"/>
    <n v="1"/>
    <n v="31"/>
    <m/>
    <n v="2"/>
    <m/>
    <m/>
    <m/>
    <m/>
    <m/>
    <m/>
    <m/>
  </r>
  <r>
    <x v="0"/>
    <x v="49"/>
    <n v="60"/>
    <n v="975"/>
    <n v="4"/>
    <n v="58"/>
    <m/>
    <m/>
    <m/>
    <m/>
    <m/>
    <m/>
    <m/>
  </r>
  <r>
    <x v="1"/>
    <x v="49"/>
    <n v="0"/>
    <n v="0"/>
    <m/>
    <n v="0"/>
    <m/>
    <m/>
    <m/>
    <m/>
    <m/>
    <m/>
    <m/>
  </r>
  <r>
    <x v="2"/>
    <x v="49"/>
    <n v="5"/>
    <n v="263"/>
    <m/>
    <n v="10"/>
    <m/>
    <m/>
    <m/>
    <m/>
    <m/>
    <m/>
    <m/>
  </r>
  <r>
    <x v="3"/>
    <x v="49"/>
    <n v="0"/>
    <n v="2"/>
    <m/>
    <n v="1"/>
    <m/>
    <m/>
    <m/>
    <m/>
    <m/>
    <m/>
    <m/>
  </r>
  <r>
    <x v="4"/>
    <x v="49"/>
    <n v="33"/>
    <n v="761"/>
    <n v="3"/>
    <n v="41"/>
    <m/>
    <m/>
    <m/>
    <m/>
    <m/>
    <m/>
    <m/>
  </r>
  <r>
    <x v="5"/>
    <x v="49"/>
    <n v="0"/>
    <n v="260"/>
    <m/>
    <n v="9"/>
    <m/>
    <m/>
    <m/>
    <m/>
    <m/>
    <m/>
    <m/>
  </r>
  <r>
    <x v="6"/>
    <x v="49"/>
    <n v="0"/>
    <n v="34"/>
    <m/>
    <n v="0"/>
    <m/>
    <m/>
    <m/>
    <m/>
    <m/>
    <m/>
    <m/>
  </r>
  <r>
    <x v="7"/>
    <x v="49"/>
    <n v="0"/>
    <n v="22"/>
    <m/>
    <n v="0"/>
    <m/>
    <m/>
    <m/>
    <m/>
    <m/>
    <m/>
    <m/>
  </r>
  <r>
    <x v="8"/>
    <x v="49"/>
    <n v="0"/>
    <n v="0"/>
    <m/>
    <n v="0"/>
    <m/>
    <m/>
    <m/>
    <m/>
    <m/>
    <m/>
    <m/>
  </r>
  <r>
    <x v="9"/>
    <x v="49"/>
    <n v="0"/>
    <n v="5"/>
    <m/>
    <n v="0"/>
    <m/>
    <m/>
    <m/>
    <m/>
    <m/>
    <m/>
    <m/>
  </r>
  <r>
    <x v="10"/>
    <x v="49"/>
    <n v="0"/>
    <n v="5"/>
    <m/>
    <n v="0"/>
    <m/>
    <m/>
    <m/>
    <m/>
    <m/>
    <m/>
    <m/>
  </r>
  <r>
    <x v="11"/>
    <x v="49"/>
    <n v="1"/>
    <n v="40"/>
    <n v="2"/>
    <n v="5"/>
    <m/>
    <m/>
    <m/>
    <m/>
    <m/>
    <m/>
    <m/>
  </r>
  <r>
    <x v="12"/>
    <x v="49"/>
    <n v="0"/>
    <n v="73"/>
    <m/>
    <n v="8"/>
    <m/>
    <m/>
    <m/>
    <m/>
    <m/>
    <m/>
    <m/>
  </r>
  <r>
    <x v="13"/>
    <x v="49"/>
    <n v="0"/>
    <n v="5"/>
    <m/>
    <n v="0"/>
    <m/>
    <m/>
    <m/>
    <m/>
    <m/>
    <m/>
    <m/>
  </r>
  <r>
    <x v="14"/>
    <x v="49"/>
    <n v="0"/>
    <n v="102"/>
    <m/>
    <n v="3"/>
    <m/>
    <m/>
    <m/>
    <m/>
    <m/>
    <m/>
    <m/>
  </r>
  <r>
    <x v="15"/>
    <x v="49"/>
    <n v="11"/>
    <n v="148"/>
    <m/>
    <n v="7"/>
    <m/>
    <m/>
    <m/>
    <m/>
    <m/>
    <m/>
    <m/>
  </r>
  <r>
    <x v="16"/>
    <x v="49"/>
    <n v="0"/>
    <n v="3"/>
    <m/>
    <n v="0"/>
    <m/>
    <m/>
    <m/>
    <m/>
    <m/>
    <m/>
    <m/>
  </r>
  <r>
    <x v="17"/>
    <x v="49"/>
    <n v="0"/>
    <n v="2"/>
    <m/>
    <n v="0"/>
    <m/>
    <m/>
    <m/>
    <m/>
    <m/>
    <m/>
    <m/>
  </r>
  <r>
    <x v="18"/>
    <x v="49"/>
    <n v="0"/>
    <n v="11"/>
    <m/>
    <n v="0"/>
    <m/>
    <m/>
    <m/>
    <m/>
    <m/>
    <m/>
    <m/>
  </r>
  <r>
    <x v="19"/>
    <x v="49"/>
    <n v="0"/>
    <n v="41"/>
    <m/>
    <n v="0"/>
    <m/>
    <m/>
    <m/>
    <m/>
    <m/>
    <m/>
    <m/>
  </r>
  <r>
    <x v="20"/>
    <x v="49"/>
    <n v="1"/>
    <n v="225"/>
    <m/>
    <n v="2"/>
    <m/>
    <m/>
    <m/>
    <m/>
    <m/>
    <m/>
    <m/>
  </r>
  <r>
    <x v="21"/>
    <x v="49"/>
    <n v="0"/>
    <n v="12"/>
    <m/>
    <n v="0"/>
    <m/>
    <m/>
    <m/>
    <m/>
    <m/>
    <m/>
    <m/>
  </r>
  <r>
    <x v="22"/>
    <x v="49"/>
    <n v="2"/>
    <n v="124"/>
    <m/>
    <n v="0"/>
    <m/>
    <m/>
    <m/>
    <m/>
    <m/>
    <m/>
    <m/>
  </r>
  <r>
    <x v="23"/>
    <x v="49"/>
    <n v="0"/>
    <n v="31"/>
    <m/>
    <n v="2"/>
    <m/>
    <m/>
    <m/>
    <m/>
    <m/>
    <m/>
    <m/>
  </r>
  <r>
    <x v="0"/>
    <x v="50"/>
    <n v="61"/>
    <n v="1036"/>
    <n v="5"/>
    <n v="63"/>
    <m/>
    <m/>
    <m/>
    <m/>
    <m/>
    <m/>
    <m/>
  </r>
  <r>
    <x v="1"/>
    <x v="50"/>
    <n v="0"/>
    <n v="0"/>
    <m/>
    <n v="0"/>
    <m/>
    <m/>
    <m/>
    <m/>
    <m/>
    <m/>
    <m/>
  </r>
  <r>
    <x v="2"/>
    <x v="50"/>
    <n v="7"/>
    <n v="270"/>
    <m/>
    <n v="10"/>
    <m/>
    <m/>
    <m/>
    <m/>
    <m/>
    <m/>
    <m/>
  </r>
  <r>
    <x v="3"/>
    <x v="50"/>
    <n v="0"/>
    <n v="2"/>
    <m/>
    <n v="1"/>
    <m/>
    <m/>
    <m/>
    <m/>
    <m/>
    <m/>
    <m/>
  </r>
  <r>
    <x v="4"/>
    <x v="50"/>
    <n v="39"/>
    <n v="800"/>
    <n v="2"/>
    <n v="43"/>
    <m/>
    <m/>
    <m/>
    <m/>
    <m/>
    <m/>
    <m/>
  </r>
  <r>
    <x v="5"/>
    <x v="50"/>
    <n v="4"/>
    <n v="264"/>
    <n v="1"/>
    <n v="10"/>
    <m/>
    <m/>
    <m/>
    <m/>
    <m/>
    <m/>
    <m/>
  </r>
  <r>
    <x v="6"/>
    <x v="50"/>
    <n v="0"/>
    <n v="34"/>
    <m/>
    <n v="0"/>
    <m/>
    <m/>
    <m/>
    <m/>
    <m/>
    <m/>
    <m/>
  </r>
  <r>
    <x v="7"/>
    <x v="50"/>
    <n v="0"/>
    <n v="22"/>
    <m/>
    <n v="0"/>
    <m/>
    <m/>
    <m/>
    <m/>
    <m/>
    <m/>
    <m/>
  </r>
  <r>
    <x v="8"/>
    <x v="50"/>
    <n v="0"/>
    <n v="0"/>
    <m/>
    <n v="0"/>
    <m/>
    <m/>
    <m/>
    <m/>
    <m/>
    <m/>
    <m/>
  </r>
  <r>
    <x v="9"/>
    <x v="50"/>
    <n v="0"/>
    <n v="5"/>
    <m/>
    <n v="0"/>
    <m/>
    <m/>
    <m/>
    <m/>
    <m/>
    <m/>
    <m/>
  </r>
  <r>
    <x v="10"/>
    <x v="50"/>
    <n v="0"/>
    <n v="5"/>
    <m/>
    <n v="0"/>
    <m/>
    <m/>
    <m/>
    <m/>
    <m/>
    <m/>
    <m/>
  </r>
  <r>
    <x v="11"/>
    <x v="50"/>
    <n v="5"/>
    <n v="45"/>
    <m/>
    <n v="5"/>
    <m/>
    <m/>
    <m/>
    <m/>
    <m/>
    <m/>
    <m/>
  </r>
  <r>
    <x v="12"/>
    <x v="50"/>
    <n v="1"/>
    <n v="74"/>
    <m/>
    <n v="8"/>
    <m/>
    <m/>
    <m/>
    <m/>
    <m/>
    <m/>
    <m/>
  </r>
  <r>
    <x v="13"/>
    <x v="50"/>
    <n v="0"/>
    <n v="5"/>
    <m/>
    <n v="0"/>
    <m/>
    <m/>
    <m/>
    <m/>
    <m/>
    <m/>
    <m/>
  </r>
  <r>
    <x v="14"/>
    <x v="50"/>
    <n v="1"/>
    <n v="103"/>
    <m/>
    <n v="3"/>
    <m/>
    <m/>
    <m/>
    <m/>
    <m/>
    <m/>
    <m/>
  </r>
  <r>
    <x v="15"/>
    <x v="50"/>
    <n v="17"/>
    <n v="165"/>
    <m/>
    <n v="7"/>
    <m/>
    <m/>
    <m/>
    <m/>
    <m/>
    <m/>
    <m/>
  </r>
  <r>
    <x v="16"/>
    <x v="50"/>
    <n v="0"/>
    <n v="3"/>
    <m/>
    <n v="0"/>
    <m/>
    <m/>
    <m/>
    <m/>
    <m/>
    <m/>
    <m/>
  </r>
  <r>
    <x v="17"/>
    <x v="50"/>
    <n v="0"/>
    <n v="2"/>
    <m/>
    <n v="0"/>
    <m/>
    <m/>
    <m/>
    <m/>
    <m/>
    <m/>
    <m/>
  </r>
  <r>
    <x v="18"/>
    <x v="50"/>
    <n v="0"/>
    <n v="11"/>
    <m/>
    <n v="0"/>
    <m/>
    <m/>
    <m/>
    <m/>
    <m/>
    <m/>
    <m/>
  </r>
  <r>
    <x v="19"/>
    <x v="50"/>
    <n v="0"/>
    <n v="41"/>
    <m/>
    <n v="0"/>
    <m/>
    <m/>
    <m/>
    <m/>
    <m/>
    <m/>
    <m/>
  </r>
  <r>
    <x v="20"/>
    <x v="50"/>
    <n v="5"/>
    <n v="230"/>
    <m/>
    <n v="2"/>
    <m/>
    <m/>
    <m/>
    <m/>
    <m/>
    <m/>
    <m/>
  </r>
  <r>
    <x v="21"/>
    <x v="50"/>
    <n v="0"/>
    <n v="12"/>
    <m/>
    <n v="0"/>
    <m/>
    <m/>
    <m/>
    <m/>
    <m/>
    <m/>
    <m/>
  </r>
  <r>
    <x v="22"/>
    <x v="50"/>
    <n v="0"/>
    <n v="124"/>
    <m/>
    <n v="0"/>
    <m/>
    <m/>
    <m/>
    <m/>
    <m/>
    <m/>
    <m/>
  </r>
  <r>
    <x v="23"/>
    <x v="50"/>
    <n v="4"/>
    <n v="35"/>
    <m/>
    <n v="2"/>
    <m/>
    <m/>
    <m/>
    <m/>
    <m/>
    <m/>
    <m/>
  </r>
  <r>
    <x v="0"/>
    <x v="51"/>
    <n v="84"/>
    <n v="1120"/>
    <n v="4"/>
    <n v="67"/>
    <m/>
    <m/>
    <m/>
    <m/>
    <m/>
    <m/>
    <m/>
  </r>
  <r>
    <x v="1"/>
    <x v="51"/>
    <n v="0"/>
    <n v="0"/>
    <m/>
    <n v="0"/>
    <m/>
    <m/>
    <m/>
    <m/>
    <m/>
    <m/>
    <m/>
  </r>
  <r>
    <x v="2"/>
    <x v="51"/>
    <n v="10"/>
    <n v="280"/>
    <m/>
    <n v="10"/>
    <m/>
    <m/>
    <m/>
    <m/>
    <m/>
    <m/>
    <m/>
  </r>
  <r>
    <x v="3"/>
    <x v="51"/>
    <n v="0"/>
    <n v="2"/>
    <m/>
    <n v="1"/>
    <m/>
    <m/>
    <m/>
    <m/>
    <m/>
    <m/>
    <m/>
  </r>
  <r>
    <x v="4"/>
    <x v="51"/>
    <n v="37"/>
    <n v="837"/>
    <n v="1"/>
    <n v="44"/>
    <m/>
    <m/>
    <m/>
    <m/>
    <m/>
    <m/>
    <m/>
  </r>
  <r>
    <x v="5"/>
    <x v="51"/>
    <n v="2"/>
    <n v="266"/>
    <m/>
    <n v="10"/>
    <m/>
    <m/>
    <m/>
    <m/>
    <m/>
    <m/>
    <m/>
  </r>
  <r>
    <x v="6"/>
    <x v="51"/>
    <n v="1"/>
    <n v="35"/>
    <m/>
    <n v="0"/>
    <m/>
    <m/>
    <m/>
    <m/>
    <m/>
    <m/>
    <m/>
  </r>
  <r>
    <x v="7"/>
    <x v="51"/>
    <n v="0"/>
    <n v="22"/>
    <m/>
    <n v="0"/>
    <m/>
    <m/>
    <m/>
    <m/>
    <m/>
    <m/>
    <m/>
  </r>
  <r>
    <x v="8"/>
    <x v="51"/>
    <n v="0"/>
    <n v="0"/>
    <m/>
    <n v="0"/>
    <m/>
    <m/>
    <m/>
    <m/>
    <m/>
    <m/>
    <m/>
  </r>
  <r>
    <x v="9"/>
    <x v="51"/>
    <n v="0"/>
    <n v="5"/>
    <m/>
    <n v="0"/>
    <m/>
    <m/>
    <m/>
    <m/>
    <m/>
    <m/>
    <m/>
  </r>
  <r>
    <x v="10"/>
    <x v="51"/>
    <n v="0"/>
    <n v="5"/>
    <m/>
    <n v="0"/>
    <m/>
    <m/>
    <m/>
    <m/>
    <m/>
    <m/>
    <m/>
  </r>
  <r>
    <x v="11"/>
    <x v="51"/>
    <n v="0"/>
    <n v="45"/>
    <m/>
    <n v="5"/>
    <m/>
    <m/>
    <m/>
    <m/>
    <m/>
    <m/>
    <m/>
  </r>
  <r>
    <x v="12"/>
    <x v="51"/>
    <n v="1"/>
    <n v="75"/>
    <n v="1"/>
    <n v="9"/>
    <m/>
    <m/>
    <m/>
    <m/>
    <m/>
    <m/>
    <m/>
  </r>
  <r>
    <x v="13"/>
    <x v="51"/>
    <n v="0"/>
    <n v="5"/>
    <m/>
    <n v="0"/>
    <m/>
    <m/>
    <m/>
    <m/>
    <m/>
    <m/>
    <m/>
  </r>
  <r>
    <x v="14"/>
    <x v="51"/>
    <n v="1"/>
    <n v="104"/>
    <m/>
    <n v="3"/>
    <m/>
    <m/>
    <m/>
    <m/>
    <m/>
    <m/>
    <m/>
  </r>
  <r>
    <x v="15"/>
    <x v="51"/>
    <n v="4"/>
    <n v="169"/>
    <m/>
    <n v="7"/>
    <m/>
    <m/>
    <m/>
    <m/>
    <m/>
    <m/>
    <m/>
  </r>
  <r>
    <x v="16"/>
    <x v="51"/>
    <n v="0"/>
    <n v="3"/>
    <m/>
    <n v="0"/>
    <m/>
    <m/>
    <m/>
    <m/>
    <m/>
    <m/>
    <m/>
  </r>
  <r>
    <x v="17"/>
    <x v="51"/>
    <n v="0"/>
    <n v="2"/>
    <m/>
    <n v="0"/>
    <m/>
    <m/>
    <m/>
    <m/>
    <m/>
    <m/>
    <m/>
  </r>
  <r>
    <x v="18"/>
    <x v="51"/>
    <n v="0"/>
    <n v="11"/>
    <m/>
    <n v="0"/>
    <m/>
    <m/>
    <m/>
    <m/>
    <m/>
    <m/>
    <m/>
  </r>
  <r>
    <x v="19"/>
    <x v="51"/>
    <n v="0"/>
    <n v="41"/>
    <m/>
    <n v="0"/>
    <m/>
    <m/>
    <m/>
    <m/>
    <m/>
    <m/>
    <m/>
  </r>
  <r>
    <x v="20"/>
    <x v="51"/>
    <n v="6"/>
    <n v="236"/>
    <m/>
    <n v="2"/>
    <m/>
    <m/>
    <m/>
    <m/>
    <m/>
    <m/>
    <m/>
  </r>
  <r>
    <x v="21"/>
    <x v="51"/>
    <n v="0"/>
    <n v="12"/>
    <m/>
    <n v="0"/>
    <m/>
    <m/>
    <m/>
    <m/>
    <m/>
    <m/>
    <m/>
  </r>
  <r>
    <x v="22"/>
    <x v="51"/>
    <n v="1"/>
    <n v="125"/>
    <m/>
    <n v="0"/>
    <m/>
    <m/>
    <m/>
    <m/>
    <m/>
    <m/>
    <m/>
  </r>
  <r>
    <x v="23"/>
    <x v="51"/>
    <n v="0"/>
    <n v="35"/>
    <m/>
    <n v="2"/>
    <m/>
    <m/>
    <m/>
    <m/>
    <m/>
    <m/>
    <m/>
  </r>
  <r>
    <x v="0"/>
    <x v="52"/>
    <n v="61"/>
    <n v="1181"/>
    <n v="4"/>
    <n v="71"/>
    <m/>
    <m/>
    <m/>
    <m/>
    <m/>
    <m/>
    <m/>
  </r>
  <r>
    <x v="1"/>
    <x v="52"/>
    <n v="0"/>
    <n v="0"/>
    <m/>
    <n v="0"/>
    <m/>
    <m/>
    <m/>
    <m/>
    <m/>
    <m/>
    <m/>
  </r>
  <r>
    <x v="2"/>
    <x v="52"/>
    <n v="7"/>
    <n v="287"/>
    <n v="1"/>
    <n v="11"/>
    <m/>
    <m/>
    <m/>
    <m/>
    <m/>
    <m/>
    <m/>
  </r>
  <r>
    <x v="3"/>
    <x v="52"/>
    <n v="0"/>
    <n v="2"/>
    <m/>
    <n v="1"/>
    <m/>
    <m/>
    <m/>
    <m/>
    <m/>
    <m/>
    <m/>
  </r>
  <r>
    <x v="4"/>
    <x v="52"/>
    <n v="79"/>
    <n v="916"/>
    <n v="4"/>
    <n v="48"/>
    <m/>
    <m/>
    <m/>
    <m/>
    <m/>
    <m/>
    <m/>
  </r>
  <r>
    <x v="5"/>
    <x v="52"/>
    <n v="3"/>
    <n v="269"/>
    <n v="1"/>
    <n v="11"/>
    <m/>
    <m/>
    <m/>
    <m/>
    <m/>
    <m/>
    <m/>
  </r>
  <r>
    <x v="6"/>
    <x v="52"/>
    <n v="4"/>
    <n v="39"/>
    <m/>
    <n v="0"/>
    <m/>
    <m/>
    <m/>
    <m/>
    <m/>
    <m/>
    <m/>
  </r>
  <r>
    <x v="7"/>
    <x v="52"/>
    <n v="0"/>
    <n v="22"/>
    <m/>
    <n v="0"/>
    <m/>
    <m/>
    <m/>
    <m/>
    <m/>
    <m/>
    <m/>
  </r>
  <r>
    <x v="8"/>
    <x v="52"/>
    <n v="0"/>
    <n v="0"/>
    <m/>
    <n v="0"/>
    <m/>
    <m/>
    <m/>
    <m/>
    <m/>
    <m/>
    <m/>
  </r>
  <r>
    <x v="9"/>
    <x v="52"/>
    <n v="0"/>
    <n v="5"/>
    <m/>
    <n v="0"/>
    <m/>
    <m/>
    <m/>
    <m/>
    <m/>
    <m/>
    <m/>
  </r>
  <r>
    <x v="10"/>
    <x v="52"/>
    <n v="0"/>
    <n v="5"/>
    <m/>
    <n v="0"/>
    <m/>
    <m/>
    <m/>
    <m/>
    <m/>
    <m/>
    <m/>
  </r>
  <r>
    <x v="11"/>
    <x v="52"/>
    <n v="2"/>
    <n v="47"/>
    <m/>
    <n v="5"/>
    <m/>
    <m/>
    <m/>
    <m/>
    <m/>
    <m/>
    <m/>
  </r>
  <r>
    <x v="12"/>
    <x v="52"/>
    <n v="0"/>
    <n v="75"/>
    <m/>
    <n v="9"/>
    <m/>
    <m/>
    <m/>
    <m/>
    <m/>
    <m/>
    <m/>
  </r>
  <r>
    <x v="13"/>
    <x v="52"/>
    <n v="1"/>
    <n v="6"/>
    <n v="1"/>
    <n v="1"/>
    <m/>
    <m/>
    <m/>
    <m/>
    <m/>
    <m/>
    <m/>
  </r>
  <r>
    <x v="14"/>
    <x v="52"/>
    <n v="0"/>
    <n v="104"/>
    <m/>
    <n v="3"/>
    <m/>
    <m/>
    <m/>
    <m/>
    <m/>
    <m/>
    <m/>
  </r>
  <r>
    <x v="15"/>
    <x v="52"/>
    <n v="11"/>
    <n v="180"/>
    <m/>
    <n v="7"/>
    <m/>
    <m/>
    <m/>
    <m/>
    <m/>
    <m/>
    <m/>
  </r>
  <r>
    <x v="16"/>
    <x v="52"/>
    <n v="0"/>
    <n v="3"/>
    <m/>
    <n v="0"/>
    <m/>
    <m/>
    <m/>
    <m/>
    <m/>
    <m/>
    <m/>
  </r>
  <r>
    <x v="17"/>
    <x v="52"/>
    <n v="0"/>
    <n v="2"/>
    <m/>
    <n v="0"/>
    <m/>
    <m/>
    <m/>
    <m/>
    <m/>
    <m/>
    <m/>
  </r>
  <r>
    <x v="18"/>
    <x v="52"/>
    <n v="0"/>
    <n v="11"/>
    <m/>
    <n v="0"/>
    <m/>
    <m/>
    <m/>
    <m/>
    <m/>
    <m/>
    <m/>
  </r>
  <r>
    <x v="19"/>
    <x v="52"/>
    <n v="1"/>
    <n v="42"/>
    <m/>
    <n v="0"/>
    <m/>
    <m/>
    <m/>
    <m/>
    <m/>
    <m/>
    <m/>
  </r>
  <r>
    <x v="20"/>
    <x v="52"/>
    <n v="3"/>
    <n v="239"/>
    <m/>
    <n v="2"/>
    <m/>
    <m/>
    <m/>
    <m/>
    <m/>
    <m/>
    <m/>
  </r>
  <r>
    <x v="21"/>
    <x v="52"/>
    <n v="0"/>
    <n v="12"/>
    <m/>
    <n v="0"/>
    <m/>
    <m/>
    <m/>
    <m/>
    <m/>
    <m/>
    <m/>
  </r>
  <r>
    <x v="22"/>
    <x v="52"/>
    <n v="1"/>
    <n v="126"/>
    <m/>
    <n v="0"/>
    <m/>
    <m/>
    <m/>
    <m/>
    <m/>
    <m/>
    <m/>
  </r>
  <r>
    <x v="23"/>
    <x v="52"/>
    <n v="-1"/>
    <n v="34"/>
    <m/>
    <n v="2"/>
    <m/>
    <m/>
    <m/>
    <m/>
    <m/>
    <m/>
    <m/>
  </r>
  <r>
    <x v="0"/>
    <x v="53"/>
    <n v="94"/>
    <n v="1275"/>
    <n v="2"/>
    <n v="73"/>
    <m/>
    <m/>
    <m/>
    <m/>
    <m/>
    <m/>
    <m/>
  </r>
  <r>
    <x v="1"/>
    <x v="53"/>
    <n v="0"/>
    <n v="0"/>
    <m/>
    <n v="0"/>
    <m/>
    <m/>
    <m/>
    <m/>
    <m/>
    <m/>
    <m/>
  </r>
  <r>
    <x v="2"/>
    <x v="53"/>
    <n v="7"/>
    <n v="294"/>
    <m/>
    <n v="11"/>
    <m/>
    <m/>
    <m/>
    <m/>
    <m/>
    <m/>
    <m/>
  </r>
  <r>
    <x v="3"/>
    <x v="53"/>
    <n v="0"/>
    <n v="2"/>
    <m/>
    <n v="1"/>
    <m/>
    <m/>
    <m/>
    <m/>
    <m/>
    <m/>
    <m/>
  </r>
  <r>
    <x v="4"/>
    <x v="53"/>
    <n v="55"/>
    <n v="971"/>
    <n v="4"/>
    <n v="52"/>
    <m/>
    <m/>
    <m/>
    <m/>
    <m/>
    <m/>
    <m/>
  </r>
  <r>
    <x v="5"/>
    <x v="53"/>
    <n v="1"/>
    <n v="270"/>
    <n v="1"/>
    <n v="12"/>
    <m/>
    <m/>
    <m/>
    <m/>
    <m/>
    <m/>
    <m/>
  </r>
  <r>
    <x v="6"/>
    <x v="53"/>
    <n v="1"/>
    <n v="40"/>
    <m/>
    <n v="0"/>
    <m/>
    <m/>
    <m/>
    <m/>
    <m/>
    <m/>
    <m/>
  </r>
  <r>
    <x v="7"/>
    <x v="53"/>
    <n v="0"/>
    <n v="22"/>
    <m/>
    <n v="0"/>
    <m/>
    <m/>
    <m/>
    <m/>
    <m/>
    <m/>
    <m/>
  </r>
  <r>
    <x v="8"/>
    <x v="53"/>
    <n v="0"/>
    <n v="0"/>
    <m/>
    <n v="0"/>
    <m/>
    <m/>
    <m/>
    <m/>
    <m/>
    <m/>
    <m/>
  </r>
  <r>
    <x v="9"/>
    <x v="53"/>
    <n v="0"/>
    <n v="5"/>
    <m/>
    <n v="0"/>
    <m/>
    <m/>
    <m/>
    <m/>
    <m/>
    <m/>
    <m/>
  </r>
  <r>
    <x v="10"/>
    <x v="53"/>
    <n v="0"/>
    <n v="5"/>
    <m/>
    <n v="0"/>
    <m/>
    <m/>
    <m/>
    <m/>
    <m/>
    <m/>
    <m/>
  </r>
  <r>
    <x v="11"/>
    <x v="53"/>
    <n v="3"/>
    <n v="50"/>
    <n v="1"/>
    <n v="6"/>
    <m/>
    <m/>
    <m/>
    <m/>
    <m/>
    <m/>
    <m/>
  </r>
  <r>
    <x v="12"/>
    <x v="53"/>
    <n v="0"/>
    <n v="75"/>
    <m/>
    <n v="9"/>
    <m/>
    <m/>
    <m/>
    <m/>
    <m/>
    <m/>
    <m/>
  </r>
  <r>
    <x v="13"/>
    <x v="53"/>
    <n v="0"/>
    <n v="6"/>
    <m/>
    <n v="1"/>
    <m/>
    <m/>
    <m/>
    <m/>
    <m/>
    <m/>
    <m/>
  </r>
  <r>
    <x v="14"/>
    <x v="53"/>
    <n v="0"/>
    <n v="104"/>
    <m/>
    <n v="3"/>
    <m/>
    <m/>
    <m/>
    <m/>
    <m/>
    <m/>
    <m/>
  </r>
  <r>
    <x v="15"/>
    <x v="53"/>
    <n v="4"/>
    <n v="184"/>
    <n v="1"/>
    <n v="8"/>
    <m/>
    <m/>
    <m/>
    <m/>
    <m/>
    <m/>
    <m/>
  </r>
  <r>
    <x v="16"/>
    <x v="53"/>
    <n v="0"/>
    <n v="3"/>
    <m/>
    <n v="0"/>
    <m/>
    <m/>
    <m/>
    <m/>
    <m/>
    <m/>
    <m/>
  </r>
  <r>
    <x v="17"/>
    <x v="53"/>
    <n v="0"/>
    <n v="2"/>
    <m/>
    <n v="0"/>
    <m/>
    <m/>
    <m/>
    <m/>
    <m/>
    <m/>
    <m/>
  </r>
  <r>
    <x v="18"/>
    <x v="53"/>
    <n v="0"/>
    <n v="11"/>
    <m/>
    <n v="0"/>
    <m/>
    <m/>
    <m/>
    <m/>
    <m/>
    <m/>
    <m/>
  </r>
  <r>
    <x v="19"/>
    <x v="53"/>
    <n v="0"/>
    <n v="42"/>
    <m/>
    <n v="0"/>
    <m/>
    <m/>
    <m/>
    <m/>
    <m/>
    <m/>
    <m/>
  </r>
  <r>
    <x v="20"/>
    <x v="53"/>
    <n v="3"/>
    <n v="242"/>
    <m/>
    <n v="2"/>
    <m/>
    <m/>
    <m/>
    <m/>
    <m/>
    <m/>
    <m/>
  </r>
  <r>
    <x v="21"/>
    <x v="53"/>
    <n v="1"/>
    <n v="13"/>
    <m/>
    <n v="0"/>
    <m/>
    <m/>
    <m/>
    <m/>
    <m/>
    <m/>
    <m/>
  </r>
  <r>
    <x v="22"/>
    <x v="53"/>
    <n v="4"/>
    <n v="130"/>
    <m/>
    <n v="0"/>
    <m/>
    <m/>
    <m/>
    <m/>
    <m/>
    <m/>
    <m/>
  </r>
  <r>
    <x v="23"/>
    <x v="53"/>
    <n v="0"/>
    <n v="34"/>
    <m/>
    <n v="2"/>
    <m/>
    <m/>
    <m/>
    <m/>
    <m/>
    <m/>
    <m/>
  </r>
  <r>
    <x v="0"/>
    <x v="54"/>
    <n v="56"/>
    <n v="1331"/>
    <n v="2"/>
    <n v="75"/>
    <m/>
    <m/>
    <m/>
    <m/>
    <m/>
    <m/>
    <m/>
  </r>
  <r>
    <x v="1"/>
    <x v="54"/>
    <n v="0"/>
    <n v="0"/>
    <m/>
    <n v="0"/>
    <m/>
    <m/>
    <m/>
    <m/>
    <m/>
    <m/>
    <m/>
  </r>
  <r>
    <x v="2"/>
    <x v="54"/>
    <n v="3"/>
    <n v="297"/>
    <m/>
    <n v="11"/>
    <m/>
    <m/>
    <m/>
    <m/>
    <m/>
    <m/>
    <m/>
  </r>
  <r>
    <x v="3"/>
    <x v="54"/>
    <n v="0"/>
    <n v="2"/>
    <m/>
    <n v="1"/>
    <m/>
    <m/>
    <m/>
    <m/>
    <m/>
    <m/>
    <m/>
  </r>
  <r>
    <x v="4"/>
    <x v="54"/>
    <n v="36"/>
    <n v="1007"/>
    <n v="5"/>
    <n v="57"/>
    <m/>
    <m/>
    <m/>
    <m/>
    <m/>
    <m/>
    <m/>
  </r>
  <r>
    <x v="5"/>
    <x v="54"/>
    <n v="3"/>
    <n v="273"/>
    <m/>
    <n v="12"/>
    <m/>
    <m/>
    <m/>
    <m/>
    <m/>
    <m/>
    <m/>
  </r>
  <r>
    <x v="6"/>
    <x v="54"/>
    <n v="6"/>
    <n v="46"/>
    <m/>
    <n v="0"/>
    <m/>
    <m/>
    <m/>
    <m/>
    <m/>
    <m/>
    <m/>
  </r>
  <r>
    <x v="7"/>
    <x v="54"/>
    <n v="1"/>
    <n v="23"/>
    <m/>
    <n v="0"/>
    <m/>
    <m/>
    <m/>
    <m/>
    <m/>
    <m/>
    <m/>
  </r>
  <r>
    <x v="8"/>
    <x v="54"/>
    <n v="0"/>
    <n v="0"/>
    <m/>
    <n v="0"/>
    <m/>
    <m/>
    <m/>
    <m/>
    <m/>
    <m/>
    <m/>
  </r>
  <r>
    <x v="9"/>
    <x v="54"/>
    <n v="0"/>
    <n v="5"/>
    <m/>
    <n v="0"/>
    <m/>
    <m/>
    <m/>
    <m/>
    <m/>
    <m/>
    <m/>
  </r>
  <r>
    <x v="10"/>
    <x v="54"/>
    <n v="0"/>
    <n v="5"/>
    <m/>
    <n v="0"/>
    <m/>
    <m/>
    <m/>
    <m/>
    <m/>
    <m/>
    <m/>
  </r>
  <r>
    <x v="11"/>
    <x v="54"/>
    <n v="0"/>
    <n v="50"/>
    <m/>
    <n v="6"/>
    <m/>
    <m/>
    <m/>
    <m/>
    <m/>
    <m/>
    <m/>
  </r>
  <r>
    <x v="12"/>
    <x v="54"/>
    <n v="0"/>
    <n v="75"/>
    <m/>
    <n v="9"/>
    <m/>
    <m/>
    <m/>
    <m/>
    <m/>
    <m/>
    <m/>
  </r>
  <r>
    <x v="13"/>
    <x v="54"/>
    <n v="0"/>
    <n v="6"/>
    <m/>
    <n v="1"/>
    <m/>
    <m/>
    <m/>
    <m/>
    <m/>
    <m/>
    <m/>
  </r>
  <r>
    <x v="14"/>
    <x v="54"/>
    <n v="1"/>
    <n v="105"/>
    <m/>
    <n v="3"/>
    <m/>
    <m/>
    <m/>
    <m/>
    <m/>
    <m/>
    <m/>
  </r>
  <r>
    <x v="15"/>
    <x v="54"/>
    <n v="1"/>
    <n v="185"/>
    <m/>
    <n v="8"/>
    <m/>
    <m/>
    <m/>
    <m/>
    <m/>
    <m/>
    <m/>
  </r>
  <r>
    <x v="16"/>
    <x v="54"/>
    <n v="1"/>
    <n v="4"/>
    <m/>
    <n v="0"/>
    <m/>
    <m/>
    <m/>
    <m/>
    <m/>
    <m/>
    <m/>
  </r>
  <r>
    <x v="17"/>
    <x v="54"/>
    <n v="0"/>
    <n v="2"/>
    <m/>
    <n v="0"/>
    <m/>
    <m/>
    <m/>
    <m/>
    <m/>
    <m/>
    <m/>
  </r>
  <r>
    <x v="18"/>
    <x v="54"/>
    <n v="0"/>
    <n v="11"/>
    <m/>
    <n v="0"/>
    <m/>
    <m/>
    <m/>
    <m/>
    <m/>
    <m/>
    <m/>
  </r>
  <r>
    <x v="19"/>
    <x v="54"/>
    <n v="1"/>
    <n v="43"/>
    <m/>
    <n v="0"/>
    <m/>
    <m/>
    <m/>
    <m/>
    <m/>
    <m/>
    <m/>
  </r>
  <r>
    <x v="20"/>
    <x v="54"/>
    <n v="0"/>
    <n v="242"/>
    <m/>
    <n v="2"/>
    <m/>
    <m/>
    <m/>
    <m/>
    <m/>
    <m/>
    <m/>
  </r>
  <r>
    <x v="21"/>
    <x v="54"/>
    <n v="2"/>
    <n v="15"/>
    <m/>
    <n v="0"/>
    <m/>
    <m/>
    <m/>
    <m/>
    <m/>
    <m/>
    <m/>
  </r>
  <r>
    <x v="22"/>
    <x v="54"/>
    <n v="0"/>
    <n v="130"/>
    <m/>
    <n v="0"/>
    <m/>
    <m/>
    <m/>
    <m/>
    <m/>
    <m/>
    <m/>
  </r>
  <r>
    <x v="23"/>
    <x v="54"/>
    <n v="1"/>
    <n v="35"/>
    <m/>
    <n v="2"/>
    <m/>
    <m/>
    <m/>
    <m/>
    <m/>
    <m/>
    <m/>
  </r>
  <r>
    <x v="0"/>
    <x v="55"/>
    <n v="50"/>
    <n v="1381"/>
    <n v="1"/>
    <n v="76"/>
    <m/>
    <m/>
    <m/>
    <m/>
    <m/>
    <m/>
    <m/>
  </r>
  <r>
    <x v="1"/>
    <x v="55"/>
    <n v="0"/>
    <n v="0"/>
    <m/>
    <n v="0"/>
    <m/>
    <m/>
    <m/>
    <m/>
    <m/>
    <m/>
    <m/>
  </r>
  <r>
    <x v="2"/>
    <x v="55"/>
    <n v="10"/>
    <n v="307"/>
    <n v="1"/>
    <n v="12"/>
    <m/>
    <m/>
    <m/>
    <m/>
    <m/>
    <m/>
    <m/>
  </r>
  <r>
    <x v="3"/>
    <x v="55"/>
    <n v="0"/>
    <n v="2"/>
    <m/>
    <n v="1"/>
    <m/>
    <m/>
    <m/>
    <m/>
    <m/>
    <m/>
    <m/>
  </r>
  <r>
    <x v="4"/>
    <x v="55"/>
    <n v="32"/>
    <n v="1039"/>
    <n v="2"/>
    <n v="59"/>
    <m/>
    <m/>
    <m/>
    <m/>
    <m/>
    <m/>
    <m/>
  </r>
  <r>
    <x v="5"/>
    <x v="55"/>
    <n v="0"/>
    <n v="273"/>
    <n v="1"/>
    <n v="13"/>
    <m/>
    <m/>
    <m/>
    <m/>
    <m/>
    <m/>
    <m/>
  </r>
  <r>
    <x v="6"/>
    <x v="55"/>
    <n v="0"/>
    <n v="46"/>
    <m/>
    <n v="0"/>
    <m/>
    <m/>
    <m/>
    <m/>
    <m/>
    <m/>
    <m/>
  </r>
  <r>
    <x v="7"/>
    <x v="55"/>
    <n v="0"/>
    <n v="23"/>
    <m/>
    <n v="0"/>
    <m/>
    <m/>
    <m/>
    <m/>
    <m/>
    <m/>
    <m/>
  </r>
  <r>
    <x v="8"/>
    <x v="55"/>
    <n v="0"/>
    <n v="0"/>
    <m/>
    <n v="0"/>
    <m/>
    <m/>
    <m/>
    <m/>
    <m/>
    <m/>
    <m/>
  </r>
  <r>
    <x v="9"/>
    <x v="55"/>
    <n v="0"/>
    <n v="5"/>
    <m/>
    <n v="0"/>
    <m/>
    <m/>
    <m/>
    <m/>
    <m/>
    <m/>
    <m/>
  </r>
  <r>
    <x v="10"/>
    <x v="55"/>
    <n v="0"/>
    <n v="5"/>
    <m/>
    <n v="0"/>
    <m/>
    <m/>
    <m/>
    <m/>
    <m/>
    <m/>
    <m/>
  </r>
  <r>
    <x v="11"/>
    <x v="55"/>
    <n v="0"/>
    <n v="50"/>
    <m/>
    <n v="6"/>
    <m/>
    <m/>
    <m/>
    <m/>
    <m/>
    <m/>
    <m/>
  </r>
  <r>
    <x v="12"/>
    <x v="55"/>
    <n v="0"/>
    <n v="75"/>
    <m/>
    <n v="9"/>
    <m/>
    <m/>
    <m/>
    <m/>
    <m/>
    <m/>
    <m/>
  </r>
  <r>
    <x v="13"/>
    <x v="55"/>
    <n v="2"/>
    <n v="8"/>
    <m/>
    <n v="1"/>
    <m/>
    <m/>
    <m/>
    <m/>
    <m/>
    <m/>
    <m/>
  </r>
  <r>
    <x v="14"/>
    <x v="55"/>
    <n v="3"/>
    <n v="108"/>
    <m/>
    <n v="3"/>
    <m/>
    <m/>
    <m/>
    <m/>
    <m/>
    <m/>
    <m/>
  </r>
  <r>
    <x v="15"/>
    <x v="55"/>
    <n v="8"/>
    <n v="193"/>
    <m/>
    <n v="8"/>
    <m/>
    <m/>
    <m/>
    <m/>
    <m/>
    <m/>
    <m/>
  </r>
  <r>
    <x v="16"/>
    <x v="55"/>
    <n v="0"/>
    <n v="4"/>
    <m/>
    <n v="0"/>
    <m/>
    <m/>
    <m/>
    <m/>
    <m/>
    <m/>
    <m/>
  </r>
  <r>
    <x v="17"/>
    <x v="55"/>
    <n v="0"/>
    <n v="2"/>
    <m/>
    <n v="0"/>
    <m/>
    <m/>
    <m/>
    <m/>
    <m/>
    <m/>
    <m/>
  </r>
  <r>
    <x v="18"/>
    <x v="55"/>
    <n v="0"/>
    <n v="11"/>
    <m/>
    <n v="0"/>
    <m/>
    <m/>
    <m/>
    <m/>
    <m/>
    <m/>
    <m/>
  </r>
  <r>
    <x v="19"/>
    <x v="55"/>
    <n v="5"/>
    <n v="48"/>
    <m/>
    <n v="0"/>
    <m/>
    <m/>
    <m/>
    <m/>
    <m/>
    <m/>
    <m/>
  </r>
  <r>
    <x v="20"/>
    <x v="55"/>
    <n v="0"/>
    <n v="242"/>
    <m/>
    <n v="2"/>
    <m/>
    <m/>
    <m/>
    <m/>
    <m/>
    <m/>
    <m/>
  </r>
  <r>
    <x v="21"/>
    <x v="55"/>
    <n v="0"/>
    <n v="15"/>
    <m/>
    <n v="0"/>
    <m/>
    <m/>
    <m/>
    <m/>
    <m/>
    <m/>
    <m/>
  </r>
  <r>
    <x v="22"/>
    <x v="55"/>
    <n v="1"/>
    <n v="131"/>
    <m/>
    <n v="0"/>
    <m/>
    <m/>
    <m/>
    <m/>
    <m/>
    <m/>
    <m/>
  </r>
  <r>
    <x v="23"/>
    <x v="55"/>
    <n v="0"/>
    <n v="35"/>
    <m/>
    <n v="2"/>
    <m/>
    <m/>
    <m/>
    <m/>
    <m/>
    <m/>
    <m/>
  </r>
  <r>
    <x v="0"/>
    <x v="56"/>
    <n v="48"/>
    <n v="1429"/>
    <n v="6"/>
    <n v="82"/>
    <m/>
    <m/>
    <m/>
    <m/>
    <m/>
    <m/>
    <m/>
  </r>
  <r>
    <x v="1"/>
    <x v="56"/>
    <n v="0"/>
    <n v="0"/>
    <m/>
    <n v="0"/>
    <m/>
    <m/>
    <m/>
    <m/>
    <m/>
    <m/>
    <m/>
  </r>
  <r>
    <x v="2"/>
    <x v="56"/>
    <n v="0"/>
    <n v="307"/>
    <m/>
    <n v="12"/>
    <m/>
    <m/>
    <m/>
    <m/>
    <m/>
    <m/>
    <m/>
  </r>
  <r>
    <x v="3"/>
    <x v="56"/>
    <n v="0"/>
    <n v="2"/>
    <m/>
    <n v="1"/>
    <m/>
    <m/>
    <m/>
    <m/>
    <m/>
    <m/>
    <m/>
  </r>
  <r>
    <x v="4"/>
    <x v="56"/>
    <n v="50"/>
    <n v="1089"/>
    <n v="2"/>
    <n v="61"/>
    <m/>
    <m/>
    <m/>
    <m/>
    <m/>
    <m/>
    <m/>
  </r>
  <r>
    <x v="5"/>
    <x v="56"/>
    <n v="2"/>
    <n v="275"/>
    <n v="1"/>
    <n v="14"/>
    <m/>
    <m/>
    <m/>
    <m/>
    <m/>
    <m/>
    <m/>
  </r>
  <r>
    <x v="6"/>
    <x v="56"/>
    <n v="1"/>
    <n v="47"/>
    <m/>
    <n v="0"/>
    <m/>
    <m/>
    <m/>
    <m/>
    <m/>
    <m/>
    <m/>
  </r>
  <r>
    <x v="7"/>
    <x v="56"/>
    <n v="0"/>
    <n v="23"/>
    <m/>
    <n v="0"/>
    <m/>
    <m/>
    <m/>
    <m/>
    <m/>
    <m/>
    <m/>
  </r>
  <r>
    <x v="8"/>
    <x v="56"/>
    <n v="0"/>
    <n v="0"/>
    <m/>
    <n v="0"/>
    <m/>
    <m/>
    <m/>
    <m/>
    <m/>
    <m/>
    <m/>
  </r>
  <r>
    <x v="9"/>
    <x v="56"/>
    <n v="0"/>
    <n v="5"/>
    <m/>
    <n v="0"/>
    <m/>
    <m/>
    <m/>
    <m/>
    <m/>
    <m/>
    <m/>
  </r>
  <r>
    <x v="10"/>
    <x v="56"/>
    <n v="0"/>
    <n v="5"/>
    <m/>
    <n v="0"/>
    <m/>
    <m/>
    <m/>
    <m/>
    <m/>
    <m/>
    <m/>
  </r>
  <r>
    <x v="11"/>
    <x v="56"/>
    <n v="1"/>
    <n v="51"/>
    <m/>
    <n v="0"/>
    <m/>
    <m/>
    <m/>
    <m/>
    <m/>
    <m/>
    <m/>
  </r>
  <r>
    <x v="12"/>
    <x v="56"/>
    <n v="1"/>
    <n v="76"/>
    <m/>
    <n v="6"/>
    <m/>
    <m/>
    <m/>
    <m/>
    <m/>
    <m/>
    <m/>
  </r>
  <r>
    <x v="13"/>
    <x v="56"/>
    <n v="0"/>
    <n v="8"/>
    <m/>
    <n v="9"/>
    <m/>
    <m/>
    <m/>
    <m/>
    <m/>
    <m/>
    <m/>
  </r>
  <r>
    <x v="14"/>
    <x v="56"/>
    <n v="0"/>
    <n v="108"/>
    <n v="1"/>
    <n v="2"/>
    <m/>
    <m/>
    <m/>
    <m/>
    <m/>
    <m/>
    <m/>
  </r>
  <r>
    <x v="15"/>
    <x v="56"/>
    <n v="13"/>
    <n v="206"/>
    <m/>
    <n v="3"/>
    <m/>
    <m/>
    <m/>
    <m/>
    <m/>
    <m/>
    <m/>
  </r>
  <r>
    <x v="16"/>
    <x v="56"/>
    <n v="0"/>
    <n v="4"/>
    <m/>
    <n v="8"/>
    <m/>
    <m/>
    <m/>
    <m/>
    <m/>
    <m/>
    <m/>
  </r>
  <r>
    <x v="17"/>
    <x v="56"/>
    <n v="0"/>
    <n v="2"/>
    <m/>
    <n v="0"/>
    <m/>
    <m/>
    <m/>
    <m/>
    <m/>
    <m/>
    <m/>
  </r>
  <r>
    <x v="18"/>
    <x v="56"/>
    <n v="0"/>
    <n v="11"/>
    <m/>
    <n v="0"/>
    <m/>
    <m/>
    <m/>
    <m/>
    <m/>
    <m/>
    <m/>
  </r>
  <r>
    <x v="19"/>
    <x v="56"/>
    <n v="0"/>
    <n v="48"/>
    <m/>
    <n v="0"/>
    <m/>
    <m/>
    <m/>
    <m/>
    <m/>
    <m/>
    <m/>
  </r>
  <r>
    <x v="20"/>
    <x v="56"/>
    <n v="1"/>
    <n v="243"/>
    <m/>
    <n v="2"/>
    <m/>
    <m/>
    <m/>
    <m/>
    <m/>
    <m/>
    <m/>
  </r>
  <r>
    <x v="21"/>
    <x v="56"/>
    <n v="0"/>
    <n v="15"/>
    <m/>
    <n v="0"/>
    <m/>
    <m/>
    <m/>
    <m/>
    <m/>
    <m/>
    <m/>
  </r>
  <r>
    <x v="22"/>
    <x v="56"/>
    <n v="6"/>
    <n v="137"/>
    <m/>
    <n v="0"/>
    <m/>
    <m/>
    <m/>
    <m/>
    <m/>
    <m/>
    <m/>
  </r>
  <r>
    <x v="23"/>
    <x v="56"/>
    <n v="1"/>
    <n v="36"/>
    <m/>
    <n v="2"/>
    <m/>
    <m/>
    <m/>
    <m/>
    <m/>
    <m/>
    <m/>
  </r>
  <r>
    <x v="0"/>
    <x v="57"/>
    <n v="103"/>
    <n v="1532"/>
    <n v="2"/>
    <n v="84"/>
    <m/>
    <m/>
    <m/>
    <m/>
    <m/>
    <m/>
    <m/>
  </r>
  <r>
    <x v="1"/>
    <x v="57"/>
    <n v="0"/>
    <n v="0"/>
    <m/>
    <n v="0"/>
    <m/>
    <m/>
    <m/>
    <m/>
    <m/>
    <m/>
    <m/>
  </r>
  <r>
    <x v="2"/>
    <x v="57"/>
    <n v="4"/>
    <n v="311"/>
    <n v="1"/>
    <n v="13"/>
    <m/>
    <m/>
    <m/>
    <m/>
    <m/>
    <m/>
    <m/>
  </r>
  <r>
    <x v="3"/>
    <x v="57"/>
    <n v="0"/>
    <n v="2"/>
    <m/>
    <n v="1"/>
    <m/>
    <m/>
    <m/>
    <m/>
    <m/>
    <m/>
    <m/>
  </r>
  <r>
    <x v="4"/>
    <x v="57"/>
    <n v="34"/>
    <n v="1123"/>
    <n v="3"/>
    <n v="64"/>
    <m/>
    <m/>
    <m/>
    <m/>
    <m/>
    <m/>
    <m/>
  </r>
  <r>
    <x v="5"/>
    <x v="57"/>
    <n v="1"/>
    <n v="276"/>
    <m/>
    <n v="14"/>
    <m/>
    <m/>
    <m/>
    <m/>
    <m/>
    <m/>
    <m/>
  </r>
  <r>
    <x v="6"/>
    <x v="57"/>
    <n v="0"/>
    <n v="47"/>
    <m/>
    <n v="0"/>
    <m/>
    <m/>
    <m/>
    <m/>
    <m/>
    <m/>
    <m/>
  </r>
  <r>
    <x v="7"/>
    <x v="57"/>
    <n v="0"/>
    <n v="23"/>
    <m/>
    <n v="0"/>
    <m/>
    <m/>
    <m/>
    <m/>
    <m/>
    <m/>
    <m/>
  </r>
  <r>
    <x v="8"/>
    <x v="57"/>
    <n v="0"/>
    <n v="0"/>
    <m/>
    <n v="0"/>
    <m/>
    <m/>
    <m/>
    <m/>
    <m/>
    <m/>
    <m/>
  </r>
  <r>
    <x v="9"/>
    <x v="57"/>
    <n v="0"/>
    <n v="5"/>
    <m/>
    <n v="0"/>
    <m/>
    <m/>
    <m/>
    <m/>
    <m/>
    <m/>
    <m/>
  </r>
  <r>
    <x v="10"/>
    <x v="57"/>
    <n v="0"/>
    <n v="5"/>
    <m/>
    <n v="0"/>
    <m/>
    <m/>
    <m/>
    <m/>
    <m/>
    <m/>
    <m/>
  </r>
  <r>
    <x v="11"/>
    <x v="57"/>
    <n v="1"/>
    <n v="52"/>
    <m/>
    <n v="0"/>
    <m/>
    <m/>
    <m/>
    <m/>
    <m/>
    <m/>
    <m/>
  </r>
  <r>
    <x v="12"/>
    <x v="57"/>
    <n v="2"/>
    <n v="78"/>
    <m/>
    <n v="0"/>
    <m/>
    <m/>
    <m/>
    <m/>
    <m/>
    <m/>
    <m/>
  </r>
  <r>
    <x v="13"/>
    <x v="57"/>
    <n v="4"/>
    <n v="12"/>
    <m/>
    <n v="6"/>
    <m/>
    <m/>
    <m/>
    <m/>
    <m/>
    <m/>
    <m/>
  </r>
  <r>
    <x v="14"/>
    <x v="57"/>
    <n v="1"/>
    <n v="109"/>
    <m/>
    <n v="9"/>
    <m/>
    <m/>
    <m/>
    <m/>
    <m/>
    <m/>
    <m/>
  </r>
  <r>
    <x v="15"/>
    <x v="57"/>
    <n v="8"/>
    <n v="214"/>
    <n v="1"/>
    <n v="3"/>
    <m/>
    <m/>
    <m/>
    <m/>
    <m/>
    <m/>
    <m/>
  </r>
  <r>
    <x v="16"/>
    <x v="57"/>
    <n v="0"/>
    <n v="4"/>
    <m/>
    <n v="3"/>
    <m/>
    <m/>
    <m/>
    <m/>
    <m/>
    <m/>
    <m/>
  </r>
  <r>
    <x v="17"/>
    <x v="57"/>
    <n v="0"/>
    <n v="2"/>
    <m/>
    <n v="0"/>
    <m/>
    <m/>
    <m/>
    <m/>
    <m/>
    <m/>
    <m/>
  </r>
  <r>
    <x v="18"/>
    <x v="57"/>
    <n v="0"/>
    <n v="11"/>
    <m/>
    <n v="0"/>
    <m/>
    <m/>
    <m/>
    <m/>
    <m/>
    <m/>
    <m/>
  </r>
  <r>
    <x v="19"/>
    <x v="57"/>
    <n v="0"/>
    <n v="48"/>
    <m/>
    <n v="0"/>
    <m/>
    <m/>
    <m/>
    <m/>
    <m/>
    <m/>
    <m/>
  </r>
  <r>
    <x v="20"/>
    <x v="57"/>
    <n v="0"/>
    <n v="243"/>
    <m/>
    <n v="2"/>
    <m/>
    <m/>
    <m/>
    <m/>
    <m/>
    <m/>
    <m/>
  </r>
  <r>
    <x v="21"/>
    <x v="57"/>
    <n v="0"/>
    <n v="15"/>
    <m/>
    <n v="0"/>
    <m/>
    <m/>
    <m/>
    <m/>
    <m/>
    <m/>
    <m/>
  </r>
  <r>
    <x v="22"/>
    <x v="57"/>
    <n v="0"/>
    <n v="137"/>
    <m/>
    <n v="0"/>
    <m/>
    <m/>
    <m/>
    <m/>
    <m/>
    <m/>
    <m/>
  </r>
  <r>
    <x v="23"/>
    <x v="57"/>
    <n v="0"/>
    <n v="36"/>
    <m/>
    <n v="2"/>
    <m/>
    <m/>
    <m/>
    <m/>
    <m/>
    <m/>
    <m/>
  </r>
  <r>
    <x v="0"/>
    <x v="58"/>
    <n v="66"/>
    <n v="1598"/>
    <n v="2"/>
    <n v="86"/>
    <m/>
    <m/>
    <m/>
    <m/>
    <m/>
    <m/>
    <m/>
  </r>
  <r>
    <x v="1"/>
    <x v="58"/>
    <n v="0"/>
    <n v="0"/>
    <m/>
    <n v="0"/>
    <m/>
    <m/>
    <m/>
    <m/>
    <m/>
    <m/>
    <m/>
  </r>
  <r>
    <x v="2"/>
    <x v="58"/>
    <n v="3"/>
    <n v="314"/>
    <m/>
    <n v="13"/>
    <m/>
    <m/>
    <m/>
    <m/>
    <m/>
    <m/>
    <m/>
  </r>
  <r>
    <x v="3"/>
    <x v="58"/>
    <n v="0"/>
    <n v="2"/>
    <m/>
    <n v="1"/>
    <m/>
    <m/>
    <m/>
    <m/>
    <m/>
    <m/>
    <m/>
  </r>
  <r>
    <x v="4"/>
    <x v="58"/>
    <n v="45"/>
    <n v="1168"/>
    <n v="2"/>
    <n v="66"/>
    <m/>
    <m/>
    <m/>
    <m/>
    <m/>
    <m/>
    <m/>
  </r>
  <r>
    <x v="5"/>
    <x v="58"/>
    <n v="2"/>
    <n v="278"/>
    <m/>
    <n v="14"/>
    <m/>
    <m/>
    <m/>
    <m/>
    <m/>
    <m/>
    <m/>
  </r>
  <r>
    <x v="6"/>
    <x v="58"/>
    <n v="1"/>
    <n v="48"/>
    <m/>
    <n v="0"/>
    <m/>
    <m/>
    <m/>
    <m/>
    <m/>
    <m/>
    <m/>
  </r>
  <r>
    <x v="7"/>
    <x v="58"/>
    <n v="0"/>
    <n v="23"/>
    <m/>
    <n v="0"/>
    <m/>
    <m/>
    <m/>
    <m/>
    <m/>
    <m/>
    <m/>
  </r>
  <r>
    <x v="8"/>
    <x v="58"/>
    <n v="0"/>
    <n v="0"/>
    <m/>
    <n v="0"/>
    <m/>
    <m/>
    <m/>
    <m/>
    <m/>
    <m/>
    <m/>
  </r>
  <r>
    <x v="9"/>
    <x v="58"/>
    <n v="0"/>
    <n v="5"/>
    <m/>
    <n v="0"/>
    <m/>
    <m/>
    <m/>
    <m/>
    <m/>
    <m/>
    <m/>
  </r>
  <r>
    <x v="10"/>
    <x v="58"/>
    <n v="0"/>
    <n v="5"/>
    <m/>
    <n v="0"/>
    <m/>
    <m/>
    <m/>
    <m/>
    <m/>
    <m/>
    <m/>
  </r>
  <r>
    <x v="11"/>
    <x v="58"/>
    <n v="0"/>
    <n v="52"/>
    <m/>
    <n v="0"/>
    <m/>
    <m/>
    <m/>
    <m/>
    <m/>
    <m/>
    <m/>
  </r>
  <r>
    <x v="12"/>
    <x v="58"/>
    <n v="5"/>
    <n v="83"/>
    <m/>
    <n v="0"/>
    <m/>
    <m/>
    <m/>
    <m/>
    <m/>
    <m/>
    <m/>
  </r>
  <r>
    <x v="13"/>
    <x v="58"/>
    <n v="0"/>
    <n v="12"/>
    <m/>
    <n v="0"/>
    <m/>
    <m/>
    <m/>
    <m/>
    <m/>
    <m/>
    <m/>
  </r>
  <r>
    <x v="14"/>
    <x v="58"/>
    <n v="1"/>
    <n v="110"/>
    <m/>
    <n v="6"/>
    <m/>
    <m/>
    <m/>
    <m/>
    <m/>
    <m/>
    <m/>
  </r>
  <r>
    <x v="15"/>
    <x v="58"/>
    <n v="14"/>
    <n v="228"/>
    <m/>
    <n v="9"/>
    <m/>
    <m/>
    <m/>
    <m/>
    <m/>
    <m/>
    <m/>
  </r>
  <r>
    <x v="16"/>
    <x v="58"/>
    <n v="0"/>
    <n v="4"/>
    <m/>
    <n v="3"/>
    <m/>
    <m/>
    <m/>
    <m/>
    <m/>
    <m/>
    <m/>
  </r>
  <r>
    <x v="17"/>
    <x v="58"/>
    <n v="0"/>
    <n v="2"/>
    <m/>
    <n v="0"/>
    <m/>
    <m/>
    <m/>
    <m/>
    <m/>
    <m/>
    <m/>
  </r>
  <r>
    <x v="18"/>
    <x v="58"/>
    <n v="0"/>
    <n v="11"/>
    <m/>
    <n v="0"/>
    <m/>
    <m/>
    <m/>
    <m/>
    <m/>
    <m/>
    <m/>
  </r>
  <r>
    <x v="19"/>
    <x v="58"/>
    <n v="1"/>
    <n v="49"/>
    <m/>
    <n v="0"/>
    <m/>
    <m/>
    <m/>
    <m/>
    <m/>
    <m/>
    <m/>
  </r>
  <r>
    <x v="20"/>
    <x v="58"/>
    <n v="0"/>
    <n v="243"/>
    <m/>
    <n v="2"/>
    <m/>
    <m/>
    <m/>
    <m/>
    <m/>
    <m/>
    <m/>
  </r>
  <r>
    <x v="21"/>
    <x v="58"/>
    <n v="0"/>
    <n v="15"/>
    <m/>
    <n v="0"/>
    <m/>
    <m/>
    <m/>
    <m/>
    <m/>
    <m/>
    <m/>
  </r>
  <r>
    <x v="22"/>
    <x v="58"/>
    <n v="2"/>
    <n v="139"/>
    <m/>
    <n v="0"/>
    <m/>
    <m/>
    <m/>
    <m/>
    <m/>
    <m/>
    <m/>
  </r>
  <r>
    <x v="23"/>
    <x v="58"/>
    <n v="2"/>
    <n v="38"/>
    <m/>
    <n v="2"/>
    <m/>
    <m/>
    <m/>
    <m/>
    <m/>
    <m/>
    <m/>
  </r>
  <r>
    <x v="0"/>
    <x v="59"/>
    <n v="34"/>
    <n v="1632"/>
    <n v="3"/>
    <n v="89"/>
    <m/>
    <m/>
    <m/>
    <m/>
    <m/>
    <m/>
    <m/>
  </r>
  <r>
    <x v="1"/>
    <x v="59"/>
    <n v="0"/>
    <n v="0"/>
    <m/>
    <n v="0"/>
    <m/>
    <m/>
    <m/>
    <m/>
    <m/>
    <m/>
    <m/>
  </r>
  <r>
    <x v="2"/>
    <x v="59"/>
    <n v="12"/>
    <n v="326"/>
    <m/>
    <n v="13"/>
    <m/>
    <m/>
    <m/>
    <m/>
    <m/>
    <m/>
    <m/>
  </r>
  <r>
    <x v="3"/>
    <x v="59"/>
    <n v="1"/>
    <n v="3"/>
    <m/>
    <n v="1"/>
    <m/>
    <m/>
    <m/>
    <m/>
    <m/>
    <m/>
    <m/>
  </r>
  <r>
    <x v="4"/>
    <x v="59"/>
    <n v="29"/>
    <n v="1197"/>
    <n v="4"/>
    <n v="70"/>
    <m/>
    <m/>
    <m/>
    <m/>
    <m/>
    <m/>
    <m/>
  </r>
  <r>
    <x v="5"/>
    <x v="59"/>
    <n v="13"/>
    <n v="291"/>
    <m/>
    <n v="14"/>
    <m/>
    <m/>
    <m/>
    <m/>
    <m/>
    <m/>
    <m/>
  </r>
  <r>
    <x v="6"/>
    <x v="59"/>
    <n v="1"/>
    <n v="49"/>
    <m/>
    <n v="0"/>
    <m/>
    <m/>
    <m/>
    <m/>
    <m/>
    <m/>
    <m/>
  </r>
  <r>
    <x v="7"/>
    <x v="59"/>
    <n v="2"/>
    <n v="25"/>
    <m/>
    <n v="0"/>
    <m/>
    <m/>
    <m/>
    <m/>
    <m/>
    <m/>
    <m/>
  </r>
  <r>
    <x v="8"/>
    <x v="59"/>
    <n v="0"/>
    <n v="0"/>
    <m/>
    <n v="0"/>
    <m/>
    <m/>
    <m/>
    <m/>
    <m/>
    <m/>
    <m/>
  </r>
  <r>
    <x v="9"/>
    <x v="59"/>
    <n v="0"/>
    <n v="5"/>
    <m/>
    <n v="0"/>
    <m/>
    <m/>
    <m/>
    <m/>
    <m/>
    <m/>
    <m/>
  </r>
  <r>
    <x v="10"/>
    <x v="59"/>
    <n v="0"/>
    <n v="5"/>
    <m/>
    <n v="0"/>
    <m/>
    <m/>
    <m/>
    <m/>
    <m/>
    <m/>
    <m/>
  </r>
  <r>
    <x v="11"/>
    <x v="59"/>
    <n v="3"/>
    <n v="55"/>
    <m/>
    <n v="0"/>
    <m/>
    <m/>
    <m/>
    <m/>
    <m/>
    <m/>
    <m/>
  </r>
  <r>
    <x v="12"/>
    <x v="59"/>
    <n v="1"/>
    <n v="84"/>
    <m/>
    <n v="0"/>
    <m/>
    <m/>
    <m/>
    <m/>
    <m/>
    <m/>
    <m/>
  </r>
  <r>
    <x v="13"/>
    <x v="59"/>
    <n v="0"/>
    <n v="12"/>
    <m/>
    <n v="0"/>
    <m/>
    <m/>
    <m/>
    <m/>
    <m/>
    <m/>
    <m/>
  </r>
  <r>
    <x v="14"/>
    <x v="59"/>
    <n v="0"/>
    <n v="110"/>
    <m/>
    <n v="0"/>
    <m/>
    <m/>
    <m/>
    <m/>
    <m/>
    <m/>
    <m/>
  </r>
  <r>
    <x v="15"/>
    <x v="59"/>
    <n v="8"/>
    <n v="236"/>
    <m/>
    <n v="6"/>
    <m/>
    <m/>
    <m/>
    <m/>
    <m/>
    <m/>
    <m/>
  </r>
  <r>
    <x v="16"/>
    <x v="59"/>
    <n v="0"/>
    <n v="4"/>
    <m/>
    <n v="9"/>
    <m/>
    <m/>
    <m/>
    <m/>
    <m/>
    <m/>
    <m/>
  </r>
  <r>
    <x v="17"/>
    <x v="59"/>
    <n v="0"/>
    <n v="2"/>
    <m/>
    <n v="0"/>
    <m/>
    <m/>
    <m/>
    <m/>
    <m/>
    <m/>
    <m/>
  </r>
  <r>
    <x v="18"/>
    <x v="59"/>
    <n v="0"/>
    <n v="11"/>
    <m/>
    <n v="0"/>
    <m/>
    <m/>
    <m/>
    <m/>
    <m/>
    <m/>
    <m/>
  </r>
  <r>
    <x v="19"/>
    <x v="59"/>
    <n v="0"/>
    <n v="49"/>
    <m/>
    <n v="0"/>
    <m/>
    <m/>
    <m/>
    <m/>
    <m/>
    <m/>
    <m/>
  </r>
  <r>
    <x v="20"/>
    <x v="59"/>
    <n v="0"/>
    <n v="243"/>
    <m/>
    <n v="2"/>
    <m/>
    <m/>
    <m/>
    <m/>
    <m/>
    <m/>
    <m/>
  </r>
  <r>
    <x v="21"/>
    <x v="59"/>
    <n v="0"/>
    <n v="15"/>
    <m/>
    <n v="0"/>
    <m/>
    <m/>
    <m/>
    <m/>
    <m/>
    <m/>
    <m/>
  </r>
  <r>
    <x v="22"/>
    <x v="59"/>
    <n v="1"/>
    <n v="140"/>
    <m/>
    <n v="0"/>
    <m/>
    <m/>
    <m/>
    <m/>
    <m/>
    <m/>
    <m/>
  </r>
  <r>
    <x v="23"/>
    <x v="59"/>
    <n v="0"/>
    <n v="38"/>
    <m/>
    <n v="2"/>
    <m/>
    <m/>
    <m/>
    <m/>
    <m/>
    <m/>
    <m/>
  </r>
  <r>
    <x v="0"/>
    <x v="60"/>
    <n v="45"/>
    <n v="1677"/>
    <n v="2"/>
    <n v="91"/>
    <m/>
    <m/>
    <m/>
    <m/>
    <m/>
    <m/>
    <m/>
  </r>
  <r>
    <x v="1"/>
    <x v="60"/>
    <n v="0"/>
    <n v="0"/>
    <m/>
    <n v="0"/>
    <m/>
    <m/>
    <m/>
    <m/>
    <m/>
    <m/>
    <m/>
  </r>
  <r>
    <x v="2"/>
    <x v="60"/>
    <n v="11"/>
    <n v="337"/>
    <n v="3"/>
    <n v="16"/>
    <m/>
    <m/>
    <m/>
    <m/>
    <m/>
    <m/>
    <m/>
  </r>
  <r>
    <x v="3"/>
    <x v="60"/>
    <n v="1"/>
    <n v="4"/>
    <m/>
    <n v="1"/>
    <m/>
    <m/>
    <m/>
    <m/>
    <m/>
    <m/>
    <m/>
  </r>
  <r>
    <x v="4"/>
    <x v="60"/>
    <n v="58"/>
    <n v="1255"/>
    <n v="6"/>
    <n v="76"/>
    <m/>
    <m/>
    <m/>
    <m/>
    <m/>
    <m/>
    <m/>
  </r>
  <r>
    <x v="5"/>
    <x v="60"/>
    <n v="12"/>
    <n v="303"/>
    <n v="1"/>
    <n v="15"/>
    <m/>
    <m/>
    <m/>
    <m/>
    <m/>
    <m/>
    <m/>
  </r>
  <r>
    <x v="6"/>
    <x v="60"/>
    <n v="0"/>
    <n v="49"/>
    <m/>
    <n v="0"/>
    <m/>
    <m/>
    <m/>
    <m/>
    <m/>
    <m/>
    <m/>
  </r>
  <r>
    <x v="7"/>
    <x v="60"/>
    <n v="0"/>
    <n v="25"/>
    <m/>
    <n v="0"/>
    <m/>
    <m/>
    <m/>
    <m/>
    <m/>
    <m/>
    <m/>
  </r>
  <r>
    <x v="8"/>
    <x v="60"/>
    <n v="0"/>
    <n v="0"/>
    <m/>
    <n v="0"/>
    <m/>
    <m/>
    <m/>
    <m/>
    <m/>
    <m/>
    <m/>
  </r>
  <r>
    <x v="9"/>
    <x v="60"/>
    <n v="0"/>
    <n v="5"/>
    <m/>
    <n v="0"/>
    <m/>
    <m/>
    <m/>
    <m/>
    <m/>
    <m/>
    <m/>
  </r>
  <r>
    <x v="10"/>
    <x v="60"/>
    <n v="0"/>
    <n v="5"/>
    <m/>
    <n v="0"/>
    <m/>
    <m/>
    <m/>
    <m/>
    <m/>
    <m/>
    <m/>
  </r>
  <r>
    <x v="11"/>
    <x v="60"/>
    <n v="0"/>
    <n v="55"/>
    <m/>
    <n v="0"/>
    <m/>
    <m/>
    <m/>
    <m/>
    <m/>
    <m/>
    <m/>
  </r>
  <r>
    <x v="12"/>
    <x v="60"/>
    <n v="1"/>
    <n v="85"/>
    <m/>
    <n v="0"/>
    <m/>
    <m/>
    <m/>
    <m/>
    <m/>
    <m/>
    <m/>
  </r>
  <r>
    <x v="13"/>
    <x v="60"/>
    <n v="12"/>
    <n v="24"/>
    <m/>
    <n v="0"/>
    <m/>
    <m/>
    <m/>
    <m/>
    <m/>
    <m/>
    <m/>
  </r>
  <r>
    <x v="14"/>
    <x v="60"/>
    <n v="0"/>
    <n v="110"/>
    <m/>
    <n v="0"/>
    <m/>
    <m/>
    <m/>
    <m/>
    <m/>
    <m/>
    <m/>
  </r>
  <r>
    <x v="15"/>
    <x v="60"/>
    <n v="6"/>
    <n v="242"/>
    <m/>
    <n v="0"/>
    <m/>
    <m/>
    <m/>
    <m/>
    <m/>
    <m/>
    <m/>
  </r>
  <r>
    <x v="16"/>
    <x v="60"/>
    <n v="0"/>
    <n v="4"/>
    <m/>
    <n v="6"/>
    <m/>
    <m/>
    <m/>
    <m/>
    <m/>
    <m/>
    <m/>
  </r>
  <r>
    <x v="17"/>
    <x v="60"/>
    <n v="0"/>
    <n v="2"/>
    <m/>
    <n v="0"/>
    <m/>
    <m/>
    <m/>
    <m/>
    <m/>
    <m/>
    <m/>
  </r>
  <r>
    <x v="18"/>
    <x v="60"/>
    <n v="0"/>
    <n v="11"/>
    <m/>
    <n v="0"/>
    <m/>
    <m/>
    <m/>
    <m/>
    <m/>
    <m/>
    <m/>
  </r>
  <r>
    <x v="19"/>
    <x v="60"/>
    <n v="0"/>
    <n v="49"/>
    <m/>
    <n v="0"/>
    <m/>
    <m/>
    <m/>
    <m/>
    <m/>
    <m/>
    <m/>
  </r>
  <r>
    <x v="20"/>
    <x v="60"/>
    <n v="0"/>
    <n v="243"/>
    <m/>
    <n v="2"/>
    <m/>
    <m/>
    <m/>
    <m/>
    <m/>
    <m/>
    <m/>
  </r>
  <r>
    <x v="21"/>
    <x v="60"/>
    <n v="0"/>
    <n v="15"/>
    <m/>
    <n v="0"/>
    <m/>
    <m/>
    <m/>
    <m/>
    <m/>
    <m/>
    <m/>
  </r>
  <r>
    <x v="22"/>
    <x v="60"/>
    <n v="3"/>
    <n v="143"/>
    <m/>
    <n v="0"/>
    <m/>
    <m/>
    <m/>
    <m/>
    <m/>
    <m/>
    <m/>
  </r>
  <r>
    <x v="23"/>
    <x v="60"/>
    <n v="0"/>
    <n v="38"/>
    <m/>
    <n v="2"/>
    <m/>
    <m/>
    <m/>
    <m/>
    <m/>
    <m/>
    <m/>
  </r>
  <r>
    <x v="0"/>
    <x v="61"/>
    <n v="38"/>
    <n v="1715"/>
    <n v="3"/>
    <n v="94"/>
    <m/>
    <m/>
    <m/>
    <m/>
    <m/>
    <m/>
    <m/>
  </r>
  <r>
    <x v="1"/>
    <x v="61"/>
    <n v="0"/>
    <n v="0"/>
    <m/>
    <n v="0"/>
    <m/>
    <m/>
    <m/>
    <m/>
    <m/>
    <m/>
    <m/>
  </r>
  <r>
    <x v="2"/>
    <x v="61"/>
    <n v="5"/>
    <n v="342"/>
    <n v="2"/>
    <n v="18"/>
    <m/>
    <m/>
    <m/>
    <m/>
    <m/>
    <m/>
    <m/>
  </r>
  <r>
    <x v="3"/>
    <x v="61"/>
    <n v="0"/>
    <n v="4"/>
    <m/>
    <n v="1"/>
    <m/>
    <m/>
    <m/>
    <m/>
    <m/>
    <m/>
    <m/>
  </r>
  <r>
    <x v="4"/>
    <x v="61"/>
    <n v="49"/>
    <n v="1304"/>
    <n v="2"/>
    <n v="78"/>
    <m/>
    <m/>
    <m/>
    <m/>
    <m/>
    <m/>
    <m/>
  </r>
  <r>
    <x v="5"/>
    <x v="61"/>
    <n v="1"/>
    <n v="304"/>
    <n v="1"/>
    <n v="16"/>
    <m/>
    <m/>
    <m/>
    <m/>
    <m/>
    <m/>
    <m/>
  </r>
  <r>
    <x v="6"/>
    <x v="61"/>
    <n v="0"/>
    <n v="49"/>
    <m/>
    <n v="0"/>
    <m/>
    <m/>
    <m/>
    <m/>
    <m/>
    <m/>
    <m/>
  </r>
  <r>
    <x v="7"/>
    <x v="61"/>
    <n v="2"/>
    <n v="27"/>
    <m/>
    <n v="0"/>
    <m/>
    <m/>
    <m/>
    <m/>
    <m/>
    <m/>
    <m/>
  </r>
  <r>
    <x v="8"/>
    <x v="61"/>
    <n v="0"/>
    <n v="0"/>
    <m/>
    <n v="0"/>
    <m/>
    <m/>
    <m/>
    <m/>
    <m/>
    <m/>
    <m/>
  </r>
  <r>
    <x v="9"/>
    <x v="61"/>
    <n v="0"/>
    <n v="5"/>
    <m/>
    <n v="0"/>
    <m/>
    <m/>
    <m/>
    <m/>
    <m/>
    <m/>
    <m/>
  </r>
  <r>
    <x v="10"/>
    <x v="61"/>
    <n v="0"/>
    <n v="5"/>
    <m/>
    <n v="0"/>
    <m/>
    <m/>
    <m/>
    <m/>
    <m/>
    <m/>
    <m/>
  </r>
  <r>
    <x v="11"/>
    <x v="61"/>
    <n v="0"/>
    <n v="55"/>
    <m/>
    <n v="0"/>
    <m/>
    <m/>
    <m/>
    <m/>
    <m/>
    <m/>
    <m/>
  </r>
  <r>
    <x v="12"/>
    <x v="61"/>
    <n v="0"/>
    <n v="85"/>
    <m/>
    <n v="0"/>
    <m/>
    <m/>
    <m/>
    <m/>
    <m/>
    <m/>
    <m/>
  </r>
  <r>
    <x v="13"/>
    <x v="61"/>
    <n v="0"/>
    <n v="24"/>
    <m/>
    <n v="0"/>
    <m/>
    <m/>
    <m/>
    <m/>
    <m/>
    <m/>
    <m/>
  </r>
  <r>
    <x v="14"/>
    <x v="61"/>
    <n v="0"/>
    <n v="110"/>
    <m/>
    <n v="0"/>
    <m/>
    <m/>
    <m/>
    <m/>
    <m/>
    <m/>
    <m/>
  </r>
  <r>
    <x v="15"/>
    <x v="61"/>
    <n v="6"/>
    <n v="248"/>
    <n v="1"/>
    <n v="1"/>
    <m/>
    <m/>
    <m/>
    <m/>
    <m/>
    <m/>
    <m/>
  </r>
  <r>
    <x v="16"/>
    <x v="61"/>
    <n v="0"/>
    <n v="4"/>
    <m/>
    <n v="0"/>
    <m/>
    <m/>
    <m/>
    <m/>
    <m/>
    <m/>
    <m/>
  </r>
  <r>
    <x v="17"/>
    <x v="61"/>
    <n v="0"/>
    <n v="2"/>
    <m/>
    <n v="0"/>
    <m/>
    <m/>
    <m/>
    <m/>
    <m/>
    <m/>
    <m/>
  </r>
  <r>
    <x v="18"/>
    <x v="61"/>
    <n v="0"/>
    <n v="11"/>
    <m/>
    <n v="0"/>
    <m/>
    <m/>
    <m/>
    <m/>
    <m/>
    <m/>
    <m/>
  </r>
  <r>
    <x v="19"/>
    <x v="61"/>
    <n v="0"/>
    <n v="49"/>
    <m/>
    <n v="0"/>
    <m/>
    <m/>
    <m/>
    <m/>
    <m/>
    <m/>
    <m/>
  </r>
  <r>
    <x v="20"/>
    <x v="61"/>
    <n v="0"/>
    <n v="243"/>
    <m/>
    <n v="2"/>
    <m/>
    <m/>
    <m/>
    <m/>
    <m/>
    <m/>
    <m/>
  </r>
  <r>
    <x v="21"/>
    <x v="61"/>
    <n v="0"/>
    <n v="15"/>
    <m/>
    <n v="0"/>
    <m/>
    <m/>
    <m/>
    <m/>
    <m/>
    <m/>
    <m/>
  </r>
  <r>
    <x v="22"/>
    <x v="61"/>
    <n v="2"/>
    <n v="145"/>
    <m/>
    <n v="0"/>
    <m/>
    <m/>
    <m/>
    <m/>
    <m/>
    <m/>
    <m/>
  </r>
  <r>
    <x v="23"/>
    <x v="61"/>
    <n v="0"/>
    <n v="38"/>
    <m/>
    <n v="2"/>
    <m/>
    <m/>
    <m/>
    <m/>
    <m/>
    <m/>
    <m/>
  </r>
  <r>
    <x v="0"/>
    <x v="62"/>
    <n v="38"/>
    <n v="1753"/>
    <n v="7"/>
    <n v="101"/>
    <m/>
    <m/>
    <m/>
    <m/>
    <m/>
    <m/>
    <m/>
  </r>
  <r>
    <x v="1"/>
    <x v="62"/>
    <n v="0"/>
    <n v="0"/>
    <m/>
    <n v="0"/>
    <m/>
    <m/>
    <m/>
    <m/>
    <m/>
    <m/>
    <m/>
  </r>
  <r>
    <x v="2"/>
    <x v="62"/>
    <n v="5"/>
    <n v="347"/>
    <n v="1"/>
    <n v="19"/>
    <m/>
    <m/>
    <m/>
    <m/>
    <m/>
    <m/>
    <m/>
  </r>
  <r>
    <x v="3"/>
    <x v="62"/>
    <n v="0"/>
    <n v="4"/>
    <m/>
    <n v="1"/>
    <m/>
    <m/>
    <m/>
    <m/>
    <m/>
    <m/>
    <m/>
  </r>
  <r>
    <x v="4"/>
    <x v="62"/>
    <n v="43"/>
    <n v="1347"/>
    <n v="4"/>
    <n v="82"/>
    <m/>
    <m/>
    <m/>
    <m/>
    <m/>
    <m/>
    <m/>
  </r>
  <r>
    <x v="5"/>
    <x v="62"/>
    <n v="6"/>
    <n v="310"/>
    <n v="2"/>
    <n v="18"/>
    <m/>
    <m/>
    <m/>
    <m/>
    <m/>
    <m/>
    <m/>
  </r>
  <r>
    <x v="6"/>
    <x v="62"/>
    <n v="0"/>
    <n v="49"/>
    <m/>
    <n v="0"/>
    <m/>
    <m/>
    <m/>
    <m/>
    <m/>
    <m/>
    <m/>
  </r>
  <r>
    <x v="7"/>
    <x v="62"/>
    <n v="0"/>
    <n v="27"/>
    <m/>
    <n v="0"/>
    <m/>
    <m/>
    <m/>
    <m/>
    <m/>
    <m/>
    <m/>
  </r>
  <r>
    <x v="8"/>
    <x v="62"/>
    <n v="0"/>
    <n v="0"/>
    <m/>
    <n v="0"/>
    <m/>
    <m/>
    <m/>
    <m/>
    <m/>
    <m/>
    <m/>
  </r>
  <r>
    <x v="9"/>
    <x v="62"/>
    <n v="0"/>
    <n v="5"/>
    <m/>
    <n v="0"/>
    <m/>
    <m/>
    <m/>
    <m/>
    <m/>
    <m/>
    <m/>
  </r>
  <r>
    <x v="10"/>
    <x v="62"/>
    <n v="0"/>
    <n v="5"/>
    <m/>
    <n v="0"/>
    <m/>
    <m/>
    <m/>
    <m/>
    <m/>
    <m/>
    <m/>
  </r>
  <r>
    <x v="11"/>
    <x v="62"/>
    <n v="1"/>
    <n v="56"/>
    <m/>
    <n v="0"/>
    <m/>
    <m/>
    <m/>
    <m/>
    <m/>
    <m/>
    <m/>
  </r>
  <r>
    <x v="12"/>
    <x v="62"/>
    <n v="-1"/>
    <n v="84"/>
    <m/>
    <n v="0"/>
    <m/>
    <m/>
    <m/>
    <m/>
    <m/>
    <m/>
    <m/>
  </r>
  <r>
    <x v="13"/>
    <x v="62"/>
    <n v="1"/>
    <n v="25"/>
    <m/>
    <n v="0"/>
    <m/>
    <m/>
    <m/>
    <m/>
    <m/>
    <m/>
    <m/>
  </r>
  <r>
    <x v="14"/>
    <x v="62"/>
    <n v="0"/>
    <n v="110"/>
    <m/>
    <n v="0"/>
    <m/>
    <m/>
    <m/>
    <m/>
    <m/>
    <m/>
    <m/>
  </r>
  <r>
    <x v="15"/>
    <x v="62"/>
    <n v="7"/>
    <n v="255"/>
    <m/>
    <n v="0"/>
    <m/>
    <m/>
    <m/>
    <m/>
    <m/>
    <m/>
    <m/>
  </r>
  <r>
    <x v="16"/>
    <x v="62"/>
    <n v="0"/>
    <n v="4"/>
    <m/>
    <n v="1"/>
    <m/>
    <m/>
    <m/>
    <m/>
    <m/>
    <m/>
    <m/>
  </r>
  <r>
    <x v="17"/>
    <x v="62"/>
    <n v="0"/>
    <n v="2"/>
    <m/>
    <n v="0"/>
    <m/>
    <m/>
    <m/>
    <m/>
    <m/>
    <m/>
    <m/>
  </r>
  <r>
    <x v="18"/>
    <x v="62"/>
    <n v="0"/>
    <n v="11"/>
    <m/>
    <n v="0"/>
    <m/>
    <m/>
    <m/>
    <m/>
    <m/>
    <m/>
    <m/>
  </r>
  <r>
    <x v="19"/>
    <x v="62"/>
    <n v="0"/>
    <n v="49"/>
    <m/>
    <n v="0"/>
    <m/>
    <m/>
    <m/>
    <m/>
    <m/>
    <m/>
    <m/>
  </r>
  <r>
    <x v="20"/>
    <x v="62"/>
    <n v="0"/>
    <n v="243"/>
    <m/>
    <n v="2"/>
    <m/>
    <m/>
    <m/>
    <m/>
    <m/>
    <m/>
    <m/>
  </r>
  <r>
    <x v="21"/>
    <x v="62"/>
    <n v="0"/>
    <n v="15"/>
    <m/>
    <n v="0"/>
    <m/>
    <m/>
    <m/>
    <m/>
    <m/>
    <m/>
    <m/>
  </r>
  <r>
    <x v="22"/>
    <x v="62"/>
    <n v="0"/>
    <n v="145"/>
    <m/>
    <n v="0"/>
    <m/>
    <m/>
    <m/>
    <m/>
    <m/>
    <m/>
    <m/>
  </r>
  <r>
    <x v="23"/>
    <x v="62"/>
    <n v="3"/>
    <n v="41"/>
    <m/>
    <n v="2"/>
    <m/>
    <m/>
    <m/>
    <m/>
    <m/>
    <m/>
    <m/>
  </r>
  <r>
    <x v="0"/>
    <x v="63"/>
    <n v="58"/>
    <n v="1811"/>
    <n v="1"/>
    <n v="102"/>
    <m/>
    <m/>
    <m/>
    <m/>
    <m/>
    <m/>
    <m/>
  </r>
  <r>
    <x v="1"/>
    <x v="63"/>
    <n v="0"/>
    <n v="0"/>
    <m/>
    <n v="0"/>
    <m/>
    <m/>
    <m/>
    <m/>
    <m/>
    <m/>
    <m/>
  </r>
  <r>
    <x v="2"/>
    <x v="63"/>
    <n v="11"/>
    <n v="358"/>
    <m/>
    <n v="19"/>
    <m/>
    <m/>
    <m/>
    <m/>
    <m/>
    <m/>
    <m/>
  </r>
  <r>
    <x v="3"/>
    <x v="63"/>
    <n v="0"/>
    <n v="4"/>
    <m/>
    <n v="1"/>
    <m/>
    <m/>
    <m/>
    <m/>
    <m/>
    <m/>
    <m/>
  </r>
  <r>
    <x v="4"/>
    <x v="63"/>
    <n v="57"/>
    <n v="1404"/>
    <n v="1"/>
    <n v="83"/>
    <m/>
    <m/>
    <m/>
    <m/>
    <m/>
    <m/>
    <m/>
  </r>
  <r>
    <x v="5"/>
    <x v="63"/>
    <n v="1"/>
    <n v="311"/>
    <n v="1"/>
    <n v="19"/>
    <m/>
    <m/>
    <m/>
    <m/>
    <m/>
    <m/>
    <m/>
  </r>
  <r>
    <x v="6"/>
    <x v="63"/>
    <n v="-1"/>
    <n v="48"/>
    <m/>
    <n v="0"/>
    <m/>
    <m/>
    <m/>
    <m/>
    <m/>
    <m/>
    <m/>
  </r>
  <r>
    <x v="7"/>
    <x v="63"/>
    <n v="1"/>
    <n v="28"/>
    <m/>
    <n v="0"/>
    <m/>
    <m/>
    <m/>
    <m/>
    <m/>
    <m/>
    <m/>
  </r>
  <r>
    <x v="8"/>
    <x v="63"/>
    <n v="0"/>
    <n v="0"/>
    <m/>
    <n v="0"/>
    <m/>
    <m/>
    <m/>
    <m/>
    <m/>
    <m/>
    <m/>
  </r>
  <r>
    <x v="9"/>
    <x v="63"/>
    <n v="0"/>
    <n v="5"/>
    <m/>
    <n v="0"/>
    <m/>
    <m/>
    <m/>
    <m/>
    <m/>
    <m/>
    <m/>
  </r>
  <r>
    <x v="10"/>
    <x v="63"/>
    <n v="0"/>
    <n v="5"/>
    <m/>
    <n v="0"/>
    <m/>
    <m/>
    <m/>
    <m/>
    <m/>
    <m/>
    <m/>
  </r>
  <r>
    <x v="11"/>
    <x v="63"/>
    <n v="0"/>
    <n v="56"/>
    <m/>
    <n v="0"/>
    <m/>
    <m/>
    <m/>
    <m/>
    <m/>
    <m/>
    <m/>
  </r>
  <r>
    <x v="12"/>
    <x v="63"/>
    <n v="1"/>
    <n v="85"/>
    <m/>
    <n v="0"/>
    <m/>
    <m/>
    <m/>
    <m/>
    <m/>
    <m/>
    <m/>
  </r>
  <r>
    <x v="13"/>
    <x v="63"/>
    <n v="0"/>
    <n v="25"/>
    <m/>
    <n v="0"/>
    <m/>
    <m/>
    <m/>
    <m/>
    <m/>
    <m/>
    <m/>
  </r>
  <r>
    <x v="14"/>
    <x v="63"/>
    <n v="0"/>
    <n v="110"/>
    <m/>
    <n v="0"/>
    <m/>
    <m/>
    <m/>
    <m/>
    <m/>
    <m/>
    <m/>
  </r>
  <r>
    <x v="15"/>
    <x v="63"/>
    <n v="4"/>
    <n v="259"/>
    <m/>
    <n v="0"/>
    <m/>
    <m/>
    <m/>
    <m/>
    <m/>
    <m/>
    <m/>
  </r>
  <r>
    <x v="16"/>
    <x v="63"/>
    <n v="0"/>
    <n v="4"/>
    <m/>
    <n v="0"/>
    <m/>
    <m/>
    <m/>
    <m/>
    <m/>
    <m/>
    <m/>
  </r>
  <r>
    <x v="17"/>
    <x v="63"/>
    <n v="0"/>
    <n v="2"/>
    <m/>
    <n v="0"/>
    <m/>
    <m/>
    <m/>
    <m/>
    <m/>
    <m/>
    <m/>
  </r>
  <r>
    <x v="18"/>
    <x v="63"/>
    <n v="0"/>
    <n v="11"/>
    <m/>
    <n v="0"/>
    <m/>
    <m/>
    <m/>
    <m/>
    <m/>
    <m/>
    <m/>
  </r>
  <r>
    <x v="19"/>
    <x v="63"/>
    <n v="0"/>
    <n v="49"/>
    <m/>
    <n v="0"/>
    <m/>
    <m/>
    <m/>
    <m/>
    <m/>
    <m/>
    <m/>
  </r>
  <r>
    <x v="20"/>
    <x v="63"/>
    <n v="1"/>
    <n v="244"/>
    <m/>
    <n v="2"/>
    <m/>
    <m/>
    <m/>
    <m/>
    <m/>
    <m/>
    <m/>
  </r>
  <r>
    <x v="21"/>
    <x v="63"/>
    <n v="0"/>
    <n v="15"/>
    <m/>
    <n v="0"/>
    <m/>
    <m/>
    <m/>
    <m/>
    <m/>
    <m/>
    <m/>
  </r>
  <r>
    <x v="22"/>
    <x v="63"/>
    <n v="0"/>
    <n v="145"/>
    <m/>
    <n v="0"/>
    <m/>
    <m/>
    <m/>
    <m/>
    <m/>
    <m/>
    <m/>
  </r>
  <r>
    <x v="23"/>
    <x v="63"/>
    <n v="0"/>
    <n v="41"/>
    <m/>
    <n v="2"/>
    <m/>
    <m/>
    <m/>
    <m/>
    <m/>
    <m/>
    <m/>
  </r>
  <r>
    <x v="0"/>
    <x v="64"/>
    <n v="63"/>
    <n v="1874"/>
    <n v="5"/>
    <n v="107"/>
    <m/>
    <m/>
    <m/>
    <m/>
    <m/>
    <m/>
    <m/>
  </r>
  <r>
    <x v="1"/>
    <x v="64"/>
    <n v="0"/>
    <n v="0"/>
    <m/>
    <n v="0"/>
    <m/>
    <m/>
    <m/>
    <m/>
    <m/>
    <m/>
    <m/>
  </r>
  <r>
    <x v="2"/>
    <x v="64"/>
    <n v="8"/>
    <n v="366"/>
    <m/>
    <n v="19"/>
    <m/>
    <m/>
    <m/>
    <m/>
    <m/>
    <m/>
    <m/>
  </r>
  <r>
    <x v="3"/>
    <x v="64"/>
    <n v="0"/>
    <n v="4"/>
    <m/>
    <n v="1"/>
    <m/>
    <m/>
    <m/>
    <m/>
    <m/>
    <m/>
    <m/>
  </r>
  <r>
    <x v="4"/>
    <x v="64"/>
    <n v="102"/>
    <n v="1506"/>
    <n v="2"/>
    <n v="85"/>
    <m/>
    <m/>
    <m/>
    <m/>
    <m/>
    <m/>
    <m/>
  </r>
  <r>
    <x v="5"/>
    <x v="64"/>
    <n v="5"/>
    <n v="316"/>
    <m/>
    <n v="19"/>
    <m/>
    <m/>
    <m/>
    <m/>
    <m/>
    <m/>
    <m/>
  </r>
  <r>
    <x v="6"/>
    <x v="64"/>
    <n v="3"/>
    <n v="51"/>
    <m/>
    <n v="0"/>
    <m/>
    <m/>
    <m/>
    <m/>
    <m/>
    <m/>
    <m/>
  </r>
  <r>
    <x v="7"/>
    <x v="64"/>
    <n v="0"/>
    <n v="28"/>
    <m/>
    <n v="0"/>
    <m/>
    <m/>
    <m/>
    <m/>
    <m/>
    <m/>
    <m/>
  </r>
  <r>
    <x v="8"/>
    <x v="64"/>
    <n v="0"/>
    <n v="0"/>
    <m/>
    <n v="0"/>
    <m/>
    <m/>
    <m/>
    <m/>
    <m/>
    <m/>
    <m/>
  </r>
  <r>
    <x v="9"/>
    <x v="64"/>
    <n v="0"/>
    <n v="5"/>
    <m/>
    <n v="0"/>
    <m/>
    <m/>
    <m/>
    <m/>
    <m/>
    <m/>
    <m/>
  </r>
  <r>
    <x v="10"/>
    <x v="64"/>
    <n v="0"/>
    <n v="5"/>
    <m/>
    <n v="0"/>
    <m/>
    <m/>
    <m/>
    <m/>
    <m/>
    <m/>
    <m/>
  </r>
  <r>
    <x v="11"/>
    <x v="64"/>
    <n v="1"/>
    <n v="57"/>
    <m/>
    <n v="0"/>
    <m/>
    <m/>
    <m/>
    <m/>
    <m/>
    <m/>
    <m/>
  </r>
  <r>
    <x v="12"/>
    <x v="64"/>
    <n v="0"/>
    <n v="85"/>
    <m/>
    <n v="0"/>
    <m/>
    <m/>
    <m/>
    <m/>
    <m/>
    <m/>
    <m/>
  </r>
  <r>
    <x v="13"/>
    <x v="64"/>
    <n v="0"/>
    <n v="25"/>
    <m/>
    <n v="0"/>
    <m/>
    <m/>
    <m/>
    <m/>
    <m/>
    <m/>
    <m/>
  </r>
  <r>
    <x v="14"/>
    <x v="64"/>
    <n v="0"/>
    <n v="110"/>
    <m/>
    <n v="0"/>
    <m/>
    <m/>
    <m/>
    <m/>
    <m/>
    <m/>
    <m/>
  </r>
  <r>
    <x v="15"/>
    <x v="64"/>
    <n v="6"/>
    <n v="265"/>
    <n v="1"/>
    <n v="1"/>
    <m/>
    <m/>
    <m/>
    <m/>
    <m/>
    <m/>
    <m/>
  </r>
  <r>
    <x v="16"/>
    <x v="64"/>
    <n v="0"/>
    <n v="4"/>
    <m/>
    <n v="0"/>
    <m/>
    <m/>
    <m/>
    <m/>
    <m/>
    <m/>
    <m/>
  </r>
  <r>
    <x v="17"/>
    <x v="64"/>
    <n v="0"/>
    <n v="2"/>
    <m/>
    <n v="0"/>
    <m/>
    <m/>
    <m/>
    <m/>
    <m/>
    <m/>
    <m/>
  </r>
  <r>
    <x v="18"/>
    <x v="64"/>
    <n v="0"/>
    <n v="11"/>
    <m/>
    <n v="0"/>
    <m/>
    <m/>
    <m/>
    <m/>
    <m/>
    <m/>
    <m/>
  </r>
  <r>
    <x v="19"/>
    <x v="64"/>
    <n v="0"/>
    <n v="49"/>
    <m/>
    <n v="0"/>
    <m/>
    <m/>
    <m/>
    <m/>
    <m/>
    <m/>
    <m/>
  </r>
  <r>
    <x v="20"/>
    <x v="64"/>
    <n v="0"/>
    <n v="244"/>
    <m/>
    <n v="2"/>
    <m/>
    <m/>
    <m/>
    <m/>
    <m/>
    <m/>
    <m/>
  </r>
  <r>
    <x v="21"/>
    <x v="64"/>
    <n v="0"/>
    <n v="15"/>
    <m/>
    <n v="0"/>
    <m/>
    <m/>
    <m/>
    <m/>
    <m/>
    <m/>
    <m/>
  </r>
  <r>
    <x v="22"/>
    <x v="64"/>
    <n v="0"/>
    <n v="145"/>
    <m/>
    <n v="0"/>
    <m/>
    <m/>
    <m/>
    <m/>
    <m/>
    <m/>
    <m/>
  </r>
  <r>
    <x v="23"/>
    <x v="64"/>
    <n v="0"/>
    <n v="41"/>
    <n v="1"/>
    <n v="3"/>
    <m/>
    <m/>
    <m/>
    <m/>
    <m/>
    <m/>
    <m/>
  </r>
  <r>
    <x v="0"/>
    <x v="65"/>
    <n v="50"/>
    <n v="1924"/>
    <n v="6"/>
    <n v="113"/>
    <m/>
    <m/>
    <m/>
    <m/>
    <m/>
    <m/>
    <m/>
  </r>
  <r>
    <x v="1"/>
    <x v="65"/>
    <n v="0"/>
    <n v="0"/>
    <m/>
    <n v="0"/>
    <m/>
    <m/>
    <m/>
    <m/>
    <m/>
    <m/>
    <m/>
  </r>
  <r>
    <x v="2"/>
    <x v="65"/>
    <n v="26"/>
    <n v="392"/>
    <m/>
    <n v="19"/>
    <m/>
    <m/>
    <m/>
    <m/>
    <m/>
    <m/>
    <m/>
  </r>
  <r>
    <x v="3"/>
    <x v="65"/>
    <n v="0"/>
    <n v="4"/>
    <m/>
    <n v="1"/>
    <m/>
    <m/>
    <m/>
    <m/>
    <m/>
    <m/>
    <m/>
  </r>
  <r>
    <x v="4"/>
    <x v="65"/>
    <n v="77"/>
    <n v="1583"/>
    <n v="2"/>
    <n v="87"/>
    <m/>
    <m/>
    <m/>
    <m/>
    <m/>
    <m/>
    <m/>
  </r>
  <r>
    <x v="5"/>
    <x v="65"/>
    <n v="4"/>
    <n v="320"/>
    <m/>
    <n v="19"/>
    <m/>
    <m/>
    <m/>
    <m/>
    <m/>
    <m/>
    <m/>
  </r>
  <r>
    <x v="6"/>
    <x v="65"/>
    <n v="1"/>
    <n v="52"/>
    <m/>
    <n v="0"/>
    <m/>
    <m/>
    <m/>
    <m/>
    <m/>
    <m/>
    <m/>
  </r>
  <r>
    <x v="7"/>
    <x v="65"/>
    <n v="0"/>
    <n v="28"/>
    <m/>
    <n v="0"/>
    <m/>
    <m/>
    <m/>
    <m/>
    <m/>
    <m/>
    <m/>
  </r>
  <r>
    <x v="8"/>
    <x v="65"/>
    <n v="0"/>
    <n v="0"/>
    <m/>
    <n v="0"/>
    <m/>
    <m/>
    <m/>
    <m/>
    <m/>
    <m/>
    <m/>
  </r>
  <r>
    <x v="9"/>
    <x v="65"/>
    <n v="0"/>
    <n v="5"/>
    <m/>
    <n v="0"/>
    <m/>
    <m/>
    <m/>
    <m/>
    <m/>
    <m/>
    <m/>
  </r>
  <r>
    <x v="10"/>
    <x v="65"/>
    <n v="0"/>
    <n v="5"/>
    <m/>
    <n v="0"/>
    <m/>
    <m/>
    <m/>
    <m/>
    <m/>
    <m/>
    <m/>
  </r>
  <r>
    <x v="11"/>
    <x v="65"/>
    <n v="1"/>
    <n v="58"/>
    <m/>
    <n v="0"/>
    <m/>
    <m/>
    <m/>
    <m/>
    <m/>
    <m/>
    <m/>
  </r>
  <r>
    <x v="12"/>
    <x v="65"/>
    <n v="0"/>
    <n v="85"/>
    <m/>
    <n v="0"/>
    <m/>
    <m/>
    <m/>
    <m/>
    <m/>
    <m/>
    <m/>
  </r>
  <r>
    <x v="13"/>
    <x v="65"/>
    <n v="0"/>
    <n v="25"/>
    <m/>
    <n v="0"/>
    <m/>
    <m/>
    <m/>
    <m/>
    <m/>
    <m/>
    <m/>
  </r>
  <r>
    <x v="14"/>
    <x v="65"/>
    <n v="0"/>
    <n v="110"/>
    <m/>
    <n v="0"/>
    <m/>
    <m/>
    <m/>
    <m/>
    <m/>
    <m/>
    <m/>
  </r>
  <r>
    <x v="15"/>
    <x v="65"/>
    <n v="3"/>
    <n v="268"/>
    <m/>
    <n v="0"/>
    <m/>
    <m/>
    <m/>
    <m/>
    <m/>
    <m/>
    <m/>
  </r>
  <r>
    <x v="16"/>
    <x v="65"/>
    <n v="0"/>
    <n v="4"/>
    <m/>
    <n v="1"/>
    <m/>
    <m/>
    <m/>
    <m/>
    <m/>
    <m/>
    <m/>
  </r>
  <r>
    <x v="17"/>
    <x v="65"/>
    <n v="1"/>
    <n v="3"/>
    <m/>
    <n v="0"/>
    <m/>
    <m/>
    <m/>
    <m/>
    <m/>
    <m/>
    <m/>
  </r>
  <r>
    <x v="18"/>
    <x v="65"/>
    <n v="0"/>
    <n v="11"/>
    <m/>
    <n v="0"/>
    <m/>
    <m/>
    <m/>
    <m/>
    <m/>
    <m/>
    <m/>
  </r>
  <r>
    <x v="19"/>
    <x v="65"/>
    <n v="0"/>
    <n v="49"/>
    <m/>
    <n v="0"/>
    <m/>
    <m/>
    <m/>
    <m/>
    <m/>
    <m/>
    <m/>
  </r>
  <r>
    <x v="20"/>
    <x v="65"/>
    <n v="0"/>
    <n v="244"/>
    <n v="1"/>
    <n v="3"/>
    <m/>
    <m/>
    <m/>
    <m/>
    <m/>
    <m/>
    <m/>
  </r>
  <r>
    <x v="21"/>
    <x v="65"/>
    <n v="0"/>
    <n v="15"/>
    <m/>
    <n v="0"/>
    <m/>
    <m/>
    <m/>
    <m/>
    <m/>
    <m/>
    <m/>
  </r>
  <r>
    <x v="22"/>
    <x v="65"/>
    <n v="0"/>
    <n v="145"/>
    <m/>
    <n v="0"/>
    <m/>
    <m/>
    <m/>
    <m/>
    <m/>
    <m/>
    <m/>
  </r>
  <r>
    <x v="23"/>
    <x v="65"/>
    <n v="0"/>
    <n v="41"/>
    <m/>
    <n v="3"/>
    <m/>
    <m/>
    <m/>
    <m/>
    <m/>
    <m/>
    <m/>
  </r>
  <r>
    <x v="0"/>
    <x v="66"/>
    <n v="77"/>
    <n v="2001"/>
    <n v="5"/>
    <n v="118"/>
    <m/>
    <m/>
    <m/>
    <m/>
    <m/>
    <m/>
    <m/>
  </r>
  <r>
    <x v="1"/>
    <x v="66"/>
    <n v="0"/>
    <n v="0"/>
    <m/>
    <n v="0"/>
    <m/>
    <m/>
    <m/>
    <m/>
    <m/>
    <m/>
    <m/>
  </r>
  <r>
    <x v="2"/>
    <x v="66"/>
    <n v="26"/>
    <n v="418"/>
    <m/>
    <n v="19"/>
    <m/>
    <m/>
    <m/>
    <m/>
    <m/>
    <m/>
    <m/>
  </r>
  <r>
    <x v="3"/>
    <x v="66"/>
    <n v="0"/>
    <n v="4"/>
    <m/>
    <n v="1"/>
    <m/>
    <m/>
    <m/>
    <m/>
    <m/>
    <m/>
    <m/>
  </r>
  <r>
    <x v="4"/>
    <x v="66"/>
    <n v="130"/>
    <n v="1713"/>
    <n v="6"/>
    <n v="93"/>
    <m/>
    <m/>
    <m/>
    <m/>
    <m/>
    <m/>
    <m/>
  </r>
  <r>
    <x v="5"/>
    <x v="66"/>
    <n v="2"/>
    <n v="322"/>
    <m/>
    <n v="19"/>
    <m/>
    <m/>
    <m/>
    <m/>
    <m/>
    <m/>
    <m/>
  </r>
  <r>
    <x v="6"/>
    <x v="66"/>
    <n v="1"/>
    <n v="53"/>
    <m/>
    <n v="0"/>
    <m/>
    <m/>
    <m/>
    <m/>
    <m/>
    <m/>
    <m/>
  </r>
  <r>
    <x v="7"/>
    <x v="66"/>
    <n v="0"/>
    <n v="28"/>
    <m/>
    <n v="0"/>
    <m/>
    <m/>
    <m/>
    <m/>
    <m/>
    <m/>
    <m/>
  </r>
  <r>
    <x v="8"/>
    <x v="66"/>
    <n v="0"/>
    <n v="0"/>
    <m/>
    <n v="0"/>
    <m/>
    <m/>
    <m/>
    <m/>
    <m/>
    <m/>
    <m/>
  </r>
  <r>
    <x v="9"/>
    <x v="66"/>
    <n v="0"/>
    <n v="5"/>
    <m/>
    <n v="0"/>
    <m/>
    <m/>
    <m/>
    <m/>
    <m/>
    <m/>
    <m/>
  </r>
  <r>
    <x v="10"/>
    <x v="66"/>
    <n v="0"/>
    <n v="5"/>
    <m/>
    <n v="0"/>
    <m/>
    <m/>
    <m/>
    <m/>
    <m/>
    <m/>
    <m/>
  </r>
  <r>
    <x v="11"/>
    <x v="66"/>
    <n v="1"/>
    <n v="59"/>
    <m/>
    <n v="0"/>
    <m/>
    <m/>
    <m/>
    <m/>
    <m/>
    <m/>
    <m/>
  </r>
  <r>
    <x v="12"/>
    <x v="66"/>
    <n v="1"/>
    <n v="86"/>
    <m/>
    <n v="0"/>
    <m/>
    <m/>
    <m/>
    <m/>
    <m/>
    <m/>
    <m/>
  </r>
  <r>
    <x v="13"/>
    <x v="66"/>
    <n v="0"/>
    <n v="25"/>
    <m/>
    <n v="0"/>
    <m/>
    <m/>
    <m/>
    <m/>
    <m/>
    <m/>
    <m/>
  </r>
  <r>
    <x v="14"/>
    <x v="66"/>
    <n v="0"/>
    <n v="110"/>
    <m/>
    <n v="0"/>
    <m/>
    <m/>
    <m/>
    <m/>
    <m/>
    <m/>
    <m/>
  </r>
  <r>
    <x v="15"/>
    <x v="66"/>
    <n v="2"/>
    <n v="270"/>
    <m/>
    <n v="0"/>
    <m/>
    <m/>
    <m/>
    <m/>
    <m/>
    <m/>
    <m/>
  </r>
  <r>
    <x v="16"/>
    <x v="66"/>
    <n v="0"/>
    <n v="4"/>
    <m/>
    <n v="0"/>
    <m/>
    <m/>
    <m/>
    <m/>
    <m/>
    <m/>
    <m/>
  </r>
  <r>
    <x v="17"/>
    <x v="66"/>
    <n v="0"/>
    <n v="3"/>
    <m/>
    <n v="0"/>
    <m/>
    <m/>
    <m/>
    <m/>
    <m/>
    <m/>
    <m/>
  </r>
  <r>
    <x v="18"/>
    <x v="66"/>
    <n v="0"/>
    <n v="11"/>
    <m/>
    <n v="0"/>
    <m/>
    <m/>
    <m/>
    <m/>
    <m/>
    <m/>
    <m/>
  </r>
  <r>
    <x v="19"/>
    <x v="66"/>
    <n v="0"/>
    <n v="49"/>
    <m/>
    <n v="0"/>
    <m/>
    <m/>
    <m/>
    <m/>
    <m/>
    <m/>
    <m/>
  </r>
  <r>
    <x v="20"/>
    <x v="66"/>
    <n v="0"/>
    <n v="244"/>
    <m/>
    <n v="3"/>
    <m/>
    <m/>
    <m/>
    <m/>
    <m/>
    <m/>
    <m/>
  </r>
  <r>
    <x v="21"/>
    <x v="66"/>
    <n v="0"/>
    <n v="15"/>
    <m/>
    <n v="0"/>
    <m/>
    <m/>
    <m/>
    <m/>
    <m/>
    <m/>
    <m/>
  </r>
  <r>
    <x v="22"/>
    <x v="66"/>
    <n v="0"/>
    <n v="145"/>
    <m/>
    <n v="0"/>
    <m/>
    <m/>
    <m/>
    <m/>
    <m/>
    <m/>
    <m/>
  </r>
  <r>
    <x v="23"/>
    <x v="66"/>
    <n v="0"/>
    <n v="41"/>
    <m/>
    <n v="3"/>
    <m/>
    <m/>
    <m/>
    <m/>
    <m/>
    <m/>
    <m/>
  </r>
  <r>
    <x v="0"/>
    <x v="67"/>
    <n v="60"/>
    <n v="2061"/>
    <n v="4"/>
    <n v="122"/>
    <m/>
    <m/>
    <m/>
    <m/>
    <m/>
    <m/>
    <m/>
  </r>
  <r>
    <x v="1"/>
    <x v="67"/>
    <n v="0"/>
    <n v="0"/>
    <m/>
    <n v="0"/>
    <m/>
    <m/>
    <m/>
    <m/>
    <m/>
    <m/>
    <m/>
  </r>
  <r>
    <x v="2"/>
    <x v="67"/>
    <n v="9"/>
    <n v="427"/>
    <m/>
    <n v="19"/>
    <m/>
    <m/>
    <m/>
    <m/>
    <m/>
    <m/>
    <m/>
  </r>
  <r>
    <x v="3"/>
    <x v="67"/>
    <n v="0"/>
    <n v="4"/>
    <m/>
    <n v="1"/>
    <m/>
    <m/>
    <m/>
    <m/>
    <m/>
    <m/>
    <m/>
  </r>
  <r>
    <x v="4"/>
    <x v="67"/>
    <n v="83"/>
    <n v="1796"/>
    <n v="2"/>
    <n v="95"/>
    <m/>
    <m/>
    <m/>
    <m/>
    <m/>
    <m/>
    <m/>
  </r>
  <r>
    <x v="5"/>
    <x v="67"/>
    <n v="6"/>
    <n v="328"/>
    <m/>
    <n v="19"/>
    <m/>
    <m/>
    <m/>
    <m/>
    <m/>
    <m/>
    <m/>
  </r>
  <r>
    <x v="6"/>
    <x v="67"/>
    <n v="1"/>
    <n v="54"/>
    <m/>
    <n v="0"/>
    <m/>
    <m/>
    <m/>
    <m/>
    <m/>
    <m/>
    <m/>
  </r>
  <r>
    <x v="7"/>
    <x v="67"/>
    <n v="0"/>
    <n v="28"/>
    <m/>
    <n v="0"/>
    <m/>
    <m/>
    <m/>
    <m/>
    <m/>
    <m/>
    <m/>
  </r>
  <r>
    <x v="8"/>
    <x v="67"/>
    <n v="0"/>
    <n v="0"/>
    <m/>
    <n v="0"/>
    <m/>
    <m/>
    <m/>
    <m/>
    <m/>
    <m/>
    <m/>
  </r>
  <r>
    <x v="9"/>
    <x v="67"/>
    <n v="0"/>
    <n v="5"/>
    <m/>
    <n v="0"/>
    <m/>
    <m/>
    <m/>
    <m/>
    <m/>
    <m/>
    <m/>
  </r>
  <r>
    <x v="10"/>
    <x v="67"/>
    <n v="0"/>
    <n v="5"/>
    <m/>
    <n v="0"/>
    <m/>
    <m/>
    <m/>
    <m/>
    <m/>
    <m/>
    <m/>
  </r>
  <r>
    <x v="11"/>
    <x v="67"/>
    <n v="0"/>
    <n v="59"/>
    <n v="1"/>
    <n v="1"/>
    <m/>
    <m/>
    <m/>
    <m/>
    <m/>
    <m/>
    <m/>
  </r>
  <r>
    <x v="12"/>
    <x v="67"/>
    <n v="0"/>
    <n v="86"/>
    <m/>
    <n v="0"/>
    <m/>
    <m/>
    <m/>
    <m/>
    <m/>
    <m/>
    <m/>
  </r>
  <r>
    <x v="13"/>
    <x v="67"/>
    <n v="0"/>
    <n v="25"/>
    <m/>
    <n v="0"/>
    <m/>
    <m/>
    <m/>
    <m/>
    <m/>
    <m/>
    <m/>
  </r>
  <r>
    <x v="14"/>
    <x v="67"/>
    <n v="1"/>
    <n v="111"/>
    <m/>
    <n v="0"/>
    <m/>
    <m/>
    <m/>
    <m/>
    <m/>
    <m/>
    <m/>
  </r>
  <r>
    <x v="15"/>
    <x v="67"/>
    <n v="4"/>
    <n v="274"/>
    <m/>
    <n v="0"/>
    <m/>
    <m/>
    <m/>
    <m/>
    <m/>
    <m/>
    <m/>
  </r>
  <r>
    <x v="16"/>
    <x v="67"/>
    <n v="0"/>
    <n v="4"/>
    <m/>
    <n v="0"/>
    <m/>
    <m/>
    <m/>
    <m/>
    <m/>
    <m/>
    <m/>
  </r>
  <r>
    <x v="17"/>
    <x v="67"/>
    <n v="0"/>
    <n v="3"/>
    <m/>
    <n v="0"/>
    <m/>
    <m/>
    <m/>
    <m/>
    <m/>
    <m/>
    <m/>
  </r>
  <r>
    <x v="18"/>
    <x v="67"/>
    <n v="0"/>
    <n v="11"/>
    <m/>
    <n v="0"/>
    <m/>
    <m/>
    <m/>
    <m/>
    <m/>
    <m/>
    <m/>
  </r>
  <r>
    <x v="19"/>
    <x v="67"/>
    <n v="0"/>
    <n v="49"/>
    <m/>
    <n v="0"/>
    <m/>
    <m/>
    <m/>
    <m/>
    <m/>
    <m/>
    <m/>
  </r>
  <r>
    <x v="20"/>
    <x v="67"/>
    <n v="0"/>
    <n v="244"/>
    <m/>
    <n v="3"/>
    <m/>
    <m/>
    <m/>
    <m/>
    <m/>
    <m/>
    <m/>
  </r>
  <r>
    <x v="21"/>
    <x v="67"/>
    <n v="0"/>
    <n v="15"/>
    <m/>
    <n v="0"/>
    <m/>
    <m/>
    <m/>
    <m/>
    <m/>
    <m/>
    <m/>
  </r>
  <r>
    <x v="22"/>
    <x v="67"/>
    <n v="1"/>
    <n v="146"/>
    <m/>
    <n v="0"/>
    <m/>
    <m/>
    <m/>
    <m/>
    <m/>
    <m/>
    <m/>
  </r>
  <r>
    <x v="23"/>
    <x v="67"/>
    <n v="0"/>
    <n v="41"/>
    <m/>
    <n v="3"/>
    <m/>
    <m/>
    <m/>
    <m/>
    <m/>
    <m/>
    <m/>
  </r>
  <r>
    <x v="0"/>
    <x v="68"/>
    <n v="51"/>
    <n v="2112"/>
    <n v="3"/>
    <n v="125"/>
    <m/>
    <m/>
    <m/>
    <m/>
    <m/>
    <m/>
    <m/>
  </r>
  <r>
    <x v="1"/>
    <x v="68"/>
    <n v="0"/>
    <n v="0"/>
    <m/>
    <n v="0"/>
    <m/>
    <m/>
    <m/>
    <m/>
    <m/>
    <m/>
    <m/>
  </r>
  <r>
    <x v="2"/>
    <x v="68"/>
    <n v="32"/>
    <n v="459"/>
    <m/>
    <n v="19"/>
    <m/>
    <m/>
    <m/>
    <m/>
    <m/>
    <m/>
    <m/>
  </r>
  <r>
    <x v="3"/>
    <x v="68"/>
    <n v="0"/>
    <n v="4"/>
    <m/>
    <n v="1"/>
    <m/>
    <m/>
    <m/>
    <m/>
    <m/>
    <m/>
    <m/>
  </r>
  <r>
    <x v="4"/>
    <x v="68"/>
    <n v="165"/>
    <n v="1961"/>
    <n v="2"/>
    <n v="97"/>
    <m/>
    <m/>
    <m/>
    <m/>
    <m/>
    <m/>
    <m/>
  </r>
  <r>
    <x v="5"/>
    <x v="68"/>
    <n v="5"/>
    <n v="333"/>
    <m/>
    <n v="19"/>
    <m/>
    <m/>
    <m/>
    <m/>
    <m/>
    <m/>
    <m/>
  </r>
  <r>
    <x v="6"/>
    <x v="68"/>
    <n v="0"/>
    <n v="54"/>
    <m/>
    <n v="0"/>
    <m/>
    <m/>
    <m/>
    <m/>
    <m/>
    <m/>
    <m/>
  </r>
  <r>
    <x v="7"/>
    <x v="68"/>
    <n v="0"/>
    <n v="28"/>
    <m/>
    <n v="0"/>
    <m/>
    <m/>
    <m/>
    <m/>
    <m/>
    <m/>
    <m/>
  </r>
  <r>
    <x v="8"/>
    <x v="68"/>
    <n v="0"/>
    <n v="0"/>
    <m/>
    <n v="0"/>
    <m/>
    <m/>
    <m/>
    <m/>
    <m/>
    <m/>
    <m/>
  </r>
  <r>
    <x v="9"/>
    <x v="68"/>
    <n v="0"/>
    <n v="5"/>
    <m/>
    <n v="0"/>
    <m/>
    <m/>
    <m/>
    <m/>
    <m/>
    <m/>
    <m/>
  </r>
  <r>
    <x v="10"/>
    <x v="68"/>
    <n v="0"/>
    <n v="5"/>
    <m/>
    <n v="0"/>
    <m/>
    <m/>
    <m/>
    <m/>
    <m/>
    <m/>
    <m/>
  </r>
  <r>
    <x v="11"/>
    <x v="68"/>
    <n v="0"/>
    <n v="59"/>
    <m/>
    <n v="0"/>
    <m/>
    <m/>
    <m/>
    <m/>
    <m/>
    <m/>
    <m/>
  </r>
  <r>
    <x v="12"/>
    <x v="68"/>
    <n v="0"/>
    <n v="86"/>
    <m/>
    <n v="1"/>
    <m/>
    <m/>
    <m/>
    <m/>
    <m/>
    <m/>
    <m/>
  </r>
  <r>
    <x v="13"/>
    <x v="68"/>
    <n v="0"/>
    <n v="25"/>
    <m/>
    <n v="0"/>
    <m/>
    <m/>
    <m/>
    <m/>
    <m/>
    <m/>
    <m/>
  </r>
  <r>
    <x v="14"/>
    <x v="68"/>
    <n v="0"/>
    <n v="111"/>
    <m/>
    <n v="0"/>
    <m/>
    <m/>
    <m/>
    <m/>
    <m/>
    <m/>
    <m/>
  </r>
  <r>
    <x v="15"/>
    <x v="68"/>
    <n v="2"/>
    <n v="276"/>
    <m/>
    <n v="0"/>
    <m/>
    <m/>
    <m/>
    <m/>
    <m/>
    <m/>
    <m/>
  </r>
  <r>
    <x v="16"/>
    <x v="68"/>
    <n v="0"/>
    <n v="4"/>
    <m/>
    <n v="0"/>
    <m/>
    <m/>
    <m/>
    <m/>
    <m/>
    <m/>
    <m/>
  </r>
  <r>
    <x v="17"/>
    <x v="68"/>
    <n v="0"/>
    <n v="3"/>
    <m/>
    <n v="0"/>
    <m/>
    <m/>
    <m/>
    <m/>
    <m/>
    <m/>
    <m/>
  </r>
  <r>
    <x v="18"/>
    <x v="68"/>
    <n v="0"/>
    <n v="11"/>
    <m/>
    <n v="0"/>
    <m/>
    <m/>
    <m/>
    <m/>
    <m/>
    <m/>
    <m/>
  </r>
  <r>
    <x v="19"/>
    <x v="68"/>
    <n v="0"/>
    <n v="49"/>
    <m/>
    <n v="0"/>
    <m/>
    <m/>
    <m/>
    <m/>
    <m/>
    <m/>
    <m/>
  </r>
  <r>
    <x v="20"/>
    <x v="68"/>
    <n v="0"/>
    <n v="244"/>
    <m/>
    <n v="3"/>
    <m/>
    <m/>
    <m/>
    <m/>
    <m/>
    <m/>
    <m/>
  </r>
  <r>
    <x v="21"/>
    <x v="68"/>
    <n v="1"/>
    <n v="16"/>
    <m/>
    <n v="0"/>
    <m/>
    <m/>
    <m/>
    <m/>
    <m/>
    <m/>
    <m/>
  </r>
  <r>
    <x v="22"/>
    <x v="68"/>
    <n v="2"/>
    <n v="148"/>
    <m/>
    <n v="0"/>
    <m/>
    <m/>
    <m/>
    <m/>
    <m/>
    <m/>
    <m/>
  </r>
  <r>
    <x v="23"/>
    <x v="68"/>
    <n v="0"/>
    <n v="41"/>
    <m/>
    <n v="3"/>
    <m/>
    <m/>
    <m/>
    <m/>
    <m/>
    <m/>
    <m/>
  </r>
  <r>
    <x v="0"/>
    <x v="69"/>
    <n v="44"/>
    <n v="2156"/>
    <n v="4"/>
    <n v="129"/>
    <m/>
    <m/>
    <m/>
    <m/>
    <m/>
    <m/>
    <m/>
  </r>
  <r>
    <x v="1"/>
    <x v="69"/>
    <n v="0"/>
    <n v="0"/>
    <m/>
    <n v="0"/>
    <m/>
    <m/>
    <m/>
    <m/>
    <m/>
    <m/>
    <m/>
  </r>
  <r>
    <x v="2"/>
    <x v="69"/>
    <n v="17"/>
    <n v="476"/>
    <n v="1"/>
    <n v="20"/>
    <m/>
    <m/>
    <m/>
    <m/>
    <m/>
    <m/>
    <m/>
  </r>
  <r>
    <x v="3"/>
    <x v="69"/>
    <n v="0"/>
    <n v="4"/>
    <m/>
    <n v="1"/>
    <m/>
    <m/>
    <m/>
    <m/>
    <m/>
    <m/>
    <m/>
  </r>
  <r>
    <x v="4"/>
    <x v="69"/>
    <n v="137"/>
    <n v="2098"/>
    <n v="3"/>
    <n v="100"/>
    <m/>
    <m/>
    <m/>
    <m/>
    <m/>
    <m/>
    <m/>
  </r>
  <r>
    <x v="5"/>
    <x v="69"/>
    <n v="14"/>
    <n v="347"/>
    <m/>
    <n v="19"/>
    <m/>
    <m/>
    <m/>
    <m/>
    <m/>
    <m/>
    <m/>
  </r>
  <r>
    <x v="6"/>
    <x v="69"/>
    <n v="16"/>
    <n v="70"/>
    <m/>
    <n v="0"/>
    <m/>
    <m/>
    <m/>
    <m/>
    <m/>
    <m/>
    <m/>
  </r>
  <r>
    <x v="7"/>
    <x v="69"/>
    <n v="0"/>
    <n v="28"/>
    <m/>
    <n v="0"/>
    <m/>
    <m/>
    <m/>
    <m/>
    <m/>
    <m/>
    <m/>
  </r>
  <r>
    <x v="8"/>
    <x v="69"/>
    <n v="0"/>
    <n v="0"/>
    <m/>
    <n v="0"/>
    <m/>
    <m/>
    <m/>
    <m/>
    <m/>
    <m/>
    <m/>
  </r>
  <r>
    <x v="9"/>
    <x v="69"/>
    <n v="0"/>
    <n v="5"/>
    <m/>
    <n v="0"/>
    <m/>
    <m/>
    <m/>
    <m/>
    <m/>
    <m/>
    <m/>
  </r>
  <r>
    <x v="10"/>
    <x v="69"/>
    <n v="0"/>
    <n v="5"/>
    <m/>
    <n v="0"/>
    <m/>
    <m/>
    <m/>
    <m/>
    <m/>
    <m/>
    <m/>
  </r>
  <r>
    <x v="11"/>
    <x v="69"/>
    <n v="1"/>
    <n v="60"/>
    <m/>
    <n v="0"/>
    <m/>
    <m/>
    <m/>
    <m/>
    <m/>
    <m/>
    <m/>
  </r>
  <r>
    <x v="12"/>
    <x v="69"/>
    <n v="0"/>
    <n v="86"/>
    <m/>
    <n v="0"/>
    <m/>
    <m/>
    <m/>
    <m/>
    <m/>
    <m/>
    <m/>
  </r>
  <r>
    <x v="13"/>
    <x v="69"/>
    <n v="1"/>
    <n v="26"/>
    <m/>
    <n v="1"/>
    <m/>
    <m/>
    <m/>
    <m/>
    <m/>
    <m/>
    <m/>
  </r>
  <r>
    <x v="14"/>
    <x v="69"/>
    <n v="0"/>
    <n v="111"/>
    <m/>
    <n v="0"/>
    <m/>
    <m/>
    <m/>
    <m/>
    <m/>
    <m/>
    <m/>
  </r>
  <r>
    <x v="15"/>
    <x v="69"/>
    <n v="13"/>
    <n v="289"/>
    <n v="1"/>
    <n v="1"/>
    <m/>
    <m/>
    <m/>
    <m/>
    <m/>
    <m/>
    <m/>
  </r>
  <r>
    <x v="16"/>
    <x v="69"/>
    <n v="0"/>
    <n v="4"/>
    <m/>
    <n v="0"/>
    <m/>
    <m/>
    <m/>
    <m/>
    <m/>
    <m/>
    <m/>
  </r>
  <r>
    <x v="17"/>
    <x v="69"/>
    <n v="0"/>
    <n v="3"/>
    <m/>
    <n v="0"/>
    <m/>
    <m/>
    <m/>
    <m/>
    <m/>
    <m/>
    <m/>
  </r>
  <r>
    <x v="18"/>
    <x v="69"/>
    <n v="0"/>
    <n v="11"/>
    <m/>
    <n v="0"/>
    <m/>
    <m/>
    <m/>
    <m/>
    <m/>
    <m/>
    <m/>
  </r>
  <r>
    <x v="19"/>
    <x v="69"/>
    <n v="0"/>
    <n v="49"/>
    <m/>
    <n v="0"/>
    <m/>
    <m/>
    <m/>
    <m/>
    <m/>
    <m/>
    <m/>
  </r>
  <r>
    <x v="20"/>
    <x v="69"/>
    <n v="0"/>
    <n v="244"/>
    <m/>
    <n v="3"/>
    <m/>
    <m/>
    <m/>
    <m/>
    <m/>
    <m/>
    <m/>
  </r>
  <r>
    <x v="21"/>
    <x v="69"/>
    <n v="0"/>
    <n v="16"/>
    <m/>
    <n v="0"/>
    <m/>
    <m/>
    <m/>
    <m/>
    <m/>
    <m/>
    <m/>
  </r>
  <r>
    <x v="22"/>
    <x v="69"/>
    <n v="0"/>
    <n v="148"/>
    <m/>
    <n v="0"/>
    <m/>
    <m/>
    <m/>
    <m/>
    <m/>
    <m/>
    <m/>
  </r>
  <r>
    <x v="23"/>
    <x v="69"/>
    <n v="1"/>
    <n v="42"/>
    <m/>
    <n v="3"/>
    <m/>
    <m/>
    <m/>
    <m/>
    <m/>
    <m/>
    <m/>
  </r>
  <r>
    <x v="0"/>
    <x v="70"/>
    <n v="80"/>
    <n v="2236"/>
    <n v="2"/>
    <n v="131"/>
    <m/>
    <m/>
    <m/>
    <m/>
    <m/>
    <m/>
    <m/>
  </r>
  <r>
    <x v="1"/>
    <x v="70"/>
    <n v="0"/>
    <n v="0"/>
    <m/>
    <n v="0"/>
    <m/>
    <m/>
    <m/>
    <m/>
    <m/>
    <m/>
    <m/>
  </r>
  <r>
    <x v="2"/>
    <x v="70"/>
    <n v="10"/>
    <n v="486"/>
    <n v="1"/>
    <n v="21"/>
    <m/>
    <m/>
    <m/>
    <m/>
    <m/>
    <m/>
    <m/>
  </r>
  <r>
    <x v="3"/>
    <x v="70"/>
    <n v="0"/>
    <n v="4"/>
    <m/>
    <n v="1"/>
    <m/>
    <m/>
    <m/>
    <m/>
    <m/>
    <m/>
    <m/>
  </r>
  <r>
    <x v="4"/>
    <x v="70"/>
    <n v="188"/>
    <n v="2286"/>
    <n v="1"/>
    <n v="101"/>
    <m/>
    <m/>
    <m/>
    <m/>
    <m/>
    <m/>
    <m/>
  </r>
  <r>
    <x v="5"/>
    <x v="70"/>
    <n v="3"/>
    <n v="350"/>
    <n v="1"/>
    <n v="20"/>
    <m/>
    <m/>
    <m/>
    <m/>
    <m/>
    <m/>
    <m/>
  </r>
  <r>
    <x v="6"/>
    <x v="70"/>
    <n v="1"/>
    <n v="71"/>
    <m/>
    <n v="0"/>
    <m/>
    <m/>
    <m/>
    <m/>
    <m/>
    <m/>
    <m/>
  </r>
  <r>
    <x v="7"/>
    <x v="70"/>
    <n v="0"/>
    <n v="28"/>
    <m/>
    <n v="0"/>
    <m/>
    <m/>
    <m/>
    <m/>
    <m/>
    <m/>
    <m/>
  </r>
  <r>
    <x v="8"/>
    <x v="70"/>
    <n v="0"/>
    <n v="0"/>
    <m/>
    <n v="0"/>
    <m/>
    <m/>
    <m/>
    <m/>
    <m/>
    <m/>
    <m/>
  </r>
  <r>
    <x v="9"/>
    <x v="70"/>
    <n v="0"/>
    <n v="5"/>
    <m/>
    <n v="0"/>
    <m/>
    <m/>
    <m/>
    <m/>
    <m/>
    <m/>
    <m/>
  </r>
  <r>
    <x v="10"/>
    <x v="70"/>
    <n v="0"/>
    <n v="5"/>
    <m/>
    <n v="0"/>
    <m/>
    <m/>
    <m/>
    <m/>
    <m/>
    <m/>
    <m/>
  </r>
  <r>
    <x v="11"/>
    <x v="70"/>
    <n v="0"/>
    <n v="60"/>
    <m/>
    <n v="0"/>
    <m/>
    <m/>
    <m/>
    <m/>
    <m/>
    <m/>
    <m/>
  </r>
  <r>
    <x v="12"/>
    <x v="70"/>
    <n v="1"/>
    <n v="87"/>
    <m/>
    <n v="0"/>
    <m/>
    <m/>
    <m/>
    <m/>
    <m/>
    <m/>
    <m/>
  </r>
  <r>
    <x v="13"/>
    <x v="70"/>
    <n v="0"/>
    <n v="26"/>
    <m/>
    <n v="0"/>
    <m/>
    <m/>
    <m/>
    <m/>
    <m/>
    <m/>
    <m/>
  </r>
  <r>
    <x v="14"/>
    <x v="70"/>
    <n v="0"/>
    <n v="111"/>
    <m/>
    <n v="1"/>
    <m/>
    <m/>
    <m/>
    <m/>
    <m/>
    <m/>
    <m/>
  </r>
  <r>
    <x v="15"/>
    <x v="70"/>
    <n v="1"/>
    <n v="290"/>
    <m/>
    <n v="0"/>
    <m/>
    <m/>
    <m/>
    <m/>
    <m/>
    <m/>
    <m/>
  </r>
  <r>
    <x v="16"/>
    <x v="70"/>
    <n v="1"/>
    <n v="5"/>
    <m/>
    <n v="1"/>
    <m/>
    <m/>
    <m/>
    <m/>
    <m/>
    <m/>
    <m/>
  </r>
  <r>
    <x v="17"/>
    <x v="70"/>
    <n v="0"/>
    <n v="3"/>
    <m/>
    <n v="0"/>
    <m/>
    <m/>
    <m/>
    <m/>
    <m/>
    <m/>
    <m/>
  </r>
  <r>
    <x v="18"/>
    <x v="70"/>
    <n v="0"/>
    <n v="11"/>
    <m/>
    <n v="0"/>
    <m/>
    <m/>
    <m/>
    <m/>
    <m/>
    <m/>
    <m/>
  </r>
  <r>
    <x v="19"/>
    <x v="70"/>
    <n v="0"/>
    <n v="49"/>
    <m/>
    <n v="0"/>
    <m/>
    <m/>
    <m/>
    <m/>
    <m/>
    <m/>
    <m/>
  </r>
  <r>
    <x v="20"/>
    <x v="70"/>
    <n v="0"/>
    <n v="244"/>
    <m/>
    <n v="3"/>
    <m/>
    <m/>
    <m/>
    <m/>
    <m/>
    <m/>
    <m/>
  </r>
  <r>
    <x v="21"/>
    <x v="70"/>
    <n v="0"/>
    <n v="16"/>
    <m/>
    <n v="0"/>
    <m/>
    <m/>
    <m/>
    <m/>
    <m/>
    <m/>
    <m/>
  </r>
  <r>
    <x v="22"/>
    <x v="70"/>
    <n v="0"/>
    <n v="148"/>
    <m/>
    <n v="0"/>
    <m/>
    <m/>
    <m/>
    <m/>
    <m/>
    <m/>
    <m/>
  </r>
  <r>
    <x v="23"/>
    <x v="70"/>
    <n v="0"/>
    <n v="42"/>
    <m/>
    <n v="3"/>
    <m/>
    <m/>
    <m/>
    <m/>
    <m/>
    <m/>
    <m/>
  </r>
  <r>
    <x v="0"/>
    <x v="71"/>
    <n v="96"/>
    <n v="2332"/>
    <n v="4"/>
    <n v="135"/>
    <m/>
    <m/>
    <m/>
    <m/>
    <m/>
    <m/>
    <m/>
  </r>
  <r>
    <x v="1"/>
    <x v="71"/>
    <n v="0"/>
    <n v="0"/>
    <m/>
    <n v="0"/>
    <m/>
    <m/>
    <m/>
    <m/>
    <m/>
    <m/>
    <m/>
  </r>
  <r>
    <x v="2"/>
    <x v="71"/>
    <n v="18"/>
    <n v="504"/>
    <n v="1"/>
    <n v="22"/>
    <m/>
    <m/>
    <m/>
    <m/>
    <m/>
    <m/>
    <m/>
  </r>
  <r>
    <x v="3"/>
    <x v="71"/>
    <n v="0"/>
    <n v="4"/>
    <m/>
    <n v="1"/>
    <m/>
    <m/>
    <m/>
    <m/>
    <m/>
    <m/>
    <m/>
  </r>
  <r>
    <x v="4"/>
    <x v="71"/>
    <n v="179"/>
    <n v="2465"/>
    <n v="5"/>
    <n v="106"/>
    <m/>
    <m/>
    <m/>
    <m/>
    <m/>
    <m/>
    <m/>
  </r>
  <r>
    <x v="5"/>
    <x v="71"/>
    <n v="11"/>
    <n v="361"/>
    <m/>
    <n v="20"/>
    <m/>
    <m/>
    <m/>
    <m/>
    <m/>
    <m/>
    <m/>
  </r>
  <r>
    <x v="6"/>
    <x v="71"/>
    <n v="5"/>
    <n v="76"/>
    <m/>
    <n v="0"/>
    <m/>
    <m/>
    <m/>
    <m/>
    <m/>
    <m/>
    <m/>
  </r>
  <r>
    <x v="7"/>
    <x v="71"/>
    <n v="1"/>
    <n v="29"/>
    <m/>
    <n v="0"/>
    <m/>
    <m/>
    <m/>
    <m/>
    <m/>
    <m/>
    <m/>
  </r>
  <r>
    <x v="8"/>
    <x v="71"/>
    <n v="0"/>
    <n v="0"/>
    <m/>
    <n v="0"/>
    <m/>
    <m/>
    <m/>
    <m/>
    <m/>
    <m/>
    <m/>
  </r>
  <r>
    <x v="9"/>
    <x v="71"/>
    <n v="0"/>
    <n v="5"/>
    <m/>
    <n v="0"/>
    <m/>
    <m/>
    <m/>
    <m/>
    <m/>
    <m/>
    <m/>
  </r>
  <r>
    <x v="10"/>
    <x v="71"/>
    <n v="0"/>
    <n v="5"/>
    <m/>
    <n v="0"/>
    <m/>
    <m/>
    <m/>
    <m/>
    <m/>
    <m/>
    <m/>
  </r>
  <r>
    <x v="11"/>
    <x v="71"/>
    <n v="0"/>
    <n v="60"/>
    <m/>
    <n v="0"/>
    <m/>
    <m/>
    <m/>
    <m/>
    <m/>
    <m/>
    <m/>
  </r>
  <r>
    <x v="12"/>
    <x v="71"/>
    <n v="1"/>
    <n v="88"/>
    <m/>
    <n v="0"/>
    <m/>
    <m/>
    <m/>
    <m/>
    <m/>
    <m/>
    <m/>
  </r>
  <r>
    <x v="13"/>
    <x v="71"/>
    <n v="-1"/>
    <n v="25"/>
    <m/>
    <n v="0"/>
    <m/>
    <m/>
    <m/>
    <m/>
    <m/>
    <m/>
    <m/>
  </r>
  <r>
    <x v="14"/>
    <x v="71"/>
    <n v="2"/>
    <n v="113"/>
    <m/>
    <n v="0"/>
    <m/>
    <m/>
    <m/>
    <m/>
    <m/>
    <m/>
    <m/>
  </r>
  <r>
    <x v="15"/>
    <x v="71"/>
    <n v="4"/>
    <n v="294"/>
    <m/>
    <n v="1"/>
    <m/>
    <m/>
    <m/>
    <m/>
    <m/>
    <m/>
    <m/>
  </r>
  <r>
    <x v="16"/>
    <x v="71"/>
    <n v="0"/>
    <n v="5"/>
    <m/>
    <n v="0"/>
    <m/>
    <m/>
    <m/>
    <m/>
    <m/>
    <m/>
    <m/>
  </r>
  <r>
    <x v="17"/>
    <x v="71"/>
    <n v="0"/>
    <n v="3"/>
    <m/>
    <n v="0"/>
    <m/>
    <m/>
    <m/>
    <m/>
    <m/>
    <m/>
    <m/>
  </r>
  <r>
    <x v="18"/>
    <x v="71"/>
    <n v="0"/>
    <n v="11"/>
    <m/>
    <n v="0"/>
    <m/>
    <m/>
    <m/>
    <m/>
    <m/>
    <m/>
    <m/>
  </r>
  <r>
    <x v="19"/>
    <x v="71"/>
    <n v="0"/>
    <n v="49"/>
    <m/>
    <n v="0"/>
    <m/>
    <m/>
    <m/>
    <m/>
    <m/>
    <m/>
    <m/>
  </r>
  <r>
    <x v="20"/>
    <x v="71"/>
    <n v="0"/>
    <n v="244"/>
    <m/>
    <n v="3"/>
    <m/>
    <m/>
    <m/>
    <m/>
    <m/>
    <m/>
    <m/>
  </r>
  <r>
    <x v="21"/>
    <x v="71"/>
    <n v="0"/>
    <n v="16"/>
    <m/>
    <n v="0"/>
    <m/>
    <m/>
    <m/>
    <m/>
    <m/>
    <m/>
    <m/>
  </r>
  <r>
    <x v="22"/>
    <x v="71"/>
    <n v="0"/>
    <n v="148"/>
    <m/>
    <n v="0"/>
    <m/>
    <m/>
    <m/>
    <m/>
    <m/>
    <m/>
    <m/>
  </r>
  <r>
    <x v="23"/>
    <x v="71"/>
    <n v="0"/>
    <n v="42"/>
    <m/>
    <n v="3"/>
    <m/>
    <m/>
    <m/>
    <m/>
    <m/>
    <m/>
    <m/>
  </r>
  <r>
    <x v="0"/>
    <x v="72"/>
    <n v="79"/>
    <n v="2411"/>
    <n v="11"/>
    <n v="146"/>
    <m/>
    <m/>
    <m/>
    <m/>
    <m/>
    <m/>
    <m/>
  </r>
  <r>
    <x v="1"/>
    <x v="72"/>
    <n v="0"/>
    <n v="0"/>
    <m/>
    <n v="0"/>
    <m/>
    <m/>
    <m/>
    <m/>
    <m/>
    <m/>
    <m/>
  </r>
  <r>
    <x v="2"/>
    <x v="72"/>
    <n v="9"/>
    <n v="513"/>
    <n v="1"/>
    <n v="23"/>
    <m/>
    <m/>
    <m/>
    <m/>
    <m/>
    <m/>
    <m/>
  </r>
  <r>
    <x v="3"/>
    <x v="72"/>
    <n v="0"/>
    <n v="4"/>
    <m/>
    <n v="1"/>
    <m/>
    <m/>
    <m/>
    <m/>
    <m/>
    <m/>
    <m/>
  </r>
  <r>
    <x v="4"/>
    <x v="72"/>
    <n v="153"/>
    <n v="2618"/>
    <n v="10"/>
    <n v="116"/>
    <m/>
    <m/>
    <m/>
    <m/>
    <m/>
    <m/>
    <m/>
  </r>
  <r>
    <x v="5"/>
    <x v="72"/>
    <n v="5"/>
    <n v="366"/>
    <n v="1"/>
    <n v="21"/>
    <m/>
    <m/>
    <m/>
    <m/>
    <m/>
    <m/>
    <m/>
  </r>
  <r>
    <x v="6"/>
    <x v="72"/>
    <n v="3"/>
    <n v="79"/>
    <m/>
    <n v="0"/>
    <m/>
    <m/>
    <m/>
    <m/>
    <m/>
    <m/>
    <m/>
  </r>
  <r>
    <x v="7"/>
    <x v="72"/>
    <n v="0"/>
    <n v="29"/>
    <m/>
    <n v="0"/>
    <m/>
    <m/>
    <m/>
    <m/>
    <m/>
    <m/>
    <m/>
  </r>
  <r>
    <x v="8"/>
    <x v="72"/>
    <n v="0"/>
    <n v="0"/>
    <m/>
    <n v="0"/>
    <m/>
    <m/>
    <m/>
    <m/>
    <m/>
    <m/>
    <m/>
  </r>
  <r>
    <x v="9"/>
    <x v="72"/>
    <n v="0"/>
    <n v="5"/>
    <m/>
    <n v="0"/>
    <m/>
    <m/>
    <m/>
    <m/>
    <m/>
    <m/>
    <m/>
  </r>
  <r>
    <x v="10"/>
    <x v="72"/>
    <n v="0"/>
    <n v="5"/>
    <m/>
    <n v="0"/>
    <m/>
    <m/>
    <m/>
    <m/>
    <m/>
    <m/>
    <m/>
  </r>
  <r>
    <x v="11"/>
    <x v="72"/>
    <n v="0"/>
    <n v="60"/>
    <m/>
    <n v="0"/>
    <m/>
    <m/>
    <m/>
    <m/>
    <m/>
    <m/>
    <m/>
  </r>
  <r>
    <x v="12"/>
    <x v="72"/>
    <n v="0"/>
    <n v="88"/>
    <m/>
    <n v="0"/>
    <m/>
    <m/>
    <m/>
    <m/>
    <m/>
    <m/>
    <m/>
  </r>
  <r>
    <x v="13"/>
    <x v="72"/>
    <n v="0"/>
    <n v="25"/>
    <m/>
    <n v="0"/>
    <m/>
    <m/>
    <m/>
    <m/>
    <m/>
    <m/>
    <m/>
  </r>
  <r>
    <x v="14"/>
    <x v="72"/>
    <n v="1"/>
    <n v="114"/>
    <m/>
    <n v="0"/>
    <m/>
    <m/>
    <m/>
    <m/>
    <m/>
    <m/>
    <m/>
  </r>
  <r>
    <x v="15"/>
    <x v="72"/>
    <n v="4"/>
    <n v="298"/>
    <n v="1"/>
    <n v="1"/>
    <m/>
    <m/>
    <m/>
    <m/>
    <m/>
    <m/>
    <m/>
  </r>
  <r>
    <x v="16"/>
    <x v="72"/>
    <n v="0"/>
    <n v="5"/>
    <m/>
    <n v="1"/>
    <m/>
    <m/>
    <m/>
    <m/>
    <m/>
    <m/>
    <m/>
  </r>
  <r>
    <x v="17"/>
    <x v="72"/>
    <n v="0"/>
    <n v="3"/>
    <m/>
    <n v="0"/>
    <m/>
    <m/>
    <m/>
    <m/>
    <m/>
    <m/>
    <m/>
  </r>
  <r>
    <x v="18"/>
    <x v="72"/>
    <n v="0"/>
    <n v="11"/>
    <m/>
    <n v="0"/>
    <m/>
    <m/>
    <m/>
    <m/>
    <m/>
    <m/>
    <m/>
  </r>
  <r>
    <x v="19"/>
    <x v="72"/>
    <n v="0"/>
    <n v="49"/>
    <m/>
    <n v="0"/>
    <m/>
    <m/>
    <m/>
    <m/>
    <m/>
    <m/>
    <m/>
  </r>
  <r>
    <x v="20"/>
    <x v="72"/>
    <n v="0"/>
    <n v="244"/>
    <m/>
    <n v="3"/>
    <m/>
    <m/>
    <m/>
    <m/>
    <m/>
    <m/>
    <m/>
  </r>
  <r>
    <x v="21"/>
    <x v="72"/>
    <n v="0"/>
    <n v="16"/>
    <m/>
    <n v="0"/>
    <m/>
    <m/>
    <m/>
    <m/>
    <m/>
    <m/>
    <m/>
  </r>
  <r>
    <x v="22"/>
    <x v="72"/>
    <n v="0"/>
    <n v="148"/>
    <m/>
    <n v="0"/>
    <m/>
    <m/>
    <m/>
    <m/>
    <m/>
    <m/>
    <m/>
  </r>
  <r>
    <x v="23"/>
    <x v="72"/>
    <n v="0"/>
    <n v="42"/>
    <m/>
    <n v="3"/>
    <m/>
    <m/>
    <m/>
    <m/>
    <m/>
    <m/>
    <m/>
  </r>
  <r>
    <x v="0"/>
    <x v="73"/>
    <n v="86"/>
    <n v="2497"/>
    <n v="2"/>
    <n v="148"/>
    <m/>
    <m/>
    <m/>
    <m/>
    <m/>
    <m/>
    <m/>
  </r>
  <r>
    <x v="1"/>
    <x v="73"/>
    <n v="0"/>
    <n v="0"/>
    <m/>
    <n v="0"/>
    <m/>
    <m/>
    <m/>
    <m/>
    <m/>
    <m/>
    <m/>
  </r>
  <r>
    <x v="2"/>
    <x v="73"/>
    <n v="25"/>
    <n v="538"/>
    <n v="1"/>
    <n v="24"/>
    <m/>
    <m/>
    <m/>
    <m/>
    <m/>
    <m/>
    <m/>
  </r>
  <r>
    <x v="3"/>
    <x v="73"/>
    <n v="0"/>
    <n v="4"/>
    <m/>
    <n v="1"/>
    <m/>
    <m/>
    <m/>
    <m/>
    <m/>
    <m/>
    <m/>
  </r>
  <r>
    <x v="4"/>
    <x v="73"/>
    <n v="214"/>
    <n v="2832"/>
    <m/>
    <n v="116"/>
    <m/>
    <m/>
    <m/>
    <m/>
    <m/>
    <m/>
    <m/>
  </r>
  <r>
    <x v="5"/>
    <x v="73"/>
    <n v="3"/>
    <n v="369"/>
    <m/>
    <n v="21"/>
    <m/>
    <m/>
    <m/>
    <m/>
    <m/>
    <m/>
    <m/>
  </r>
  <r>
    <x v="6"/>
    <x v="73"/>
    <n v="0"/>
    <n v="79"/>
    <m/>
    <n v="0"/>
    <m/>
    <m/>
    <m/>
    <m/>
    <m/>
    <m/>
    <m/>
  </r>
  <r>
    <x v="7"/>
    <x v="73"/>
    <n v="0"/>
    <n v="29"/>
    <m/>
    <n v="0"/>
    <m/>
    <m/>
    <m/>
    <m/>
    <m/>
    <m/>
    <m/>
  </r>
  <r>
    <x v="8"/>
    <x v="73"/>
    <n v="0"/>
    <n v="0"/>
    <m/>
    <n v="0"/>
    <m/>
    <m/>
    <m/>
    <m/>
    <m/>
    <m/>
    <m/>
  </r>
  <r>
    <x v="9"/>
    <x v="73"/>
    <n v="0"/>
    <n v="5"/>
    <m/>
    <n v="0"/>
    <m/>
    <m/>
    <m/>
    <m/>
    <m/>
    <m/>
    <m/>
  </r>
  <r>
    <x v="10"/>
    <x v="73"/>
    <n v="0"/>
    <n v="5"/>
    <m/>
    <n v="0"/>
    <m/>
    <m/>
    <m/>
    <m/>
    <m/>
    <m/>
    <m/>
  </r>
  <r>
    <x v="11"/>
    <x v="73"/>
    <n v="0"/>
    <n v="60"/>
    <m/>
    <n v="0"/>
    <m/>
    <m/>
    <m/>
    <m/>
    <m/>
    <m/>
    <m/>
  </r>
  <r>
    <x v="12"/>
    <x v="73"/>
    <n v="-1"/>
    <n v="87"/>
    <m/>
    <n v="0"/>
    <m/>
    <m/>
    <m/>
    <m/>
    <m/>
    <m/>
    <m/>
  </r>
  <r>
    <x v="13"/>
    <x v="73"/>
    <n v="0"/>
    <n v="25"/>
    <m/>
    <n v="0"/>
    <m/>
    <m/>
    <m/>
    <m/>
    <m/>
    <m/>
    <m/>
  </r>
  <r>
    <x v="14"/>
    <x v="73"/>
    <n v="0"/>
    <n v="114"/>
    <m/>
    <n v="0"/>
    <m/>
    <m/>
    <m/>
    <m/>
    <m/>
    <m/>
    <m/>
  </r>
  <r>
    <x v="15"/>
    <x v="73"/>
    <n v="17"/>
    <n v="315"/>
    <m/>
    <n v="0"/>
    <m/>
    <m/>
    <m/>
    <m/>
    <m/>
    <m/>
    <m/>
  </r>
  <r>
    <x v="16"/>
    <x v="73"/>
    <n v="0"/>
    <n v="5"/>
    <m/>
    <n v="1"/>
    <m/>
    <m/>
    <m/>
    <m/>
    <m/>
    <m/>
    <m/>
  </r>
  <r>
    <x v="17"/>
    <x v="73"/>
    <n v="0"/>
    <n v="3"/>
    <m/>
    <n v="0"/>
    <m/>
    <m/>
    <m/>
    <m/>
    <m/>
    <m/>
    <m/>
  </r>
  <r>
    <x v="18"/>
    <x v="73"/>
    <n v="0"/>
    <n v="11"/>
    <m/>
    <n v="0"/>
    <m/>
    <m/>
    <m/>
    <m/>
    <m/>
    <m/>
    <m/>
  </r>
  <r>
    <x v="19"/>
    <x v="73"/>
    <n v="0"/>
    <n v="49"/>
    <m/>
    <n v="0"/>
    <m/>
    <m/>
    <m/>
    <m/>
    <m/>
    <m/>
    <m/>
  </r>
  <r>
    <x v="20"/>
    <x v="73"/>
    <n v="0"/>
    <n v="244"/>
    <m/>
    <n v="3"/>
    <m/>
    <m/>
    <m/>
    <m/>
    <m/>
    <m/>
    <m/>
  </r>
  <r>
    <x v="21"/>
    <x v="73"/>
    <n v="0"/>
    <n v="16"/>
    <m/>
    <n v="0"/>
    <m/>
    <m/>
    <m/>
    <m/>
    <m/>
    <m/>
    <m/>
  </r>
  <r>
    <x v="22"/>
    <x v="73"/>
    <n v="0"/>
    <n v="148"/>
    <m/>
    <n v="0"/>
    <m/>
    <m/>
    <m/>
    <m/>
    <m/>
    <m/>
    <m/>
  </r>
  <r>
    <x v="23"/>
    <x v="73"/>
    <n v="0"/>
    <n v="42"/>
    <m/>
    <n v="3"/>
    <m/>
    <m/>
    <m/>
    <m/>
    <m/>
    <m/>
    <m/>
  </r>
  <r>
    <x v="0"/>
    <x v="74"/>
    <n v="97"/>
    <n v="2594"/>
    <n v="2"/>
    <n v="150"/>
    <m/>
    <m/>
    <m/>
    <m/>
    <m/>
    <m/>
    <m/>
  </r>
  <r>
    <x v="1"/>
    <x v="74"/>
    <n v="0"/>
    <n v="0"/>
    <m/>
    <n v="0"/>
    <m/>
    <m/>
    <m/>
    <m/>
    <m/>
    <m/>
    <m/>
  </r>
  <r>
    <x v="2"/>
    <x v="74"/>
    <n v="21"/>
    <n v="559"/>
    <n v="1"/>
    <n v="25"/>
    <m/>
    <m/>
    <m/>
    <m/>
    <m/>
    <m/>
    <m/>
  </r>
  <r>
    <x v="3"/>
    <x v="74"/>
    <n v="0"/>
    <n v="4"/>
    <m/>
    <n v="1"/>
    <m/>
    <m/>
    <m/>
    <m/>
    <m/>
    <m/>
    <m/>
  </r>
  <r>
    <x v="4"/>
    <x v="74"/>
    <n v="193"/>
    <n v="3025"/>
    <n v="4"/>
    <n v="120"/>
    <m/>
    <m/>
    <m/>
    <m/>
    <m/>
    <m/>
    <m/>
  </r>
  <r>
    <x v="5"/>
    <x v="74"/>
    <n v="9"/>
    <n v="378"/>
    <m/>
    <n v="21"/>
    <m/>
    <m/>
    <m/>
    <m/>
    <m/>
    <m/>
    <m/>
  </r>
  <r>
    <x v="6"/>
    <x v="74"/>
    <n v="0"/>
    <n v="79"/>
    <m/>
    <n v="0"/>
    <m/>
    <m/>
    <m/>
    <m/>
    <m/>
    <m/>
    <m/>
  </r>
  <r>
    <x v="7"/>
    <x v="74"/>
    <n v="0"/>
    <n v="29"/>
    <m/>
    <n v="0"/>
    <m/>
    <m/>
    <m/>
    <m/>
    <m/>
    <m/>
    <m/>
  </r>
  <r>
    <x v="8"/>
    <x v="74"/>
    <n v="0"/>
    <n v="0"/>
    <m/>
    <n v="0"/>
    <m/>
    <m/>
    <m/>
    <m/>
    <m/>
    <m/>
    <m/>
  </r>
  <r>
    <x v="9"/>
    <x v="74"/>
    <n v="0"/>
    <n v="5"/>
    <m/>
    <n v="0"/>
    <m/>
    <m/>
    <m/>
    <m/>
    <m/>
    <m/>
    <m/>
  </r>
  <r>
    <x v="10"/>
    <x v="74"/>
    <n v="0"/>
    <n v="5"/>
    <m/>
    <n v="0"/>
    <m/>
    <m/>
    <m/>
    <m/>
    <m/>
    <m/>
    <m/>
  </r>
  <r>
    <x v="11"/>
    <x v="74"/>
    <n v="0"/>
    <n v="60"/>
    <m/>
    <n v="0"/>
    <m/>
    <m/>
    <m/>
    <m/>
    <m/>
    <m/>
    <m/>
  </r>
  <r>
    <x v="12"/>
    <x v="74"/>
    <n v="0"/>
    <n v="87"/>
    <m/>
    <n v="0"/>
    <m/>
    <m/>
    <m/>
    <m/>
    <m/>
    <m/>
    <m/>
  </r>
  <r>
    <x v="13"/>
    <x v="74"/>
    <n v="0"/>
    <n v="25"/>
    <m/>
    <n v="0"/>
    <m/>
    <m/>
    <m/>
    <m/>
    <m/>
    <m/>
    <m/>
  </r>
  <r>
    <x v="14"/>
    <x v="74"/>
    <n v="0"/>
    <n v="114"/>
    <m/>
    <n v="0"/>
    <m/>
    <m/>
    <m/>
    <m/>
    <m/>
    <m/>
    <m/>
  </r>
  <r>
    <x v="15"/>
    <x v="74"/>
    <n v="6"/>
    <n v="321"/>
    <m/>
    <n v="0"/>
    <m/>
    <m/>
    <m/>
    <m/>
    <m/>
    <m/>
    <m/>
  </r>
  <r>
    <x v="16"/>
    <x v="74"/>
    <n v="0"/>
    <n v="5"/>
    <m/>
    <n v="0"/>
    <m/>
    <m/>
    <m/>
    <m/>
    <m/>
    <m/>
    <m/>
  </r>
  <r>
    <x v="17"/>
    <x v="74"/>
    <n v="0"/>
    <n v="3"/>
    <m/>
    <n v="0"/>
    <m/>
    <m/>
    <m/>
    <m/>
    <m/>
    <m/>
    <m/>
  </r>
  <r>
    <x v="18"/>
    <x v="74"/>
    <n v="0"/>
    <n v="11"/>
    <m/>
    <n v="0"/>
    <m/>
    <m/>
    <m/>
    <m/>
    <m/>
    <m/>
    <m/>
  </r>
  <r>
    <x v="19"/>
    <x v="74"/>
    <n v="0"/>
    <n v="49"/>
    <m/>
    <n v="0"/>
    <m/>
    <m/>
    <m/>
    <m/>
    <m/>
    <m/>
    <m/>
  </r>
  <r>
    <x v="20"/>
    <x v="74"/>
    <n v="1"/>
    <n v="245"/>
    <m/>
    <n v="3"/>
    <m/>
    <m/>
    <m/>
    <m/>
    <m/>
    <m/>
    <m/>
  </r>
  <r>
    <x v="21"/>
    <x v="74"/>
    <n v="0"/>
    <n v="16"/>
    <m/>
    <n v="0"/>
    <m/>
    <m/>
    <m/>
    <m/>
    <m/>
    <m/>
    <m/>
  </r>
  <r>
    <x v="22"/>
    <x v="74"/>
    <n v="0"/>
    <n v="148"/>
    <m/>
    <n v="0"/>
    <m/>
    <m/>
    <m/>
    <m/>
    <m/>
    <m/>
    <m/>
  </r>
  <r>
    <x v="23"/>
    <x v="74"/>
    <n v="0"/>
    <n v="42"/>
    <m/>
    <n v="3"/>
    <m/>
    <m/>
    <m/>
    <m/>
    <m/>
    <m/>
    <m/>
  </r>
  <r>
    <x v="0"/>
    <x v="75"/>
    <n v="74"/>
    <n v="2668"/>
    <n v="3"/>
    <n v="153"/>
    <m/>
    <m/>
    <m/>
    <m/>
    <m/>
    <m/>
    <m/>
  </r>
  <r>
    <x v="1"/>
    <x v="75"/>
    <n v="0"/>
    <n v="0"/>
    <m/>
    <n v="0"/>
    <m/>
    <m/>
    <m/>
    <m/>
    <m/>
    <m/>
    <m/>
  </r>
  <r>
    <x v="2"/>
    <x v="75"/>
    <n v="19"/>
    <n v="578"/>
    <n v="2"/>
    <n v="27"/>
    <m/>
    <m/>
    <m/>
    <m/>
    <m/>
    <m/>
    <m/>
  </r>
  <r>
    <x v="3"/>
    <x v="75"/>
    <n v="0"/>
    <n v="4"/>
    <m/>
    <n v="1"/>
    <m/>
    <m/>
    <m/>
    <m/>
    <m/>
    <m/>
    <m/>
  </r>
  <r>
    <x v="4"/>
    <x v="75"/>
    <n v="147"/>
    <n v="3172"/>
    <n v="2"/>
    <n v="122"/>
    <m/>
    <m/>
    <m/>
    <m/>
    <m/>
    <m/>
    <m/>
  </r>
  <r>
    <x v="5"/>
    <x v="75"/>
    <n v="20"/>
    <n v="398"/>
    <n v="2"/>
    <n v="23"/>
    <m/>
    <m/>
    <m/>
    <m/>
    <m/>
    <m/>
    <m/>
  </r>
  <r>
    <x v="6"/>
    <x v="75"/>
    <n v="0"/>
    <n v="79"/>
    <m/>
    <n v="0"/>
    <m/>
    <m/>
    <m/>
    <m/>
    <m/>
    <m/>
    <m/>
  </r>
  <r>
    <x v="7"/>
    <x v="75"/>
    <n v="0"/>
    <n v="29"/>
    <m/>
    <n v="0"/>
    <m/>
    <m/>
    <m/>
    <m/>
    <m/>
    <m/>
    <m/>
  </r>
  <r>
    <x v="8"/>
    <x v="75"/>
    <n v="0"/>
    <n v="0"/>
    <m/>
    <n v="0"/>
    <m/>
    <m/>
    <m/>
    <m/>
    <m/>
    <m/>
    <m/>
  </r>
  <r>
    <x v="9"/>
    <x v="75"/>
    <n v="0"/>
    <n v="5"/>
    <m/>
    <n v="0"/>
    <m/>
    <m/>
    <m/>
    <m/>
    <m/>
    <m/>
    <m/>
  </r>
  <r>
    <x v="10"/>
    <x v="75"/>
    <n v="0"/>
    <n v="5"/>
    <m/>
    <n v="0"/>
    <m/>
    <m/>
    <m/>
    <m/>
    <m/>
    <m/>
    <m/>
  </r>
  <r>
    <x v="11"/>
    <x v="75"/>
    <n v="1"/>
    <n v="61"/>
    <m/>
    <n v="0"/>
    <m/>
    <m/>
    <m/>
    <m/>
    <m/>
    <m/>
    <m/>
  </r>
  <r>
    <x v="12"/>
    <x v="75"/>
    <n v="0"/>
    <n v="87"/>
    <m/>
    <n v="0"/>
    <m/>
    <m/>
    <m/>
    <m/>
    <m/>
    <m/>
    <m/>
  </r>
  <r>
    <x v="13"/>
    <x v="75"/>
    <n v="0"/>
    <n v="25"/>
    <m/>
    <n v="0"/>
    <m/>
    <m/>
    <m/>
    <m/>
    <m/>
    <m/>
    <m/>
  </r>
  <r>
    <x v="14"/>
    <x v="75"/>
    <n v="0"/>
    <n v="114"/>
    <m/>
    <n v="0"/>
    <m/>
    <m/>
    <m/>
    <m/>
    <m/>
    <m/>
    <m/>
  </r>
  <r>
    <x v="15"/>
    <x v="75"/>
    <n v="2"/>
    <n v="323"/>
    <n v="1"/>
    <n v="1"/>
    <m/>
    <m/>
    <m/>
    <m/>
    <m/>
    <m/>
    <m/>
  </r>
  <r>
    <x v="16"/>
    <x v="75"/>
    <n v="0"/>
    <n v="5"/>
    <m/>
    <n v="0"/>
    <m/>
    <m/>
    <m/>
    <m/>
    <m/>
    <m/>
    <m/>
  </r>
  <r>
    <x v="17"/>
    <x v="75"/>
    <n v="0"/>
    <n v="3"/>
    <m/>
    <n v="0"/>
    <m/>
    <m/>
    <m/>
    <m/>
    <m/>
    <m/>
    <m/>
  </r>
  <r>
    <x v="18"/>
    <x v="75"/>
    <n v="0"/>
    <n v="11"/>
    <m/>
    <n v="0"/>
    <m/>
    <m/>
    <m/>
    <m/>
    <m/>
    <m/>
    <m/>
  </r>
  <r>
    <x v="19"/>
    <x v="75"/>
    <n v="0"/>
    <n v="49"/>
    <m/>
    <n v="0"/>
    <m/>
    <m/>
    <m/>
    <m/>
    <m/>
    <m/>
    <m/>
  </r>
  <r>
    <x v="20"/>
    <x v="75"/>
    <n v="0"/>
    <n v="245"/>
    <m/>
    <n v="3"/>
    <m/>
    <m/>
    <m/>
    <m/>
    <m/>
    <m/>
    <m/>
  </r>
  <r>
    <x v="21"/>
    <x v="75"/>
    <n v="0"/>
    <n v="16"/>
    <m/>
    <n v="0"/>
    <m/>
    <m/>
    <m/>
    <m/>
    <m/>
    <m/>
    <m/>
  </r>
  <r>
    <x v="22"/>
    <x v="75"/>
    <n v="0"/>
    <n v="148"/>
    <m/>
    <n v="0"/>
    <m/>
    <m/>
    <m/>
    <m/>
    <m/>
    <m/>
    <m/>
  </r>
  <r>
    <x v="23"/>
    <x v="75"/>
    <n v="0"/>
    <n v="42"/>
    <m/>
    <n v="3"/>
    <m/>
    <m/>
    <m/>
    <m/>
    <m/>
    <m/>
    <m/>
  </r>
  <r>
    <x v="0"/>
    <x v="76"/>
    <n v="93"/>
    <n v="2761"/>
    <n v="2"/>
    <n v="155"/>
    <m/>
    <m/>
    <m/>
    <m/>
    <m/>
    <m/>
    <m/>
  </r>
  <r>
    <x v="1"/>
    <x v="76"/>
    <n v="0"/>
    <n v="0"/>
    <m/>
    <n v="0"/>
    <m/>
    <m/>
    <m/>
    <m/>
    <m/>
    <m/>
    <m/>
  </r>
  <r>
    <x v="2"/>
    <x v="76"/>
    <n v="13"/>
    <n v="591"/>
    <n v="2"/>
    <n v="29"/>
    <m/>
    <m/>
    <m/>
    <m/>
    <m/>
    <m/>
    <m/>
  </r>
  <r>
    <x v="3"/>
    <x v="76"/>
    <n v="0"/>
    <n v="4"/>
    <m/>
    <n v="1"/>
    <m/>
    <m/>
    <m/>
    <m/>
    <m/>
    <m/>
    <m/>
  </r>
  <r>
    <x v="4"/>
    <x v="76"/>
    <n v="169"/>
    <n v="3341"/>
    <n v="5"/>
    <n v="127"/>
    <m/>
    <m/>
    <m/>
    <m/>
    <m/>
    <m/>
    <m/>
  </r>
  <r>
    <x v="5"/>
    <x v="76"/>
    <n v="20"/>
    <n v="418"/>
    <m/>
    <n v="23"/>
    <m/>
    <m/>
    <m/>
    <m/>
    <m/>
    <m/>
    <m/>
  </r>
  <r>
    <x v="6"/>
    <x v="76"/>
    <n v="-1"/>
    <n v="78"/>
    <m/>
    <n v="0"/>
    <m/>
    <m/>
    <m/>
    <m/>
    <m/>
    <m/>
    <m/>
  </r>
  <r>
    <x v="7"/>
    <x v="76"/>
    <n v="0"/>
    <n v="29"/>
    <m/>
    <n v="0"/>
    <m/>
    <m/>
    <m/>
    <m/>
    <m/>
    <m/>
    <m/>
  </r>
  <r>
    <x v="8"/>
    <x v="76"/>
    <n v="0"/>
    <n v="0"/>
    <m/>
    <n v="0"/>
    <m/>
    <m/>
    <m/>
    <m/>
    <m/>
    <m/>
    <m/>
  </r>
  <r>
    <x v="9"/>
    <x v="76"/>
    <n v="0"/>
    <n v="5"/>
    <m/>
    <n v="0"/>
    <m/>
    <m/>
    <m/>
    <m/>
    <m/>
    <m/>
    <m/>
  </r>
  <r>
    <x v="10"/>
    <x v="76"/>
    <n v="0"/>
    <n v="5"/>
    <m/>
    <n v="0"/>
    <m/>
    <m/>
    <m/>
    <m/>
    <m/>
    <m/>
    <m/>
  </r>
  <r>
    <x v="11"/>
    <x v="76"/>
    <n v="2"/>
    <n v="63"/>
    <m/>
    <n v="0"/>
    <m/>
    <m/>
    <m/>
    <m/>
    <m/>
    <m/>
    <m/>
  </r>
  <r>
    <x v="12"/>
    <x v="76"/>
    <n v="0"/>
    <n v="87"/>
    <m/>
    <n v="0"/>
    <m/>
    <m/>
    <m/>
    <m/>
    <m/>
    <m/>
    <m/>
  </r>
  <r>
    <x v="13"/>
    <x v="76"/>
    <n v="0"/>
    <n v="25"/>
    <m/>
    <n v="0"/>
    <m/>
    <m/>
    <m/>
    <m/>
    <m/>
    <m/>
    <m/>
  </r>
  <r>
    <x v="14"/>
    <x v="76"/>
    <n v="0"/>
    <n v="114"/>
    <m/>
    <n v="0"/>
    <m/>
    <m/>
    <m/>
    <m/>
    <m/>
    <m/>
    <m/>
  </r>
  <r>
    <x v="15"/>
    <x v="76"/>
    <n v="2"/>
    <n v="325"/>
    <m/>
    <n v="0"/>
    <m/>
    <m/>
    <m/>
    <m/>
    <m/>
    <m/>
    <m/>
  </r>
  <r>
    <x v="16"/>
    <x v="76"/>
    <n v="0"/>
    <n v="5"/>
    <m/>
    <n v="1"/>
    <m/>
    <m/>
    <m/>
    <m/>
    <m/>
    <m/>
    <m/>
  </r>
  <r>
    <x v="17"/>
    <x v="76"/>
    <n v="1"/>
    <n v="4"/>
    <m/>
    <n v="0"/>
    <m/>
    <m/>
    <m/>
    <m/>
    <m/>
    <m/>
    <m/>
  </r>
  <r>
    <x v="18"/>
    <x v="76"/>
    <n v="0"/>
    <n v="11"/>
    <m/>
    <n v="0"/>
    <m/>
    <m/>
    <m/>
    <m/>
    <m/>
    <m/>
    <m/>
  </r>
  <r>
    <x v="19"/>
    <x v="76"/>
    <n v="0"/>
    <n v="49"/>
    <m/>
    <n v="0"/>
    <m/>
    <m/>
    <m/>
    <m/>
    <m/>
    <m/>
    <m/>
  </r>
  <r>
    <x v="20"/>
    <x v="76"/>
    <n v="4"/>
    <n v="249"/>
    <m/>
    <n v="3"/>
    <m/>
    <m/>
    <m/>
    <m/>
    <m/>
    <m/>
    <m/>
  </r>
  <r>
    <x v="21"/>
    <x v="76"/>
    <n v="0"/>
    <n v="16"/>
    <m/>
    <n v="0"/>
    <m/>
    <m/>
    <m/>
    <m/>
    <m/>
    <m/>
    <m/>
  </r>
  <r>
    <x v="22"/>
    <x v="76"/>
    <n v="0"/>
    <n v="148"/>
    <m/>
    <n v="0"/>
    <m/>
    <m/>
    <m/>
    <m/>
    <m/>
    <m/>
    <m/>
  </r>
  <r>
    <x v="23"/>
    <x v="76"/>
    <n v="0"/>
    <n v="42"/>
    <m/>
    <n v="3"/>
    <m/>
    <m/>
    <m/>
    <m/>
    <m/>
    <m/>
    <m/>
  </r>
  <r>
    <x v="0"/>
    <x v="77"/>
    <n v="157"/>
    <n v="2918"/>
    <n v="2"/>
    <n v="157"/>
    <m/>
    <m/>
    <m/>
    <m/>
    <m/>
    <m/>
    <m/>
  </r>
  <r>
    <x v="1"/>
    <x v="77"/>
    <n v="0"/>
    <n v="0"/>
    <m/>
    <n v="0"/>
    <m/>
    <m/>
    <m/>
    <m/>
    <m/>
    <m/>
    <m/>
  </r>
  <r>
    <x v="2"/>
    <x v="77"/>
    <n v="34"/>
    <n v="625"/>
    <n v="4"/>
    <n v="33"/>
    <m/>
    <m/>
    <m/>
    <m/>
    <m/>
    <m/>
    <m/>
  </r>
  <r>
    <x v="3"/>
    <x v="77"/>
    <n v="0"/>
    <n v="4"/>
    <m/>
    <n v="1"/>
    <m/>
    <m/>
    <m/>
    <m/>
    <m/>
    <m/>
    <m/>
  </r>
  <r>
    <x v="4"/>
    <x v="77"/>
    <n v="224"/>
    <n v="3565"/>
    <n v="5"/>
    <n v="132"/>
    <m/>
    <m/>
    <m/>
    <m/>
    <m/>
    <m/>
    <m/>
  </r>
  <r>
    <x v="5"/>
    <x v="77"/>
    <n v="9"/>
    <n v="427"/>
    <m/>
    <n v="23"/>
    <m/>
    <m/>
    <m/>
    <m/>
    <m/>
    <m/>
    <m/>
  </r>
  <r>
    <x v="6"/>
    <x v="77"/>
    <n v="0"/>
    <n v="78"/>
    <m/>
    <n v="0"/>
    <m/>
    <m/>
    <m/>
    <m/>
    <m/>
    <m/>
    <m/>
  </r>
  <r>
    <x v="7"/>
    <x v="77"/>
    <n v="0"/>
    <n v="29"/>
    <m/>
    <n v="0"/>
    <m/>
    <m/>
    <m/>
    <m/>
    <m/>
    <m/>
    <m/>
  </r>
  <r>
    <x v="8"/>
    <x v="77"/>
    <n v="0"/>
    <n v="0"/>
    <m/>
    <n v="0"/>
    <m/>
    <m/>
    <m/>
    <m/>
    <m/>
    <m/>
    <m/>
  </r>
  <r>
    <x v="9"/>
    <x v="77"/>
    <n v="0"/>
    <n v="5"/>
    <m/>
    <n v="0"/>
    <m/>
    <m/>
    <m/>
    <m/>
    <m/>
    <m/>
    <m/>
  </r>
  <r>
    <x v="10"/>
    <x v="77"/>
    <n v="0"/>
    <n v="5"/>
    <m/>
    <n v="0"/>
    <m/>
    <m/>
    <m/>
    <m/>
    <m/>
    <m/>
    <m/>
  </r>
  <r>
    <x v="11"/>
    <x v="77"/>
    <n v="0"/>
    <n v="63"/>
    <m/>
    <n v="0"/>
    <m/>
    <m/>
    <m/>
    <m/>
    <m/>
    <m/>
    <m/>
  </r>
  <r>
    <x v="12"/>
    <x v="77"/>
    <n v="2"/>
    <n v="89"/>
    <m/>
    <n v="0"/>
    <m/>
    <m/>
    <m/>
    <m/>
    <m/>
    <m/>
    <m/>
  </r>
  <r>
    <x v="13"/>
    <x v="77"/>
    <n v="0"/>
    <n v="25"/>
    <m/>
    <n v="0"/>
    <m/>
    <m/>
    <m/>
    <m/>
    <m/>
    <m/>
    <m/>
  </r>
  <r>
    <x v="14"/>
    <x v="77"/>
    <n v="0"/>
    <n v="114"/>
    <m/>
    <n v="0"/>
    <m/>
    <m/>
    <m/>
    <m/>
    <m/>
    <m/>
    <m/>
  </r>
  <r>
    <x v="15"/>
    <x v="77"/>
    <n v="6"/>
    <n v="331"/>
    <m/>
    <n v="0"/>
    <m/>
    <m/>
    <m/>
    <m/>
    <m/>
    <m/>
    <m/>
  </r>
  <r>
    <x v="16"/>
    <x v="77"/>
    <n v="0"/>
    <n v="5"/>
    <m/>
    <n v="0"/>
    <m/>
    <m/>
    <m/>
    <m/>
    <m/>
    <m/>
    <m/>
  </r>
  <r>
    <x v="17"/>
    <x v="77"/>
    <n v="0"/>
    <n v="4"/>
    <m/>
    <n v="0"/>
    <m/>
    <m/>
    <m/>
    <m/>
    <m/>
    <m/>
    <m/>
  </r>
  <r>
    <x v="18"/>
    <x v="77"/>
    <n v="0"/>
    <n v="11"/>
    <m/>
    <n v="0"/>
    <m/>
    <m/>
    <m/>
    <m/>
    <m/>
    <m/>
    <m/>
  </r>
  <r>
    <x v="19"/>
    <x v="77"/>
    <n v="0"/>
    <n v="49"/>
    <m/>
    <n v="0"/>
    <m/>
    <m/>
    <m/>
    <m/>
    <m/>
    <m/>
    <m/>
  </r>
  <r>
    <x v="20"/>
    <x v="77"/>
    <n v="0"/>
    <n v="249"/>
    <m/>
    <n v="3"/>
    <m/>
    <m/>
    <m/>
    <m/>
    <m/>
    <m/>
    <m/>
  </r>
  <r>
    <x v="21"/>
    <x v="77"/>
    <n v="6"/>
    <n v="22"/>
    <m/>
    <n v="0"/>
    <m/>
    <m/>
    <m/>
    <m/>
    <m/>
    <m/>
    <m/>
  </r>
  <r>
    <x v="22"/>
    <x v="77"/>
    <n v="0"/>
    <n v="148"/>
    <m/>
    <n v="0"/>
    <m/>
    <m/>
    <m/>
    <m/>
    <m/>
    <m/>
    <m/>
  </r>
  <r>
    <x v="23"/>
    <x v="77"/>
    <n v="0"/>
    <n v="42"/>
    <m/>
    <n v="3"/>
    <m/>
    <m/>
    <m/>
    <m/>
    <m/>
    <m/>
    <m/>
  </r>
  <r>
    <x v="0"/>
    <x v="78"/>
    <n v="178"/>
    <n v="3096"/>
    <n v="5"/>
    <n v="162"/>
    <m/>
    <m/>
    <m/>
    <m/>
    <m/>
    <m/>
    <m/>
  </r>
  <r>
    <x v="1"/>
    <x v="78"/>
    <n v="0"/>
    <n v="0"/>
    <m/>
    <n v="0"/>
    <m/>
    <m/>
    <m/>
    <m/>
    <m/>
    <m/>
    <m/>
  </r>
  <r>
    <x v="2"/>
    <x v="78"/>
    <n v="35"/>
    <n v="660"/>
    <n v="1"/>
    <n v="34"/>
    <m/>
    <m/>
    <m/>
    <m/>
    <m/>
    <m/>
    <m/>
  </r>
  <r>
    <x v="3"/>
    <x v="78"/>
    <n v="0"/>
    <n v="4"/>
    <m/>
    <n v="1"/>
    <m/>
    <m/>
    <m/>
    <m/>
    <m/>
    <m/>
    <m/>
  </r>
  <r>
    <x v="4"/>
    <x v="78"/>
    <n v="257"/>
    <n v="3822"/>
    <n v="2"/>
    <n v="134"/>
    <m/>
    <m/>
    <m/>
    <m/>
    <m/>
    <m/>
    <m/>
  </r>
  <r>
    <x v="5"/>
    <x v="78"/>
    <n v="2"/>
    <n v="429"/>
    <n v="1"/>
    <n v="24"/>
    <m/>
    <m/>
    <m/>
    <m/>
    <m/>
    <m/>
    <m/>
  </r>
  <r>
    <x v="6"/>
    <x v="78"/>
    <n v="0"/>
    <n v="78"/>
    <m/>
    <n v="0"/>
    <m/>
    <m/>
    <m/>
    <m/>
    <m/>
    <m/>
    <m/>
  </r>
  <r>
    <x v="7"/>
    <x v="78"/>
    <n v="0"/>
    <n v="29"/>
    <m/>
    <n v="0"/>
    <m/>
    <m/>
    <m/>
    <m/>
    <m/>
    <m/>
    <m/>
  </r>
  <r>
    <x v="8"/>
    <x v="78"/>
    <n v="0"/>
    <n v="0"/>
    <m/>
    <n v="0"/>
    <m/>
    <m/>
    <m/>
    <m/>
    <m/>
    <m/>
    <m/>
  </r>
  <r>
    <x v="9"/>
    <x v="78"/>
    <n v="0"/>
    <n v="5"/>
    <m/>
    <n v="0"/>
    <m/>
    <m/>
    <m/>
    <m/>
    <m/>
    <m/>
    <m/>
  </r>
  <r>
    <x v="10"/>
    <x v="78"/>
    <n v="0"/>
    <n v="5"/>
    <m/>
    <n v="0"/>
    <m/>
    <m/>
    <m/>
    <m/>
    <m/>
    <m/>
    <m/>
  </r>
  <r>
    <x v="11"/>
    <x v="78"/>
    <n v="0"/>
    <n v="63"/>
    <m/>
    <n v="0"/>
    <m/>
    <m/>
    <m/>
    <m/>
    <m/>
    <m/>
    <m/>
  </r>
  <r>
    <x v="12"/>
    <x v="78"/>
    <n v="0"/>
    <n v="89"/>
    <m/>
    <n v="0"/>
    <m/>
    <m/>
    <m/>
    <m/>
    <m/>
    <m/>
    <m/>
  </r>
  <r>
    <x v="13"/>
    <x v="78"/>
    <n v="0"/>
    <n v="25"/>
    <m/>
    <n v="0"/>
    <m/>
    <m/>
    <m/>
    <m/>
    <m/>
    <m/>
    <m/>
  </r>
  <r>
    <x v="14"/>
    <x v="78"/>
    <n v="0"/>
    <n v="114"/>
    <m/>
    <n v="0"/>
    <m/>
    <m/>
    <m/>
    <m/>
    <m/>
    <m/>
    <m/>
  </r>
  <r>
    <x v="15"/>
    <x v="78"/>
    <n v="2"/>
    <n v="333"/>
    <n v="1"/>
    <n v="1"/>
    <m/>
    <m/>
    <m/>
    <m/>
    <m/>
    <m/>
    <m/>
  </r>
  <r>
    <x v="16"/>
    <x v="78"/>
    <n v="0"/>
    <n v="5"/>
    <m/>
    <n v="0"/>
    <m/>
    <m/>
    <m/>
    <m/>
    <m/>
    <m/>
    <m/>
  </r>
  <r>
    <x v="17"/>
    <x v="78"/>
    <n v="0"/>
    <n v="4"/>
    <m/>
    <n v="0"/>
    <m/>
    <m/>
    <m/>
    <m/>
    <m/>
    <m/>
    <m/>
  </r>
  <r>
    <x v="18"/>
    <x v="78"/>
    <n v="0"/>
    <n v="11"/>
    <m/>
    <n v="0"/>
    <m/>
    <m/>
    <m/>
    <m/>
    <m/>
    <m/>
    <m/>
  </r>
  <r>
    <x v="19"/>
    <x v="78"/>
    <n v="0"/>
    <n v="49"/>
    <m/>
    <n v="0"/>
    <m/>
    <m/>
    <m/>
    <m/>
    <m/>
    <m/>
    <m/>
  </r>
  <r>
    <x v="20"/>
    <x v="78"/>
    <n v="0"/>
    <n v="249"/>
    <m/>
    <n v="3"/>
    <m/>
    <m/>
    <m/>
    <m/>
    <m/>
    <m/>
    <m/>
  </r>
  <r>
    <x v="21"/>
    <x v="78"/>
    <n v="0"/>
    <n v="22"/>
    <m/>
    <n v="0"/>
    <m/>
    <m/>
    <m/>
    <m/>
    <m/>
    <m/>
    <m/>
  </r>
  <r>
    <x v="22"/>
    <x v="78"/>
    <n v="0"/>
    <n v="148"/>
    <m/>
    <n v="0"/>
    <m/>
    <m/>
    <m/>
    <m/>
    <m/>
    <m/>
    <m/>
  </r>
  <r>
    <x v="23"/>
    <x v="78"/>
    <n v="0"/>
    <n v="42"/>
    <m/>
    <n v="3"/>
    <m/>
    <m/>
    <m/>
    <m/>
    <m/>
    <m/>
    <m/>
  </r>
  <r>
    <x v="0"/>
    <x v="79"/>
    <n v="213"/>
    <n v="3309"/>
    <n v="9"/>
    <n v="171"/>
    <m/>
    <m/>
    <m/>
    <m/>
    <m/>
    <m/>
    <m/>
  </r>
  <r>
    <x v="1"/>
    <x v="79"/>
    <n v="0"/>
    <n v="0"/>
    <m/>
    <n v="0"/>
    <m/>
    <m/>
    <m/>
    <m/>
    <m/>
    <m/>
    <m/>
  </r>
  <r>
    <x v="2"/>
    <x v="79"/>
    <n v="34"/>
    <n v="694"/>
    <n v="2"/>
    <n v="36"/>
    <m/>
    <m/>
    <m/>
    <m/>
    <m/>
    <m/>
    <m/>
  </r>
  <r>
    <x v="3"/>
    <x v="79"/>
    <n v="0"/>
    <n v="4"/>
    <m/>
    <n v="1"/>
    <m/>
    <m/>
    <m/>
    <m/>
    <m/>
    <m/>
    <m/>
  </r>
  <r>
    <x v="4"/>
    <x v="79"/>
    <n v="379"/>
    <n v="4201"/>
    <n v="2"/>
    <n v="136"/>
    <m/>
    <m/>
    <m/>
    <m/>
    <m/>
    <m/>
    <m/>
  </r>
  <r>
    <x v="5"/>
    <x v="79"/>
    <n v="12"/>
    <n v="441"/>
    <m/>
    <n v="24"/>
    <m/>
    <m/>
    <m/>
    <m/>
    <m/>
    <m/>
    <m/>
  </r>
  <r>
    <x v="6"/>
    <x v="79"/>
    <n v="0"/>
    <n v="78"/>
    <m/>
    <n v="0"/>
    <m/>
    <m/>
    <m/>
    <m/>
    <m/>
    <m/>
    <m/>
  </r>
  <r>
    <x v="7"/>
    <x v="79"/>
    <n v="0"/>
    <n v="29"/>
    <m/>
    <n v="0"/>
    <m/>
    <m/>
    <m/>
    <m/>
    <m/>
    <m/>
    <m/>
  </r>
  <r>
    <x v="8"/>
    <x v="79"/>
    <n v="0"/>
    <n v="0"/>
    <m/>
    <n v="0"/>
    <m/>
    <m/>
    <m/>
    <m/>
    <m/>
    <m/>
    <m/>
  </r>
  <r>
    <x v="9"/>
    <x v="79"/>
    <n v="0"/>
    <n v="5"/>
    <m/>
    <n v="0"/>
    <m/>
    <m/>
    <m/>
    <m/>
    <m/>
    <m/>
    <m/>
  </r>
  <r>
    <x v="10"/>
    <x v="79"/>
    <n v="0"/>
    <n v="5"/>
    <m/>
    <n v="0"/>
    <m/>
    <m/>
    <m/>
    <m/>
    <m/>
    <m/>
    <m/>
  </r>
  <r>
    <x v="11"/>
    <x v="79"/>
    <n v="0"/>
    <n v="63"/>
    <m/>
    <n v="0"/>
    <m/>
    <m/>
    <m/>
    <m/>
    <m/>
    <m/>
    <m/>
  </r>
  <r>
    <x v="12"/>
    <x v="79"/>
    <n v="1"/>
    <n v="90"/>
    <m/>
    <n v="0"/>
    <m/>
    <m/>
    <m/>
    <m/>
    <m/>
    <m/>
    <m/>
  </r>
  <r>
    <x v="13"/>
    <x v="79"/>
    <n v="0"/>
    <n v="25"/>
    <m/>
    <n v="0"/>
    <m/>
    <m/>
    <m/>
    <m/>
    <m/>
    <m/>
    <m/>
  </r>
  <r>
    <x v="14"/>
    <x v="79"/>
    <n v="0"/>
    <n v="114"/>
    <m/>
    <n v="0"/>
    <m/>
    <m/>
    <m/>
    <m/>
    <m/>
    <m/>
    <m/>
  </r>
  <r>
    <x v="15"/>
    <x v="79"/>
    <n v="3"/>
    <n v="336"/>
    <m/>
    <n v="0"/>
    <m/>
    <m/>
    <m/>
    <m/>
    <m/>
    <m/>
    <m/>
  </r>
  <r>
    <x v="16"/>
    <x v="79"/>
    <n v="0"/>
    <n v="5"/>
    <m/>
    <n v="1"/>
    <m/>
    <m/>
    <m/>
    <m/>
    <m/>
    <m/>
    <m/>
  </r>
  <r>
    <x v="17"/>
    <x v="79"/>
    <n v="0"/>
    <n v="4"/>
    <m/>
    <n v="0"/>
    <m/>
    <m/>
    <m/>
    <m/>
    <m/>
    <m/>
    <m/>
  </r>
  <r>
    <x v="18"/>
    <x v="79"/>
    <n v="0"/>
    <n v="11"/>
    <m/>
    <n v="0"/>
    <m/>
    <m/>
    <m/>
    <m/>
    <m/>
    <m/>
    <m/>
  </r>
  <r>
    <x v="19"/>
    <x v="79"/>
    <n v="0"/>
    <n v="49"/>
    <m/>
    <n v="0"/>
    <m/>
    <m/>
    <m/>
    <m/>
    <m/>
    <m/>
    <m/>
  </r>
  <r>
    <x v="20"/>
    <x v="79"/>
    <n v="5"/>
    <n v="254"/>
    <m/>
    <n v="3"/>
    <m/>
    <m/>
    <m/>
    <m/>
    <m/>
    <m/>
    <m/>
  </r>
  <r>
    <x v="21"/>
    <x v="79"/>
    <n v="0"/>
    <n v="22"/>
    <m/>
    <n v="0"/>
    <m/>
    <m/>
    <m/>
    <m/>
    <m/>
    <m/>
    <m/>
  </r>
  <r>
    <x v="22"/>
    <x v="79"/>
    <n v="0"/>
    <n v="148"/>
    <m/>
    <n v="0"/>
    <m/>
    <m/>
    <m/>
    <m/>
    <m/>
    <m/>
    <m/>
  </r>
  <r>
    <x v="23"/>
    <x v="79"/>
    <n v="1"/>
    <n v="43"/>
    <m/>
    <n v="3"/>
    <m/>
    <m/>
    <m/>
    <m/>
    <m/>
    <m/>
    <m/>
  </r>
  <r>
    <x v="0"/>
    <x v="80"/>
    <n v="266"/>
    <n v="3575"/>
    <n v="5"/>
    <n v="176"/>
    <m/>
    <m/>
    <m/>
    <m/>
    <m/>
    <m/>
    <m/>
  </r>
  <r>
    <x v="1"/>
    <x v="80"/>
    <n v="0"/>
    <n v="0"/>
    <m/>
    <n v="0"/>
    <m/>
    <m/>
    <m/>
    <m/>
    <m/>
    <m/>
    <m/>
  </r>
  <r>
    <x v="2"/>
    <x v="80"/>
    <n v="27"/>
    <n v="721"/>
    <n v="2"/>
    <n v="38"/>
    <m/>
    <m/>
    <m/>
    <m/>
    <m/>
    <m/>
    <m/>
  </r>
  <r>
    <x v="3"/>
    <x v="80"/>
    <n v="0"/>
    <n v="4"/>
    <m/>
    <n v="1"/>
    <m/>
    <m/>
    <m/>
    <m/>
    <m/>
    <m/>
    <m/>
  </r>
  <r>
    <x v="4"/>
    <x v="80"/>
    <n v="404"/>
    <n v="4605"/>
    <n v="7"/>
    <n v="143"/>
    <m/>
    <m/>
    <m/>
    <m/>
    <m/>
    <m/>
    <m/>
  </r>
  <r>
    <x v="5"/>
    <x v="80"/>
    <n v="9"/>
    <n v="450"/>
    <n v="1"/>
    <n v="25"/>
    <m/>
    <m/>
    <m/>
    <m/>
    <m/>
    <m/>
    <m/>
  </r>
  <r>
    <x v="6"/>
    <x v="80"/>
    <n v="0"/>
    <n v="78"/>
    <m/>
    <n v="0"/>
    <m/>
    <m/>
    <m/>
    <m/>
    <m/>
    <m/>
    <m/>
  </r>
  <r>
    <x v="7"/>
    <x v="80"/>
    <n v="0"/>
    <n v="29"/>
    <m/>
    <n v="0"/>
    <m/>
    <m/>
    <m/>
    <m/>
    <m/>
    <m/>
    <m/>
  </r>
  <r>
    <x v="8"/>
    <x v="80"/>
    <n v="0"/>
    <n v="0"/>
    <m/>
    <n v="0"/>
    <m/>
    <m/>
    <m/>
    <m/>
    <m/>
    <m/>
    <m/>
  </r>
  <r>
    <x v="9"/>
    <x v="80"/>
    <n v="0"/>
    <n v="5"/>
    <m/>
    <n v="0"/>
    <m/>
    <m/>
    <m/>
    <m/>
    <m/>
    <m/>
    <m/>
  </r>
  <r>
    <x v="10"/>
    <x v="80"/>
    <n v="0"/>
    <n v="5"/>
    <m/>
    <n v="0"/>
    <m/>
    <m/>
    <m/>
    <m/>
    <m/>
    <m/>
    <m/>
  </r>
  <r>
    <x v="11"/>
    <x v="80"/>
    <n v="0"/>
    <n v="63"/>
    <m/>
    <n v="0"/>
    <m/>
    <m/>
    <m/>
    <m/>
    <m/>
    <m/>
    <m/>
  </r>
  <r>
    <x v="12"/>
    <x v="80"/>
    <n v="0"/>
    <n v="90"/>
    <m/>
    <n v="0"/>
    <m/>
    <m/>
    <m/>
    <m/>
    <m/>
    <m/>
    <m/>
  </r>
  <r>
    <x v="13"/>
    <x v="80"/>
    <n v="0"/>
    <n v="25"/>
    <m/>
    <n v="0"/>
    <m/>
    <m/>
    <m/>
    <m/>
    <m/>
    <m/>
    <m/>
  </r>
  <r>
    <x v="14"/>
    <x v="80"/>
    <n v="0"/>
    <n v="114"/>
    <m/>
    <n v="0"/>
    <m/>
    <m/>
    <m/>
    <m/>
    <m/>
    <m/>
    <m/>
  </r>
  <r>
    <x v="15"/>
    <x v="80"/>
    <n v="6"/>
    <n v="342"/>
    <n v="2"/>
    <n v="2"/>
    <m/>
    <m/>
    <m/>
    <m/>
    <m/>
    <m/>
    <m/>
  </r>
  <r>
    <x v="16"/>
    <x v="80"/>
    <n v="2"/>
    <n v="7"/>
    <m/>
    <n v="0"/>
    <m/>
    <m/>
    <m/>
    <m/>
    <m/>
    <m/>
    <m/>
  </r>
  <r>
    <x v="17"/>
    <x v="80"/>
    <n v="0"/>
    <n v="4"/>
    <m/>
    <n v="0"/>
    <m/>
    <m/>
    <m/>
    <m/>
    <m/>
    <m/>
    <m/>
  </r>
  <r>
    <x v="18"/>
    <x v="80"/>
    <n v="0"/>
    <n v="11"/>
    <m/>
    <n v="0"/>
    <m/>
    <m/>
    <m/>
    <m/>
    <m/>
    <m/>
    <m/>
  </r>
  <r>
    <x v="19"/>
    <x v="80"/>
    <n v="0"/>
    <n v="49"/>
    <m/>
    <n v="0"/>
    <m/>
    <m/>
    <m/>
    <m/>
    <m/>
    <m/>
    <m/>
  </r>
  <r>
    <x v="20"/>
    <x v="80"/>
    <n v="4"/>
    <n v="258"/>
    <m/>
    <n v="3"/>
    <m/>
    <m/>
    <m/>
    <m/>
    <m/>
    <m/>
    <m/>
  </r>
  <r>
    <x v="21"/>
    <x v="80"/>
    <n v="0"/>
    <n v="22"/>
    <m/>
    <n v="0"/>
    <m/>
    <m/>
    <m/>
    <m/>
    <m/>
    <m/>
    <m/>
  </r>
  <r>
    <x v="22"/>
    <x v="80"/>
    <n v="0"/>
    <n v="148"/>
    <m/>
    <n v="0"/>
    <m/>
    <m/>
    <m/>
    <m/>
    <m/>
    <m/>
    <m/>
  </r>
  <r>
    <x v="23"/>
    <x v="80"/>
    <n v="0"/>
    <n v="43"/>
    <m/>
    <n v="3"/>
    <m/>
    <m/>
    <m/>
    <m/>
    <m/>
    <m/>
    <m/>
  </r>
  <r>
    <x v="0"/>
    <x v="81"/>
    <n v="289"/>
    <n v="3864"/>
    <n v="4"/>
    <n v="180"/>
    <m/>
    <m/>
    <m/>
    <m/>
    <m/>
    <m/>
    <m/>
  </r>
  <r>
    <x v="1"/>
    <x v="81"/>
    <n v="0"/>
    <n v="0"/>
    <m/>
    <n v="0"/>
    <m/>
    <m/>
    <m/>
    <m/>
    <m/>
    <m/>
    <m/>
  </r>
  <r>
    <x v="2"/>
    <x v="81"/>
    <n v="7"/>
    <n v="728"/>
    <n v="2"/>
    <n v="40"/>
    <m/>
    <m/>
    <m/>
    <m/>
    <m/>
    <m/>
    <m/>
  </r>
  <r>
    <x v="3"/>
    <x v="81"/>
    <n v="0"/>
    <n v="4"/>
    <m/>
    <n v="1"/>
    <m/>
    <m/>
    <m/>
    <m/>
    <m/>
    <m/>
    <m/>
  </r>
  <r>
    <x v="4"/>
    <x v="81"/>
    <n v="400"/>
    <n v="5005"/>
    <n v="6"/>
    <n v="149"/>
    <m/>
    <m/>
    <m/>
    <m/>
    <m/>
    <m/>
    <m/>
  </r>
  <r>
    <x v="5"/>
    <x v="81"/>
    <n v="0"/>
    <n v="450"/>
    <m/>
    <n v="25"/>
    <m/>
    <m/>
    <m/>
    <m/>
    <m/>
    <m/>
    <m/>
  </r>
  <r>
    <x v="6"/>
    <x v="81"/>
    <n v="0"/>
    <n v="78"/>
    <m/>
    <n v="0"/>
    <m/>
    <m/>
    <m/>
    <m/>
    <m/>
    <m/>
    <m/>
  </r>
  <r>
    <x v="7"/>
    <x v="81"/>
    <n v="0"/>
    <n v="29"/>
    <m/>
    <n v="0"/>
    <m/>
    <m/>
    <m/>
    <m/>
    <m/>
    <m/>
    <m/>
  </r>
  <r>
    <x v="8"/>
    <x v="81"/>
    <n v="0"/>
    <n v="0"/>
    <m/>
    <n v="0"/>
    <m/>
    <m/>
    <m/>
    <m/>
    <m/>
    <m/>
    <m/>
  </r>
  <r>
    <x v="9"/>
    <x v="81"/>
    <n v="0"/>
    <n v="5"/>
    <m/>
    <n v="0"/>
    <m/>
    <m/>
    <m/>
    <m/>
    <m/>
    <m/>
    <m/>
  </r>
  <r>
    <x v="10"/>
    <x v="81"/>
    <n v="0"/>
    <n v="5"/>
    <m/>
    <n v="0"/>
    <m/>
    <m/>
    <m/>
    <m/>
    <m/>
    <m/>
    <m/>
  </r>
  <r>
    <x v="11"/>
    <x v="81"/>
    <n v="0"/>
    <n v="63"/>
    <m/>
    <n v="0"/>
    <m/>
    <m/>
    <m/>
    <m/>
    <m/>
    <m/>
    <m/>
  </r>
  <r>
    <x v="12"/>
    <x v="81"/>
    <n v="0"/>
    <n v="90"/>
    <m/>
    <n v="0"/>
    <m/>
    <m/>
    <m/>
    <m/>
    <m/>
    <m/>
    <m/>
  </r>
  <r>
    <x v="13"/>
    <x v="81"/>
    <n v="0"/>
    <n v="25"/>
    <m/>
    <n v="0"/>
    <m/>
    <m/>
    <m/>
    <m/>
    <m/>
    <m/>
    <m/>
  </r>
  <r>
    <x v="14"/>
    <x v="81"/>
    <n v="0"/>
    <n v="114"/>
    <m/>
    <n v="0"/>
    <m/>
    <m/>
    <m/>
    <m/>
    <m/>
    <m/>
    <m/>
  </r>
  <r>
    <x v="15"/>
    <x v="81"/>
    <n v="5"/>
    <n v="347"/>
    <m/>
    <n v="0"/>
    <m/>
    <m/>
    <m/>
    <m/>
    <m/>
    <m/>
    <m/>
  </r>
  <r>
    <x v="16"/>
    <x v="81"/>
    <n v="0"/>
    <n v="7"/>
    <m/>
    <n v="2"/>
    <m/>
    <m/>
    <m/>
    <m/>
    <m/>
    <m/>
    <m/>
  </r>
  <r>
    <x v="17"/>
    <x v="81"/>
    <n v="0"/>
    <n v="4"/>
    <m/>
    <n v="0"/>
    <m/>
    <m/>
    <m/>
    <m/>
    <m/>
    <m/>
    <m/>
  </r>
  <r>
    <x v="18"/>
    <x v="81"/>
    <n v="0"/>
    <n v="11"/>
    <m/>
    <n v="0"/>
    <m/>
    <m/>
    <m/>
    <m/>
    <m/>
    <m/>
    <m/>
  </r>
  <r>
    <x v="19"/>
    <x v="81"/>
    <n v="0"/>
    <n v="49"/>
    <m/>
    <n v="0"/>
    <m/>
    <m/>
    <m/>
    <m/>
    <m/>
    <m/>
    <m/>
  </r>
  <r>
    <x v="20"/>
    <x v="81"/>
    <n v="0"/>
    <n v="258"/>
    <m/>
    <n v="3"/>
    <m/>
    <m/>
    <m/>
    <m/>
    <m/>
    <m/>
    <m/>
  </r>
  <r>
    <x v="21"/>
    <x v="81"/>
    <n v="0"/>
    <n v="22"/>
    <m/>
    <n v="0"/>
    <m/>
    <m/>
    <m/>
    <m/>
    <m/>
    <m/>
    <m/>
  </r>
  <r>
    <x v="22"/>
    <x v="81"/>
    <n v="0"/>
    <n v="148"/>
    <m/>
    <n v="0"/>
    <m/>
    <m/>
    <m/>
    <m/>
    <m/>
    <m/>
    <m/>
  </r>
  <r>
    <x v="23"/>
    <x v="81"/>
    <n v="2"/>
    <n v="45"/>
    <m/>
    <n v="3"/>
    <m/>
    <m/>
    <m/>
    <m/>
    <m/>
    <m/>
    <m/>
  </r>
  <r>
    <x v="0"/>
    <x v="82"/>
    <n v="196"/>
    <n v="4060"/>
    <n v="2"/>
    <n v="182"/>
    <m/>
    <m/>
    <m/>
    <m/>
    <m/>
    <m/>
    <m/>
  </r>
  <r>
    <x v="1"/>
    <x v="82"/>
    <n v="0"/>
    <n v="0"/>
    <m/>
    <n v="0"/>
    <m/>
    <m/>
    <m/>
    <m/>
    <m/>
    <m/>
    <m/>
  </r>
  <r>
    <x v="2"/>
    <x v="82"/>
    <n v="20"/>
    <n v="748"/>
    <n v="2"/>
    <n v="42"/>
    <m/>
    <m/>
    <m/>
    <m/>
    <m/>
    <m/>
    <m/>
  </r>
  <r>
    <x v="3"/>
    <x v="82"/>
    <n v="0"/>
    <n v="4"/>
    <m/>
    <n v="1"/>
    <m/>
    <m/>
    <m/>
    <m/>
    <m/>
    <m/>
    <m/>
  </r>
  <r>
    <x v="4"/>
    <x v="82"/>
    <n v="495"/>
    <n v="5500"/>
    <n v="3"/>
    <n v="152"/>
    <m/>
    <m/>
    <m/>
    <m/>
    <m/>
    <m/>
    <m/>
  </r>
  <r>
    <x v="5"/>
    <x v="82"/>
    <n v="6"/>
    <n v="456"/>
    <m/>
    <n v="25"/>
    <m/>
    <m/>
    <m/>
    <m/>
    <m/>
    <m/>
    <m/>
  </r>
  <r>
    <x v="6"/>
    <x v="82"/>
    <n v="0"/>
    <n v="78"/>
    <m/>
    <n v="0"/>
    <m/>
    <m/>
    <m/>
    <m/>
    <m/>
    <m/>
    <m/>
  </r>
  <r>
    <x v="7"/>
    <x v="82"/>
    <n v="0"/>
    <n v="29"/>
    <m/>
    <n v="0"/>
    <m/>
    <m/>
    <m/>
    <m/>
    <m/>
    <m/>
    <m/>
  </r>
  <r>
    <x v="8"/>
    <x v="82"/>
    <n v="0"/>
    <n v="0"/>
    <m/>
    <n v="0"/>
    <m/>
    <m/>
    <m/>
    <m/>
    <m/>
    <m/>
    <m/>
  </r>
  <r>
    <x v="9"/>
    <x v="82"/>
    <n v="0"/>
    <n v="5"/>
    <m/>
    <n v="0"/>
    <m/>
    <m/>
    <m/>
    <m/>
    <m/>
    <m/>
    <m/>
  </r>
  <r>
    <x v="10"/>
    <x v="82"/>
    <n v="0"/>
    <n v="5"/>
    <m/>
    <n v="0"/>
    <m/>
    <m/>
    <m/>
    <m/>
    <m/>
    <m/>
    <m/>
  </r>
  <r>
    <x v="11"/>
    <x v="82"/>
    <n v="0"/>
    <n v="63"/>
    <m/>
    <n v="0"/>
    <m/>
    <m/>
    <m/>
    <m/>
    <m/>
    <m/>
    <m/>
  </r>
  <r>
    <x v="12"/>
    <x v="82"/>
    <n v="0"/>
    <n v="90"/>
    <m/>
    <n v="0"/>
    <m/>
    <m/>
    <m/>
    <m/>
    <m/>
    <m/>
    <m/>
  </r>
  <r>
    <x v="13"/>
    <x v="82"/>
    <n v="0"/>
    <n v="25"/>
    <m/>
    <n v="0"/>
    <m/>
    <m/>
    <m/>
    <m/>
    <m/>
    <m/>
    <m/>
  </r>
  <r>
    <x v="14"/>
    <x v="82"/>
    <n v="1"/>
    <n v="115"/>
    <m/>
    <n v="0"/>
    <m/>
    <m/>
    <m/>
    <m/>
    <m/>
    <m/>
    <m/>
  </r>
  <r>
    <x v="15"/>
    <x v="82"/>
    <n v="5"/>
    <n v="352"/>
    <m/>
    <n v="0"/>
    <m/>
    <m/>
    <m/>
    <m/>
    <m/>
    <m/>
    <m/>
  </r>
  <r>
    <x v="16"/>
    <x v="82"/>
    <n v="0"/>
    <n v="7"/>
    <m/>
    <n v="0"/>
    <m/>
    <m/>
    <m/>
    <m/>
    <m/>
    <m/>
    <m/>
  </r>
  <r>
    <x v="17"/>
    <x v="82"/>
    <n v="0"/>
    <n v="4"/>
    <m/>
    <n v="0"/>
    <m/>
    <m/>
    <m/>
    <m/>
    <m/>
    <m/>
    <m/>
  </r>
  <r>
    <x v="18"/>
    <x v="82"/>
    <n v="0"/>
    <n v="11"/>
    <m/>
    <n v="0"/>
    <m/>
    <m/>
    <m/>
    <m/>
    <m/>
    <m/>
    <m/>
  </r>
  <r>
    <x v="19"/>
    <x v="82"/>
    <n v="0"/>
    <n v="49"/>
    <m/>
    <n v="0"/>
    <m/>
    <m/>
    <m/>
    <m/>
    <m/>
    <m/>
    <m/>
  </r>
  <r>
    <x v="20"/>
    <x v="82"/>
    <n v="0"/>
    <n v="258"/>
    <m/>
    <n v="3"/>
    <m/>
    <m/>
    <m/>
    <m/>
    <m/>
    <m/>
    <m/>
  </r>
  <r>
    <x v="21"/>
    <x v="82"/>
    <n v="0"/>
    <n v="22"/>
    <m/>
    <n v="0"/>
    <m/>
    <m/>
    <m/>
    <m/>
    <m/>
    <m/>
    <m/>
  </r>
  <r>
    <x v="22"/>
    <x v="82"/>
    <n v="0"/>
    <n v="148"/>
    <m/>
    <n v="0"/>
    <m/>
    <m/>
    <m/>
    <m/>
    <m/>
    <m/>
    <m/>
  </r>
  <r>
    <x v="23"/>
    <x v="82"/>
    <n v="0"/>
    <n v="45"/>
    <m/>
    <n v="3"/>
    <m/>
    <m/>
    <m/>
    <m/>
    <m/>
    <m/>
    <m/>
  </r>
  <r>
    <x v="0"/>
    <x v="83"/>
    <n v="159"/>
    <n v="4219"/>
    <n v="5"/>
    <n v="187"/>
    <m/>
    <m/>
    <m/>
    <m/>
    <m/>
    <m/>
    <m/>
  </r>
  <r>
    <x v="1"/>
    <x v="83"/>
    <n v="0"/>
    <n v="0"/>
    <m/>
    <n v="0"/>
    <m/>
    <m/>
    <m/>
    <m/>
    <m/>
    <m/>
    <m/>
  </r>
  <r>
    <x v="2"/>
    <x v="83"/>
    <n v="9"/>
    <n v="757"/>
    <m/>
    <n v="42"/>
    <m/>
    <m/>
    <m/>
    <m/>
    <m/>
    <m/>
    <m/>
  </r>
  <r>
    <x v="3"/>
    <x v="83"/>
    <n v="0"/>
    <n v="4"/>
    <m/>
    <n v="1"/>
    <m/>
    <m/>
    <m/>
    <m/>
    <m/>
    <m/>
    <m/>
  </r>
  <r>
    <x v="4"/>
    <x v="83"/>
    <n v="375"/>
    <n v="5875"/>
    <n v="8"/>
    <n v="160"/>
    <m/>
    <m/>
    <m/>
    <m/>
    <m/>
    <m/>
    <m/>
  </r>
  <r>
    <x v="5"/>
    <x v="83"/>
    <n v="3"/>
    <n v="459"/>
    <n v="1"/>
    <n v="26"/>
    <m/>
    <m/>
    <m/>
    <m/>
    <m/>
    <m/>
    <m/>
  </r>
  <r>
    <x v="6"/>
    <x v="83"/>
    <n v="0"/>
    <n v="78"/>
    <m/>
    <n v="0"/>
    <m/>
    <m/>
    <m/>
    <m/>
    <m/>
    <m/>
    <m/>
  </r>
  <r>
    <x v="7"/>
    <x v="83"/>
    <n v="0"/>
    <n v="29"/>
    <m/>
    <n v="0"/>
    <m/>
    <m/>
    <m/>
    <m/>
    <m/>
    <m/>
    <m/>
  </r>
  <r>
    <x v="8"/>
    <x v="83"/>
    <n v="0"/>
    <n v="0"/>
    <m/>
    <n v="0"/>
    <m/>
    <m/>
    <m/>
    <m/>
    <m/>
    <m/>
    <m/>
  </r>
  <r>
    <x v="9"/>
    <x v="83"/>
    <n v="0"/>
    <n v="5"/>
    <m/>
    <n v="0"/>
    <m/>
    <m/>
    <m/>
    <m/>
    <m/>
    <m/>
    <m/>
  </r>
  <r>
    <x v="10"/>
    <x v="83"/>
    <n v="0"/>
    <n v="5"/>
    <m/>
    <n v="0"/>
    <m/>
    <m/>
    <m/>
    <m/>
    <m/>
    <m/>
    <m/>
  </r>
  <r>
    <x v="11"/>
    <x v="83"/>
    <n v="0"/>
    <n v="63"/>
    <m/>
    <n v="0"/>
    <m/>
    <m/>
    <m/>
    <m/>
    <m/>
    <m/>
    <m/>
  </r>
  <r>
    <x v="12"/>
    <x v="83"/>
    <n v="0"/>
    <n v="90"/>
    <m/>
    <n v="0"/>
    <m/>
    <m/>
    <m/>
    <m/>
    <m/>
    <m/>
    <m/>
  </r>
  <r>
    <x v="13"/>
    <x v="83"/>
    <n v="0"/>
    <n v="25"/>
    <m/>
    <n v="0"/>
    <m/>
    <m/>
    <m/>
    <m/>
    <m/>
    <m/>
    <m/>
  </r>
  <r>
    <x v="14"/>
    <x v="83"/>
    <n v="1"/>
    <n v="116"/>
    <m/>
    <n v="0"/>
    <m/>
    <m/>
    <m/>
    <m/>
    <m/>
    <m/>
    <m/>
  </r>
  <r>
    <x v="15"/>
    <x v="83"/>
    <n v="4"/>
    <n v="356"/>
    <n v="1"/>
    <n v="1"/>
    <m/>
    <m/>
    <m/>
    <m/>
    <m/>
    <m/>
    <m/>
  </r>
  <r>
    <x v="16"/>
    <x v="83"/>
    <n v="0"/>
    <n v="7"/>
    <m/>
    <n v="0"/>
    <m/>
    <m/>
    <m/>
    <m/>
    <m/>
    <m/>
    <m/>
  </r>
  <r>
    <x v="17"/>
    <x v="83"/>
    <n v="0"/>
    <n v="4"/>
    <m/>
    <n v="0"/>
    <m/>
    <m/>
    <m/>
    <m/>
    <m/>
    <m/>
    <m/>
  </r>
  <r>
    <x v="18"/>
    <x v="83"/>
    <n v="0"/>
    <n v="11"/>
    <m/>
    <n v="0"/>
    <m/>
    <m/>
    <m/>
    <m/>
    <m/>
    <m/>
    <m/>
  </r>
  <r>
    <x v="19"/>
    <x v="83"/>
    <n v="0"/>
    <n v="49"/>
    <m/>
    <n v="0"/>
    <m/>
    <m/>
    <m/>
    <m/>
    <m/>
    <m/>
    <m/>
  </r>
  <r>
    <x v="20"/>
    <x v="83"/>
    <n v="0"/>
    <n v="258"/>
    <m/>
    <n v="3"/>
    <m/>
    <m/>
    <m/>
    <m/>
    <m/>
    <m/>
    <m/>
  </r>
  <r>
    <x v="21"/>
    <x v="83"/>
    <n v="0"/>
    <n v="22"/>
    <m/>
    <n v="0"/>
    <m/>
    <m/>
    <m/>
    <m/>
    <m/>
    <m/>
    <m/>
  </r>
  <r>
    <x v="22"/>
    <x v="83"/>
    <n v="0"/>
    <n v="148"/>
    <m/>
    <n v="0"/>
    <m/>
    <m/>
    <m/>
    <m/>
    <m/>
    <m/>
    <m/>
  </r>
  <r>
    <x v="23"/>
    <x v="83"/>
    <n v="2"/>
    <n v="47"/>
    <m/>
    <n v="3"/>
    <m/>
    <m/>
    <m/>
    <m/>
    <m/>
    <m/>
    <m/>
  </r>
  <r>
    <x v="0"/>
    <x v="84"/>
    <n v="236"/>
    <n v="4455"/>
    <n v="16"/>
    <n v="203"/>
    <m/>
    <m/>
    <m/>
    <m/>
    <m/>
    <m/>
    <m/>
  </r>
  <r>
    <x v="1"/>
    <x v="84"/>
    <n v="0"/>
    <n v="0"/>
    <m/>
    <n v="0"/>
    <m/>
    <m/>
    <m/>
    <m/>
    <m/>
    <m/>
    <m/>
  </r>
  <r>
    <x v="2"/>
    <x v="84"/>
    <n v="23"/>
    <n v="780"/>
    <n v="2"/>
    <n v="44"/>
    <m/>
    <m/>
    <m/>
    <m/>
    <m/>
    <m/>
    <m/>
  </r>
  <r>
    <x v="3"/>
    <x v="84"/>
    <n v="1"/>
    <n v="5"/>
    <m/>
    <n v="1"/>
    <m/>
    <m/>
    <m/>
    <m/>
    <m/>
    <m/>
    <m/>
  </r>
  <r>
    <x v="4"/>
    <x v="84"/>
    <n v="327"/>
    <n v="6202"/>
    <n v="5"/>
    <n v="165"/>
    <m/>
    <m/>
    <m/>
    <m/>
    <m/>
    <m/>
    <m/>
  </r>
  <r>
    <x v="5"/>
    <x v="84"/>
    <n v="0"/>
    <n v="459"/>
    <m/>
    <n v="26"/>
    <m/>
    <m/>
    <m/>
    <m/>
    <m/>
    <m/>
    <m/>
  </r>
  <r>
    <x v="6"/>
    <x v="84"/>
    <n v="0"/>
    <n v="78"/>
    <m/>
    <n v="0"/>
    <m/>
    <m/>
    <m/>
    <m/>
    <m/>
    <m/>
    <m/>
  </r>
  <r>
    <x v="7"/>
    <x v="84"/>
    <n v="0"/>
    <n v="29"/>
    <m/>
    <n v="0"/>
    <m/>
    <m/>
    <m/>
    <m/>
    <m/>
    <m/>
    <m/>
  </r>
  <r>
    <x v="8"/>
    <x v="84"/>
    <n v="0"/>
    <n v="0"/>
    <m/>
    <n v="0"/>
    <m/>
    <m/>
    <m/>
    <m/>
    <m/>
    <m/>
    <m/>
  </r>
  <r>
    <x v="9"/>
    <x v="84"/>
    <n v="0"/>
    <n v="5"/>
    <m/>
    <n v="0"/>
    <m/>
    <m/>
    <m/>
    <m/>
    <m/>
    <m/>
    <m/>
  </r>
  <r>
    <x v="10"/>
    <x v="84"/>
    <n v="0"/>
    <n v="5"/>
    <m/>
    <n v="0"/>
    <m/>
    <m/>
    <m/>
    <m/>
    <m/>
    <m/>
    <m/>
  </r>
  <r>
    <x v="11"/>
    <x v="84"/>
    <n v="0"/>
    <n v="63"/>
    <m/>
    <n v="0"/>
    <m/>
    <m/>
    <m/>
    <m/>
    <m/>
    <m/>
    <m/>
  </r>
  <r>
    <x v="12"/>
    <x v="84"/>
    <n v="0"/>
    <n v="90"/>
    <m/>
    <n v="0"/>
    <m/>
    <m/>
    <m/>
    <m/>
    <m/>
    <m/>
    <m/>
  </r>
  <r>
    <x v="13"/>
    <x v="84"/>
    <n v="0"/>
    <n v="25"/>
    <m/>
    <n v="0"/>
    <m/>
    <m/>
    <m/>
    <m/>
    <m/>
    <m/>
    <m/>
  </r>
  <r>
    <x v="14"/>
    <x v="84"/>
    <n v="7"/>
    <n v="123"/>
    <m/>
    <n v="0"/>
    <m/>
    <m/>
    <m/>
    <m/>
    <m/>
    <m/>
    <m/>
  </r>
  <r>
    <x v="15"/>
    <x v="84"/>
    <n v="4"/>
    <n v="360"/>
    <m/>
    <n v="0"/>
    <m/>
    <m/>
    <m/>
    <m/>
    <m/>
    <m/>
    <m/>
  </r>
  <r>
    <x v="16"/>
    <x v="84"/>
    <n v="0"/>
    <n v="7"/>
    <m/>
    <n v="1"/>
    <m/>
    <m/>
    <m/>
    <m/>
    <m/>
    <m/>
    <m/>
  </r>
  <r>
    <x v="17"/>
    <x v="84"/>
    <n v="0"/>
    <n v="4"/>
    <m/>
    <n v="0"/>
    <m/>
    <m/>
    <m/>
    <m/>
    <m/>
    <m/>
    <m/>
  </r>
  <r>
    <x v="18"/>
    <x v="84"/>
    <n v="0"/>
    <n v="11"/>
    <m/>
    <n v="0"/>
    <m/>
    <m/>
    <m/>
    <m/>
    <m/>
    <m/>
    <m/>
  </r>
  <r>
    <x v="19"/>
    <x v="84"/>
    <n v="0"/>
    <n v="49"/>
    <m/>
    <n v="0"/>
    <m/>
    <m/>
    <m/>
    <m/>
    <m/>
    <m/>
    <m/>
  </r>
  <r>
    <x v="20"/>
    <x v="84"/>
    <n v="2"/>
    <n v="260"/>
    <m/>
    <n v="3"/>
    <m/>
    <m/>
    <m/>
    <m/>
    <m/>
    <m/>
    <m/>
  </r>
  <r>
    <x v="21"/>
    <x v="84"/>
    <n v="0"/>
    <n v="22"/>
    <m/>
    <n v="0"/>
    <m/>
    <m/>
    <m/>
    <m/>
    <m/>
    <m/>
    <m/>
  </r>
  <r>
    <x v="22"/>
    <x v="84"/>
    <n v="0"/>
    <n v="148"/>
    <m/>
    <n v="0"/>
    <m/>
    <m/>
    <m/>
    <m/>
    <m/>
    <m/>
    <m/>
  </r>
  <r>
    <x v="23"/>
    <x v="84"/>
    <n v="0"/>
    <n v="47"/>
    <m/>
    <n v="3"/>
    <m/>
    <m/>
    <m/>
    <m/>
    <m/>
    <m/>
    <m/>
  </r>
  <r>
    <x v="0"/>
    <x v="85"/>
    <n v="315"/>
    <n v="4770"/>
    <n v="3"/>
    <n v="206"/>
    <m/>
    <m/>
    <m/>
    <m/>
    <m/>
    <m/>
    <m/>
  </r>
  <r>
    <x v="1"/>
    <x v="85"/>
    <n v="0"/>
    <n v="0"/>
    <m/>
    <n v="0"/>
    <m/>
    <m/>
    <m/>
    <m/>
    <m/>
    <m/>
    <m/>
  </r>
  <r>
    <x v="2"/>
    <x v="85"/>
    <n v="16"/>
    <n v="796"/>
    <n v="2"/>
    <n v="46"/>
    <m/>
    <m/>
    <m/>
    <m/>
    <m/>
    <m/>
    <m/>
  </r>
  <r>
    <x v="3"/>
    <x v="85"/>
    <n v="0"/>
    <n v="5"/>
    <m/>
    <n v="1"/>
    <m/>
    <m/>
    <m/>
    <m/>
    <m/>
    <m/>
    <m/>
  </r>
  <r>
    <x v="4"/>
    <x v="85"/>
    <n v="362"/>
    <n v="6564"/>
    <n v="4"/>
    <n v="169"/>
    <m/>
    <m/>
    <m/>
    <m/>
    <m/>
    <m/>
    <m/>
  </r>
  <r>
    <x v="5"/>
    <x v="85"/>
    <n v="0"/>
    <n v="459"/>
    <n v="1"/>
    <n v="27"/>
    <m/>
    <m/>
    <m/>
    <m/>
    <m/>
    <m/>
    <m/>
  </r>
  <r>
    <x v="6"/>
    <x v="85"/>
    <n v="2"/>
    <n v="80"/>
    <m/>
    <n v="0"/>
    <m/>
    <m/>
    <m/>
    <m/>
    <m/>
    <m/>
    <m/>
  </r>
  <r>
    <x v="7"/>
    <x v="85"/>
    <n v="0"/>
    <n v="29"/>
    <m/>
    <n v="0"/>
    <m/>
    <m/>
    <m/>
    <m/>
    <m/>
    <m/>
    <m/>
  </r>
  <r>
    <x v="8"/>
    <x v="85"/>
    <n v="0"/>
    <n v="0"/>
    <m/>
    <n v="0"/>
    <m/>
    <m/>
    <m/>
    <m/>
    <m/>
    <m/>
    <m/>
  </r>
  <r>
    <x v="9"/>
    <x v="85"/>
    <n v="0"/>
    <n v="5"/>
    <m/>
    <n v="0"/>
    <m/>
    <m/>
    <m/>
    <m/>
    <m/>
    <m/>
    <m/>
  </r>
  <r>
    <x v="10"/>
    <x v="85"/>
    <n v="0"/>
    <n v="5"/>
    <m/>
    <n v="0"/>
    <m/>
    <m/>
    <m/>
    <m/>
    <m/>
    <m/>
    <m/>
  </r>
  <r>
    <x v="11"/>
    <x v="85"/>
    <n v="0"/>
    <n v="63"/>
    <m/>
    <n v="0"/>
    <m/>
    <m/>
    <m/>
    <m/>
    <m/>
    <m/>
    <m/>
  </r>
  <r>
    <x v="12"/>
    <x v="85"/>
    <n v="-1"/>
    <n v="89"/>
    <m/>
    <n v="0"/>
    <m/>
    <m/>
    <m/>
    <m/>
    <m/>
    <m/>
    <m/>
  </r>
  <r>
    <x v="13"/>
    <x v="85"/>
    <n v="0"/>
    <n v="25"/>
    <m/>
    <n v="0"/>
    <m/>
    <m/>
    <m/>
    <m/>
    <m/>
    <m/>
    <m/>
  </r>
  <r>
    <x v="14"/>
    <x v="85"/>
    <n v="2"/>
    <n v="125"/>
    <m/>
    <n v="0"/>
    <m/>
    <m/>
    <m/>
    <m/>
    <m/>
    <m/>
    <m/>
  </r>
  <r>
    <x v="15"/>
    <x v="85"/>
    <n v="8"/>
    <n v="368"/>
    <m/>
    <n v="0"/>
    <m/>
    <m/>
    <m/>
    <m/>
    <m/>
    <m/>
    <m/>
  </r>
  <r>
    <x v="16"/>
    <x v="85"/>
    <n v="0"/>
    <n v="7"/>
    <m/>
    <n v="0"/>
    <m/>
    <m/>
    <m/>
    <m/>
    <m/>
    <m/>
    <m/>
  </r>
  <r>
    <x v="17"/>
    <x v="85"/>
    <n v="1"/>
    <n v="5"/>
    <m/>
    <n v="0"/>
    <m/>
    <m/>
    <m/>
    <m/>
    <m/>
    <m/>
    <m/>
  </r>
  <r>
    <x v="18"/>
    <x v="85"/>
    <n v="0"/>
    <n v="11"/>
    <m/>
    <n v="0"/>
    <m/>
    <m/>
    <m/>
    <m/>
    <m/>
    <m/>
    <m/>
  </r>
  <r>
    <x v="19"/>
    <x v="85"/>
    <n v="0"/>
    <n v="49"/>
    <m/>
    <n v="0"/>
    <m/>
    <m/>
    <m/>
    <m/>
    <m/>
    <m/>
    <m/>
  </r>
  <r>
    <x v="20"/>
    <x v="85"/>
    <n v="0"/>
    <n v="260"/>
    <m/>
    <n v="3"/>
    <m/>
    <m/>
    <m/>
    <m/>
    <m/>
    <m/>
    <m/>
  </r>
  <r>
    <x v="21"/>
    <x v="85"/>
    <n v="0"/>
    <n v="22"/>
    <m/>
    <n v="0"/>
    <m/>
    <m/>
    <m/>
    <m/>
    <m/>
    <m/>
    <m/>
  </r>
  <r>
    <x v="22"/>
    <x v="85"/>
    <n v="1"/>
    <n v="149"/>
    <m/>
    <n v="0"/>
    <m/>
    <m/>
    <m/>
    <m/>
    <m/>
    <m/>
    <m/>
  </r>
  <r>
    <x v="23"/>
    <x v="85"/>
    <n v="0"/>
    <n v="47"/>
    <m/>
    <n v="3"/>
    <m/>
    <m/>
    <m/>
    <m/>
    <m/>
    <m/>
    <m/>
  </r>
  <r>
    <x v="0"/>
    <x v="86"/>
    <n v="299"/>
    <n v="5069"/>
    <n v="4"/>
    <n v="210"/>
    <m/>
    <m/>
    <m/>
    <m/>
    <m/>
    <m/>
    <m/>
  </r>
  <r>
    <x v="1"/>
    <x v="86"/>
    <n v="0"/>
    <n v="0"/>
    <m/>
    <n v="0"/>
    <m/>
    <m/>
    <m/>
    <m/>
    <m/>
    <m/>
    <m/>
  </r>
  <r>
    <x v="2"/>
    <x v="86"/>
    <n v="28"/>
    <n v="824"/>
    <n v="1"/>
    <n v="47"/>
    <m/>
    <m/>
    <m/>
    <m/>
    <m/>
    <m/>
    <m/>
  </r>
  <r>
    <x v="3"/>
    <x v="86"/>
    <n v="3"/>
    <n v="8"/>
    <m/>
    <n v="1"/>
    <m/>
    <m/>
    <m/>
    <m/>
    <m/>
    <m/>
    <m/>
  </r>
  <r>
    <x v="4"/>
    <x v="86"/>
    <n v="425"/>
    <n v="6989"/>
    <n v="3"/>
    <n v="172"/>
    <m/>
    <m/>
    <m/>
    <m/>
    <m/>
    <m/>
    <m/>
  </r>
  <r>
    <x v="5"/>
    <x v="86"/>
    <n v="-1"/>
    <n v="458"/>
    <m/>
    <n v="27"/>
    <m/>
    <m/>
    <m/>
    <m/>
    <m/>
    <m/>
    <m/>
  </r>
  <r>
    <x v="6"/>
    <x v="86"/>
    <n v="1"/>
    <n v="81"/>
    <m/>
    <n v="0"/>
    <m/>
    <m/>
    <m/>
    <m/>
    <m/>
    <m/>
    <m/>
  </r>
  <r>
    <x v="7"/>
    <x v="86"/>
    <n v="1"/>
    <n v="30"/>
    <m/>
    <n v="0"/>
    <m/>
    <m/>
    <m/>
    <m/>
    <m/>
    <m/>
    <m/>
  </r>
  <r>
    <x v="8"/>
    <x v="86"/>
    <n v="0"/>
    <n v="0"/>
    <m/>
    <n v="0"/>
    <m/>
    <m/>
    <m/>
    <m/>
    <m/>
    <m/>
    <m/>
  </r>
  <r>
    <x v="9"/>
    <x v="86"/>
    <n v="1"/>
    <n v="6"/>
    <m/>
    <n v="0"/>
    <m/>
    <m/>
    <m/>
    <m/>
    <m/>
    <m/>
    <m/>
  </r>
  <r>
    <x v="10"/>
    <x v="86"/>
    <n v="0"/>
    <n v="5"/>
    <m/>
    <n v="0"/>
    <m/>
    <m/>
    <m/>
    <m/>
    <m/>
    <m/>
    <m/>
  </r>
  <r>
    <x v="11"/>
    <x v="86"/>
    <n v="0"/>
    <n v="63"/>
    <m/>
    <n v="0"/>
    <m/>
    <m/>
    <m/>
    <m/>
    <m/>
    <m/>
    <m/>
  </r>
  <r>
    <x v="12"/>
    <x v="86"/>
    <n v="0"/>
    <n v="89"/>
    <m/>
    <n v="0"/>
    <m/>
    <m/>
    <m/>
    <m/>
    <m/>
    <m/>
    <m/>
  </r>
  <r>
    <x v="13"/>
    <x v="86"/>
    <n v="2"/>
    <n v="27"/>
    <m/>
    <n v="0"/>
    <m/>
    <m/>
    <m/>
    <m/>
    <m/>
    <m/>
    <m/>
  </r>
  <r>
    <x v="14"/>
    <x v="86"/>
    <n v="3"/>
    <n v="128"/>
    <m/>
    <n v="0"/>
    <m/>
    <m/>
    <m/>
    <m/>
    <m/>
    <m/>
    <m/>
  </r>
  <r>
    <x v="15"/>
    <x v="86"/>
    <n v="7"/>
    <n v="375"/>
    <m/>
    <n v="0"/>
    <m/>
    <m/>
    <m/>
    <m/>
    <m/>
    <m/>
    <m/>
  </r>
  <r>
    <x v="16"/>
    <x v="86"/>
    <n v="0"/>
    <n v="7"/>
    <m/>
    <n v="0"/>
    <m/>
    <m/>
    <m/>
    <m/>
    <m/>
    <m/>
    <m/>
  </r>
  <r>
    <x v="17"/>
    <x v="86"/>
    <n v="0"/>
    <n v="5"/>
    <m/>
    <n v="0"/>
    <m/>
    <m/>
    <m/>
    <m/>
    <m/>
    <m/>
    <m/>
  </r>
  <r>
    <x v="18"/>
    <x v="86"/>
    <n v="0"/>
    <n v="11"/>
    <m/>
    <n v="0"/>
    <m/>
    <m/>
    <m/>
    <m/>
    <m/>
    <m/>
    <m/>
  </r>
  <r>
    <x v="19"/>
    <x v="86"/>
    <n v="0"/>
    <n v="49"/>
    <m/>
    <n v="0"/>
    <m/>
    <m/>
    <m/>
    <m/>
    <m/>
    <m/>
    <m/>
  </r>
  <r>
    <x v="20"/>
    <x v="86"/>
    <n v="0"/>
    <n v="260"/>
    <m/>
    <n v="3"/>
    <m/>
    <m/>
    <m/>
    <m/>
    <m/>
    <m/>
    <m/>
  </r>
  <r>
    <x v="21"/>
    <x v="86"/>
    <n v="0"/>
    <n v="22"/>
    <m/>
    <n v="0"/>
    <m/>
    <m/>
    <m/>
    <m/>
    <m/>
    <m/>
    <m/>
  </r>
  <r>
    <x v="22"/>
    <x v="86"/>
    <n v="0"/>
    <n v="149"/>
    <m/>
    <n v="0"/>
    <m/>
    <m/>
    <m/>
    <m/>
    <m/>
    <m/>
    <m/>
  </r>
  <r>
    <x v="23"/>
    <x v="86"/>
    <n v="0"/>
    <n v="47"/>
    <m/>
    <n v="3"/>
    <m/>
    <m/>
    <m/>
    <m/>
    <m/>
    <m/>
    <m/>
  </r>
  <r>
    <x v="0"/>
    <x v="87"/>
    <n v="273"/>
    <n v="5342"/>
    <n v="5"/>
    <n v="215"/>
    <m/>
    <m/>
    <m/>
    <m/>
    <m/>
    <m/>
    <m/>
  </r>
  <r>
    <x v="1"/>
    <x v="87"/>
    <n v="0"/>
    <n v="0"/>
    <m/>
    <n v="0"/>
    <m/>
    <m/>
    <m/>
    <m/>
    <m/>
    <m/>
    <m/>
  </r>
  <r>
    <x v="2"/>
    <x v="87"/>
    <n v="26"/>
    <n v="850"/>
    <n v="1"/>
    <n v="48"/>
    <m/>
    <m/>
    <m/>
    <m/>
    <m/>
    <m/>
    <m/>
  </r>
  <r>
    <x v="3"/>
    <x v="87"/>
    <n v="0"/>
    <n v="8"/>
    <m/>
    <n v="1"/>
    <m/>
    <m/>
    <m/>
    <m/>
    <m/>
    <m/>
    <m/>
  </r>
  <r>
    <x v="4"/>
    <x v="87"/>
    <n v="399"/>
    <n v="7388"/>
    <n v="6"/>
    <n v="178"/>
    <m/>
    <m/>
    <m/>
    <m/>
    <m/>
    <m/>
    <m/>
  </r>
  <r>
    <x v="5"/>
    <x v="87"/>
    <n v="0"/>
    <n v="458"/>
    <m/>
    <n v="27"/>
    <m/>
    <m/>
    <m/>
    <m/>
    <m/>
    <m/>
    <m/>
  </r>
  <r>
    <x v="6"/>
    <x v="87"/>
    <n v="6"/>
    <n v="87"/>
    <m/>
    <n v="0"/>
    <m/>
    <m/>
    <m/>
    <m/>
    <m/>
    <m/>
    <m/>
  </r>
  <r>
    <x v="7"/>
    <x v="87"/>
    <n v="0"/>
    <n v="30"/>
    <m/>
    <n v="0"/>
    <m/>
    <m/>
    <m/>
    <m/>
    <m/>
    <m/>
    <m/>
  </r>
  <r>
    <x v="8"/>
    <x v="87"/>
    <n v="0"/>
    <n v="0"/>
    <m/>
    <n v="0"/>
    <m/>
    <m/>
    <m/>
    <m/>
    <m/>
    <m/>
    <m/>
  </r>
  <r>
    <x v="9"/>
    <x v="87"/>
    <n v="0"/>
    <n v="6"/>
    <m/>
    <n v="0"/>
    <m/>
    <m/>
    <m/>
    <m/>
    <m/>
    <m/>
    <m/>
  </r>
  <r>
    <x v="10"/>
    <x v="87"/>
    <n v="0"/>
    <n v="5"/>
    <m/>
    <n v="0"/>
    <m/>
    <m/>
    <m/>
    <m/>
    <m/>
    <m/>
    <m/>
  </r>
  <r>
    <x v="11"/>
    <x v="87"/>
    <n v="0"/>
    <n v="63"/>
    <m/>
    <n v="0"/>
    <m/>
    <m/>
    <m/>
    <m/>
    <m/>
    <m/>
    <m/>
  </r>
  <r>
    <x v="12"/>
    <x v="87"/>
    <n v="0"/>
    <n v="89"/>
    <m/>
    <n v="0"/>
    <m/>
    <m/>
    <m/>
    <m/>
    <m/>
    <m/>
    <m/>
  </r>
  <r>
    <x v="13"/>
    <x v="87"/>
    <n v="0"/>
    <n v="27"/>
    <m/>
    <n v="0"/>
    <m/>
    <m/>
    <m/>
    <m/>
    <m/>
    <m/>
    <m/>
  </r>
  <r>
    <x v="14"/>
    <x v="87"/>
    <n v="2"/>
    <n v="130"/>
    <m/>
    <n v="0"/>
    <m/>
    <m/>
    <m/>
    <m/>
    <m/>
    <m/>
    <m/>
  </r>
  <r>
    <x v="15"/>
    <x v="87"/>
    <n v="12"/>
    <n v="387"/>
    <m/>
    <n v="0"/>
    <m/>
    <m/>
    <m/>
    <m/>
    <m/>
    <m/>
    <m/>
  </r>
  <r>
    <x v="16"/>
    <x v="87"/>
    <n v="0"/>
    <n v="7"/>
    <m/>
    <n v="0"/>
    <m/>
    <m/>
    <m/>
    <m/>
    <m/>
    <m/>
    <m/>
  </r>
  <r>
    <x v="17"/>
    <x v="87"/>
    <n v="0"/>
    <n v="5"/>
    <m/>
    <n v="0"/>
    <m/>
    <m/>
    <m/>
    <m/>
    <m/>
    <m/>
    <m/>
  </r>
  <r>
    <x v="18"/>
    <x v="87"/>
    <n v="0"/>
    <n v="11"/>
    <m/>
    <n v="0"/>
    <m/>
    <m/>
    <m/>
    <m/>
    <m/>
    <m/>
    <m/>
  </r>
  <r>
    <x v="19"/>
    <x v="87"/>
    <n v="0"/>
    <n v="49"/>
    <m/>
    <n v="0"/>
    <m/>
    <m/>
    <m/>
    <m/>
    <m/>
    <m/>
    <m/>
  </r>
  <r>
    <x v="20"/>
    <x v="87"/>
    <n v="0"/>
    <n v="260"/>
    <m/>
    <n v="3"/>
    <m/>
    <m/>
    <m/>
    <m/>
    <m/>
    <m/>
    <m/>
  </r>
  <r>
    <x v="21"/>
    <x v="87"/>
    <n v="0"/>
    <n v="22"/>
    <m/>
    <n v="0"/>
    <m/>
    <m/>
    <m/>
    <m/>
    <m/>
    <m/>
    <m/>
  </r>
  <r>
    <x v="22"/>
    <x v="87"/>
    <n v="0"/>
    <n v="149"/>
    <m/>
    <n v="0"/>
    <m/>
    <m/>
    <m/>
    <m/>
    <m/>
    <m/>
    <m/>
  </r>
  <r>
    <x v="23"/>
    <x v="87"/>
    <n v="0"/>
    <n v="47"/>
    <m/>
    <n v="3"/>
    <m/>
    <m/>
    <m/>
    <m/>
    <m/>
    <m/>
    <m/>
  </r>
  <r>
    <x v="0"/>
    <x v="88"/>
    <n v="296"/>
    <n v="5638"/>
    <n v="2"/>
    <n v="217"/>
    <m/>
    <m/>
    <m/>
    <m/>
    <m/>
    <m/>
    <m/>
  </r>
  <r>
    <x v="1"/>
    <x v="88"/>
    <n v="0"/>
    <n v="0"/>
    <m/>
    <n v="0"/>
    <m/>
    <m/>
    <m/>
    <m/>
    <m/>
    <m/>
    <m/>
  </r>
  <r>
    <x v="2"/>
    <x v="88"/>
    <n v="24"/>
    <n v="874"/>
    <n v="4"/>
    <n v="52"/>
    <m/>
    <m/>
    <m/>
    <m/>
    <m/>
    <m/>
    <m/>
  </r>
  <r>
    <x v="3"/>
    <x v="88"/>
    <n v="2"/>
    <n v="10"/>
    <m/>
    <n v="1"/>
    <m/>
    <m/>
    <m/>
    <m/>
    <m/>
    <m/>
    <m/>
  </r>
  <r>
    <x v="4"/>
    <x v="88"/>
    <n v="460"/>
    <n v="7848"/>
    <n v="2"/>
    <n v="180"/>
    <m/>
    <m/>
    <m/>
    <m/>
    <m/>
    <m/>
    <m/>
  </r>
  <r>
    <x v="5"/>
    <x v="88"/>
    <n v="0"/>
    <n v="458"/>
    <m/>
    <n v="27"/>
    <m/>
    <m/>
    <m/>
    <m/>
    <m/>
    <m/>
    <m/>
  </r>
  <r>
    <x v="6"/>
    <x v="88"/>
    <n v="0"/>
    <n v="87"/>
    <m/>
    <n v="0"/>
    <m/>
    <m/>
    <m/>
    <m/>
    <m/>
    <m/>
    <m/>
  </r>
  <r>
    <x v="7"/>
    <x v="88"/>
    <n v="1"/>
    <n v="31"/>
    <m/>
    <n v="0"/>
    <m/>
    <m/>
    <m/>
    <m/>
    <m/>
    <m/>
    <m/>
  </r>
  <r>
    <x v="8"/>
    <x v="88"/>
    <n v="0"/>
    <n v="0"/>
    <m/>
    <n v="0"/>
    <m/>
    <m/>
    <m/>
    <m/>
    <m/>
    <m/>
    <m/>
  </r>
  <r>
    <x v="9"/>
    <x v="88"/>
    <n v="0"/>
    <n v="6"/>
    <m/>
    <n v="0"/>
    <m/>
    <m/>
    <m/>
    <m/>
    <m/>
    <m/>
    <m/>
  </r>
  <r>
    <x v="10"/>
    <x v="88"/>
    <n v="0"/>
    <n v="5"/>
    <m/>
    <n v="0"/>
    <m/>
    <m/>
    <m/>
    <m/>
    <m/>
    <m/>
    <m/>
  </r>
  <r>
    <x v="11"/>
    <x v="88"/>
    <n v="0"/>
    <n v="63"/>
    <m/>
    <n v="0"/>
    <m/>
    <m/>
    <m/>
    <m/>
    <m/>
    <m/>
    <m/>
  </r>
  <r>
    <x v="12"/>
    <x v="88"/>
    <n v="3"/>
    <n v="92"/>
    <m/>
    <n v="0"/>
    <m/>
    <m/>
    <m/>
    <m/>
    <m/>
    <m/>
    <m/>
  </r>
  <r>
    <x v="13"/>
    <x v="88"/>
    <n v="0"/>
    <n v="27"/>
    <m/>
    <n v="0"/>
    <m/>
    <m/>
    <m/>
    <m/>
    <m/>
    <m/>
    <m/>
  </r>
  <r>
    <x v="14"/>
    <x v="88"/>
    <n v="1"/>
    <n v="131"/>
    <m/>
    <n v="0"/>
    <m/>
    <m/>
    <m/>
    <m/>
    <m/>
    <m/>
    <m/>
  </r>
  <r>
    <x v="15"/>
    <x v="88"/>
    <n v="5"/>
    <n v="392"/>
    <m/>
    <n v="0"/>
    <m/>
    <m/>
    <m/>
    <m/>
    <m/>
    <m/>
    <m/>
  </r>
  <r>
    <x v="16"/>
    <x v="88"/>
    <n v="1"/>
    <n v="8"/>
    <m/>
    <n v="0"/>
    <m/>
    <m/>
    <m/>
    <m/>
    <m/>
    <m/>
    <m/>
  </r>
  <r>
    <x v="17"/>
    <x v="88"/>
    <n v="0"/>
    <n v="5"/>
    <m/>
    <n v="0"/>
    <m/>
    <m/>
    <m/>
    <m/>
    <m/>
    <m/>
    <m/>
  </r>
  <r>
    <x v="18"/>
    <x v="88"/>
    <n v="0"/>
    <n v="11"/>
    <m/>
    <n v="0"/>
    <m/>
    <m/>
    <m/>
    <m/>
    <m/>
    <m/>
    <m/>
  </r>
  <r>
    <x v="19"/>
    <x v="88"/>
    <n v="0"/>
    <n v="49"/>
    <m/>
    <n v="0"/>
    <m/>
    <m/>
    <m/>
    <m/>
    <m/>
    <m/>
    <m/>
  </r>
  <r>
    <x v="20"/>
    <x v="88"/>
    <n v="2"/>
    <n v="262"/>
    <m/>
    <n v="3"/>
    <m/>
    <m/>
    <m/>
    <m/>
    <m/>
    <m/>
    <m/>
  </r>
  <r>
    <x v="21"/>
    <x v="88"/>
    <n v="0"/>
    <n v="22"/>
    <m/>
    <n v="0"/>
    <m/>
    <m/>
    <m/>
    <m/>
    <m/>
    <m/>
    <m/>
  </r>
  <r>
    <x v="22"/>
    <x v="88"/>
    <n v="0"/>
    <n v="149"/>
    <m/>
    <n v="0"/>
    <m/>
    <m/>
    <m/>
    <m/>
    <m/>
    <m/>
    <m/>
  </r>
  <r>
    <x v="23"/>
    <x v="88"/>
    <n v="1"/>
    <n v="48"/>
    <m/>
    <n v="3"/>
    <m/>
    <m/>
    <m/>
    <m/>
    <m/>
    <m/>
    <m/>
  </r>
  <r>
    <x v="0"/>
    <x v="89"/>
    <n v="254"/>
    <n v="5892"/>
    <n v="6"/>
    <n v="223"/>
    <m/>
    <m/>
    <m/>
    <m/>
    <m/>
    <m/>
    <m/>
  </r>
  <r>
    <x v="1"/>
    <x v="89"/>
    <n v="0"/>
    <n v="0"/>
    <m/>
    <n v="0"/>
    <m/>
    <m/>
    <m/>
    <m/>
    <m/>
    <m/>
    <m/>
  </r>
  <r>
    <x v="2"/>
    <x v="89"/>
    <n v="13"/>
    <n v="887"/>
    <m/>
    <n v="52"/>
    <m/>
    <m/>
    <m/>
    <m/>
    <m/>
    <m/>
    <m/>
  </r>
  <r>
    <x v="3"/>
    <x v="89"/>
    <n v="0"/>
    <n v="10"/>
    <m/>
    <n v="1"/>
    <m/>
    <m/>
    <m/>
    <m/>
    <m/>
    <m/>
    <m/>
  </r>
  <r>
    <x v="4"/>
    <x v="89"/>
    <n v="358"/>
    <n v="8206"/>
    <n v="5"/>
    <n v="185"/>
    <m/>
    <m/>
    <m/>
    <m/>
    <m/>
    <m/>
    <m/>
  </r>
  <r>
    <x v="5"/>
    <x v="89"/>
    <n v="2"/>
    <n v="460"/>
    <m/>
    <n v="27"/>
    <m/>
    <m/>
    <m/>
    <m/>
    <m/>
    <m/>
    <m/>
  </r>
  <r>
    <x v="6"/>
    <x v="89"/>
    <n v="1"/>
    <n v="88"/>
    <m/>
    <n v="0"/>
    <m/>
    <m/>
    <m/>
    <m/>
    <m/>
    <m/>
    <m/>
  </r>
  <r>
    <x v="7"/>
    <x v="89"/>
    <n v="0"/>
    <n v="31"/>
    <m/>
    <n v="0"/>
    <m/>
    <m/>
    <m/>
    <m/>
    <m/>
    <m/>
    <m/>
  </r>
  <r>
    <x v="8"/>
    <x v="89"/>
    <n v="0"/>
    <n v="0"/>
    <m/>
    <n v="0"/>
    <m/>
    <m/>
    <m/>
    <m/>
    <m/>
    <m/>
    <m/>
  </r>
  <r>
    <x v="9"/>
    <x v="89"/>
    <n v="0"/>
    <n v="6"/>
    <m/>
    <n v="0"/>
    <m/>
    <m/>
    <m/>
    <m/>
    <m/>
    <m/>
    <m/>
  </r>
  <r>
    <x v="10"/>
    <x v="89"/>
    <n v="0"/>
    <n v="5"/>
    <m/>
    <n v="0"/>
    <m/>
    <m/>
    <m/>
    <m/>
    <m/>
    <m/>
    <m/>
  </r>
  <r>
    <x v="11"/>
    <x v="89"/>
    <n v="0"/>
    <n v="63"/>
    <m/>
    <n v="0"/>
    <m/>
    <m/>
    <m/>
    <m/>
    <m/>
    <m/>
    <m/>
  </r>
  <r>
    <x v="12"/>
    <x v="89"/>
    <n v="0"/>
    <n v="92"/>
    <m/>
    <n v="0"/>
    <m/>
    <m/>
    <m/>
    <m/>
    <m/>
    <m/>
    <m/>
  </r>
  <r>
    <x v="13"/>
    <x v="89"/>
    <n v="1"/>
    <n v="28"/>
    <m/>
    <n v="0"/>
    <m/>
    <m/>
    <m/>
    <m/>
    <m/>
    <m/>
    <m/>
  </r>
  <r>
    <x v="14"/>
    <x v="89"/>
    <n v="3"/>
    <n v="134"/>
    <m/>
    <n v="0"/>
    <m/>
    <m/>
    <m/>
    <m/>
    <m/>
    <m/>
    <m/>
  </r>
  <r>
    <x v="15"/>
    <x v="89"/>
    <n v="4"/>
    <n v="396"/>
    <m/>
    <n v="0"/>
    <m/>
    <m/>
    <m/>
    <m/>
    <m/>
    <m/>
    <m/>
  </r>
  <r>
    <x v="16"/>
    <x v="89"/>
    <n v="0"/>
    <n v="8"/>
    <m/>
    <n v="0"/>
    <m/>
    <m/>
    <m/>
    <m/>
    <m/>
    <m/>
    <m/>
  </r>
  <r>
    <x v="17"/>
    <x v="89"/>
    <n v="0"/>
    <n v="5"/>
    <m/>
    <n v="0"/>
    <m/>
    <m/>
    <m/>
    <m/>
    <m/>
    <m/>
    <m/>
  </r>
  <r>
    <x v="18"/>
    <x v="89"/>
    <n v="0"/>
    <n v="11"/>
    <m/>
    <n v="0"/>
    <m/>
    <m/>
    <m/>
    <m/>
    <m/>
    <m/>
    <m/>
  </r>
  <r>
    <x v="19"/>
    <x v="89"/>
    <n v="1"/>
    <n v="50"/>
    <m/>
    <n v="0"/>
    <m/>
    <m/>
    <m/>
    <m/>
    <m/>
    <m/>
    <m/>
  </r>
  <r>
    <x v="20"/>
    <x v="89"/>
    <n v="0"/>
    <n v="262"/>
    <m/>
    <n v="3"/>
    <m/>
    <m/>
    <m/>
    <m/>
    <m/>
    <m/>
    <m/>
  </r>
  <r>
    <x v="21"/>
    <x v="89"/>
    <n v="0"/>
    <n v="22"/>
    <m/>
    <n v="0"/>
    <m/>
    <m/>
    <m/>
    <m/>
    <m/>
    <m/>
    <m/>
  </r>
  <r>
    <x v="22"/>
    <x v="89"/>
    <n v="0"/>
    <n v="149"/>
    <m/>
    <n v="0"/>
    <m/>
    <m/>
    <m/>
    <m/>
    <m/>
    <m/>
    <m/>
  </r>
  <r>
    <x v="23"/>
    <x v="89"/>
    <n v="0"/>
    <n v="48"/>
    <m/>
    <n v="3"/>
    <m/>
    <m/>
    <m/>
    <m/>
    <m/>
    <m/>
    <m/>
  </r>
  <r>
    <x v="0"/>
    <x v="90"/>
    <n v="252"/>
    <n v="6144"/>
    <n v="5"/>
    <n v="228"/>
    <m/>
    <m/>
    <m/>
    <m/>
    <m/>
    <m/>
    <m/>
  </r>
  <r>
    <x v="1"/>
    <x v="90"/>
    <n v="0"/>
    <n v="0"/>
    <m/>
    <n v="0"/>
    <m/>
    <m/>
    <m/>
    <m/>
    <m/>
    <m/>
    <m/>
  </r>
  <r>
    <x v="2"/>
    <x v="90"/>
    <n v="3"/>
    <n v="890"/>
    <n v="3"/>
    <n v="55"/>
    <m/>
    <m/>
    <m/>
    <m/>
    <m/>
    <m/>
    <m/>
  </r>
  <r>
    <x v="3"/>
    <x v="90"/>
    <n v="0"/>
    <n v="10"/>
    <m/>
    <n v="1"/>
    <m/>
    <m/>
    <m/>
    <m/>
    <m/>
    <m/>
    <m/>
  </r>
  <r>
    <x v="4"/>
    <x v="90"/>
    <n v="274"/>
    <n v="8480"/>
    <n v="8"/>
    <n v="193"/>
    <m/>
    <m/>
    <m/>
    <m/>
    <m/>
    <m/>
    <m/>
  </r>
  <r>
    <x v="5"/>
    <x v="90"/>
    <n v="0"/>
    <n v="460"/>
    <n v="1"/>
    <n v="28"/>
    <m/>
    <m/>
    <m/>
    <m/>
    <m/>
    <m/>
    <m/>
  </r>
  <r>
    <x v="6"/>
    <x v="90"/>
    <n v="6"/>
    <n v="94"/>
    <m/>
    <n v="0"/>
    <m/>
    <m/>
    <m/>
    <m/>
    <m/>
    <m/>
    <m/>
  </r>
  <r>
    <x v="7"/>
    <x v="90"/>
    <n v="0"/>
    <n v="31"/>
    <m/>
    <n v="0"/>
    <m/>
    <m/>
    <m/>
    <m/>
    <m/>
    <m/>
    <m/>
  </r>
  <r>
    <x v="8"/>
    <x v="90"/>
    <n v="0"/>
    <n v="0"/>
    <m/>
    <n v="0"/>
    <m/>
    <m/>
    <m/>
    <m/>
    <m/>
    <m/>
    <m/>
  </r>
  <r>
    <x v="9"/>
    <x v="90"/>
    <n v="0"/>
    <n v="6"/>
    <m/>
    <n v="0"/>
    <m/>
    <m/>
    <m/>
    <m/>
    <m/>
    <m/>
    <m/>
  </r>
  <r>
    <x v="10"/>
    <x v="90"/>
    <n v="0"/>
    <n v="5"/>
    <m/>
    <n v="0"/>
    <m/>
    <m/>
    <m/>
    <m/>
    <m/>
    <m/>
    <m/>
  </r>
  <r>
    <x v="11"/>
    <x v="90"/>
    <n v="0"/>
    <n v="63"/>
    <m/>
    <n v="0"/>
    <m/>
    <m/>
    <m/>
    <m/>
    <m/>
    <m/>
    <m/>
  </r>
  <r>
    <x v="12"/>
    <x v="90"/>
    <n v="8"/>
    <n v="100"/>
    <m/>
    <n v="0"/>
    <m/>
    <m/>
    <m/>
    <m/>
    <m/>
    <m/>
    <m/>
  </r>
  <r>
    <x v="13"/>
    <x v="90"/>
    <n v="0"/>
    <n v="28"/>
    <m/>
    <n v="0"/>
    <m/>
    <m/>
    <m/>
    <m/>
    <m/>
    <m/>
    <m/>
  </r>
  <r>
    <x v="14"/>
    <x v="90"/>
    <n v="3"/>
    <n v="137"/>
    <m/>
    <n v="0"/>
    <m/>
    <m/>
    <m/>
    <m/>
    <m/>
    <m/>
    <m/>
  </r>
  <r>
    <x v="15"/>
    <x v="90"/>
    <n v="11"/>
    <n v="407"/>
    <m/>
    <n v="0"/>
    <m/>
    <m/>
    <m/>
    <m/>
    <m/>
    <m/>
    <m/>
  </r>
  <r>
    <x v="16"/>
    <x v="90"/>
    <n v="3"/>
    <n v="11"/>
    <m/>
    <n v="0"/>
    <m/>
    <m/>
    <m/>
    <m/>
    <m/>
    <m/>
    <m/>
  </r>
  <r>
    <x v="17"/>
    <x v="90"/>
    <n v="0"/>
    <n v="5"/>
    <m/>
    <n v="0"/>
    <m/>
    <m/>
    <m/>
    <m/>
    <m/>
    <m/>
    <m/>
  </r>
  <r>
    <x v="18"/>
    <x v="90"/>
    <n v="0"/>
    <n v="11"/>
    <m/>
    <n v="0"/>
    <m/>
    <m/>
    <m/>
    <m/>
    <m/>
    <m/>
    <m/>
  </r>
  <r>
    <x v="19"/>
    <x v="90"/>
    <n v="1"/>
    <n v="51"/>
    <m/>
    <n v="0"/>
    <m/>
    <m/>
    <m/>
    <m/>
    <m/>
    <m/>
    <m/>
  </r>
  <r>
    <x v="20"/>
    <x v="90"/>
    <n v="3"/>
    <n v="265"/>
    <m/>
    <n v="3"/>
    <m/>
    <m/>
    <m/>
    <m/>
    <m/>
    <m/>
    <m/>
  </r>
  <r>
    <x v="21"/>
    <x v="90"/>
    <n v="0"/>
    <n v="22"/>
    <m/>
    <n v="0"/>
    <m/>
    <m/>
    <m/>
    <m/>
    <m/>
    <m/>
    <m/>
  </r>
  <r>
    <x v="22"/>
    <x v="90"/>
    <n v="0"/>
    <n v="149"/>
    <m/>
    <n v="0"/>
    <m/>
    <m/>
    <m/>
    <m/>
    <m/>
    <m/>
    <m/>
  </r>
  <r>
    <x v="23"/>
    <x v="90"/>
    <n v="0"/>
    <n v="48"/>
    <m/>
    <n v="3"/>
    <m/>
    <m/>
    <m/>
    <m/>
    <m/>
    <m/>
    <m/>
  </r>
  <r>
    <x v="0"/>
    <x v="91"/>
    <n v="488"/>
    <n v="6632"/>
    <n v="8"/>
    <n v="236"/>
    <m/>
    <m/>
    <m/>
    <m/>
    <m/>
    <m/>
    <m/>
  </r>
  <r>
    <x v="1"/>
    <x v="91"/>
    <n v="0"/>
    <n v="0"/>
    <m/>
    <n v="0"/>
    <m/>
    <m/>
    <m/>
    <m/>
    <m/>
    <m/>
    <m/>
  </r>
  <r>
    <x v="2"/>
    <x v="91"/>
    <n v="30"/>
    <n v="920"/>
    <n v="2"/>
    <n v="57"/>
    <m/>
    <m/>
    <m/>
    <m/>
    <m/>
    <m/>
    <m/>
  </r>
  <r>
    <x v="3"/>
    <x v="91"/>
    <n v="0"/>
    <n v="10"/>
    <m/>
    <n v="1"/>
    <m/>
    <m/>
    <m/>
    <m/>
    <m/>
    <m/>
    <m/>
  </r>
  <r>
    <x v="4"/>
    <x v="91"/>
    <n v="371"/>
    <n v="8851"/>
    <n v="3"/>
    <n v="196"/>
    <m/>
    <m/>
    <m/>
    <m/>
    <m/>
    <m/>
    <m/>
  </r>
  <r>
    <x v="5"/>
    <x v="91"/>
    <n v="1"/>
    <n v="461"/>
    <m/>
    <n v="28"/>
    <m/>
    <m/>
    <m/>
    <m/>
    <m/>
    <m/>
    <m/>
  </r>
  <r>
    <x v="6"/>
    <x v="91"/>
    <n v="2"/>
    <n v="96"/>
    <m/>
    <n v="0"/>
    <m/>
    <m/>
    <m/>
    <m/>
    <m/>
    <m/>
    <m/>
  </r>
  <r>
    <x v="7"/>
    <x v="91"/>
    <n v="2"/>
    <n v="33"/>
    <m/>
    <n v="0"/>
    <m/>
    <m/>
    <m/>
    <m/>
    <m/>
    <m/>
    <m/>
  </r>
  <r>
    <x v="8"/>
    <x v="91"/>
    <n v="0"/>
    <n v="0"/>
    <m/>
    <n v="0"/>
    <m/>
    <m/>
    <m/>
    <m/>
    <m/>
    <m/>
    <m/>
  </r>
  <r>
    <x v="9"/>
    <x v="91"/>
    <n v="0"/>
    <n v="6"/>
    <m/>
    <n v="0"/>
    <m/>
    <m/>
    <m/>
    <m/>
    <m/>
    <m/>
    <m/>
  </r>
  <r>
    <x v="10"/>
    <x v="91"/>
    <n v="0"/>
    <n v="5"/>
    <m/>
    <n v="0"/>
    <m/>
    <m/>
    <m/>
    <m/>
    <m/>
    <m/>
    <m/>
  </r>
  <r>
    <x v="11"/>
    <x v="91"/>
    <n v="0"/>
    <n v="63"/>
    <m/>
    <n v="0"/>
    <m/>
    <m/>
    <m/>
    <m/>
    <m/>
    <m/>
    <m/>
  </r>
  <r>
    <x v="12"/>
    <x v="91"/>
    <n v="0"/>
    <n v="100"/>
    <m/>
    <n v="0"/>
    <m/>
    <m/>
    <m/>
    <m/>
    <m/>
    <m/>
    <m/>
  </r>
  <r>
    <x v="13"/>
    <x v="91"/>
    <n v="0"/>
    <n v="28"/>
    <m/>
    <n v="0"/>
    <m/>
    <m/>
    <m/>
    <m/>
    <m/>
    <m/>
    <m/>
  </r>
  <r>
    <x v="14"/>
    <x v="91"/>
    <n v="3"/>
    <n v="140"/>
    <m/>
    <n v="0"/>
    <m/>
    <m/>
    <m/>
    <m/>
    <m/>
    <m/>
    <m/>
  </r>
  <r>
    <x v="15"/>
    <x v="91"/>
    <n v="3"/>
    <n v="410"/>
    <m/>
    <n v="0"/>
    <m/>
    <m/>
    <m/>
    <m/>
    <m/>
    <m/>
    <m/>
  </r>
  <r>
    <x v="16"/>
    <x v="91"/>
    <n v="4"/>
    <n v="15"/>
    <m/>
    <n v="0"/>
    <m/>
    <m/>
    <m/>
    <m/>
    <m/>
    <m/>
    <m/>
  </r>
  <r>
    <x v="17"/>
    <x v="91"/>
    <n v="0"/>
    <n v="5"/>
    <m/>
    <n v="0"/>
    <m/>
    <m/>
    <m/>
    <m/>
    <m/>
    <m/>
    <m/>
  </r>
  <r>
    <x v="18"/>
    <x v="91"/>
    <n v="0"/>
    <n v="11"/>
    <m/>
    <n v="0"/>
    <m/>
    <m/>
    <m/>
    <m/>
    <m/>
    <m/>
    <m/>
  </r>
  <r>
    <x v="19"/>
    <x v="91"/>
    <n v="0"/>
    <n v="51"/>
    <m/>
    <n v="0"/>
    <m/>
    <m/>
    <m/>
    <m/>
    <m/>
    <m/>
    <m/>
  </r>
  <r>
    <x v="20"/>
    <x v="91"/>
    <n v="0"/>
    <n v="265"/>
    <m/>
    <n v="3"/>
    <m/>
    <m/>
    <m/>
    <m/>
    <m/>
    <m/>
    <m/>
  </r>
  <r>
    <x v="21"/>
    <x v="91"/>
    <n v="0"/>
    <n v="22"/>
    <m/>
    <n v="0"/>
    <m/>
    <m/>
    <m/>
    <m/>
    <m/>
    <m/>
    <m/>
  </r>
  <r>
    <x v="22"/>
    <x v="91"/>
    <n v="0"/>
    <n v="149"/>
    <m/>
    <n v="0"/>
    <m/>
    <m/>
    <m/>
    <m/>
    <m/>
    <m/>
    <m/>
  </r>
  <r>
    <x v="23"/>
    <x v="91"/>
    <n v="0"/>
    <n v="48"/>
    <m/>
    <n v="3"/>
    <m/>
    <m/>
    <m/>
    <m/>
    <m/>
    <m/>
    <m/>
  </r>
  <r>
    <x v="0"/>
    <x v="92"/>
    <n v="442"/>
    <n v="7074"/>
    <n v="6"/>
    <n v="242"/>
    <m/>
    <m/>
    <m/>
    <m/>
    <m/>
    <m/>
    <m/>
  </r>
  <r>
    <x v="1"/>
    <x v="92"/>
    <n v="0"/>
    <n v="0"/>
    <m/>
    <n v="0"/>
    <m/>
    <m/>
    <m/>
    <m/>
    <m/>
    <m/>
    <m/>
  </r>
  <r>
    <x v="2"/>
    <x v="92"/>
    <n v="6"/>
    <n v="926"/>
    <n v="1"/>
    <n v="58"/>
    <m/>
    <m/>
    <m/>
    <m/>
    <m/>
    <m/>
    <m/>
  </r>
  <r>
    <x v="3"/>
    <x v="92"/>
    <n v="1"/>
    <n v="11"/>
    <m/>
    <n v="1"/>
    <m/>
    <m/>
    <m/>
    <m/>
    <m/>
    <m/>
    <m/>
  </r>
  <r>
    <x v="4"/>
    <x v="92"/>
    <n v="467"/>
    <n v="9318"/>
    <n v="5"/>
    <n v="201"/>
    <m/>
    <m/>
    <m/>
    <m/>
    <m/>
    <m/>
    <m/>
  </r>
  <r>
    <x v="5"/>
    <x v="92"/>
    <n v="1"/>
    <n v="462"/>
    <n v="1"/>
    <n v="29"/>
    <m/>
    <m/>
    <m/>
    <m/>
    <m/>
    <m/>
    <m/>
  </r>
  <r>
    <x v="6"/>
    <x v="92"/>
    <n v="0"/>
    <n v="96"/>
    <m/>
    <n v="0"/>
    <m/>
    <m/>
    <m/>
    <m/>
    <m/>
    <m/>
    <m/>
  </r>
  <r>
    <x v="7"/>
    <x v="92"/>
    <n v="2"/>
    <n v="35"/>
    <m/>
    <n v="0"/>
    <m/>
    <m/>
    <m/>
    <m/>
    <m/>
    <m/>
    <m/>
  </r>
  <r>
    <x v="8"/>
    <x v="92"/>
    <n v="0"/>
    <n v="0"/>
    <m/>
    <n v="0"/>
    <m/>
    <m/>
    <m/>
    <m/>
    <m/>
    <m/>
    <m/>
  </r>
  <r>
    <x v="9"/>
    <x v="92"/>
    <n v="0"/>
    <n v="6"/>
    <m/>
    <n v="0"/>
    <m/>
    <m/>
    <m/>
    <m/>
    <m/>
    <m/>
    <m/>
  </r>
  <r>
    <x v="10"/>
    <x v="92"/>
    <n v="0"/>
    <n v="5"/>
    <m/>
    <n v="0"/>
    <m/>
    <m/>
    <m/>
    <m/>
    <m/>
    <m/>
    <m/>
  </r>
  <r>
    <x v="11"/>
    <x v="92"/>
    <n v="0"/>
    <n v="63"/>
    <m/>
    <n v="0"/>
    <m/>
    <m/>
    <m/>
    <m/>
    <m/>
    <m/>
    <m/>
  </r>
  <r>
    <x v="12"/>
    <x v="92"/>
    <n v="0"/>
    <n v="100"/>
    <m/>
    <n v="0"/>
    <m/>
    <m/>
    <m/>
    <m/>
    <m/>
    <m/>
    <m/>
  </r>
  <r>
    <x v="13"/>
    <x v="92"/>
    <n v="1"/>
    <n v="29"/>
    <m/>
    <n v="0"/>
    <m/>
    <m/>
    <m/>
    <m/>
    <m/>
    <m/>
    <m/>
  </r>
  <r>
    <x v="14"/>
    <x v="92"/>
    <n v="10"/>
    <n v="150"/>
    <m/>
    <n v="0"/>
    <m/>
    <m/>
    <m/>
    <m/>
    <m/>
    <m/>
    <m/>
  </r>
  <r>
    <x v="15"/>
    <x v="92"/>
    <n v="16"/>
    <n v="426"/>
    <n v="1"/>
    <n v="1"/>
    <m/>
    <m/>
    <m/>
    <m/>
    <m/>
    <m/>
    <m/>
  </r>
  <r>
    <x v="16"/>
    <x v="92"/>
    <n v="0"/>
    <n v="15"/>
    <m/>
    <n v="0"/>
    <m/>
    <m/>
    <m/>
    <m/>
    <m/>
    <m/>
    <m/>
  </r>
  <r>
    <x v="17"/>
    <x v="92"/>
    <n v="0"/>
    <n v="5"/>
    <m/>
    <n v="0"/>
    <m/>
    <m/>
    <m/>
    <m/>
    <m/>
    <m/>
    <m/>
  </r>
  <r>
    <x v="18"/>
    <x v="92"/>
    <n v="0"/>
    <n v="11"/>
    <m/>
    <n v="0"/>
    <m/>
    <m/>
    <m/>
    <m/>
    <m/>
    <m/>
    <m/>
  </r>
  <r>
    <x v="19"/>
    <x v="92"/>
    <n v="0"/>
    <n v="51"/>
    <m/>
    <n v="0"/>
    <m/>
    <m/>
    <m/>
    <m/>
    <m/>
    <m/>
    <m/>
  </r>
  <r>
    <x v="20"/>
    <x v="92"/>
    <n v="3"/>
    <n v="268"/>
    <m/>
    <n v="3"/>
    <m/>
    <m/>
    <m/>
    <m/>
    <m/>
    <m/>
    <m/>
  </r>
  <r>
    <x v="21"/>
    <x v="92"/>
    <n v="0"/>
    <n v="22"/>
    <m/>
    <n v="0"/>
    <m/>
    <m/>
    <m/>
    <m/>
    <m/>
    <m/>
    <m/>
  </r>
  <r>
    <x v="22"/>
    <x v="92"/>
    <n v="0"/>
    <n v="149"/>
    <m/>
    <n v="0"/>
    <m/>
    <m/>
    <m/>
    <m/>
    <m/>
    <m/>
    <m/>
  </r>
  <r>
    <x v="23"/>
    <x v="92"/>
    <n v="0"/>
    <n v="48"/>
    <m/>
    <n v="3"/>
    <m/>
    <m/>
    <m/>
    <m/>
    <m/>
    <m/>
    <m/>
  </r>
  <r>
    <x v="0"/>
    <x v="93"/>
    <n v="422"/>
    <n v="7496"/>
    <n v="11"/>
    <n v="253"/>
    <m/>
    <m/>
    <m/>
    <m/>
    <m/>
    <m/>
    <m/>
  </r>
  <r>
    <x v="1"/>
    <x v="93"/>
    <n v="0"/>
    <n v="0"/>
    <m/>
    <n v="0"/>
    <m/>
    <m/>
    <m/>
    <m/>
    <m/>
    <m/>
    <m/>
  </r>
  <r>
    <x v="2"/>
    <x v="93"/>
    <n v="53"/>
    <n v="979"/>
    <n v="1"/>
    <n v="59"/>
    <m/>
    <m/>
    <m/>
    <m/>
    <m/>
    <m/>
    <m/>
  </r>
  <r>
    <x v="3"/>
    <x v="93"/>
    <n v="0"/>
    <n v="11"/>
    <m/>
    <n v="1"/>
    <m/>
    <m/>
    <m/>
    <m/>
    <m/>
    <m/>
    <m/>
  </r>
  <r>
    <x v="4"/>
    <x v="93"/>
    <n v="436"/>
    <n v="9754"/>
    <n v="12"/>
    <n v="213"/>
    <m/>
    <m/>
    <m/>
    <m/>
    <m/>
    <m/>
    <m/>
  </r>
  <r>
    <x v="5"/>
    <x v="93"/>
    <n v="2"/>
    <n v="464"/>
    <m/>
    <n v="29"/>
    <m/>
    <m/>
    <m/>
    <m/>
    <m/>
    <m/>
    <m/>
  </r>
  <r>
    <x v="6"/>
    <x v="93"/>
    <n v="0"/>
    <n v="96"/>
    <m/>
    <n v="0"/>
    <m/>
    <m/>
    <m/>
    <m/>
    <m/>
    <m/>
    <m/>
  </r>
  <r>
    <x v="7"/>
    <x v="93"/>
    <n v="0"/>
    <n v="35"/>
    <m/>
    <n v="0"/>
    <m/>
    <m/>
    <m/>
    <m/>
    <m/>
    <m/>
    <m/>
  </r>
  <r>
    <x v="8"/>
    <x v="93"/>
    <n v="0"/>
    <n v="0"/>
    <m/>
    <n v="0"/>
    <m/>
    <m/>
    <m/>
    <m/>
    <m/>
    <m/>
    <m/>
  </r>
  <r>
    <x v="9"/>
    <x v="93"/>
    <n v="0"/>
    <n v="6"/>
    <m/>
    <n v="0"/>
    <m/>
    <m/>
    <m/>
    <m/>
    <m/>
    <m/>
    <m/>
  </r>
  <r>
    <x v="10"/>
    <x v="93"/>
    <n v="0"/>
    <n v="5"/>
    <m/>
    <n v="0"/>
    <m/>
    <m/>
    <m/>
    <m/>
    <m/>
    <m/>
    <m/>
  </r>
  <r>
    <x v="11"/>
    <x v="93"/>
    <n v="0"/>
    <n v="63"/>
    <m/>
    <n v="0"/>
    <m/>
    <m/>
    <m/>
    <m/>
    <m/>
    <m/>
    <m/>
  </r>
  <r>
    <x v="12"/>
    <x v="93"/>
    <n v="0"/>
    <n v="100"/>
    <m/>
    <n v="0"/>
    <m/>
    <m/>
    <m/>
    <m/>
    <m/>
    <m/>
    <m/>
  </r>
  <r>
    <x v="13"/>
    <x v="93"/>
    <n v="2"/>
    <n v="31"/>
    <m/>
    <n v="0"/>
    <m/>
    <m/>
    <m/>
    <m/>
    <m/>
    <m/>
    <m/>
  </r>
  <r>
    <x v="14"/>
    <x v="93"/>
    <n v="0"/>
    <n v="150"/>
    <m/>
    <n v="0"/>
    <m/>
    <m/>
    <m/>
    <m/>
    <m/>
    <m/>
    <m/>
  </r>
  <r>
    <x v="15"/>
    <x v="93"/>
    <n v="8"/>
    <n v="434"/>
    <n v="1"/>
    <n v="1"/>
    <m/>
    <m/>
    <m/>
    <m/>
    <m/>
    <m/>
    <m/>
  </r>
  <r>
    <x v="16"/>
    <x v="93"/>
    <n v="0"/>
    <n v="15"/>
    <m/>
    <n v="1"/>
    <m/>
    <m/>
    <m/>
    <m/>
    <m/>
    <m/>
    <m/>
  </r>
  <r>
    <x v="17"/>
    <x v="93"/>
    <n v="0"/>
    <n v="5"/>
    <m/>
    <n v="0"/>
    <m/>
    <m/>
    <m/>
    <m/>
    <m/>
    <m/>
    <m/>
  </r>
  <r>
    <x v="18"/>
    <x v="93"/>
    <n v="0"/>
    <n v="11"/>
    <m/>
    <n v="0"/>
    <m/>
    <m/>
    <m/>
    <m/>
    <m/>
    <m/>
    <m/>
  </r>
  <r>
    <x v="19"/>
    <x v="93"/>
    <n v="0"/>
    <n v="51"/>
    <m/>
    <n v="0"/>
    <m/>
    <m/>
    <m/>
    <m/>
    <m/>
    <m/>
    <m/>
  </r>
  <r>
    <x v="20"/>
    <x v="93"/>
    <n v="5"/>
    <n v="273"/>
    <m/>
    <n v="3"/>
    <m/>
    <m/>
    <m/>
    <m/>
    <m/>
    <m/>
    <m/>
  </r>
  <r>
    <x v="21"/>
    <x v="93"/>
    <n v="0"/>
    <n v="22"/>
    <m/>
    <n v="0"/>
    <m/>
    <m/>
    <m/>
    <m/>
    <m/>
    <m/>
    <m/>
  </r>
  <r>
    <x v="22"/>
    <x v="93"/>
    <n v="0"/>
    <n v="149"/>
    <m/>
    <n v="0"/>
    <m/>
    <m/>
    <m/>
    <m/>
    <m/>
    <m/>
    <m/>
  </r>
  <r>
    <x v="23"/>
    <x v="93"/>
    <n v="1"/>
    <n v="49"/>
    <m/>
    <n v="3"/>
    <m/>
    <m/>
    <m/>
    <m/>
    <m/>
    <m/>
    <m/>
  </r>
  <r>
    <x v="0"/>
    <x v="94"/>
    <n v="371"/>
    <n v="7867"/>
    <n v="8"/>
    <n v="261"/>
    <m/>
    <m/>
    <m/>
    <m/>
    <m/>
    <m/>
    <m/>
  </r>
  <r>
    <x v="1"/>
    <x v="94"/>
    <n v="0"/>
    <n v="0"/>
    <m/>
    <n v="0"/>
    <m/>
    <m/>
    <m/>
    <m/>
    <m/>
    <m/>
    <m/>
  </r>
  <r>
    <x v="2"/>
    <x v="94"/>
    <n v="29"/>
    <n v="1008"/>
    <n v="1"/>
    <n v="60"/>
    <m/>
    <m/>
    <m/>
    <m/>
    <m/>
    <m/>
    <m/>
  </r>
  <r>
    <x v="3"/>
    <x v="94"/>
    <n v="3"/>
    <n v="14"/>
    <m/>
    <n v="1"/>
    <m/>
    <m/>
    <m/>
    <m/>
    <m/>
    <m/>
    <m/>
  </r>
  <r>
    <x v="4"/>
    <x v="94"/>
    <n v="420"/>
    <n v="10174"/>
    <n v="15"/>
    <n v="228"/>
    <m/>
    <m/>
    <m/>
    <m/>
    <m/>
    <m/>
    <m/>
  </r>
  <r>
    <x v="5"/>
    <x v="94"/>
    <n v="2"/>
    <n v="466"/>
    <m/>
    <n v="29"/>
    <m/>
    <m/>
    <m/>
    <m/>
    <m/>
    <m/>
    <m/>
  </r>
  <r>
    <x v="6"/>
    <x v="94"/>
    <n v="0"/>
    <n v="96"/>
    <m/>
    <n v="0"/>
    <m/>
    <m/>
    <m/>
    <m/>
    <m/>
    <m/>
    <m/>
  </r>
  <r>
    <x v="7"/>
    <x v="94"/>
    <n v="4"/>
    <n v="39"/>
    <m/>
    <n v="0"/>
    <m/>
    <m/>
    <m/>
    <m/>
    <m/>
    <m/>
    <m/>
  </r>
  <r>
    <x v="8"/>
    <x v="94"/>
    <n v="0"/>
    <n v="0"/>
    <m/>
    <n v="0"/>
    <m/>
    <m/>
    <m/>
    <m/>
    <m/>
    <m/>
    <m/>
  </r>
  <r>
    <x v="9"/>
    <x v="94"/>
    <n v="0"/>
    <n v="6"/>
    <m/>
    <n v="0"/>
    <m/>
    <m/>
    <m/>
    <m/>
    <m/>
    <m/>
    <m/>
  </r>
  <r>
    <x v="10"/>
    <x v="94"/>
    <n v="0"/>
    <n v="5"/>
    <m/>
    <n v="0"/>
    <m/>
    <m/>
    <m/>
    <m/>
    <m/>
    <m/>
    <m/>
  </r>
  <r>
    <x v="11"/>
    <x v="94"/>
    <n v="0"/>
    <n v="63"/>
    <m/>
    <n v="0"/>
    <m/>
    <m/>
    <m/>
    <m/>
    <m/>
    <m/>
    <m/>
  </r>
  <r>
    <x v="12"/>
    <x v="94"/>
    <n v="1"/>
    <n v="101"/>
    <m/>
    <n v="0"/>
    <m/>
    <m/>
    <m/>
    <m/>
    <m/>
    <m/>
    <m/>
  </r>
  <r>
    <x v="13"/>
    <x v="94"/>
    <n v="0"/>
    <n v="31"/>
    <m/>
    <n v="0"/>
    <m/>
    <m/>
    <m/>
    <m/>
    <m/>
    <m/>
    <m/>
  </r>
  <r>
    <x v="14"/>
    <x v="94"/>
    <n v="1"/>
    <n v="151"/>
    <m/>
    <n v="0"/>
    <m/>
    <m/>
    <m/>
    <m/>
    <m/>
    <m/>
    <m/>
  </r>
  <r>
    <x v="15"/>
    <x v="94"/>
    <n v="8"/>
    <n v="442"/>
    <m/>
    <n v="0"/>
    <m/>
    <m/>
    <m/>
    <m/>
    <m/>
    <m/>
    <m/>
  </r>
  <r>
    <x v="16"/>
    <x v="94"/>
    <n v="0"/>
    <n v="15"/>
    <m/>
    <n v="1"/>
    <m/>
    <m/>
    <m/>
    <m/>
    <m/>
    <m/>
    <m/>
  </r>
  <r>
    <x v="17"/>
    <x v="94"/>
    <n v="0"/>
    <n v="5"/>
    <m/>
    <n v="0"/>
    <m/>
    <m/>
    <m/>
    <m/>
    <m/>
    <m/>
    <m/>
  </r>
  <r>
    <x v="18"/>
    <x v="94"/>
    <n v="0"/>
    <n v="11"/>
    <m/>
    <n v="0"/>
    <m/>
    <m/>
    <m/>
    <m/>
    <m/>
    <m/>
    <m/>
  </r>
  <r>
    <x v="19"/>
    <x v="94"/>
    <n v="0"/>
    <n v="51"/>
    <m/>
    <n v="0"/>
    <m/>
    <m/>
    <m/>
    <m/>
    <m/>
    <m/>
    <m/>
  </r>
  <r>
    <x v="20"/>
    <x v="94"/>
    <n v="1"/>
    <n v="274"/>
    <m/>
    <n v="3"/>
    <m/>
    <m/>
    <m/>
    <m/>
    <m/>
    <m/>
    <m/>
  </r>
  <r>
    <x v="21"/>
    <x v="94"/>
    <n v="0"/>
    <n v="22"/>
    <m/>
    <n v="0"/>
    <m/>
    <m/>
    <m/>
    <m/>
    <m/>
    <m/>
    <m/>
  </r>
  <r>
    <x v="22"/>
    <x v="94"/>
    <n v="0"/>
    <n v="149"/>
    <m/>
    <n v="0"/>
    <m/>
    <m/>
    <m/>
    <m/>
    <m/>
    <m/>
    <m/>
  </r>
  <r>
    <x v="23"/>
    <x v="94"/>
    <n v="0"/>
    <n v="49"/>
    <m/>
    <n v="3"/>
    <m/>
    <m/>
    <m/>
    <m/>
    <m/>
    <m/>
    <m/>
  </r>
  <r>
    <x v="0"/>
    <x v="95"/>
    <n v="457"/>
    <n v="8324"/>
    <n v="2"/>
    <n v="263"/>
    <m/>
    <m/>
    <m/>
    <m/>
    <m/>
    <m/>
    <m/>
  </r>
  <r>
    <x v="1"/>
    <x v="95"/>
    <n v="0"/>
    <n v="0"/>
    <m/>
    <n v="0"/>
    <m/>
    <m/>
    <m/>
    <m/>
    <m/>
    <m/>
    <m/>
  </r>
  <r>
    <x v="2"/>
    <x v="95"/>
    <n v="19"/>
    <n v="1027"/>
    <m/>
    <n v="60"/>
    <m/>
    <m/>
    <m/>
    <m/>
    <m/>
    <m/>
    <m/>
  </r>
  <r>
    <x v="3"/>
    <x v="95"/>
    <n v="1"/>
    <n v="15"/>
    <m/>
    <n v="1"/>
    <m/>
    <m/>
    <m/>
    <m/>
    <m/>
    <m/>
    <m/>
  </r>
  <r>
    <x v="4"/>
    <x v="95"/>
    <n v="474"/>
    <n v="10648"/>
    <n v="13"/>
    <n v="241"/>
    <m/>
    <m/>
    <m/>
    <m/>
    <m/>
    <m/>
    <m/>
  </r>
  <r>
    <x v="5"/>
    <x v="95"/>
    <n v="0"/>
    <n v="466"/>
    <n v="1"/>
    <n v="30"/>
    <m/>
    <m/>
    <m/>
    <m/>
    <m/>
    <m/>
    <m/>
  </r>
  <r>
    <x v="6"/>
    <x v="95"/>
    <n v="0"/>
    <n v="96"/>
    <m/>
    <n v="0"/>
    <m/>
    <m/>
    <m/>
    <m/>
    <m/>
    <m/>
    <m/>
  </r>
  <r>
    <x v="7"/>
    <x v="95"/>
    <n v="10"/>
    <n v="49"/>
    <m/>
    <n v="0"/>
    <m/>
    <m/>
    <m/>
    <m/>
    <m/>
    <m/>
    <m/>
  </r>
  <r>
    <x v="8"/>
    <x v="95"/>
    <n v="0"/>
    <n v="0"/>
    <m/>
    <n v="0"/>
    <m/>
    <m/>
    <m/>
    <m/>
    <m/>
    <m/>
    <m/>
  </r>
  <r>
    <x v="9"/>
    <x v="95"/>
    <n v="0"/>
    <n v="6"/>
    <m/>
    <n v="0"/>
    <m/>
    <m/>
    <m/>
    <m/>
    <m/>
    <m/>
    <m/>
  </r>
  <r>
    <x v="10"/>
    <x v="95"/>
    <n v="0"/>
    <n v="5"/>
    <m/>
    <n v="0"/>
    <m/>
    <m/>
    <m/>
    <m/>
    <m/>
    <m/>
    <m/>
  </r>
  <r>
    <x v="11"/>
    <x v="95"/>
    <n v="0"/>
    <n v="63"/>
    <m/>
    <n v="0"/>
    <m/>
    <m/>
    <m/>
    <m/>
    <m/>
    <m/>
    <m/>
  </r>
  <r>
    <x v="12"/>
    <x v="95"/>
    <n v="0"/>
    <n v="101"/>
    <m/>
    <n v="0"/>
    <m/>
    <m/>
    <m/>
    <m/>
    <m/>
    <m/>
    <m/>
  </r>
  <r>
    <x v="13"/>
    <x v="95"/>
    <n v="4"/>
    <n v="35"/>
    <m/>
    <n v="0"/>
    <m/>
    <m/>
    <m/>
    <m/>
    <m/>
    <m/>
    <m/>
  </r>
  <r>
    <x v="14"/>
    <x v="95"/>
    <n v="1"/>
    <n v="152"/>
    <m/>
    <n v="0"/>
    <m/>
    <m/>
    <m/>
    <m/>
    <m/>
    <m/>
    <m/>
  </r>
  <r>
    <x v="15"/>
    <x v="95"/>
    <n v="15"/>
    <n v="457"/>
    <m/>
    <n v="0"/>
    <m/>
    <m/>
    <m/>
    <m/>
    <m/>
    <m/>
    <m/>
  </r>
  <r>
    <x v="16"/>
    <x v="95"/>
    <n v="0"/>
    <n v="15"/>
    <m/>
    <n v="0"/>
    <m/>
    <m/>
    <m/>
    <m/>
    <m/>
    <m/>
    <m/>
  </r>
  <r>
    <x v="17"/>
    <x v="95"/>
    <n v="0"/>
    <n v="5"/>
    <m/>
    <n v="0"/>
    <m/>
    <m/>
    <m/>
    <m/>
    <m/>
    <m/>
    <m/>
  </r>
  <r>
    <x v="18"/>
    <x v="95"/>
    <n v="0"/>
    <n v="11"/>
    <m/>
    <n v="0"/>
    <m/>
    <m/>
    <m/>
    <m/>
    <m/>
    <m/>
    <m/>
  </r>
  <r>
    <x v="19"/>
    <x v="95"/>
    <n v="0"/>
    <n v="51"/>
    <m/>
    <n v="0"/>
    <m/>
    <m/>
    <m/>
    <m/>
    <m/>
    <m/>
    <m/>
  </r>
  <r>
    <x v="20"/>
    <x v="95"/>
    <n v="2"/>
    <n v="276"/>
    <m/>
    <n v="3"/>
    <m/>
    <m/>
    <m/>
    <m/>
    <m/>
    <m/>
    <m/>
  </r>
  <r>
    <x v="21"/>
    <x v="95"/>
    <n v="0"/>
    <n v="22"/>
    <m/>
    <n v="0"/>
    <m/>
    <m/>
    <m/>
    <m/>
    <m/>
    <m/>
    <m/>
  </r>
  <r>
    <x v="22"/>
    <x v="95"/>
    <n v="0"/>
    <n v="149"/>
    <m/>
    <n v="0"/>
    <m/>
    <m/>
    <m/>
    <m/>
    <m/>
    <m/>
    <m/>
  </r>
  <r>
    <x v="23"/>
    <x v="95"/>
    <n v="0"/>
    <n v="49"/>
    <m/>
    <n v="3"/>
    <m/>
    <m/>
    <m/>
    <m/>
    <m/>
    <m/>
    <m/>
  </r>
  <r>
    <x v="0"/>
    <x v="96"/>
    <n v="375"/>
    <n v="8699"/>
    <n v="9"/>
    <n v="272"/>
    <m/>
    <m/>
    <m/>
    <m/>
    <m/>
    <m/>
    <m/>
  </r>
  <r>
    <x v="1"/>
    <x v="96"/>
    <n v="0"/>
    <n v="0"/>
    <m/>
    <n v="0"/>
    <m/>
    <m/>
    <m/>
    <m/>
    <m/>
    <m/>
    <m/>
  </r>
  <r>
    <x v="2"/>
    <x v="96"/>
    <n v="18"/>
    <n v="1045"/>
    <n v="1"/>
    <n v="61"/>
    <m/>
    <m/>
    <m/>
    <m/>
    <m/>
    <m/>
    <m/>
  </r>
  <r>
    <x v="3"/>
    <x v="96"/>
    <n v="5"/>
    <n v="20"/>
    <m/>
    <n v="1"/>
    <m/>
    <m/>
    <m/>
    <m/>
    <m/>
    <m/>
    <m/>
  </r>
  <r>
    <x v="4"/>
    <x v="96"/>
    <n v="359"/>
    <n v="11007"/>
    <n v="4"/>
    <n v="245"/>
    <m/>
    <m/>
    <m/>
    <m/>
    <m/>
    <m/>
    <m/>
  </r>
  <r>
    <x v="5"/>
    <x v="96"/>
    <n v="0"/>
    <n v="466"/>
    <m/>
    <n v="30"/>
    <m/>
    <m/>
    <m/>
    <m/>
    <m/>
    <m/>
    <m/>
  </r>
  <r>
    <x v="6"/>
    <x v="96"/>
    <n v="0"/>
    <n v="96"/>
    <m/>
    <n v="0"/>
    <m/>
    <m/>
    <m/>
    <m/>
    <m/>
    <m/>
    <m/>
  </r>
  <r>
    <x v="7"/>
    <x v="96"/>
    <n v="2"/>
    <n v="51"/>
    <m/>
    <n v="0"/>
    <m/>
    <m/>
    <m/>
    <m/>
    <m/>
    <m/>
    <m/>
  </r>
  <r>
    <x v="8"/>
    <x v="96"/>
    <n v="0"/>
    <n v="0"/>
    <m/>
    <n v="0"/>
    <m/>
    <m/>
    <m/>
    <m/>
    <m/>
    <m/>
    <m/>
  </r>
  <r>
    <x v="9"/>
    <x v="96"/>
    <n v="0"/>
    <n v="6"/>
    <m/>
    <n v="0"/>
    <m/>
    <m/>
    <m/>
    <m/>
    <m/>
    <m/>
    <m/>
  </r>
  <r>
    <x v="10"/>
    <x v="96"/>
    <n v="0"/>
    <n v="5"/>
    <m/>
    <n v="0"/>
    <m/>
    <m/>
    <m/>
    <m/>
    <m/>
    <m/>
    <m/>
  </r>
  <r>
    <x v="11"/>
    <x v="96"/>
    <n v="1"/>
    <n v="64"/>
    <n v="1"/>
    <n v="1"/>
    <m/>
    <m/>
    <m/>
    <m/>
    <m/>
    <m/>
    <m/>
  </r>
  <r>
    <x v="12"/>
    <x v="96"/>
    <n v="0"/>
    <n v="101"/>
    <m/>
    <n v="0"/>
    <m/>
    <m/>
    <m/>
    <m/>
    <m/>
    <m/>
    <m/>
  </r>
  <r>
    <x v="13"/>
    <x v="96"/>
    <n v="3"/>
    <n v="38"/>
    <m/>
    <n v="0"/>
    <m/>
    <m/>
    <m/>
    <m/>
    <m/>
    <m/>
    <m/>
  </r>
  <r>
    <x v="14"/>
    <x v="96"/>
    <n v="0"/>
    <n v="152"/>
    <m/>
    <n v="0"/>
    <m/>
    <m/>
    <m/>
    <m/>
    <m/>
    <m/>
    <m/>
  </r>
  <r>
    <x v="15"/>
    <x v="96"/>
    <n v="10"/>
    <n v="467"/>
    <n v="1"/>
    <n v="1"/>
    <m/>
    <m/>
    <m/>
    <m/>
    <m/>
    <m/>
    <m/>
  </r>
  <r>
    <x v="16"/>
    <x v="96"/>
    <n v="1"/>
    <n v="16"/>
    <m/>
    <n v="0"/>
    <m/>
    <m/>
    <m/>
    <m/>
    <m/>
    <m/>
    <m/>
  </r>
  <r>
    <x v="17"/>
    <x v="96"/>
    <n v="0"/>
    <n v="5"/>
    <m/>
    <n v="0"/>
    <m/>
    <m/>
    <m/>
    <m/>
    <m/>
    <m/>
    <m/>
  </r>
  <r>
    <x v="18"/>
    <x v="96"/>
    <n v="0"/>
    <n v="11"/>
    <m/>
    <n v="0"/>
    <m/>
    <m/>
    <m/>
    <m/>
    <m/>
    <m/>
    <m/>
  </r>
  <r>
    <x v="19"/>
    <x v="96"/>
    <n v="0"/>
    <n v="51"/>
    <m/>
    <n v="0"/>
    <m/>
    <m/>
    <m/>
    <m/>
    <m/>
    <m/>
    <m/>
  </r>
  <r>
    <x v="20"/>
    <x v="96"/>
    <n v="0"/>
    <n v="276"/>
    <m/>
    <n v="3"/>
    <m/>
    <m/>
    <m/>
    <m/>
    <m/>
    <m/>
    <m/>
  </r>
  <r>
    <x v="21"/>
    <x v="96"/>
    <n v="0"/>
    <n v="22"/>
    <m/>
    <n v="0"/>
    <m/>
    <m/>
    <m/>
    <m/>
    <m/>
    <m/>
    <m/>
  </r>
  <r>
    <x v="22"/>
    <x v="96"/>
    <n v="0"/>
    <n v="149"/>
    <m/>
    <n v="0"/>
    <m/>
    <m/>
    <m/>
    <m/>
    <m/>
    <m/>
    <m/>
  </r>
  <r>
    <x v="23"/>
    <x v="96"/>
    <n v="0"/>
    <n v="49"/>
    <m/>
    <n v="3"/>
    <m/>
    <m/>
    <m/>
    <m/>
    <m/>
    <m/>
    <m/>
  </r>
  <r>
    <x v="0"/>
    <x v="97"/>
    <n v="344"/>
    <n v="9043"/>
    <n v="16"/>
    <n v="288"/>
    <m/>
    <m/>
    <m/>
    <m/>
    <m/>
    <m/>
    <m/>
  </r>
  <r>
    <x v="1"/>
    <x v="97"/>
    <n v="0"/>
    <n v="0"/>
    <m/>
    <n v="0"/>
    <m/>
    <m/>
    <m/>
    <m/>
    <m/>
    <m/>
    <m/>
  </r>
  <r>
    <x v="2"/>
    <x v="97"/>
    <n v="45"/>
    <n v="1090"/>
    <n v="1"/>
    <n v="62"/>
    <m/>
    <m/>
    <m/>
    <m/>
    <m/>
    <m/>
    <m/>
  </r>
  <r>
    <x v="3"/>
    <x v="97"/>
    <n v="1"/>
    <n v="21"/>
    <m/>
    <n v="1"/>
    <m/>
    <m/>
    <m/>
    <m/>
    <m/>
    <m/>
    <m/>
  </r>
  <r>
    <x v="4"/>
    <x v="97"/>
    <n v="420"/>
    <n v="11427"/>
    <n v="9"/>
    <n v="254"/>
    <m/>
    <m/>
    <m/>
    <m/>
    <m/>
    <m/>
    <m/>
  </r>
  <r>
    <x v="5"/>
    <x v="97"/>
    <n v="1"/>
    <n v="467"/>
    <m/>
    <n v="30"/>
    <m/>
    <m/>
    <m/>
    <m/>
    <m/>
    <m/>
    <m/>
  </r>
  <r>
    <x v="6"/>
    <x v="97"/>
    <n v="0"/>
    <n v="96"/>
    <m/>
    <n v="0"/>
    <m/>
    <m/>
    <m/>
    <m/>
    <m/>
    <m/>
    <m/>
  </r>
  <r>
    <x v="7"/>
    <x v="97"/>
    <n v="2"/>
    <n v="53"/>
    <m/>
    <n v="0"/>
    <m/>
    <m/>
    <m/>
    <m/>
    <m/>
    <m/>
    <m/>
  </r>
  <r>
    <x v="8"/>
    <x v="97"/>
    <n v="0"/>
    <n v="0"/>
    <m/>
    <n v="0"/>
    <m/>
    <m/>
    <m/>
    <m/>
    <m/>
    <m/>
    <m/>
  </r>
  <r>
    <x v="9"/>
    <x v="97"/>
    <n v="0"/>
    <n v="6"/>
    <m/>
    <n v="0"/>
    <m/>
    <m/>
    <m/>
    <m/>
    <m/>
    <m/>
    <m/>
  </r>
  <r>
    <x v="10"/>
    <x v="97"/>
    <n v="0"/>
    <n v="5"/>
    <m/>
    <n v="0"/>
    <m/>
    <m/>
    <m/>
    <m/>
    <m/>
    <m/>
    <m/>
  </r>
  <r>
    <x v="11"/>
    <x v="97"/>
    <n v="0"/>
    <n v="64"/>
    <m/>
    <n v="0"/>
    <m/>
    <m/>
    <m/>
    <m/>
    <m/>
    <m/>
    <m/>
  </r>
  <r>
    <x v="12"/>
    <x v="97"/>
    <n v="1"/>
    <n v="102"/>
    <m/>
    <n v="1"/>
    <m/>
    <m/>
    <m/>
    <m/>
    <m/>
    <m/>
    <m/>
  </r>
  <r>
    <x v="13"/>
    <x v="97"/>
    <n v="1"/>
    <n v="39"/>
    <m/>
    <n v="0"/>
    <m/>
    <m/>
    <m/>
    <m/>
    <m/>
    <m/>
    <m/>
  </r>
  <r>
    <x v="14"/>
    <x v="97"/>
    <n v="0"/>
    <n v="152"/>
    <m/>
    <n v="0"/>
    <m/>
    <m/>
    <m/>
    <m/>
    <m/>
    <m/>
    <m/>
  </r>
  <r>
    <x v="15"/>
    <x v="97"/>
    <n v="11"/>
    <n v="478"/>
    <n v="2"/>
    <n v="2"/>
    <m/>
    <m/>
    <m/>
    <m/>
    <m/>
    <m/>
    <m/>
  </r>
  <r>
    <x v="16"/>
    <x v="97"/>
    <n v="0"/>
    <n v="16"/>
    <m/>
    <n v="1"/>
    <m/>
    <m/>
    <m/>
    <m/>
    <m/>
    <m/>
    <m/>
  </r>
  <r>
    <x v="17"/>
    <x v="97"/>
    <n v="0"/>
    <n v="5"/>
    <m/>
    <n v="0"/>
    <m/>
    <m/>
    <m/>
    <m/>
    <m/>
    <m/>
    <m/>
  </r>
  <r>
    <x v="18"/>
    <x v="97"/>
    <n v="0"/>
    <n v="11"/>
    <m/>
    <n v="0"/>
    <m/>
    <m/>
    <m/>
    <m/>
    <m/>
    <m/>
    <m/>
  </r>
  <r>
    <x v="19"/>
    <x v="97"/>
    <n v="0"/>
    <n v="51"/>
    <m/>
    <n v="0"/>
    <m/>
    <m/>
    <m/>
    <m/>
    <m/>
    <m/>
    <m/>
  </r>
  <r>
    <x v="20"/>
    <x v="97"/>
    <n v="0"/>
    <n v="276"/>
    <m/>
    <n v="3"/>
    <m/>
    <m/>
    <m/>
    <m/>
    <m/>
    <m/>
    <m/>
  </r>
  <r>
    <x v="21"/>
    <x v="97"/>
    <n v="0"/>
    <n v="22"/>
    <m/>
    <n v="0"/>
    <m/>
    <m/>
    <m/>
    <m/>
    <m/>
    <m/>
    <m/>
  </r>
  <r>
    <x v="22"/>
    <x v="97"/>
    <n v="0"/>
    <n v="149"/>
    <m/>
    <n v="0"/>
    <m/>
    <m/>
    <m/>
    <m/>
    <m/>
    <m/>
    <m/>
  </r>
  <r>
    <x v="23"/>
    <x v="97"/>
    <n v="0"/>
    <n v="49"/>
    <n v="1"/>
    <n v="4"/>
    <m/>
    <m/>
    <m/>
    <m/>
    <m/>
    <m/>
    <m/>
  </r>
  <r>
    <x v="0"/>
    <x v="98"/>
    <n v="545"/>
    <n v="9588"/>
    <n v="13"/>
    <n v="301"/>
    <m/>
    <m/>
    <m/>
    <m/>
    <m/>
    <m/>
    <m/>
  </r>
  <r>
    <x v="1"/>
    <x v="98"/>
    <n v="0"/>
    <n v="0"/>
    <m/>
    <n v="0"/>
    <m/>
    <m/>
    <m/>
    <m/>
    <m/>
    <m/>
    <m/>
  </r>
  <r>
    <x v="2"/>
    <x v="98"/>
    <n v="28"/>
    <n v="1118"/>
    <n v="2"/>
    <n v="64"/>
    <m/>
    <m/>
    <m/>
    <m/>
    <m/>
    <m/>
    <m/>
  </r>
  <r>
    <x v="3"/>
    <x v="98"/>
    <n v="5"/>
    <n v="26"/>
    <m/>
    <n v="1"/>
    <m/>
    <m/>
    <m/>
    <m/>
    <m/>
    <m/>
    <m/>
  </r>
  <r>
    <x v="4"/>
    <x v="98"/>
    <n v="535"/>
    <n v="11962"/>
    <n v="8"/>
    <n v="262"/>
    <m/>
    <m/>
    <m/>
    <m/>
    <m/>
    <m/>
    <m/>
  </r>
  <r>
    <x v="5"/>
    <x v="98"/>
    <n v="2"/>
    <n v="469"/>
    <m/>
    <n v="30"/>
    <m/>
    <m/>
    <m/>
    <m/>
    <m/>
    <m/>
    <m/>
  </r>
  <r>
    <x v="6"/>
    <x v="98"/>
    <n v="1"/>
    <n v="97"/>
    <m/>
    <n v="0"/>
    <m/>
    <m/>
    <m/>
    <m/>
    <m/>
    <m/>
    <m/>
  </r>
  <r>
    <x v="7"/>
    <x v="98"/>
    <n v="2"/>
    <n v="55"/>
    <m/>
    <n v="0"/>
    <m/>
    <m/>
    <m/>
    <m/>
    <m/>
    <m/>
    <m/>
  </r>
  <r>
    <x v="8"/>
    <x v="98"/>
    <n v="0"/>
    <n v="0"/>
    <m/>
    <n v="0"/>
    <m/>
    <m/>
    <m/>
    <m/>
    <m/>
    <m/>
    <m/>
  </r>
  <r>
    <x v="9"/>
    <x v="98"/>
    <n v="2"/>
    <n v="8"/>
    <m/>
    <n v="0"/>
    <m/>
    <m/>
    <m/>
    <m/>
    <m/>
    <m/>
    <m/>
  </r>
  <r>
    <x v="10"/>
    <x v="98"/>
    <n v="0"/>
    <n v="5"/>
    <m/>
    <n v="0"/>
    <m/>
    <m/>
    <m/>
    <m/>
    <m/>
    <m/>
    <m/>
  </r>
  <r>
    <x v="11"/>
    <x v="98"/>
    <n v="0"/>
    <n v="64"/>
    <m/>
    <n v="0"/>
    <m/>
    <m/>
    <m/>
    <m/>
    <m/>
    <m/>
    <m/>
  </r>
  <r>
    <x v="12"/>
    <x v="98"/>
    <n v="1"/>
    <n v="103"/>
    <m/>
    <n v="0"/>
    <m/>
    <m/>
    <m/>
    <m/>
    <m/>
    <m/>
    <m/>
  </r>
  <r>
    <x v="13"/>
    <x v="98"/>
    <n v="-1"/>
    <n v="38"/>
    <m/>
    <n v="1"/>
    <m/>
    <m/>
    <m/>
    <m/>
    <m/>
    <m/>
    <m/>
  </r>
  <r>
    <x v="14"/>
    <x v="98"/>
    <n v="5"/>
    <n v="157"/>
    <m/>
    <n v="0"/>
    <m/>
    <m/>
    <m/>
    <m/>
    <m/>
    <m/>
    <m/>
  </r>
  <r>
    <x v="15"/>
    <x v="98"/>
    <n v="13"/>
    <n v="491"/>
    <n v="1"/>
    <n v="1"/>
    <m/>
    <m/>
    <m/>
    <m/>
    <m/>
    <m/>
    <m/>
  </r>
  <r>
    <x v="16"/>
    <x v="98"/>
    <n v="0"/>
    <n v="16"/>
    <m/>
    <n v="2"/>
    <m/>
    <m/>
    <m/>
    <m/>
    <m/>
    <m/>
    <m/>
  </r>
  <r>
    <x v="17"/>
    <x v="98"/>
    <n v="0"/>
    <n v="5"/>
    <m/>
    <n v="0"/>
    <m/>
    <m/>
    <m/>
    <m/>
    <m/>
    <m/>
    <m/>
  </r>
  <r>
    <x v="18"/>
    <x v="98"/>
    <n v="0"/>
    <n v="11"/>
    <m/>
    <n v="0"/>
    <m/>
    <m/>
    <m/>
    <m/>
    <m/>
    <m/>
    <m/>
  </r>
  <r>
    <x v="19"/>
    <x v="98"/>
    <n v="0"/>
    <n v="51"/>
    <m/>
    <n v="0"/>
    <m/>
    <m/>
    <m/>
    <m/>
    <m/>
    <m/>
    <m/>
  </r>
  <r>
    <x v="20"/>
    <x v="98"/>
    <n v="2"/>
    <n v="278"/>
    <m/>
    <n v="3"/>
    <m/>
    <m/>
    <m/>
    <m/>
    <m/>
    <m/>
    <m/>
  </r>
  <r>
    <x v="21"/>
    <x v="98"/>
    <n v="0"/>
    <n v="22"/>
    <m/>
    <n v="0"/>
    <m/>
    <m/>
    <m/>
    <m/>
    <m/>
    <m/>
    <m/>
  </r>
  <r>
    <x v="22"/>
    <x v="98"/>
    <n v="0"/>
    <n v="149"/>
    <m/>
    <n v="0"/>
    <m/>
    <m/>
    <m/>
    <m/>
    <m/>
    <m/>
    <m/>
  </r>
  <r>
    <x v="23"/>
    <x v="98"/>
    <n v="0"/>
    <n v="49"/>
    <m/>
    <n v="4"/>
    <m/>
    <m/>
    <m/>
    <m/>
    <m/>
    <m/>
    <m/>
  </r>
  <r>
    <x v="0"/>
    <x v="99"/>
    <n v="621"/>
    <n v="10209"/>
    <n v="7"/>
    <n v="308"/>
    <m/>
    <m/>
    <m/>
    <m/>
    <m/>
    <m/>
    <m/>
  </r>
  <r>
    <x v="1"/>
    <x v="99"/>
    <n v="0"/>
    <n v="0"/>
    <m/>
    <n v="0"/>
    <m/>
    <m/>
    <m/>
    <m/>
    <m/>
    <m/>
    <m/>
  </r>
  <r>
    <x v="2"/>
    <x v="99"/>
    <n v="45"/>
    <n v="1163"/>
    <m/>
    <n v="64"/>
    <m/>
    <m/>
    <m/>
    <m/>
    <m/>
    <m/>
    <m/>
  </r>
  <r>
    <x v="3"/>
    <x v="99"/>
    <n v="0"/>
    <n v="26"/>
    <m/>
    <n v="1"/>
    <m/>
    <m/>
    <m/>
    <m/>
    <m/>
    <m/>
    <m/>
  </r>
  <r>
    <x v="4"/>
    <x v="99"/>
    <n v="521"/>
    <n v="12483"/>
    <n v="11"/>
    <n v="273"/>
    <m/>
    <m/>
    <m/>
    <m/>
    <m/>
    <m/>
    <m/>
  </r>
  <r>
    <x v="5"/>
    <x v="99"/>
    <n v="5"/>
    <n v="474"/>
    <m/>
    <n v="30"/>
    <m/>
    <m/>
    <m/>
    <m/>
    <m/>
    <m/>
    <m/>
  </r>
  <r>
    <x v="6"/>
    <x v="99"/>
    <n v="0"/>
    <n v="97"/>
    <m/>
    <n v="0"/>
    <m/>
    <m/>
    <m/>
    <m/>
    <m/>
    <m/>
    <m/>
  </r>
  <r>
    <x v="7"/>
    <x v="99"/>
    <n v="4"/>
    <n v="59"/>
    <m/>
    <n v="0"/>
    <m/>
    <m/>
    <m/>
    <m/>
    <m/>
    <m/>
    <m/>
  </r>
  <r>
    <x v="8"/>
    <x v="99"/>
    <n v="0"/>
    <n v="0"/>
    <m/>
    <n v="0"/>
    <m/>
    <m/>
    <m/>
    <m/>
    <m/>
    <m/>
    <m/>
  </r>
  <r>
    <x v="9"/>
    <x v="99"/>
    <n v="0"/>
    <n v="8"/>
    <m/>
    <n v="0"/>
    <m/>
    <m/>
    <m/>
    <m/>
    <m/>
    <m/>
    <m/>
  </r>
  <r>
    <x v="10"/>
    <x v="99"/>
    <n v="0"/>
    <n v="5"/>
    <m/>
    <n v="0"/>
    <m/>
    <m/>
    <m/>
    <m/>
    <m/>
    <m/>
    <m/>
  </r>
  <r>
    <x v="11"/>
    <x v="99"/>
    <n v="0"/>
    <n v="64"/>
    <m/>
    <n v="0"/>
    <m/>
    <m/>
    <m/>
    <m/>
    <m/>
    <m/>
    <m/>
  </r>
  <r>
    <x v="12"/>
    <x v="99"/>
    <n v="0"/>
    <n v="103"/>
    <m/>
    <n v="0"/>
    <m/>
    <m/>
    <m/>
    <m/>
    <m/>
    <m/>
    <m/>
  </r>
  <r>
    <x v="13"/>
    <x v="99"/>
    <n v="0"/>
    <n v="38"/>
    <m/>
    <n v="0"/>
    <m/>
    <m/>
    <m/>
    <m/>
    <m/>
    <m/>
    <m/>
  </r>
  <r>
    <x v="14"/>
    <x v="99"/>
    <n v="10"/>
    <n v="167"/>
    <m/>
    <n v="1"/>
    <m/>
    <m/>
    <m/>
    <m/>
    <m/>
    <m/>
    <m/>
  </r>
  <r>
    <x v="15"/>
    <x v="99"/>
    <n v="12"/>
    <n v="503"/>
    <m/>
    <n v="0"/>
    <m/>
    <m/>
    <m/>
    <m/>
    <m/>
    <m/>
    <m/>
  </r>
  <r>
    <x v="16"/>
    <x v="99"/>
    <n v="3"/>
    <n v="19"/>
    <m/>
    <n v="1"/>
    <m/>
    <m/>
    <m/>
    <m/>
    <m/>
    <m/>
    <m/>
  </r>
  <r>
    <x v="17"/>
    <x v="99"/>
    <n v="1"/>
    <n v="6"/>
    <m/>
    <n v="0"/>
    <m/>
    <m/>
    <m/>
    <m/>
    <m/>
    <m/>
    <m/>
  </r>
  <r>
    <x v="18"/>
    <x v="99"/>
    <n v="0"/>
    <n v="11"/>
    <m/>
    <n v="0"/>
    <m/>
    <m/>
    <m/>
    <m/>
    <m/>
    <m/>
    <m/>
  </r>
  <r>
    <x v="19"/>
    <x v="99"/>
    <n v="0"/>
    <n v="51"/>
    <m/>
    <n v="0"/>
    <m/>
    <m/>
    <m/>
    <m/>
    <m/>
    <m/>
    <m/>
  </r>
  <r>
    <x v="20"/>
    <x v="99"/>
    <n v="4"/>
    <n v="282"/>
    <m/>
    <n v="3"/>
    <m/>
    <m/>
    <m/>
    <m/>
    <m/>
    <m/>
    <m/>
  </r>
  <r>
    <x v="21"/>
    <x v="99"/>
    <n v="0"/>
    <n v="22"/>
    <m/>
    <n v="0"/>
    <m/>
    <m/>
    <m/>
    <m/>
    <m/>
    <m/>
    <m/>
  </r>
  <r>
    <x v="22"/>
    <x v="99"/>
    <n v="0"/>
    <n v="149"/>
    <m/>
    <n v="0"/>
    <m/>
    <m/>
    <m/>
    <m/>
    <m/>
    <m/>
    <m/>
  </r>
  <r>
    <x v="23"/>
    <x v="99"/>
    <n v="0"/>
    <n v="49"/>
    <m/>
    <n v="4"/>
    <m/>
    <m/>
    <m/>
    <m/>
    <m/>
    <m/>
    <m/>
  </r>
  <r>
    <x v="0"/>
    <x v="100"/>
    <n v="756"/>
    <n v="10965"/>
    <n v="19"/>
    <n v="327"/>
    <m/>
    <m/>
    <m/>
    <m/>
    <m/>
    <m/>
    <m/>
  </r>
  <r>
    <x v="1"/>
    <x v="100"/>
    <n v="0"/>
    <n v="0"/>
    <m/>
    <n v="0"/>
    <m/>
    <m/>
    <m/>
    <m/>
    <m/>
    <m/>
    <m/>
  </r>
  <r>
    <x v="2"/>
    <x v="100"/>
    <n v="48"/>
    <n v="1211"/>
    <n v="1"/>
    <n v="65"/>
    <m/>
    <m/>
    <m/>
    <m/>
    <m/>
    <m/>
    <m/>
  </r>
  <r>
    <x v="3"/>
    <x v="100"/>
    <n v="0"/>
    <n v="26"/>
    <m/>
    <n v="1"/>
    <m/>
    <m/>
    <m/>
    <m/>
    <m/>
    <m/>
    <m/>
  </r>
  <r>
    <x v="4"/>
    <x v="100"/>
    <n v="538"/>
    <n v="13021"/>
    <n v="7"/>
    <n v="280"/>
    <m/>
    <m/>
    <m/>
    <m/>
    <m/>
    <m/>
    <m/>
  </r>
  <r>
    <x v="5"/>
    <x v="100"/>
    <n v="3"/>
    <n v="477"/>
    <m/>
    <n v="30"/>
    <m/>
    <m/>
    <m/>
    <m/>
    <m/>
    <m/>
    <m/>
  </r>
  <r>
    <x v="6"/>
    <x v="100"/>
    <n v="3"/>
    <n v="100"/>
    <m/>
    <n v="0"/>
    <m/>
    <m/>
    <m/>
    <m/>
    <m/>
    <m/>
    <m/>
  </r>
  <r>
    <x v="7"/>
    <x v="100"/>
    <n v="6"/>
    <n v="65"/>
    <m/>
    <n v="0"/>
    <m/>
    <m/>
    <m/>
    <m/>
    <m/>
    <m/>
    <m/>
  </r>
  <r>
    <x v="8"/>
    <x v="100"/>
    <n v="0"/>
    <n v="0"/>
    <m/>
    <n v="0"/>
    <m/>
    <m/>
    <m/>
    <m/>
    <m/>
    <m/>
    <m/>
  </r>
  <r>
    <x v="9"/>
    <x v="100"/>
    <n v="0"/>
    <n v="8"/>
    <m/>
    <n v="0"/>
    <m/>
    <m/>
    <m/>
    <m/>
    <m/>
    <m/>
    <m/>
  </r>
  <r>
    <x v="10"/>
    <x v="100"/>
    <n v="0"/>
    <n v="5"/>
    <m/>
    <n v="0"/>
    <m/>
    <m/>
    <m/>
    <m/>
    <m/>
    <m/>
    <m/>
  </r>
  <r>
    <x v="11"/>
    <x v="100"/>
    <n v="0"/>
    <n v="64"/>
    <m/>
    <n v="0"/>
    <m/>
    <m/>
    <m/>
    <m/>
    <m/>
    <m/>
    <m/>
  </r>
  <r>
    <x v="12"/>
    <x v="100"/>
    <n v="1"/>
    <n v="104"/>
    <m/>
    <n v="0"/>
    <m/>
    <m/>
    <m/>
    <m/>
    <m/>
    <m/>
    <m/>
  </r>
  <r>
    <x v="13"/>
    <x v="100"/>
    <n v="1"/>
    <n v="39"/>
    <n v="1"/>
    <n v="1"/>
    <m/>
    <m/>
    <m/>
    <m/>
    <m/>
    <m/>
    <m/>
  </r>
  <r>
    <x v="14"/>
    <x v="100"/>
    <n v="14"/>
    <n v="181"/>
    <m/>
    <n v="0"/>
    <m/>
    <m/>
    <m/>
    <m/>
    <m/>
    <m/>
    <m/>
  </r>
  <r>
    <x v="15"/>
    <x v="100"/>
    <n v="14"/>
    <n v="517"/>
    <n v="1"/>
    <n v="2"/>
    <m/>
    <m/>
    <m/>
    <m/>
    <m/>
    <m/>
    <m/>
  </r>
  <r>
    <x v="16"/>
    <x v="100"/>
    <n v="-2"/>
    <n v="17"/>
    <m/>
    <n v="0"/>
    <m/>
    <m/>
    <m/>
    <m/>
    <m/>
    <m/>
    <m/>
  </r>
  <r>
    <x v="17"/>
    <x v="100"/>
    <n v="0"/>
    <n v="6"/>
    <m/>
    <n v="0"/>
    <m/>
    <m/>
    <m/>
    <m/>
    <m/>
    <m/>
    <m/>
  </r>
  <r>
    <x v="18"/>
    <x v="100"/>
    <n v="0"/>
    <n v="11"/>
    <m/>
    <n v="0"/>
    <m/>
    <m/>
    <m/>
    <m/>
    <m/>
    <m/>
    <m/>
  </r>
  <r>
    <x v="19"/>
    <x v="100"/>
    <n v="0"/>
    <n v="51"/>
    <m/>
    <n v="0"/>
    <m/>
    <m/>
    <m/>
    <m/>
    <m/>
    <m/>
    <m/>
  </r>
  <r>
    <x v="20"/>
    <x v="100"/>
    <n v="2"/>
    <n v="284"/>
    <m/>
    <n v="3"/>
    <m/>
    <m/>
    <m/>
    <m/>
    <m/>
    <m/>
    <m/>
  </r>
  <r>
    <x v="21"/>
    <x v="100"/>
    <n v="0"/>
    <n v="22"/>
    <m/>
    <n v="0"/>
    <m/>
    <m/>
    <m/>
    <m/>
    <m/>
    <m/>
    <m/>
  </r>
  <r>
    <x v="22"/>
    <x v="100"/>
    <n v="0"/>
    <n v="149"/>
    <m/>
    <n v="0"/>
    <m/>
    <m/>
    <m/>
    <m/>
    <m/>
    <m/>
    <m/>
  </r>
  <r>
    <x v="23"/>
    <x v="100"/>
    <n v="0"/>
    <n v="49"/>
    <m/>
    <n v="4"/>
    <m/>
    <m/>
    <m/>
    <m/>
    <m/>
    <m/>
    <m/>
  </r>
  <r>
    <x v="0"/>
    <x v="101"/>
    <n v="745"/>
    <n v="11710"/>
    <n v="11"/>
    <n v="338"/>
    <m/>
    <m/>
    <m/>
    <m/>
    <m/>
    <m/>
    <m/>
  </r>
  <r>
    <x v="1"/>
    <x v="101"/>
    <n v="0"/>
    <n v="0"/>
    <m/>
    <n v="0"/>
    <m/>
    <m/>
    <m/>
    <m/>
    <m/>
    <m/>
    <m/>
  </r>
  <r>
    <x v="2"/>
    <x v="101"/>
    <n v="39"/>
    <n v="1250"/>
    <n v="3"/>
    <n v="68"/>
    <m/>
    <m/>
    <m/>
    <m/>
    <m/>
    <m/>
    <m/>
  </r>
  <r>
    <x v="3"/>
    <x v="101"/>
    <n v="4"/>
    <n v="30"/>
    <n v="1"/>
    <n v="2"/>
    <m/>
    <m/>
    <m/>
    <m/>
    <m/>
    <m/>
    <m/>
  </r>
  <r>
    <x v="4"/>
    <x v="101"/>
    <n v="565"/>
    <n v="13586"/>
    <n v="4"/>
    <n v="284"/>
    <m/>
    <m/>
    <m/>
    <m/>
    <m/>
    <m/>
    <m/>
  </r>
  <r>
    <x v="5"/>
    <x v="101"/>
    <n v="9"/>
    <n v="486"/>
    <n v="1"/>
    <n v="31"/>
    <m/>
    <m/>
    <m/>
    <m/>
    <m/>
    <m/>
    <m/>
  </r>
  <r>
    <x v="6"/>
    <x v="101"/>
    <n v="0"/>
    <n v="100"/>
    <m/>
    <n v="0"/>
    <m/>
    <m/>
    <m/>
    <m/>
    <m/>
    <m/>
    <m/>
  </r>
  <r>
    <x v="7"/>
    <x v="101"/>
    <n v="4"/>
    <n v="69"/>
    <m/>
    <n v="0"/>
    <m/>
    <m/>
    <m/>
    <m/>
    <m/>
    <m/>
    <m/>
  </r>
  <r>
    <x v="8"/>
    <x v="101"/>
    <n v="1"/>
    <n v="1"/>
    <m/>
    <n v="0"/>
    <m/>
    <m/>
    <m/>
    <m/>
    <m/>
    <m/>
    <m/>
  </r>
  <r>
    <x v="9"/>
    <x v="101"/>
    <n v="0"/>
    <n v="8"/>
    <m/>
    <n v="0"/>
    <m/>
    <m/>
    <m/>
    <m/>
    <m/>
    <m/>
    <m/>
  </r>
  <r>
    <x v="10"/>
    <x v="101"/>
    <n v="0"/>
    <n v="5"/>
    <m/>
    <n v="0"/>
    <m/>
    <m/>
    <m/>
    <m/>
    <m/>
    <m/>
    <m/>
  </r>
  <r>
    <x v="11"/>
    <x v="101"/>
    <n v="0"/>
    <n v="64"/>
    <m/>
    <n v="0"/>
    <m/>
    <m/>
    <m/>
    <m/>
    <m/>
    <m/>
    <m/>
  </r>
  <r>
    <x v="12"/>
    <x v="101"/>
    <n v="2"/>
    <n v="106"/>
    <m/>
    <n v="0"/>
    <m/>
    <m/>
    <m/>
    <m/>
    <m/>
    <m/>
    <m/>
  </r>
  <r>
    <x v="13"/>
    <x v="101"/>
    <n v="0"/>
    <n v="39"/>
    <m/>
    <n v="0"/>
    <m/>
    <m/>
    <m/>
    <m/>
    <m/>
    <m/>
    <m/>
  </r>
  <r>
    <x v="14"/>
    <x v="101"/>
    <n v="6"/>
    <n v="187"/>
    <m/>
    <n v="1"/>
    <m/>
    <m/>
    <m/>
    <m/>
    <m/>
    <m/>
    <m/>
  </r>
  <r>
    <x v="15"/>
    <x v="101"/>
    <n v="16"/>
    <n v="533"/>
    <m/>
    <n v="0"/>
    <m/>
    <m/>
    <m/>
    <m/>
    <m/>
    <m/>
    <m/>
  </r>
  <r>
    <x v="16"/>
    <x v="101"/>
    <n v="0"/>
    <n v="17"/>
    <m/>
    <n v="2"/>
    <m/>
    <m/>
    <m/>
    <m/>
    <m/>
    <m/>
    <m/>
  </r>
  <r>
    <x v="17"/>
    <x v="101"/>
    <n v="0"/>
    <n v="6"/>
    <m/>
    <n v="0"/>
    <m/>
    <m/>
    <m/>
    <m/>
    <m/>
    <m/>
    <m/>
  </r>
  <r>
    <x v="18"/>
    <x v="101"/>
    <n v="0"/>
    <n v="11"/>
    <m/>
    <n v="0"/>
    <m/>
    <m/>
    <m/>
    <m/>
    <m/>
    <m/>
    <m/>
  </r>
  <r>
    <x v="19"/>
    <x v="101"/>
    <n v="0"/>
    <n v="51"/>
    <m/>
    <n v="0"/>
    <m/>
    <m/>
    <m/>
    <m/>
    <m/>
    <m/>
    <m/>
  </r>
  <r>
    <x v="20"/>
    <x v="101"/>
    <n v="0"/>
    <n v="284"/>
    <m/>
    <n v="3"/>
    <m/>
    <m/>
    <m/>
    <m/>
    <m/>
    <m/>
    <m/>
  </r>
  <r>
    <x v="21"/>
    <x v="101"/>
    <n v="0"/>
    <n v="22"/>
    <m/>
    <n v="0"/>
    <m/>
    <m/>
    <m/>
    <m/>
    <m/>
    <m/>
    <m/>
  </r>
  <r>
    <x v="22"/>
    <x v="101"/>
    <n v="0"/>
    <n v="149"/>
    <m/>
    <n v="0"/>
    <m/>
    <m/>
    <m/>
    <m/>
    <m/>
    <m/>
    <m/>
  </r>
  <r>
    <x v="23"/>
    <x v="101"/>
    <n v="1"/>
    <n v="50"/>
    <m/>
    <n v="4"/>
    <m/>
    <m/>
    <m/>
    <m/>
    <m/>
    <m/>
    <m/>
  </r>
  <r>
    <x v="0"/>
    <x v="102"/>
    <n v="849"/>
    <n v="12559"/>
    <n v="19"/>
    <n v="357"/>
    <m/>
    <m/>
    <m/>
    <m/>
    <m/>
    <m/>
    <m/>
  </r>
  <r>
    <x v="1"/>
    <x v="102"/>
    <n v="0"/>
    <n v="0"/>
    <m/>
    <n v="0"/>
    <m/>
    <m/>
    <m/>
    <m/>
    <m/>
    <m/>
    <m/>
  </r>
  <r>
    <x v="2"/>
    <x v="102"/>
    <n v="49"/>
    <n v="1299"/>
    <m/>
    <n v="68"/>
    <m/>
    <m/>
    <m/>
    <m/>
    <m/>
    <m/>
    <m/>
  </r>
  <r>
    <x v="3"/>
    <x v="102"/>
    <n v="9"/>
    <n v="39"/>
    <m/>
    <n v="2"/>
    <m/>
    <m/>
    <m/>
    <m/>
    <m/>
    <m/>
    <m/>
  </r>
  <r>
    <x v="4"/>
    <x v="102"/>
    <n v="558"/>
    <n v="14144"/>
    <n v="7"/>
    <n v="291"/>
    <m/>
    <m/>
    <m/>
    <m/>
    <m/>
    <m/>
    <m/>
  </r>
  <r>
    <x v="5"/>
    <x v="102"/>
    <n v="6"/>
    <n v="492"/>
    <m/>
    <n v="31"/>
    <m/>
    <m/>
    <m/>
    <m/>
    <m/>
    <m/>
    <m/>
  </r>
  <r>
    <x v="6"/>
    <x v="102"/>
    <n v="1"/>
    <n v="101"/>
    <m/>
    <n v="0"/>
    <m/>
    <m/>
    <m/>
    <m/>
    <m/>
    <m/>
    <m/>
  </r>
  <r>
    <x v="7"/>
    <x v="102"/>
    <n v="2"/>
    <n v="71"/>
    <m/>
    <n v="0"/>
    <m/>
    <m/>
    <m/>
    <m/>
    <m/>
    <m/>
    <m/>
  </r>
  <r>
    <x v="8"/>
    <x v="102"/>
    <n v="26"/>
    <n v="27"/>
    <m/>
    <n v="0"/>
    <m/>
    <m/>
    <m/>
    <m/>
    <m/>
    <m/>
    <m/>
  </r>
  <r>
    <x v="9"/>
    <x v="102"/>
    <n v="0"/>
    <n v="8"/>
    <n v="1"/>
    <n v="1"/>
    <m/>
    <m/>
    <m/>
    <m/>
    <m/>
    <m/>
    <m/>
  </r>
  <r>
    <x v="10"/>
    <x v="102"/>
    <n v="0"/>
    <n v="5"/>
    <m/>
    <n v="0"/>
    <m/>
    <m/>
    <m/>
    <m/>
    <m/>
    <m/>
    <m/>
  </r>
  <r>
    <x v="11"/>
    <x v="102"/>
    <n v="0"/>
    <n v="64"/>
    <m/>
    <n v="0"/>
    <m/>
    <m/>
    <m/>
    <m/>
    <m/>
    <m/>
    <m/>
  </r>
  <r>
    <x v="12"/>
    <x v="102"/>
    <n v="0"/>
    <n v="106"/>
    <m/>
    <n v="0"/>
    <m/>
    <m/>
    <m/>
    <m/>
    <m/>
    <m/>
    <m/>
  </r>
  <r>
    <x v="13"/>
    <x v="102"/>
    <n v="0"/>
    <n v="39"/>
    <m/>
    <n v="0"/>
    <m/>
    <m/>
    <m/>
    <m/>
    <m/>
    <m/>
    <m/>
  </r>
  <r>
    <x v="14"/>
    <x v="102"/>
    <n v="13"/>
    <n v="200"/>
    <m/>
    <n v="0"/>
    <m/>
    <m/>
    <m/>
    <m/>
    <m/>
    <m/>
    <m/>
  </r>
  <r>
    <x v="15"/>
    <x v="102"/>
    <n v="13"/>
    <n v="546"/>
    <n v="3"/>
    <n v="4"/>
    <m/>
    <m/>
    <m/>
    <m/>
    <m/>
    <m/>
    <m/>
  </r>
  <r>
    <x v="16"/>
    <x v="102"/>
    <n v="2"/>
    <n v="19"/>
    <m/>
    <n v="0"/>
    <m/>
    <m/>
    <m/>
    <m/>
    <m/>
    <m/>
    <m/>
  </r>
  <r>
    <x v="17"/>
    <x v="102"/>
    <n v="1"/>
    <n v="7"/>
    <m/>
    <n v="0"/>
    <m/>
    <m/>
    <m/>
    <m/>
    <m/>
    <m/>
    <m/>
  </r>
  <r>
    <x v="18"/>
    <x v="102"/>
    <n v="0"/>
    <n v="11"/>
    <m/>
    <n v="0"/>
    <m/>
    <m/>
    <m/>
    <m/>
    <m/>
    <m/>
    <m/>
  </r>
  <r>
    <x v="19"/>
    <x v="102"/>
    <n v="0"/>
    <n v="51"/>
    <m/>
    <n v="0"/>
    <m/>
    <m/>
    <m/>
    <m/>
    <m/>
    <m/>
    <m/>
  </r>
  <r>
    <x v="20"/>
    <x v="102"/>
    <n v="1"/>
    <n v="285"/>
    <m/>
    <n v="3"/>
    <m/>
    <m/>
    <m/>
    <m/>
    <m/>
    <m/>
    <m/>
  </r>
  <r>
    <x v="21"/>
    <x v="102"/>
    <n v="0"/>
    <n v="22"/>
    <m/>
    <n v="0"/>
    <m/>
    <m/>
    <m/>
    <m/>
    <m/>
    <m/>
    <m/>
  </r>
  <r>
    <x v="22"/>
    <x v="102"/>
    <n v="0"/>
    <n v="149"/>
    <m/>
    <n v="0"/>
    <m/>
    <m/>
    <m/>
    <m/>
    <m/>
    <m/>
    <m/>
  </r>
  <r>
    <x v="23"/>
    <x v="102"/>
    <n v="1"/>
    <n v="51"/>
    <m/>
    <n v="4"/>
    <m/>
    <m/>
    <m/>
    <m/>
    <m/>
    <m/>
    <m/>
  </r>
  <r>
    <x v="0"/>
    <x v="103"/>
    <n v="635"/>
    <n v="13194"/>
    <n v="9"/>
    <n v="366"/>
    <m/>
    <m/>
    <m/>
    <m/>
    <m/>
    <m/>
    <m/>
  </r>
  <r>
    <x v="1"/>
    <x v="103"/>
    <n v="0"/>
    <n v="0"/>
    <m/>
    <n v="0"/>
    <m/>
    <m/>
    <m/>
    <m/>
    <m/>
    <m/>
    <m/>
  </r>
  <r>
    <x v="2"/>
    <x v="103"/>
    <n v="27"/>
    <n v="1326"/>
    <n v="3"/>
    <n v="71"/>
    <m/>
    <m/>
    <m/>
    <m/>
    <m/>
    <m/>
    <m/>
  </r>
  <r>
    <x v="3"/>
    <x v="103"/>
    <n v="2"/>
    <n v="41"/>
    <m/>
    <n v="2"/>
    <m/>
    <m/>
    <m/>
    <m/>
    <m/>
    <m/>
    <m/>
  </r>
  <r>
    <x v="4"/>
    <x v="103"/>
    <n v="558"/>
    <n v="14702"/>
    <n v="5"/>
    <n v="296"/>
    <m/>
    <m/>
    <m/>
    <m/>
    <m/>
    <m/>
    <m/>
  </r>
  <r>
    <x v="5"/>
    <x v="103"/>
    <n v="6"/>
    <n v="498"/>
    <n v="1"/>
    <n v="32"/>
    <m/>
    <m/>
    <m/>
    <m/>
    <m/>
    <m/>
    <m/>
  </r>
  <r>
    <x v="6"/>
    <x v="103"/>
    <n v="2"/>
    <n v="103"/>
    <m/>
    <n v="0"/>
    <m/>
    <m/>
    <m/>
    <m/>
    <m/>
    <m/>
    <m/>
  </r>
  <r>
    <x v="7"/>
    <x v="103"/>
    <n v="15"/>
    <n v="86"/>
    <m/>
    <n v="0"/>
    <m/>
    <m/>
    <m/>
    <m/>
    <m/>
    <m/>
    <m/>
  </r>
  <r>
    <x v="8"/>
    <x v="103"/>
    <n v="6"/>
    <n v="33"/>
    <m/>
    <n v="0"/>
    <m/>
    <m/>
    <m/>
    <m/>
    <m/>
    <m/>
    <m/>
  </r>
  <r>
    <x v="9"/>
    <x v="103"/>
    <n v="0"/>
    <n v="8"/>
    <m/>
    <n v="0"/>
    <m/>
    <m/>
    <m/>
    <m/>
    <m/>
    <m/>
    <m/>
  </r>
  <r>
    <x v="10"/>
    <x v="103"/>
    <n v="1"/>
    <n v="6"/>
    <m/>
    <n v="1"/>
    <m/>
    <m/>
    <m/>
    <m/>
    <m/>
    <m/>
    <m/>
  </r>
  <r>
    <x v="11"/>
    <x v="103"/>
    <n v="0"/>
    <n v="64"/>
    <m/>
    <n v="0"/>
    <m/>
    <m/>
    <m/>
    <m/>
    <m/>
    <m/>
    <m/>
  </r>
  <r>
    <x v="12"/>
    <x v="103"/>
    <n v="7"/>
    <n v="113"/>
    <m/>
    <n v="0"/>
    <m/>
    <m/>
    <m/>
    <m/>
    <m/>
    <m/>
    <m/>
  </r>
  <r>
    <x v="13"/>
    <x v="103"/>
    <n v="0"/>
    <n v="39"/>
    <m/>
    <n v="0"/>
    <m/>
    <m/>
    <m/>
    <m/>
    <m/>
    <m/>
    <m/>
  </r>
  <r>
    <x v="14"/>
    <x v="103"/>
    <n v="9"/>
    <n v="209"/>
    <m/>
    <n v="0"/>
    <m/>
    <m/>
    <m/>
    <m/>
    <m/>
    <m/>
    <m/>
  </r>
  <r>
    <x v="15"/>
    <x v="103"/>
    <n v="6"/>
    <n v="552"/>
    <m/>
    <n v="0"/>
    <m/>
    <m/>
    <m/>
    <m/>
    <m/>
    <m/>
    <m/>
  </r>
  <r>
    <x v="16"/>
    <x v="103"/>
    <n v="2"/>
    <n v="21"/>
    <m/>
    <n v="4"/>
    <m/>
    <m/>
    <m/>
    <m/>
    <m/>
    <m/>
    <m/>
  </r>
  <r>
    <x v="17"/>
    <x v="103"/>
    <n v="0"/>
    <n v="7"/>
    <m/>
    <n v="0"/>
    <m/>
    <m/>
    <m/>
    <m/>
    <m/>
    <m/>
    <m/>
  </r>
  <r>
    <x v="18"/>
    <x v="103"/>
    <n v="0"/>
    <n v="11"/>
    <m/>
    <n v="0"/>
    <m/>
    <m/>
    <m/>
    <m/>
    <m/>
    <m/>
    <m/>
  </r>
  <r>
    <x v="19"/>
    <x v="103"/>
    <n v="0"/>
    <n v="51"/>
    <m/>
    <n v="0"/>
    <m/>
    <m/>
    <m/>
    <m/>
    <m/>
    <m/>
    <m/>
  </r>
  <r>
    <x v="20"/>
    <x v="103"/>
    <n v="0"/>
    <n v="285"/>
    <m/>
    <n v="3"/>
    <m/>
    <m/>
    <m/>
    <m/>
    <m/>
    <m/>
    <m/>
  </r>
  <r>
    <x v="21"/>
    <x v="103"/>
    <n v="0"/>
    <n v="22"/>
    <m/>
    <n v="0"/>
    <m/>
    <m/>
    <m/>
    <m/>
    <m/>
    <m/>
    <m/>
  </r>
  <r>
    <x v="22"/>
    <x v="103"/>
    <n v="0"/>
    <n v="149"/>
    <m/>
    <n v="0"/>
    <m/>
    <m/>
    <m/>
    <m/>
    <m/>
    <m/>
    <m/>
  </r>
  <r>
    <x v="23"/>
    <x v="103"/>
    <n v="6"/>
    <n v="57"/>
    <m/>
    <n v="4"/>
    <m/>
    <m/>
    <m/>
    <m/>
    <m/>
    <m/>
    <m/>
  </r>
  <r>
    <x v="0"/>
    <x v="104"/>
    <n v="552"/>
    <n v="13746"/>
    <n v="12"/>
    <n v="378"/>
    <m/>
    <m/>
    <m/>
    <m/>
    <m/>
    <m/>
    <m/>
  </r>
  <r>
    <x v="1"/>
    <x v="104"/>
    <n v="0"/>
    <n v="0"/>
    <m/>
    <n v="0"/>
    <m/>
    <m/>
    <m/>
    <m/>
    <m/>
    <m/>
    <m/>
  </r>
  <r>
    <x v="2"/>
    <x v="104"/>
    <n v="38"/>
    <n v="1364"/>
    <m/>
    <n v="71"/>
    <m/>
    <m/>
    <m/>
    <m/>
    <m/>
    <m/>
    <m/>
  </r>
  <r>
    <x v="3"/>
    <x v="104"/>
    <n v="22"/>
    <n v="63"/>
    <m/>
    <n v="2"/>
    <m/>
    <m/>
    <m/>
    <m/>
    <m/>
    <m/>
    <m/>
  </r>
  <r>
    <x v="4"/>
    <x v="104"/>
    <n v="575"/>
    <n v="15277"/>
    <n v="7"/>
    <n v="303"/>
    <m/>
    <m/>
    <m/>
    <m/>
    <m/>
    <m/>
    <m/>
  </r>
  <r>
    <x v="5"/>
    <x v="104"/>
    <n v="2"/>
    <n v="500"/>
    <n v="1"/>
    <n v="33"/>
    <m/>
    <m/>
    <m/>
    <m/>
    <m/>
    <m/>
    <m/>
  </r>
  <r>
    <x v="6"/>
    <x v="104"/>
    <n v="1"/>
    <n v="104"/>
    <m/>
    <n v="0"/>
    <m/>
    <m/>
    <m/>
    <m/>
    <m/>
    <m/>
    <m/>
  </r>
  <r>
    <x v="7"/>
    <x v="104"/>
    <n v="2"/>
    <n v="88"/>
    <m/>
    <n v="0"/>
    <m/>
    <m/>
    <m/>
    <m/>
    <m/>
    <m/>
    <m/>
  </r>
  <r>
    <x v="8"/>
    <x v="104"/>
    <n v="0"/>
    <n v="33"/>
    <m/>
    <n v="0"/>
    <m/>
    <m/>
    <m/>
    <m/>
    <m/>
    <m/>
    <m/>
  </r>
  <r>
    <x v="9"/>
    <x v="104"/>
    <n v="0"/>
    <n v="8"/>
    <m/>
    <n v="0"/>
    <m/>
    <m/>
    <m/>
    <m/>
    <m/>
    <m/>
    <m/>
  </r>
  <r>
    <x v="10"/>
    <x v="104"/>
    <n v="0"/>
    <n v="6"/>
    <m/>
    <n v="0"/>
    <m/>
    <m/>
    <m/>
    <m/>
    <m/>
    <m/>
    <m/>
  </r>
  <r>
    <x v="11"/>
    <x v="104"/>
    <n v="0"/>
    <n v="64"/>
    <m/>
    <n v="1"/>
    <m/>
    <m/>
    <m/>
    <m/>
    <m/>
    <m/>
    <m/>
  </r>
  <r>
    <x v="12"/>
    <x v="104"/>
    <n v="0"/>
    <n v="113"/>
    <m/>
    <n v="0"/>
    <m/>
    <m/>
    <m/>
    <m/>
    <m/>
    <m/>
    <m/>
  </r>
  <r>
    <x v="13"/>
    <x v="104"/>
    <n v="1"/>
    <n v="40"/>
    <m/>
    <n v="0"/>
    <m/>
    <m/>
    <m/>
    <m/>
    <m/>
    <m/>
    <m/>
  </r>
  <r>
    <x v="14"/>
    <x v="104"/>
    <n v="3"/>
    <n v="212"/>
    <m/>
    <n v="0"/>
    <m/>
    <m/>
    <m/>
    <m/>
    <m/>
    <m/>
    <m/>
  </r>
  <r>
    <x v="15"/>
    <x v="104"/>
    <n v="12"/>
    <n v="564"/>
    <n v="1"/>
    <n v="1"/>
    <m/>
    <m/>
    <m/>
    <m/>
    <m/>
    <m/>
    <m/>
  </r>
  <r>
    <x v="16"/>
    <x v="104"/>
    <n v="0"/>
    <n v="21"/>
    <m/>
    <n v="0"/>
    <m/>
    <m/>
    <m/>
    <m/>
    <m/>
    <m/>
    <m/>
  </r>
  <r>
    <x v="17"/>
    <x v="104"/>
    <n v="0"/>
    <n v="7"/>
    <m/>
    <n v="0"/>
    <m/>
    <m/>
    <m/>
    <m/>
    <m/>
    <m/>
    <m/>
  </r>
  <r>
    <x v="18"/>
    <x v="104"/>
    <n v="0"/>
    <n v="11"/>
    <m/>
    <n v="0"/>
    <m/>
    <m/>
    <m/>
    <m/>
    <m/>
    <m/>
    <m/>
  </r>
  <r>
    <x v="19"/>
    <x v="104"/>
    <n v="0"/>
    <n v="51"/>
    <m/>
    <n v="0"/>
    <m/>
    <m/>
    <m/>
    <m/>
    <m/>
    <m/>
    <m/>
  </r>
  <r>
    <x v="20"/>
    <x v="104"/>
    <n v="0"/>
    <n v="285"/>
    <m/>
    <n v="3"/>
    <m/>
    <m/>
    <m/>
    <m/>
    <m/>
    <m/>
    <m/>
  </r>
  <r>
    <x v="21"/>
    <x v="104"/>
    <n v="0"/>
    <n v="22"/>
    <m/>
    <n v="0"/>
    <m/>
    <m/>
    <m/>
    <m/>
    <m/>
    <m/>
    <m/>
  </r>
  <r>
    <x v="22"/>
    <x v="104"/>
    <n v="0"/>
    <n v="149"/>
    <m/>
    <n v="0"/>
    <m/>
    <m/>
    <m/>
    <m/>
    <m/>
    <m/>
    <m/>
  </r>
  <r>
    <x v="23"/>
    <x v="104"/>
    <n v="0"/>
    <n v="57"/>
    <m/>
    <n v="4"/>
    <m/>
    <m/>
    <m/>
    <m/>
    <m/>
    <m/>
    <m/>
  </r>
  <r>
    <x v="0"/>
    <x v="105"/>
    <n v="798"/>
    <n v="14544"/>
    <n v="7"/>
    <n v="385"/>
    <m/>
    <m/>
    <m/>
    <m/>
    <m/>
    <m/>
    <m/>
  </r>
  <r>
    <x v="1"/>
    <x v="105"/>
    <n v="0"/>
    <n v="0"/>
    <m/>
    <n v="0"/>
    <m/>
    <m/>
    <m/>
    <m/>
    <m/>
    <m/>
    <m/>
  </r>
  <r>
    <x v="2"/>
    <x v="105"/>
    <n v="23"/>
    <n v="1387"/>
    <n v="5"/>
    <n v="76"/>
    <m/>
    <m/>
    <m/>
    <m/>
    <m/>
    <m/>
    <m/>
  </r>
  <r>
    <x v="3"/>
    <x v="105"/>
    <n v="1"/>
    <n v="64"/>
    <m/>
    <n v="2"/>
    <m/>
    <m/>
    <m/>
    <m/>
    <m/>
    <m/>
    <m/>
  </r>
  <r>
    <x v="4"/>
    <x v="105"/>
    <n v="488"/>
    <n v="15765"/>
    <n v="10"/>
    <n v="313"/>
    <m/>
    <m/>
    <m/>
    <m/>
    <m/>
    <m/>
    <m/>
  </r>
  <r>
    <x v="5"/>
    <x v="105"/>
    <n v="1"/>
    <n v="501"/>
    <m/>
    <n v="33"/>
    <m/>
    <m/>
    <m/>
    <m/>
    <m/>
    <m/>
    <m/>
  </r>
  <r>
    <x v="6"/>
    <x v="105"/>
    <n v="1"/>
    <n v="105"/>
    <m/>
    <n v="0"/>
    <m/>
    <m/>
    <m/>
    <m/>
    <m/>
    <m/>
    <m/>
  </r>
  <r>
    <x v="7"/>
    <x v="105"/>
    <n v="12"/>
    <n v="100"/>
    <m/>
    <n v="0"/>
    <m/>
    <m/>
    <m/>
    <m/>
    <m/>
    <m/>
    <m/>
  </r>
  <r>
    <x v="8"/>
    <x v="105"/>
    <n v="0"/>
    <n v="33"/>
    <m/>
    <n v="0"/>
    <m/>
    <m/>
    <m/>
    <m/>
    <m/>
    <m/>
    <m/>
  </r>
  <r>
    <x v="9"/>
    <x v="105"/>
    <n v="0"/>
    <n v="8"/>
    <m/>
    <n v="0"/>
    <m/>
    <m/>
    <m/>
    <m/>
    <m/>
    <m/>
    <m/>
  </r>
  <r>
    <x v="10"/>
    <x v="105"/>
    <n v="0"/>
    <n v="6"/>
    <m/>
    <n v="0"/>
    <m/>
    <m/>
    <m/>
    <m/>
    <m/>
    <m/>
    <m/>
  </r>
  <r>
    <x v="11"/>
    <x v="105"/>
    <n v="0"/>
    <n v="64"/>
    <m/>
    <n v="0"/>
    <m/>
    <m/>
    <m/>
    <m/>
    <m/>
    <m/>
    <m/>
  </r>
  <r>
    <x v="12"/>
    <x v="105"/>
    <n v="3"/>
    <n v="116"/>
    <m/>
    <n v="1"/>
    <m/>
    <m/>
    <m/>
    <m/>
    <m/>
    <m/>
    <m/>
  </r>
  <r>
    <x v="13"/>
    <x v="105"/>
    <n v="0"/>
    <n v="40"/>
    <m/>
    <n v="0"/>
    <m/>
    <m/>
    <m/>
    <m/>
    <m/>
    <m/>
    <m/>
  </r>
  <r>
    <x v="14"/>
    <x v="105"/>
    <n v="28"/>
    <n v="240"/>
    <n v="1"/>
    <n v="1"/>
    <m/>
    <m/>
    <m/>
    <m/>
    <m/>
    <m/>
    <m/>
  </r>
  <r>
    <x v="15"/>
    <x v="105"/>
    <n v="17"/>
    <n v="581"/>
    <m/>
    <n v="0"/>
    <m/>
    <m/>
    <m/>
    <m/>
    <m/>
    <m/>
    <m/>
  </r>
  <r>
    <x v="16"/>
    <x v="105"/>
    <n v="-1"/>
    <n v="20"/>
    <m/>
    <n v="1"/>
    <m/>
    <m/>
    <m/>
    <m/>
    <m/>
    <m/>
    <m/>
  </r>
  <r>
    <x v="17"/>
    <x v="105"/>
    <n v="0"/>
    <n v="7"/>
    <m/>
    <n v="0"/>
    <m/>
    <m/>
    <m/>
    <m/>
    <m/>
    <m/>
    <m/>
  </r>
  <r>
    <x v="18"/>
    <x v="105"/>
    <n v="0"/>
    <n v="11"/>
    <m/>
    <n v="0"/>
    <m/>
    <m/>
    <m/>
    <m/>
    <m/>
    <m/>
    <m/>
  </r>
  <r>
    <x v="19"/>
    <x v="105"/>
    <n v="0"/>
    <n v="51"/>
    <m/>
    <n v="0"/>
    <m/>
    <m/>
    <m/>
    <m/>
    <m/>
    <m/>
    <m/>
  </r>
  <r>
    <x v="20"/>
    <x v="105"/>
    <n v="3"/>
    <n v="288"/>
    <n v="1"/>
    <n v="4"/>
    <m/>
    <m/>
    <m/>
    <m/>
    <m/>
    <m/>
    <m/>
  </r>
  <r>
    <x v="21"/>
    <x v="105"/>
    <n v="0"/>
    <n v="22"/>
    <m/>
    <n v="0"/>
    <m/>
    <m/>
    <m/>
    <m/>
    <m/>
    <m/>
    <m/>
  </r>
  <r>
    <x v="22"/>
    <x v="105"/>
    <n v="0"/>
    <n v="149"/>
    <m/>
    <n v="0"/>
    <m/>
    <m/>
    <m/>
    <m/>
    <m/>
    <m/>
    <m/>
  </r>
  <r>
    <x v="23"/>
    <x v="105"/>
    <n v="0"/>
    <n v="57"/>
    <m/>
    <n v="4"/>
    <m/>
    <m/>
    <m/>
    <m/>
    <m/>
    <m/>
    <m/>
  </r>
  <r>
    <x v="0"/>
    <x v="106"/>
    <n v="799"/>
    <n v="15343"/>
    <n v="12"/>
    <n v="397"/>
    <m/>
    <m/>
    <m/>
    <m/>
    <m/>
    <m/>
    <m/>
  </r>
  <r>
    <x v="1"/>
    <x v="106"/>
    <n v="0"/>
    <n v="0"/>
    <m/>
    <n v="0"/>
    <m/>
    <m/>
    <m/>
    <m/>
    <m/>
    <m/>
    <m/>
  </r>
  <r>
    <x v="2"/>
    <x v="106"/>
    <n v="20"/>
    <n v="1407"/>
    <m/>
    <n v="76"/>
    <m/>
    <m/>
    <m/>
    <m/>
    <m/>
    <m/>
    <m/>
  </r>
  <r>
    <x v="3"/>
    <x v="106"/>
    <n v="8"/>
    <n v="72"/>
    <m/>
    <n v="2"/>
    <m/>
    <m/>
    <m/>
    <m/>
    <m/>
    <m/>
    <m/>
  </r>
  <r>
    <x v="4"/>
    <x v="106"/>
    <n v="522"/>
    <n v="16287"/>
    <n v="23"/>
    <n v="336"/>
    <m/>
    <m/>
    <m/>
    <m/>
    <m/>
    <m/>
    <m/>
  </r>
  <r>
    <x v="5"/>
    <x v="106"/>
    <n v="6"/>
    <n v="507"/>
    <m/>
    <n v="33"/>
    <m/>
    <m/>
    <m/>
    <m/>
    <m/>
    <m/>
    <m/>
  </r>
  <r>
    <x v="6"/>
    <x v="106"/>
    <n v="2"/>
    <n v="107"/>
    <m/>
    <n v="0"/>
    <m/>
    <m/>
    <m/>
    <m/>
    <m/>
    <m/>
    <m/>
  </r>
  <r>
    <x v="7"/>
    <x v="106"/>
    <n v="5"/>
    <n v="105"/>
    <m/>
    <n v="0"/>
    <m/>
    <m/>
    <m/>
    <m/>
    <m/>
    <m/>
    <m/>
  </r>
  <r>
    <x v="8"/>
    <x v="106"/>
    <n v="0"/>
    <n v="33"/>
    <m/>
    <n v="0"/>
    <m/>
    <m/>
    <m/>
    <m/>
    <m/>
    <m/>
    <m/>
  </r>
  <r>
    <x v="9"/>
    <x v="106"/>
    <n v="1"/>
    <n v="9"/>
    <m/>
    <n v="0"/>
    <m/>
    <m/>
    <m/>
    <m/>
    <m/>
    <m/>
    <m/>
  </r>
  <r>
    <x v="10"/>
    <x v="106"/>
    <n v="0"/>
    <n v="6"/>
    <m/>
    <n v="0"/>
    <m/>
    <m/>
    <m/>
    <m/>
    <m/>
    <m/>
    <m/>
  </r>
  <r>
    <x v="11"/>
    <x v="106"/>
    <n v="0"/>
    <n v="64"/>
    <m/>
    <n v="0"/>
    <m/>
    <m/>
    <m/>
    <m/>
    <m/>
    <m/>
    <m/>
  </r>
  <r>
    <x v="12"/>
    <x v="106"/>
    <n v="1"/>
    <n v="117"/>
    <m/>
    <n v="0"/>
    <m/>
    <m/>
    <m/>
    <m/>
    <m/>
    <m/>
    <m/>
  </r>
  <r>
    <x v="13"/>
    <x v="106"/>
    <n v="0"/>
    <n v="40"/>
    <m/>
    <n v="1"/>
    <m/>
    <m/>
    <m/>
    <m/>
    <m/>
    <m/>
    <m/>
  </r>
  <r>
    <x v="14"/>
    <x v="106"/>
    <n v="11"/>
    <n v="251"/>
    <m/>
    <n v="0"/>
    <m/>
    <m/>
    <m/>
    <m/>
    <m/>
    <m/>
    <m/>
  </r>
  <r>
    <x v="15"/>
    <x v="106"/>
    <n v="14"/>
    <n v="595"/>
    <m/>
    <n v="1"/>
    <m/>
    <m/>
    <m/>
    <m/>
    <m/>
    <m/>
    <m/>
  </r>
  <r>
    <x v="16"/>
    <x v="106"/>
    <n v="1"/>
    <n v="21"/>
    <m/>
    <n v="0"/>
    <m/>
    <m/>
    <m/>
    <m/>
    <m/>
    <m/>
    <m/>
  </r>
  <r>
    <x v="17"/>
    <x v="106"/>
    <n v="0"/>
    <n v="7"/>
    <m/>
    <n v="0"/>
    <m/>
    <m/>
    <m/>
    <m/>
    <m/>
    <m/>
    <m/>
  </r>
  <r>
    <x v="18"/>
    <x v="106"/>
    <n v="0"/>
    <n v="11"/>
    <m/>
    <n v="0"/>
    <m/>
    <m/>
    <m/>
    <m/>
    <m/>
    <m/>
    <m/>
  </r>
  <r>
    <x v="19"/>
    <x v="106"/>
    <n v="0"/>
    <n v="51"/>
    <m/>
    <n v="0"/>
    <m/>
    <m/>
    <m/>
    <m/>
    <m/>
    <m/>
    <m/>
  </r>
  <r>
    <x v="20"/>
    <x v="106"/>
    <n v="2"/>
    <n v="290"/>
    <m/>
    <n v="4"/>
    <m/>
    <m/>
    <m/>
    <m/>
    <m/>
    <m/>
    <m/>
  </r>
  <r>
    <x v="21"/>
    <x v="106"/>
    <n v="0"/>
    <n v="22"/>
    <m/>
    <n v="0"/>
    <m/>
    <m/>
    <m/>
    <m/>
    <m/>
    <m/>
    <m/>
  </r>
  <r>
    <x v="22"/>
    <x v="106"/>
    <n v="0"/>
    <n v="149"/>
    <m/>
    <n v="0"/>
    <m/>
    <m/>
    <m/>
    <m/>
    <m/>
    <m/>
    <m/>
  </r>
  <r>
    <x v="23"/>
    <x v="106"/>
    <n v="1"/>
    <n v="58"/>
    <m/>
    <n v="4"/>
    <m/>
    <m/>
    <m/>
    <m/>
    <m/>
    <m/>
    <m/>
  </r>
  <r>
    <x v="0"/>
    <x v="107"/>
    <n v="1106"/>
    <n v="16449"/>
    <n v="13"/>
    <n v="410"/>
    <m/>
    <m/>
    <m/>
    <m/>
    <m/>
    <m/>
    <m/>
  </r>
  <r>
    <x v="1"/>
    <x v="107"/>
    <n v="0"/>
    <n v="0"/>
    <m/>
    <n v="0"/>
    <m/>
    <m/>
    <m/>
    <m/>
    <m/>
    <m/>
    <m/>
  </r>
  <r>
    <x v="2"/>
    <x v="107"/>
    <n v="68"/>
    <n v="1475"/>
    <n v="2"/>
    <n v="78"/>
    <m/>
    <m/>
    <m/>
    <m/>
    <m/>
    <m/>
    <m/>
  </r>
  <r>
    <x v="3"/>
    <x v="107"/>
    <n v="10"/>
    <n v="82"/>
    <m/>
    <n v="2"/>
    <m/>
    <m/>
    <m/>
    <m/>
    <m/>
    <m/>
    <m/>
  </r>
  <r>
    <x v="4"/>
    <x v="107"/>
    <n v="692"/>
    <n v="16979"/>
    <n v="15"/>
    <n v="351"/>
    <m/>
    <m/>
    <m/>
    <m/>
    <m/>
    <m/>
    <m/>
  </r>
  <r>
    <x v="5"/>
    <x v="107"/>
    <n v="9"/>
    <n v="516"/>
    <m/>
    <n v="33"/>
    <m/>
    <m/>
    <m/>
    <m/>
    <m/>
    <m/>
    <m/>
  </r>
  <r>
    <x v="6"/>
    <x v="107"/>
    <n v="1"/>
    <n v="108"/>
    <m/>
    <n v="0"/>
    <m/>
    <m/>
    <m/>
    <m/>
    <m/>
    <m/>
    <m/>
  </r>
  <r>
    <x v="7"/>
    <x v="107"/>
    <n v="6"/>
    <n v="111"/>
    <m/>
    <n v="0"/>
    <m/>
    <m/>
    <m/>
    <m/>
    <m/>
    <m/>
    <m/>
  </r>
  <r>
    <x v="8"/>
    <x v="107"/>
    <n v="4"/>
    <n v="37"/>
    <m/>
    <n v="0"/>
    <m/>
    <m/>
    <m/>
    <m/>
    <m/>
    <m/>
    <m/>
  </r>
  <r>
    <x v="9"/>
    <x v="107"/>
    <n v="3"/>
    <n v="12"/>
    <m/>
    <n v="0"/>
    <m/>
    <m/>
    <m/>
    <m/>
    <m/>
    <m/>
    <m/>
  </r>
  <r>
    <x v="10"/>
    <x v="107"/>
    <n v="0"/>
    <n v="6"/>
    <m/>
    <n v="0"/>
    <m/>
    <m/>
    <m/>
    <m/>
    <m/>
    <m/>
    <m/>
  </r>
  <r>
    <x v="11"/>
    <x v="107"/>
    <n v="0"/>
    <n v="64"/>
    <m/>
    <n v="0"/>
    <m/>
    <m/>
    <m/>
    <m/>
    <m/>
    <m/>
    <m/>
  </r>
  <r>
    <x v="12"/>
    <x v="107"/>
    <n v="3"/>
    <n v="120"/>
    <m/>
    <n v="0"/>
    <m/>
    <m/>
    <m/>
    <m/>
    <m/>
    <m/>
    <m/>
  </r>
  <r>
    <x v="13"/>
    <x v="107"/>
    <n v="1"/>
    <n v="41"/>
    <m/>
    <n v="0"/>
    <m/>
    <m/>
    <m/>
    <m/>
    <m/>
    <m/>
    <m/>
  </r>
  <r>
    <x v="14"/>
    <x v="107"/>
    <n v="16"/>
    <n v="267"/>
    <n v="1"/>
    <n v="2"/>
    <m/>
    <m/>
    <m/>
    <m/>
    <m/>
    <m/>
    <m/>
  </r>
  <r>
    <x v="15"/>
    <x v="107"/>
    <n v="27"/>
    <n v="622"/>
    <n v="3"/>
    <n v="3"/>
    <m/>
    <m/>
    <m/>
    <m/>
    <m/>
    <m/>
    <m/>
  </r>
  <r>
    <x v="16"/>
    <x v="107"/>
    <n v="0"/>
    <n v="21"/>
    <m/>
    <n v="1"/>
    <m/>
    <m/>
    <m/>
    <m/>
    <m/>
    <m/>
    <m/>
  </r>
  <r>
    <x v="17"/>
    <x v="107"/>
    <n v="0"/>
    <n v="7"/>
    <m/>
    <n v="0"/>
    <m/>
    <m/>
    <m/>
    <m/>
    <m/>
    <m/>
    <m/>
  </r>
  <r>
    <x v="18"/>
    <x v="107"/>
    <n v="0"/>
    <n v="11"/>
    <m/>
    <n v="0"/>
    <m/>
    <m/>
    <m/>
    <m/>
    <m/>
    <m/>
    <m/>
  </r>
  <r>
    <x v="19"/>
    <x v="107"/>
    <n v="0"/>
    <n v="51"/>
    <m/>
    <n v="0"/>
    <m/>
    <m/>
    <m/>
    <m/>
    <m/>
    <m/>
    <m/>
  </r>
  <r>
    <x v="20"/>
    <x v="107"/>
    <n v="11"/>
    <n v="301"/>
    <m/>
    <n v="4"/>
    <m/>
    <m/>
    <m/>
    <m/>
    <m/>
    <m/>
    <m/>
  </r>
  <r>
    <x v="21"/>
    <x v="107"/>
    <n v="0"/>
    <n v="22"/>
    <m/>
    <n v="0"/>
    <m/>
    <m/>
    <m/>
    <m/>
    <m/>
    <m/>
    <m/>
  </r>
  <r>
    <x v="22"/>
    <x v="107"/>
    <n v="0"/>
    <n v="149"/>
    <m/>
    <n v="0"/>
    <m/>
    <m/>
    <m/>
    <m/>
    <m/>
    <m/>
    <m/>
  </r>
  <r>
    <x v="23"/>
    <x v="107"/>
    <n v="1"/>
    <n v="59"/>
    <m/>
    <n v="4"/>
    <m/>
    <m/>
    <m/>
    <m/>
    <m/>
    <m/>
    <m/>
  </r>
  <r>
    <x v="0"/>
    <x v="108"/>
    <n v="1119"/>
    <n v="17568"/>
    <n v="16"/>
    <n v="426"/>
    <m/>
    <m/>
    <m/>
    <m/>
    <m/>
    <m/>
    <m/>
  </r>
  <r>
    <x v="1"/>
    <x v="108"/>
    <n v="0"/>
    <n v="0"/>
    <m/>
    <n v="0"/>
    <m/>
    <m/>
    <m/>
    <m/>
    <m/>
    <m/>
    <m/>
  </r>
  <r>
    <x v="2"/>
    <x v="108"/>
    <n v="31"/>
    <n v="1506"/>
    <n v="5"/>
    <n v="83"/>
    <m/>
    <m/>
    <m/>
    <m/>
    <m/>
    <m/>
    <m/>
  </r>
  <r>
    <x v="3"/>
    <x v="108"/>
    <n v="3"/>
    <n v="85"/>
    <m/>
    <n v="2"/>
    <m/>
    <m/>
    <m/>
    <m/>
    <m/>
    <m/>
    <m/>
  </r>
  <r>
    <x v="4"/>
    <x v="108"/>
    <n v="804"/>
    <n v="17783"/>
    <n v="11"/>
    <n v="362"/>
    <m/>
    <m/>
    <m/>
    <m/>
    <m/>
    <m/>
    <m/>
  </r>
  <r>
    <x v="5"/>
    <x v="108"/>
    <n v="19"/>
    <n v="535"/>
    <m/>
    <n v="33"/>
    <m/>
    <m/>
    <m/>
    <m/>
    <m/>
    <m/>
    <m/>
  </r>
  <r>
    <x v="6"/>
    <x v="108"/>
    <n v="5"/>
    <n v="113"/>
    <m/>
    <n v="0"/>
    <m/>
    <m/>
    <m/>
    <m/>
    <m/>
    <m/>
    <m/>
  </r>
  <r>
    <x v="7"/>
    <x v="108"/>
    <n v="4"/>
    <n v="115"/>
    <m/>
    <n v="0"/>
    <m/>
    <m/>
    <m/>
    <m/>
    <m/>
    <m/>
    <m/>
  </r>
  <r>
    <x v="8"/>
    <x v="108"/>
    <n v="0"/>
    <n v="37"/>
    <m/>
    <n v="0"/>
    <m/>
    <m/>
    <m/>
    <m/>
    <m/>
    <m/>
    <m/>
  </r>
  <r>
    <x v="9"/>
    <x v="108"/>
    <n v="1"/>
    <n v="13"/>
    <m/>
    <n v="0"/>
    <m/>
    <m/>
    <m/>
    <m/>
    <m/>
    <m/>
    <m/>
  </r>
  <r>
    <x v="10"/>
    <x v="108"/>
    <n v="0"/>
    <n v="6"/>
    <m/>
    <n v="0"/>
    <m/>
    <m/>
    <m/>
    <m/>
    <m/>
    <m/>
    <m/>
  </r>
  <r>
    <x v="11"/>
    <x v="108"/>
    <n v="0"/>
    <n v="64"/>
    <m/>
    <n v="0"/>
    <m/>
    <m/>
    <m/>
    <m/>
    <m/>
    <m/>
    <m/>
  </r>
  <r>
    <x v="12"/>
    <x v="108"/>
    <n v="3"/>
    <n v="123"/>
    <m/>
    <n v="0"/>
    <m/>
    <m/>
    <m/>
    <m/>
    <m/>
    <m/>
    <m/>
  </r>
  <r>
    <x v="13"/>
    <x v="108"/>
    <n v="-1"/>
    <n v="40"/>
    <m/>
    <n v="0"/>
    <m/>
    <m/>
    <m/>
    <m/>
    <m/>
    <m/>
    <m/>
  </r>
  <r>
    <x v="14"/>
    <x v="108"/>
    <n v="27"/>
    <n v="294"/>
    <m/>
    <n v="0"/>
    <m/>
    <m/>
    <m/>
    <m/>
    <m/>
    <m/>
    <m/>
  </r>
  <r>
    <x v="15"/>
    <x v="108"/>
    <n v="34"/>
    <n v="656"/>
    <m/>
    <n v="2"/>
    <m/>
    <m/>
    <m/>
    <m/>
    <m/>
    <m/>
    <m/>
  </r>
  <r>
    <x v="16"/>
    <x v="108"/>
    <n v="0"/>
    <n v="21"/>
    <m/>
    <n v="3"/>
    <m/>
    <m/>
    <m/>
    <m/>
    <m/>
    <m/>
    <m/>
  </r>
  <r>
    <x v="17"/>
    <x v="108"/>
    <n v="0"/>
    <n v="7"/>
    <m/>
    <n v="0"/>
    <m/>
    <m/>
    <m/>
    <m/>
    <m/>
    <m/>
    <m/>
  </r>
  <r>
    <x v="18"/>
    <x v="108"/>
    <n v="0"/>
    <n v="11"/>
    <m/>
    <n v="0"/>
    <m/>
    <m/>
    <m/>
    <m/>
    <m/>
    <m/>
    <m/>
  </r>
  <r>
    <x v="19"/>
    <x v="108"/>
    <n v="0"/>
    <n v="51"/>
    <m/>
    <n v="0"/>
    <m/>
    <m/>
    <m/>
    <m/>
    <m/>
    <m/>
    <m/>
  </r>
  <r>
    <x v="20"/>
    <x v="108"/>
    <n v="11"/>
    <n v="312"/>
    <m/>
    <n v="4"/>
    <m/>
    <m/>
    <m/>
    <m/>
    <m/>
    <m/>
    <m/>
  </r>
  <r>
    <x v="21"/>
    <x v="108"/>
    <n v="0"/>
    <n v="22"/>
    <m/>
    <n v="0"/>
    <m/>
    <m/>
    <m/>
    <m/>
    <m/>
    <m/>
    <m/>
  </r>
  <r>
    <x v="22"/>
    <x v="108"/>
    <n v="0"/>
    <n v="149"/>
    <m/>
    <n v="0"/>
    <m/>
    <m/>
    <m/>
    <m/>
    <m/>
    <m/>
    <m/>
  </r>
  <r>
    <x v="23"/>
    <x v="108"/>
    <n v="0"/>
    <n v="59"/>
    <m/>
    <n v="4"/>
    <m/>
    <m/>
    <m/>
    <m/>
    <m/>
    <m/>
    <m/>
  </r>
  <r>
    <x v="0"/>
    <x v="109"/>
    <n v="1013"/>
    <n v="18581"/>
    <n v="6"/>
    <n v="432"/>
    <m/>
    <m/>
    <m/>
    <m/>
    <m/>
    <m/>
    <m/>
  </r>
  <r>
    <x v="1"/>
    <x v="109"/>
    <n v="0"/>
    <n v="0"/>
    <m/>
    <n v="0"/>
    <m/>
    <m/>
    <m/>
    <m/>
    <m/>
    <m/>
    <m/>
  </r>
  <r>
    <x v="2"/>
    <x v="109"/>
    <n v="24"/>
    <n v="1530"/>
    <m/>
    <n v="83"/>
    <m/>
    <m/>
    <m/>
    <m/>
    <m/>
    <m/>
    <m/>
  </r>
  <r>
    <x v="3"/>
    <x v="109"/>
    <n v="3"/>
    <n v="88"/>
    <m/>
    <n v="2"/>
    <m/>
    <m/>
    <m/>
    <m/>
    <m/>
    <m/>
    <m/>
  </r>
  <r>
    <x v="4"/>
    <x v="109"/>
    <n v="512"/>
    <n v="18295"/>
    <n v="7"/>
    <n v="369"/>
    <m/>
    <m/>
    <m/>
    <m/>
    <m/>
    <m/>
    <m/>
  </r>
  <r>
    <x v="5"/>
    <x v="109"/>
    <n v="20"/>
    <n v="555"/>
    <m/>
    <n v="33"/>
    <m/>
    <m/>
    <m/>
    <m/>
    <m/>
    <m/>
    <m/>
  </r>
  <r>
    <x v="6"/>
    <x v="109"/>
    <n v="2"/>
    <n v="115"/>
    <m/>
    <n v="0"/>
    <m/>
    <m/>
    <m/>
    <m/>
    <m/>
    <m/>
    <m/>
  </r>
  <r>
    <x v="7"/>
    <x v="109"/>
    <n v="19"/>
    <n v="134"/>
    <m/>
    <n v="0"/>
    <m/>
    <m/>
    <m/>
    <m/>
    <m/>
    <m/>
    <m/>
  </r>
  <r>
    <x v="8"/>
    <x v="109"/>
    <n v="2"/>
    <n v="39"/>
    <m/>
    <n v="0"/>
    <m/>
    <m/>
    <m/>
    <m/>
    <m/>
    <m/>
    <m/>
  </r>
  <r>
    <x v="9"/>
    <x v="109"/>
    <n v="0"/>
    <n v="13"/>
    <m/>
    <n v="0"/>
    <m/>
    <m/>
    <m/>
    <m/>
    <m/>
    <m/>
    <m/>
  </r>
  <r>
    <x v="10"/>
    <x v="109"/>
    <n v="0"/>
    <n v="6"/>
    <m/>
    <n v="0"/>
    <m/>
    <m/>
    <m/>
    <m/>
    <m/>
    <m/>
    <m/>
  </r>
  <r>
    <x v="11"/>
    <x v="109"/>
    <n v="0"/>
    <n v="64"/>
    <m/>
    <n v="0"/>
    <m/>
    <m/>
    <m/>
    <m/>
    <m/>
    <m/>
    <m/>
  </r>
  <r>
    <x v="12"/>
    <x v="109"/>
    <n v="0"/>
    <n v="123"/>
    <m/>
    <n v="0"/>
    <m/>
    <m/>
    <m/>
    <m/>
    <m/>
    <m/>
    <m/>
  </r>
  <r>
    <x v="13"/>
    <x v="109"/>
    <n v="5"/>
    <n v="45"/>
    <m/>
    <n v="0"/>
    <m/>
    <m/>
    <m/>
    <m/>
    <m/>
    <m/>
    <m/>
  </r>
  <r>
    <x v="14"/>
    <x v="109"/>
    <n v="0"/>
    <n v="294"/>
    <m/>
    <n v="0"/>
    <m/>
    <m/>
    <m/>
    <m/>
    <m/>
    <m/>
    <m/>
  </r>
  <r>
    <x v="15"/>
    <x v="109"/>
    <n v="19"/>
    <n v="675"/>
    <m/>
    <n v="0"/>
    <m/>
    <m/>
    <m/>
    <m/>
    <m/>
    <m/>
    <m/>
  </r>
  <r>
    <x v="16"/>
    <x v="109"/>
    <n v="0"/>
    <n v="21"/>
    <m/>
    <n v="2"/>
    <m/>
    <m/>
    <m/>
    <m/>
    <m/>
    <m/>
    <m/>
  </r>
  <r>
    <x v="17"/>
    <x v="109"/>
    <n v="0"/>
    <n v="7"/>
    <m/>
    <n v="0"/>
    <m/>
    <m/>
    <m/>
    <m/>
    <m/>
    <m/>
    <m/>
  </r>
  <r>
    <x v="18"/>
    <x v="109"/>
    <n v="0"/>
    <n v="11"/>
    <m/>
    <n v="0"/>
    <m/>
    <m/>
    <m/>
    <m/>
    <m/>
    <m/>
    <m/>
  </r>
  <r>
    <x v="19"/>
    <x v="109"/>
    <n v="0"/>
    <n v="51"/>
    <m/>
    <n v="0"/>
    <m/>
    <m/>
    <m/>
    <m/>
    <m/>
    <m/>
    <m/>
  </r>
  <r>
    <x v="20"/>
    <x v="109"/>
    <n v="6"/>
    <n v="318"/>
    <m/>
    <n v="4"/>
    <m/>
    <m/>
    <m/>
    <m/>
    <m/>
    <m/>
    <m/>
  </r>
  <r>
    <x v="21"/>
    <x v="109"/>
    <n v="0"/>
    <n v="22"/>
    <m/>
    <n v="0"/>
    <m/>
    <m/>
    <m/>
    <m/>
    <m/>
    <m/>
    <m/>
  </r>
  <r>
    <x v="22"/>
    <x v="109"/>
    <n v="0"/>
    <n v="149"/>
    <m/>
    <n v="0"/>
    <m/>
    <m/>
    <m/>
    <m/>
    <m/>
    <m/>
    <m/>
  </r>
  <r>
    <x v="23"/>
    <x v="109"/>
    <n v="0"/>
    <n v="59"/>
    <m/>
    <n v="4"/>
    <m/>
    <m/>
    <m/>
    <m/>
    <m/>
    <m/>
    <m/>
  </r>
  <r>
    <x v="0"/>
    <x v="110"/>
    <n v="746"/>
    <n v="19327"/>
    <n v="9"/>
    <n v="441"/>
    <m/>
    <m/>
    <m/>
    <m/>
    <m/>
    <m/>
    <m/>
  </r>
  <r>
    <x v="1"/>
    <x v="110"/>
    <n v="0"/>
    <n v="0"/>
    <m/>
    <n v="0"/>
    <m/>
    <m/>
    <m/>
    <m/>
    <m/>
    <m/>
    <m/>
  </r>
  <r>
    <x v="2"/>
    <x v="110"/>
    <n v="52"/>
    <n v="1582"/>
    <m/>
    <n v="83"/>
    <m/>
    <m/>
    <m/>
    <m/>
    <m/>
    <m/>
    <m/>
  </r>
  <r>
    <x v="3"/>
    <x v="110"/>
    <n v="6"/>
    <n v="94"/>
    <m/>
    <n v="2"/>
    <m/>
    <m/>
    <m/>
    <m/>
    <m/>
    <m/>
    <m/>
  </r>
  <r>
    <x v="4"/>
    <x v="110"/>
    <n v="707"/>
    <n v="19002"/>
    <n v="8"/>
    <n v="377"/>
    <m/>
    <m/>
    <m/>
    <m/>
    <m/>
    <m/>
    <m/>
  </r>
  <r>
    <x v="5"/>
    <x v="110"/>
    <n v="13"/>
    <n v="568"/>
    <m/>
    <n v="33"/>
    <m/>
    <m/>
    <m/>
    <m/>
    <m/>
    <m/>
    <m/>
  </r>
  <r>
    <x v="6"/>
    <x v="110"/>
    <n v="0"/>
    <n v="115"/>
    <m/>
    <n v="0"/>
    <m/>
    <m/>
    <m/>
    <m/>
    <m/>
    <m/>
    <m/>
  </r>
  <r>
    <x v="7"/>
    <x v="110"/>
    <n v="10"/>
    <n v="144"/>
    <m/>
    <n v="0"/>
    <m/>
    <m/>
    <m/>
    <m/>
    <m/>
    <m/>
    <m/>
  </r>
  <r>
    <x v="8"/>
    <x v="110"/>
    <n v="0"/>
    <n v="39"/>
    <m/>
    <n v="0"/>
    <m/>
    <m/>
    <m/>
    <m/>
    <m/>
    <m/>
    <m/>
  </r>
  <r>
    <x v="9"/>
    <x v="110"/>
    <n v="0"/>
    <n v="13"/>
    <m/>
    <n v="0"/>
    <m/>
    <m/>
    <m/>
    <m/>
    <m/>
    <m/>
    <m/>
  </r>
  <r>
    <x v="10"/>
    <x v="110"/>
    <n v="0"/>
    <n v="6"/>
    <m/>
    <n v="0"/>
    <m/>
    <m/>
    <m/>
    <m/>
    <m/>
    <m/>
    <m/>
  </r>
  <r>
    <x v="11"/>
    <x v="110"/>
    <n v="0"/>
    <n v="64"/>
    <m/>
    <n v="0"/>
    <m/>
    <m/>
    <m/>
    <m/>
    <m/>
    <m/>
    <m/>
  </r>
  <r>
    <x v="12"/>
    <x v="110"/>
    <n v="5"/>
    <n v="128"/>
    <m/>
    <n v="0"/>
    <m/>
    <m/>
    <m/>
    <m/>
    <m/>
    <m/>
    <m/>
  </r>
  <r>
    <x v="13"/>
    <x v="110"/>
    <n v="0"/>
    <n v="45"/>
    <m/>
    <n v="0"/>
    <m/>
    <m/>
    <m/>
    <m/>
    <m/>
    <m/>
    <m/>
  </r>
  <r>
    <x v="14"/>
    <x v="110"/>
    <n v="9"/>
    <n v="303"/>
    <m/>
    <n v="0"/>
    <m/>
    <m/>
    <m/>
    <m/>
    <m/>
    <m/>
    <m/>
  </r>
  <r>
    <x v="15"/>
    <x v="110"/>
    <n v="16"/>
    <n v="691"/>
    <n v="2"/>
    <n v="2"/>
    <m/>
    <m/>
    <m/>
    <m/>
    <m/>
    <m/>
    <m/>
  </r>
  <r>
    <x v="16"/>
    <x v="110"/>
    <n v="0"/>
    <n v="21"/>
    <m/>
    <n v="0"/>
    <m/>
    <m/>
    <m/>
    <m/>
    <m/>
    <m/>
    <m/>
  </r>
  <r>
    <x v="17"/>
    <x v="110"/>
    <n v="0"/>
    <n v="7"/>
    <m/>
    <n v="0"/>
    <m/>
    <m/>
    <m/>
    <m/>
    <m/>
    <m/>
    <m/>
  </r>
  <r>
    <x v="18"/>
    <x v="110"/>
    <n v="0"/>
    <n v="11"/>
    <m/>
    <n v="0"/>
    <m/>
    <m/>
    <m/>
    <m/>
    <m/>
    <m/>
    <m/>
  </r>
  <r>
    <x v="19"/>
    <x v="110"/>
    <n v="0"/>
    <n v="51"/>
    <m/>
    <n v="0"/>
    <m/>
    <m/>
    <m/>
    <m/>
    <m/>
    <m/>
    <m/>
  </r>
  <r>
    <x v="20"/>
    <x v="110"/>
    <n v="17"/>
    <n v="335"/>
    <m/>
    <n v="4"/>
    <m/>
    <m/>
    <m/>
    <m/>
    <m/>
    <m/>
    <m/>
  </r>
  <r>
    <x v="21"/>
    <x v="110"/>
    <n v="0"/>
    <n v="22"/>
    <m/>
    <n v="0"/>
    <m/>
    <m/>
    <m/>
    <m/>
    <m/>
    <m/>
    <m/>
  </r>
  <r>
    <x v="22"/>
    <x v="110"/>
    <n v="0"/>
    <n v="149"/>
    <m/>
    <n v="0"/>
    <m/>
    <m/>
    <m/>
    <m/>
    <m/>
    <m/>
    <m/>
  </r>
  <r>
    <x v="23"/>
    <x v="110"/>
    <n v="0"/>
    <n v="59"/>
    <m/>
    <n v="4"/>
    <m/>
    <m/>
    <m/>
    <m/>
    <m/>
    <m/>
    <m/>
  </r>
  <r>
    <x v="0"/>
    <x v="111"/>
    <n v="1037"/>
    <n v="20364"/>
    <n v="8"/>
    <n v="449"/>
    <m/>
    <m/>
    <m/>
    <m/>
    <m/>
    <m/>
    <m/>
  </r>
  <r>
    <x v="1"/>
    <x v="111"/>
    <n v="0"/>
    <n v="0"/>
    <m/>
    <n v="0"/>
    <m/>
    <m/>
    <m/>
    <m/>
    <m/>
    <m/>
    <m/>
  </r>
  <r>
    <x v="2"/>
    <x v="111"/>
    <n v="20"/>
    <n v="1602"/>
    <n v="1"/>
    <n v="84"/>
    <m/>
    <m/>
    <m/>
    <m/>
    <m/>
    <m/>
    <m/>
  </r>
  <r>
    <x v="3"/>
    <x v="111"/>
    <n v="5"/>
    <n v="99"/>
    <m/>
    <n v="2"/>
    <m/>
    <m/>
    <m/>
    <m/>
    <m/>
    <m/>
    <m/>
  </r>
  <r>
    <x v="4"/>
    <x v="111"/>
    <n v="1024"/>
    <n v="20026"/>
    <n v="18"/>
    <n v="395"/>
    <m/>
    <m/>
    <m/>
    <m/>
    <m/>
    <m/>
    <m/>
  </r>
  <r>
    <x v="5"/>
    <x v="111"/>
    <n v="11"/>
    <n v="579"/>
    <m/>
    <n v="33"/>
    <m/>
    <m/>
    <m/>
    <m/>
    <m/>
    <m/>
    <m/>
  </r>
  <r>
    <x v="6"/>
    <x v="111"/>
    <n v="0"/>
    <n v="115"/>
    <m/>
    <n v="0"/>
    <m/>
    <m/>
    <m/>
    <m/>
    <m/>
    <m/>
    <m/>
  </r>
  <r>
    <x v="7"/>
    <x v="111"/>
    <n v="16"/>
    <n v="160"/>
    <m/>
    <n v="0"/>
    <m/>
    <m/>
    <m/>
    <m/>
    <m/>
    <m/>
    <m/>
  </r>
  <r>
    <x v="8"/>
    <x v="111"/>
    <n v="0"/>
    <n v="39"/>
    <m/>
    <n v="0"/>
    <m/>
    <m/>
    <m/>
    <m/>
    <m/>
    <m/>
    <m/>
  </r>
  <r>
    <x v="9"/>
    <x v="111"/>
    <n v="2"/>
    <n v="15"/>
    <m/>
    <n v="0"/>
    <m/>
    <m/>
    <m/>
    <m/>
    <m/>
    <m/>
    <m/>
  </r>
  <r>
    <x v="10"/>
    <x v="111"/>
    <n v="0"/>
    <n v="6"/>
    <m/>
    <n v="0"/>
    <m/>
    <m/>
    <m/>
    <m/>
    <m/>
    <m/>
    <m/>
  </r>
  <r>
    <x v="11"/>
    <x v="111"/>
    <n v="0"/>
    <n v="64"/>
    <m/>
    <n v="0"/>
    <m/>
    <m/>
    <m/>
    <m/>
    <m/>
    <m/>
    <m/>
  </r>
  <r>
    <x v="12"/>
    <x v="111"/>
    <n v="3"/>
    <n v="131"/>
    <m/>
    <n v="0"/>
    <m/>
    <m/>
    <m/>
    <m/>
    <m/>
    <m/>
    <m/>
  </r>
  <r>
    <x v="13"/>
    <x v="111"/>
    <n v="0"/>
    <n v="45"/>
    <m/>
    <n v="0"/>
    <m/>
    <m/>
    <m/>
    <m/>
    <m/>
    <m/>
    <m/>
  </r>
  <r>
    <x v="14"/>
    <x v="111"/>
    <n v="11"/>
    <n v="314"/>
    <n v="1"/>
    <n v="1"/>
    <m/>
    <m/>
    <m/>
    <m/>
    <m/>
    <m/>
    <m/>
  </r>
  <r>
    <x v="15"/>
    <x v="111"/>
    <n v="8"/>
    <n v="699"/>
    <n v="4"/>
    <n v="4"/>
    <m/>
    <m/>
    <m/>
    <m/>
    <m/>
    <m/>
    <m/>
  </r>
  <r>
    <x v="16"/>
    <x v="111"/>
    <n v="1"/>
    <n v="22"/>
    <m/>
    <n v="2"/>
    <m/>
    <m/>
    <m/>
    <m/>
    <m/>
    <m/>
    <m/>
  </r>
  <r>
    <x v="17"/>
    <x v="111"/>
    <n v="1"/>
    <n v="8"/>
    <m/>
    <n v="0"/>
    <m/>
    <m/>
    <m/>
    <m/>
    <m/>
    <m/>
    <m/>
  </r>
  <r>
    <x v="18"/>
    <x v="111"/>
    <n v="0"/>
    <n v="11"/>
    <m/>
    <n v="0"/>
    <m/>
    <m/>
    <m/>
    <m/>
    <m/>
    <m/>
    <m/>
  </r>
  <r>
    <x v="19"/>
    <x v="111"/>
    <n v="0"/>
    <n v="51"/>
    <m/>
    <n v="0"/>
    <m/>
    <m/>
    <m/>
    <m/>
    <m/>
    <m/>
    <m/>
  </r>
  <r>
    <x v="20"/>
    <x v="111"/>
    <n v="5"/>
    <n v="340"/>
    <m/>
    <n v="4"/>
    <m/>
    <m/>
    <m/>
    <m/>
    <m/>
    <m/>
    <m/>
  </r>
  <r>
    <x v="21"/>
    <x v="111"/>
    <n v="0"/>
    <n v="22"/>
    <m/>
    <n v="0"/>
    <m/>
    <m/>
    <m/>
    <m/>
    <m/>
    <m/>
    <m/>
  </r>
  <r>
    <x v="22"/>
    <x v="111"/>
    <n v="0"/>
    <n v="149"/>
    <m/>
    <n v="0"/>
    <m/>
    <m/>
    <m/>
    <m/>
    <m/>
    <m/>
    <m/>
  </r>
  <r>
    <x v="23"/>
    <x v="111"/>
    <n v="1"/>
    <n v="60"/>
    <m/>
    <n v="4"/>
    <m/>
    <m/>
    <m/>
    <m/>
    <m/>
    <m/>
    <m/>
  </r>
  <r>
    <x v="0"/>
    <x v="112"/>
    <n v="1334"/>
    <n v="21698"/>
    <n v="15"/>
    <n v="464"/>
    <m/>
    <m/>
    <m/>
    <m/>
    <m/>
    <m/>
    <m/>
  </r>
  <r>
    <x v="1"/>
    <x v="112"/>
    <n v="0"/>
    <n v="0"/>
    <m/>
    <n v="0"/>
    <m/>
    <m/>
    <m/>
    <m/>
    <m/>
    <m/>
    <m/>
  </r>
  <r>
    <x v="2"/>
    <x v="112"/>
    <n v="55"/>
    <n v="1657"/>
    <n v="1"/>
    <n v="85"/>
    <m/>
    <m/>
    <m/>
    <m/>
    <m/>
    <m/>
    <m/>
  </r>
  <r>
    <x v="3"/>
    <x v="112"/>
    <n v="2"/>
    <n v="101"/>
    <m/>
    <n v="2"/>
    <m/>
    <m/>
    <m/>
    <m/>
    <m/>
    <m/>
    <m/>
  </r>
  <r>
    <x v="4"/>
    <x v="112"/>
    <n v="759"/>
    <n v="20785"/>
    <n v="17"/>
    <n v="412"/>
    <m/>
    <m/>
    <m/>
    <m/>
    <m/>
    <m/>
    <m/>
  </r>
  <r>
    <x v="5"/>
    <x v="112"/>
    <n v="23"/>
    <n v="602"/>
    <m/>
    <n v="33"/>
    <m/>
    <m/>
    <m/>
    <m/>
    <m/>
    <m/>
    <m/>
  </r>
  <r>
    <x v="6"/>
    <x v="112"/>
    <n v="0"/>
    <n v="115"/>
    <m/>
    <n v="0"/>
    <m/>
    <m/>
    <m/>
    <m/>
    <m/>
    <m/>
    <m/>
  </r>
  <r>
    <x v="7"/>
    <x v="112"/>
    <n v="17"/>
    <n v="177"/>
    <m/>
    <n v="0"/>
    <m/>
    <m/>
    <m/>
    <m/>
    <m/>
    <m/>
    <m/>
  </r>
  <r>
    <x v="8"/>
    <x v="112"/>
    <n v="6"/>
    <n v="45"/>
    <m/>
    <n v="0"/>
    <m/>
    <m/>
    <m/>
    <m/>
    <m/>
    <m/>
    <m/>
  </r>
  <r>
    <x v="9"/>
    <x v="112"/>
    <n v="2"/>
    <n v="17"/>
    <m/>
    <n v="0"/>
    <m/>
    <m/>
    <m/>
    <m/>
    <m/>
    <m/>
    <m/>
  </r>
  <r>
    <x v="10"/>
    <x v="112"/>
    <n v="0"/>
    <n v="6"/>
    <m/>
    <n v="0"/>
    <m/>
    <m/>
    <m/>
    <m/>
    <m/>
    <m/>
    <m/>
  </r>
  <r>
    <x v="11"/>
    <x v="112"/>
    <n v="1"/>
    <n v="65"/>
    <m/>
    <n v="0"/>
    <m/>
    <m/>
    <m/>
    <m/>
    <m/>
    <m/>
    <m/>
  </r>
  <r>
    <x v="12"/>
    <x v="112"/>
    <n v="8"/>
    <n v="139"/>
    <m/>
    <n v="0"/>
    <m/>
    <m/>
    <m/>
    <m/>
    <m/>
    <m/>
    <m/>
  </r>
  <r>
    <x v="13"/>
    <x v="112"/>
    <n v="0"/>
    <n v="45"/>
    <m/>
    <n v="0"/>
    <m/>
    <m/>
    <m/>
    <m/>
    <m/>
    <m/>
    <m/>
  </r>
  <r>
    <x v="14"/>
    <x v="112"/>
    <n v="29"/>
    <n v="343"/>
    <m/>
    <n v="0"/>
    <m/>
    <m/>
    <m/>
    <m/>
    <m/>
    <m/>
    <m/>
  </r>
  <r>
    <x v="15"/>
    <x v="112"/>
    <n v="19"/>
    <n v="718"/>
    <n v="1"/>
    <n v="2"/>
    <m/>
    <m/>
    <m/>
    <m/>
    <m/>
    <m/>
    <m/>
  </r>
  <r>
    <x v="16"/>
    <x v="112"/>
    <n v="0"/>
    <n v="22"/>
    <m/>
    <n v="4"/>
    <m/>
    <m/>
    <m/>
    <m/>
    <m/>
    <m/>
    <m/>
  </r>
  <r>
    <x v="17"/>
    <x v="112"/>
    <n v="0"/>
    <n v="8"/>
    <m/>
    <n v="0"/>
    <m/>
    <m/>
    <m/>
    <m/>
    <m/>
    <m/>
    <m/>
  </r>
  <r>
    <x v="18"/>
    <x v="112"/>
    <n v="0"/>
    <n v="11"/>
    <m/>
    <n v="0"/>
    <m/>
    <m/>
    <m/>
    <m/>
    <m/>
    <m/>
    <m/>
  </r>
  <r>
    <x v="19"/>
    <x v="112"/>
    <n v="0"/>
    <n v="51"/>
    <m/>
    <n v="0"/>
    <m/>
    <m/>
    <m/>
    <m/>
    <m/>
    <m/>
    <m/>
  </r>
  <r>
    <x v="20"/>
    <x v="112"/>
    <n v="29"/>
    <n v="369"/>
    <m/>
    <n v="4"/>
    <m/>
    <m/>
    <m/>
    <m/>
    <m/>
    <m/>
    <m/>
  </r>
  <r>
    <x v="21"/>
    <x v="112"/>
    <n v="0"/>
    <n v="22"/>
    <m/>
    <n v="0"/>
    <m/>
    <m/>
    <m/>
    <m/>
    <m/>
    <m/>
    <m/>
  </r>
  <r>
    <x v="22"/>
    <x v="112"/>
    <n v="0"/>
    <n v="149"/>
    <m/>
    <n v="0"/>
    <m/>
    <m/>
    <m/>
    <m/>
    <m/>
    <m/>
    <m/>
  </r>
  <r>
    <x v="23"/>
    <x v="112"/>
    <n v="0"/>
    <n v="60"/>
    <m/>
    <n v="4"/>
    <m/>
    <m/>
    <m/>
    <m/>
    <m/>
    <m/>
    <m/>
  </r>
  <r>
    <x v="0"/>
    <x v="113"/>
    <n v="1463"/>
    <n v="23161"/>
    <n v="21"/>
    <n v="485"/>
    <m/>
    <m/>
    <m/>
    <m/>
    <m/>
    <m/>
    <m/>
  </r>
  <r>
    <x v="1"/>
    <x v="113"/>
    <n v="0"/>
    <n v="0"/>
    <m/>
    <n v="0"/>
    <m/>
    <m/>
    <m/>
    <m/>
    <m/>
    <m/>
    <m/>
  </r>
  <r>
    <x v="2"/>
    <x v="113"/>
    <n v="37"/>
    <n v="1694"/>
    <n v="2"/>
    <n v="87"/>
    <m/>
    <m/>
    <m/>
    <m/>
    <m/>
    <m/>
    <m/>
  </r>
  <r>
    <x v="3"/>
    <x v="113"/>
    <n v="2"/>
    <n v="103"/>
    <m/>
    <n v="2"/>
    <m/>
    <m/>
    <m/>
    <m/>
    <m/>
    <m/>
    <m/>
  </r>
  <r>
    <x v="4"/>
    <x v="113"/>
    <n v="1012"/>
    <n v="21797"/>
    <n v="10"/>
    <n v="422"/>
    <m/>
    <m/>
    <m/>
    <m/>
    <m/>
    <m/>
    <m/>
  </r>
  <r>
    <x v="5"/>
    <x v="113"/>
    <n v="2"/>
    <n v="604"/>
    <m/>
    <n v="33"/>
    <m/>
    <m/>
    <m/>
    <m/>
    <m/>
    <m/>
    <m/>
  </r>
  <r>
    <x v="6"/>
    <x v="113"/>
    <n v="0"/>
    <n v="115"/>
    <m/>
    <n v="0"/>
    <m/>
    <m/>
    <m/>
    <m/>
    <m/>
    <m/>
    <m/>
  </r>
  <r>
    <x v="7"/>
    <x v="113"/>
    <n v="24"/>
    <n v="201"/>
    <m/>
    <n v="0"/>
    <m/>
    <m/>
    <m/>
    <m/>
    <m/>
    <m/>
    <m/>
  </r>
  <r>
    <x v="8"/>
    <x v="113"/>
    <n v="0"/>
    <n v="45"/>
    <m/>
    <n v="0"/>
    <m/>
    <m/>
    <m/>
    <m/>
    <m/>
    <m/>
    <m/>
  </r>
  <r>
    <x v="9"/>
    <x v="113"/>
    <n v="26"/>
    <n v="43"/>
    <m/>
    <n v="0"/>
    <m/>
    <m/>
    <m/>
    <m/>
    <m/>
    <m/>
    <m/>
  </r>
  <r>
    <x v="10"/>
    <x v="113"/>
    <n v="1"/>
    <n v="7"/>
    <m/>
    <n v="0"/>
    <m/>
    <m/>
    <m/>
    <m/>
    <m/>
    <m/>
    <m/>
  </r>
  <r>
    <x v="11"/>
    <x v="113"/>
    <n v="7"/>
    <n v="72"/>
    <m/>
    <n v="0"/>
    <m/>
    <m/>
    <m/>
    <m/>
    <m/>
    <m/>
    <m/>
  </r>
  <r>
    <x v="12"/>
    <x v="113"/>
    <n v="8"/>
    <n v="147"/>
    <m/>
    <n v="0"/>
    <m/>
    <m/>
    <m/>
    <m/>
    <m/>
    <m/>
    <m/>
  </r>
  <r>
    <x v="13"/>
    <x v="113"/>
    <n v="0"/>
    <n v="45"/>
    <m/>
    <n v="0"/>
    <m/>
    <m/>
    <m/>
    <m/>
    <m/>
    <m/>
    <m/>
  </r>
  <r>
    <x v="14"/>
    <x v="113"/>
    <n v="12"/>
    <n v="355"/>
    <n v="1"/>
    <n v="1"/>
    <m/>
    <m/>
    <m/>
    <m/>
    <m/>
    <m/>
    <m/>
  </r>
  <r>
    <x v="15"/>
    <x v="113"/>
    <n v="24"/>
    <n v="742"/>
    <n v="2"/>
    <n v="2"/>
    <m/>
    <m/>
    <m/>
    <m/>
    <m/>
    <m/>
    <m/>
  </r>
  <r>
    <x v="16"/>
    <x v="113"/>
    <n v="3"/>
    <n v="25"/>
    <m/>
    <n v="2"/>
    <m/>
    <m/>
    <m/>
    <m/>
    <m/>
    <m/>
    <m/>
  </r>
  <r>
    <x v="17"/>
    <x v="113"/>
    <n v="0"/>
    <n v="8"/>
    <m/>
    <n v="0"/>
    <m/>
    <m/>
    <m/>
    <m/>
    <m/>
    <m/>
    <m/>
  </r>
  <r>
    <x v="18"/>
    <x v="113"/>
    <n v="0"/>
    <n v="11"/>
    <m/>
    <n v="0"/>
    <m/>
    <m/>
    <m/>
    <m/>
    <m/>
    <m/>
    <m/>
  </r>
  <r>
    <x v="19"/>
    <x v="113"/>
    <n v="-1"/>
    <n v="50"/>
    <m/>
    <n v="0"/>
    <m/>
    <m/>
    <m/>
    <m/>
    <m/>
    <m/>
    <m/>
  </r>
  <r>
    <x v="20"/>
    <x v="113"/>
    <n v="4"/>
    <n v="373"/>
    <m/>
    <n v="4"/>
    <m/>
    <m/>
    <m/>
    <m/>
    <m/>
    <m/>
    <m/>
  </r>
  <r>
    <x v="21"/>
    <x v="113"/>
    <n v="0"/>
    <n v="22"/>
    <m/>
    <n v="0"/>
    <m/>
    <m/>
    <m/>
    <m/>
    <m/>
    <m/>
    <m/>
  </r>
  <r>
    <x v="22"/>
    <x v="113"/>
    <n v="0"/>
    <n v="149"/>
    <n v="1"/>
    <n v="1"/>
    <m/>
    <m/>
    <m/>
    <m/>
    <m/>
    <m/>
    <m/>
  </r>
  <r>
    <x v="23"/>
    <x v="113"/>
    <n v="10"/>
    <n v="70"/>
    <m/>
    <n v="4"/>
    <m/>
    <m/>
    <m/>
    <m/>
    <m/>
    <m/>
    <m/>
  </r>
  <r>
    <x v="0"/>
    <x v="114"/>
    <n v="1482"/>
    <n v="24643"/>
    <n v="15"/>
    <n v="500"/>
    <m/>
    <m/>
    <m/>
    <m/>
    <m/>
    <m/>
    <m/>
  </r>
  <r>
    <x v="1"/>
    <x v="114"/>
    <n v="0"/>
    <n v="0"/>
    <m/>
    <n v="0"/>
    <m/>
    <m/>
    <m/>
    <m/>
    <m/>
    <m/>
    <m/>
  </r>
  <r>
    <x v="2"/>
    <x v="114"/>
    <n v="61"/>
    <n v="1755"/>
    <n v="2"/>
    <n v="89"/>
    <m/>
    <m/>
    <m/>
    <m/>
    <m/>
    <m/>
    <m/>
  </r>
  <r>
    <x v="3"/>
    <x v="114"/>
    <n v="1"/>
    <n v="104"/>
    <m/>
    <n v="2"/>
    <m/>
    <m/>
    <m/>
    <m/>
    <m/>
    <m/>
    <m/>
  </r>
  <r>
    <x v="4"/>
    <x v="114"/>
    <n v="942"/>
    <n v="22739"/>
    <n v="15"/>
    <n v="437"/>
    <m/>
    <m/>
    <m/>
    <m/>
    <m/>
    <m/>
    <m/>
  </r>
  <r>
    <x v="5"/>
    <x v="114"/>
    <n v="6"/>
    <n v="610"/>
    <m/>
    <n v="33"/>
    <m/>
    <m/>
    <m/>
    <m/>
    <m/>
    <m/>
    <m/>
  </r>
  <r>
    <x v="6"/>
    <x v="114"/>
    <n v="0"/>
    <n v="115"/>
    <m/>
    <n v="0"/>
    <m/>
    <m/>
    <m/>
    <m/>
    <m/>
    <m/>
    <m/>
  </r>
  <r>
    <x v="7"/>
    <x v="114"/>
    <n v="17"/>
    <n v="218"/>
    <m/>
    <n v="0"/>
    <m/>
    <m/>
    <m/>
    <m/>
    <m/>
    <m/>
    <m/>
  </r>
  <r>
    <x v="8"/>
    <x v="114"/>
    <n v="0"/>
    <n v="45"/>
    <m/>
    <n v="0"/>
    <m/>
    <m/>
    <m/>
    <m/>
    <m/>
    <m/>
    <m/>
  </r>
  <r>
    <x v="9"/>
    <x v="114"/>
    <n v="1"/>
    <n v="44"/>
    <m/>
    <n v="0"/>
    <m/>
    <m/>
    <m/>
    <m/>
    <m/>
    <m/>
    <m/>
  </r>
  <r>
    <x v="10"/>
    <x v="114"/>
    <n v="0"/>
    <n v="7"/>
    <m/>
    <n v="0"/>
    <m/>
    <m/>
    <m/>
    <m/>
    <m/>
    <m/>
    <m/>
  </r>
  <r>
    <x v="11"/>
    <x v="114"/>
    <n v="2"/>
    <n v="74"/>
    <m/>
    <n v="0"/>
    <m/>
    <m/>
    <m/>
    <m/>
    <m/>
    <m/>
    <m/>
  </r>
  <r>
    <x v="12"/>
    <x v="114"/>
    <n v="1"/>
    <n v="148"/>
    <m/>
    <n v="0"/>
    <m/>
    <m/>
    <m/>
    <m/>
    <m/>
    <m/>
    <m/>
  </r>
  <r>
    <x v="13"/>
    <x v="114"/>
    <n v="1"/>
    <n v="46"/>
    <m/>
    <n v="0"/>
    <m/>
    <m/>
    <m/>
    <m/>
    <m/>
    <m/>
    <m/>
  </r>
  <r>
    <x v="14"/>
    <x v="114"/>
    <n v="20"/>
    <n v="375"/>
    <n v="2"/>
    <n v="2"/>
    <m/>
    <m/>
    <m/>
    <m/>
    <m/>
    <m/>
    <m/>
  </r>
  <r>
    <x v="15"/>
    <x v="114"/>
    <n v="50"/>
    <n v="792"/>
    <m/>
    <n v="1"/>
    <m/>
    <m/>
    <m/>
    <m/>
    <m/>
    <m/>
    <m/>
  </r>
  <r>
    <x v="16"/>
    <x v="114"/>
    <n v="0"/>
    <n v="25"/>
    <m/>
    <n v="2"/>
    <m/>
    <m/>
    <m/>
    <m/>
    <m/>
    <m/>
    <m/>
  </r>
  <r>
    <x v="17"/>
    <x v="114"/>
    <n v="0"/>
    <n v="8"/>
    <m/>
    <n v="0"/>
    <m/>
    <m/>
    <m/>
    <m/>
    <m/>
    <m/>
    <m/>
  </r>
  <r>
    <x v="18"/>
    <x v="114"/>
    <n v="0"/>
    <n v="11"/>
    <m/>
    <n v="0"/>
    <m/>
    <m/>
    <m/>
    <m/>
    <m/>
    <m/>
    <m/>
  </r>
  <r>
    <x v="19"/>
    <x v="114"/>
    <n v="0"/>
    <n v="50"/>
    <m/>
    <n v="0"/>
    <m/>
    <m/>
    <m/>
    <m/>
    <m/>
    <m/>
    <m/>
  </r>
  <r>
    <x v="20"/>
    <x v="114"/>
    <n v="21"/>
    <n v="394"/>
    <m/>
    <n v="4"/>
    <m/>
    <m/>
    <m/>
    <m/>
    <m/>
    <m/>
    <m/>
  </r>
  <r>
    <x v="21"/>
    <x v="114"/>
    <n v="0"/>
    <n v="22"/>
    <m/>
    <n v="0"/>
    <m/>
    <m/>
    <m/>
    <m/>
    <m/>
    <m/>
    <m/>
  </r>
  <r>
    <x v="22"/>
    <x v="114"/>
    <n v="0"/>
    <n v="149"/>
    <m/>
    <n v="1"/>
    <m/>
    <m/>
    <m/>
    <m/>
    <m/>
    <m/>
    <m/>
  </r>
  <r>
    <x v="23"/>
    <x v="114"/>
    <n v="1"/>
    <n v="71"/>
    <m/>
    <n v="4"/>
    <m/>
    <m/>
    <m/>
    <m/>
    <m/>
    <m/>
    <m/>
  </r>
  <r>
    <x v="0"/>
    <x v="115"/>
    <n v="1692"/>
    <n v="26335"/>
    <n v="21"/>
    <n v="521"/>
    <m/>
    <m/>
    <m/>
    <m/>
    <m/>
    <m/>
    <m/>
  </r>
  <r>
    <x v="1"/>
    <x v="115"/>
    <n v="0"/>
    <n v="0"/>
    <m/>
    <n v="0"/>
    <m/>
    <m/>
    <m/>
    <m/>
    <m/>
    <m/>
    <m/>
  </r>
  <r>
    <x v="2"/>
    <x v="115"/>
    <n v="76"/>
    <n v="1831"/>
    <n v="2"/>
    <n v="91"/>
    <m/>
    <m/>
    <m/>
    <m/>
    <m/>
    <m/>
    <m/>
  </r>
  <r>
    <x v="3"/>
    <x v="115"/>
    <n v="10"/>
    <n v="114"/>
    <m/>
    <n v="2"/>
    <m/>
    <m/>
    <m/>
    <m/>
    <m/>
    <m/>
    <m/>
  </r>
  <r>
    <x v="4"/>
    <x v="115"/>
    <n v="967"/>
    <n v="23706"/>
    <n v="11"/>
    <n v="448"/>
    <m/>
    <m/>
    <m/>
    <m/>
    <m/>
    <m/>
    <m/>
  </r>
  <r>
    <x v="5"/>
    <x v="115"/>
    <n v="8"/>
    <n v="618"/>
    <m/>
    <n v="33"/>
    <m/>
    <m/>
    <m/>
    <m/>
    <m/>
    <m/>
    <m/>
  </r>
  <r>
    <x v="6"/>
    <x v="115"/>
    <n v="0"/>
    <n v="115"/>
    <m/>
    <n v="0"/>
    <m/>
    <m/>
    <m/>
    <m/>
    <m/>
    <m/>
    <m/>
  </r>
  <r>
    <x v="7"/>
    <x v="115"/>
    <n v="19"/>
    <n v="237"/>
    <m/>
    <n v="0"/>
    <m/>
    <m/>
    <m/>
    <m/>
    <m/>
    <m/>
    <m/>
  </r>
  <r>
    <x v="8"/>
    <x v="115"/>
    <n v="25"/>
    <n v="70"/>
    <m/>
    <n v="0"/>
    <m/>
    <m/>
    <m/>
    <m/>
    <m/>
    <m/>
    <m/>
  </r>
  <r>
    <x v="9"/>
    <x v="115"/>
    <n v="27"/>
    <n v="71"/>
    <m/>
    <n v="0"/>
    <m/>
    <m/>
    <m/>
    <m/>
    <m/>
    <m/>
    <m/>
  </r>
  <r>
    <x v="10"/>
    <x v="115"/>
    <n v="0"/>
    <n v="7"/>
    <m/>
    <n v="0"/>
    <m/>
    <m/>
    <m/>
    <m/>
    <m/>
    <m/>
    <m/>
  </r>
  <r>
    <x v="11"/>
    <x v="115"/>
    <n v="1"/>
    <n v="75"/>
    <m/>
    <n v="0"/>
    <m/>
    <m/>
    <m/>
    <m/>
    <m/>
    <m/>
    <m/>
  </r>
  <r>
    <x v="12"/>
    <x v="115"/>
    <n v="3"/>
    <n v="151"/>
    <m/>
    <n v="0"/>
    <m/>
    <m/>
    <m/>
    <m/>
    <m/>
    <m/>
    <m/>
  </r>
  <r>
    <x v="13"/>
    <x v="115"/>
    <n v="0"/>
    <n v="46"/>
    <m/>
    <n v="0"/>
    <m/>
    <m/>
    <m/>
    <m/>
    <m/>
    <m/>
    <m/>
  </r>
  <r>
    <x v="14"/>
    <x v="115"/>
    <n v="31"/>
    <n v="406"/>
    <m/>
    <n v="0"/>
    <m/>
    <m/>
    <m/>
    <m/>
    <m/>
    <m/>
    <m/>
  </r>
  <r>
    <x v="15"/>
    <x v="115"/>
    <n v="13"/>
    <n v="805"/>
    <m/>
    <n v="2"/>
    <m/>
    <m/>
    <m/>
    <m/>
    <m/>
    <m/>
    <m/>
  </r>
  <r>
    <x v="16"/>
    <x v="115"/>
    <n v="0"/>
    <n v="25"/>
    <m/>
    <n v="1"/>
    <m/>
    <m/>
    <m/>
    <m/>
    <m/>
    <m/>
    <m/>
  </r>
  <r>
    <x v="17"/>
    <x v="115"/>
    <n v="0"/>
    <n v="8"/>
    <m/>
    <n v="0"/>
    <m/>
    <m/>
    <m/>
    <m/>
    <m/>
    <m/>
    <m/>
  </r>
  <r>
    <x v="18"/>
    <x v="115"/>
    <n v="0"/>
    <n v="11"/>
    <m/>
    <n v="0"/>
    <m/>
    <m/>
    <m/>
    <m/>
    <m/>
    <m/>
    <m/>
  </r>
  <r>
    <x v="19"/>
    <x v="115"/>
    <n v="0"/>
    <n v="50"/>
    <m/>
    <n v="0"/>
    <m/>
    <m/>
    <m/>
    <m/>
    <m/>
    <m/>
    <m/>
  </r>
  <r>
    <x v="20"/>
    <x v="115"/>
    <n v="12"/>
    <n v="406"/>
    <m/>
    <n v="4"/>
    <m/>
    <m/>
    <m/>
    <m/>
    <m/>
    <m/>
    <m/>
  </r>
  <r>
    <x v="21"/>
    <x v="115"/>
    <n v="0"/>
    <n v="22"/>
    <m/>
    <n v="0"/>
    <m/>
    <m/>
    <m/>
    <m/>
    <m/>
    <m/>
    <m/>
  </r>
  <r>
    <x v="22"/>
    <x v="115"/>
    <n v="0"/>
    <n v="149"/>
    <m/>
    <n v="1"/>
    <m/>
    <m/>
    <m/>
    <m/>
    <m/>
    <m/>
    <m/>
  </r>
  <r>
    <x v="23"/>
    <x v="115"/>
    <n v="1"/>
    <n v="72"/>
    <m/>
    <n v="4"/>
    <m/>
    <m/>
    <m/>
    <m/>
    <m/>
    <m/>
    <m/>
  </r>
  <r>
    <x v="0"/>
    <x v="116"/>
    <n v="1423"/>
    <n v="27758"/>
    <n v="13"/>
    <n v="534"/>
    <m/>
    <m/>
    <m/>
    <m/>
    <m/>
    <m/>
    <m/>
  </r>
  <r>
    <x v="1"/>
    <x v="116"/>
    <n v="0"/>
    <n v="0"/>
    <m/>
    <n v="0"/>
    <m/>
    <m/>
    <m/>
    <m/>
    <m/>
    <m/>
    <m/>
  </r>
  <r>
    <x v="2"/>
    <x v="116"/>
    <n v="52"/>
    <n v="1883"/>
    <m/>
    <n v="91"/>
    <m/>
    <m/>
    <m/>
    <m/>
    <m/>
    <m/>
    <m/>
  </r>
  <r>
    <x v="3"/>
    <x v="116"/>
    <n v="0"/>
    <n v="114"/>
    <m/>
    <n v="2"/>
    <m/>
    <m/>
    <m/>
    <m/>
    <m/>
    <m/>
    <m/>
  </r>
  <r>
    <x v="4"/>
    <x v="116"/>
    <n v="849"/>
    <n v="24555"/>
    <n v="10"/>
    <n v="458"/>
    <m/>
    <m/>
    <m/>
    <m/>
    <m/>
    <m/>
    <m/>
  </r>
  <r>
    <x v="5"/>
    <x v="116"/>
    <n v="15"/>
    <n v="633"/>
    <m/>
    <n v="33"/>
    <m/>
    <m/>
    <m/>
    <m/>
    <m/>
    <m/>
    <m/>
  </r>
  <r>
    <x v="6"/>
    <x v="116"/>
    <n v="1"/>
    <n v="116"/>
    <m/>
    <n v="0"/>
    <m/>
    <m/>
    <m/>
    <m/>
    <m/>
    <m/>
    <m/>
  </r>
  <r>
    <x v="7"/>
    <x v="116"/>
    <n v="12"/>
    <n v="249"/>
    <m/>
    <n v="0"/>
    <m/>
    <m/>
    <m/>
    <m/>
    <m/>
    <m/>
    <m/>
  </r>
  <r>
    <x v="8"/>
    <x v="116"/>
    <n v="1"/>
    <n v="71"/>
    <m/>
    <n v="0"/>
    <m/>
    <m/>
    <m/>
    <m/>
    <m/>
    <m/>
    <m/>
  </r>
  <r>
    <x v="9"/>
    <x v="116"/>
    <n v="3"/>
    <n v="74"/>
    <m/>
    <n v="0"/>
    <m/>
    <m/>
    <m/>
    <m/>
    <m/>
    <m/>
    <m/>
  </r>
  <r>
    <x v="10"/>
    <x v="116"/>
    <n v="0"/>
    <n v="7"/>
    <m/>
    <n v="0"/>
    <m/>
    <m/>
    <m/>
    <m/>
    <m/>
    <m/>
    <m/>
  </r>
  <r>
    <x v="11"/>
    <x v="116"/>
    <n v="1"/>
    <n v="76"/>
    <m/>
    <n v="0"/>
    <m/>
    <m/>
    <m/>
    <m/>
    <m/>
    <m/>
    <m/>
  </r>
  <r>
    <x v="12"/>
    <x v="116"/>
    <n v="6"/>
    <n v="157"/>
    <m/>
    <n v="0"/>
    <m/>
    <m/>
    <m/>
    <m/>
    <m/>
    <m/>
    <m/>
  </r>
  <r>
    <x v="13"/>
    <x v="116"/>
    <n v="0"/>
    <n v="46"/>
    <m/>
    <n v="0"/>
    <m/>
    <m/>
    <m/>
    <m/>
    <m/>
    <m/>
    <m/>
  </r>
  <r>
    <x v="14"/>
    <x v="116"/>
    <n v="16"/>
    <n v="422"/>
    <m/>
    <n v="0"/>
    <m/>
    <m/>
    <m/>
    <m/>
    <m/>
    <m/>
    <m/>
  </r>
  <r>
    <x v="15"/>
    <x v="116"/>
    <n v="14"/>
    <n v="819"/>
    <m/>
    <n v="0"/>
    <m/>
    <m/>
    <m/>
    <m/>
    <m/>
    <m/>
    <m/>
  </r>
  <r>
    <x v="16"/>
    <x v="116"/>
    <n v="2"/>
    <n v="27"/>
    <m/>
    <n v="2"/>
    <m/>
    <m/>
    <m/>
    <m/>
    <m/>
    <m/>
    <m/>
  </r>
  <r>
    <x v="17"/>
    <x v="116"/>
    <n v="0"/>
    <n v="8"/>
    <m/>
    <n v="0"/>
    <m/>
    <m/>
    <m/>
    <m/>
    <m/>
    <m/>
    <m/>
  </r>
  <r>
    <x v="18"/>
    <x v="116"/>
    <n v="0"/>
    <n v="11"/>
    <m/>
    <n v="0"/>
    <m/>
    <m/>
    <m/>
    <m/>
    <m/>
    <m/>
    <m/>
  </r>
  <r>
    <x v="19"/>
    <x v="116"/>
    <n v="0"/>
    <n v="50"/>
    <m/>
    <n v="0"/>
    <m/>
    <m/>
    <m/>
    <m/>
    <m/>
    <m/>
    <m/>
  </r>
  <r>
    <x v="20"/>
    <x v="116"/>
    <n v="5"/>
    <n v="411"/>
    <m/>
    <n v="4"/>
    <m/>
    <m/>
    <m/>
    <m/>
    <m/>
    <m/>
    <m/>
  </r>
  <r>
    <x v="21"/>
    <x v="116"/>
    <n v="0"/>
    <n v="22"/>
    <m/>
    <n v="0"/>
    <m/>
    <m/>
    <m/>
    <m/>
    <m/>
    <m/>
    <m/>
  </r>
  <r>
    <x v="22"/>
    <x v="116"/>
    <n v="0"/>
    <n v="149"/>
    <m/>
    <n v="1"/>
    <m/>
    <m/>
    <m/>
    <m/>
    <m/>
    <m/>
    <m/>
  </r>
  <r>
    <x v="23"/>
    <x v="116"/>
    <n v="1"/>
    <n v="73"/>
    <m/>
    <n v="4"/>
    <m/>
    <m/>
    <m/>
    <m/>
    <m/>
    <m/>
    <m/>
  </r>
  <r>
    <x v="0"/>
    <x v="117"/>
    <n v="1225"/>
    <n v="28983"/>
    <n v="11"/>
    <n v="545"/>
    <m/>
    <m/>
    <m/>
    <m/>
    <m/>
    <m/>
    <m/>
  </r>
  <r>
    <x v="1"/>
    <x v="117"/>
    <n v="0"/>
    <n v="0"/>
    <m/>
    <n v="0"/>
    <m/>
    <m/>
    <m/>
    <m/>
    <m/>
    <m/>
    <m/>
  </r>
  <r>
    <x v="2"/>
    <x v="117"/>
    <n v="47"/>
    <n v="1930"/>
    <m/>
    <n v="91"/>
    <m/>
    <m/>
    <m/>
    <m/>
    <m/>
    <m/>
    <m/>
  </r>
  <r>
    <x v="3"/>
    <x v="117"/>
    <n v="5"/>
    <n v="119"/>
    <m/>
    <n v="2"/>
    <m/>
    <m/>
    <m/>
    <m/>
    <m/>
    <m/>
    <m/>
  </r>
  <r>
    <x v="4"/>
    <x v="117"/>
    <n v="852"/>
    <n v="25407"/>
    <n v="12"/>
    <n v="470"/>
    <m/>
    <m/>
    <m/>
    <m/>
    <m/>
    <m/>
    <m/>
  </r>
  <r>
    <x v="5"/>
    <x v="117"/>
    <n v="5"/>
    <n v="638"/>
    <m/>
    <n v="33"/>
    <m/>
    <m/>
    <m/>
    <m/>
    <m/>
    <m/>
    <m/>
  </r>
  <r>
    <x v="6"/>
    <x v="117"/>
    <n v="0"/>
    <n v="116"/>
    <m/>
    <n v="0"/>
    <m/>
    <m/>
    <m/>
    <m/>
    <m/>
    <m/>
    <m/>
  </r>
  <r>
    <x v="7"/>
    <x v="117"/>
    <n v="24"/>
    <n v="273"/>
    <m/>
    <n v="0"/>
    <m/>
    <m/>
    <m/>
    <m/>
    <m/>
    <m/>
    <m/>
  </r>
  <r>
    <x v="8"/>
    <x v="117"/>
    <n v="0"/>
    <n v="71"/>
    <m/>
    <n v="0"/>
    <m/>
    <m/>
    <m/>
    <m/>
    <m/>
    <m/>
    <m/>
  </r>
  <r>
    <x v="9"/>
    <x v="117"/>
    <n v="0"/>
    <n v="74"/>
    <m/>
    <n v="0"/>
    <m/>
    <m/>
    <m/>
    <m/>
    <m/>
    <m/>
    <m/>
  </r>
  <r>
    <x v="10"/>
    <x v="117"/>
    <n v="0"/>
    <n v="7"/>
    <m/>
    <n v="0"/>
    <m/>
    <m/>
    <m/>
    <m/>
    <m/>
    <m/>
    <m/>
  </r>
  <r>
    <x v="11"/>
    <x v="117"/>
    <n v="0"/>
    <n v="76"/>
    <m/>
    <n v="0"/>
    <m/>
    <m/>
    <m/>
    <m/>
    <m/>
    <m/>
    <m/>
  </r>
  <r>
    <x v="12"/>
    <x v="117"/>
    <n v="6"/>
    <n v="163"/>
    <n v="1"/>
    <n v="1"/>
    <m/>
    <m/>
    <m/>
    <m/>
    <m/>
    <m/>
    <m/>
  </r>
  <r>
    <x v="13"/>
    <x v="117"/>
    <n v="0"/>
    <n v="46"/>
    <m/>
    <n v="0"/>
    <m/>
    <m/>
    <m/>
    <m/>
    <m/>
    <m/>
    <m/>
  </r>
  <r>
    <x v="14"/>
    <x v="117"/>
    <n v="12"/>
    <n v="434"/>
    <n v="1"/>
    <n v="1"/>
    <m/>
    <m/>
    <m/>
    <m/>
    <m/>
    <m/>
    <m/>
  </r>
  <r>
    <x v="15"/>
    <x v="117"/>
    <n v="6"/>
    <n v="825"/>
    <n v="1"/>
    <n v="1"/>
    <m/>
    <m/>
    <m/>
    <m/>
    <m/>
    <m/>
    <m/>
  </r>
  <r>
    <x v="16"/>
    <x v="117"/>
    <n v="0"/>
    <n v="27"/>
    <m/>
    <n v="0"/>
    <m/>
    <m/>
    <m/>
    <m/>
    <m/>
    <m/>
    <m/>
  </r>
  <r>
    <x v="17"/>
    <x v="117"/>
    <n v="0"/>
    <n v="8"/>
    <m/>
    <n v="0"/>
    <m/>
    <m/>
    <m/>
    <m/>
    <m/>
    <m/>
    <m/>
  </r>
  <r>
    <x v="18"/>
    <x v="117"/>
    <n v="0"/>
    <n v="11"/>
    <m/>
    <n v="0"/>
    <m/>
    <m/>
    <m/>
    <m/>
    <m/>
    <m/>
    <m/>
  </r>
  <r>
    <x v="19"/>
    <x v="117"/>
    <n v="0"/>
    <n v="50"/>
    <m/>
    <n v="0"/>
    <m/>
    <m/>
    <m/>
    <m/>
    <m/>
    <m/>
    <m/>
  </r>
  <r>
    <x v="20"/>
    <x v="117"/>
    <n v="6"/>
    <n v="417"/>
    <m/>
    <n v="4"/>
    <m/>
    <m/>
    <m/>
    <m/>
    <m/>
    <m/>
    <m/>
  </r>
  <r>
    <x v="21"/>
    <x v="117"/>
    <n v="1"/>
    <n v="23"/>
    <m/>
    <n v="0"/>
    <m/>
    <m/>
    <m/>
    <m/>
    <m/>
    <m/>
    <m/>
  </r>
  <r>
    <x v="22"/>
    <x v="117"/>
    <n v="0"/>
    <n v="149"/>
    <m/>
    <n v="1"/>
    <m/>
    <m/>
    <m/>
    <m/>
    <m/>
    <m/>
    <m/>
  </r>
  <r>
    <x v="23"/>
    <x v="117"/>
    <n v="0"/>
    <n v="73"/>
    <m/>
    <n v="4"/>
    <m/>
    <m/>
    <m/>
    <m/>
    <m/>
    <m/>
    <m/>
  </r>
  <r>
    <x v="0"/>
    <x v="118"/>
    <n v="1280"/>
    <n v="30263"/>
    <n v="21"/>
    <n v="566"/>
    <m/>
    <m/>
    <m/>
    <m/>
    <m/>
    <m/>
    <m/>
  </r>
  <r>
    <x v="1"/>
    <x v="118"/>
    <n v="0"/>
    <n v="0"/>
    <m/>
    <n v="0"/>
    <m/>
    <m/>
    <m/>
    <m/>
    <m/>
    <m/>
    <m/>
  </r>
  <r>
    <x v="2"/>
    <x v="118"/>
    <n v="31"/>
    <n v="1961"/>
    <n v="2"/>
    <n v="93"/>
    <m/>
    <m/>
    <m/>
    <m/>
    <m/>
    <m/>
    <m/>
  </r>
  <r>
    <x v="3"/>
    <x v="118"/>
    <n v="1"/>
    <n v="120"/>
    <m/>
    <n v="2"/>
    <m/>
    <m/>
    <m/>
    <m/>
    <m/>
    <m/>
    <m/>
  </r>
  <r>
    <x v="4"/>
    <x v="118"/>
    <n v="944"/>
    <n v="26351"/>
    <n v="23"/>
    <n v="493"/>
    <m/>
    <m/>
    <m/>
    <m/>
    <m/>
    <m/>
    <m/>
  </r>
  <r>
    <x v="5"/>
    <x v="118"/>
    <n v="2"/>
    <n v="640"/>
    <n v="1"/>
    <n v="34"/>
    <m/>
    <m/>
    <m/>
    <m/>
    <m/>
    <m/>
    <m/>
  </r>
  <r>
    <x v="6"/>
    <x v="118"/>
    <n v="2"/>
    <n v="118"/>
    <m/>
    <n v="0"/>
    <m/>
    <m/>
    <m/>
    <m/>
    <m/>
    <m/>
    <m/>
  </r>
  <r>
    <x v="7"/>
    <x v="118"/>
    <n v="5"/>
    <n v="278"/>
    <m/>
    <n v="0"/>
    <m/>
    <m/>
    <m/>
    <m/>
    <m/>
    <m/>
    <m/>
  </r>
  <r>
    <x v="8"/>
    <x v="118"/>
    <n v="0"/>
    <n v="71"/>
    <m/>
    <n v="0"/>
    <m/>
    <m/>
    <m/>
    <m/>
    <m/>
    <m/>
    <m/>
  </r>
  <r>
    <x v="9"/>
    <x v="118"/>
    <n v="16"/>
    <n v="90"/>
    <m/>
    <n v="0"/>
    <m/>
    <m/>
    <m/>
    <m/>
    <m/>
    <m/>
    <m/>
  </r>
  <r>
    <x v="10"/>
    <x v="118"/>
    <n v="0"/>
    <n v="7"/>
    <m/>
    <n v="0"/>
    <m/>
    <m/>
    <m/>
    <m/>
    <m/>
    <m/>
    <m/>
  </r>
  <r>
    <x v="11"/>
    <x v="118"/>
    <n v="4"/>
    <n v="80"/>
    <m/>
    <n v="0"/>
    <m/>
    <m/>
    <m/>
    <m/>
    <m/>
    <m/>
    <m/>
  </r>
  <r>
    <x v="12"/>
    <x v="118"/>
    <n v="1"/>
    <n v="164"/>
    <m/>
    <n v="0"/>
    <m/>
    <m/>
    <m/>
    <m/>
    <m/>
    <m/>
    <m/>
  </r>
  <r>
    <x v="13"/>
    <x v="118"/>
    <n v="1"/>
    <n v="47"/>
    <m/>
    <n v="1"/>
    <m/>
    <m/>
    <m/>
    <m/>
    <m/>
    <m/>
    <m/>
  </r>
  <r>
    <x v="14"/>
    <x v="118"/>
    <n v="18"/>
    <n v="452"/>
    <n v="1"/>
    <n v="1"/>
    <m/>
    <m/>
    <m/>
    <m/>
    <m/>
    <m/>
    <m/>
  </r>
  <r>
    <x v="15"/>
    <x v="118"/>
    <n v="24"/>
    <n v="849"/>
    <m/>
    <n v="1"/>
    <m/>
    <m/>
    <m/>
    <m/>
    <m/>
    <m/>
    <m/>
  </r>
  <r>
    <x v="16"/>
    <x v="118"/>
    <n v="3"/>
    <n v="30"/>
    <m/>
    <n v="1"/>
    <m/>
    <m/>
    <m/>
    <m/>
    <m/>
    <m/>
    <m/>
  </r>
  <r>
    <x v="17"/>
    <x v="118"/>
    <n v="0"/>
    <n v="8"/>
    <m/>
    <n v="0"/>
    <m/>
    <m/>
    <m/>
    <m/>
    <m/>
    <m/>
    <m/>
  </r>
  <r>
    <x v="18"/>
    <x v="118"/>
    <n v="0"/>
    <n v="11"/>
    <m/>
    <n v="0"/>
    <m/>
    <m/>
    <m/>
    <m/>
    <m/>
    <m/>
    <m/>
  </r>
  <r>
    <x v="19"/>
    <x v="118"/>
    <n v="0"/>
    <n v="50"/>
    <m/>
    <n v="0"/>
    <m/>
    <m/>
    <m/>
    <m/>
    <m/>
    <m/>
    <m/>
  </r>
  <r>
    <x v="20"/>
    <x v="118"/>
    <n v="3"/>
    <n v="420"/>
    <m/>
    <n v="4"/>
    <m/>
    <m/>
    <m/>
    <m/>
    <m/>
    <m/>
    <m/>
  </r>
  <r>
    <x v="21"/>
    <x v="118"/>
    <n v="1"/>
    <n v="24"/>
    <m/>
    <n v="0"/>
    <m/>
    <m/>
    <m/>
    <m/>
    <m/>
    <m/>
    <m/>
  </r>
  <r>
    <x v="22"/>
    <x v="118"/>
    <n v="0"/>
    <n v="149"/>
    <m/>
    <n v="1"/>
    <m/>
    <m/>
    <m/>
    <m/>
    <m/>
    <m/>
    <m/>
  </r>
  <r>
    <x v="23"/>
    <x v="118"/>
    <n v="0"/>
    <n v="73"/>
    <m/>
    <n v="4"/>
    <m/>
    <m/>
    <m/>
    <m/>
    <m/>
    <m/>
    <m/>
  </r>
  <r>
    <x v="0"/>
    <x v="119"/>
    <n v="1374"/>
    <n v="31637"/>
    <n v="13"/>
    <n v="579"/>
    <m/>
    <m/>
    <m/>
    <m/>
    <m/>
    <m/>
    <m/>
  </r>
  <r>
    <x v="1"/>
    <x v="119"/>
    <n v="0"/>
    <n v="0"/>
    <m/>
    <n v="0"/>
    <m/>
    <m/>
    <m/>
    <m/>
    <m/>
    <m/>
    <m/>
  </r>
  <r>
    <x v="2"/>
    <x v="119"/>
    <n v="70"/>
    <n v="2031"/>
    <n v="2"/>
    <n v="95"/>
    <m/>
    <m/>
    <m/>
    <m/>
    <m/>
    <m/>
    <m/>
  </r>
  <r>
    <x v="3"/>
    <x v="119"/>
    <n v="8"/>
    <n v="128"/>
    <m/>
    <n v="2"/>
    <m/>
    <m/>
    <m/>
    <m/>
    <m/>
    <m/>
    <m/>
  </r>
  <r>
    <x v="4"/>
    <x v="119"/>
    <n v="744"/>
    <n v="27095"/>
    <n v="12"/>
    <n v="505"/>
    <m/>
    <m/>
    <m/>
    <m/>
    <m/>
    <m/>
    <m/>
  </r>
  <r>
    <x v="5"/>
    <x v="119"/>
    <n v="11"/>
    <n v="651"/>
    <m/>
    <n v="34"/>
    <m/>
    <m/>
    <m/>
    <m/>
    <m/>
    <m/>
    <m/>
  </r>
  <r>
    <x v="6"/>
    <x v="119"/>
    <n v="0"/>
    <n v="118"/>
    <m/>
    <n v="0"/>
    <m/>
    <m/>
    <m/>
    <m/>
    <m/>
    <m/>
    <m/>
  </r>
  <r>
    <x v="7"/>
    <x v="119"/>
    <n v="6"/>
    <n v="284"/>
    <m/>
    <n v="0"/>
    <m/>
    <m/>
    <m/>
    <m/>
    <m/>
    <m/>
    <m/>
  </r>
  <r>
    <x v="8"/>
    <x v="119"/>
    <n v="0"/>
    <n v="71"/>
    <m/>
    <n v="0"/>
    <m/>
    <m/>
    <m/>
    <m/>
    <m/>
    <m/>
    <m/>
  </r>
  <r>
    <x v="9"/>
    <x v="119"/>
    <n v="6"/>
    <n v="96"/>
    <m/>
    <n v="0"/>
    <m/>
    <m/>
    <m/>
    <m/>
    <m/>
    <m/>
    <m/>
  </r>
  <r>
    <x v="10"/>
    <x v="119"/>
    <n v="0"/>
    <n v="7"/>
    <m/>
    <n v="0"/>
    <m/>
    <m/>
    <m/>
    <m/>
    <m/>
    <m/>
    <m/>
  </r>
  <r>
    <x v="11"/>
    <x v="119"/>
    <n v="4"/>
    <n v="84"/>
    <m/>
    <n v="0"/>
    <m/>
    <m/>
    <m/>
    <m/>
    <m/>
    <m/>
    <m/>
  </r>
  <r>
    <x v="12"/>
    <x v="119"/>
    <n v="4"/>
    <n v="168"/>
    <m/>
    <n v="0"/>
    <m/>
    <m/>
    <m/>
    <m/>
    <m/>
    <m/>
    <m/>
  </r>
  <r>
    <x v="13"/>
    <x v="119"/>
    <n v="0"/>
    <n v="47"/>
    <m/>
    <n v="0"/>
    <m/>
    <m/>
    <m/>
    <m/>
    <m/>
    <m/>
    <m/>
  </r>
  <r>
    <x v="14"/>
    <x v="119"/>
    <n v="18"/>
    <n v="470"/>
    <m/>
    <n v="1"/>
    <m/>
    <m/>
    <m/>
    <m/>
    <m/>
    <m/>
    <m/>
  </r>
  <r>
    <x v="15"/>
    <x v="119"/>
    <n v="15"/>
    <n v="864"/>
    <m/>
    <n v="1"/>
    <m/>
    <m/>
    <m/>
    <m/>
    <m/>
    <m/>
    <m/>
  </r>
  <r>
    <x v="16"/>
    <x v="119"/>
    <n v="1"/>
    <n v="31"/>
    <m/>
    <n v="1"/>
    <m/>
    <m/>
    <m/>
    <m/>
    <m/>
    <m/>
    <m/>
  </r>
  <r>
    <x v="17"/>
    <x v="119"/>
    <n v="0"/>
    <n v="8"/>
    <m/>
    <n v="0"/>
    <m/>
    <m/>
    <m/>
    <m/>
    <m/>
    <m/>
    <m/>
  </r>
  <r>
    <x v="18"/>
    <x v="119"/>
    <n v="0"/>
    <n v="11"/>
    <m/>
    <n v="0"/>
    <m/>
    <m/>
    <m/>
    <m/>
    <m/>
    <m/>
    <m/>
  </r>
  <r>
    <x v="19"/>
    <x v="119"/>
    <n v="0"/>
    <n v="50"/>
    <m/>
    <n v="0"/>
    <m/>
    <m/>
    <m/>
    <m/>
    <m/>
    <m/>
    <m/>
  </r>
  <r>
    <x v="20"/>
    <x v="119"/>
    <n v="1"/>
    <n v="421"/>
    <m/>
    <n v="4"/>
    <m/>
    <m/>
    <m/>
    <m/>
    <m/>
    <m/>
    <m/>
  </r>
  <r>
    <x v="21"/>
    <x v="119"/>
    <n v="0"/>
    <n v="24"/>
    <m/>
    <n v="0"/>
    <m/>
    <m/>
    <m/>
    <m/>
    <m/>
    <m/>
    <m/>
  </r>
  <r>
    <x v="22"/>
    <x v="119"/>
    <n v="0"/>
    <n v="149"/>
    <m/>
    <n v="1"/>
    <m/>
    <m/>
    <m/>
    <m/>
    <m/>
    <m/>
    <m/>
  </r>
  <r>
    <x v="23"/>
    <x v="119"/>
    <n v="0"/>
    <n v="73"/>
    <m/>
    <n v="4"/>
    <m/>
    <m/>
    <m/>
    <m/>
    <m/>
    <m/>
    <m/>
  </r>
  <r>
    <x v="0"/>
    <x v="120"/>
    <n v="1671"/>
    <n v="33308"/>
    <n v="27"/>
    <n v="606"/>
    <m/>
    <m/>
    <m/>
    <m/>
    <m/>
    <m/>
    <m/>
  </r>
  <r>
    <x v="1"/>
    <x v="120"/>
    <n v="0"/>
    <n v="0"/>
    <m/>
    <n v="0"/>
    <m/>
    <m/>
    <m/>
    <m/>
    <m/>
    <m/>
    <m/>
  </r>
  <r>
    <x v="2"/>
    <x v="120"/>
    <n v="60"/>
    <n v="2091"/>
    <n v="3"/>
    <n v="98"/>
    <m/>
    <m/>
    <m/>
    <m/>
    <m/>
    <m/>
    <m/>
  </r>
  <r>
    <x v="3"/>
    <x v="120"/>
    <n v="8"/>
    <n v="136"/>
    <m/>
    <n v="2"/>
    <m/>
    <m/>
    <m/>
    <m/>
    <m/>
    <m/>
    <m/>
  </r>
  <r>
    <x v="4"/>
    <x v="120"/>
    <n v="841"/>
    <n v="27936"/>
    <n v="13"/>
    <n v="518"/>
    <m/>
    <m/>
    <m/>
    <m/>
    <m/>
    <m/>
    <m/>
  </r>
  <r>
    <x v="5"/>
    <x v="120"/>
    <n v="11"/>
    <n v="662"/>
    <m/>
    <n v="34"/>
    <m/>
    <m/>
    <m/>
    <m/>
    <m/>
    <m/>
    <m/>
  </r>
  <r>
    <x v="6"/>
    <x v="120"/>
    <n v="1"/>
    <n v="119"/>
    <m/>
    <n v="0"/>
    <m/>
    <m/>
    <m/>
    <m/>
    <m/>
    <m/>
    <m/>
  </r>
  <r>
    <x v="7"/>
    <x v="120"/>
    <n v="9"/>
    <n v="293"/>
    <m/>
    <n v="0"/>
    <m/>
    <m/>
    <m/>
    <m/>
    <m/>
    <m/>
    <m/>
  </r>
  <r>
    <x v="8"/>
    <x v="120"/>
    <n v="4"/>
    <n v="75"/>
    <m/>
    <n v="0"/>
    <m/>
    <m/>
    <m/>
    <m/>
    <m/>
    <m/>
    <m/>
  </r>
  <r>
    <x v="9"/>
    <x v="120"/>
    <n v="17"/>
    <n v="113"/>
    <m/>
    <n v="0"/>
    <m/>
    <m/>
    <m/>
    <m/>
    <m/>
    <m/>
    <m/>
  </r>
  <r>
    <x v="10"/>
    <x v="120"/>
    <n v="0"/>
    <n v="7"/>
    <m/>
    <n v="0"/>
    <m/>
    <m/>
    <m/>
    <m/>
    <m/>
    <m/>
    <m/>
  </r>
  <r>
    <x v="11"/>
    <x v="120"/>
    <n v="1"/>
    <n v="85"/>
    <n v="1"/>
    <n v="1"/>
    <m/>
    <m/>
    <m/>
    <m/>
    <m/>
    <m/>
    <m/>
  </r>
  <r>
    <x v="12"/>
    <x v="120"/>
    <n v="7"/>
    <n v="175"/>
    <m/>
    <n v="0"/>
    <m/>
    <m/>
    <m/>
    <m/>
    <m/>
    <m/>
    <m/>
  </r>
  <r>
    <x v="13"/>
    <x v="120"/>
    <n v="0"/>
    <n v="47"/>
    <m/>
    <n v="0"/>
    <m/>
    <m/>
    <m/>
    <m/>
    <m/>
    <m/>
    <m/>
  </r>
  <r>
    <x v="14"/>
    <x v="120"/>
    <n v="12"/>
    <n v="482"/>
    <m/>
    <n v="0"/>
    <m/>
    <m/>
    <m/>
    <m/>
    <m/>
    <m/>
    <m/>
  </r>
  <r>
    <x v="15"/>
    <x v="120"/>
    <n v="13"/>
    <n v="877"/>
    <m/>
    <n v="1"/>
    <m/>
    <m/>
    <m/>
    <m/>
    <m/>
    <m/>
    <m/>
  </r>
  <r>
    <x v="16"/>
    <x v="120"/>
    <n v="2"/>
    <n v="33"/>
    <m/>
    <n v="1"/>
    <m/>
    <m/>
    <m/>
    <m/>
    <m/>
    <m/>
    <m/>
  </r>
  <r>
    <x v="17"/>
    <x v="120"/>
    <n v="0"/>
    <n v="8"/>
    <m/>
    <n v="0"/>
    <m/>
    <m/>
    <m/>
    <m/>
    <m/>
    <m/>
    <m/>
  </r>
  <r>
    <x v="18"/>
    <x v="120"/>
    <n v="0"/>
    <n v="11"/>
    <m/>
    <n v="0"/>
    <m/>
    <m/>
    <m/>
    <m/>
    <m/>
    <m/>
    <m/>
  </r>
  <r>
    <x v="19"/>
    <x v="120"/>
    <n v="0"/>
    <n v="50"/>
    <m/>
    <n v="0"/>
    <m/>
    <m/>
    <m/>
    <m/>
    <m/>
    <m/>
    <m/>
  </r>
  <r>
    <x v="20"/>
    <x v="120"/>
    <n v="1"/>
    <n v="422"/>
    <m/>
    <n v="4"/>
    <m/>
    <m/>
    <m/>
    <m/>
    <m/>
    <m/>
    <m/>
  </r>
  <r>
    <x v="21"/>
    <x v="120"/>
    <n v="1"/>
    <n v="25"/>
    <m/>
    <n v="0"/>
    <m/>
    <m/>
    <m/>
    <m/>
    <m/>
    <m/>
    <m/>
  </r>
  <r>
    <x v="22"/>
    <x v="120"/>
    <n v="0"/>
    <n v="149"/>
    <m/>
    <n v="1"/>
    <m/>
    <m/>
    <m/>
    <m/>
    <m/>
    <m/>
    <m/>
  </r>
  <r>
    <x v="23"/>
    <x v="120"/>
    <n v="8"/>
    <n v="81"/>
    <m/>
    <n v="4"/>
    <m/>
    <m/>
    <m/>
    <m/>
    <m/>
    <m/>
    <m/>
  </r>
  <r>
    <x v="0"/>
    <x v="121"/>
    <n v="1733"/>
    <n v="35041"/>
    <n v="21"/>
    <n v="627"/>
    <m/>
    <m/>
    <m/>
    <m/>
    <m/>
    <m/>
    <m/>
  </r>
  <r>
    <x v="1"/>
    <x v="121"/>
    <n v="0"/>
    <n v="0"/>
    <m/>
    <n v="0"/>
    <m/>
    <m/>
    <m/>
    <m/>
    <m/>
    <m/>
    <m/>
  </r>
  <r>
    <x v="2"/>
    <x v="121"/>
    <n v="81"/>
    <n v="2172"/>
    <n v="2"/>
    <n v="100"/>
    <m/>
    <m/>
    <m/>
    <m/>
    <m/>
    <m/>
    <m/>
  </r>
  <r>
    <x v="3"/>
    <x v="121"/>
    <n v="0"/>
    <n v="136"/>
    <m/>
    <n v="2"/>
    <m/>
    <m/>
    <m/>
    <m/>
    <m/>
    <m/>
    <m/>
  </r>
  <r>
    <x v="4"/>
    <x v="121"/>
    <n v="840"/>
    <n v="28776"/>
    <n v="11"/>
    <n v="529"/>
    <m/>
    <m/>
    <m/>
    <m/>
    <m/>
    <m/>
    <m/>
  </r>
  <r>
    <x v="5"/>
    <x v="121"/>
    <n v="8"/>
    <n v="670"/>
    <m/>
    <n v="34"/>
    <m/>
    <m/>
    <m/>
    <m/>
    <m/>
    <m/>
    <m/>
  </r>
  <r>
    <x v="6"/>
    <x v="121"/>
    <n v="0"/>
    <n v="119"/>
    <m/>
    <n v="0"/>
    <m/>
    <m/>
    <m/>
    <m/>
    <m/>
    <m/>
    <m/>
  </r>
  <r>
    <x v="7"/>
    <x v="121"/>
    <n v="14"/>
    <n v="307"/>
    <m/>
    <n v="0"/>
    <m/>
    <m/>
    <m/>
    <m/>
    <m/>
    <m/>
    <m/>
  </r>
  <r>
    <x v="8"/>
    <x v="121"/>
    <n v="1"/>
    <n v="76"/>
    <m/>
    <n v="0"/>
    <m/>
    <m/>
    <m/>
    <m/>
    <m/>
    <m/>
    <m/>
  </r>
  <r>
    <x v="9"/>
    <x v="121"/>
    <n v="14"/>
    <n v="127"/>
    <m/>
    <n v="0"/>
    <m/>
    <m/>
    <m/>
    <m/>
    <m/>
    <m/>
    <m/>
  </r>
  <r>
    <x v="10"/>
    <x v="121"/>
    <n v="0"/>
    <n v="7"/>
    <m/>
    <n v="0"/>
    <m/>
    <m/>
    <m/>
    <m/>
    <m/>
    <m/>
    <m/>
  </r>
  <r>
    <x v="11"/>
    <x v="121"/>
    <n v="3"/>
    <n v="88"/>
    <m/>
    <n v="0"/>
    <m/>
    <m/>
    <m/>
    <m/>
    <m/>
    <m/>
    <m/>
  </r>
  <r>
    <x v="12"/>
    <x v="121"/>
    <n v="2"/>
    <n v="177"/>
    <m/>
    <n v="1"/>
    <m/>
    <m/>
    <m/>
    <m/>
    <m/>
    <m/>
    <m/>
  </r>
  <r>
    <x v="13"/>
    <x v="121"/>
    <n v="0"/>
    <n v="47"/>
    <m/>
    <n v="0"/>
    <m/>
    <m/>
    <m/>
    <m/>
    <m/>
    <m/>
    <m/>
  </r>
  <r>
    <x v="14"/>
    <x v="121"/>
    <n v="12"/>
    <n v="494"/>
    <m/>
    <n v="0"/>
    <m/>
    <m/>
    <m/>
    <m/>
    <m/>
    <m/>
    <m/>
  </r>
  <r>
    <x v="15"/>
    <x v="121"/>
    <n v="34"/>
    <n v="911"/>
    <m/>
    <n v="0"/>
    <m/>
    <m/>
    <m/>
    <m/>
    <m/>
    <m/>
    <m/>
  </r>
  <r>
    <x v="16"/>
    <x v="121"/>
    <n v="0"/>
    <n v="33"/>
    <m/>
    <n v="1"/>
    <m/>
    <m/>
    <m/>
    <m/>
    <m/>
    <m/>
    <m/>
  </r>
  <r>
    <x v="17"/>
    <x v="121"/>
    <n v="0"/>
    <n v="8"/>
    <m/>
    <n v="0"/>
    <m/>
    <m/>
    <m/>
    <m/>
    <m/>
    <m/>
    <m/>
  </r>
  <r>
    <x v="18"/>
    <x v="121"/>
    <n v="0"/>
    <n v="11"/>
    <m/>
    <n v="0"/>
    <m/>
    <m/>
    <m/>
    <m/>
    <m/>
    <m/>
    <m/>
  </r>
  <r>
    <x v="19"/>
    <x v="121"/>
    <n v="0"/>
    <n v="50"/>
    <m/>
    <n v="0"/>
    <m/>
    <m/>
    <m/>
    <m/>
    <m/>
    <m/>
    <m/>
  </r>
  <r>
    <x v="20"/>
    <x v="121"/>
    <n v="2"/>
    <n v="424"/>
    <m/>
    <n v="4"/>
    <m/>
    <m/>
    <m/>
    <m/>
    <m/>
    <m/>
    <m/>
  </r>
  <r>
    <x v="21"/>
    <x v="121"/>
    <n v="0"/>
    <n v="25"/>
    <m/>
    <n v="0"/>
    <m/>
    <m/>
    <m/>
    <m/>
    <m/>
    <m/>
    <m/>
  </r>
  <r>
    <x v="22"/>
    <x v="121"/>
    <n v="0"/>
    <n v="149"/>
    <m/>
    <n v="1"/>
    <m/>
    <m/>
    <m/>
    <m/>
    <m/>
    <m/>
    <m/>
  </r>
  <r>
    <x v="23"/>
    <x v="121"/>
    <n v="0"/>
    <n v="81"/>
    <m/>
    <n v="4"/>
    <m/>
    <m/>
    <m/>
    <m/>
    <m/>
    <m/>
    <m/>
  </r>
  <r>
    <x v="0"/>
    <x v="122"/>
    <n v="1849"/>
    <n v="36890"/>
    <n v="26"/>
    <n v="653"/>
    <m/>
    <m/>
    <m/>
    <m/>
    <m/>
    <m/>
    <m/>
  </r>
  <r>
    <x v="1"/>
    <x v="122"/>
    <n v="1"/>
    <n v="1"/>
    <m/>
    <n v="0"/>
    <m/>
    <m/>
    <m/>
    <m/>
    <m/>
    <m/>
    <m/>
  </r>
  <r>
    <x v="2"/>
    <x v="122"/>
    <n v="37"/>
    <n v="2209"/>
    <n v="3"/>
    <n v="103"/>
    <m/>
    <m/>
    <m/>
    <m/>
    <m/>
    <m/>
    <m/>
  </r>
  <r>
    <x v="3"/>
    <x v="122"/>
    <n v="12"/>
    <n v="148"/>
    <m/>
    <n v="2"/>
    <m/>
    <m/>
    <m/>
    <m/>
    <m/>
    <m/>
    <m/>
  </r>
  <r>
    <x v="4"/>
    <x v="122"/>
    <n v="835"/>
    <n v="29611"/>
    <n v="22"/>
    <n v="551"/>
    <m/>
    <m/>
    <m/>
    <m/>
    <m/>
    <m/>
    <m/>
  </r>
  <r>
    <x v="5"/>
    <x v="122"/>
    <n v="8"/>
    <n v="678"/>
    <m/>
    <n v="34"/>
    <m/>
    <m/>
    <m/>
    <m/>
    <m/>
    <m/>
    <m/>
  </r>
  <r>
    <x v="6"/>
    <x v="122"/>
    <n v="0"/>
    <n v="119"/>
    <m/>
    <n v="0"/>
    <m/>
    <m/>
    <m/>
    <m/>
    <m/>
    <m/>
    <m/>
  </r>
  <r>
    <x v="7"/>
    <x v="122"/>
    <n v="11"/>
    <n v="318"/>
    <m/>
    <n v="0"/>
    <m/>
    <m/>
    <m/>
    <m/>
    <m/>
    <m/>
    <m/>
  </r>
  <r>
    <x v="8"/>
    <x v="122"/>
    <n v="0"/>
    <n v="76"/>
    <m/>
    <n v="0"/>
    <m/>
    <m/>
    <m/>
    <m/>
    <m/>
    <m/>
    <m/>
  </r>
  <r>
    <x v="9"/>
    <x v="122"/>
    <n v="20"/>
    <n v="147"/>
    <m/>
    <n v="0"/>
    <m/>
    <m/>
    <m/>
    <m/>
    <m/>
    <m/>
    <m/>
  </r>
  <r>
    <x v="10"/>
    <x v="122"/>
    <n v="0"/>
    <n v="7"/>
    <m/>
    <n v="0"/>
    <m/>
    <m/>
    <m/>
    <m/>
    <m/>
    <m/>
    <m/>
  </r>
  <r>
    <x v="11"/>
    <x v="122"/>
    <n v="3"/>
    <n v="91"/>
    <m/>
    <n v="0"/>
    <m/>
    <m/>
    <m/>
    <m/>
    <m/>
    <m/>
    <m/>
  </r>
  <r>
    <x v="12"/>
    <x v="122"/>
    <n v="3"/>
    <n v="180"/>
    <m/>
    <n v="0"/>
    <m/>
    <m/>
    <m/>
    <m/>
    <m/>
    <m/>
    <m/>
  </r>
  <r>
    <x v="13"/>
    <x v="122"/>
    <n v="0"/>
    <n v="47"/>
    <m/>
    <n v="1"/>
    <m/>
    <m/>
    <m/>
    <m/>
    <m/>
    <m/>
    <m/>
  </r>
  <r>
    <x v="14"/>
    <x v="122"/>
    <n v="28"/>
    <n v="522"/>
    <m/>
    <n v="0"/>
    <m/>
    <m/>
    <m/>
    <m/>
    <m/>
    <m/>
    <m/>
  </r>
  <r>
    <x v="15"/>
    <x v="122"/>
    <n v="23"/>
    <n v="934"/>
    <m/>
    <n v="0"/>
    <m/>
    <m/>
    <m/>
    <m/>
    <m/>
    <m/>
    <m/>
  </r>
  <r>
    <x v="16"/>
    <x v="122"/>
    <n v="8"/>
    <n v="41"/>
    <m/>
    <n v="0"/>
    <m/>
    <m/>
    <m/>
    <m/>
    <m/>
    <m/>
    <m/>
  </r>
  <r>
    <x v="17"/>
    <x v="122"/>
    <n v="0"/>
    <n v="8"/>
    <m/>
    <n v="0"/>
    <m/>
    <m/>
    <m/>
    <m/>
    <m/>
    <m/>
    <m/>
  </r>
  <r>
    <x v="18"/>
    <x v="122"/>
    <n v="0"/>
    <n v="11"/>
    <m/>
    <n v="0"/>
    <m/>
    <m/>
    <m/>
    <m/>
    <m/>
    <m/>
    <m/>
  </r>
  <r>
    <x v="19"/>
    <x v="122"/>
    <n v="0"/>
    <n v="50"/>
    <m/>
    <n v="0"/>
    <m/>
    <m/>
    <m/>
    <m/>
    <m/>
    <m/>
    <m/>
  </r>
  <r>
    <x v="20"/>
    <x v="122"/>
    <n v="5"/>
    <n v="429"/>
    <n v="1"/>
    <n v="5"/>
    <m/>
    <m/>
    <m/>
    <m/>
    <m/>
    <m/>
    <m/>
  </r>
  <r>
    <x v="21"/>
    <x v="122"/>
    <n v="0"/>
    <n v="25"/>
    <m/>
    <n v="0"/>
    <m/>
    <m/>
    <m/>
    <m/>
    <m/>
    <m/>
    <m/>
  </r>
  <r>
    <x v="22"/>
    <x v="122"/>
    <n v="0"/>
    <n v="149"/>
    <m/>
    <n v="1"/>
    <m/>
    <m/>
    <m/>
    <m/>
    <m/>
    <m/>
    <m/>
  </r>
  <r>
    <x v="23"/>
    <x v="122"/>
    <n v="2"/>
    <n v="83"/>
    <m/>
    <n v="4"/>
    <m/>
    <m/>
    <m/>
    <m/>
    <m/>
    <m/>
    <m/>
  </r>
  <r>
    <x v="0"/>
    <x v="123"/>
    <n v="1517"/>
    <n v="38407"/>
    <n v="26"/>
    <n v="679"/>
    <m/>
    <m/>
    <m/>
    <m/>
    <m/>
    <m/>
    <m/>
  </r>
  <r>
    <x v="1"/>
    <x v="123"/>
    <n v="5"/>
    <n v="6"/>
    <m/>
    <n v="0"/>
    <m/>
    <m/>
    <m/>
    <m/>
    <m/>
    <m/>
    <m/>
  </r>
  <r>
    <x v="2"/>
    <x v="123"/>
    <n v="53"/>
    <n v="2262"/>
    <n v="3"/>
    <n v="106"/>
    <m/>
    <m/>
    <m/>
    <m/>
    <m/>
    <m/>
    <m/>
  </r>
  <r>
    <x v="3"/>
    <x v="123"/>
    <n v="0"/>
    <n v="148"/>
    <m/>
    <n v="2"/>
    <m/>
    <m/>
    <m/>
    <m/>
    <m/>
    <m/>
    <m/>
  </r>
  <r>
    <x v="4"/>
    <x v="123"/>
    <n v="899"/>
    <n v="30510"/>
    <n v="13"/>
    <n v="564"/>
    <m/>
    <m/>
    <m/>
    <m/>
    <m/>
    <m/>
    <m/>
  </r>
  <r>
    <x v="5"/>
    <x v="123"/>
    <n v="13"/>
    <n v="691"/>
    <m/>
    <n v="34"/>
    <m/>
    <m/>
    <m/>
    <m/>
    <m/>
    <m/>
    <m/>
  </r>
  <r>
    <x v="6"/>
    <x v="123"/>
    <n v="0"/>
    <n v="119"/>
    <m/>
    <n v="0"/>
    <m/>
    <m/>
    <m/>
    <m/>
    <m/>
    <m/>
    <m/>
  </r>
  <r>
    <x v="7"/>
    <x v="123"/>
    <n v="5"/>
    <n v="323"/>
    <m/>
    <n v="0"/>
    <m/>
    <m/>
    <m/>
    <m/>
    <m/>
    <m/>
    <m/>
  </r>
  <r>
    <x v="8"/>
    <x v="123"/>
    <n v="0"/>
    <n v="76"/>
    <m/>
    <n v="0"/>
    <m/>
    <m/>
    <m/>
    <m/>
    <m/>
    <m/>
    <m/>
  </r>
  <r>
    <x v="9"/>
    <x v="123"/>
    <n v="14"/>
    <n v="161"/>
    <m/>
    <n v="0"/>
    <m/>
    <m/>
    <m/>
    <m/>
    <m/>
    <m/>
    <m/>
  </r>
  <r>
    <x v="10"/>
    <x v="123"/>
    <n v="0"/>
    <n v="7"/>
    <m/>
    <n v="0"/>
    <m/>
    <m/>
    <m/>
    <m/>
    <m/>
    <m/>
    <m/>
  </r>
  <r>
    <x v="11"/>
    <x v="123"/>
    <n v="5"/>
    <n v="96"/>
    <m/>
    <n v="0"/>
    <m/>
    <m/>
    <m/>
    <m/>
    <m/>
    <m/>
    <m/>
  </r>
  <r>
    <x v="12"/>
    <x v="123"/>
    <n v="4"/>
    <n v="184"/>
    <m/>
    <n v="0"/>
    <m/>
    <m/>
    <m/>
    <m/>
    <m/>
    <m/>
    <m/>
  </r>
  <r>
    <x v="13"/>
    <x v="123"/>
    <n v="0"/>
    <n v="47"/>
    <m/>
    <n v="0"/>
    <m/>
    <m/>
    <m/>
    <m/>
    <m/>
    <m/>
    <m/>
  </r>
  <r>
    <x v="14"/>
    <x v="123"/>
    <n v="20"/>
    <n v="542"/>
    <n v="1"/>
    <n v="2"/>
    <m/>
    <m/>
    <m/>
    <m/>
    <m/>
    <m/>
    <m/>
  </r>
  <r>
    <x v="15"/>
    <x v="123"/>
    <n v="28"/>
    <n v="962"/>
    <m/>
    <n v="0"/>
    <m/>
    <m/>
    <m/>
    <m/>
    <m/>
    <m/>
    <m/>
  </r>
  <r>
    <x v="16"/>
    <x v="123"/>
    <n v="16"/>
    <n v="57"/>
    <m/>
    <n v="0"/>
    <m/>
    <m/>
    <m/>
    <m/>
    <m/>
    <m/>
    <m/>
  </r>
  <r>
    <x v="17"/>
    <x v="123"/>
    <n v="0"/>
    <n v="8"/>
    <m/>
    <n v="0"/>
    <m/>
    <m/>
    <m/>
    <m/>
    <m/>
    <m/>
    <m/>
  </r>
  <r>
    <x v="18"/>
    <x v="123"/>
    <n v="1"/>
    <n v="12"/>
    <m/>
    <n v="0"/>
    <m/>
    <m/>
    <m/>
    <m/>
    <m/>
    <m/>
    <m/>
  </r>
  <r>
    <x v="19"/>
    <x v="123"/>
    <n v="0"/>
    <n v="50"/>
    <m/>
    <n v="0"/>
    <m/>
    <m/>
    <m/>
    <m/>
    <m/>
    <m/>
    <m/>
  </r>
  <r>
    <x v="20"/>
    <x v="123"/>
    <n v="5"/>
    <n v="434"/>
    <n v="1"/>
    <n v="6"/>
    <m/>
    <m/>
    <m/>
    <m/>
    <m/>
    <m/>
    <m/>
  </r>
  <r>
    <x v="21"/>
    <x v="123"/>
    <n v="0"/>
    <n v="25"/>
    <m/>
    <n v="0"/>
    <m/>
    <m/>
    <m/>
    <m/>
    <m/>
    <m/>
    <m/>
  </r>
  <r>
    <x v="22"/>
    <x v="123"/>
    <n v="4"/>
    <n v="153"/>
    <m/>
    <n v="1"/>
    <m/>
    <m/>
    <m/>
    <m/>
    <m/>
    <m/>
    <m/>
  </r>
  <r>
    <x v="23"/>
    <x v="123"/>
    <n v="1"/>
    <n v="84"/>
    <m/>
    <n v="4"/>
    <m/>
    <m/>
    <m/>
    <m/>
    <m/>
    <m/>
    <m/>
  </r>
  <r>
    <x v="0"/>
    <x v="124"/>
    <n v="1564"/>
    <n v="39971"/>
    <n v="12"/>
    <n v="691"/>
    <m/>
    <m/>
    <m/>
    <m/>
    <m/>
    <m/>
    <m/>
  </r>
  <r>
    <x v="1"/>
    <x v="124"/>
    <n v="0"/>
    <n v="6"/>
    <m/>
    <n v="0"/>
    <m/>
    <m/>
    <m/>
    <m/>
    <m/>
    <m/>
    <m/>
  </r>
  <r>
    <x v="2"/>
    <x v="124"/>
    <n v="47"/>
    <n v="2309"/>
    <m/>
    <n v="106"/>
    <m/>
    <m/>
    <m/>
    <m/>
    <m/>
    <m/>
    <m/>
  </r>
  <r>
    <x v="3"/>
    <x v="124"/>
    <n v="6"/>
    <n v="154"/>
    <m/>
    <n v="2"/>
    <m/>
    <m/>
    <m/>
    <m/>
    <m/>
    <m/>
    <m/>
  </r>
  <r>
    <x v="4"/>
    <x v="124"/>
    <n v="767"/>
    <n v="31277"/>
    <n v="10"/>
    <n v="574"/>
    <m/>
    <m/>
    <m/>
    <m/>
    <m/>
    <m/>
    <m/>
  </r>
  <r>
    <x v="5"/>
    <x v="124"/>
    <n v="14"/>
    <n v="705"/>
    <m/>
    <n v="34"/>
    <m/>
    <m/>
    <m/>
    <m/>
    <m/>
    <m/>
    <m/>
  </r>
  <r>
    <x v="6"/>
    <x v="124"/>
    <n v="1"/>
    <n v="120"/>
    <m/>
    <n v="0"/>
    <m/>
    <m/>
    <m/>
    <m/>
    <m/>
    <m/>
    <m/>
  </r>
  <r>
    <x v="7"/>
    <x v="124"/>
    <n v="6"/>
    <n v="329"/>
    <m/>
    <n v="0"/>
    <m/>
    <m/>
    <m/>
    <m/>
    <m/>
    <m/>
    <m/>
  </r>
  <r>
    <x v="8"/>
    <x v="124"/>
    <n v="0"/>
    <n v="76"/>
    <m/>
    <n v="0"/>
    <m/>
    <m/>
    <m/>
    <m/>
    <m/>
    <m/>
    <m/>
  </r>
  <r>
    <x v="9"/>
    <x v="124"/>
    <n v="1"/>
    <n v="162"/>
    <m/>
    <n v="0"/>
    <m/>
    <m/>
    <m/>
    <m/>
    <m/>
    <m/>
    <m/>
  </r>
  <r>
    <x v="10"/>
    <x v="124"/>
    <n v="0"/>
    <n v="7"/>
    <m/>
    <n v="0"/>
    <m/>
    <m/>
    <m/>
    <m/>
    <m/>
    <m/>
    <m/>
  </r>
  <r>
    <x v="11"/>
    <x v="124"/>
    <n v="6"/>
    <n v="102"/>
    <m/>
    <n v="0"/>
    <m/>
    <m/>
    <m/>
    <m/>
    <m/>
    <m/>
    <m/>
  </r>
  <r>
    <x v="12"/>
    <x v="124"/>
    <n v="7"/>
    <n v="191"/>
    <m/>
    <n v="0"/>
    <m/>
    <m/>
    <m/>
    <m/>
    <m/>
    <m/>
    <m/>
  </r>
  <r>
    <x v="13"/>
    <x v="124"/>
    <n v="0"/>
    <n v="47"/>
    <m/>
    <n v="0"/>
    <m/>
    <m/>
    <m/>
    <m/>
    <m/>
    <m/>
    <m/>
  </r>
  <r>
    <x v="14"/>
    <x v="124"/>
    <n v="9"/>
    <n v="551"/>
    <n v="3"/>
    <n v="3"/>
    <m/>
    <m/>
    <m/>
    <m/>
    <m/>
    <m/>
    <m/>
  </r>
  <r>
    <x v="15"/>
    <x v="124"/>
    <n v="3"/>
    <n v="965"/>
    <n v="1"/>
    <n v="3"/>
    <m/>
    <m/>
    <m/>
    <m/>
    <m/>
    <m/>
    <m/>
  </r>
  <r>
    <x v="16"/>
    <x v="124"/>
    <n v="2"/>
    <n v="59"/>
    <m/>
    <n v="0"/>
    <m/>
    <m/>
    <m/>
    <m/>
    <m/>
    <m/>
    <m/>
  </r>
  <r>
    <x v="17"/>
    <x v="124"/>
    <n v="0"/>
    <n v="8"/>
    <m/>
    <n v="0"/>
    <m/>
    <m/>
    <m/>
    <m/>
    <m/>
    <m/>
    <m/>
  </r>
  <r>
    <x v="18"/>
    <x v="124"/>
    <n v="0"/>
    <n v="12"/>
    <m/>
    <n v="0"/>
    <m/>
    <m/>
    <m/>
    <m/>
    <m/>
    <m/>
    <m/>
  </r>
  <r>
    <x v="19"/>
    <x v="124"/>
    <n v="0"/>
    <n v="50"/>
    <m/>
    <n v="0"/>
    <m/>
    <m/>
    <m/>
    <m/>
    <m/>
    <m/>
    <m/>
  </r>
  <r>
    <x v="20"/>
    <x v="124"/>
    <n v="3"/>
    <n v="437"/>
    <m/>
    <n v="6"/>
    <m/>
    <m/>
    <m/>
    <m/>
    <m/>
    <m/>
    <m/>
  </r>
  <r>
    <x v="21"/>
    <x v="124"/>
    <n v="0"/>
    <n v="25"/>
    <m/>
    <n v="0"/>
    <m/>
    <m/>
    <m/>
    <m/>
    <m/>
    <m/>
    <m/>
  </r>
  <r>
    <x v="22"/>
    <x v="124"/>
    <n v="0"/>
    <n v="153"/>
    <m/>
    <n v="1"/>
    <m/>
    <m/>
    <m/>
    <m/>
    <m/>
    <m/>
    <m/>
  </r>
  <r>
    <x v="23"/>
    <x v="124"/>
    <n v="3"/>
    <n v="87"/>
    <m/>
    <n v="4"/>
    <m/>
    <m/>
    <m/>
    <m/>
    <m/>
    <m/>
    <m/>
  </r>
  <r>
    <x v="0"/>
    <x v="125"/>
    <n v="1476"/>
    <n v="41447"/>
    <n v="54"/>
    <n v="745"/>
    <m/>
    <m/>
    <m/>
    <m/>
    <m/>
    <m/>
    <m/>
  </r>
  <r>
    <x v="1"/>
    <x v="125"/>
    <n v="1"/>
    <n v="7"/>
    <m/>
    <n v="0"/>
    <m/>
    <m/>
    <m/>
    <m/>
    <m/>
    <m/>
    <m/>
  </r>
  <r>
    <x v="2"/>
    <x v="125"/>
    <n v="26"/>
    <n v="2335"/>
    <n v="2"/>
    <n v="108"/>
    <m/>
    <m/>
    <m/>
    <m/>
    <m/>
    <m/>
    <m/>
  </r>
  <r>
    <x v="3"/>
    <x v="125"/>
    <n v="6"/>
    <n v="160"/>
    <m/>
    <n v="2"/>
    <m/>
    <m/>
    <m/>
    <m/>
    <m/>
    <m/>
    <m/>
  </r>
  <r>
    <x v="4"/>
    <x v="125"/>
    <n v="995"/>
    <n v="32272"/>
    <n v="14"/>
    <n v="588"/>
    <m/>
    <m/>
    <m/>
    <m/>
    <m/>
    <m/>
    <m/>
  </r>
  <r>
    <x v="5"/>
    <x v="125"/>
    <n v="28"/>
    <n v="733"/>
    <m/>
    <n v="34"/>
    <m/>
    <m/>
    <m/>
    <m/>
    <m/>
    <m/>
    <m/>
  </r>
  <r>
    <x v="6"/>
    <x v="125"/>
    <n v="1"/>
    <n v="121"/>
    <m/>
    <n v="0"/>
    <m/>
    <m/>
    <m/>
    <m/>
    <m/>
    <m/>
    <m/>
  </r>
  <r>
    <x v="7"/>
    <x v="125"/>
    <n v="5"/>
    <n v="334"/>
    <m/>
    <n v="0"/>
    <m/>
    <m/>
    <m/>
    <m/>
    <m/>
    <m/>
    <m/>
  </r>
  <r>
    <x v="8"/>
    <x v="125"/>
    <n v="0"/>
    <n v="76"/>
    <m/>
    <n v="0"/>
    <m/>
    <m/>
    <m/>
    <m/>
    <m/>
    <m/>
    <m/>
  </r>
  <r>
    <x v="9"/>
    <x v="125"/>
    <n v="29"/>
    <n v="191"/>
    <m/>
    <n v="0"/>
    <m/>
    <m/>
    <m/>
    <m/>
    <m/>
    <m/>
    <m/>
  </r>
  <r>
    <x v="10"/>
    <x v="125"/>
    <n v="0"/>
    <n v="7"/>
    <m/>
    <n v="0"/>
    <m/>
    <m/>
    <m/>
    <m/>
    <m/>
    <m/>
    <m/>
  </r>
  <r>
    <x v="11"/>
    <x v="125"/>
    <n v="5"/>
    <n v="107"/>
    <m/>
    <n v="0"/>
    <m/>
    <m/>
    <m/>
    <m/>
    <m/>
    <m/>
    <m/>
  </r>
  <r>
    <x v="12"/>
    <x v="125"/>
    <n v="4"/>
    <n v="195"/>
    <m/>
    <n v="0"/>
    <m/>
    <m/>
    <m/>
    <m/>
    <m/>
    <m/>
    <m/>
  </r>
  <r>
    <x v="13"/>
    <x v="125"/>
    <n v="2"/>
    <n v="49"/>
    <m/>
    <n v="0"/>
    <m/>
    <m/>
    <m/>
    <m/>
    <m/>
    <m/>
    <m/>
  </r>
  <r>
    <x v="14"/>
    <x v="125"/>
    <n v="34"/>
    <n v="585"/>
    <n v="1"/>
    <n v="1"/>
    <m/>
    <m/>
    <m/>
    <m/>
    <m/>
    <m/>
    <m/>
  </r>
  <r>
    <x v="15"/>
    <x v="125"/>
    <n v="7"/>
    <n v="972"/>
    <n v="3"/>
    <n v="6"/>
    <m/>
    <m/>
    <m/>
    <m/>
    <m/>
    <m/>
    <m/>
  </r>
  <r>
    <x v="16"/>
    <x v="125"/>
    <n v="2"/>
    <n v="61"/>
    <n v="1"/>
    <n v="4"/>
    <m/>
    <m/>
    <m/>
    <m/>
    <m/>
    <m/>
    <m/>
  </r>
  <r>
    <x v="17"/>
    <x v="125"/>
    <n v="1"/>
    <n v="9"/>
    <m/>
    <n v="0"/>
    <m/>
    <m/>
    <m/>
    <m/>
    <m/>
    <m/>
    <m/>
  </r>
  <r>
    <x v="18"/>
    <x v="125"/>
    <n v="0"/>
    <n v="12"/>
    <m/>
    <n v="0"/>
    <m/>
    <m/>
    <m/>
    <m/>
    <m/>
    <m/>
    <m/>
  </r>
  <r>
    <x v="19"/>
    <x v="125"/>
    <n v="4"/>
    <n v="54"/>
    <m/>
    <n v="0"/>
    <m/>
    <m/>
    <m/>
    <m/>
    <m/>
    <m/>
    <m/>
  </r>
  <r>
    <x v="20"/>
    <x v="125"/>
    <n v="5"/>
    <n v="442"/>
    <m/>
    <n v="6"/>
    <m/>
    <m/>
    <m/>
    <m/>
    <m/>
    <m/>
    <m/>
  </r>
  <r>
    <x v="21"/>
    <x v="125"/>
    <n v="1"/>
    <n v="26"/>
    <m/>
    <n v="0"/>
    <m/>
    <m/>
    <m/>
    <m/>
    <m/>
    <m/>
    <m/>
  </r>
  <r>
    <x v="22"/>
    <x v="125"/>
    <n v="0"/>
    <n v="153"/>
    <m/>
    <n v="1"/>
    <m/>
    <m/>
    <m/>
    <m/>
    <m/>
    <m/>
    <m/>
  </r>
  <r>
    <x v="23"/>
    <x v="125"/>
    <n v="0"/>
    <n v="87"/>
    <m/>
    <n v="4"/>
    <m/>
    <m/>
    <m/>
    <m/>
    <m/>
    <m/>
    <m/>
  </r>
  <r>
    <x v="0"/>
    <x v="126"/>
    <n v="1752"/>
    <n v="43199"/>
    <n v="39"/>
    <n v="784"/>
    <m/>
    <m/>
    <m/>
    <m/>
    <m/>
    <m/>
    <m/>
  </r>
  <r>
    <x v="1"/>
    <x v="126"/>
    <n v="0"/>
    <n v="7"/>
    <m/>
    <n v="0"/>
    <m/>
    <m/>
    <m/>
    <m/>
    <m/>
    <m/>
    <m/>
  </r>
  <r>
    <x v="2"/>
    <x v="126"/>
    <n v="22"/>
    <n v="2357"/>
    <m/>
    <n v="108"/>
    <m/>
    <m/>
    <m/>
    <m/>
    <m/>
    <m/>
    <m/>
  </r>
  <r>
    <x v="3"/>
    <x v="126"/>
    <n v="0"/>
    <n v="160"/>
    <m/>
    <n v="2"/>
    <m/>
    <m/>
    <m/>
    <m/>
    <m/>
    <m/>
    <m/>
  </r>
  <r>
    <x v="4"/>
    <x v="126"/>
    <n v="1025"/>
    <n v="33297"/>
    <n v="21"/>
    <n v="609"/>
    <m/>
    <m/>
    <m/>
    <m/>
    <m/>
    <m/>
    <m/>
  </r>
  <r>
    <x v="5"/>
    <x v="126"/>
    <n v="48"/>
    <n v="781"/>
    <m/>
    <n v="34"/>
    <m/>
    <m/>
    <m/>
    <m/>
    <m/>
    <m/>
    <m/>
  </r>
  <r>
    <x v="6"/>
    <x v="126"/>
    <n v="1"/>
    <n v="122"/>
    <m/>
    <n v="0"/>
    <m/>
    <m/>
    <m/>
    <m/>
    <m/>
    <m/>
    <m/>
  </r>
  <r>
    <x v="7"/>
    <x v="126"/>
    <n v="10"/>
    <n v="344"/>
    <m/>
    <n v="0"/>
    <m/>
    <m/>
    <m/>
    <m/>
    <m/>
    <m/>
    <m/>
  </r>
  <r>
    <x v="8"/>
    <x v="126"/>
    <n v="0"/>
    <n v="76"/>
    <m/>
    <n v="0"/>
    <m/>
    <m/>
    <m/>
    <m/>
    <m/>
    <m/>
    <m/>
  </r>
  <r>
    <x v="9"/>
    <x v="126"/>
    <n v="30"/>
    <n v="221"/>
    <m/>
    <n v="0"/>
    <m/>
    <m/>
    <m/>
    <m/>
    <m/>
    <m/>
    <m/>
  </r>
  <r>
    <x v="10"/>
    <x v="126"/>
    <n v="0"/>
    <n v="7"/>
    <m/>
    <n v="0"/>
    <m/>
    <m/>
    <m/>
    <m/>
    <m/>
    <m/>
    <m/>
  </r>
  <r>
    <x v="11"/>
    <x v="126"/>
    <n v="3"/>
    <n v="110"/>
    <m/>
    <n v="0"/>
    <m/>
    <m/>
    <m/>
    <m/>
    <m/>
    <m/>
    <m/>
  </r>
  <r>
    <x v="12"/>
    <x v="126"/>
    <n v="23"/>
    <n v="218"/>
    <m/>
    <n v="0"/>
    <m/>
    <m/>
    <m/>
    <m/>
    <m/>
    <m/>
    <m/>
  </r>
  <r>
    <x v="13"/>
    <x v="126"/>
    <n v="0"/>
    <n v="49"/>
    <m/>
    <n v="0"/>
    <m/>
    <m/>
    <m/>
    <m/>
    <m/>
    <m/>
    <m/>
  </r>
  <r>
    <x v="14"/>
    <x v="126"/>
    <n v="22"/>
    <n v="607"/>
    <m/>
    <n v="0"/>
    <m/>
    <m/>
    <m/>
    <m/>
    <m/>
    <m/>
    <m/>
  </r>
  <r>
    <x v="15"/>
    <x v="126"/>
    <n v="25"/>
    <n v="997"/>
    <n v="1"/>
    <n v="2"/>
    <m/>
    <m/>
    <m/>
    <m/>
    <m/>
    <m/>
    <m/>
  </r>
  <r>
    <x v="16"/>
    <x v="126"/>
    <n v="8"/>
    <n v="69"/>
    <n v="1"/>
    <n v="7"/>
    <m/>
    <m/>
    <m/>
    <m/>
    <m/>
    <m/>
    <m/>
  </r>
  <r>
    <x v="17"/>
    <x v="126"/>
    <n v="0"/>
    <n v="9"/>
    <m/>
    <n v="0"/>
    <m/>
    <m/>
    <m/>
    <m/>
    <m/>
    <m/>
    <m/>
  </r>
  <r>
    <x v="18"/>
    <x v="126"/>
    <n v="0"/>
    <n v="12"/>
    <m/>
    <n v="0"/>
    <m/>
    <m/>
    <m/>
    <m/>
    <m/>
    <m/>
    <m/>
  </r>
  <r>
    <x v="19"/>
    <x v="126"/>
    <n v="0"/>
    <n v="54"/>
    <m/>
    <n v="0"/>
    <m/>
    <m/>
    <m/>
    <m/>
    <m/>
    <m/>
    <m/>
  </r>
  <r>
    <x v="20"/>
    <x v="126"/>
    <n v="9"/>
    <n v="451"/>
    <m/>
    <n v="6"/>
    <m/>
    <m/>
    <m/>
    <m/>
    <m/>
    <m/>
    <m/>
  </r>
  <r>
    <x v="21"/>
    <x v="126"/>
    <n v="1"/>
    <n v="27"/>
    <m/>
    <n v="0"/>
    <m/>
    <m/>
    <m/>
    <m/>
    <m/>
    <m/>
    <m/>
  </r>
  <r>
    <x v="22"/>
    <x v="126"/>
    <n v="1"/>
    <n v="154"/>
    <m/>
    <n v="1"/>
    <m/>
    <m/>
    <m/>
    <m/>
    <m/>
    <m/>
    <m/>
  </r>
  <r>
    <x v="23"/>
    <x v="126"/>
    <n v="0"/>
    <n v="87"/>
    <m/>
    <n v="4"/>
    <m/>
    <m/>
    <m/>
    <m/>
    <m/>
    <m/>
    <m/>
  </r>
  <r>
    <x v="0"/>
    <x v="127"/>
    <n v="2222"/>
    <n v="45421"/>
    <n v="35"/>
    <n v="819"/>
    <m/>
    <m/>
    <m/>
    <m/>
    <m/>
    <m/>
    <m/>
  </r>
  <r>
    <x v="1"/>
    <x v="127"/>
    <n v="21"/>
    <n v="28"/>
    <m/>
    <n v="0"/>
    <m/>
    <m/>
    <m/>
    <m/>
    <m/>
    <m/>
    <m/>
  </r>
  <r>
    <x v="2"/>
    <x v="127"/>
    <n v="59"/>
    <n v="2416"/>
    <m/>
    <n v="108"/>
    <m/>
    <m/>
    <m/>
    <m/>
    <m/>
    <m/>
    <m/>
  </r>
  <r>
    <x v="3"/>
    <x v="127"/>
    <n v="13"/>
    <n v="173"/>
    <m/>
    <n v="2"/>
    <m/>
    <m/>
    <m/>
    <m/>
    <m/>
    <m/>
    <m/>
  </r>
  <r>
    <x v="4"/>
    <x v="127"/>
    <n v="1116"/>
    <n v="34413"/>
    <n v="16"/>
    <n v="625"/>
    <m/>
    <m/>
    <m/>
    <m/>
    <m/>
    <m/>
    <m/>
  </r>
  <r>
    <x v="5"/>
    <x v="127"/>
    <n v="21"/>
    <n v="802"/>
    <m/>
    <n v="34"/>
    <m/>
    <m/>
    <m/>
    <m/>
    <m/>
    <m/>
    <m/>
  </r>
  <r>
    <x v="6"/>
    <x v="127"/>
    <n v="4"/>
    <n v="126"/>
    <m/>
    <n v="0"/>
    <m/>
    <m/>
    <m/>
    <m/>
    <m/>
    <m/>
    <m/>
  </r>
  <r>
    <x v="7"/>
    <x v="127"/>
    <n v="11"/>
    <n v="355"/>
    <m/>
    <n v="0"/>
    <m/>
    <m/>
    <m/>
    <m/>
    <m/>
    <m/>
    <m/>
  </r>
  <r>
    <x v="8"/>
    <x v="127"/>
    <n v="0"/>
    <n v="76"/>
    <m/>
    <n v="0"/>
    <m/>
    <m/>
    <m/>
    <m/>
    <m/>
    <m/>
    <m/>
  </r>
  <r>
    <x v="9"/>
    <x v="127"/>
    <n v="38"/>
    <n v="259"/>
    <m/>
    <n v="0"/>
    <m/>
    <m/>
    <m/>
    <m/>
    <m/>
    <m/>
    <m/>
  </r>
  <r>
    <x v="10"/>
    <x v="127"/>
    <n v="0"/>
    <n v="7"/>
    <m/>
    <n v="0"/>
    <m/>
    <m/>
    <m/>
    <m/>
    <m/>
    <m/>
    <m/>
  </r>
  <r>
    <x v="11"/>
    <x v="127"/>
    <n v="14"/>
    <n v="124"/>
    <m/>
    <n v="0"/>
    <m/>
    <m/>
    <m/>
    <m/>
    <m/>
    <m/>
    <m/>
  </r>
  <r>
    <x v="12"/>
    <x v="127"/>
    <n v="22"/>
    <n v="240"/>
    <m/>
    <n v="0"/>
    <m/>
    <m/>
    <m/>
    <m/>
    <m/>
    <m/>
    <m/>
  </r>
  <r>
    <x v="13"/>
    <x v="127"/>
    <n v="0"/>
    <n v="49"/>
    <m/>
    <n v="0"/>
    <m/>
    <m/>
    <m/>
    <m/>
    <m/>
    <m/>
    <m/>
  </r>
  <r>
    <x v="14"/>
    <x v="127"/>
    <n v="23"/>
    <n v="630"/>
    <m/>
    <n v="0"/>
    <m/>
    <m/>
    <m/>
    <m/>
    <m/>
    <m/>
    <m/>
  </r>
  <r>
    <x v="15"/>
    <x v="127"/>
    <n v="11"/>
    <n v="1008"/>
    <m/>
    <n v="0"/>
    <m/>
    <m/>
    <m/>
    <m/>
    <m/>
    <m/>
    <m/>
  </r>
  <r>
    <x v="16"/>
    <x v="127"/>
    <n v="6"/>
    <n v="75"/>
    <m/>
    <n v="2"/>
    <m/>
    <m/>
    <m/>
    <m/>
    <m/>
    <m/>
    <m/>
  </r>
  <r>
    <x v="17"/>
    <x v="127"/>
    <n v="0"/>
    <n v="9"/>
    <m/>
    <n v="0"/>
    <m/>
    <m/>
    <m/>
    <m/>
    <m/>
    <m/>
    <m/>
  </r>
  <r>
    <x v="18"/>
    <x v="127"/>
    <n v="0"/>
    <n v="12"/>
    <m/>
    <n v="0"/>
    <m/>
    <m/>
    <m/>
    <m/>
    <m/>
    <m/>
    <m/>
  </r>
  <r>
    <x v="19"/>
    <x v="127"/>
    <n v="0"/>
    <n v="54"/>
    <m/>
    <n v="0"/>
    <m/>
    <m/>
    <m/>
    <m/>
    <m/>
    <m/>
    <m/>
  </r>
  <r>
    <x v="20"/>
    <x v="127"/>
    <n v="14"/>
    <n v="465"/>
    <m/>
    <n v="6"/>
    <m/>
    <m/>
    <m/>
    <m/>
    <m/>
    <m/>
    <m/>
  </r>
  <r>
    <x v="21"/>
    <x v="127"/>
    <n v="8"/>
    <n v="35"/>
    <m/>
    <n v="0"/>
    <m/>
    <m/>
    <m/>
    <m/>
    <m/>
    <m/>
    <m/>
  </r>
  <r>
    <x v="22"/>
    <x v="127"/>
    <n v="0"/>
    <n v="154"/>
    <m/>
    <n v="1"/>
    <m/>
    <m/>
    <m/>
    <m/>
    <m/>
    <m/>
    <m/>
  </r>
  <r>
    <x v="23"/>
    <x v="127"/>
    <n v="1"/>
    <n v="88"/>
    <m/>
    <n v="4"/>
    <m/>
    <m/>
    <m/>
    <m/>
    <m/>
    <m/>
    <m/>
  </r>
  <r>
    <x v="0"/>
    <x v="128"/>
    <n v="2372"/>
    <n v="47793"/>
    <n v="11"/>
    <n v="830"/>
    <m/>
    <m/>
    <m/>
    <m/>
    <m/>
    <m/>
    <m/>
  </r>
  <r>
    <x v="1"/>
    <x v="128"/>
    <n v="10"/>
    <n v="38"/>
    <m/>
    <n v="0"/>
    <m/>
    <m/>
    <m/>
    <m/>
    <m/>
    <m/>
    <m/>
  </r>
  <r>
    <x v="2"/>
    <x v="128"/>
    <n v="30"/>
    <n v="2446"/>
    <n v="4"/>
    <n v="112"/>
    <m/>
    <m/>
    <m/>
    <m/>
    <m/>
    <m/>
    <m/>
  </r>
  <r>
    <x v="3"/>
    <x v="128"/>
    <n v="19"/>
    <n v="192"/>
    <m/>
    <n v="2"/>
    <m/>
    <m/>
    <m/>
    <m/>
    <m/>
    <m/>
    <m/>
  </r>
  <r>
    <x v="4"/>
    <x v="128"/>
    <n v="1058"/>
    <n v="35471"/>
    <n v="10"/>
    <n v="635"/>
    <m/>
    <m/>
    <m/>
    <m/>
    <m/>
    <m/>
    <m/>
  </r>
  <r>
    <x v="5"/>
    <x v="128"/>
    <n v="27"/>
    <n v="829"/>
    <m/>
    <n v="34"/>
    <m/>
    <m/>
    <m/>
    <m/>
    <m/>
    <m/>
    <m/>
  </r>
  <r>
    <x v="6"/>
    <x v="128"/>
    <n v="0"/>
    <n v="126"/>
    <m/>
    <n v="0"/>
    <m/>
    <m/>
    <m/>
    <m/>
    <m/>
    <m/>
    <m/>
  </r>
  <r>
    <x v="7"/>
    <x v="128"/>
    <n v="21"/>
    <n v="376"/>
    <m/>
    <n v="0"/>
    <m/>
    <m/>
    <m/>
    <m/>
    <m/>
    <m/>
    <m/>
  </r>
  <r>
    <x v="8"/>
    <x v="128"/>
    <n v="0"/>
    <n v="76"/>
    <m/>
    <n v="0"/>
    <m/>
    <m/>
    <m/>
    <m/>
    <m/>
    <m/>
    <m/>
  </r>
  <r>
    <x v="9"/>
    <x v="128"/>
    <n v="52"/>
    <n v="311"/>
    <m/>
    <n v="0"/>
    <m/>
    <m/>
    <m/>
    <m/>
    <m/>
    <m/>
    <m/>
  </r>
  <r>
    <x v="10"/>
    <x v="128"/>
    <n v="0"/>
    <n v="7"/>
    <m/>
    <n v="0"/>
    <m/>
    <m/>
    <m/>
    <m/>
    <m/>
    <m/>
    <m/>
  </r>
  <r>
    <x v="11"/>
    <x v="128"/>
    <n v="1"/>
    <n v="125"/>
    <m/>
    <n v="0"/>
    <m/>
    <m/>
    <m/>
    <m/>
    <m/>
    <m/>
    <m/>
  </r>
  <r>
    <x v="12"/>
    <x v="128"/>
    <n v="11"/>
    <n v="251"/>
    <m/>
    <n v="0"/>
    <m/>
    <m/>
    <m/>
    <m/>
    <m/>
    <m/>
    <m/>
  </r>
  <r>
    <x v="13"/>
    <x v="128"/>
    <n v="0"/>
    <n v="49"/>
    <m/>
    <n v="0"/>
    <m/>
    <m/>
    <m/>
    <m/>
    <m/>
    <m/>
    <m/>
  </r>
  <r>
    <x v="14"/>
    <x v="128"/>
    <n v="10"/>
    <n v="640"/>
    <m/>
    <n v="0"/>
    <m/>
    <m/>
    <m/>
    <m/>
    <m/>
    <m/>
    <m/>
  </r>
  <r>
    <x v="15"/>
    <x v="128"/>
    <n v="23"/>
    <n v="1031"/>
    <m/>
    <n v="0"/>
    <m/>
    <m/>
    <m/>
    <m/>
    <m/>
    <m/>
    <m/>
  </r>
  <r>
    <x v="16"/>
    <x v="128"/>
    <n v="9"/>
    <n v="84"/>
    <n v="1"/>
    <n v="1"/>
    <m/>
    <m/>
    <m/>
    <m/>
    <m/>
    <m/>
    <m/>
  </r>
  <r>
    <x v="17"/>
    <x v="128"/>
    <n v="0"/>
    <n v="9"/>
    <m/>
    <n v="0"/>
    <m/>
    <m/>
    <m/>
    <m/>
    <m/>
    <m/>
    <m/>
  </r>
  <r>
    <x v="18"/>
    <x v="128"/>
    <n v="0"/>
    <n v="12"/>
    <m/>
    <n v="0"/>
    <m/>
    <m/>
    <m/>
    <m/>
    <m/>
    <m/>
    <m/>
  </r>
  <r>
    <x v="19"/>
    <x v="128"/>
    <n v="2"/>
    <n v="56"/>
    <m/>
    <n v="0"/>
    <m/>
    <m/>
    <m/>
    <m/>
    <m/>
    <m/>
    <m/>
  </r>
  <r>
    <x v="20"/>
    <x v="128"/>
    <n v="15"/>
    <n v="480"/>
    <m/>
    <n v="6"/>
    <m/>
    <m/>
    <m/>
    <m/>
    <m/>
    <m/>
    <m/>
  </r>
  <r>
    <x v="21"/>
    <x v="128"/>
    <n v="1"/>
    <n v="36"/>
    <m/>
    <n v="0"/>
    <m/>
    <m/>
    <m/>
    <m/>
    <m/>
    <m/>
    <m/>
  </r>
  <r>
    <x v="22"/>
    <x v="128"/>
    <n v="1"/>
    <n v="155"/>
    <m/>
    <n v="1"/>
    <m/>
    <m/>
    <m/>
    <m/>
    <m/>
    <m/>
    <m/>
  </r>
  <r>
    <x v="23"/>
    <x v="128"/>
    <n v="1"/>
    <n v="89"/>
    <m/>
    <n v="4"/>
    <m/>
    <m/>
    <m/>
    <m/>
    <m/>
    <m/>
    <m/>
  </r>
  <r>
    <x v="0"/>
    <x v="129"/>
    <n v="2118"/>
    <n v="49911"/>
    <n v="29"/>
    <n v="859"/>
    <m/>
    <m/>
    <m/>
    <m/>
    <m/>
    <m/>
    <m/>
  </r>
  <r>
    <x v="1"/>
    <x v="129"/>
    <n v="0"/>
    <n v="38"/>
    <m/>
    <n v="0"/>
    <m/>
    <m/>
    <m/>
    <m/>
    <m/>
    <m/>
    <m/>
  </r>
  <r>
    <x v="2"/>
    <x v="129"/>
    <n v="50"/>
    <n v="2496"/>
    <n v="1"/>
    <n v="113"/>
    <m/>
    <m/>
    <m/>
    <m/>
    <m/>
    <m/>
    <m/>
  </r>
  <r>
    <x v="3"/>
    <x v="129"/>
    <n v="4"/>
    <n v="196"/>
    <m/>
    <n v="2"/>
    <m/>
    <m/>
    <m/>
    <m/>
    <m/>
    <m/>
    <m/>
  </r>
  <r>
    <x v="4"/>
    <x v="129"/>
    <n v="1049"/>
    <n v="36520"/>
    <n v="21"/>
    <n v="656"/>
    <m/>
    <m/>
    <m/>
    <m/>
    <m/>
    <m/>
    <m/>
  </r>
  <r>
    <x v="5"/>
    <x v="129"/>
    <n v="26"/>
    <n v="855"/>
    <m/>
    <n v="34"/>
    <m/>
    <m/>
    <m/>
    <m/>
    <m/>
    <m/>
    <m/>
  </r>
  <r>
    <x v="6"/>
    <x v="129"/>
    <n v="0"/>
    <n v="126"/>
    <m/>
    <n v="0"/>
    <m/>
    <m/>
    <m/>
    <m/>
    <m/>
    <m/>
    <m/>
  </r>
  <r>
    <x v="7"/>
    <x v="129"/>
    <n v="25"/>
    <n v="401"/>
    <m/>
    <n v="0"/>
    <m/>
    <m/>
    <m/>
    <m/>
    <m/>
    <m/>
    <m/>
  </r>
  <r>
    <x v="8"/>
    <x v="129"/>
    <n v="0"/>
    <n v="76"/>
    <m/>
    <n v="0"/>
    <m/>
    <m/>
    <m/>
    <m/>
    <m/>
    <m/>
    <m/>
  </r>
  <r>
    <x v="9"/>
    <x v="129"/>
    <n v="23"/>
    <n v="334"/>
    <m/>
    <n v="0"/>
    <m/>
    <m/>
    <m/>
    <m/>
    <m/>
    <m/>
    <m/>
  </r>
  <r>
    <x v="10"/>
    <x v="129"/>
    <n v="0"/>
    <n v="7"/>
    <m/>
    <n v="0"/>
    <m/>
    <m/>
    <m/>
    <m/>
    <m/>
    <m/>
    <m/>
  </r>
  <r>
    <x v="11"/>
    <x v="129"/>
    <n v="6"/>
    <n v="131"/>
    <n v="2"/>
    <n v="2"/>
    <m/>
    <m/>
    <m/>
    <m/>
    <m/>
    <m/>
    <m/>
  </r>
  <r>
    <x v="12"/>
    <x v="129"/>
    <n v="12"/>
    <n v="263"/>
    <m/>
    <n v="0"/>
    <m/>
    <m/>
    <m/>
    <m/>
    <m/>
    <m/>
    <m/>
  </r>
  <r>
    <x v="13"/>
    <x v="129"/>
    <n v="0"/>
    <n v="49"/>
    <m/>
    <n v="0"/>
    <m/>
    <m/>
    <m/>
    <m/>
    <m/>
    <m/>
    <m/>
  </r>
  <r>
    <x v="14"/>
    <x v="129"/>
    <n v="14"/>
    <n v="654"/>
    <n v="1"/>
    <n v="1"/>
    <m/>
    <m/>
    <m/>
    <m/>
    <m/>
    <m/>
    <m/>
  </r>
  <r>
    <x v="15"/>
    <x v="129"/>
    <n v="26"/>
    <n v="1057"/>
    <m/>
    <n v="0"/>
    <m/>
    <m/>
    <m/>
    <m/>
    <m/>
    <m/>
    <m/>
  </r>
  <r>
    <x v="16"/>
    <x v="129"/>
    <n v="2"/>
    <n v="86"/>
    <m/>
    <n v="0"/>
    <m/>
    <m/>
    <m/>
    <m/>
    <m/>
    <m/>
    <m/>
  </r>
  <r>
    <x v="17"/>
    <x v="129"/>
    <n v="0"/>
    <n v="9"/>
    <m/>
    <n v="0"/>
    <m/>
    <m/>
    <m/>
    <m/>
    <m/>
    <m/>
    <m/>
  </r>
  <r>
    <x v="18"/>
    <x v="129"/>
    <n v="0"/>
    <n v="12"/>
    <m/>
    <n v="0"/>
    <m/>
    <m/>
    <m/>
    <m/>
    <m/>
    <m/>
    <m/>
  </r>
  <r>
    <x v="19"/>
    <x v="129"/>
    <n v="4"/>
    <n v="60"/>
    <m/>
    <n v="0"/>
    <m/>
    <m/>
    <m/>
    <m/>
    <m/>
    <m/>
    <m/>
  </r>
  <r>
    <x v="20"/>
    <x v="129"/>
    <n v="6"/>
    <n v="486"/>
    <m/>
    <n v="6"/>
    <m/>
    <m/>
    <m/>
    <m/>
    <m/>
    <m/>
    <m/>
  </r>
  <r>
    <x v="21"/>
    <x v="129"/>
    <n v="0"/>
    <n v="36"/>
    <m/>
    <n v="0"/>
    <m/>
    <m/>
    <m/>
    <m/>
    <m/>
    <m/>
    <m/>
  </r>
  <r>
    <x v="22"/>
    <x v="129"/>
    <n v="0"/>
    <n v="155"/>
    <m/>
    <n v="1"/>
    <m/>
    <m/>
    <m/>
    <m/>
    <m/>
    <m/>
    <m/>
  </r>
  <r>
    <x v="23"/>
    <x v="129"/>
    <n v="2"/>
    <n v="91"/>
    <m/>
    <n v="4"/>
    <m/>
    <m/>
    <m/>
    <m/>
    <m/>
    <m/>
    <m/>
  </r>
  <r>
    <x v="0"/>
    <x v="130"/>
    <n v="2113"/>
    <n v="52024"/>
    <n v="21"/>
    <n v="880"/>
    <m/>
    <m/>
    <m/>
    <m/>
    <m/>
    <m/>
    <m/>
  </r>
  <r>
    <x v="1"/>
    <x v="130"/>
    <n v="1"/>
    <n v="39"/>
    <m/>
    <n v="0"/>
    <m/>
    <m/>
    <m/>
    <m/>
    <m/>
    <m/>
    <m/>
  </r>
  <r>
    <x v="2"/>
    <x v="130"/>
    <n v="56"/>
    <n v="2552"/>
    <n v="1"/>
    <n v="114"/>
    <m/>
    <m/>
    <m/>
    <m/>
    <m/>
    <m/>
    <m/>
  </r>
  <r>
    <x v="3"/>
    <x v="130"/>
    <n v="9"/>
    <n v="205"/>
    <n v="1"/>
    <n v="3"/>
    <m/>
    <m/>
    <m/>
    <m/>
    <m/>
    <m/>
    <m/>
  </r>
  <r>
    <x v="4"/>
    <x v="130"/>
    <n v="1051"/>
    <n v="37571"/>
    <n v="13"/>
    <n v="669"/>
    <m/>
    <m/>
    <m/>
    <m/>
    <m/>
    <m/>
    <m/>
  </r>
  <r>
    <x v="5"/>
    <x v="130"/>
    <n v="30"/>
    <n v="885"/>
    <m/>
    <n v="34"/>
    <m/>
    <m/>
    <m/>
    <m/>
    <m/>
    <m/>
    <m/>
  </r>
  <r>
    <x v="6"/>
    <x v="130"/>
    <n v="1"/>
    <n v="127"/>
    <m/>
    <n v="0"/>
    <m/>
    <m/>
    <m/>
    <m/>
    <m/>
    <m/>
    <m/>
  </r>
  <r>
    <x v="7"/>
    <x v="130"/>
    <n v="31"/>
    <n v="432"/>
    <m/>
    <n v="0"/>
    <m/>
    <m/>
    <m/>
    <m/>
    <m/>
    <m/>
    <m/>
  </r>
  <r>
    <x v="8"/>
    <x v="130"/>
    <n v="0"/>
    <n v="76"/>
    <m/>
    <n v="0"/>
    <m/>
    <m/>
    <m/>
    <m/>
    <m/>
    <m/>
    <m/>
  </r>
  <r>
    <x v="9"/>
    <x v="130"/>
    <n v="59"/>
    <n v="393"/>
    <m/>
    <n v="0"/>
    <m/>
    <m/>
    <m/>
    <m/>
    <m/>
    <m/>
    <m/>
  </r>
  <r>
    <x v="10"/>
    <x v="130"/>
    <n v="0"/>
    <n v="7"/>
    <m/>
    <n v="0"/>
    <m/>
    <m/>
    <m/>
    <m/>
    <m/>
    <m/>
    <m/>
  </r>
  <r>
    <x v="11"/>
    <x v="130"/>
    <n v="5"/>
    <n v="136"/>
    <m/>
    <n v="0"/>
    <m/>
    <m/>
    <m/>
    <m/>
    <m/>
    <m/>
    <m/>
  </r>
  <r>
    <x v="12"/>
    <x v="130"/>
    <n v="14"/>
    <n v="277"/>
    <m/>
    <n v="2"/>
    <m/>
    <m/>
    <m/>
    <m/>
    <m/>
    <m/>
    <m/>
  </r>
  <r>
    <x v="13"/>
    <x v="130"/>
    <n v="0"/>
    <n v="49"/>
    <m/>
    <n v="0"/>
    <m/>
    <m/>
    <m/>
    <m/>
    <m/>
    <m/>
    <m/>
  </r>
  <r>
    <x v="14"/>
    <x v="130"/>
    <n v="13"/>
    <n v="667"/>
    <m/>
    <n v="0"/>
    <m/>
    <m/>
    <m/>
    <m/>
    <m/>
    <m/>
    <m/>
  </r>
  <r>
    <x v="15"/>
    <x v="130"/>
    <n v="25"/>
    <n v="1082"/>
    <m/>
    <n v="1"/>
    <m/>
    <m/>
    <m/>
    <m/>
    <m/>
    <m/>
    <m/>
  </r>
  <r>
    <x v="16"/>
    <x v="130"/>
    <n v="21"/>
    <n v="107"/>
    <m/>
    <n v="0"/>
    <m/>
    <m/>
    <m/>
    <m/>
    <m/>
    <m/>
    <m/>
  </r>
  <r>
    <x v="17"/>
    <x v="130"/>
    <n v="0"/>
    <n v="9"/>
    <m/>
    <n v="0"/>
    <m/>
    <m/>
    <m/>
    <m/>
    <m/>
    <m/>
    <m/>
  </r>
  <r>
    <x v="18"/>
    <x v="130"/>
    <n v="0"/>
    <n v="12"/>
    <m/>
    <n v="0"/>
    <m/>
    <m/>
    <m/>
    <m/>
    <m/>
    <m/>
    <m/>
  </r>
  <r>
    <x v="19"/>
    <x v="130"/>
    <n v="0"/>
    <n v="60"/>
    <m/>
    <n v="0"/>
    <m/>
    <m/>
    <m/>
    <m/>
    <m/>
    <m/>
    <m/>
  </r>
  <r>
    <x v="20"/>
    <x v="130"/>
    <n v="19"/>
    <n v="505"/>
    <m/>
    <n v="6"/>
    <m/>
    <m/>
    <m/>
    <m/>
    <m/>
    <m/>
    <m/>
  </r>
  <r>
    <x v="21"/>
    <x v="130"/>
    <n v="0"/>
    <n v="36"/>
    <m/>
    <n v="0"/>
    <m/>
    <m/>
    <m/>
    <m/>
    <m/>
    <m/>
    <m/>
  </r>
  <r>
    <x v="22"/>
    <x v="130"/>
    <n v="0"/>
    <n v="155"/>
    <m/>
    <n v="1"/>
    <m/>
    <m/>
    <m/>
    <m/>
    <m/>
    <m/>
    <m/>
  </r>
  <r>
    <x v="23"/>
    <x v="130"/>
    <n v="0"/>
    <n v="91"/>
    <m/>
    <n v="4"/>
    <m/>
    <m/>
    <m/>
    <m/>
    <m/>
    <m/>
    <m/>
  </r>
  <r>
    <x v="0"/>
    <x v="131"/>
    <n v="1633"/>
    <n v="53657"/>
    <n v="23"/>
    <n v="903"/>
    <m/>
    <m/>
    <m/>
    <m/>
    <m/>
    <m/>
    <m/>
  </r>
  <r>
    <x v="1"/>
    <x v="131"/>
    <n v="0"/>
    <n v="39"/>
    <m/>
    <n v="0"/>
    <m/>
    <m/>
    <m/>
    <m/>
    <m/>
    <m/>
    <m/>
  </r>
  <r>
    <x v="2"/>
    <x v="131"/>
    <n v="25"/>
    <n v="2577"/>
    <m/>
    <n v="114"/>
    <m/>
    <m/>
    <m/>
    <m/>
    <m/>
    <m/>
    <m/>
  </r>
  <r>
    <x v="3"/>
    <x v="131"/>
    <n v="1"/>
    <n v="206"/>
    <m/>
    <n v="3"/>
    <m/>
    <m/>
    <m/>
    <m/>
    <m/>
    <m/>
    <m/>
  </r>
  <r>
    <x v="4"/>
    <x v="131"/>
    <n v="754"/>
    <n v="38325"/>
    <n v="11"/>
    <n v="680"/>
    <m/>
    <m/>
    <m/>
    <m/>
    <m/>
    <m/>
    <m/>
  </r>
  <r>
    <x v="5"/>
    <x v="131"/>
    <n v="34"/>
    <n v="919"/>
    <m/>
    <n v="34"/>
    <m/>
    <m/>
    <m/>
    <m/>
    <m/>
    <m/>
    <m/>
  </r>
  <r>
    <x v="6"/>
    <x v="131"/>
    <n v="0"/>
    <n v="127"/>
    <m/>
    <n v="0"/>
    <m/>
    <m/>
    <m/>
    <m/>
    <m/>
    <m/>
    <m/>
  </r>
  <r>
    <x v="7"/>
    <x v="131"/>
    <n v="60"/>
    <n v="492"/>
    <m/>
    <n v="0"/>
    <m/>
    <m/>
    <m/>
    <m/>
    <m/>
    <m/>
    <m/>
  </r>
  <r>
    <x v="8"/>
    <x v="131"/>
    <n v="0"/>
    <n v="76"/>
    <m/>
    <n v="0"/>
    <m/>
    <m/>
    <m/>
    <m/>
    <m/>
    <m/>
    <m/>
  </r>
  <r>
    <x v="9"/>
    <x v="131"/>
    <n v="68"/>
    <n v="461"/>
    <m/>
    <n v="0"/>
    <m/>
    <m/>
    <m/>
    <m/>
    <m/>
    <m/>
    <m/>
  </r>
  <r>
    <x v="10"/>
    <x v="131"/>
    <n v="0"/>
    <n v="7"/>
    <m/>
    <n v="0"/>
    <m/>
    <m/>
    <m/>
    <m/>
    <m/>
    <m/>
    <m/>
  </r>
  <r>
    <x v="11"/>
    <x v="131"/>
    <n v="4"/>
    <n v="140"/>
    <m/>
    <n v="0"/>
    <m/>
    <m/>
    <m/>
    <m/>
    <m/>
    <m/>
    <m/>
  </r>
  <r>
    <x v="12"/>
    <x v="131"/>
    <n v="14"/>
    <n v="291"/>
    <m/>
    <n v="0"/>
    <m/>
    <m/>
    <m/>
    <m/>
    <m/>
    <m/>
    <m/>
  </r>
  <r>
    <x v="13"/>
    <x v="131"/>
    <n v="0"/>
    <n v="49"/>
    <m/>
    <n v="2"/>
    <m/>
    <m/>
    <m/>
    <m/>
    <m/>
    <m/>
    <m/>
  </r>
  <r>
    <x v="14"/>
    <x v="131"/>
    <n v="17"/>
    <n v="684"/>
    <m/>
    <n v="0"/>
    <m/>
    <m/>
    <m/>
    <m/>
    <m/>
    <m/>
    <m/>
  </r>
  <r>
    <x v="15"/>
    <x v="131"/>
    <n v="14"/>
    <n v="1096"/>
    <n v="1"/>
    <n v="1"/>
    <m/>
    <m/>
    <m/>
    <m/>
    <m/>
    <m/>
    <m/>
  </r>
  <r>
    <x v="16"/>
    <x v="131"/>
    <n v="2"/>
    <n v="109"/>
    <m/>
    <n v="1"/>
    <m/>
    <m/>
    <m/>
    <m/>
    <m/>
    <m/>
    <m/>
  </r>
  <r>
    <x v="17"/>
    <x v="131"/>
    <n v="0"/>
    <n v="9"/>
    <m/>
    <n v="0"/>
    <m/>
    <m/>
    <m/>
    <m/>
    <m/>
    <m/>
    <m/>
  </r>
  <r>
    <x v="18"/>
    <x v="131"/>
    <n v="0"/>
    <n v="12"/>
    <m/>
    <n v="0"/>
    <m/>
    <m/>
    <m/>
    <m/>
    <m/>
    <m/>
    <m/>
  </r>
  <r>
    <x v="19"/>
    <x v="131"/>
    <n v="1"/>
    <n v="61"/>
    <m/>
    <n v="0"/>
    <m/>
    <m/>
    <m/>
    <m/>
    <m/>
    <m/>
    <m/>
  </r>
  <r>
    <x v="20"/>
    <x v="131"/>
    <n v="23"/>
    <n v="528"/>
    <m/>
    <n v="6"/>
    <m/>
    <m/>
    <m/>
    <m/>
    <m/>
    <m/>
    <m/>
  </r>
  <r>
    <x v="21"/>
    <x v="131"/>
    <n v="0"/>
    <n v="36"/>
    <m/>
    <n v="0"/>
    <m/>
    <m/>
    <m/>
    <m/>
    <m/>
    <m/>
    <m/>
  </r>
  <r>
    <x v="22"/>
    <x v="131"/>
    <n v="6"/>
    <n v="161"/>
    <m/>
    <n v="1"/>
    <m/>
    <m/>
    <m/>
    <m/>
    <m/>
    <m/>
    <m/>
  </r>
  <r>
    <x v="23"/>
    <x v="131"/>
    <n v="1"/>
    <n v="92"/>
    <m/>
    <n v="4"/>
    <m/>
    <m/>
    <m/>
    <m/>
    <m/>
    <m/>
    <m/>
  </r>
  <r>
    <x v="0"/>
    <x v="132"/>
    <n v="2002"/>
    <n v="55659"/>
    <n v="27"/>
    <n v="930"/>
    <m/>
    <m/>
    <m/>
    <m/>
    <m/>
    <m/>
    <m/>
  </r>
  <r>
    <x v="1"/>
    <x v="132"/>
    <n v="0"/>
    <n v="39"/>
    <m/>
    <n v="0"/>
    <m/>
    <m/>
    <m/>
    <m/>
    <m/>
    <m/>
    <m/>
  </r>
  <r>
    <x v="2"/>
    <x v="132"/>
    <n v="25"/>
    <n v="2602"/>
    <m/>
    <n v="114"/>
    <m/>
    <m/>
    <m/>
    <m/>
    <m/>
    <m/>
    <m/>
  </r>
  <r>
    <x v="3"/>
    <x v="132"/>
    <n v="5"/>
    <n v="211"/>
    <m/>
    <n v="3"/>
    <m/>
    <m/>
    <m/>
    <m/>
    <m/>
    <m/>
    <m/>
  </r>
  <r>
    <x v="4"/>
    <x v="132"/>
    <n v="860"/>
    <n v="39185"/>
    <n v="31"/>
    <n v="711"/>
    <m/>
    <m/>
    <m/>
    <m/>
    <m/>
    <m/>
    <m/>
  </r>
  <r>
    <x v="5"/>
    <x v="132"/>
    <n v="44"/>
    <n v="963"/>
    <m/>
    <n v="34"/>
    <m/>
    <m/>
    <m/>
    <m/>
    <m/>
    <m/>
    <m/>
  </r>
  <r>
    <x v="6"/>
    <x v="132"/>
    <n v="0"/>
    <n v="127"/>
    <m/>
    <n v="0"/>
    <m/>
    <m/>
    <m/>
    <m/>
    <m/>
    <m/>
    <m/>
  </r>
  <r>
    <x v="7"/>
    <x v="132"/>
    <n v="42"/>
    <n v="534"/>
    <m/>
    <n v="0"/>
    <m/>
    <m/>
    <m/>
    <m/>
    <m/>
    <m/>
    <m/>
  </r>
  <r>
    <x v="8"/>
    <x v="132"/>
    <n v="2"/>
    <n v="78"/>
    <m/>
    <n v="0"/>
    <m/>
    <m/>
    <m/>
    <m/>
    <m/>
    <m/>
    <m/>
  </r>
  <r>
    <x v="9"/>
    <x v="132"/>
    <n v="5"/>
    <n v="466"/>
    <m/>
    <n v="0"/>
    <m/>
    <m/>
    <m/>
    <m/>
    <m/>
    <m/>
    <m/>
  </r>
  <r>
    <x v="10"/>
    <x v="132"/>
    <n v="0"/>
    <n v="7"/>
    <m/>
    <n v="0"/>
    <m/>
    <m/>
    <m/>
    <m/>
    <m/>
    <m/>
    <m/>
  </r>
  <r>
    <x v="11"/>
    <x v="132"/>
    <n v="6"/>
    <n v="146"/>
    <m/>
    <n v="0"/>
    <m/>
    <m/>
    <m/>
    <m/>
    <m/>
    <m/>
    <m/>
  </r>
  <r>
    <x v="12"/>
    <x v="132"/>
    <n v="13"/>
    <n v="304"/>
    <m/>
    <n v="0"/>
    <m/>
    <m/>
    <m/>
    <m/>
    <m/>
    <m/>
    <m/>
  </r>
  <r>
    <x v="13"/>
    <x v="132"/>
    <n v="0"/>
    <n v="49"/>
    <m/>
    <n v="0"/>
    <m/>
    <m/>
    <m/>
    <m/>
    <m/>
    <m/>
    <m/>
  </r>
  <r>
    <x v="14"/>
    <x v="132"/>
    <n v="47"/>
    <n v="731"/>
    <m/>
    <n v="2"/>
    <m/>
    <m/>
    <m/>
    <m/>
    <m/>
    <m/>
    <m/>
  </r>
  <r>
    <x v="15"/>
    <x v="132"/>
    <n v="27"/>
    <n v="1123"/>
    <m/>
    <n v="0"/>
    <m/>
    <m/>
    <m/>
    <m/>
    <m/>
    <m/>
    <m/>
  </r>
  <r>
    <x v="16"/>
    <x v="132"/>
    <n v="8"/>
    <n v="117"/>
    <m/>
    <n v="1"/>
    <m/>
    <m/>
    <m/>
    <m/>
    <m/>
    <m/>
    <m/>
  </r>
  <r>
    <x v="17"/>
    <x v="132"/>
    <n v="0"/>
    <n v="9"/>
    <m/>
    <n v="0"/>
    <m/>
    <m/>
    <m/>
    <m/>
    <m/>
    <m/>
    <m/>
  </r>
  <r>
    <x v="18"/>
    <x v="132"/>
    <n v="0"/>
    <n v="12"/>
    <m/>
    <n v="0"/>
    <m/>
    <m/>
    <m/>
    <m/>
    <m/>
    <m/>
    <m/>
  </r>
  <r>
    <x v="19"/>
    <x v="132"/>
    <n v="0"/>
    <n v="61"/>
    <m/>
    <n v="0"/>
    <m/>
    <m/>
    <m/>
    <m/>
    <m/>
    <m/>
    <m/>
  </r>
  <r>
    <x v="20"/>
    <x v="132"/>
    <n v="11"/>
    <n v="539"/>
    <m/>
    <n v="6"/>
    <m/>
    <m/>
    <m/>
    <m/>
    <m/>
    <m/>
    <m/>
  </r>
  <r>
    <x v="21"/>
    <x v="132"/>
    <n v="0"/>
    <n v="36"/>
    <m/>
    <n v="0"/>
    <m/>
    <m/>
    <m/>
    <m/>
    <m/>
    <m/>
    <m/>
  </r>
  <r>
    <x v="22"/>
    <x v="132"/>
    <n v="0"/>
    <n v="161"/>
    <m/>
    <n v="1"/>
    <m/>
    <m/>
    <m/>
    <m/>
    <m/>
    <m/>
    <m/>
  </r>
  <r>
    <x v="23"/>
    <x v="132"/>
    <n v="2"/>
    <n v="94"/>
    <m/>
    <n v="4"/>
    <m/>
    <m/>
    <m/>
    <m/>
    <m/>
    <m/>
    <m/>
  </r>
  <r>
    <x v="0"/>
    <x v="133"/>
    <n v="2262"/>
    <n v="57921"/>
    <n v="35"/>
    <n v="965"/>
    <m/>
    <m/>
    <m/>
    <m/>
    <m/>
    <m/>
    <m/>
  </r>
  <r>
    <x v="1"/>
    <x v="133"/>
    <n v="0"/>
    <n v="39"/>
    <m/>
    <n v="0"/>
    <m/>
    <m/>
    <m/>
    <m/>
    <m/>
    <m/>
    <m/>
  </r>
  <r>
    <x v="2"/>
    <x v="133"/>
    <n v="72"/>
    <n v="2674"/>
    <n v="1"/>
    <n v="115"/>
    <m/>
    <m/>
    <m/>
    <m/>
    <m/>
    <m/>
    <m/>
  </r>
  <r>
    <x v="3"/>
    <x v="133"/>
    <n v="2"/>
    <n v="213"/>
    <m/>
    <n v="3"/>
    <m/>
    <m/>
    <m/>
    <m/>
    <m/>
    <m/>
    <m/>
  </r>
  <r>
    <x v="4"/>
    <x v="133"/>
    <n v="1039"/>
    <n v="40224"/>
    <n v="28"/>
    <n v="739"/>
    <m/>
    <m/>
    <m/>
    <m/>
    <m/>
    <m/>
    <m/>
  </r>
  <r>
    <x v="5"/>
    <x v="133"/>
    <n v="43"/>
    <n v="1006"/>
    <m/>
    <n v="34"/>
    <m/>
    <m/>
    <m/>
    <m/>
    <m/>
    <m/>
    <m/>
  </r>
  <r>
    <x v="6"/>
    <x v="133"/>
    <n v="1"/>
    <n v="128"/>
    <m/>
    <n v="0"/>
    <m/>
    <m/>
    <m/>
    <m/>
    <m/>
    <m/>
    <m/>
  </r>
  <r>
    <x v="7"/>
    <x v="133"/>
    <n v="22"/>
    <n v="556"/>
    <m/>
    <n v="0"/>
    <m/>
    <m/>
    <m/>
    <m/>
    <m/>
    <m/>
    <m/>
  </r>
  <r>
    <x v="8"/>
    <x v="133"/>
    <n v="0"/>
    <n v="78"/>
    <m/>
    <n v="0"/>
    <m/>
    <m/>
    <m/>
    <m/>
    <m/>
    <m/>
    <m/>
  </r>
  <r>
    <x v="9"/>
    <x v="133"/>
    <n v="16"/>
    <n v="482"/>
    <m/>
    <n v="0"/>
    <m/>
    <m/>
    <m/>
    <m/>
    <m/>
    <m/>
    <m/>
  </r>
  <r>
    <x v="10"/>
    <x v="133"/>
    <n v="0"/>
    <n v="7"/>
    <m/>
    <n v="0"/>
    <m/>
    <m/>
    <m/>
    <m/>
    <m/>
    <m/>
    <m/>
  </r>
  <r>
    <x v="11"/>
    <x v="133"/>
    <n v="8"/>
    <n v="154"/>
    <m/>
    <n v="0"/>
    <m/>
    <m/>
    <m/>
    <m/>
    <m/>
    <m/>
    <m/>
  </r>
  <r>
    <x v="12"/>
    <x v="133"/>
    <n v="27"/>
    <n v="331"/>
    <m/>
    <n v="0"/>
    <m/>
    <m/>
    <m/>
    <m/>
    <m/>
    <m/>
    <m/>
  </r>
  <r>
    <x v="13"/>
    <x v="133"/>
    <n v="0"/>
    <n v="49"/>
    <m/>
    <n v="0"/>
    <m/>
    <m/>
    <m/>
    <m/>
    <m/>
    <m/>
    <m/>
  </r>
  <r>
    <x v="14"/>
    <x v="133"/>
    <n v="21"/>
    <n v="752"/>
    <m/>
    <n v="0"/>
    <m/>
    <m/>
    <m/>
    <m/>
    <m/>
    <m/>
    <m/>
  </r>
  <r>
    <x v="15"/>
    <x v="133"/>
    <n v="43"/>
    <n v="1166"/>
    <n v="1"/>
    <n v="3"/>
    <m/>
    <m/>
    <m/>
    <m/>
    <m/>
    <m/>
    <m/>
  </r>
  <r>
    <x v="16"/>
    <x v="133"/>
    <n v="9"/>
    <n v="126"/>
    <m/>
    <n v="0"/>
    <m/>
    <m/>
    <m/>
    <m/>
    <m/>
    <m/>
    <m/>
  </r>
  <r>
    <x v="17"/>
    <x v="133"/>
    <n v="0"/>
    <n v="9"/>
    <m/>
    <n v="0"/>
    <m/>
    <m/>
    <m/>
    <m/>
    <m/>
    <m/>
    <m/>
  </r>
  <r>
    <x v="18"/>
    <x v="133"/>
    <n v="1"/>
    <n v="13"/>
    <m/>
    <n v="0"/>
    <m/>
    <m/>
    <m/>
    <m/>
    <m/>
    <m/>
    <m/>
  </r>
  <r>
    <x v="19"/>
    <x v="133"/>
    <n v="0"/>
    <n v="61"/>
    <m/>
    <n v="0"/>
    <m/>
    <m/>
    <m/>
    <m/>
    <m/>
    <m/>
    <m/>
  </r>
  <r>
    <x v="20"/>
    <x v="133"/>
    <n v="29"/>
    <n v="568"/>
    <m/>
    <n v="6"/>
    <m/>
    <m/>
    <m/>
    <m/>
    <m/>
    <m/>
    <m/>
  </r>
  <r>
    <x v="21"/>
    <x v="133"/>
    <n v="1"/>
    <n v="37"/>
    <m/>
    <n v="0"/>
    <m/>
    <m/>
    <m/>
    <m/>
    <m/>
    <m/>
    <m/>
  </r>
  <r>
    <x v="22"/>
    <x v="133"/>
    <n v="47"/>
    <n v="208"/>
    <m/>
    <n v="1"/>
    <m/>
    <m/>
    <m/>
    <m/>
    <m/>
    <m/>
    <m/>
  </r>
  <r>
    <x v="23"/>
    <x v="133"/>
    <n v="0"/>
    <n v="94"/>
    <m/>
    <n v="4"/>
    <m/>
    <m/>
    <m/>
    <m/>
    <m/>
    <m/>
    <m/>
  </r>
  <r>
    <x v="0"/>
    <x v="134"/>
    <n v="2735"/>
    <n v="60656"/>
    <n v="42"/>
    <n v="1007"/>
    <m/>
    <m/>
    <m/>
    <m/>
    <m/>
    <m/>
    <m/>
  </r>
  <r>
    <x v="1"/>
    <x v="134"/>
    <n v="2"/>
    <n v="41"/>
    <m/>
    <n v="0"/>
    <m/>
    <m/>
    <m/>
    <m/>
    <m/>
    <m/>
    <m/>
  </r>
  <r>
    <x v="2"/>
    <x v="134"/>
    <n v="77"/>
    <n v="2751"/>
    <m/>
    <n v="115"/>
    <m/>
    <m/>
    <m/>
    <m/>
    <m/>
    <m/>
    <m/>
  </r>
  <r>
    <x v="3"/>
    <x v="134"/>
    <n v="5"/>
    <n v="218"/>
    <m/>
    <n v="3"/>
    <m/>
    <m/>
    <m/>
    <m/>
    <m/>
    <m/>
    <m/>
  </r>
  <r>
    <x v="4"/>
    <x v="134"/>
    <n v="1220"/>
    <n v="41444"/>
    <n v="28"/>
    <n v="767"/>
    <m/>
    <m/>
    <m/>
    <m/>
    <m/>
    <m/>
    <m/>
  </r>
  <r>
    <x v="5"/>
    <x v="134"/>
    <n v="17"/>
    <n v="1023"/>
    <m/>
    <n v="34"/>
    <m/>
    <m/>
    <m/>
    <m/>
    <m/>
    <m/>
    <m/>
  </r>
  <r>
    <x v="6"/>
    <x v="134"/>
    <n v="0"/>
    <n v="128"/>
    <m/>
    <n v="0"/>
    <m/>
    <m/>
    <m/>
    <m/>
    <m/>
    <m/>
    <m/>
  </r>
  <r>
    <x v="7"/>
    <x v="134"/>
    <n v="9"/>
    <n v="565"/>
    <n v="4"/>
    <n v="4"/>
    <m/>
    <m/>
    <m/>
    <m/>
    <m/>
    <m/>
    <m/>
  </r>
  <r>
    <x v="8"/>
    <x v="134"/>
    <n v="0"/>
    <n v="78"/>
    <m/>
    <n v="0"/>
    <m/>
    <m/>
    <m/>
    <m/>
    <m/>
    <m/>
    <m/>
  </r>
  <r>
    <x v="9"/>
    <x v="134"/>
    <n v="50"/>
    <n v="532"/>
    <m/>
    <n v="0"/>
    <m/>
    <m/>
    <m/>
    <m/>
    <m/>
    <m/>
    <m/>
  </r>
  <r>
    <x v="10"/>
    <x v="134"/>
    <n v="1"/>
    <n v="8"/>
    <m/>
    <n v="0"/>
    <m/>
    <m/>
    <m/>
    <m/>
    <m/>
    <m/>
    <m/>
  </r>
  <r>
    <x v="11"/>
    <x v="134"/>
    <n v="3"/>
    <n v="157"/>
    <m/>
    <n v="0"/>
    <m/>
    <m/>
    <m/>
    <m/>
    <m/>
    <m/>
    <m/>
  </r>
  <r>
    <x v="12"/>
    <x v="134"/>
    <n v="29"/>
    <n v="360"/>
    <m/>
    <n v="0"/>
    <m/>
    <m/>
    <m/>
    <m/>
    <m/>
    <m/>
    <m/>
  </r>
  <r>
    <x v="13"/>
    <x v="134"/>
    <n v="0"/>
    <n v="49"/>
    <m/>
    <n v="0"/>
    <m/>
    <m/>
    <m/>
    <m/>
    <m/>
    <m/>
    <m/>
  </r>
  <r>
    <x v="14"/>
    <x v="134"/>
    <n v="35"/>
    <n v="787"/>
    <n v="1"/>
    <n v="1"/>
    <m/>
    <m/>
    <m/>
    <m/>
    <m/>
    <m/>
    <m/>
  </r>
  <r>
    <x v="15"/>
    <x v="134"/>
    <n v="28"/>
    <n v="1194"/>
    <n v="5"/>
    <n v="5"/>
    <m/>
    <m/>
    <m/>
    <m/>
    <m/>
    <m/>
    <m/>
  </r>
  <r>
    <x v="16"/>
    <x v="134"/>
    <n v="2"/>
    <n v="128"/>
    <m/>
    <n v="3"/>
    <m/>
    <m/>
    <m/>
    <m/>
    <m/>
    <m/>
    <m/>
  </r>
  <r>
    <x v="17"/>
    <x v="134"/>
    <n v="5"/>
    <n v="14"/>
    <m/>
    <n v="0"/>
    <m/>
    <m/>
    <m/>
    <m/>
    <m/>
    <m/>
    <m/>
  </r>
  <r>
    <x v="18"/>
    <x v="134"/>
    <n v="0"/>
    <n v="13"/>
    <m/>
    <n v="0"/>
    <m/>
    <m/>
    <m/>
    <m/>
    <m/>
    <m/>
    <m/>
  </r>
  <r>
    <x v="19"/>
    <x v="134"/>
    <n v="9"/>
    <n v="70"/>
    <m/>
    <n v="0"/>
    <m/>
    <m/>
    <m/>
    <m/>
    <m/>
    <m/>
    <m/>
  </r>
  <r>
    <x v="20"/>
    <x v="134"/>
    <n v="23"/>
    <n v="591"/>
    <n v="2"/>
    <n v="8"/>
    <m/>
    <m/>
    <m/>
    <m/>
    <m/>
    <m/>
    <m/>
  </r>
  <r>
    <x v="21"/>
    <x v="134"/>
    <n v="0"/>
    <n v="37"/>
    <m/>
    <n v="0"/>
    <m/>
    <m/>
    <m/>
    <m/>
    <m/>
    <m/>
    <m/>
  </r>
  <r>
    <x v="22"/>
    <x v="134"/>
    <n v="0"/>
    <n v="208"/>
    <m/>
    <n v="1"/>
    <m/>
    <m/>
    <m/>
    <m/>
    <m/>
    <m/>
    <m/>
  </r>
  <r>
    <x v="23"/>
    <x v="134"/>
    <n v="1"/>
    <n v="95"/>
    <m/>
    <n v="4"/>
    <m/>
    <m/>
    <m/>
    <m/>
    <m/>
    <m/>
    <m/>
  </r>
  <r>
    <x v="0"/>
    <x v="135"/>
    <n v="2546"/>
    <n v="63202"/>
    <n v="42"/>
    <n v="1049"/>
    <m/>
    <m/>
    <m/>
    <m/>
    <m/>
    <m/>
    <m/>
  </r>
  <r>
    <x v="1"/>
    <x v="135"/>
    <n v="0"/>
    <n v="41"/>
    <m/>
    <n v="0"/>
    <m/>
    <m/>
    <m/>
    <m/>
    <m/>
    <m/>
    <m/>
  </r>
  <r>
    <x v="2"/>
    <x v="135"/>
    <n v="42"/>
    <n v="2793"/>
    <n v="2"/>
    <n v="117"/>
    <m/>
    <m/>
    <m/>
    <m/>
    <m/>
    <m/>
    <m/>
  </r>
  <r>
    <x v="3"/>
    <x v="135"/>
    <n v="0"/>
    <n v="218"/>
    <m/>
    <n v="3"/>
    <m/>
    <m/>
    <m/>
    <m/>
    <m/>
    <m/>
    <m/>
  </r>
  <r>
    <x v="4"/>
    <x v="135"/>
    <n v="854"/>
    <n v="42298"/>
    <n v="15"/>
    <n v="782"/>
    <m/>
    <m/>
    <m/>
    <m/>
    <m/>
    <m/>
    <m/>
  </r>
  <r>
    <x v="5"/>
    <x v="135"/>
    <n v="40"/>
    <n v="1063"/>
    <m/>
    <n v="34"/>
    <m/>
    <m/>
    <m/>
    <m/>
    <m/>
    <m/>
    <m/>
  </r>
  <r>
    <x v="6"/>
    <x v="135"/>
    <n v="1"/>
    <n v="129"/>
    <m/>
    <n v="0"/>
    <m/>
    <m/>
    <m/>
    <m/>
    <m/>
    <m/>
    <m/>
  </r>
  <r>
    <x v="7"/>
    <x v="135"/>
    <n v="10"/>
    <n v="575"/>
    <m/>
    <n v="4"/>
    <m/>
    <m/>
    <m/>
    <m/>
    <m/>
    <m/>
    <m/>
  </r>
  <r>
    <x v="8"/>
    <x v="135"/>
    <n v="0"/>
    <n v="78"/>
    <m/>
    <n v="0"/>
    <m/>
    <m/>
    <m/>
    <m/>
    <m/>
    <m/>
    <m/>
  </r>
  <r>
    <x v="9"/>
    <x v="135"/>
    <n v="22"/>
    <n v="554"/>
    <m/>
    <n v="0"/>
    <m/>
    <m/>
    <m/>
    <m/>
    <m/>
    <m/>
    <m/>
  </r>
  <r>
    <x v="10"/>
    <x v="135"/>
    <n v="0"/>
    <n v="8"/>
    <m/>
    <n v="0"/>
    <m/>
    <m/>
    <m/>
    <m/>
    <m/>
    <m/>
    <m/>
  </r>
  <r>
    <x v="11"/>
    <x v="135"/>
    <n v="4"/>
    <n v="161"/>
    <n v="2"/>
    <n v="2"/>
    <m/>
    <m/>
    <m/>
    <m/>
    <m/>
    <m/>
    <m/>
  </r>
  <r>
    <x v="12"/>
    <x v="135"/>
    <n v="22"/>
    <n v="382"/>
    <n v="1"/>
    <n v="1"/>
    <m/>
    <m/>
    <m/>
    <m/>
    <m/>
    <m/>
    <m/>
  </r>
  <r>
    <x v="13"/>
    <x v="135"/>
    <n v="0"/>
    <n v="49"/>
    <m/>
    <n v="0"/>
    <m/>
    <m/>
    <m/>
    <m/>
    <m/>
    <m/>
    <m/>
  </r>
  <r>
    <x v="14"/>
    <x v="135"/>
    <n v="15"/>
    <n v="802"/>
    <m/>
    <n v="0"/>
    <m/>
    <m/>
    <m/>
    <m/>
    <m/>
    <m/>
    <m/>
  </r>
  <r>
    <x v="15"/>
    <x v="135"/>
    <n v="21"/>
    <n v="1215"/>
    <m/>
    <n v="1"/>
    <m/>
    <m/>
    <m/>
    <m/>
    <m/>
    <m/>
    <m/>
  </r>
  <r>
    <x v="16"/>
    <x v="135"/>
    <n v="17"/>
    <n v="145"/>
    <m/>
    <n v="5"/>
    <m/>
    <m/>
    <m/>
    <m/>
    <m/>
    <m/>
    <m/>
  </r>
  <r>
    <x v="17"/>
    <x v="135"/>
    <n v="0"/>
    <n v="14"/>
    <m/>
    <n v="0"/>
    <m/>
    <m/>
    <m/>
    <m/>
    <m/>
    <m/>
    <m/>
  </r>
  <r>
    <x v="18"/>
    <x v="135"/>
    <n v="0"/>
    <n v="13"/>
    <m/>
    <n v="0"/>
    <m/>
    <m/>
    <m/>
    <m/>
    <m/>
    <m/>
    <m/>
  </r>
  <r>
    <x v="19"/>
    <x v="135"/>
    <n v="13"/>
    <n v="83"/>
    <m/>
    <n v="0"/>
    <m/>
    <m/>
    <m/>
    <m/>
    <m/>
    <m/>
    <m/>
  </r>
  <r>
    <x v="20"/>
    <x v="135"/>
    <n v="15"/>
    <n v="606"/>
    <m/>
    <n v="8"/>
    <m/>
    <m/>
    <m/>
    <m/>
    <m/>
    <m/>
    <m/>
  </r>
  <r>
    <x v="21"/>
    <x v="135"/>
    <n v="0"/>
    <n v="37"/>
    <m/>
    <n v="0"/>
    <m/>
    <m/>
    <m/>
    <m/>
    <m/>
    <m/>
    <m/>
  </r>
  <r>
    <x v="22"/>
    <x v="135"/>
    <n v="1"/>
    <n v="209"/>
    <m/>
    <n v="1"/>
    <m/>
    <m/>
    <m/>
    <m/>
    <m/>
    <m/>
    <m/>
  </r>
  <r>
    <x v="23"/>
    <x v="135"/>
    <n v="1"/>
    <n v="96"/>
    <m/>
    <n v="4"/>
    <m/>
    <m/>
    <m/>
    <m/>
    <m/>
    <m/>
    <m/>
  </r>
  <r>
    <x v="0"/>
    <x v="136"/>
    <n v="3002"/>
    <n v="66204"/>
    <n v="28"/>
    <n v="1077"/>
    <m/>
    <m/>
    <m/>
    <m/>
    <m/>
    <m/>
    <m/>
  </r>
  <r>
    <x v="1"/>
    <x v="136"/>
    <n v="14"/>
    <n v="55"/>
    <m/>
    <n v="0"/>
    <m/>
    <m/>
    <m/>
    <m/>
    <m/>
    <m/>
    <m/>
  </r>
  <r>
    <x v="2"/>
    <x v="136"/>
    <n v="65"/>
    <n v="2858"/>
    <m/>
    <n v="117"/>
    <m/>
    <m/>
    <m/>
    <m/>
    <m/>
    <m/>
    <m/>
  </r>
  <r>
    <x v="3"/>
    <x v="136"/>
    <n v="9"/>
    <n v="227"/>
    <m/>
    <n v="3"/>
    <m/>
    <m/>
    <m/>
    <m/>
    <m/>
    <m/>
    <m/>
  </r>
  <r>
    <x v="4"/>
    <x v="136"/>
    <n v="1081"/>
    <n v="43379"/>
    <n v="28"/>
    <n v="810"/>
    <m/>
    <m/>
    <m/>
    <m/>
    <m/>
    <m/>
    <m/>
  </r>
  <r>
    <x v="5"/>
    <x v="136"/>
    <n v="49"/>
    <n v="1112"/>
    <n v="1"/>
    <n v="35"/>
    <m/>
    <m/>
    <m/>
    <m/>
    <m/>
    <m/>
    <m/>
  </r>
  <r>
    <x v="6"/>
    <x v="136"/>
    <n v="0"/>
    <n v="129"/>
    <m/>
    <n v="0"/>
    <m/>
    <m/>
    <m/>
    <m/>
    <m/>
    <m/>
    <m/>
  </r>
  <r>
    <x v="7"/>
    <x v="136"/>
    <n v="24"/>
    <n v="599"/>
    <n v="1"/>
    <n v="5"/>
    <m/>
    <m/>
    <m/>
    <m/>
    <m/>
    <m/>
    <m/>
  </r>
  <r>
    <x v="8"/>
    <x v="136"/>
    <n v="0"/>
    <n v="78"/>
    <m/>
    <n v="0"/>
    <m/>
    <m/>
    <m/>
    <m/>
    <m/>
    <m/>
    <m/>
  </r>
  <r>
    <x v="9"/>
    <x v="136"/>
    <n v="107"/>
    <n v="661"/>
    <m/>
    <n v="0"/>
    <m/>
    <m/>
    <m/>
    <m/>
    <m/>
    <m/>
    <m/>
  </r>
  <r>
    <x v="10"/>
    <x v="136"/>
    <n v="0"/>
    <n v="8"/>
    <m/>
    <n v="0"/>
    <m/>
    <m/>
    <m/>
    <m/>
    <m/>
    <m/>
    <m/>
  </r>
  <r>
    <x v="11"/>
    <x v="136"/>
    <n v="2"/>
    <n v="163"/>
    <n v="2"/>
    <n v="2"/>
    <m/>
    <m/>
    <m/>
    <m/>
    <m/>
    <m/>
    <m/>
  </r>
  <r>
    <x v="12"/>
    <x v="136"/>
    <n v="21"/>
    <n v="403"/>
    <n v="3"/>
    <n v="5"/>
    <m/>
    <m/>
    <m/>
    <m/>
    <m/>
    <m/>
    <m/>
  </r>
  <r>
    <x v="13"/>
    <x v="136"/>
    <n v="0"/>
    <n v="49"/>
    <m/>
    <n v="1"/>
    <m/>
    <m/>
    <m/>
    <m/>
    <m/>
    <m/>
    <m/>
  </r>
  <r>
    <x v="14"/>
    <x v="136"/>
    <n v="29"/>
    <n v="831"/>
    <n v="2"/>
    <n v="2"/>
    <m/>
    <m/>
    <m/>
    <m/>
    <m/>
    <m/>
    <m/>
  </r>
  <r>
    <x v="15"/>
    <x v="136"/>
    <n v="57"/>
    <n v="1272"/>
    <n v="1"/>
    <n v="1"/>
    <m/>
    <m/>
    <m/>
    <m/>
    <m/>
    <m/>
    <m/>
  </r>
  <r>
    <x v="16"/>
    <x v="136"/>
    <n v="0"/>
    <n v="145"/>
    <m/>
    <n v="1"/>
    <m/>
    <m/>
    <m/>
    <m/>
    <m/>
    <m/>
    <m/>
  </r>
  <r>
    <x v="17"/>
    <x v="136"/>
    <n v="0"/>
    <n v="14"/>
    <m/>
    <n v="0"/>
    <m/>
    <m/>
    <m/>
    <m/>
    <m/>
    <m/>
    <m/>
  </r>
  <r>
    <x v="18"/>
    <x v="136"/>
    <n v="1"/>
    <n v="14"/>
    <m/>
    <n v="0"/>
    <m/>
    <m/>
    <m/>
    <m/>
    <m/>
    <m/>
    <m/>
  </r>
  <r>
    <x v="19"/>
    <x v="136"/>
    <n v="20"/>
    <n v="103"/>
    <m/>
    <n v="0"/>
    <m/>
    <m/>
    <m/>
    <m/>
    <m/>
    <m/>
    <m/>
  </r>
  <r>
    <x v="20"/>
    <x v="136"/>
    <n v="26"/>
    <n v="632"/>
    <m/>
    <n v="8"/>
    <m/>
    <m/>
    <m/>
    <m/>
    <m/>
    <m/>
    <m/>
  </r>
  <r>
    <x v="21"/>
    <x v="136"/>
    <n v="0"/>
    <n v="37"/>
    <m/>
    <n v="0"/>
    <m/>
    <m/>
    <m/>
    <m/>
    <m/>
    <m/>
    <m/>
  </r>
  <r>
    <x v="22"/>
    <x v="136"/>
    <n v="4"/>
    <n v="213"/>
    <m/>
    <n v="1"/>
    <m/>
    <m/>
    <m/>
    <m/>
    <m/>
    <m/>
    <m/>
  </r>
  <r>
    <x v="23"/>
    <x v="136"/>
    <n v="7"/>
    <n v="103"/>
    <m/>
    <n v="4"/>
    <m/>
    <m/>
    <m/>
    <m/>
    <m/>
    <m/>
    <m/>
  </r>
  <r>
    <x v="0"/>
    <x v="137"/>
    <n v="1817"/>
    <n v="68021"/>
    <n v="21"/>
    <n v="1098"/>
    <m/>
    <m/>
    <m/>
    <m/>
    <m/>
    <m/>
    <m/>
  </r>
  <r>
    <x v="1"/>
    <x v="137"/>
    <n v="0"/>
    <n v="55"/>
    <m/>
    <n v="0"/>
    <m/>
    <m/>
    <m/>
    <m/>
    <m/>
    <m/>
    <m/>
  </r>
  <r>
    <x v="2"/>
    <x v="137"/>
    <n v="60"/>
    <n v="2918"/>
    <n v="3"/>
    <n v="120"/>
    <m/>
    <m/>
    <m/>
    <m/>
    <m/>
    <m/>
    <m/>
  </r>
  <r>
    <x v="3"/>
    <x v="137"/>
    <n v="8"/>
    <n v="235"/>
    <m/>
    <n v="3"/>
    <m/>
    <m/>
    <m/>
    <m/>
    <m/>
    <m/>
    <m/>
  </r>
  <r>
    <x v="4"/>
    <x v="137"/>
    <n v="1106"/>
    <n v="44485"/>
    <n v="16"/>
    <n v="826"/>
    <m/>
    <m/>
    <m/>
    <m/>
    <m/>
    <m/>
    <m/>
  </r>
  <r>
    <x v="5"/>
    <x v="137"/>
    <n v="104"/>
    <n v="1216"/>
    <m/>
    <n v="35"/>
    <m/>
    <m/>
    <m/>
    <m/>
    <m/>
    <m/>
    <m/>
  </r>
  <r>
    <x v="6"/>
    <x v="137"/>
    <n v="1"/>
    <n v="130"/>
    <m/>
    <n v="0"/>
    <m/>
    <m/>
    <m/>
    <m/>
    <m/>
    <m/>
    <m/>
  </r>
  <r>
    <x v="7"/>
    <x v="137"/>
    <n v="15"/>
    <n v="614"/>
    <m/>
    <n v="5"/>
    <m/>
    <m/>
    <m/>
    <m/>
    <m/>
    <m/>
    <m/>
  </r>
  <r>
    <x v="8"/>
    <x v="137"/>
    <n v="0"/>
    <n v="78"/>
    <m/>
    <n v="0"/>
    <m/>
    <m/>
    <m/>
    <m/>
    <m/>
    <m/>
    <m/>
  </r>
  <r>
    <x v="9"/>
    <x v="137"/>
    <n v="7"/>
    <n v="668"/>
    <m/>
    <n v="0"/>
    <m/>
    <m/>
    <m/>
    <m/>
    <m/>
    <m/>
    <m/>
  </r>
  <r>
    <x v="10"/>
    <x v="137"/>
    <n v="0"/>
    <n v="8"/>
    <m/>
    <n v="0"/>
    <m/>
    <m/>
    <m/>
    <m/>
    <m/>
    <m/>
    <m/>
  </r>
  <r>
    <x v="11"/>
    <x v="137"/>
    <n v="17"/>
    <n v="180"/>
    <m/>
    <n v="0"/>
    <m/>
    <m/>
    <m/>
    <m/>
    <m/>
    <m/>
    <m/>
  </r>
  <r>
    <x v="12"/>
    <x v="137"/>
    <n v="44"/>
    <n v="447"/>
    <m/>
    <n v="2"/>
    <m/>
    <m/>
    <m/>
    <m/>
    <m/>
    <m/>
    <m/>
  </r>
  <r>
    <x v="13"/>
    <x v="137"/>
    <n v="0"/>
    <n v="49"/>
    <m/>
    <n v="5"/>
    <m/>
    <m/>
    <m/>
    <m/>
    <m/>
    <m/>
    <m/>
  </r>
  <r>
    <x v="14"/>
    <x v="137"/>
    <n v="16"/>
    <n v="847"/>
    <m/>
    <n v="1"/>
    <m/>
    <m/>
    <m/>
    <m/>
    <m/>
    <m/>
    <m/>
  </r>
  <r>
    <x v="15"/>
    <x v="137"/>
    <n v="25"/>
    <n v="1297"/>
    <n v="2"/>
    <n v="4"/>
    <m/>
    <m/>
    <m/>
    <m/>
    <m/>
    <m/>
    <m/>
  </r>
  <r>
    <x v="16"/>
    <x v="137"/>
    <n v="7"/>
    <n v="152"/>
    <m/>
    <n v="1"/>
    <m/>
    <m/>
    <m/>
    <m/>
    <m/>
    <m/>
    <m/>
  </r>
  <r>
    <x v="17"/>
    <x v="137"/>
    <n v="0"/>
    <n v="14"/>
    <m/>
    <n v="0"/>
    <m/>
    <m/>
    <m/>
    <m/>
    <m/>
    <m/>
    <m/>
  </r>
  <r>
    <x v="18"/>
    <x v="137"/>
    <n v="0"/>
    <n v="14"/>
    <m/>
    <n v="0"/>
    <m/>
    <m/>
    <m/>
    <m/>
    <m/>
    <m/>
    <m/>
  </r>
  <r>
    <x v="19"/>
    <x v="137"/>
    <n v="20"/>
    <n v="123"/>
    <m/>
    <n v="0"/>
    <m/>
    <m/>
    <m/>
    <m/>
    <m/>
    <m/>
    <m/>
  </r>
  <r>
    <x v="20"/>
    <x v="137"/>
    <n v="36"/>
    <n v="668"/>
    <m/>
    <n v="8"/>
    <m/>
    <m/>
    <m/>
    <m/>
    <m/>
    <m/>
    <m/>
  </r>
  <r>
    <x v="21"/>
    <x v="137"/>
    <n v="0"/>
    <n v="37"/>
    <m/>
    <n v="0"/>
    <m/>
    <m/>
    <m/>
    <m/>
    <m/>
    <m/>
    <m/>
  </r>
  <r>
    <x v="22"/>
    <x v="137"/>
    <n v="22"/>
    <n v="235"/>
    <m/>
    <n v="1"/>
    <m/>
    <m/>
    <m/>
    <m/>
    <m/>
    <m/>
    <m/>
  </r>
  <r>
    <x v="23"/>
    <x v="137"/>
    <n v="0"/>
    <n v="103"/>
    <m/>
    <n v="4"/>
    <m/>
    <m/>
    <m/>
    <m/>
    <m/>
    <m/>
    <m/>
  </r>
  <r>
    <x v="0"/>
    <x v="138"/>
    <n v="2761"/>
    <n v="70782"/>
    <n v="21"/>
    <n v="1119"/>
    <m/>
    <m/>
    <m/>
    <m/>
    <m/>
    <m/>
    <m/>
  </r>
  <r>
    <x v="1"/>
    <x v="138"/>
    <n v="3"/>
    <n v="58"/>
    <m/>
    <n v="0"/>
    <m/>
    <m/>
    <m/>
    <m/>
    <m/>
    <m/>
    <m/>
  </r>
  <r>
    <x v="2"/>
    <x v="138"/>
    <n v="48"/>
    <n v="2966"/>
    <n v="1"/>
    <n v="121"/>
    <m/>
    <m/>
    <m/>
    <m/>
    <m/>
    <m/>
    <m/>
  </r>
  <r>
    <x v="3"/>
    <x v="138"/>
    <n v="3"/>
    <n v="238"/>
    <m/>
    <n v="3"/>
    <m/>
    <m/>
    <m/>
    <m/>
    <m/>
    <m/>
    <m/>
  </r>
  <r>
    <x v="4"/>
    <x v="138"/>
    <n v="1116"/>
    <n v="45601"/>
    <n v="14"/>
    <n v="840"/>
    <m/>
    <m/>
    <m/>
    <m/>
    <m/>
    <m/>
    <m/>
  </r>
  <r>
    <x v="5"/>
    <x v="138"/>
    <n v="67"/>
    <n v="1283"/>
    <n v="1"/>
    <n v="36"/>
    <m/>
    <m/>
    <m/>
    <m/>
    <m/>
    <m/>
    <m/>
  </r>
  <r>
    <x v="6"/>
    <x v="138"/>
    <n v="0"/>
    <n v="130"/>
    <n v="1"/>
    <n v="1"/>
    <m/>
    <m/>
    <m/>
    <m/>
    <m/>
    <m/>
    <m/>
  </r>
  <r>
    <x v="7"/>
    <x v="138"/>
    <n v="16"/>
    <n v="630"/>
    <m/>
    <n v="5"/>
    <m/>
    <m/>
    <m/>
    <m/>
    <m/>
    <m/>
    <m/>
  </r>
  <r>
    <x v="8"/>
    <x v="138"/>
    <n v="0"/>
    <n v="78"/>
    <m/>
    <n v="0"/>
    <m/>
    <m/>
    <m/>
    <m/>
    <m/>
    <m/>
    <m/>
  </r>
  <r>
    <x v="9"/>
    <x v="138"/>
    <n v="6"/>
    <n v="674"/>
    <m/>
    <n v="0"/>
    <m/>
    <m/>
    <m/>
    <m/>
    <m/>
    <m/>
    <m/>
  </r>
  <r>
    <x v="10"/>
    <x v="138"/>
    <n v="0"/>
    <n v="8"/>
    <m/>
    <n v="0"/>
    <m/>
    <m/>
    <m/>
    <m/>
    <m/>
    <m/>
    <m/>
  </r>
  <r>
    <x v="11"/>
    <x v="138"/>
    <n v="4"/>
    <n v="184"/>
    <m/>
    <n v="0"/>
    <m/>
    <m/>
    <m/>
    <m/>
    <m/>
    <m/>
    <m/>
  </r>
  <r>
    <x v="12"/>
    <x v="138"/>
    <n v="41"/>
    <n v="488"/>
    <n v="1"/>
    <n v="1"/>
    <m/>
    <m/>
    <m/>
    <m/>
    <m/>
    <m/>
    <m/>
  </r>
  <r>
    <x v="13"/>
    <x v="138"/>
    <n v="0"/>
    <n v="49"/>
    <m/>
    <n v="2"/>
    <m/>
    <m/>
    <m/>
    <m/>
    <m/>
    <m/>
    <m/>
  </r>
  <r>
    <x v="14"/>
    <x v="138"/>
    <n v="33"/>
    <n v="880"/>
    <m/>
    <n v="5"/>
    <m/>
    <m/>
    <m/>
    <m/>
    <m/>
    <m/>
    <m/>
  </r>
  <r>
    <x v="15"/>
    <x v="138"/>
    <n v="23"/>
    <n v="1320"/>
    <m/>
    <n v="1"/>
    <m/>
    <m/>
    <m/>
    <m/>
    <m/>
    <m/>
    <m/>
  </r>
  <r>
    <x v="16"/>
    <x v="138"/>
    <n v="23"/>
    <n v="175"/>
    <m/>
    <n v="4"/>
    <m/>
    <m/>
    <m/>
    <m/>
    <m/>
    <m/>
    <m/>
  </r>
  <r>
    <x v="17"/>
    <x v="138"/>
    <n v="0"/>
    <n v="14"/>
    <m/>
    <n v="0"/>
    <m/>
    <m/>
    <m/>
    <m/>
    <m/>
    <m/>
    <m/>
  </r>
  <r>
    <x v="18"/>
    <x v="138"/>
    <n v="0"/>
    <n v="14"/>
    <m/>
    <n v="0"/>
    <m/>
    <m/>
    <m/>
    <m/>
    <m/>
    <m/>
    <m/>
  </r>
  <r>
    <x v="19"/>
    <x v="138"/>
    <n v="59"/>
    <n v="182"/>
    <m/>
    <n v="0"/>
    <m/>
    <m/>
    <m/>
    <m/>
    <m/>
    <m/>
    <m/>
  </r>
  <r>
    <x v="20"/>
    <x v="138"/>
    <n v="23"/>
    <n v="691"/>
    <n v="1"/>
    <n v="9"/>
    <m/>
    <m/>
    <m/>
    <m/>
    <m/>
    <m/>
    <m/>
  </r>
  <r>
    <x v="21"/>
    <x v="138"/>
    <n v="1"/>
    <n v="38"/>
    <m/>
    <n v="0"/>
    <m/>
    <m/>
    <m/>
    <m/>
    <m/>
    <m/>
    <m/>
  </r>
  <r>
    <x v="22"/>
    <x v="138"/>
    <n v="5"/>
    <n v="240"/>
    <m/>
    <n v="1"/>
    <m/>
    <m/>
    <m/>
    <m/>
    <m/>
    <m/>
    <m/>
  </r>
  <r>
    <x v="23"/>
    <x v="138"/>
    <n v="0"/>
    <n v="103"/>
    <m/>
    <n v="4"/>
    <m/>
    <m/>
    <m/>
    <m/>
    <m/>
    <m/>
    <m/>
  </r>
  <r>
    <x v="0"/>
    <x v="139"/>
    <n v="2556"/>
    <n v="73338"/>
    <n v="57"/>
    <n v="1176"/>
    <m/>
    <m/>
    <m/>
    <m/>
    <m/>
    <m/>
    <m/>
  </r>
  <r>
    <x v="1"/>
    <x v="139"/>
    <n v="0"/>
    <n v="58"/>
    <m/>
    <n v="0"/>
    <m/>
    <m/>
    <m/>
    <m/>
    <m/>
    <m/>
    <m/>
  </r>
  <r>
    <x v="2"/>
    <x v="139"/>
    <n v="30"/>
    <n v="2996"/>
    <n v="1"/>
    <n v="122"/>
    <m/>
    <m/>
    <m/>
    <m/>
    <m/>
    <m/>
    <m/>
  </r>
  <r>
    <x v="3"/>
    <x v="139"/>
    <n v="4"/>
    <n v="242"/>
    <m/>
    <n v="3"/>
    <m/>
    <m/>
    <m/>
    <m/>
    <m/>
    <m/>
    <m/>
  </r>
  <r>
    <x v="4"/>
    <x v="139"/>
    <n v="1090"/>
    <n v="46691"/>
    <n v="50"/>
    <n v="890"/>
    <m/>
    <m/>
    <m/>
    <m/>
    <m/>
    <m/>
    <m/>
  </r>
  <r>
    <x v="5"/>
    <x v="139"/>
    <n v="39"/>
    <n v="1322"/>
    <m/>
    <n v="36"/>
    <m/>
    <m/>
    <m/>
    <m/>
    <m/>
    <m/>
    <m/>
  </r>
  <r>
    <x v="6"/>
    <x v="139"/>
    <n v="0"/>
    <n v="130"/>
    <m/>
    <n v="1"/>
    <m/>
    <m/>
    <m/>
    <m/>
    <m/>
    <m/>
    <m/>
  </r>
  <r>
    <x v="7"/>
    <x v="139"/>
    <n v="18"/>
    <n v="648"/>
    <m/>
    <n v="5"/>
    <m/>
    <m/>
    <m/>
    <m/>
    <m/>
    <m/>
    <m/>
  </r>
  <r>
    <x v="8"/>
    <x v="139"/>
    <n v="0"/>
    <n v="78"/>
    <m/>
    <n v="0"/>
    <m/>
    <m/>
    <m/>
    <m/>
    <m/>
    <m/>
    <m/>
  </r>
  <r>
    <x v="9"/>
    <x v="139"/>
    <n v="84"/>
    <n v="758"/>
    <m/>
    <n v="0"/>
    <m/>
    <m/>
    <m/>
    <m/>
    <m/>
    <m/>
    <m/>
  </r>
  <r>
    <x v="10"/>
    <x v="139"/>
    <n v="0"/>
    <n v="8"/>
    <m/>
    <n v="0"/>
    <m/>
    <m/>
    <m/>
    <m/>
    <m/>
    <m/>
    <m/>
  </r>
  <r>
    <x v="11"/>
    <x v="139"/>
    <n v="0"/>
    <n v="184"/>
    <m/>
    <n v="0"/>
    <m/>
    <m/>
    <m/>
    <m/>
    <m/>
    <m/>
    <m/>
  </r>
  <r>
    <x v="12"/>
    <x v="139"/>
    <n v="25"/>
    <n v="513"/>
    <n v="1"/>
    <n v="1"/>
    <m/>
    <m/>
    <m/>
    <m/>
    <m/>
    <m/>
    <m/>
  </r>
  <r>
    <x v="13"/>
    <x v="139"/>
    <n v="0"/>
    <n v="49"/>
    <m/>
    <n v="1"/>
    <m/>
    <m/>
    <m/>
    <m/>
    <m/>
    <m/>
    <m/>
  </r>
  <r>
    <x v="14"/>
    <x v="139"/>
    <n v="17"/>
    <n v="897"/>
    <m/>
    <n v="2"/>
    <m/>
    <m/>
    <m/>
    <m/>
    <m/>
    <m/>
    <m/>
  </r>
  <r>
    <x v="15"/>
    <x v="139"/>
    <n v="21"/>
    <n v="1341"/>
    <n v="4"/>
    <n v="9"/>
    <m/>
    <m/>
    <m/>
    <m/>
    <m/>
    <m/>
    <m/>
  </r>
  <r>
    <x v="16"/>
    <x v="139"/>
    <n v="1"/>
    <n v="176"/>
    <m/>
    <n v="1"/>
    <m/>
    <m/>
    <m/>
    <m/>
    <m/>
    <m/>
    <m/>
  </r>
  <r>
    <x v="17"/>
    <x v="139"/>
    <n v="0"/>
    <n v="14"/>
    <m/>
    <n v="0"/>
    <m/>
    <m/>
    <m/>
    <m/>
    <m/>
    <m/>
    <m/>
  </r>
  <r>
    <x v="18"/>
    <x v="139"/>
    <n v="1"/>
    <n v="15"/>
    <m/>
    <n v="0"/>
    <m/>
    <m/>
    <m/>
    <m/>
    <m/>
    <m/>
    <m/>
  </r>
  <r>
    <x v="19"/>
    <x v="139"/>
    <n v="24"/>
    <n v="206"/>
    <m/>
    <n v="0"/>
    <m/>
    <m/>
    <m/>
    <m/>
    <m/>
    <m/>
    <m/>
  </r>
  <r>
    <x v="20"/>
    <x v="139"/>
    <n v="27"/>
    <n v="718"/>
    <m/>
    <n v="9"/>
    <m/>
    <m/>
    <m/>
    <m/>
    <m/>
    <m/>
    <m/>
  </r>
  <r>
    <x v="21"/>
    <x v="139"/>
    <n v="0"/>
    <n v="38"/>
    <m/>
    <n v="0"/>
    <m/>
    <m/>
    <m/>
    <m/>
    <m/>
    <m/>
    <m/>
  </r>
  <r>
    <x v="22"/>
    <x v="139"/>
    <n v="0"/>
    <n v="240"/>
    <m/>
    <n v="1"/>
    <m/>
    <m/>
    <m/>
    <m/>
    <m/>
    <m/>
    <m/>
  </r>
  <r>
    <x v="23"/>
    <x v="139"/>
    <n v="0"/>
    <n v="103"/>
    <m/>
    <n v="4"/>
    <m/>
    <m/>
    <m/>
    <m/>
    <m/>
    <m/>
    <m/>
  </r>
  <r>
    <x v="0"/>
    <x v="140"/>
    <n v="3477"/>
    <n v="76815"/>
    <n v="49"/>
    <n v="1225"/>
    <m/>
    <m/>
    <m/>
    <m/>
    <m/>
    <m/>
    <m/>
  </r>
  <r>
    <x v="1"/>
    <x v="140"/>
    <n v="2"/>
    <n v="60"/>
    <m/>
    <n v="0"/>
    <m/>
    <m/>
    <m/>
    <m/>
    <m/>
    <m/>
    <m/>
  </r>
  <r>
    <x v="2"/>
    <x v="140"/>
    <n v="35"/>
    <n v="3031"/>
    <m/>
    <n v="122"/>
    <m/>
    <m/>
    <m/>
    <m/>
    <m/>
    <m/>
    <m/>
  </r>
  <r>
    <x v="3"/>
    <x v="140"/>
    <n v="12"/>
    <n v="254"/>
    <m/>
    <n v="3"/>
    <m/>
    <m/>
    <m/>
    <m/>
    <m/>
    <m/>
    <m/>
  </r>
  <r>
    <x v="4"/>
    <x v="140"/>
    <n v="1452"/>
    <n v="48143"/>
    <n v="32"/>
    <n v="922"/>
    <m/>
    <m/>
    <m/>
    <m/>
    <m/>
    <m/>
    <m/>
  </r>
  <r>
    <x v="5"/>
    <x v="140"/>
    <n v="58"/>
    <n v="1380"/>
    <n v="2"/>
    <n v="38"/>
    <m/>
    <m/>
    <m/>
    <m/>
    <m/>
    <m/>
    <m/>
  </r>
  <r>
    <x v="6"/>
    <x v="140"/>
    <n v="1"/>
    <n v="131"/>
    <m/>
    <n v="1"/>
    <m/>
    <m/>
    <m/>
    <m/>
    <m/>
    <m/>
    <m/>
  </r>
  <r>
    <x v="7"/>
    <x v="140"/>
    <n v="7"/>
    <n v="655"/>
    <n v="1"/>
    <n v="6"/>
    <m/>
    <m/>
    <m/>
    <m/>
    <m/>
    <m/>
    <m/>
  </r>
  <r>
    <x v="8"/>
    <x v="140"/>
    <n v="0"/>
    <n v="78"/>
    <m/>
    <n v="0"/>
    <m/>
    <m/>
    <m/>
    <m/>
    <m/>
    <m/>
    <m/>
  </r>
  <r>
    <x v="9"/>
    <x v="140"/>
    <n v="120"/>
    <n v="878"/>
    <n v="30"/>
    <n v="30"/>
    <m/>
    <m/>
    <m/>
    <m/>
    <m/>
    <m/>
    <m/>
  </r>
  <r>
    <x v="10"/>
    <x v="140"/>
    <n v="0"/>
    <n v="8"/>
    <m/>
    <n v="0"/>
    <m/>
    <m/>
    <m/>
    <m/>
    <m/>
    <m/>
    <m/>
  </r>
  <r>
    <x v="11"/>
    <x v="140"/>
    <n v="2"/>
    <n v="186"/>
    <m/>
    <n v="0"/>
    <m/>
    <m/>
    <m/>
    <m/>
    <m/>
    <m/>
    <m/>
  </r>
  <r>
    <x v="12"/>
    <x v="140"/>
    <n v="49"/>
    <n v="562"/>
    <m/>
    <n v="0"/>
    <m/>
    <m/>
    <m/>
    <m/>
    <m/>
    <m/>
    <m/>
  </r>
  <r>
    <x v="13"/>
    <x v="140"/>
    <n v="0"/>
    <n v="49"/>
    <m/>
    <n v="1"/>
    <m/>
    <m/>
    <m/>
    <m/>
    <m/>
    <m/>
    <m/>
  </r>
  <r>
    <x v="14"/>
    <x v="140"/>
    <n v="26"/>
    <n v="923"/>
    <m/>
    <n v="1"/>
    <m/>
    <m/>
    <m/>
    <m/>
    <m/>
    <m/>
    <m/>
  </r>
  <r>
    <x v="15"/>
    <x v="140"/>
    <n v="34"/>
    <n v="1375"/>
    <n v="2"/>
    <n v="4"/>
    <m/>
    <m/>
    <m/>
    <m/>
    <m/>
    <m/>
    <m/>
  </r>
  <r>
    <x v="16"/>
    <x v="140"/>
    <n v="5"/>
    <n v="181"/>
    <m/>
    <n v="9"/>
    <m/>
    <m/>
    <m/>
    <m/>
    <m/>
    <m/>
    <m/>
  </r>
  <r>
    <x v="17"/>
    <x v="140"/>
    <n v="2"/>
    <n v="16"/>
    <m/>
    <n v="0"/>
    <m/>
    <m/>
    <m/>
    <m/>
    <m/>
    <m/>
    <m/>
  </r>
  <r>
    <x v="18"/>
    <x v="140"/>
    <n v="0"/>
    <n v="15"/>
    <m/>
    <n v="0"/>
    <m/>
    <m/>
    <m/>
    <m/>
    <m/>
    <m/>
    <m/>
  </r>
  <r>
    <x v="19"/>
    <x v="140"/>
    <n v="16"/>
    <n v="222"/>
    <m/>
    <n v="0"/>
    <m/>
    <m/>
    <m/>
    <m/>
    <m/>
    <m/>
    <m/>
  </r>
  <r>
    <x v="20"/>
    <x v="140"/>
    <n v="35"/>
    <n v="753"/>
    <m/>
    <n v="9"/>
    <m/>
    <m/>
    <m/>
    <m/>
    <m/>
    <m/>
    <m/>
  </r>
  <r>
    <x v="21"/>
    <x v="140"/>
    <n v="1"/>
    <n v="39"/>
    <n v="1"/>
    <n v="1"/>
    <m/>
    <m/>
    <m/>
    <m/>
    <m/>
    <m/>
    <m/>
  </r>
  <r>
    <x v="22"/>
    <x v="140"/>
    <n v="9"/>
    <n v="249"/>
    <m/>
    <n v="1"/>
    <m/>
    <m/>
    <m/>
    <m/>
    <m/>
    <m/>
    <m/>
  </r>
  <r>
    <x v="23"/>
    <x v="140"/>
    <n v="1"/>
    <n v="104"/>
    <m/>
    <n v="4"/>
    <m/>
    <m/>
    <m/>
    <m/>
    <m/>
    <m/>
    <m/>
  </r>
  <r>
    <x v="0"/>
    <x v="141"/>
    <n v="3801"/>
    <n v="80616"/>
    <n v="52"/>
    <n v="1277"/>
    <m/>
    <m/>
    <m/>
    <m/>
    <m/>
    <m/>
    <m/>
  </r>
  <r>
    <x v="1"/>
    <x v="141"/>
    <n v="0"/>
    <n v="60"/>
    <m/>
    <n v="0"/>
    <m/>
    <m/>
    <m/>
    <m/>
    <m/>
    <m/>
    <m/>
  </r>
  <r>
    <x v="2"/>
    <x v="141"/>
    <n v="73"/>
    <n v="3104"/>
    <n v="3"/>
    <n v="125"/>
    <m/>
    <m/>
    <m/>
    <m/>
    <m/>
    <m/>
    <m/>
  </r>
  <r>
    <x v="3"/>
    <x v="141"/>
    <n v="0"/>
    <n v="254"/>
    <m/>
    <n v="3"/>
    <m/>
    <m/>
    <m/>
    <m/>
    <m/>
    <m/>
    <m/>
  </r>
  <r>
    <x v="4"/>
    <x v="141"/>
    <n v="1390"/>
    <n v="49533"/>
    <n v="42"/>
    <n v="964"/>
    <m/>
    <m/>
    <m/>
    <m/>
    <m/>
    <m/>
    <m/>
  </r>
  <r>
    <x v="5"/>
    <x v="141"/>
    <n v="87"/>
    <n v="1467"/>
    <m/>
    <n v="38"/>
    <m/>
    <m/>
    <m/>
    <m/>
    <m/>
    <m/>
    <m/>
  </r>
  <r>
    <x v="6"/>
    <x v="141"/>
    <n v="0"/>
    <n v="131"/>
    <m/>
    <n v="1"/>
    <m/>
    <m/>
    <m/>
    <m/>
    <m/>
    <m/>
    <m/>
  </r>
  <r>
    <x v="7"/>
    <x v="141"/>
    <n v="24"/>
    <n v="679"/>
    <m/>
    <n v="6"/>
    <m/>
    <m/>
    <m/>
    <m/>
    <m/>
    <m/>
    <m/>
  </r>
  <r>
    <x v="8"/>
    <x v="141"/>
    <n v="1"/>
    <n v="79"/>
    <m/>
    <n v="0"/>
    <m/>
    <m/>
    <m/>
    <m/>
    <m/>
    <m/>
    <m/>
  </r>
  <r>
    <x v="9"/>
    <x v="141"/>
    <n v="155"/>
    <n v="1033"/>
    <m/>
    <n v="0"/>
    <m/>
    <m/>
    <m/>
    <m/>
    <m/>
    <m/>
    <m/>
  </r>
  <r>
    <x v="10"/>
    <x v="141"/>
    <n v="0"/>
    <n v="8"/>
    <m/>
    <n v="30"/>
    <m/>
    <m/>
    <m/>
    <m/>
    <m/>
    <m/>
    <m/>
  </r>
  <r>
    <x v="11"/>
    <x v="141"/>
    <n v="10"/>
    <n v="196"/>
    <m/>
    <n v="0"/>
    <m/>
    <m/>
    <m/>
    <m/>
    <m/>
    <m/>
    <m/>
  </r>
  <r>
    <x v="12"/>
    <x v="141"/>
    <n v="56"/>
    <n v="618"/>
    <n v="1"/>
    <n v="1"/>
    <m/>
    <m/>
    <m/>
    <m/>
    <m/>
    <m/>
    <m/>
  </r>
  <r>
    <x v="13"/>
    <x v="141"/>
    <n v="0"/>
    <n v="49"/>
    <m/>
    <n v="0"/>
    <m/>
    <m/>
    <m/>
    <m/>
    <m/>
    <m/>
    <m/>
  </r>
  <r>
    <x v="14"/>
    <x v="141"/>
    <n v="26"/>
    <n v="949"/>
    <m/>
    <n v="1"/>
    <m/>
    <m/>
    <m/>
    <m/>
    <m/>
    <m/>
    <m/>
  </r>
  <r>
    <x v="15"/>
    <x v="141"/>
    <n v="57"/>
    <n v="1432"/>
    <m/>
    <n v="1"/>
    <m/>
    <m/>
    <m/>
    <m/>
    <m/>
    <m/>
    <m/>
  </r>
  <r>
    <x v="16"/>
    <x v="141"/>
    <n v="19"/>
    <n v="200"/>
    <m/>
    <n v="4"/>
    <m/>
    <m/>
    <m/>
    <m/>
    <m/>
    <m/>
    <m/>
  </r>
  <r>
    <x v="17"/>
    <x v="141"/>
    <n v="1"/>
    <n v="17"/>
    <m/>
    <n v="0"/>
    <m/>
    <m/>
    <m/>
    <m/>
    <m/>
    <m/>
    <m/>
  </r>
  <r>
    <x v="18"/>
    <x v="141"/>
    <n v="2"/>
    <n v="17"/>
    <m/>
    <n v="0"/>
    <m/>
    <m/>
    <m/>
    <m/>
    <m/>
    <m/>
    <m/>
  </r>
  <r>
    <x v="19"/>
    <x v="141"/>
    <n v="17"/>
    <n v="239"/>
    <m/>
    <n v="0"/>
    <m/>
    <m/>
    <m/>
    <m/>
    <m/>
    <m/>
    <m/>
  </r>
  <r>
    <x v="20"/>
    <x v="141"/>
    <n v="49"/>
    <n v="802"/>
    <m/>
    <n v="9"/>
    <m/>
    <m/>
    <m/>
    <m/>
    <m/>
    <m/>
    <m/>
  </r>
  <r>
    <x v="21"/>
    <x v="141"/>
    <n v="1"/>
    <n v="40"/>
    <m/>
    <n v="1"/>
    <m/>
    <m/>
    <m/>
    <m/>
    <m/>
    <m/>
    <m/>
  </r>
  <r>
    <x v="22"/>
    <x v="141"/>
    <n v="10"/>
    <n v="259"/>
    <m/>
    <n v="1"/>
    <m/>
    <m/>
    <m/>
    <m/>
    <m/>
    <m/>
    <m/>
  </r>
  <r>
    <x v="23"/>
    <x v="141"/>
    <n v="2"/>
    <n v="106"/>
    <m/>
    <n v="4"/>
    <m/>
    <m/>
    <m/>
    <m/>
    <m/>
    <m/>
    <m/>
  </r>
  <r>
    <x v="0"/>
    <x v="142"/>
    <n v="4300"/>
    <n v="84916"/>
    <n v="69"/>
    <n v="1346"/>
    <m/>
    <m/>
    <m/>
    <m/>
    <m/>
    <m/>
    <m/>
  </r>
  <r>
    <x v="1"/>
    <x v="142"/>
    <n v="0"/>
    <n v="60"/>
    <m/>
    <n v="0"/>
    <m/>
    <m/>
    <m/>
    <m/>
    <m/>
    <m/>
    <m/>
  </r>
  <r>
    <x v="2"/>
    <x v="142"/>
    <n v="51"/>
    <n v="3155"/>
    <n v="3"/>
    <n v="128"/>
    <m/>
    <m/>
    <m/>
    <m/>
    <m/>
    <m/>
    <m/>
  </r>
  <r>
    <x v="3"/>
    <x v="142"/>
    <n v="1"/>
    <n v="255"/>
    <m/>
    <n v="3"/>
    <m/>
    <m/>
    <m/>
    <m/>
    <m/>
    <m/>
    <m/>
  </r>
  <r>
    <x v="4"/>
    <x v="142"/>
    <n v="1267"/>
    <n v="50800"/>
    <n v="39"/>
    <n v="1003"/>
    <m/>
    <m/>
    <m/>
    <m/>
    <m/>
    <m/>
    <m/>
  </r>
  <r>
    <x v="5"/>
    <x v="142"/>
    <n v="102"/>
    <n v="1569"/>
    <m/>
    <n v="38"/>
    <m/>
    <m/>
    <m/>
    <m/>
    <m/>
    <m/>
    <m/>
  </r>
  <r>
    <x v="6"/>
    <x v="142"/>
    <n v="1"/>
    <n v="132"/>
    <m/>
    <n v="1"/>
    <m/>
    <m/>
    <m/>
    <m/>
    <m/>
    <m/>
    <m/>
  </r>
  <r>
    <x v="7"/>
    <x v="142"/>
    <n v="31"/>
    <n v="710"/>
    <m/>
    <n v="6"/>
    <m/>
    <m/>
    <m/>
    <m/>
    <m/>
    <m/>
    <m/>
  </r>
  <r>
    <x v="8"/>
    <x v="142"/>
    <n v="1"/>
    <n v="80"/>
    <m/>
    <n v="0"/>
    <m/>
    <m/>
    <m/>
    <m/>
    <m/>
    <m/>
    <m/>
  </r>
  <r>
    <x v="9"/>
    <x v="142"/>
    <n v="158"/>
    <n v="1191"/>
    <m/>
    <n v="0"/>
    <m/>
    <m/>
    <m/>
    <m/>
    <m/>
    <m/>
    <m/>
  </r>
  <r>
    <x v="10"/>
    <x v="142"/>
    <n v="0"/>
    <n v="8"/>
    <m/>
    <n v="0"/>
    <m/>
    <m/>
    <m/>
    <m/>
    <m/>
    <m/>
    <m/>
  </r>
  <r>
    <x v="11"/>
    <x v="142"/>
    <n v="9"/>
    <n v="205"/>
    <m/>
    <n v="30"/>
    <m/>
    <m/>
    <m/>
    <m/>
    <m/>
    <m/>
    <m/>
  </r>
  <r>
    <x v="12"/>
    <x v="142"/>
    <n v="52"/>
    <n v="670"/>
    <n v="3"/>
    <n v="3"/>
    <m/>
    <m/>
    <m/>
    <m/>
    <m/>
    <m/>
    <m/>
  </r>
  <r>
    <x v="13"/>
    <x v="142"/>
    <n v="2"/>
    <n v="51"/>
    <m/>
    <n v="1"/>
    <m/>
    <m/>
    <m/>
    <m/>
    <m/>
    <m/>
    <m/>
  </r>
  <r>
    <x v="14"/>
    <x v="142"/>
    <n v="25"/>
    <n v="974"/>
    <m/>
    <n v="0"/>
    <m/>
    <m/>
    <m/>
    <m/>
    <m/>
    <m/>
    <m/>
  </r>
  <r>
    <x v="15"/>
    <x v="142"/>
    <n v="54"/>
    <n v="1486"/>
    <m/>
    <n v="1"/>
    <m/>
    <m/>
    <m/>
    <m/>
    <m/>
    <m/>
    <m/>
  </r>
  <r>
    <x v="16"/>
    <x v="142"/>
    <n v="1"/>
    <n v="201"/>
    <m/>
    <n v="1"/>
    <m/>
    <m/>
    <m/>
    <m/>
    <m/>
    <m/>
    <m/>
  </r>
  <r>
    <x v="17"/>
    <x v="142"/>
    <n v="2"/>
    <n v="19"/>
    <m/>
    <n v="0"/>
    <m/>
    <m/>
    <m/>
    <m/>
    <m/>
    <m/>
    <m/>
  </r>
  <r>
    <x v="18"/>
    <x v="142"/>
    <n v="1"/>
    <n v="18"/>
    <m/>
    <n v="0"/>
    <m/>
    <m/>
    <m/>
    <m/>
    <m/>
    <m/>
    <m/>
  </r>
  <r>
    <x v="19"/>
    <x v="142"/>
    <n v="24"/>
    <n v="263"/>
    <m/>
    <n v="0"/>
    <m/>
    <m/>
    <m/>
    <m/>
    <m/>
    <m/>
    <m/>
  </r>
  <r>
    <x v="20"/>
    <x v="142"/>
    <n v="34"/>
    <n v="836"/>
    <m/>
    <n v="9"/>
    <m/>
    <m/>
    <m/>
    <m/>
    <m/>
    <m/>
    <m/>
  </r>
  <r>
    <x v="21"/>
    <x v="142"/>
    <n v="4"/>
    <n v="44"/>
    <m/>
    <n v="1"/>
    <m/>
    <m/>
    <m/>
    <m/>
    <m/>
    <m/>
    <m/>
  </r>
  <r>
    <x v="22"/>
    <x v="142"/>
    <n v="4"/>
    <n v="263"/>
    <m/>
    <n v="1"/>
    <m/>
    <m/>
    <m/>
    <m/>
    <m/>
    <m/>
    <m/>
  </r>
  <r>
    <x v="23"/>
    <x v="142"/>
    <n v="0"/>
    <n v="106"/>
    <m/>
    <n v="4"/>
    <m/>
    <m/>
    <m/>
    <m/>
    <m/>
    <m/>
    <m/>
  </r>
  <r>
    <x v="0"/>
    <x v="143"/>
    <n v="3790"/>
    <n v="88706"/>
    <n v="80"/>
    <n v="1426"/>
    <m/>
    <m/>
    <m/>
    <m/>
    <m/>
    <m/>
    <m/>
  </r>
  <r>
    <x v="1"/>
    <x v="143"/>
    <n v="0"/>
    <n v="60"/>
    <m/>
    <n v="0"/>
    <m/>
    <m/>
    <m/>
    <m/>
    <m/>
    <m/>
    <m/>
  </r>
  <r>
    <x v="2"/>
    <x v="143"/>
    <n v="63"/>
    <n v="3218"/>
    <n v="3"/>
    <n v="131"/>
    <m/>
    <m/>
    <m/>
    <m/>
    <m/>
    <m/>
    <m/>
  </r>
  <r>
    <x v="3"/>
    <x v="143"/>
    <n v="6"/>
    <n v="261"/>
    <m/>
    <n v="3"/>
    <m/>
    <m/>
    <m/>
    <m/>
    <m/>
    <m/>
    <m/>
  </r>
  <r>
    <x v="4"/>
    <x v="143"/>
    <n v="1157"/>
    <n v="51957"/>
    <n v="19"/>
    <n v="1022"/>
    <m/>
    <m/>
    <m/>
    <m/>
    <m/>
    <m/>
    <m/>
  </r>
  <r>
    <x v="5"/>
    <x v="143"/>
    <n v="56"/>
    <n v="1625"/>
    <n v="1"/>
    <n v="39"/>
    <m/>
    <m/>
    <m/>
    <m/>
    <m/>
    <m/>
    <m/>
  </r>
  <r>
    <x v="6"/>
    <x v="143"/>
    <n v="0"/>
    <n v="132"/>
    <m/>
    <n v="1"/>
    <m/>
    <m/>
    <m/>
    <m/>
    <m/>
    <m/>
    <m/>
  </r>
  <r>
    <x v="7"/>
    <x v="143"/>
    <n v="11"/>
    <n v="721"/>
    <m/>
    <n v="6"/>
    <m/>
    <m/>
    <m/>
    <m/>
    <m/>
    <m/>
    <m/>
  </r>
  <r>
    <x v="8"/>
    <x v="143"/>
    <n v="1"/>
    <n v="81"/>
    <m/>
    <n v="0"/>
    <m/>
    <m/>
    <m/>
    <m/>
    <m/>
    <m/>
    <m/>
  </r>
  <r>
    <x v="9"/>
    <x v="143"/>
    <n v="155"/>
    <n v="1346"/>
    <m/>
    <n v="0"/>
    <m/>
    <m/>
    <m/>
    <m/>
    <m/>
    <m/>
    <m/>
  </r>
  <r>
    <x v="10"/>
    <x v="143"/>
    <n v="0"/>
    <n v="8"/>
    <m/>
    <n v="0"/>
    <m/>
    <m/>
    <m/>
    <m/>
    <m/>
    <m/>
    <m/>
  </r>
  <r>
    <x v="11"/>
    <x v="143"/>
    <n v="10"/>
    <n v="215"/>
    <m/>
    <n v="0"/>
    <m/>
    <m/>
    <m/>
    <m/>
    <m/>
    <m/>
    <m/>
  </r>
  <r>
    <x v="12"/>
    <x v="143"/>
    <n v="56"/>
    <n v="726"/>
    <n v="1"/>
    <n v="31"/>
    <m/>
    <m/>
    <m/>
    <m/>
    <m/>
    <m/>
    <m/>
  </r>
  <r>
    <x v="13"/>
    <x v="143"/>
    <n v="1"/>
    <n v="52"/>
    <m/>
    <n v="3"/>
    <m/>
    <m/>
    <m/>
    <m/>
    <m/>
    <m/>
    <m/>
  </r>
  <r>
    <x v="14"/>
    <x v="143"/>
    <n v="18"/>
    <n v="992"/>
    <m/>
    <n v="1"/>
    <m/>
    <m/>
    <m/>
    <m/>
    <m/>
    <m/>
    <m/>
  </r>
  <r>
    <x v="15"/>
    <x v="143"/>
    <n v="40"/>
    <n v="1526"/>
    <n v="1"/>
    <n v="1"/>
    <m/>
    <m/>
    <m/>
    <m/>
    <m/>
    <m/>
    <m/>
  </r>
  <r>
    <x v="16"/>
    <x v="143"/>
    <n v="13"/>
    <n v="214"/>
    <m/>
    <n v="1"/>
    <m/>
    <m/>
    <m/>
    <m/>
    <m/>
    <m/>
    <m/>
  </r>
  <r>
    <x v="17"/>
    <x v="143"/>
    <n v="0"/>
    <n v="19"/>
    <m/>
    <n v="0"/>
    <m/>
    <m/>
    <m/>
    <m/>
    <m/>
    <m/>
    <m/>
  </r>
  <r>
    <x v="18"/>
    <x v="143"/>
    <n v="1"/>
    <n v="19"/>
    <m/>
    <n v="0"/>
    <m/>
    <m/>
    <m/>
    <m/>
    <m/>
    <m/>
    <m/>
  </r>
  <r>
    <x v="19"/>
    <x v="143"/>
    <n v="38"/>
    <n v="301"/>
    <m/>
    <n v="0"/>
    <m/>
    <m/>
    <m/>
    <m/>
    <m/>
    <m/>
    <m/>
  </r>
  <r>
    <x v="20"/>
    <x v="143"/>
    <n v="32"/>
    <n v="868"/>
    <m/>
    <n v="9"/>
    <m/>
    <m/>
    <m/>
    <m/>
    <m/>
    <m/>
    <m/>
  </r>
  <r>
    <x v="21"/>
    <x v="143"/>
    <n v="2"/>
    <n v="46"/>
    <m/>
    <n v="1"/>
    <m/>
    <m/>
    <m/>
    <m/>
    <m/>
    <m/>
    <m/>
  </r>
  <r>
    <x v="22"/>
    <x v="143"/>
    <n v="37"/>
    <n v="300"/>
    <m/>
    <n v="1"/>
    <m/>
    <m/>
    <m/>
    <m/>
    <m/>
    <m/>
    <m/>
  </r>
  <r>
    <x v="23"/>
    <x v="143"/>
    <n v="4"/>
    <n v="110"/>
    <m/>
    <n v="4"/>
    <m/>
    <m/>
    <m/>
    <m/>
    <m/>
    <m/>
    <m/>
  </r>
  <r>
    <x v="0"/>
    <x v="144"/>
    <n v="3250"/>
    <n v="91956"/>
    <n v="74"/>
    <n v="1500"/>
    <m/>
    <m/>
    <m/>
    <m/>
    <m/>
    <m/>
    <m/>
  </r>
  <r>
    <x v="1"/>
    <x v="144"/>
    <n v="0"/>
    <n v="60"/>
    <m/>
    <n v="0"/>
    <m/>
    <m/>
    <m/>
    <m/>
    <m/>
    <m/>
    <m/>
  </r>
  <r>
    <x v="2"/>
    <x v="144"/>
    <n v="42"/>
    <n v="3260"/>
    <n v="2"/>
    <n v="133"/>
    <m/>
    <m/>
    <m/>
    <m/>
    <m/>
    <m/>
    <m/>
  </r>
  <r>
    <x v="3"/>
    <x v="144"/>
    <n v="2"/>
    <n v="263"/>
    <m/>
    <n v="3"/>
    <m/>
    <m/>
    <m/>
    <m/>
    <m/>
    <m/>
    <m/>
  </r>
  <r>
    <x v="4"/>
    <x v="144"/>
    <n v="1121"/>
    <n v="53078"/>
    <n v="8"/>
    <n v="1030"/>
    <m/>
    <m/>
    <m/>
    <m/>
    <m/>
    <m/>
    <m/>
  </r>
  <r>
    <x v="5"/>
    <x v="144"/>
    <n v="70"/>
    <n v="1695"/>
    <m/>
    <n v="39"/>
    <m/>
    <m/>
    <m/>
    <m/>
    <m/>
    <m/>
    <m/>
  </r>
  <r>
    <x v="6"/>
    <x v="144"/>
    <n v="5"/>
    <n v="137"/>
    <m/>
    <n v="1"/>
    <m/>
    <m/>
    <m/>
    <m/>
    <m/>
    <m/>
    <m/>
  </r>
  <r>
    <x v="7"/>
    <x v="144"/>
    <n v="18"/>
    <n v="739"/>
    <m/>
    <n v="6"/>
    <m/>
    <m/>
    <m/>
    <m/>
    <m/>
    <m/>
    <m/>
  </r>
  <r>
    <x v="8"/>
    <x v="144"/>
    <n v="0"/>
    <n v="81"/>
    <m/>
    <n v="0"/>
    <m/>
    <m/>
    <m/>
    <m/>
    <m/>
    <m/>
    <m/>
  </r>
  <r>
    <x v="9"/>
    <x v="144"/>
    <n v="36"/>
    <n v="1382"/>
    <m/>
    <n v="0"/>
    <m/>
    <m/>
    <m/>
    <m/>
    <m/>
    <m/>
    <m/>
  </r>
  <r>
    <x v="10"/>
    <x v="144"/>
    <n v="25"/>
    <n v="33"/>
    <m/>
    <n v="0"/>
    <m/>
    <m/>
    <m/>
    <m/>
    <m/>
    <m/>
    <m/>
  </r>
  <r>
    <x v="11"/>
    <x v="144"/>
    <n v="15"/>
    <n v="230"/>
    <m/>
    <n v="0"/>
    <m/>
    <m/>
    <m/>
    <m/>
    <m/>
    <m/>
    <m/>
  </r>
  <r>
    <x v="12"/>
    <x v="144"/>
    <n v="60"/>
    <n v="786"/>
    <m/>
    <n v="0"/>
    <m/>
    <m/>
    <m/>
    <m/>
    <m/>
    <m/>
    <m/>
  </r>
  <r>
    <x v="13"/>
    <x v="144"/>
    <n v="3"/>
    <n v="55"/>
    <m/>
    <n v="31"/>
    <m/>
    <m/>
    <m/>
    <m/>
    <m/>
    <m/>
    <m/>
  </r>
  <r>
    <x v="14"/>
    <x v="144"/>
    <n v="25"/>
    <n v="1017"/>
    <n v="1"/>
    <n v="4"/>
    <m/>
    <m/>
    <m/>
    <m/>
    <m/>
    <m/>
    <m/>
  </r>
  <r>
    <x v="15"/>
    <x v="144"/>
    <n v="28"/>
    <n v="1554"/>
    <m/>
    <n v="1"/>
    <m/>
    <m/>
    <m/>
    <m/>
    <m/>
    <m/>
    <m/>
  </r>
  <r>
    <x v="16"/>
    <x v="144"/>
    <n v="29"/>
    <n v="243"/>
    <m/>
    <n v="1"/>
    <m/>
    <m/>
    <m/>
    <m/>
    <m/>
    <m/>
    <m/>
  </r>
  <r>
    <x v="17"/>
    <x v="144"/>
    <n v="0"/>
    <n v="19"/>
    <m/>
    <n v="0"/>
    <m/>
    <m/>
    <m/>
    <m/>
    <m/>
    <m/>
    <m/>
  </r>
  <r>
    <x v="18"/>
    <x v="144"/>
    <n v="0"/>
    <n v="19"/>
    <m/>
    <n v="0"/>
    <m/>
    <m/>
    <m/>
    <m/>
    <m/>
    <m/>
    <m/>
  </r>
  <r>
    <x v="19"/>
    <x v="144"/>
    <n v="8"/>
    <n v="309"/>
    <n v="1"/>
    <n v="1"/>
    <m/>
    <m/>
    <m/>
    <m/>
    <m/>
    <m/>
    <m/>
  </r>
  <r>
    <x v="20"/>
    <x v="144"/>
    <n v="30"/>
    <n v="898"/>
    <m/>
    <n v="9"/>
    <m/>
    <m/>
    <m/>
    <m/>
    <m/>
    <m/>
    <m/>
  </r>
  <r>
    <x v="21"/>
    <x v="144"/>
    <n v="3"/>
    <n v="49"/>
    <m/>
    <n v="1"/>
    <m/>
    <m/>
    <m/>
    <m/>
    <m/>
    <m/>
    <m/>
  </r>
  <r>
    <x v="22"/>
    <x v="144"/>
    <n v="36"/>
    <n v="336"/>
    <m/>
    <n v="1"/>
    <m/>
    <m/>
    <m/>
    <m/>
    <m/>
    <m/>
    <m/>
  </r>
  <r>
    <x v="23"/>
    <x v="144"/>
    <n v="8"/>
    <n v="118"/>
    <m/>
    <n v="4"/>
    <m/>
    <m/>
    <m/>
    <m/>
    <m/>
    <m/>
    <m/>
  </r>
  <r>
    <x v="0"/>
    <x v="145"/>
    <n v="2917"/>
    <n v="94873"/>
    <n v="29"/>
    <n v="1529"/>
    <m/>
    <m/>
    <m/>
    <m/>
    <m/>
    <m/>
    <m/>
  </r>
  <r>
    <x v="1"/>
    <x v="145"/>
    <n v="0"/>
    <n v="60"/>
    <m/>
    <n v="0"/>
    <m/>
    <m/>
    <m/>
    <m/>
    <m/>
    <m/>
    <m/>
  </r>
  <r>
    <x v="2"/>
    <x v="145"/>
    <n v="66"/>
    <n v="3326"/>
    <m/>
    <n v="133"/>
    <m/>
    <m/>
    <m/>
    <m/>
    <m/>
    <m/>
    <m/>
  </r>
  <r>
    <x v="3"/>
    <x v="145"/>
    <n v="2"/>
    <n v="265"/>
    <m/>
    <n v="3"/>
    <m/>
    <m/>
    <m/>
    <m/>
    <m/>
    <m/>
    <m/>
  </r>
  <r>
    <x v="4"/>
    <x v="145"/>
    <n v="888"/>
    <n v="53966"/>
    <n v="12"/>
    <n v="1042"/>
    <m/>
    <m/>
    <m/>
    <m/>
    <m/>
    <m/>
    <m/>
  </r>
  <r>
    <x v="5"/>
    <x v="145"/>
    <n v="80"/>
    <n v="1775"/>
    <n v="1"/>
    <n v="40"/>
    <m/>
    <m/>
    <m/>
    <m/>
    <m/>
    <m/>
    <m/>
  </r>
  <r>
    <x v="6"/>
    <x v="145"/>
    <n v="2"/>
    <n v="139"/>
    <m/>
    <n v="1"/>
    <m/>
    <m/>
    <m/>
    <m/>
    <m/>
    <m/>
    <m/>
  </r>
  <r>
    <x v="7"/>
    <x v="145"/>
    <n v="21"/>
    <n v="760"/>
    <m/>
    <n v="6"/>
    <m/>
    <m/>
    <m/>
    <m/>
    <m/>
    <m/>
    <m/>
  </r>
  <r>
    <x v="8"/>
    <x v="145"/>
    <n v="0"/>
    <n v="81"/>
    <m/>
    <n v="0"/>
    <m/>
    <m/>
    <m/>
    <m/>
    <m/>
    <m/>
    <m/>
  </r>
  <r>
    <x v="9"/>
    <x v="145"/>
    <n v="46"/>
    <n v="1428"/>
    <m/>
    <n v="0"/>
    <m/>
    <m/>
    <m/>
    <m/>
    <m/>
    <m/>
    <m/>
  </r>
  <r>
    <x v="10"/>
    <x v="145"/>
    <n v="7"/>
    <n v="40"/>
    <m/>
    <n v="0"/>
    <m/>
    <m/>
    <m/>
    <m/>
    <m/>
    <m/>
    <m/>
  </r>
  <r>
    <x v="11"/>
    <x v="145"/>
    <n v="9"/>
    <n v="239"/>
    <m/>
    <n v="0"/>
    <m/>
    <m/>
    <m/>
    <m/>
    <m/>
    <m/>
    <m/>
  </r>
  <r>
    <x v="12"/>
    <x v="145"/>
    <n v="31"/>
    <n v="817"/>
    <n v="3"/>
    <n v="3"/>
    <m/>
    <m/>
    <m/>
    <m/>
    <m/>
    <m/>
    <m/>
  </r>
  <r>
    <x v="13"/>
    <x v="145"/>
    <n v="2"/>
    <n v="57"/>
    <m/>
    <n v="0"/>
    <m/>
    <m/>
    <m/>
    <m/>
    <m/>
    <m/>
    <m/>
  </r>
  <r>
    <x v="14"/>
    <x v="145"/>
    <n v="25"/>
    <n v="1042"/>
    <m/>
    <n v="31"/>
    <m/>
    <m/>
    <m/>
    <m/>
    <m/>
    <m/>
    <m/>
  </r>
  <r>
    <x v="15"/>
    <x v="145"/>
    <n v="18"/>
    <n v="1572"/>
    <m/>
    <n v="4"/>
    <m/>
    <m/>
    <m/>
    <m/>
    <m/>
    <m/>
    <m/>
  </r>
  <r>
    <x v="16"/>
    <x v="145"/>
    <n v="0"/>
    <n v="243"/>
    <m/>
    <n v="1"/>
    <m/>
    <m/>
    <m/>
    <m/>
    <m/>
    <m/>
    <m/>
  </r>
  <r>
    <x v="17"/>
    <x v="145"/>
    <n v="2"/>
    <n v="21"/>
    <m/>
    <n v="0"/>
    <m/>
    <m/>
    <m/>
    <m/>
    <m/>
    <m/>
    <m/>
  </r>
  <r>
    <x v="18"/>
    <x v="145"/>
    <n v="0"/>
    <n v="19"/>
    <m/>
    <n v="0"/>
    <m/>
    <m/>
    <m/>
    <m/>
    <m/>
    <m/>
    <m/>
  </r>
  <r>
    <x v="19"/>
    <x v="145"/>
    <n v="20"/>
    <n v="329"/>
    <m/>
    <n v="0"/>
    <m/>
    <m/>
    <m/>
    <m/>
    <m/>
    <m/>
    <m/>
  </r>
  <r>
    <x v="20"/>
    <x v="145"/>
    <n v="41"/>
    <n v="939"/>
    <m/>
    <n v="9"/>
    <m/>
    <m/>
    <m/>
    <m/>
    <m/>
    <m/>
    <m/>
  </r>
  <r>
    <x v="21"/>
    <x v="145"/>
    <n v="1"/>
    <n v="50"/>
    <m/>
    <n v="1"/>
    <m/>
    <m/>
    <m/>
    <m/>
    <m/>
    <m/>
    <m/>
  </r>
  <r>
    <x v="22"/>
    <x v="145"/>
    <n v="6"/>
    <n v="342"/>
    <m/>
    <n v="1"/>
    <m/>
    <m/>
    <m/>
    <m/>
    <m/>
    <m/>
    <m/>
  </r>
  <r>
    <x v="23"/>
    <x v="145"/>
    <n v="8"/>
    <n v="126"/>
    <m/>
    <n v="4"/>
    <m/>
    <m/>
    <m/>
    <m/>
    <m/>
    <m/>
    <m/>
  </r>
  <r>
    <x v="0"/>
    <x v="146"/>
    <n v="3351"/>
    <n v="98224"/>
    <n v="59"/>
    <n v="1588"/>
    <m/>
    <m/>
    <m/>
    <m/>
    <m/>
    <m/>
    <m/>
  </r>
  <r>
    <x v="1"/>
    <x v="146"/>
    <n v="0"/>
    <n v="60"/>
    <m/>
    <n v="0"/>
    <m/>
    <m/>
    <m/>
    <m/>
    <m/>
    <m/>
    <m/>
  </r>
  <r>
    <x v="2"/>
    <x v="146"/>
    <n v="32"/>
    <n v="3358"/>
    <n v="3"/>
    <n v="136"/>
    <m/>
    <m/>
    <m/>
    <m/>
    <m/>
    <m/>
    <m/>
  </r>
  <r>
    <x v="3"/>
    <x v="146"/>
    <n v="-1"/>
    <n v="264"/>
    <m/>
    <n v="3"/>
    <m/>
    <m/>
    <m/>
    <m/>
    <m/>
    <m/>
    <m/>
  </r>
  <r>
    <x v="4"/>
    <x v="146"/>
    <n v="1059"/>
    <n v="55025"/>
    <n v="54"/>
    <n v="1096"/>
    <m/>
    <m/>
    <m/>
    <m/>
    <m/>
    <m/>
    <m/>
  </r>
  <r>
    <x v="5"/>
    <x v="146"/>
    <n v="99"/>
    <n v="1874"/>
    <m/>
    <n v="40"/>
    <m/>
    <m/>
    <m/>
    <m/>
    <m/>
    <m/>
    <m/>
  </r>
  <r>
    <x v="6"/>
    <x v="146"/>
    <n v="14"/>
    <n v="153"/>
    <m/>
    <n v="1"/>
    <m/>
    <m/>
    <m/>
    <m/>
    <m/>
    <m/>
    <m/>
  </r>
  <r>
    <x v="7"/>
    <x v="146"/>
    <n v="4"/>
    <n v="764"/>
    <n v="1"/>
    <n v="7"/>
    <m/>
    <m/>
    <m/>
    <m/>
    <m/>
    <m/>
    <m/>
  </r>
  <r>
    <x v="8"/>
    <x v="146"/>
    <n v="0"/>
    <n v="81"/>
    <m/>
    <n v="0"/>
    <m/>
    <m/>
    <m/>
    <m/>
    <m/>
    <m/>
    <m/>
  </r>
  <r>
    <x v="9"/>
    <x v="146"/>
    <n v="92"/>
    <n v="1520"/>
    <m/>
    <n v="0"/>
    <m/>
    <m/>
    <m/>
    <m/>
    <m/>
    <m/>
    <m/>
  </r>
  <r>
    <x v="10"/>
    <x v="146"/>
    <n v="10"/>
    <n v="50"/>
    <m/>
    <n v="0"/>
    <m/>
    <m/>
    <m/>
    <m/>
    <m/>
    <m/>
    <m/>
  </r>
  <r>
    <x v="11"/>
    <x v="146"/>
    <n v="10"/>
    <n v="249"/>
    <n v="1"/>
    <n v="1"/>
    <m/>
    <m/>
    <m/>
    <m/>
    <m/>
    <m/>
    <m/>
  </r>
  <r>
    <x v="12"/>
    <x v="146"/>
    <n v="61"/>
    <n v="878"/>
    <m/>
    <n v="0"/>
    <m/>
    <m/>
    <m/>
    <m/>
    <m/>
    <m/>
    <m/>
  </r>
  <r>
    <x v="13"/>
    <x v="146"/>
    <n v="-1"/>
    <n v="56"/>
    <m/>
    <n v="3"/>
    <m/>
    <m/>
    <m/>
    <m/>
    <m/>
    <m/>
    <m/>
  </r>
  <r>
    <x v="14"/>
    <x v="146"/>
    <n v="23"/>
    <n v="1065"/>
    <m/>
    <n v="0"/>
    <m/>
    <m/>
    <m/>
    <m/>
    <m/>
    <m/>
    <m/>
  </r>
  <r>
    <x v="15"/>
    <x v="146"/>
    <n v="62"/>
    <n v="1634"/>
    <n v="1"/>
    <n v="32"/>
    <m/>
    <m/>
    <m/>
    <m/>
    <m/>
    <m/>
    <m/>
  </r>
  <r>
    <x v="16"/>
    <x v="146"/>
    <n v="-15"/>
    <n v="228"/>
    <m/>
    <n v="4"/>
    <m/>
    <m/>
    <m/>
    <m/>
    <m/>
    <m/>
    <m/>
  </r>
  <r>
    <x v="17"/>
    <x v="146"/>
    <n v="1"/>
    <n v="22"/>
    <m/>
    <n v="0"/>
    <m/>
    <m/>
    <m/>
    <m/>
    <m/>
    <m/>
    <m/>
  </r>
  <r>
    <x v="18"/>
    <x v="146"/>
    <n v="1"/>
    <n v="20"/>
    <m/>
    <n v="0"/>
    <m/>
    <m/>
    <m/>
    <m/>
    <m/>
    <m/>
    <m/>
  </r>
  <r>
    <x v="19"/>
    <x v="146"/>
    <n v="15"/>
    <n v="344"/>
    <m/>
    <n v="0"/>
    <m/>
    <m/>
    <m/>
    <m/>
    <m/>
    <m/>
    <m/>
  </r>
  <r>
    <x v="20"/>
    <x v="146"/>
    <n v="33"/>
    <n v="972"/>
    <n v="2"/>
    <n v="11"/>
    <m/>
    <m/>
    <m/>
    <m/>
    <m/>
    <m/>
    <m/>
  </r>
  <r>
    <x v="21"/>
    <x v="146"/>
    <n v="-5"/>
    <n v="45"/>
    <m/>
    <n v="1"/>
    <m/>
    <m/>
    <m/>
    <m/>
    <m/>
    <m/>
    <m/>
  </r>
  <r>
    <x v="22"/>
    <x v="146"/>
    <n v="32"/>
    <n v="374"/>
    <m/>
    <n v="1"/>
    <m/>
    <m/>
    <m/>
    <m/>
    <m/>
    <m/>
    <m/>
  </r>
  <r>
    <x v="23"/>
    <x v="146"/>
    <n v="13"/>
    <n v="139"/>
    <m/>
    <n v="4"/>
    <m/>
    <m/>
    <m/>
    <m/>
    <m/>
    <m/>
    <m/>
  </r>
  <r>
    <x v="0"/>
    <x v="147"/>
    <n v="4167"/>
    <n v="102391"/>
    <n v="69"/>
    <n v="1657"/>
    <m/>
    <m/>
    <m/>
    <m/>
    <m/>
    <m/>
    <m/>
  </r>
  <r>
    <x v="1"/>
    <x v="147"/>
    <n v="0"/>
    <n v="60"/>
    <m/>
    <n v="0"/>
    <m/>
    <m/>
    <m/>
    <m/>
    <m/>
    <m/>
    <m/>
  </r>
  <r>
    <x v="2"/>
    <x v="147"/>
    <n v="18"/>
    <n v="3376"/>
    <m/>
    <n v="136"/>
    <m/>
    <m/>
    <m/>
    <m/>
    <m/>
    <m/>
    <m/>
  </r>
  <r>
    <x v="3"/>
    <x v="147"/>
    <n v="3"/>
    <n v="267"/>
    <m/>
    <n v="3"/>
    <m/>
    <m/>
    <m/>
    <m/>
    <m/>
    <m/>
    <m/>
  </r>
  <r>
    <x v="4"/>
    <x v="147"/>
    <n v="1202"/>
    <n v="56227"/>
    <n v="45"/>
    <n v="1141"/>
    <m/>
    <m/>
    <m/>
    <m/>
    <m/>
    <m/>
    <m/>
  </r>
  <r>
    <x v="5"/>
    <x v="147"/>
    <n v="75"/>
    <n v="1949"/>
    <n v="2"/>
    <n v="42"/>
    <m/>
    <m/>
    <m/>
    <m/>
    <m/>
    <m/>
    <m/>
  </r>
  <r>
    <x v="6"/>
    <x v="147"/>
    <n v="-6"/>
    <n v="147"/>
    <m/>
    <n v="1"/>
    <m/>
    <m/>
    <m/>
    <m/>
    <m/>
    <m/>
    <m/>
  </r>
  <r>
    <x v="7"/>
    <x v="147"/>
    <n v="4"/>
    <n v="768"/>
    <m/>
    <n v="7"/>
    <m/>
    <m/>
    <m/>
    <m/>
    <m/>
    <m/>
    <m/>
  </r>
  <r>
    <x v="8"/>
    <x v="147"/>
    <n v="0"/>
    <n v="81"/>
    <m/>
    <n v="0"/>
    <m/>
    <m/>
    <m/>
    <m/>
    <m/>
    <m/>
    <m/>
  </r>
  <r>
    <x v="9"/>
    <x v="147"/>
    <n v="158"/>
    <n v="1678"/>
    <m/>
    <n v="0"/>
    <m/>
    <m/>
    <m/>
    <m/>
    <m/>
    <m/>
    <m/>
  </r>
  <r>
    <x v="10"/>
    <x v="147"/>
    <n v="9"/>
    <n v="59"/>
    <m/>
    <n v="0"/>
    <m/>
    <m/>
    <m/>
    <m/>
    <m/>
    <m/>
    <m/>
  </r>
  <r>
    <x v="11"/>
    <x v="147"/>
    <n v="10"/>
    <n v="259"/>
    <m/>
    <n v="0"/>
    <m/>
    <m/>
    <m/>
    <m/>
    <m/>
    <m/>
    <m/>
  </r>
  <r>
    <x v="12"/>
    <x v="147"/>
    <n v="67"/>
    <n v="945"/>
    <n v="2"/>
    <n v="3"/>
    <m/>
    <m/>
    <m/>
    <m/>
    <m/>
    <m/>
    <m/>
  </r>
  <r>
    <x v="13"/>
    <x v="147"/>
    <n v="-4"/>
    <n v="52"/>
    <m/>
    <n v="0"/>
    <m/>
    <m/>
    <m/>
    <m/>
    <m/>
    <m/>
    <m/>
  </r>
  <r>
    <x v="14"/>
    <x v="147"/>
    <n v="21"/>
    <n v="1086"/>
    <m/>
    <n v="3"/>
    <m/>
    <m/>
    <m/>
    <m/>
    <m/>
    <m/>
    <m/>
  </r>
  <r>
    <x v="15"/>
    <x v="147"/>
    <n v="73"/>
    <n v="1707"/>
    <n v="2"/>
    <n v="2"/>
    <m/>
    <m/>
    <m/>
    <m/>
    <m/>
    <m/>
    <m/>
  </r>
  <r>
    <x v="16"/>
    <x v="147"/>
    <n v="8"/>
    <n v="236"/>
    <m/>
    <n v="32"/>
    <m/>
    <m/>
    <m/>
    <m/>
    <m/>
    <m/>
    <m/>
  </r>
  <r>
    <x v="17"/>
    <x v="147"/>
    <n v="-2"/>
    <n v="20"/>
    <m/>
    <n v="0"/>
    <m/>
    <m/>
    <m/>
    <m/>
    <m/>
    <m/>
    <m/>
  </r>
  <r>
    <x v="18"/>
    <x v="147"/>
    <n v="2"/>
    <n v="22"/>
    <m/>
    <n v="0"/>
    <m/>
    <m/>
    <m/>
    <m/>
    <m/>
    <m/>
    <m/>
  </r>
  <r>
    <x v="19"/>
    <x v="147"/>
    <n v="32"/>
    <n v="376"/>
    <m/>
    <n v="0"/>
    <m/>
    <m/>
    <m/>
    <m/>
    <m/>
    <m/>
    <m/>
  </r>
  <r>
    <x v="20"/>
    <x v="147"/>
    <n v="63"/>
    <n v="1035"/>
    <m/>
    <n v="11"/>
    <m/>
    <m/>
    <m/>
    <m/>
    <m/>
    <m/>
    <m/>
  </r>
  <r>
    <x v="21"/>
    <x v="147"/>
    <n v="-3"/>
    <n v="42"/>
    <m/>
    <n v="1"/>
    <m/>
    <m/>
    <m/>
    <m/>
    <m/>
    <m/>
    <m/>
  </r>
  <r>
    <x v="22"/>
    <x v="147"/>
    <n v="25"/>
    <n v="399"/>
    <m/>
    <n v="1"/>
    <m/>
    <m/>
    <m/>
    <m/>
    <m/>
    <m/>
    <m/>
  </r>
  <r>
    <x v="23"/>
    <x v="147"/>
    <n v="17"/>
    <n v="156"/>
    <m/>
    <n v="4"/>
    <m/>
    <m/>
    <m/>
    <m/>
    <m/>
    <m/>
    <m/>
  </r>
  <r>
    <x v="0"/>
    <x v="148"/>
    <n v="3852"/>
    <n v="106243"/>
    <n v="71"/>
    <n v="1728"/>
    <m/>
    <m/>
    <m/>
    <m/>
    <m/>
    <m/>
    <m/>
  </r>
  <r>
    <x v="1"/>
    <x v="148"/>
    <n v="0"/>
    <n v="60"/>
    <m/>
    <n v="0"/>
    <m/>
    <m/>
    <m/>
    <m/>
    <m/>
    <m/>
    <m/>
  </r>
  <r>
    <x v="2"/>
    <x v="148"/>
    <n v="52"/>
    <n v="3428"/>
    <n v="3"/>
    <n v="139"/>
    <m/>
    <m/>
    <m/>
    <m/>
    <m/>
    <m/>
    <m/>
  </r>
  <r>
    <x v="3"/>
    <x v="148"/>
    <n v="3"/>
    <n v="270"/>
    <m/>
    <n v="3"/>
    <m/>
    <m/>
    <m/>
    <m/>
    <m/>
    <m/>
    <m/>
  </r>
  <r>
    <x v="4"/>
    <x v="148"/>
    <n v="1079"/>
    <n v="57306"/>
    <n v="29"/>
    <n v="1170"/>
    <m/>
    <m/>
    <m/>
    <m/>
    <m/>
    <m/>
    <m/>
  </r>
  <r>
    <x v="5"/>
    <x v="148"/>
    <n v="111"/>
    <n v="2060"/>
    <m/>
    <n v="42"/>
    <m/>
    <m/>
    <m/>
    <m/>
    <m/>
    <m/>
    <m/>
  </r>
  <r>
    <x v="6"/>
    <x v="148"/>
    <n v="16"/>
    <n v="163"/>
    <m/>
    <n v="1"/>
    <m/>
    <m/>
    <m/>
    <m/>
    <m/>
    <m/>
    <m/>
  </r>
  <r>
    <x v="7"/>
    <x v="148"/>
    <n v="15"/>
    <n v="783"/>
    <m/>
    <n v="7"/>
    <m/>
    <m/>
    <m/>
    <m/>
    <m/>
    <m/>
    <m/>
  </r>
  <r>
    <x v="8"/>
    <x v="148"/>
    <n v="1"/>
    <n v="82"/>
    <m/>
    <n v="0"/>
    <m/>
    <m/>
    <m/>
    <m/>
    <m/>
    <m/>
    <m/>
  </r>
  <r>
    <x v="9"/>
    <x v="148"/>
    <n v="172"/>
    <n v="1850"/>
    <m/>
    <n v="0"/>
    <m/>
    <m/>
    <m/>
    <m/>
    <m/>
    <m/>
    <m/>
  </r>
  <r>
    <x v="10"/>
    <x v="148"/>
    <n v="10"/>
    <n v="69"/>
    <m/>
    <n v="0"/>
    <m/>
    <m/>
    <m/>
    <m/>
    <m/>
    <m/>
    <m/>
  </r>
  <r>
    <x v="11"/>
    <x v="148"/>
    <n v="31"/>
    <n v="290"/>
    <m/>
    <n v="0"/>
    <m/>
    <m/>
    <m/>
    <m/>
    <m/>
    <m/>
    <m/>
  </r>
  <r>
    <x v="12"/>
    <x v="148"/>
    <n v="65"/>
    <n v="1010"/>
    <n v="4"/>
    <n v="4"/>
    <m/>
    <m/>
    <m/>
    <m/>
    <m/>
    <m/>
    <m/>
  </r>
  <r>
    <x v="13"/>
    <x v="148"/>
    <n v="0"/>
    <n v="52"/>
    <m/>
    <n v="3"/>
    <m/>
    <m/>
    <m/>
    <m/>
    <m/>
    <m/>
    <m/>
  </r>
  <r>
    <x v="14"/>
    <x v="148"/>
    <n v="30"/>
    <n v="1116"/>
    <m/>
    <n v="0"/>
    <m/>
    <m/>
    <m/>
    <m/>
    <m/>
    <m/>
    <m/>
  </r>
  <r>
    <x v="15"/>
    <x v="148"/>
    <n v="55"/>
    <n v="1762"/>
    <n v="1"/>
    <n v="4"/>
    <m/>
    <m/>
    <m/>
    <m/>
    <m/>
    <m/>
    <m/>
  </r>
  <r>
    <x v="16"/>
    <x v="148"/>
    <n v="9"/>
    <n v="245"/>
    <m/>
    <n v="2"/>
    <m/>
    <m/>
    <m/>
    <m/>
    <m/>
    <m/>
    <m/>
  </r>
  <r>
    <x v="17"/>
    <x v="148"/>
    <n v="0"/>
    <n v="20"/>
    <m/>
    <n v="0"/>
    <m/>
    <m/>
    <m/>
    <m/>
    <m/>
    <m/>
    <m/>
  </r>
  <r>
    <x v="18"/>
    <x v="148"/>
    <n v="2"/>
    <n v="24"/>
    <m/>
    <n v="0"/>
    <m/>
    <m/>
    <m/>
    <m/>
    <m/>
    <m/>
    <m/>
  </r>
  <r>
    <x v="19"/>
    <x v="148"/>
    <n v="44"/>
    <n v="420"/>
    <m/>
    <n v="0"/>
    <m/>
    <m/>
    <m/>
    <m/>
    <m/>
    <m/>
    <m/>
  </r>
  <r>
    <x v="20"/>
    <x v="148"/>
    <n v="68"/>
    <n v="1103"/>
    <n v="1"/>
    <n v="12"/>
    <m/>
    <m/>
    <m/>
    <m/>
    <m/>
    <m/>
    <m/>
  </r>
  <r>
    <x v="21"/>
    <x v="148"/>
    <n v="2"/>
    <n v="44"/>
    <m/>
    <n v="1"/>
    <m/>
    <m/>
    <m/>
    <m/>
    <m/>
    <m/>
    <m/>
  </r>
  <r>
    <x v="22"/>
    <x v="148"/>
    <n v="14"/>
    <n v="413"/>
    <m/>
    <n v="1"/>
    <m/>
    <m/>
    <m/>
    <m/>
    <m/>
    <m/>
    <m/>
  </r>
  <r>
    <x v="23"/>
    <x v="148"/>
    <n v="10"/>
    <n v="166"/>
    <m/>
    <n v="4"/>
    <m/>
    <m/>
    <m/>
    <m/>
    <m/>
    <m/>
    <m/>
  </r>
  <r>
    <x v="0"/>
    <x v="149"/>
    <n v="4415"/>
    <n v="110658"/>
    <n v="116"/>
    <n v="1844"/>
    <m/>
    <m/>
    <m/>
    <m/>
    <m/>
    <m/>
    <m/>
  </r>
  <r>
    <x v="1"/>
    <x v="149"/>
    <n v="1"/>
    <n v="61"/>
    <m/>
    <n v="0"/>
    <m/>
    <m/>
    <m/>
    <m/>
    <m/>
    <m/>
    <m/>
  </r>
  <r>
    <x v="2"/>
    <x v="149"/>
    <n v="93"/>
    <n v="3521"/>
    <m/>
    <n v="139"/>
    <m/>
    <m/>
    <m/>
    <m/>
    <m/>
    <m/>
    <m/>
  </r>
  <r>
    <x v="3"/>
    <x v="149"/>
    <n v="5"/>
    <n v="275"/>
    <m/>
    <n v="3"/>
    <m/>
    <m/>
    <m/>
    <m/>
    <m/>
    <m/>
    <m/>
  </r>
  <r>
    <x v="4"/>
    <x v="149"/>
    <n v="1239"/>
    <n v="58545"/>
    <n v="32"/>
    <n v="1202"/>
    <m/>
    <m/>
    <m/>
    <m/>
    <m/>
    <m/>
    <m/>
  </r>
  <r>
    <x v="5"/>
    <x v="149"/>
    <n v="91"/>
    <n v="2151"/>
    <n v="1"/>
    <n v="43"/>
    <m/>
    <m/>
    <m/>
    <m/>
    <m/>
    <m/>
    <m/>
  </r>
  <r>
    <x v="6"/>
    <x v="149"/>
    <n v="3"/>
    <n v="166"/>
    <m/>
    <n v="1"/>
    <m/>
    <m/>
    <m/>
    <m/>
    <m/>
    <m/>
    <m/>
  </r>
  <r>
    <x v="7"/>
    <x v="149"/>
    <n v="20"/>
    <n v="803"/>
    <m/>
    <n v="7"/>
    <m/>
    <m/>
    <m/>
    <m/>
    <m/>
    <m/>
    <m/>
  </r>
  <r>
    <x v="8"/>
    <x v="149"/>
    <n v="0"/>
    <n v="82"/>
    <m/>
    <n v="0"/>
    <m/>
    <m/>
    <m/>
    <m/>
    <m/>
    <m/>
    <m/>
  </r>
  <r>
    <x v="9"/>
    <x v="149"/>
    <n v="161"/>
    <n v="2011"/>
    <m/>
    <n v="0"/>
    <m/>
    <m/>
    <m/>
    <m/>
    <m/>
    <m/>
    <m/>
  </r>
  <r>
    <x v="10"/>
    <x v="149"/>
    <n v="6"/>
    <n v="75"/>
    <m/>
    <n v="0"/>
    <m/>
    <m/>
    <m/>
    <m/>
    <m/>
    <m/>
    <m/>
  </r>
  <r>
    <x v="11"/>
    <x v="149"/>
    <n v="11"/>
    <n v="301"/>
    <m/>
    <n v="0"/>
    <m/>
    <m/>
    <m/>
    <m/>
    <m/>
    <m/>
    <m/>
  </r>
  <r>
    <x v="12"/>
    <x v="149"/>
    <n v="77"/>
    <n v="1087"/>
    <n v="1"/>
    <n v="1"/>
    <m/>
    <m/>
    <m/>
    <m/>
    <m/>
    <m/>
    <m/>
  </r>
  <r>
    <x v="13"/>
    <x v="149"/>
    <n v="1"/>
    <n v="53"/>
    <m/>
    <n v="4"/>
    <m/>
    <m/>
    <m/>
    <m/>
    <m/>
    <m/>
    <m/>
  </r>
  <r>
    <x v="14"/>
    <x v="149"/>
    <n v="27"/>
    <n v="1143"/>
    <m/>
    <n v="3"/>
    <m/>
    <m/>
    <m/>
    <m/>
    <m/>
    <m/>
    <m/>
  </r>
  <r>
    <x v="15"/>
    <x v="149"/>
    <n v="81"/>
    <n v="1843"/>
    <n v="2"/>
    <n v="2"/>
    <m/>
    <m/>
    <m/>
    <m/>
    <m/>
    <m/>
    <m/>
  </r>
  <r>
    <x v="16"/>
    <x v="149"/>
    <n v="11"/>
    <n v="256"/>
    <m/>
    <n v="4"/>
    <m/>
    <m/>
    <m/>
    <m/>
    <m/>
    <m/>
    <m/>
  </r>
  <r>
    <x v="17"/>
    <x v="149"/>
    <n v="1"/>
    <n v="21"/>
    <m/>
    <n v="0"/>
    <m/>
    <m/>
    <m/>
    <m/>
    <m/>
    <m/>
    <m/>
  </r>
  <r>
    <x v="18"/>
    <x v="149"/>
    <n v="3"/>
    <n v="27"/>
    <m/>
    <n v="0"/>
    <m/>
    <m/>
    <m/>
    <m/>
    <m/>
    <m/>
    <m/>
  </r>
  <r>
    <x v="19"/>
    <x v="149"/>
    <n v="9"/>
    <n v="429"/>
    <n v="1"/>
    <n v="1"/>
    <m/>
    <m/>
    <m/>
    <m/>
    <m/>
    <m/>
    <m/>
  </r>
  <r>
    <x v="20"/>
    <x v="149"/>
    <n v="50"/>
    <n v="1153"/>
    <m/>
    <n v="12"/>
    <m/>
    <m/>
    <m/>
    <m/>
    <m/>
    <m/>
    <m/>
  </r>
  <r>
    <x v="21"/>
    <x v="149"/>
    <n v="2"/>
    <n v="46"/>
    <m/>
    <n v="1"/>
    <m/>
    <m/>
    <m/>
    <m/>
    <m/>
    <m/>
    <m/>
  </r>
  <r>
    <x v="22"/>
    <x v="149"/>
    <n v="33"/>
    <n v="446"/>
    <m/>
    <n v="1"/>
    <m/>
    <m/>
    <m/>
    <m/>
    <m/>
    <m/>
    <m/>
  </r>
  <r>
    <x v="23"/>
    <x v="149"/>
    <n v="37"/>
    <n v="203"/>
    <m/>
    <n v="4"/>
    <m/>
    <m/>
    <m/>
    <m/>
    <m/>
    <m/>
    <m/>
  </r>
  <r>
    <x v="0"/>
    <x v="150"/>
    <n v="3911"/>
    <n v="114569"/>
    <n v="67"/>
    <n v="1911"/>
    <m/>
    <m/>
    <m/>
    <m/>
    <m/>
    <m/>
    <m/>
  </r>
  <r>
    <x v="1"/>
    <x v="150"/>
    <n v="0"/>
    <n v="61"/>
    <m/>
    <n v="0"/>
    <m/>
    <m/>
    <m/>
    <m/>
    <m/>
    <m/>
    <m/>
  </r>
  <r>
    <x v="2"/>
    <x v="150"/>
    <n v="58"/>
    <n v="3579"/>
    <n v="2"/>
    <n v="141"/>
    <m/>
    <m/>
    <m/>
    <m/>
    <m/>
    <m/>
    <m/>
  </r>
  <r>
    <x v="3"/>
    <x v="150"/>
    <n v="1"/>
    <n v="276"/>
    <n v="1"/>
    <n v="4"/>
    <m/>
    <m/>
    <m/>
    <m/>
    <m/>
    <m/>
    <m/>
  </r>
  <r>
    <x v="4"/>
    <x v="150"/>
    <n v="1142"/>
    <n v="59687"/>
    <n v="26"/>
    <n v="1228"/>
    <m/>
    <m/>
    <m/>
    <m/>
    <m/>
    <m/>
    <m/>
  </r>
  <r>
    <x v="5"/>
    <x v="150"/>
    <n v="108"/>
    <n v="2259"/>
    <m/>
    <n v="43"/>
    <m/>
    <m/>
    <m/>
    <m/>
    <m/>
    <m/>
    <m/>
  </r>
  <r>
    <x v="6"/>
    <x v="150"/>
    <n v="3"/>
    <n v="169"/>
    <m/>
    <n v="1"/>
    <m/>
    <m/>
    <m/>
    <m/>
    <m/>
    <m/>
    <m/>
  </r>
  <r>
    <x v="7"/>
    <x v="150"/>
    <n v="9"/>
    <n v="812"/>
    <n v="1"/>
    <n v="8"/>
    <m/>
    <m/>
    <m/>
    <m/>
    <m/>
    <m/>
    <m/>
  </r>
  <r>
    <x v="8"/>
    <x v="150"/>
    <n v="0"/>
    <n v="82"/>
    <m/>
    <n v="0"/>
    <m/>
    <m/>
    <m/>
    <m/>
    <m/>
    <m/>
    <m/>
  </r>
  <r>
    <x v="9"/>
    <x v="150"/>
    <n v="238"/>
    <n v="2249"/>
    <m/>
    <n v="0"/>
    <m/>
    <m/>
    <m/>
    <m/>
    <m/>
    <m/>
    <m/>
  </r>
  <r>
    <x v="10"/>
    <x v="150"/>
    <n v="42"/>
    <n v="117"/>
    <m/>
    <n v="0"/>
    <m/>
    <m/>
    <m/>
    <m/>
    <m/>
    <m/>
    <m/>
  </r>
  <r>
    <x v="11"/>
    <x v="150"/>
    <n v="36"/>
    <n v="337"/>
    <m/>
    <n v="0"/>
    <m/>
    <m/>
    <m/>
    <m/>
    <m/>
    <m/>
    <m/>
  </r>
  <r>
    <x v="12"/>
    <x v="150"/>
    <n v="124"/>
    <n v="1211"/>
    <n v="1"/>
    <n v="1"/>
    <m/>
    <m/>
    <m/>
    <m/>
    <m/>
    <m/>
    <m/>
  </r>
  <r>
    <x v="13"/>
    <x v="150"/>
    <n v="6"/>
    <n v="59"/>
    <m/>
    <n v="1"/>
    <m/>
    <m/>
    <m/>
    <m/>
    <m/>
    <m/>
    <m/>
  </r>
  <r>
    <x v="14"/>
    <x v="150"/>
    <n v="35"/>
    <n v="1178"/>
    <m/>
    <n v="4"/>
    <m/>
    <m/>
    <m/>
    <m/>
    <m/>
    <m/>
    <m/>
  </r>
  <r>
    <x v="15"/>
    <x v="150"/>
    <n v="104"/>
    <n v="1947"/>
    <n v="2"/>
    <n v="5"/>
    <m/>
    <m/>
    <m/>
    <m/>
    <m/>
    <m/>
    <m/>
  </r>
  <r>
    <x v="16"/>
    <x v="150"/>
    <n v="7"/>
    <n v="263"/>
    <m/>
    <n v="2"/>
    <m/>
    <m/>
    <m/>
    <m/>
    <m/>
    <m/>
    <m/>
  </r>
  <r>
    <x v="17"/>
    <x v="150"/>
    <n v="-1"/>
    <n v="20"/>
    <m/>
    <n v="0"/>
    <m/>
    <m/>
    <m/>
    <m/>
    <m/>
    <m/>
    <m/>
  </r>
  <r>
    <x v="18"/>
    <x v="150"/>
    <n v="-1"/>
    <n v="26"/>
    <m/>
    <n v="0"/>
    <m/>
    <m/>
    <m/>
    <m/>
    <m/>
    <m/>
    <m/>
  </r>
  <r>
    <x v="19"/>
    <x v="150"/>
    <n v="25"/>
    <n v="454"/>
    <n v="1"/>
    <n v="2"/>
    <m/>
    <m/>
    <m/>
    <m/>
    <m/>
    <m/>
    <m/>
  </r>
  <r>
    <x v="20"/>
    <x v="150"/>
    <n v="63"/>
    <n v="1216"/>
    <n v="1"/>
    <n v="13"/>
    <m/>
    <m/>
    <m/>
    <m/>
    <m/>
    <m/>
    <m/>
  </r>
  <r>
    <x v="21"/>
    <x v="150"/>
    <n v="-1"/>
    <n v="45"/>
    <m/>
    <n v="1"/>
    <m/>
    <m/>
    <m/>
    <m/>
    <m/>
    <m/>
    <m/>
  </r>
  <r>
    <x v="22"/>
    <x v="150"/>
    <n v="12"/>
    <n v="458"/>
    <m/>
    <n v="1"/>
    <m/>
    <m/>
    <m/>
    <m/>
    <m/>
    <m/>
    <m/>
  </r>
  <r>
    <x v="23"/>
    <x v="150"/>
    <n v="8"/>
    <n v="211"/>
    <m/>
    <n v="4"/>
    <m/>
    <m/>
    <m/>
    <m/>
    <m/>
    <m/>
    <m/>
  </r>
  <r>
    <x v="0"/>
    <x v="151"/>
    <n v="3586"/>
    <n v="118155"/>
    <n v="35"/>
    <n v="1946"/>
    <m/>
    <m/>
    <m/>
    <m/>
    <m/>
    <m/>
    <m/>
  </r>
  <r>
    <x v="1"/>
    <x v="151"/>
    <n v="0"/>
    <n v="61"/>
    <m/>
    <n v="0"/>
    <m/>
    <m/>
    <m/>
    <m/>
    <m/>
    <m/>
    <m/>
  </r>
  <r>
    <x v="2"/>
    <x v="151"/>
    <n v="59"/>
    <n v="3638"/>
    <m/>
    <n v="141"/>
    <m/>
    <m/>
    <m/>
    <m/>
    <m/>
    <m/>
    <m/>
  </r>
  <r>
    <x v="3"/>
    <x v="151"/>
    <n v="10"/>
    <n v="286"/>
    <m/>
    <n v="4"/>
    <m/>
    <m/>
    <m/>
    <m/>
    <m/>
    <m/>
    <m/>
  </r>
  <r>
    <x v="4"/>
    <x v="151"/>
    <n v="968"/>
    <n v="60655"/>
    <n v="13"/>
    <n v="1241"/>
    <m/>
    <m/>
    <m/>
    <m/>
    <m/>
    <m/>
    <m/>
  </r>
  <r>
    <x v="5"/>
    <x v="151"/>
    <n v="91"/>
    <n v="2350"/>
    <n v="2"/>
    <n v="45"/>
    <m/>
    <m/>
    <m/>
    <m/>
    <m/>
    <m/>
    <m/>
  </r>
  <r>
    <x v="6"/>
    <x v="151"/>
    <n v="25"/>
    <n v="194"/>
    <m/>
    <n v="1"/>
    <m/>
    <m/>
    <m/>
    <m/>
    <m/>
    <m/>
    <m/>
  </r>
  <r>
    <x v="7"/>
    <x v="151"/>
    <n v="14"/>
    <n v="826"/>
    <m/>
    <n v="8"/>
    <m/>
    <m/>
    <m/>
    <m/>
    <m/>
    <m/>
    <m/>
  </r>
  <r>
    <x v="8"/>
    <x v="151"/>
    <n v="0"/>
    <n v="82"/>
    <m/>
    <n v="0"/>
    <m/>
    <m/>
    <m/>
    <m/>
    <m/>
    <m/>
    <m/>
  </r>
  <r>
    <x v="9"/>
    <x v="151"/>
    <n v="85"/>
    <n v="2334"/>
    <m/>
    <n v="0"/>
    <m/>
    <m/>
    <m/>
    <m/>
    <m/>
    <m/>
    <m/>
  </r>
  <r>
    <x v="10"/>
    <x v="151"/>
    <n v="29"/>
    <n v="146"/>
    <m/>
    <n v="0"/>
    <m/>
    <m/>
    <m/>
    <m/>
    <m/>
    <m/>
    <m/>
  </r>
  <r>
    <x v="11"/>
    <x v="151"/>
    <n v="3"/>
    <n v="340"/>
    <n v="2"/>
    <n v="2"/>
    <m/>
    <m/>
    <m/>
    <m/>
    <m/>
    <m/>
    <m/>
  </r>
  <r>
    <x v="12"/>
    <x v="151"/>
    <n v="84"/>
    <n v="1295"/>
    <n v="1"/>
    <n v="1"/>
    <m/>
    <m/>
    <m/>
    <m/>
    <m/>
    <m/>
    <m/>
  </r>
  <r>
    <x v="13"/>
    <x v="151"/>
    <n v="-1"/>
    <n v="58"/>
    <m/>
    <n v="1"/>
    <m/>
    <m/>
    <m/>
    <m/>
    <m/>
    <m/>
    <m/>
  </r>
  <r>
    <x v="14"/>
    <x v="151"/>
    <n v="8"/>
    <n v="1186"/>
    <m/>
    <n v="1"/>
    <m/>
    <m/>
    <m/>
    <m/>
    <m/>
    <m/>
    <m/>
  </r>
  <r>
    <x v="15"/>
    <x v="151"/>
    <n v="60"/>
    <n v="2007"/>
    <m/>
    <n v="4"/>
    <m/>
    <m/>
    <m/>
    <m/>
    <m/>
    <m/>
    <m/>
  </r>
  <r>
    <x v="16"/>
    <x v="151"/>
    <n v="22"/>
    <n v="285"/>
    <m/>
    <n v="5"/>
    <m/>
    <m/>
    <m/>
    <m/>
    <m/>
    <m/>
    <m/>
  </r>
  <r>
    <x v="17"/>
    <x v="151"/>
    <n v="0"/>
    <n v="20"/>
    <m/>
    <n v="0"/>
    <m/>
    <m/>
    <m/>
    <m/>
    <m/>
    <m/>
    <m/>
  </r>
  <r>
    <x v="18"/>
    <x v="151"/>
    <n v="2"/>
    <n v="28"/>
    <m/>
    <n v="0"/>
    <m/>
    <m/>
    <m/>
    <m/>
    <m/>
    <m/>
    <m/>
  </r>
  <r>
    <x v="19"/>
    <x v="151"/>
    <n v="49"/>
    <n v="503"/>
    <m/>
    <n v="2"/>
    <m/>
    <m/>
    <m/>
    <m/>
    <m/>
    <m/>
    <m/>
  </r>
  <r>
    <x v="20"/>
    <x v="151"/>
    <n v="78"/>
    <n v="1294"/>
    <m/>
    <n v="13"/>
    <m/>
    <m/>
    <m/>
    <m/>
    <m/>
    <m/>
    <m/>
  </r>
  <r>
    <x v="21"/>
    <x v="151"/>
    <n v="2"/>
    <n v="47"/>
    <m/>
    <n v="1"/>
    <m/>
    <m/>
    <m/>
    <m/>
    <m/>
    <m/>
    <m/>
  </r>
  <r>
    <x v="22"/>
    <x v="151"/>
    <n v="47"/>
    <n v="505"/>
    <m/>
    <n v="1"/>
    <m/>
    <m/>
    <m/>
    <m/>
    <m/>
    <m/>
    <m/>
  </r>
  <r>
    <x v="23"/>
    <x v="151"/>
    <n v="20"/>
    <n v="231"/>
    <m/>
    <n v="4"/>
    <m/>
    <m/>
    <m/>
    <m/>
    <m/>
    <m/>
    <m/>
  </r>
  <r>
    <x v="0"/>
    <x v="152"/>
    <n v="3797"/>
    <n v="121952"/>
    <n v="35"/>
    <n v="1981"/>
    <m/>
    <m/>
    <m/>
    <m/>
    <m/>
    <m/>
    <m/>
  </r>
  <r>
    <x v="1"/>
    <x v="152"/>
    <n v="2"/>
    <n v="63"/>
    <m/>
    <n v="0"/>
    <m/>
    <m/>
    <m/>
    <m/>
    <m/>
    <m/>
    <m/>
  </r>
  <r>
    <x v="2"/>
    <x v="152"/>
    <n v="33"/>
    <n v="3671"/>
    <n v="1"/>
    <n v="142"/>
    <m/>
    <m/>
    <m/>
    <m/>
    <m/>
    <m/>
    <m/>
  </r>
  <r>
    <x v="3"/>
    <x v="152"/>
    <n v="2"/>
    <n v="288"/>
    <m/>
    <n v="4"/>
    <m/>
    <m/>
    <m/>
    <m/>
    <m/>
    <m/>
    <m/>
  </r>
  <r>
    <x v="4"/>
    <x v="152"/>
    <n v="971"/>
    <n v="61626"/>
    <n v="6"/>
    <n v="1247"/>
    <m/>
    <m/>
    <m/>
    <m/>
    <m/>
    <m/>
    <m/>
  </r>
  <r>
    <x v="5"/>
    <x v="152"/>
    <n v="87"/>
    <n v="2437"/>
    <n v="1"/>
    <n v="46"/>
    <m/>
    <m/>
    <m/>
    <m/>
    <m/>
    <m/>
    <m/>
  </r>
  <r>
    <x v="6"/>
    <x v="152"/>
    <n v="4"/>
    <n v="198"/>
    <m/>
    <n v="1"/>
    <m/>
    <m/>
    <m/>
    <m/>
    <m/>
    <m/>
    <m/>
  </r>
  <r>
    <x v="7"/>
    <x v="152"/>
    <n v="20"/>
    <n v="846"/>
    <m/>
    <n v="8"/>
    <m/>
    <m/>
    <m/>
    <m/>
    <m/>
    <m/>
    <m/>
  </r>
  <r>
    <x v="8"/>
    <x v="152"/>
    <n v="0"/>
    <n v="82"/>
    <m/>
    <n v="0"/>
    <m/>
    <m/>
    <m/>
    <m/>
    <m/>
    <m/>
    <m/>
  </r>
  <r>
    <x v="9"/>
    <x v="152"/>
    <n v="38"/>
    <n v="2372"/>
    <m/>
    <n v="0"/>
    <m/>
    <m/>
    <m/>
    <m/>
    <m/>
    <m/>
    <m/>
  </r>
  <r>
    <x v="10"/>
    <x v="152"/>
    <n v="7"/>
    <n v="153"/>
    <m/>
    <n v="0"/>
    <m/>
    <m/>
    <m/>
    <m/>
    <m/>
    <m/>
    <m/>
  </r>
  <r>
    <x v="11"/>
    <x v="152"/>
    <n v="7"/>
    <n v="347"/>
    <m/>
    <n v="0"/>
    <m/>
    <m/>
    <m/>
    <m/>
    <m/>
    <m/>
    <m/>
  </r>
  <r>
    <x v="12"/>
    <x v="152"/>
    <n v="95"/>
    <n v="1390"/>
    <n v="4"/>
    <n v="6"/>
    <m/>
    <m/>
    <m/>
    <m/>
    <m/>
    <m/>
    <m/>
  </r>
  <r>
    <x v="13"/>
    <x v="152"/>
    <n v="6"/>
    <n v="64"/>
    <m/>
    <n v="1"/>
    <m/>
    <m/>
    <m/>
    <m/>
    <m/>
    <m/>
    <m/>
  </r>
  <r>
    <x v="14"/>
    <x v="152"/>
    <n v="8"/>
    <n v="1194"/>
    <m/>
    <n v="1"/>
    <m/>
    <m/>
    <m/>
    <m/>
    <m/>
    <m/>
    <m/>
  </r>
  <r>
    <x v="15"/>
    <x v="152"/>
    <n v="56"/>
    <n v="2063"/>
    <m/>
    <n v="1"/>
    <m/>
    <m/>
    <m/>
    <m/>
    <m/>
    <m/>
    <m/>
  </r>
  <r>
    <x v="16"/>
    <x v="152"/>
    <n v="17"/>
    <n v="302"/>
    <m/>
    <n v="4"/>
    <m/>
    <m/>
    <m/>
    <m/>
    <m/>
    <m/>
    <m/>
  </r>
  <r>
    <x v="17"/>
    <x v="152"/>
    <n v="0"/>
    <n v="20"/>
    <m/>
    <n v="0"/>
    <m/>
    <m/>
    <m/>
    <m/>
    <m/>
    <m/>
    <m/>
  </r>
  <r>
    <x v="18"/>
    <x v="152"/>
    <n v="0"/>
    <n v="28"/>
    <m/>
    <n v="0"/>
    <m/>
    <m/>
    <m/>
    <m/>
    <m/>
    <m/>
    <m/>
  </r>
  <r>
    <x v="19"/>
    <x v="152"/>
    <n v="18"/>
    <n v="521"/>
    <m/>
    <n v="2"/>
    <m/>
    <m/>
    <m/>
    <m/>
    <m/>
    <m/>
    <m/>
  </r>
  <r>
    <x v="20"/>
    <x v="152"/>
    <n v="78"/>
    <n v="1372"/>
    <n v="2"/>
    <n v="15"/>
    <m/>
    <m/>
    <m/>
    <m/>
    <m/>
    <m/>
    <m/>
  </r>
  <r>
    <x v="21"/>
    <x v="152"/>
    <n v="0"/>
    <n v="47"/>
    <m/>
    <n v="1"/>
    <m/>
    <m/>
    <m/>
    <m/>
    <m/>
    <m/>
    <m/>
  </r>
  <r>
    <x v="22"/>
    <x v="152"/>
    <n v="96"/>
    <n v="601"/>
    <m/>
    <n v="1"/>
    <m/>
    <m/>
    <m/>
    <m/>
    <m/>
    <m/>
    <m/>
  </r>
  <r>
    <x v="23"/>
    <x v="152"/>
    <n v="34"/>
    <n v="265"/>
    <m/>
    <n v="4"/>
    <m/>
    <m/>
    <m/>
    <m/>
    <m/>
    <m/>
    <m/>
  </r>
  <r>
    <x v="0"/>
    <x v="153"/>
    <n v="3158"/>
    <n v="125110"/>
    <n v="93"/>
    <n v="2074"/>
    <m/>
    <m/>
    <m/>
    <m/>
    <m/>
    <m/>
    <m/>
  </r>
  <r>
    <x v="1"/>
    <x v="153"/>
    <n v="2"/>
    <n v="65"/>
    <m/>
    <n v="0"/>
    <m/>
    <m/>
    <m/>
    <m/>
    <m/>
    <m/>
    <m/>
  </r>
  <r>
    <x v="2"/>
    <x v="153"/>
    <n v="31"/>
    <n v="3702"/>
    <n v="6"/>
    <n v="148"/>
    <m/>
    <m/>
    <m/>
    <m/>
    <m/>
    <m/>
    <m/>
  </r>
  <r>
    <x v="3"/>
    <x v="153"/>
    <n v="5"/>
    <n v="293"/>
    <m/>
    <n v="4"/>
    <m/>
    <m/>
    <m/>
    <m/>
    <m/>
    <m/>
    <m/>
  </r>
  <r>
    <x v="4"/>
    <x v="153"/>
    <n v="1051"/>
    <n v="62677"/>
    <n v="50"/>
    <n v="1297"/>
    <m/>
    <m/>
    <m/>
    <m/>
    <m/>
    <m/>
    <m/>
  </r>
  <r>
    <x v="5"/>
    <x v="153"/>
    <n v="133"/>
    <n v="2570"/>
    <m/>
    <n v="46"/>
    <m/>
    <m/>
    <m/>
    <m/>
    <m/>
    <m/>
    <m/>
  </r>
  <r>
    <x v="6"/>
    <x v="153"/>
    <n v="-2"/>
    <n v="196"/>
    <m/>
    <n v="1"/>
    <m/>
    <m/>
    <m/>
    <m/>
    <m/>
    <m/>
    <m/>
  </r>
  <r>
    <x v="7"/>
    <x v="153"/>
    <n v="29"/>
    <n v="875"/>
    <n v="2"/>
    <n v="10"/>
    <m/>
    <m/>
    <m/>
    <m/>
    <m/>
    <m/>
    <m/>
  </r>
  <r>
    <x v="8"/>
    <x v="153"/>
    <n v="2"/>
    <n v="84"/>
    <m/>
    <n v="0"/>
    <m/>
    <m/>
    <m/>
    <m/>
    <m/>
    <m/>
    <m/>
  </r>
  <r>
    <x v="9"/>
    <x v="153"/>
    <n v="102"/>
    <n v="2474"/>
    <m/>
    <n v="0"/>
    <m/>
    <m/>
    <m/>
    <m/>
    <m/>
    <m/>
    <m/>
  </r>
  <r>
    <x v="10"/>
    <x v="153"/>
    <n v="5"/>
    <n v="158"/>
    <m/>
    <n v="0"/>
    <m/>
    <m/>
    <m/>
    <m/>
    <m/>
    <m/>
    <m/>
  </r>
  <r>
    <x v="11"/>
    <x v="153"/>
    <n v="5"/>
    <n v="352"/>
    <m/>
    <n v="0"/>
    <m/>
    <m/>
    <m/>
    <m/>
    <m/>
    <m/>
    <m/>
  </r>
  <r>
    <x v="12"/>
    <x v="153"/>
    <n v="79"/>
    <n v="1469"/>
    <n v="6"/>
    <n v="6"/>
    <m/>
    <m/>
    <m/>
    <m/>
    <m/>
    <m/>
    <m/>
  </r>
  <r>
    <x v="13"/>
    <x v="153"/>
    <n v="-4"/>
    <n v="60"/>
    <m/>
    <n v="6"/>
    <m/>
    <m/>
    <m/>
    <m/>
    <m/>
    <m/>
    <m/>
  </r>
  <r>
    <x v="14"/>
    <x v="153"/>
    <n v="21"/>
    <n v="1215"/>
    <n v="2"/>
    <n v="3"/>
    <m/>
    <m/>
    <m/>
    <m/>
    <m/>
    <m/>
    <m/>
  </r>
  <r>
    <x v="15"/>
    <x v="153"/>
    <n v="63"/>
    <n v="2126"/>
    <n v="3"/>
    <n v="4"/>
    <m/>
    <m/>
    <m/>
    <m/>
    <m/>
    <m/>
    <m/>
  </r>
  <r>
    <x v="16"/>
    <x v="153"/>
    <n v="1"/>
    <n v="303"/>
    <m/>
    <n v="1"/>
    <m/>
    <m/>
    <m/>
    <m/>
    <m/>
    <m/>
    <m/>
  </r>
  <r>
    <x v="17"/>
    <x v="153"/>
    <n v="2"/>
    <n v="22"/>
    <m/>
    <n v="0"/>
    <m/>
    <m/>
    <m/>
    <m/>
    <m/>
    <m/>
    <m/>
  </r>
  <r>
    <x v="18"/>
    <x v="153"/>
    <n v="-2"/>
    <n v="26"/>
    <m/>
    <n v="0"/>
    <m/>
    <m/>
    <m/>
    <m/>
    <m/>
    <m/>
    <m/>
  </r>
  <r>
    <x v="19"/>
    <x v="153"/>
    <n v="27"/>
    <n v="548"/>
    <m/>
    <n v="2"/>
    <m/>
    <m/>
    <m/>
    <m/>
    <m/>
    <m/>
    <m/>
  </r>
  <r>
    <x v="20"/>
    <x v="153"/>
    <n v="63"/>
    <n v="1435"/>
    <n v="1"/>
    <n v="16"/>
    <m/>
    <m/>
    <m/>
    <m/>
    <m/>
    <m/>
    <m/>
  </r>
  <r>
    <x v="21"/>
    <x v="153"/>
    <n v="1"/>
    <n v="48"/>
    <m/>
    <n v="1"/>
    <m/>
    <m/>
    <m/>
    <m/>
    <m/>
    <m/>
    <m/>
  </r>
  <r>
    <x v="22"/>
    <x v="153"/>
    <n v="44"/>
    <n v="645"/>
    <m/>
    <n v="1"/>
    <m/>
    <m/>
    <m/>
    <m/>
    <m/>
    <m/>
    <m/>
  </r>
  <r>
    <x v="23"/>
    <x v="153"/>
    <n v="8"/>
    <n v="273"/>
    <m/>
    <n v="4"/>
    <m/>
    <m/>
    <m/>
    <m/>
    <m/>
    <m/>
    <m/>
  </r>
  <r>
    <x v="0"/>
    <x v="154"/>
    <n v="4337"/>
    <n v="129447"/>
    <n v="114"/>
    <n v="2188"/>
    <m/>
    <m/>
    <m/>
    <m/>
    <m/>
    <m/>
    <m/>
  </r>
  <r>
    <x v="1"/>
    <x v="154"/>
    <n v="-2"/>
    <n v="63"/>
    <m/>
    <n v="0"/>
    <m/>
    <m/>
    <m/>
    <m/>
    <m/>
    <m/>
    <m/>
  </r>
  <r>
    <x v="2"/>
    <x v="154"/>
    <n v="53"/>
    <n v="3755"/>
    <n v="3"/>
    <n v="151"/>
    <m/>
    <m/>
    <m/>
    <m/>
    <m/>
    <m/>
    <m/>
  </r>
  <r>
    <x v="3"/>
    <x v="154"/>
    <n v="1"/>
    <n v="294"/>
    <m/>
    <n v="4"/>
    <m/>
    <m/>
    <m/>
    <m/>
    <m/>
    <m/>
    <m/>
  </r>
  <r>
    <x v="4"/>
    <x v="154"/>
    <n v="1371"/>
    <n v="64048"/>
    <n v="45"/>
    <n v="1342"/>
    <m/>
    <m/>
    <m/>
    <m/>
    <m/>
    <m/>
    <m/>
  </r>
  <r>
    <x v="5"/>
    <x v="154"/>
    <n v="147"/>
    <n v="2717"/>
    <n v="1"/>
    <n v="47"/>
    <m/>
    <m/>
    <m/>
    <m/>
    <m/>
    <m/>
    <m/>
  </r>
  <r>
    <x v="6"/>
    <x v="154"/>
    <n v="-4"/>
    <n v="192"/>
    <n v="1"/>
    <n v="2"/>
    <m/>
    <m/>
    <m/>
    <m/>
    <m/>
    <m/>
    <m/>
  </r>
  <r>
    <x v="7"/>
    <x v="154"/>
    <n v="22"/>
    <n v="897"/>
    <m/>
    <n v="10"/>
    <m/>
    <m/>
    <m/>
    <m/>
    <m/>
    <m/>
    <m/>
  </r>
  <r>
    <x v="8"/>
    <x v="154"/>
    <n v="1"/>
    <n v="85"/>
    <m/>
    <n v="0"/>
    <m/>
    <m/>
    <m/>
    <m/>
    <m/>
    <m/>
    <m/>
  </r>
  <r>
    <x v="9"/>
    <x v="154"/>
    <n v="269"/>
    <n v="2743"/>
    <m/>
    <n v="0"/>
    <m/>
    <m/>
    <m/>
    <m/>
    <m/>
    <m/>
    <m/>
  </r>
  <r>
    <x v="10"/>
    <x v="154"/>
    <n v="29"/>
    <n v="187"/>
    <m/>
    <n v="0"/>
    <m/>
    <m/>
    <m/>
    <m/>
    <m/>
    <m/>
    <m/>
  </r>
  <r>
    <x v="11"/>
    <x v="154"/>
    <n v="29"/>
    <n v="381"/>
    <m/>
    <n v="0"/>
    <m/>
    <m/>
    <m/>
    <m/>
    <m/>
    <m/>
    <m/>
  </r>
  <r>
    <x v="12"/>
    <x v="154"/>
    <n v="106"/>
    <n v="1575"/>
    <n v="2"/>
    <n v="2"/>
    <m/>
    <m/>
    <m/>
    <m/>
    <m/>
    <m/>
    <m/>
  </r>
  <r>
    <x v="13"/>
    <x v="154"/>
    <n v="-1"/>
    <n v="59"/>
    <m/>
    <n v="6"/>
    <m/>
    <m/>
    <m/>
    <m/>
    <m/>
    <m/>
    <m/>
  </r>
  <r>
    <x v="14"/>
    <x v="154"/>
    <n v="18"/>
    <n v="1233"/>
    <m/>
    <n v="6"/>
    <m/>
    <m/>
    <m/>
    <m/>
    <m/>
    <m/>
    <m/>
  </r>
  <r>
    <x v="15"/>
    <x v="154"/>
    <n v="197"/>
    <n v="2323"/>
    <n v="2"/>
    <n v="5"/>
    <m/>
    <m/>
    <m/>
    <m/>
    <m/>
    <m/>
    <m/>
  </r>
  <r>
    <x v="16"/>
    <x v="154"/>
    <n v="42"/>
    <n v="345"/>
    <m/>
    <n v="4"/>
    <m/>
    <m/>
    <m/>
    <m/>
    <m/>
    <m/>
    <m/>
  </r>
  <r>
    <x v="17"/>
    <x v="154"/>
    <n v="0"/>
    <n v="22"/>
    <m/>
    <n v="0"/>
    <m/>
    <m/>
    <m/>
    <m/>
    <m/>
    <m/>
    <m/>
  </r>
  <r>
    <x v="18"/>
    <x v="154"/>
    <n v="5"/>
    <n v="31"/>
    <m/>
    <n v="0"/>
    <m/>
    <m/>
    <m/>
    <m/>
    <m/>
    <m/>
    <m/>
  </r>
  <r>
    <x v="19"/>
    <x v="154"/>
    <n v="16"/>
    <n v="564"/>
    <m/>
    <n v="2"/>
    <m/>
    <m/>
    <m/>
    <m/>
    <m/>
    <m/>
    <m/>
  </r>
  <r>
    <x v="20"/>
    <x v="154"/>
    <n v="101"/>
    <n v="1536"/>
    <m/>
    <n v="16"/>
    <m/>
    <m/>
    <m/>
    <m/>
    <m/>
    <m/>
    <m/>
  </r>
  <r>
    <x v="21"/>
    <x v="154"/>
    <n v="1"/>
    <n v="49"/>
    <m/>
    <n v="1"/>
    <m/>
    <m/>
    <m/>
    <m/>
    <m/>
    <m/>
    <m/>
  </r>
  <r>
    <x v="22"/>
    <x v="154"/>
    <n v="58"/>
    <n v="703"/>
    <m/>
    <n v="1"/>
    <m/>
    <m/>
    <m/>
    <m/>
    <m/>
    <m/>
    <m/>
  </r>
  <r>
    <x v="23"/>
    <x v="154"/>
    <n v="24"/>
    <n v="297"/>
    <m/>
    <n v="4"/>
    <m/>
    <m/>
    <m/>
    <m/>
    <m/>
    <m/>
    <m/>
  </r>
  <r>
    <x v="0"/>
    <x v="155"/>
    <n v="4676"/>
    <n v="134123"/>
    <n v="84"/>
    <n v="2272"/>
    <m/>
    <m/>
    <m/>
    <m/>
    <m/>
    <m/>
    <m/>
  </r>
  <r>
    <x v="1"/>
    <x v="155"/>
    <n v="-2"/>
    <n v="61"/>
    <m/>
    <n v="0"/>
    <m/>
    <m/>
    <m/>
    <m/>
    <m/>
    <m/>
    <m/>
  </r>
  <r>
    <x v="2"/>
    <x v="155"/>
    <n v="70"/>
    <n v="3825"/>
    <n v="2"/>
    <n v="153"/>
    <m/>
    <m/>
    <m/>
    <m/>
    <m/>
    <m/>
    <m/>
  </r>
  <r>
    <x v="3"/>
    <x v="155"/>
    <n v="9"/>
    <n v="303"/>
    <m/>
    <n v="4"/>
    <m/>
    <m/>
    <m/>
    <m/>
    <m/>
    <m/>
    <m/>
  </r>
  <r>
    <x v="4"/>
    <x v="155"/>
    <n v="1467"/>
    <n v="65515"/>
    <n v="32"/>
    <n v="1374"/>
    <m/>
    <m/>
    <m/>
    <m/>
    <m/>
    <m/>
    <m/>
  </r>
  <r>
    <x v="5"/>
    <x v="155"/>
    <n v="137"/>
    <n v="2854"/>
    <n v="2"/>
    <n v="49"/>
    <m/>
    <m/>
    <m/>
    <m/>
    <m/>
    <m/>
    <m/>
  </r>
  <r>
    <x v="6"/>
    <x v="155"/>
    <n v="5"/>
    <n v="197"/>
    <m/>
    <n v="2"/>
    <m/>
    <m/>
    <m/>
    <m/>
    <m/>
    <m/>
    <m/>
  </r>
  <r>
    <x v="7"/>
    <x v="155"/>
    <n v="42"/>
    <n v="939"/>
    <n v="2"/>
    <n v="12"/>
    <m/>
    <m/>
    <m/>
    <m/>
    <m/>
    <m/>
    <m/>
  </r>
  <r>
    <x v="8"/>
    <x v="155"/>
    <n v="-2"/>
    <n v="83"/>
    <m/>
    <n v="0"/>
    <m/>
    <m/>
    <m/>
    <m/>
    <m/>
    <m/>
    <m/>
  </r>
  <r>
    <x v="9"/>
    <x v="155"/>
    <n v="135"/>
    <n v="2878"/>
    <m/>
    <n v="0"/>
    <m/>
    <m/>
    <m/>
    <m/>
    <m/>
    <m/>
    <m/>
  </r>
  <r>
    <x v="10"/>
    <x v="155"/>
    <n v="6"/>
    <n v="193"/>
    <m/>
    <n v="0"/>
    <m/>
    <m/>
    <m/>
    <m/>
    <m/>
    <m/>
    <m/>
  </r>
  <r>
    <x v="11"/>
    <x v="155"/>
    <n v="27"/>
    <n v="408"/>
    <m/>
    <n v="0"/>
    <m/>
    <m/>
    <m/>
    <m/>
    <m/>
    <m/>
    <m/>
  </r>
  <r>
    <x v="12"/>
    <x v="155"/>
    <n v="98"/>
    <n v="1673"/>
    <n v="1"/>
    <n v="1"/>
    <m/>
    <m/>
    <m/>
    <m/>
    <m/>
    <m/>
    <m/>
  </r>
  <r>
    <x v="13"/>
    <x v="155"/>
    <n v="0"/>
    <n v="59"/>
    <m/>
    <n v="2"/>
    <m/>
    <m/>
    <m/>
    <m/>
    <m/>
    <m/>
    <m/>
  </r>
  <r>
    <x v="14"/>
    <x v="155"/>
    <n v="81"/>
    <n v="1314"/>
    <n v="2"/>
    <n v="8"/>
    <m/>
    <m/>
    <m/>
    <m/>
    <m/>
    <m/>
    <m/>
  </r>
  <r>
    <x v="15"/>
    <x v="155"/>
    <n v="121"/>
    <n v="2444"/>
    <m/>
    <n v="6"/>
    <m/>
    <m/>
    <m/>
    <m/>
    <m/>
    <m/>
    <m/>
  </r>
  <r>
    <x v="16"/>
    <x v="155"/>
    <n v="34"/>
    <n v="379"/>
    <m/>
    <n v="5"/>
    <m/>
    <m/>
    <m/>
    <m/>
    <m/>
    <m/>
    <m/>
  </r>
  <r>
    <x v="17"/>
    <x v="155"/>
    <n v="1"/>
    <n v="23"/>
    <m/>
    <n v="0"/>
    <m/>
    <m/>
    <m/>
    <m/>
    <m/>
    <m/>
    <m/>
  </r>
  <r>
    <x v="18"/>
    <x v="155"/>
    <n v="2"/>
    <n v="33"/>
    <m/>
    <n v="0"/>
    <m/>
    <m/>
    <m/>
    <m/>
    <m/>
    <m/>
    <m/>
  </r>
  <r>
    <x v="19"/>
    <x v="155"/>
    <n v="50"/>
    <n v="614"/>
    <m/>
    <n v="2"/>
    <m/>
    <m/>
    <m/>
    <m/>
    <m/>
    <m/>
    <m/>
  </r>
  <r>
    <x v="20"/>
    <x v="155"/>
    <n v="101"/>
    <n v="1637"/>
    <n v="2"/>
    <n v="18"/>
    <m/>
    <m/>
    <m/>
    <m/>
    <m/>
    <m/>
    <m/>
  </r>
  <r>
    <x v="21"/>
    <x v="155"/>
    <n v="18"/>
    <n v="67"/>
    <m/>
    <n v="1"/>
    <m/>
    <m/>
    <m/>
    <m/>
    <m/>
    <m/>
    <m/>
  </r>
  <r>
    <x v="22"/>
    <x v="155"/>
    <n v="43"/>
    <n v="746"/>
    <m/>
    <n v="1"/>
    <m/>
    <m/>
    <m/>
    <m/>
    <m/>
    <m/>
    <m/>
  </r>
  <r>
    <x v="23"/>
    <x v="155"/>
    <n v="28"/>
    <n v="325"/>
    <m/>
    <n v="4"/>
    <m/>
    <m/>
    <m/>
    <m/>
    <m/>
    <m/>
    <m/>
  </r>
  <r>
    <x v="0"/>
    <x v="156"/>
    <n v="4987"/>
    <n v="139110"/>
    <n v="96"/>
    <n v="2368"/>
    <m/>
    <m/>
    <m/>
    <m/>
    <m/>
    <m/>
    <m/>
  </r>
  <r>
    <x v="1"/>
    <x v="156"/>
    <n v="0"/>
    <n v="61"/>
    <m/>
    <n v="0"/>
    <m/>
    <m/>
    <m/>
    <m/>
    <m/>
    <m/>
    <m/>
  </r>
  <r>
    <x v="2"/>
    <x v="156"/>
    <n v="47"/>
    <n v="3872"/>
    <n v="5"/>
    <n v="158"/>
    <m/>
    <m/>
    <m/>
    <m/>
    <m/>
    <m/>
    <m/>
  </r>
  <r>
    <x v="3"/>
    <x v="156"/>
    <n v="7"/>
    <n v="310"/>
    <m/>
    <n v="4"/>
    <m/>
    <m/>
    <m/>
    <m/>
    <m/>
    <m/>
    <m/>
  </r>
  <r>
    <x v="4"/>
    <x v="156"/>
    <n v="1448"/>
    <n v="66963"/>
    <n v="31"/>
    <n v="1405"/>
    <m/>
    <m/>
    <m/>
    <m/>
    <m/>
    <m/>
    <m/>
  </r>
  <r>
    <x v="5"/>
    <x v="156"/>
    <n v="144"/>
    <n v="2998"/>
    <m/>
    <n v="49"/>
    <m/>
    <m/>
    <m/>
    <m/>
    <m/>
    <m/>
    <m/>
  </r>
  <r>
    <x v="6"/>
    <x v="156"/>
    <n v="4"/>
    <n v="201"/>
    <m/>
    <n v="2"/>
    <m/>
    <m/>
    <m/>
    <m/>
    <m/>
    <m/>
    <m/>
  </r>
  <r>
    <x v="7"/>
    <x v="156"/>
    <n v="59"/>
    <n v="998"/>
    <m/>
    <n v="12"/>
    <m/>
    <m/>
    <m/>
    <m/>
    <m/>
    <m/>
    <m/>
  </r>
  <r>
    <x v="8"/>
    <x v="156"/>
    <n v="1"/>
    <n v="84"/>
    <m/>
    <n v="0"/>
    <m/>
    <m/>
    <m/>
    <m/>
    <m/>
    <m/>
    <m/>
  </r>
  <r>
    <x v="9"/>
    <x v="156"/>
    <n v="71"/>
    <n v="2949"/>
    <m/>
    <n v="0"/>
    <m/>
    <m/>
    <m/>
    <m/>
    <m/>
    <m/>
    <m/>
  </r>
  <r>
    <x v="10"/>
    <x v="156"/>
    <n v="5"/>
    <n v="198"/>
    <m/>
    <n v="0"/>
    <m/>
    <m/>
    <m/>
    <m/>
    <m/>
    <m/>
    <m/>
  </r>
  <r>
    <x v="11"/>
    <x v="156"/>
    <n v="40"/>
    <n v="448"/>
    <m/>
    <n v="0"/>
    <m/>
    <m/>
    <m/>
    <m/>
    <m/>
    <m/>
    <m/>
  </r>
  <r>
    <x v="12"/>
    <x v="156"/>
    <n v="117"/>
    <n v="1790"/>
    <n v="2"/>
    <n v="2"/>
    <m/>
    <m/>
    <m/>
    <m/>
    <m/>
    <m/>
    <m/>
  </r>
  <r>
    <x v="13"/>
    <x v="156"/>
    <n v="1"/>
    <n v="60"/>
    <m/>
    <n v="1"/>
    <m/>
    <m/>
    <m/>
    <m/>
    <m/>
    <m/>
    <m/>
  </r>
  <r>
    <x v="14"/>
    <x v="156"/>
    <n v="53"/>
    <n v="1367"/>
    <n v="4"/>
    <n v="6"/>
    <m/>
    <m/>
    <m/>
    <m/>
    <m/>
    <m/>
    <m/>
  </r>
  <r>
    <x v="15"/>
    <x v="156"/>
    <n v="222"/>
    <n v="2666"/>
    <m/>
    <n v="8"/>
    <m/>
    <m/>
    <m/>
    <m/>
    <m/>
    <m/>
    <m/>
  </r>
  <r>
    <x v="16"/>
    <x v="156"/>
    <n v="42"/>
    <n v="421"/>
    <m/>
    <n v="6"/>
    <m/>
    <m/>
    <m/>
    <m/>
    <m/>
    <m/>
    <m/>
  </r>
  <r>
    <x v="17"/>
    <x v="156"/>
    <n v="-1"/>
    <n v="22"/>
    <m/>
    <n v="0"/>
    <m/>
    <m/>
    <m/>
    <m/>
    <m/>
    <m/>
    <m/>
  </r>
  <r>
    <x v="18"/>
    <x v="156"/>
    <n v="-1"/>
    <n v="32"/>
    <m/>
    <n v="0"/>
    <m/>
    <m/>
    <m/>
    <m/>
    <m/>
    <m/>
    <m/>
  </r>
  <r>
    <x v="19"/>
    <x v="156"/>
    <n v="21"/>
    <n v="635"/>
    <n v="1"/>
    <n v="3"/>
    <m/>
    <m/>
    <m/>
    <m/>
    <m/>
    <m/>
    <m/>
  </r>
  <r>
    <x v="20"/>
    <x v="156"/>
    <n v="141"/>
    <n v="1778"/>
    <m/>
    <n v="18"/>
    <m/>
    <m/>
    <m/>
    <m/>
    <m/>
    <m/>
    <m/>
  </r>
  <r>
    <x v="21"/>
    <x v="156"/>
    <n v="10"/>
    <n v="77"/>
    <m/>
    <n v="1"/>
    <m/>
    <m/>
    <m/>
    <m/>
    <m/>
    <m/>
    <m/>
  </r>
  <r>
    <x v="22"/>
    <x v="156"/>
    <n v="67"/>
    <n v="813"/>
    <n v="3"/>
    <n v="4"/>
    <m/>
    <m/>
    <m/>
    <m/>
    <m/>
    <m/>
    <m/>
  </r>
  <r>
    <x v="23"/>
    <x v="156"/>
    <n v="30"/>
    <n v="355"/>
    <n v="1"/>
    <n v="5"/>
    <m/>
    <m/>
    <m/>
    <m/>
    <m/>
    <m/>
    <m/>
  </r>
  <r>
    <x v="0"/>
    <x v="157"/>
    <n v="5200"/>
    <n v="144310"/>
    <n v="107"/>
    <n v="2475"/>
    <m/>
    <m/>
    <m/>
    <m/>
    <m/>
    <m/>
    <m/>
  </r>
  <r>
    <x v="1"/>
    <x v="157"/>
    <n v="0"/>
    <n v="61"/>
    <m/>
    <n v="0"/>
    <m/>
    <m/>
    <m/>
    <m/>
    <m/>
    <m/>
    <m/>
  </r>
  <r>
    <x v="2"/>
    <x v="157"/>
    <n v="77"/>
    <n v="3949"/>
    <n v="5"/>
    <n v="163"/>
    <m/>
    <m/>
    <m/>
    <m/>
    <m/>
    <m/>
    <m/>
  </r>
  <r>
    <x v="3"/>
    <x v="157"/>
    <n v="2"/>
    <n v="312"/>
    <m/>
    <n v="4"/>
    <m/>
    <m/>
    <m/>
    <m/>
    <m/>
    <m/>
    <m/>
  </r>
  <r>
    <x v="4"/>
    <x v="157"/>
    <n v="1237"/>
    <n v="68200"/>
    <n v="26"/>
    <n v="1431"/>
    <m/>
    <m/>
    <m/>
    <m/>
    <m/>
    <m/>
    <m/>
  </r>
  <r>
    <x v="5"/>
    <x v="157"/>
    <n v="162"/>
    <n v="3160"/>
    <n v="9"/>
    <n v="58"/>
    <m/>
    <m/>
    <m/>
    <m/>
    <m/>
    <m/>
    <m/>
  </r>
  <r>
    <x v="6"/>
    <x v="157"/>
    <n v="4"/>
    <n v="205"/>
    <m/>
    <n v="2"/>
    <m/>
    <m/>
    <m/>
    <m/>
    <m/>
    <m/>
    <m/>
  </r>
  <r>
    <x v="7"/>
    <x v="157"/>
    <n v="57"/>
    <n v="1055"/>
    <n v="1"/>
    <n v="13"/>
    <m/>
    <m/>
    <m/>
    <m/>
    <m/>
    <m/>
    <m/>
  </r>
  <r>
    <x v="8"/>
    <x v="157"/>
    <n v="0"/>
    <n v="84"/>
    <m/>
    <n v="0"/>
    <m/>
    <m/>
    <m/>
    <m/>
    <m/>
    <m/>
    <m/>
  </r>
  <r>
    <x v="9"/>
    <x v="157"/>
    <n v="70"/>
    <n v="3019"/>
    <m/>
    <n v="0"/>
    <m/>
    <m/>
    <m/>
    <m/>
    <m/>
    <m/>
    <m/>
  </r>
  <r>
    <x v="10"/>
    <x v="157"/>
    <n v="7"/>
    <n v="205"/>
    <m/>
    <n v="0"/>
    <m/>
    <m/>
    <m/>
    <m/>
    <m/>
    <m/>
    <m/>
  </r>
  <r>
    <x v="11"/>
    <x v="157"/>
    <n v="29"/>
    <n v="477"/>
    <n v="1"/>
    <n v="1"/>
    <m/>
    <m/>
    <m/>
    <m/>
    <m/>
    <m/>
    <m/>
  </r>
  <r>
    <x v="12"/>
    <x v="157"/>
    <n v="124"/>
    <n v="1914"/>
    <n v="2"/>
    <n v="2"/>
    <m/>
    <m/>
    <m/>
    <m/>
    <m/>
    <m/>
    <m/>
  </r>
  <r>
    <x v="13"/>
    <x v="157"/>
    <n v="-1"/>
    <n v="59"/>
    <m/>
    <n v="2"/>
    <m/>
    <m/>
    <m/>
    <m/>
    <m/>
    <m/>
    <m/>
  </r>
  <r>
    <x v="14"/>
    <x v="157"/>
    <n v="42"/>
    <n v="1409"/>
    <n v="1"/>
    <n v="2"/>
    <m/>
    <m/>
    <m/>
    <m/>
    <m/>
    <m/>
    <m/>
  </r>
  <r>
    <x v="15"/>
    <x v="157"/>
    <n v="105"/>
    <n v="2771"/>
    <n v="1"/>
    <n v="7"/>
    <m/>
    <m/>
    <m/>
    <m/>
    <m/>
    <m/>
    <m/>
  </r>
  <r>
    <x v="16"/>
    <x v="157"/>
    <n v="54"/>
    <n v="475"/>
    <n v="4"/>
    <n v="12"/>
    <m/>
    <m/>
    <m/>
    <m/>
    <m/>
    <m/>
    <m/>
  </r>
  <r>
    <x v="17"/>
    <x v="157"/>
    <n v="0"/>
    <n v="22"/>
    <m/>
    <n v="0"/>
    <m/>
    <m/>
    <m/>
    <m/>
    <m/>
    <m/>
    <m/>
  </r>
  <r>
    <x v="18"/>
    <x v="157"/>
    <n v="1"/>
    <n v="33"/>
    <m/>
    <n v="0"/>
    <m/>
    <m/>
    <m/>
    <m/>
    <m/>
    <m/>
    <m/>
  </r>
  <r>
    <x v="19"/>
    <x v="157"/>
    <n v="64"/>
    <n v="699"/>
    <m/>
    <n v="3"/>
    <m/>
    <m/>
    <m/>
    <m/>
    <m/>
    <m/>
    <m/>
  </r>
  <r>
    <x v="20"/>
    <x v="157"/>
    <n v="134"/>
    <n v="1912"/>
    <n v="2"/>
    <n v="20"/>
    <m/>
    <m/>
    <m/>
    <m/>
    <m/>
    <m/>
    <m/>
  </r>
  <r>
    <x v="21"/>
    <x v="157"/>
    <n v="29"/>
    <n v="106"/>
    <m/>
    <n v="1"/>
    <m/>
    <m/>
    <m/>
    <m/>
    <m/>
    <m/>
    <m/>
  </r>
  <r>
    <x v="22"/>
    <x v="157"/>
    <n v="85"/>
    <n v="898"/>
    <m/>
    <n v="4"/>
    <m/>
    <m/>
    <m/>
    <m/>
    <m/>
    <m/>
    <m/>
  </r>
  <r>
    <x v="23"/>
    <x v="157"/>
    <n v="9"/>
    <n v="364"/>
    <m/>
    <n v="5"/>
    <m/>
    <m/>
    <m/>
    <m/>
    <m/>
    <m/>
    <m/>
  </r>
  <r>
    <x v="0"/>
    <x v="158"/>
    <n v="4053"/>
    <n v="148363"/>
    <n v="84"/>
    <n v="2559"/>
    <m/>
    <m/>
    <m/>
    <m/>
    <m/>
    <m/>
    <m/>
  </r>
  <r>
    <x v="1"/>
    <x v="158"/>
    <n v="1"/>
    <n v="62"/>
    <m/>
    <n v="0"/>
    <m/>
    <m/>
    <m/>
    <m/>
    <m/>
    <m/>
    <m/>
  </r>
  <r>
    <x v="2"/>
    <x v="158"/>
    <n v="54"/>
    <n v="4003"/>
    <m/>
    <n v="163"/>
    <m/>
    <m/>
    <m/>
    <m/>
    <m/>
    <m/>
    <m/>
  </r>
  <r>
    <x v="3"/>
    <x v="158"/>
    <n v="16"/>
    <n v="328"/>
    <m/>
    <n v="4"/>
    <m/>
    <m/>
    <m/>
    <m/>
    <m/>
    <m/>
    <m/>
  </r>
  <r>
    <x v="4"/>
    <x v="158"/>
    <n v="966"/>
    <n v="69166"/>
    <n v="17"/>
    <n v="1448"/>
    <m/>
    <m/>
    <m/>
    <m/>
    <m/>
    <m/>
    <m/>
  </r>
  <r>
    <x v="5"/>
    <x v="158"/>
    <n v="150"/>
    <n v="3310"/>
    <n v="3"/>
    <n v="61"/>
    <m/>
    <m/>
    <m/>
    <m/>
    <m/>
    <m/>
    <m/>
  </r>
  <r>
    <x v="6"/>
    <x v="158"/>
    <n v="3"/>
    <n v="208"/>
    <m/>
    <n v="2"/>
    <m/>
    <m/>
    <m/>
    <m/>
    <m/>
    <m/>
    <m/>
  </r>
  <r>
    <x v="7"/>
    <x v="158"/>
    <n v="31"/>
    <n v="1086"/>
    <m/>
    <n v="13"/>
    <m/>
    <m/>
    <m/>
    <m/>
    <m/>
    <m/>
    <m/>
  </r>
  <r>
    <x v="8"/>
    <x v="158"/>
    <n v="1"/>
    <n v="85"/>
    <m/>
    <n v="0"/>
    <m/>
    <m/>
    <m/>
    <m/>
    <m/>
    <m/>
    <m/>
  </r>
  <r>
    <x v="9"/>
    <x v="158"/>
    <n v="328"/>
    <n v="3347"/>
    <n v="1"/>
    <n v="1"/>
    <m/>
    <m/>
    <m/>
    <m/>
    <m/>
    <m/>
    <m/>
  </r>
  <r>
    <x v="10"/>
    <x v="158"/>
    <n v="1"/>
    <n v="206"/>
    <m/>
    <n v="0"/>
    <m/>
    <m/>
    <m/>
    <m/>
    <m/>
    <m/>
    <m/>
  </r>
  <r>
    <x v="11"/>
    <x v="158"/>
    <n v="36"/>
    <n v="513"/>
    <n v="1"/>
    <n v="1"/>
    <m/>
    <m/>
    <m/>
    <m/>
    <m/>
    <m/>
    <m/>
  </r>
  <r>
    <x v="12"/>
    <x v="158"/>
    <n v="124"/>
    <n v="2038"/>
    <n v="1"/>
    <n v="2"/>
    <m/>
    <m/>
    <m/>
    <m/>
    <m/>
    <m/>
    <m/>
  </r>
  <r>
    <x v="13"/>
    <x v="158"/>
    <n v="-2"/>
    <n v="57"/>
    <m/>
    <n v="2"/>
    <m/>
    <m/>
    <m/>
    <m/>
    <m/>
    <m/>
    <m/>
  </r>
  <r>
    <x v="14"/>
    <x v="158"/>
    <n v="18"/>
    <n v="1427"/>
    <m/>
    <n v="2"/>
    <m/>
    <m/>
    <m/>
    <m/>
    <m/>
    <m/>
    <m/>
  </r>
  <r>
    <x v="15"/>
    <x v="158"/>
    <n v="70"/>
    <n v="2841"/>
    <n v="3"/>
    <n v="5"/>
    <m/>
    <m/>
    <m/>
    <m/>
    <m/>
    <m/>
    <m/>
  </r>
  <r>
    <x v="16"/>
    <x v="158"/>
    <n v="68"/>
    <n v="543"/>
    <m/>
    <n v="7"/>
    <m/>
    <m/>
    <m/>
    <m/>
    <m/>
    <m/>
    <m/>
  </r>
  <r>
    <x v="17"/>
    <x v="158"/>
    <n v="1"/>
    <n v="23"/>
    <m/>
    <n v="0"/>
    <m/>
    <m/>
    <m/>
    <m/>
    <m/>
    <m/>
    <m/>
  </r>
  <r>
    <x v="18"/>
    <x v="158"/>
    <n v="0"/>
    <n v="33"/>
    <m/>
    <n v="0"/>
    <m/>
    <m/>
    <m/>
    <m/>
    <m/>
    <m/>
    <m/>
  </r>
  <r>
    <x v="19"/>
    <x v="158"/>
    <n v="8"/>
    <n v="707"/>
    <m/>
    <n v="3"/>
    <m/>
    <m/>
    <m/>
    <m/>
    <m/>
    <m/>
    <m/>
  </r>
  <r>
    <x v="20"/>
    <x v="158"/>
    <n v="137"/>
    <n v="2049"/>
    <n v="1"/>
    <n v="21"/>
    <m/>
    <m/>
    <m/>
    <m/>
    <m/>
    <m/>
    <m/>
  </r>
  <r>
    <x v="21"/>
    <x v="158"/>
    <n v="9"/>
    <n v="115"/>
    <m/>
    <n v="1"/>
    <m/>
    <m/>
    <m/>
    <m/>
    <m/>
    <m/>
    <m/>
  </r>
  <r>
    <x v="22"/>
    <x v="158"/>
    <n v="52"/>
    <n v="950"/>
    <n v="1"/>
    <n v="5"/>
    <m/>
    <m/>
    <m/>
    <m/>
    <m/>
    <m/>
    <m/>
  </r>
  <r>
    <x v="23"/>
    <x v="158"/>
    <n v="9"/>
    <n v="373"/>
    <m/>
    <n v="5"/>
    <m/>
    <m/>
    <m/>
    <m/>
    <m/>
    <m/>
    <m/>
  </r>
  <r>
    <x v="0"/>
    <x v="159"/>
    <n v="2904"/>
    <n v="151267"/>
    <n v="55"/>
    <n v="2614"/>
    <m/>
    <m/>
    <m/>
    <m/>
    <m/>
    <m/>
    <m/>
  </r>
  <r>
    <x v="1"/>
    <x v="159"/>
    <n v="0"/>
    <n v="62"/>
    <m/>
    <n v="0"/>
    <m/>
    <m/>
    <m/>
    <m/>
    <m/>
    <m/>
    <m/>
  </r>
  <r>
    <x v="2"/>
    <x v="159"/>
    <n v="66"/>
    <n v="4069"/>
    <m/>
    <n v="163"/>
    <m/>
    <m/>
    <m/>
    <m/>
    <m/>
    <m/>
    <m/>
  </r>
  <r>
    <x v="3"/>
    <x v="159"/>
    <n v="21"/>
    <n v="349"/>
    <m/>
    <n v="4"/>
    <m/>
    <m/>
    <m/>
    <m/>
    <m/>
    <m/>
    <m/>
  </r>
  <r>
    <x v="4"/>
    <x v="159"/>
    <n v="873"/>
    <n v="70039"/>
    <n v="22"/>
    <n v="1470"/>
    <m/>
    <m/>
    <m/>
    <m/>
    <m/>
    <m/>
    <m/>
  </r>
  <r>
    <x v="5"/>
    <x v="159"/>
    <n v="205"/>
    <n v="3515"/>
    <n v="3"/>
    <n v="64"/>
    <m/>
    <m/>
    <m/>
    <m/>
    <m/>
    <m/>
    <m/>
  </r>
  <r>
    <x v="6"/>
    <x v="159"/>
    <n v="6"/>
    <n v="214"/>
    <m/>
    <n v="2"/>
    <m/>
    <m/>
    <m/>
    <m/>
    <m/>
    <m/>
    <m/>
  </r>
  <r>
    <x v="7"/>
    <x v="159"/>
    <n v="77"/>
    <n v="1163"/>
    <m/>
    <n v="13"/>
    <m/>
    <m/>
    <m/>
    <m/>
    <m/>
    <m/>
    <m/>
  </r>
  <r>
    <x v="8"/>
    <x v="159"/>
    <n v="1"/>
    <n v="86"/>
    <m/>
    <n v="0"/>
    <m/>
    <m/>
    <m/>
    <m/>
    <m/>
    <m/>
    <m/>
  </r>
  <r>
    <x v="9"/>
    <x v="159"/>
    <n v="73"/>
    <n v="3420"/>
    <m/>
    <n v="0"/>
    <m/>
    <m/>
    <m/>
    <m/>
    <m/>
    <m/>
    <m/>
  </r>
  <r>
    <x v="10"/>
    <x v="159"/>
    <n v="0"/>
    <n v="206"/>
    <m/>
    <n v="1"/>
    <m/>
    <m/>
    <m/>
    <m/>
    <m/>
    <m/>
    <m/>
  </r>
  <r>
    <x v="11"/>
    <x v="159"/>
    <n v="3"/>
    <n v="516"/>
    <n v="1"/>
    <n v="1"/>
    <m/>
    <m/>
    <m/>
    <m/>
    <m/>
    <m/>
    <m/>
  </r>
  <r>
    <x v="12"/>
    <x v="159"/>
    <n v="108"/>
    <n v="2146"/>
    <n v="1"/>
    <n v="2"/>
    <m/>
    <m/>
    <m/>
    <m/>
    <m/>
    <m/>
    <m/>
  </r>
  <r>
    <x v="13"/>
    <x v="159"/>
    <n v="3"/>
    <n v="60"/>
    <m/>
    <n v="2"/>
    <m/>
    <m/>
    <m/>
    <m/>
    <m/>
    <m/>
    <m/>
  </r>
  <r>
    <x v="14"/>
    <x v="159"/>
    <n v="29"/>
    <n v="1456"/>
    <m/>
    <n v="2"/>
    <m/>
    <m/>
    <m/>
    <m/>
    <m/>
    <m/>
    <m/>
  </r>
  <r>
    <x v="15"/>
    <x v="159"/>
    <n v="62"/>
    <n v="2903"/>
    <m/>
    <n v="2"/>
    <m/>
    <m/>
    <m/>
    <m/>
    <m/>
    <m/>
    <m/>
  </r>
  <r>
    <x v="16"/>
    <x v="159"/>
    <n v="46"/>
    <n v="589"/>
    <m/>
    <n v="5"/>
    <m/>
    <m/>
    <m/>
    <m/>
    <m/>
    <m/>
    <m/>
  </r>
  <r>
    <x v="17"/>
    <x v="159"/>
    <n v="-1"/>
    <n v="22"/>
    <m/>
    <n v="0"/>
    <m/>
    <m/>
    <m/>
    <m/>
    <m/>
    <m/>
    <m/>
  </r>
  <r>
    <x v="18"/>
    <x v="159"/>
    <n v="1"/>
    <n v="34"/>
    <m/>
    <n v="0"/>
    <m/>
    <m/>
    <m/>
    <m/>
    <m/>
    <m/>
    <m/>
  </r>
  <r>
    <x v="19"/>
    <x v="159"/>
    <n v="41"/>
    <n v="748"/>
    <m/>
    <n v="3"/>
    <m/>
    <m/>
    <m/>
    <m/>
    <m/>
    <m/>
    <m/>
  </r>
  <r>
    <x v="20"/>
    <x v="159"/>
    <n v="87"/>
    <n v="2136"/>
    <n v="1"/>
    <n v="22"/>
    <m/>
    <m/>
    <m/>
    <m/>
    <m/>
    <m/>
    <m/>
  </r>
  <r>
    <x v="21"/>
    <x v="159"/>
    <n v="20"/>
    <n v="135"/>
    <m/>
    <n v="1"/>
    <m/>
    <m/>
    <m/>
    <m/>
    <m/>
    <m/>
    <m/>
  </r>
  <r>
    <x v="22"/>
    <x v="159"/>
    <n v="37"/>
    <n v="987"/>
    <m/>
    <n v="5"/>
    <m/>
    <m/>
    <m/>
    <m/>
    <m/>
    <m/>
    <m/>
  </r>
  <r>
    <x v="23"/>
    <x v="159"/>
    <n v="26"/>
    <n v="399"/>
    <m/>
    <n v="5"/>
    <m/>
    <m/>
    <m/>
    <m/>
    <m/>
    <m/>
    <m/>
  </r>
  <r>
    <x v="0"/>
    <x v="160"/>
    <n v="5402"/>
    <n v="156669"/>
    <n v="108"/>
    <n v="2722"/>
    <m/>
    <m/>
    <m/>
    <m/>
    <m/>
    <m/>
    <m/>
  </r>
  <r>
    <x v="1"/>
    <x v="160"/>
    <n v="0"/>
    <n v="62"/>
    <m/>
    <n v="0"/>
    <m/>
    <m/>
    <m/>
    <m/>
    <m/>
    <m/>
    <m/>
  </r>
  <r>
    <x v="2"/>
    <x v="160"/>
    <n v="16"/>
    <n v="4085"/>
    <n v="3"/>
    <n v="166"/>
    <m/>
    <m/>
    <m/>
    <m/>
    <m/>
    <m/>
    <m/>
  </r>
  <r>
    <x v="3"/>
    <x v="160"/>
    <n v="2"/>
    <n v="351"/>
    <m/>
    <n v="4"/>
    <m/>
    <m/>
    <m/>
    <m/>
    <m/>
    <m/>
    <m/>
  </r>
  <r>
    <x v="4"/>
    <x v="160"/>
    <n v="1047"/>
    <n v="71086"/>
    <n v="33"/>
    <n v="1503"/>
    <m/>
    <m/>
    <m/>
    <m/>
    <m/>
    <m/>
    <m/>
  </r>
  <r>
    <x v="5"/>
    <x v="160"/>
    <n v="170"/>
    <n v="3685"/>
    <n v="3"/>
    <n v="67"/>
    <m/>
    <m/>
    <m/>
    <m/>
    <m/>
    <m/>
    <m/>
  </r>
  <r>
    <x v="6"/>
    <x v="160"/>
    <n v="2"/>
    <n v="216"/>
    <m/>
    <n v="2"/>
    <m/>
    <m/>
    <m/>
    <m/>
    <m/>
    <m/>
    <m/>
  </r>
  <r>
    <x v="7"/>
    <x v="160"/>
    <n v="45"/>
    <n v="1208"/>
    <m/>
    <n v="13"/>
    <m/>
    <m/>
    <m/>
    <m/>
    <m/>
    <m/>
    <m/>
  </r>
  <r>
    <x v="8"/>
    <x v="160"/>
    <n v="1"/>
    <n v="87"/>
    <m/>
    <n v="0"/>
    <m/>
    <m/>
    <m/>
    <m/>
    <m/>
    <m/>
    <m/>
  </r>
  <r>
    <x v="9"/>
    <x v="160"/>
    <n v="139"/>
    <n v="3559"/>
    <n v="1"/>
    <n v="1"/>
    <m/>
    <m/>
    <m/>
    <m/>
    <m/>
    <m/>
    <m/>
  </r>
  <r>
    <x v="10"/>
    <x v="160"/>
    <n v="2"/>
    <n v="208"/>
    <m/>
    <n v="1"/>
    <m/>
    <m/>
    <m/>
    <m/>
    <m/>
    <m/>
    <m/>
  </r>
  <r>
    <x v="11"/>
    <x v="160"/>
    <n v="2"/>
    <n v="518"/>
    <m/>
    <n v="1"/>
    <m/>
    <m/>
    <m/>
    <m/>
    <m/>
    <m/>
    <m/>
  </r>
  <r>
    <x v="12"/>
    <x v="160"/>
    <n v="94"/>
    <n v="2240"/>
    <n v="3"/>
    <n v="5"/>
    <m/>
    <m/>
    <m/>
    <m/>
    <m/>
    <m/>
    <m/>
  </r>
  <r>
    <x v="13"/>
    <x v="160"/>
    <n v="1"/>
    <n v="61"/>
    <m/>
    <n v="2"/>
    <m/>
    <m/>
    <m/>
    <m/>
    <m/>
    <m/>
    <m/>
  </r>
  <r>
    <x v="14"/>
    <x v="160"/>
    <n v="27"/>
    <n v="1483"/>
    <m/>
    <n v="2"/>
    <m/>
    <m/>
    <m/>
    <m/>
    <m/>
    <m/>
    <m/>
  </r>
  <r>
    <x v="15"/>
    <x v="160"/>
    <n v="105"/>
    <n v="3008"/>
    <n v="4"/>
    <n v="6"/>
    <m/>
    <m/>
    <m/>
    <m/>
    <m/>
    <m/>
    <m/>
  </r>
  <r>
    <x v="16"/>
    <x v="160"/>
    <n v="22"/>
    <n v="611"/>
    <m/>
    <n v="5"/>
    <m/>
    <m/>
    <m/>
    <m/>
    <m/>
    <m/>
    <m/>
  </r>
  <r>
    <x v="17"/>
    <x v="160"/>
    <n v="0"/>
    <n v="22"/>
    <m/>
    <n v="0"/>
    <m/>
    <m/>
    <m/>
    <m/>
    <m/>
    <m/>
    <m/>
  </r>
  <r>
    <x v="18"/>
    <x v="160"/>
    <n v="-3"/>
    <n v="31"/>
    <m/>
    <n v="0"/>
    <m/>
    <m/>
    <m/>
    <m/>
    <m/>
    <m/>
    <m/>
  </r>
  <r>
    <x v="19"/>
    <x v="160"/>
    <n v="57"/>
    <n v="805"/>
    <m/>
    <n v="3"/>
    <m/>
    <m/>
    <m/>
    <m/>
    <m/>
    <m/>
    <m/>
  </r>
  <r>
    <x v="20"/>
    <x v="160"/>
    <n v="140"/>
    <n v="2276"/>
    <n v="1"/>
    <n v="23"/>
    <m/>
    <m/>
    <m/>
    <m/>
    <m/>
    <m/>
    <m/>
  </r>
  <r>
    <x v="21"/>
    <x v="160"/>
    <n v="3"/>
    <n v="138"/>
    <m/>
    <n v="1"/>
    <m/>
    <m/>
    <m/>
    <m/>
    <m/>
    <m/>
    <m/>
  </r>
  <r>
    <x v="22"/>
    <x v="160"/>
    <n v="68"/>
    <n v="1055"/>
    <n v="2"/>
    <n v="7"/>
    <m/>
    <m/>
    <m/>
    <m/>
    <m/>
    <m/>
    <m/>
  </r>
  <r>
    <x v="23"/>
    <x v="160"/>
    <n v="27"/>
    <n v="426"/>
    <m/>
    <n v="5"/>
    <m/>
    <m/>
    <m/>
    <m/>
    <m/>
    <m/>
    <m/>
  </r>
  <r>
    <x v="0"/>
    <x v="161"/>
    <n v="4576"/>
    <n v="161245"/>
    <n v="193"/>
    <n v="2915"/>
    <m/>
    <m/>
    <m/>
    <m/>
    <m/>
    <m/>
    <m/>
  </r>
  <r>
    <x v="4"/>
    <x v="161"/>
    <n v="1200"/>
    <n v="72286"/>
    <n v="31"/>
    <n v="1534"/>
    <m/>
    <m/>
    <m/>
    <m/>
    <m/>
    <m/>
    <m/>
  </r>
  <r>
    <x v="1"/>
    <x v="161"/>
    <n v="0"/>
    <n v="62"/>
    <m/>
    <n v="0"/>
    <m/>
    <m/>
    <m/>
    <m/>
    <m/>
    <m/>
    <m/>
  </r>
  <r>
    <x v="2"/>
    <x v="161"/>
    <n v="69"/>
    <n v="4154"/>
    <n v="1"/>
    <n v="167"/>
    <m/>
    <m/>
    <m/>
    <m/>
    <m/>
    <m/>
    <m/>
  </r>
  <r>
    <x v="3"/>
    <x v="161"/>
    <n v="6"/>
    <n v="357"/>
    <m/>
    <n v="4"/>
    <m/>
    <m/>
    <m/>
    <m/>
    <m/>
    <m/>
    <m/>
  </r>
  <r>
    <x v="5"/>
    <x v="161"/>
    <n v="148"/>
    <n v="3833"/>
    <n v="3"/>
    <n v="70"/>
    <m/>
    <m/>
    <m/>
    <m/>
    <m/>
    <m/>
    <m/>
  </r>
  <r>
    <x v="6"/>
    <x v="161"/>
    <n v="2"/>
    <n v="218"/>
    <m/>
    <n v="2"/>
    <m/>
    <m/>
    <m/>
    <m/>
    <m/>
    <m/>
    <m/>
  </r>
  <r>
    <x v="7"/>
    <x v="161"/>
    <n v="35"/>
    <n v="1243"/>
    <n v="2"/>
    <n v="15"/>
    <m/>
    <m/>
    <m/>
    <m/>
    <m/>
    <m/>
    <m/>
  </r>
  <r>
    <x v="8"/>
    <x v="161"/>
    <n v="-4"/>
    <n v="83"/>
    <m/>
    <n v="0"/>
    <m/>
    <m/>
    <m/>
    <m/>
    <m/>
    <m/>
    <m/>
  </r>
  <r>
    <x v="9"/>
    <x v="161"/>
    <n v="318"/>
    <n v="3877"/>
    <m/>
    <n v="1"/>
    <m/>
    <m/>
    <m/>
    <m/>
    <m/>
    <m/>
    <m/>
  </r>
  <r>
    <x v="10"/>
    <x v="161"/>
    <n v="0"/>
    <n v="208"/>
    <m/>
    <n v="1"/>
    <m/>
    <m/>
    <m/>
    <m/>
    <m/>
    <m/>
    <m/>
  </r>
  <r>
    <x v="11"/>
    <x v="161"/>
    <n v="1"/>
    <n v="519"/>
    <m/>
    <n v="1"/>
    <m/>
    <m/>
    <m/>
    <m/>
    <m/>
    <m/>
    <m/>
  </r>
  <r>
    <x v="12"/>
    <x v="161"/>
    <n v="148"/>
    <n v="2388"/>
    <n v="2"/>
    <n v="7"/>
    <m/>
    <m/>
    <m/>
    <m/>
    <m/>
    <m/>
    <m/>
  </r>
  <r>
    <x v="13"/>
    <x v="161"/>
    <n v="1"/>
    <n v="62"/>
    <m/>
    <n v="2"/>
    <m/>
    <m/>
    <m/>
    <m/>
    <m/>
    <m/>
    <m/>
  </r>
  <r>
    <x v="14"/>
    <x v="161"/>
    <n v="7"/>
    <n v="1490"/>
    <n v="1"/>
    <n v="3"/>
    <m/>
    <m/>
    <m/>
    <m/>
    <m/>
    <m/>
    <m/>
  </r>
  <r>
    <x v="15"/>
    <x v="161"/>
    <n v="187"/>
    <n v="3195"/>
    <n v="4"/>
    <n v="10"/>
    <m/>
    <m/>
    <m/>
    <m/>
    <m/>
    <m/>
    <m/>
  </r>
  <r>
    <x v="16"/>
    <x v="161"/>
    <n v="72"/>
    <n v="683"/>
    <m/>
    <n v="5"/>
    <m/>
    <m/>
    <m/>
    <m/>
    <m/>
    <m/>
    <m/>
  </r>
  <r>
    <x v="17"/>
    <x v="161"/>
    <n v="1"/>
    <n v="23"/>
    <m/>
    <n v="0"/>
    <m/>
    <m/>
    <m/>
    <m/>
    <m/>
    <m/>
    <m/>
  </r>
  <r>
    <x v="18"/>
    <x v="161"/>
    <n v="0"/>
    <n v="31"/>
    <m/>
    <n v="0"/>
    <m/>
    <m/>
    <m/>
    <m/>
    <m/>
    <m/>
    <m/>
  </r>
  <r>
    <x v="19"/>
    <x v="161"/>
    <n v="29"/>
    <n v="834"/>
    <m/>
    <n v="3"/>
    <m/>
    <m/>
    <m/>
    <m/>
    <m/>
    <m/>
    <m/>
  </r>
  <r>
    <x v="20"/>
    <x v="161"/>
    <n v="155"/>
    <n v="2431"/>
    <n v="2"/>
    <n v="25"/>
    <m/>
    <m/>
    <m/>
    <m/>
    <m/>
    <m/>
    <m/>
  </r>
  <r>
    <x v="21"/>
    <x v="161"/>
    <n v="20"/>
    <n v="158"/>
    <m/>
    <n v="1"/>
    <m/>
    <m/>
    <m/>
    <m/>
    <m/>
    <m/>
    <m/>
  </r>
  <r>
    <x v="22"/>
    <x v="161"/>
    <n v="42"/>
    <n v="1097"/>
    <n v="2"/>
    <n v="9"/>
    <m/>
    <m/>
    <m/>
    <m/>
    <m/>
    <m/>
    <m/>
  </r>
  <r>
    <x v="23"/>
    <x v="161"/>
    <n v="30"/>
    <n v="456"/>
    <m/>
    <n v="5"/>
    <m/>
    <m/>
    <m/>
    <m/>
    <m/>
    <m/>
    <m/>
  </r>
  <r>
    <x v="0"/>
    <x v="162"/>
    <n v="5153"/>
    <n v="166398"/>
    <n v="141"/>
    <n v="3056"/>
    <m/>
    <m/>
    <m/>
    <m/>
    <m/>
    <m/>
    <m/>
  </r>
  <r>
    <x v="4"/>
    <x v="162"/>
    <n v="1163"/>
    <n v="73449"/>
    <n v="59"/>
    <n v="1593"/>
    <m/>
    <m/>
    <m/>
    <m/>
    <m/>
    <m/>
    <m/>
  </r>
  <r>
    <x v="1"/>
    <x v="162"/>
    <n v="0"/>
    <n v="62"/>
    <m/>
    <n v="0"/>
    <m/>
    <m/>
    <m/>
    <m/>
    <m/>
    <m/>
    <m/>
  </r>
  <r>
    <x v="2"/>
    <x v="162"/>
    <n v="64"/>
    <n v="4218"/>
    <m/>
    <n v="167"/>
    <m/>
    <m/>
    <m/>
    <m/>
    <m/>
    <m/>
    <m/>
  </r>
  <r>
    <x v="3"/>
    <x v="162"/>
    <n v="10"/>
    <n v="367"/>
    <n v="1"/>
    <n v="5"/>
    <m/>
    <m/>
    <m/>
    <m/>
    <m/>
    <m/>
    <m/>
  </r>
  <r>
    <x v="5"/>
    <x v="162"/>
    <n v="141"/>
    <n v="3974"/>
    <m/>
    <n v="70"/>
    <m/>
    <m/>
    <m/>
    <m/>
    <m/>
    <m/>
    <m/>
  </r>
  <r>
    <x v="6"/>
    <x v="162"/>
    <n v="3"/>
    <n v="221"/>
    <m/>
    <n v="2"/>
    <m/>
    <m/>
    <m/>
    <m/>
    <m/>
    <m/>
    <m/>
  </r>
  <r>
    <x v="7"/>
    <x v="162"/>
    <n v="66"/>
    <n v="1309"/>
    <m/>
    <n v="15"/>
    <m/>
    <m/>
    <m/>
    <m/>
    <m/>
    <m/>
    <m/>
  </r>
  <r>
    <x v="8"/>
    <x v="162"/>
    <n v="0"/>
    <n v="83"/>
    <m/>
    <n v="0"/>
    <m/>
    <m/>
    <m/>
    <m/>
    <m/>
    <m/>
    <m/>
  </r>
  <r>
    <x v="9"/>
    <x v="162"/>
    <n v="152"/>
    <n v="4029"/>
    <m/>
    <n v="1"/>
    <m/>
    <m/>
    <m/>
    <m/>
    <m/>
    <m/>
    <m/>
  </r>
  <r>
    <x v="10"/>
    <x v="162"/>
    <n v="0"/>
    <n v="208"/>
    <m/>
    <n v="1"/>
    <m/>
    <m/>
    <m/>
    <m/>
    <m/>
    <m/>
    <m/>
  </r>
  <r>
    <x v="11"/>
    <x v="162"/>
    <n v="22"/>
    <n v="541"/>
    <m/>
    <n v="1"/>
    <m/>
    <m/>
    <m/>
    <m/>
    <m/>
    <m/>
    <m/>
  </r>
  <r>
    <x v="12"/>
    <x v="162"/>
    <n v="189"/>
    <n v="2577"/>
    <n v="3"/>
    <n v="10"/>
    <m/>
    <m/>
    <m/>
    <m/>
    <m/>
    <m/>
    <m/>
  </r>
  <r>
    <x v="13"/>
    <x v="162"/>
    <n v="-1"/>
    <n v="61"/>
    <m/>
    <n v="2"/>
    <m/>
    <m/>
    <m/>
    <m/>
    <m/>
    <m/>
    <m/>
  </r>
  <r>
    <x v="14"/>
    <x v="162"/>
    <n v="155"/>
    <n v="1645"/>
    <m/>
    <n v="3"/>
    <m/>
    <m/>
    <m/>
    <m/>
    <m/>
    <m/>
    <m/>
  </r>
  <r>
    <x v="15"/>
    <x v="162"/>
    <n v="180"/>
    <n v="3375"/>
    <n v="3"/>
    <n v="13"/>
    <m/>
    <m/>
    <m/>
    <m/>
    <m/>
    <m/>
    <m/>
  </r>
  <r>
    <x v="16"/>
    <x v="162"/>
    <n v="67"/>
    <n v="750"/>
    <m/>
    <n v="5"/>
    <m/>
    <m/>
    <m/>
    <m/>
    <m/>
    <m/>
    <m/>
  </r>
  <r>
    <x v="17"/>
    <x v="162"/>
    <n v="0"/>
    <n v="23"/>
    <m/>
    <n v="0"/>
    <m/>
    <m/>
    <m/>
    <m/>
    <m/>
    <m/>
    <m/>
  </r>
  <r>
    <x v="18"/>
    <x v="162"/>
    <n v="1"/>
    <n v="32"/>
    <m/>
    <n v="0"/>
    <m/>
    <m/>
    <m/>
    <m/>
    <m/>
    <m/>
    <m/>
  </r>
  <r>
    <x v="19"/>
    <x v="162"/>
    <n v="34"/>
    <n v="868"/>
    <m/>
    <n v="3"/>
    <m/>
    <m/>
    <m/>
    <m/>
    <m/>
    <m/>
    <m/>
  </r>
  <r>
    <x v="20"/>
    <x v="162"/>
    <n v="165"/>
    <n v="2596"/>
    <n v="1"/>
    <n v="26"/>
    <m/>
    <m/>
    <m/>
    <m/>
    <m/>
    <m/>
    <m/>
  </r>
  <r>
    <x v="21"/>
    <x v="162"/>
    <n v="21"/>
    <n v="179"/>
    <m/>
    <n v="1"/>
    <m/>
    <m/>
    <m/>
    <m/>
    <m/>
    <m/>
    <m/>
  </r>
  <r>
    <x v="22"/>
    <x v="162"/>
    <n v="46"/>
    <n v="1143"/>
    <n v="1"/>
    <n v="10"/>
    <m/>
    <m/>
    <m/>
    <m/>
    <m/>
    <m/>
    <m/>
  </r>
  <r>
    <x v="23"/>
    <x v="162"/>
    <n v="32"/>
    <n v="488"/>
    <m/>
    <n v="5"/>
    <m/>
    <m/>
    <m/>
    <m/>
    <m/>
    <m/>
    <m/>
  </r>
  <r>
    <x v="0"/>
    <x v="163"/>
    <n v="4986"/>
    <n v="171384"/>
    <n v="73"/>
    <n v="3129"/>
    <m/>
    <m/>
    <m/>
    <m/>
    <m/>
    <m/>
    <m/>
  </r>
  <r>
    <x v="4"/>
    <x v="163"/>
    <n v="1126"/>
    <n v="74575"/>
    <n v="29"/>
    <n v="1622"/>
    <m/>
    <m/>
    <m/>
    <m/>
    <m/>
    <m/>
    <m/>
  </r>
  <r>
    <x v="1"/>
    <x v="163"/>
    <n v="1"/>
    <n v="63"/>
    <m/>
    <n v="0"/>
    <m/>
    <m/>
    <m/>
    <m/>
    <m/>
    <m/>
    <m/>
  </r>
  <r>
    <x v="2"/>
    <x v="163"/>
    <n v="61"/>
    <n v="4279"/>
    <n v="6"/>
    <n v="173"/>
    <m/>
    <m/>
    <m/>
    <m/>
    <m/>
    <m/>
    <m/>
  </r>
  <r>
    <x v="3"/>
    <x v="163"/>
    <n v="18"/>
    <n v="385"/>
    <m/>
    <n v="5"/>
    <m/>
    <m/>
    <m/>
    <m/>
    <m/>
    <m/>
    <m/>
  </r>
  <r>
    <x v="5"/>
    <x v="163"/>
    <n v="175"/>
    <n v="4149"/>
    <n v="3"/>
    <n v="73"/>
    <m/>
    <m/>
    <m/>
    <m/>
    <m/>
    <m/>
    <m/>
  </r>
  <r>
    <x v="6"/>
    <x v="163"/>
    <n v="2"/>
    <n v="223"/>
    <m/>
    <n v="2"/>
    <m/>
    <m/>
    <m/>
    <m/>
    <m/>
    <m/>
    <m/>
  </r>
  <r>
    <x v="7"/>
    <x v="163"/>
    <n v="55"/>
    <n v="1364"/>
    <n v="3"/>
    <n v="18"/>
    <m/>
    <m/>
    <m/>
    <m/>
    <m/>
    <m/>
    <m/>
  </r>
  <r>
    <x v="8"/>
    <x v="163"/>
    <n v="-2"/>
    <n v="81"/>
    <m/>
    <n v="0"/>
    <m/>
    <m/>
    <m/>
    <m/>
    <m/>
    <m/>
    <m/>
  </r>
  <r>
    <x v="9"/>
    <x v="163"/>
    <n v="167"/>
    <n v="4196"/>
    <n v="19"/>
    <n v="20"/>
    <m/>
    <m/>
    <m/>
    <m/>
    <m/>
    <m/>
    <m/>
  </r>
  <r>
    <x v="10"/>
    <x v="163"/>
    <n v="1"/>
    <n v="209"/>
    <m/>
    <n v="1"/>
    <m/>
    <m/>
    <m/>
    <m/>
    <m/>
    <m/>
    <m/>
  </r>
  <r>
    <x v="11"/>
    <x v="163"/>
    <n v="98"/>
    <n v="639"/>
    <m/>
    <n v="1"/>
    <m/>
    <m/>
    <m/>
    <m/>
    <m/>
    <m/>
    <m/>
  </r>
  <r>
    <x v="12"/>
    <x v="163"/>
    <n v="164"/>
    <n v="2741"/>
    <n v="7"/>
    <n v="17"/>
    <m/>
    <m/>
    <m/>
    <m/>
    <m/>
    <m/>
    <m/>
  </r>
  <r>
    <x v="13"/>
    <x v="163"/>
    <n v="2"/>
    <n v="63"/>
    <m/>
    <n v="2"/>
    <m/>
    <m/>
    <m/>
    <m/>
    <m/>
    <m/>
    <m/>
  </r>
  <r>
    <x v="14"/>
    <x v="163"/>
    <n v="65"/>
    <n v="1710"/>
    <m/>
    <n v="3"/>
    <m/>
    <m/>
    <m/>
    <m/>
    <m/>
    <m/>
    <m/>
  </r>
  <r>
    <x v="15"/>
    <x v="163"/>
    <n v="160"/>
    <n v="3535"/>
    <n v="5"/>
    <n v="18"/>
    <m/>
    <m/>
    <m/>
    <m/>
    <m/>
    <m/>
    <m/>
  </r>
  <r>
    <x v="16"/>
    <x v="163"/>
    <n v="78"/>
    <n v="828"/>
    <m/>
    <n v="5"/>
    <m/>
    <m/>
    <m/>
    <m/>
    <m/>
    <m/>
    <m/>
  </r>
  <r>
    <x v="17"/>
    <x v="163"/>
    <n v="0"/>
    <n v="23"/>
    <m/>
    <n v="0"/>
    <m/>
    <m/>
    <m/>
    <m/>
    <m/>
    <m/>
    <m/>
  </r>
  <r>
    <x v="18"/>
    <x v="163"/>
    <n v="1"/>
    <n v="33"/>
    <m/>
    <n v="0"/>
    <m/>
    <m/>
    <m/>
    <m/>
    <m/>
    <m/>
    <m/>
  </r>
  <r>
    <x v="19"/>
    <x v="163"/>
    <n v="46"/>
    <n v="914"/>
    <m/>
    <n v="3"/>
    <m/>
    <m/>
    <m/>
    <m/>
    <m/>
    <m/>
    <m/>
  </r>
  <r>
    <x v="20"/>
    <x v="163"/>
    <n v="168"/>
    <n v="2764"/>
    <n v="3"/>
    <n v="29"/>
    <m/>
    <m/>
    <m/>
    <m/>
    <m/>
    <m/>
    <m/>
  </r>
  <r>
    <x v="21"/>
    <x v="163"/>
    <n v="21"/>
    <n v="200"/>
    <m/>
    <n v="1"/>
    <m/>
    <m/>
    <m/>
    <m/>
    <m/>
    <m/>
    <m/>
  </r>
  <r>
    <x v="22"/>
    <x v="163"/>
    <n v="84"/>
    <n v="1227"/>
    <n v="1"/>
    <n v="11"/>
    <m/>
    <m/>
    <m/>
    <m/>
    <m/>
    <m/>
    <m/>
  </r>
  <r>
    <x v="23"/>
    <x v="163"/>
    <n v="21"/>
    <n v="509"/>
    <m/>
    <n v="5"/>
    <m/>
    <m/>
    <m/>
    <m/>
    <m/>
    <m/>
    <m/>
  </r>
  <r>
    <x v="0"/>
    <x v="164"/>
    <n v="4160"/>
    <n v="175544"/>
    <n v="88"/>
    <n v="3217"/>
    <m/>
    <m/>
    <m/>
    <m/>
    <m/>
    <m/>
    <m/>
  </r>
  <r>
    <x v="4"/>
    <x v="164"/>
    <n v="1018"/>
    <n v="75593"/>
    <n v="38"/>
    <n v="1660"/>
    <m/>
    <m/>
    <m/>
    <m/>
    <m/>
    <m/>
    <m/>
  </r>
  <r>
    <x v="1"/>
    <x v="164"/>
    <n v="0"/>
    <n v="63"/>
    <m/>
    <n v="0"/>
    <m/>
    <m/>
    <m/>
    <m/>
    <m/>
    <m/>
    <m/>
  </r>
  <r>
    <x v="2"/>
    <x v="164"/>
    <n v="49"/>
    <n v="4328"/>
    <m/>
    <n v="173"/>
    <m/>
    <m/>
    <m/>
    <m/>
    <m/>
    <m/>
    <m/>
  </r>
  <r>
    <x v="3"/>
    <x v="164"/>
    <n v="6"/>
    <n v="391"/>
    <m/>
    <n v="5"/>
    <m/>
    <m/>
    <m/>
    <m/>
    <m/>
    <m/>
    <m/>
  </r>
  <r>
    <x v="5"/>
    <x v="164"/>
    <n v="144"/>
    <n v="4293"/>
    <n v="1"/>
    <n v="74"/>
    <m/>
    <m/>
    <m/>
    <m/>
    <m/>
    <m/>
    <m/>
  </r>
  <r>
    <x v="6"/>
    <x v="164"/>
    <n v="1"/>
    <n v="224"/>
    <m/>
    <n v="2"/>
    <m/>
    <m/>
    <m/>
    <m/>
    <m/>
    <m/>
    <m/>
  </r>
  <r>
    <x v="7"/>
    <x v="164"/>
    <n v="100"/>
    <n v="1464"/>
    <n v="2"/>
    <n v="20"/>
    <m/>
    <m/>
    <m/>
    <m/>
    <m/>
    <m/>
    <m/>
  </r>
  <r>
    <x v="8"/>
    <x v="164"/>
    <n v="0"/>
    <n v="81"/>
    <m/>
    <n v="0"/>
    <m/>
    <m/>
    <m/>
    <m/>
    <m/>
    <m/>
    <m/>
  </r>
  <r>
    <x v="9"/>
    <x v="164"/>
    <n v="130"/>
    <n v="4326"/>
    <n v="21"/>
    <n v="41"/>
    <m/>
    <m/>
    <m/>
    <m/>
    <m/>
    <m/>
    <m/>
  </r>
  <r>
    <x v="10"/>
    <x v="164"/>
    <n v="1"/>
    <n v="210"/>
    <m/>
    <n v="1"/>
    <m/>
    <m/>
    <m/>
    <m/>
    <m/>
    <m/>
    <m/>
  </r>
  <r>
    <x v="11"/>
    <x v="164"/>
    <n v="21"/>
    <n v="660"/>
    <m/>
    <n v="1"/>
    <m/>
    <m/>
    <m/>
    <m/>
    <m/>
    <m/>
    <m/>
  </r>
  <r>
    <x v="12"/>
    <x v="164"/>
    <n v="165"/>
    <n v="2906"/>
    <n v="2"/>
    <n v="19"/>
    <m/>
    <m/>
    <m/>
    <m/>
    <m/>
    <m/>
    <m/>
  </r>
  <r>
    <x v="13"/>
    <x v="164"/>
    <n v="1"/>
    <n v="64"/>
    <m/>
    <n v="2"/>
    <m/>
    <m/>
    <m/>
    <m/>
    <m/>
    <m/>
    <m/>
  </r>
  <r>
    <x v="14"/>
    <x v="164"/>
    <n v="16"/>
    <n v="1726"/>
    <n v="1"/>
    <n v="4"/>
    <m/>
    <m/>
    <m/>
    <m/>
    <m/>
    <m/>
    <m/>
  </r>
  <r>
    <x v="15"/>
    <x v="164"/>
    <n v="118"/>
    <n v="3653"/>
    <n v="6"/>
    <n v="24"/>
    <m/>
    <m/>
    <m/>
    <m/>
    <m/>
    <m/>
    <m/>
  </r>
  <r>
    <x v="16"/>
    <x v="164"/>
    <n v="109"/>
    <n v="937"/>
    <n v="2"/>
    <n v="7"/>
    <m/>
    <m/>
    <m/>
    <m/>
    <m/>
    <m/>
    <m/>
  </r>
  <r>
    <x v="17"/>
    <x v="164"/>
    <n v="-1"/>
    <n v="22"/>
    <m/>
    <n v="0"/>
    <m/>
    <m/>
    <m/>
    <m/>
    <m/>
    <m/>
    <m/>
  </r>
  <r>
    <x v="18"/>
    <x v="164"/>
    <n v="1"/>
    <n v="34"/>
    <m/>
    <n v="0"/>
    <m/>
    <m/>
    <m/>
    <m/>
    <m/>
    <m/>
    <m/>
  </r>
  <r>
    <x v="19"/>
    <x v="164"/>
    <n v="37"/>
    <n v="951"/>
    <m/>
    <n v="3"/>
    <m/>
    <m/>
    <m/>
    <m/>
    <m/>
    <m/>
    <m/>
  </r>
  <r>
    <x v="20"/>
    <x v="164"/>
    <n v="190"/>
    <n v="2954"/>
    <n v="1"/>
    <n v="30"/>
    <m/>
    <m/>
    <m/>
    <m/>
    <m/>
    <m/>
    <m/>
  </r>
  <r>
    <x v="21"/>
    <x v="164"/>
    <n v="22"/>
    <n v="222"/>
    <m/>
    <n v="1"/>
    <m/>
    <m/>
    <m/>
    <m/>
    <m/>
    <m/>
    <m/>
  </r>
  <r>
    <x v="22"/>
    <x v="164"/>
    <n v="46"/>
    <n v="1273"/>
    <n v="3"/>
    <n v="14"/>
    <m/>
    <m/>
    <m/>
    <m/>
    <m/>
    <m/>
    <m/>
  </r>
  <r>
    <x v="23"/>
    <x v="164"/>
    <n v="31"/>
    <n v="540"/>
    <m/>
    <n v="5"/>
    <m/>
    <m/>
    <m/>
    <m/>
    <m/>
    <m/>
    <m/>
  </r>
  <r>
    <x v="0"/>
    <x v="165"/>
    <n v="4438"/>
    <n v="179982"/>
    <n v="83"/>
    <n v="3300"/>
    <m/>
    <m/>
    <m/>
    <m/>
    <m/>
    <m/>
    <m/>
  </r>
  <r>
    <x v="4"/>
    <x v="165"/>
    <n v="915"/>
    <n v="76508"/>
    <n v="9"/>
    <n v="1669"/>
    <m/>
    <m/>
    <m/>
    <m/>
    <m/>
    <m/>
    <m/>
  </r>
  <r>
    <x v="1"/>
    <x v="165"/>
    <n v="0"/>
    <n v="63"/>
    <m/>
    <n v="0"/>
    <m/>
    <m/>
    <m/>
    <m/>
    <m/>
    <m/>
    <m/>
  </r>
  <r>
    <x v="2"/>
    <x v="165"/>
    <n v="40"/>
    <n v="4368"/>
    <n v="4"/>
    <n v="177"/>
    <m/>
    <m/>
    <m/>
    <m/>
    <m/>
    <m/>
    <m/>
  </r>
  <r>
    <x v="3"/>
    <x v="165"/>
    <n v="4"/>
    <n v="395"/>
    <m/>
    <n v="5"/>
    <m/>
    <m/>
    <m/>
    <m/>
    <m/>
    <m/>
    <m/>
  </r>
  <r>
    <x v="5"/>
    <x v="165"/>
    <n v="161"/>
    <n v="4454"/>
    <m/>
    <n v="74"/>
    <m/>
    <m/>
    <m/>
    <m/>
    <m/>
    <m/>
    <m/>
  </r>
  <r>
    <x v="6"/>
    <x v="165"/>
    <n v="2"/>
    <n v="226"/>
    <m/>
    <n v="2"/>
    <m/>
    <m/>
    <m/>
    <m/>
    <m/>
    <m/>
    <m/>
  </r>
  <r>
    <x v="7"/>
    <x v="165"/>
    <n v="64"/>
    <n v="1528"/>
    <n v="2"/>
    <n v="22"/>
    <m/>
    <m/>
    <m/>
    <m/>
    <m/>
    <m/>
    <m/>
  </r>
  <r>
    <x v="8"/>
    <x v="165"/>
    <n v="1"/>
    <n v="82"/>
    <m/>
    <n v="0"/>
    <m/>
    <m/>
    <m/>
    <m/>
    <m/>
    <m/>
    <m/>
  </r>
  <r>
    <x v="9"/>
    <x v="165"/>
    <n v="157"/>
    <n v="4483"/>
    <m/>
    <n v="41"/>
    <m/>
    <m/>
    <m/>
    <m/>
    <m/>
    <m/>
    <m/>
  </r>
  <r>
    <x v="10"/>
    <x v="165"/>
    <n v="1"/>
    <n v="211"/>
    <m/>
    <n v="1"/>
    <m/>
    <m/>
    <m/>
    <m/>
    <m/>
    <m/>
    <m/>
  </r>
  <r>
    <x v="11"/>
    <x v="165"/>
    <n v="55"/>
    <n v="715"/>
    <m/>
    <n v="1"/>
    <m/>
    <m/>
    <m/>
    <m/>
    <m/>
    <m/>
    <m/>
  </r>
  <r>
    <x v="12"/>
    <x v="165"/>
    <n v="210"/>
    <n v="3116"/>
    <n v="5"/>
    <n v="24"/>
    <m/>
    <m/>
    <m/>
    <m/>
    <m/>
    <m/>
    <m/>
  </r>
  <r>
    <x v="13"/>
    <x v="165"/>
    <n v="3"/>
    <n v="67"/>
    <m/>
    <n v="2"/>
    <m/>
    <m/>
    <m/>
    <m/>
    <m/>
    <m/>
    <m/>
  </r>
  <r>
    <x v="14"/>
    <x v="165"/>
    <n v="72"/>
    <n v="1798"/>
    <m/>
    <n v="4"/>
    <m/>
    <m/>
    <m/>
    <m/>
    <m/>
    <m/>
    <m/>
  </r>
  <r>
    <x v="15"/>
    <x v="165"/>
    <n v="115"/>
    <n v="3768"/>
    <n v="1"/>
    <n v="25"/>
    <m/>
    <m/>
    <m/>
    <m/>
    <m/>
    <m/>
    <m/>
  </r>
  <r>
    <x v="16"/>
    <x v="165"/>
    <n v="66"/>
    <n v="1003"/>
    <n v="3"/>
    <n v="10"/>
    <m/>
    <m/>
    <m/>
    <m/>
    <m/>
    <m/>
    <m/>
  </r>
  <r>
    <x v="17"/>
    <x v="165"/>
    <n v="0"/>
    <n v="22"/>
    <m/>
    <n v="0"/>
    <m/>
    <m/>
    <m/>
    <m/>
    <m/>
    <m/>
    <m/>
  </r>
  <r>
    <x v="18"/>
    <x v="165"/>
    <n v="0"/>
    <n v="34"/>
    <m/>
    <n v="0"/>
    <m/>
    <m/>
    <m/>
    <m/>
    <m/>
    <m/>
    <m/>
  </r>
  <r>
    <x v="19"/>
    <x v="165"/>
    <n v="38"/>
    <n v="989"/>
    <m/>
    <n v="3"/>
    <m/>
    <m/>
    <m/>
    <m/>
    <m/>
    <m/>
    <m/>
  </r>
  <r>
    <x v="20"/>
    <x v="165"/>
    <n v="179"/>
    <n v="3133"/>
    <n v="1"/>
    <n v="31"/>
    <m/>
    <m/>
    <m/>
    <m/>
    <m/>
    <m/>
    <m/>
  </r>
  <r>
    <x v="21"/>
    <x v="165"/>
    <n v="26"/>
    <n v="248"/>
    <m/>
    <n v="1"/>
    <m/>
    <m/>
    <m/>
    <m/>
    <m/>
    <m/>
    <m/>
  </r>
  <r>
    <x v="22"/>
    <x v="165"/>
    <n v="88"/>
    <n v="1361"/>
    <n v="2"/>
    <n v="16"/>
    <m/>
    <m/>
    <m/>
    <m/>
    <m/>
    <m/>
    <m/>
  </r>
  <r>
    <x v="23"/>
    <x v="165"/>
    <n v="28"/>
    <n v="568"/>
    <m/>
    <n v="5"/>
    <m/>
    <m/>
    <m/>
    <m/>
    <m/>
    <m/>
    <m/>
  </r>
  <r>
    <x v="0"/>
    <x v="166"/>
    <n v="3117"/>
    <n v="183099"/>
    <n v="29"/>
    <n v="3329"/>
    <m/>
    <m/>
    <m/>
    <m/>
    <m/>
    <m/>
    <m/>
  </r>
  <r>
    <x v="4"/>
    <x v="166"/>
    <n v="972"/>
    <n v="77480"/>
    <n v="8"/>
    <n v="1677"/>
    <m/>
    <m/>
    <m/>
    <m/>
    <m/>
    <m/>
    <m/>
  </r>
  <r>
    <x v="1"/>
    <x v="166"/>
    <n v="0"/>
    <n v="63"/>
    <m/>
    <n v="0"/>
    <m/>
    <m/>
    <m/>
    <m/>
    <m/>
    <m/>
    <m/>
  </r>
  <r>
    <x v="2"/>
    <x v="166"/>
    <n v="68"/>
    <n v="4436"/>
    <n v="3"/>
    <n v="180"/>
    <m/>
    <m/>
    <m/>
    <m/>
    <m/>
    <m/>
    <m/>
  </r>
  <r>
    <x v="3"/>
    <x v="166"/>
    <n v="9"/>
    <n v="404"/>
    <m/>
    <n v="5"/>
    <m/>
    <m/>
    <m/>
    <m/>
    <m/>
    <m/>
    <m/>
  </r>
  <r>
    <x v="5"/>
    <x v="166"/>
    <n v="141"/>
    <n v="4595"/>
    <n v="4"/>
    <n v="78"/>
    <m/>
    <m/>
    <m/>
    <m/>
    <m/>
    <m/>
    <m/>
  </r>
  <r>
    <x v="6"/>
    <x v="166"/>
    <n v="3"/>
    <n v="229"/>
    <m/>
    <n v="2"/>
    <m/>
    <m/>
    <m/>
    <m/>
    <m/>
    <m/>
    <m/>
  </r>
  <r>
    <x v="7"/>
    <x v="166"/>
    <n v="102"/>
    <n v="1630"/>
    <n v="2"/>
    <n v="24"/>
    <m/>
    <m/>
    <m/>
    <m/>
    <m/>
    <m/>
    <m/>
  </r>
  <r>
    <x v="8"/>
    <x v="166"/>
    <n v="1"/>
    <n v="83"/>
    <m/>
    <n v="0"/>
    <m/>
    <m/>
    <m/>
    <m/>
    <m/>
    <m/>
    <m/>
  </r>
  <r>
    <x v="9"/>
    <x v="166"/>
    <n v="272"/>
    <n v="4755"/>
    <n v="16"/>
    <n v="57"/>
    <m/>
    <m/>
    <m/>
    <m/>
    <m/>
    <m/>
    <m/>
  </r>
  <r>
    <x v="10"/>
    <x v="166"/>
    <n v="1"/>
    <n v="212"/>
    <m/>
    <n v="1"/>
    <m/>
    <m/>
    <m/>
    <m/>
    <m/>
    <m/>
    <m/>
  </r>
  <r>
    <x v="11"/>
    <x v="166"/>
    <n v="34"/>
    <n v="749"/>
    <m/>
    <n v="1"/>
    <m/>
    <m/>
    <m/>
    <m/>
    <m/>
    <m/>
    <m/>
  </r>
  <r>
    <x v="12"/>
    <x v="166"/>
    <n v="210"/>
    <n v="3326"/>
    <n v="2"/>
    <n v="26"/>
    <m/>
    <m/>
    <m/>
    <m/>
    <m/>
    <m/>
    <m/>
  </r>
  <r>
    <x v="13"/>
    <x v="166"/>
    <n v="0"/>
    <n v="67"/>
    <m/>
    <n v="2"/>
    <m/>
    <m/>
    <m/>
    <m/>
    <m/>
    <m/>
    <m/>
  </r>
  <r>
    <x v="14"/>
    <x v="166"/>
    <n v="27"/>
    <n v="1825"/>
    <m/>
    <n v="4"/>
    <m/>
    <m/>
    <m/>
    <m/>
    <m/>
    <m/>
    <m/>
  </r>
  <r>
    <x v="15"/>
    <x v="166"/>
    <n v="86"/>
    <n v="3854"/>
    <m/>
    <n v="25"/>
    <m/>
    <m/>
    <m/>
    <m/>
    <m/>
    <m/>
    <m/>
  </r>
  <r>
    <x v="16"/>
    <x v="166"/>
    <n v="92"/>
    <n v="1095"/>
    <n v="2"/>
    <n v="12"/>
    <m/>
    <m/>
    <m/>
    <m/>
    <m/>
    <m/>
    <m/>
  </r>
  <r>
    <x v="17"/>
    <x v="166"/>
    <n v="0"/>
    <n v="22"/>
    <m/>
    <n v="0"/>
    <m/>
    <m/>
    <m/>
    <m/>
    <m/>
    <m/>
    <m/>
  </r>
  <r>
    <x v="18"/>
    <x v="166"/>
    <n v="0"/>
    <n v="34"/>
    <m/>
    <n v="0"/>
    <m/>
    <m/>
    <m/>
    <m/>
    <m/>
    <m/>
    <m/>
  </r>
  <r>
    <x v="19"/>
    <x v="166"/>
    <n v="42"/>
    <n v="1031"/>
    <m/>
    <n v="3"/>
    <m/>
    <m/>
    <m/>
    <m/>
    <m/>
    <m/>
    <m/>
  </r>
  <r>
    <x v="20"/>
    <x v="166"/>
    <n v="160"/>
    <n v="3293"/>
    <m/>
    <n v="31"/>
    <m/>
    <m/>
    <m/>
    <m/>
    <m/>
    <m/>
    <m/>
  </r>
  <r>
    <x v="21"/>
    <x v="166"/>
    <n v="33"/>
    <n v="281"/>
    <m/>
    <n v="1"/>
    <m/>
    <m/>
    <m/>
    <m/>
    <m/>
    <m/>
    <m/>
  </r>
  <r>
    <x v="22"/>
    <x v="166"/>
    <n v="57"/>
    <n v="1418"/>
    <m/>
    <n v="16"/>
    <m/>
    <m/>
    <m/>
    <m/>
    <m/>
    <m/>
    <m/>
  </r>
  <r>
    <x v="23"/>
    <x v="166"/>
    <n v="42"/>
    <n v="610"/>
    <m/>
    <n v="5"/>
    <m/>
    <m/>
    <m/>
    <m/>
    <m/>
    <m/>
    <m/>
  </r>
  <r>
    <x v="0"/>
    <x v="167"/>
    <n v="2521"/>
    <n v="185620"/>
    <n v="59"/>
    <n v="3388"/>
    <m/>
    <m/>
    <m/>
    <m/>
    <m/>
    <m/>
    <m/>
  </r>
  <r>
    <x v="4"/>
    <x v="167"/>
    <n v="710"/>
    <n v="78190"/>
    <n v="29"/>
    <n v="1706"/>
    <m/>
    <m/>
    <m/>
    <m/>
    <m/>
    <m/>
    <m/>
  </r>
  <r>
    <x v="1"/>
    <x v="167"/>
    <n v="2"/>
    <n v="65"/>
    <m/>
    <n v="0"/>
    <m/>
    <m/>
    <m/>
    <m/>
    <m/>
    <m/>
    <m/>
  </r>
  <r>
    <x v="2"/>
    <x v="167"/>
    <n v="68"/>
    <n v="4504"/>
    <n v="4"/>
    <n v="184"/>
    <m/>
    <m/>
    <m/>
    <m/>
    <m/>
    <m/>
    <m/>
  </r>
  <r>
    <x v="3"/>
    <x v="167"/>
    <n v="14"/>
    <n v="418"/>
    <m/>
    <n v="5"/>
    <m/>
    <m/>
    <m/>
    <m/>
    <m/>
    <m/>
    <m/>
  </r>
  <r>
    <x v="5"/>
    <x v="167"/>
    <n v="172"/>
    <n v="4767"/>
    <n v="1"/>
    <n v="79"/>
    <m/>
    <m/>
    <m/>
    <m/>
    <m/>
    <m/>
    <m/>
  </r>
  <r>
    <x v="6"/>
    <x v="167"/>
    <n v="2"/>
    <n v="231"/>
    <m/>
    <n v="2"/>
    <m/>
    <m/>
    <m/>
    <m/>
    <m/>
    <m/>
    <m/>
  </r>
  <r>
    <x v="7"/>
    <x v="167"/>
    <n v="73"/>
    <n v="1703"/>
    <n v="2"/>
    <n v="26"/>
    <m/>
    <m/>
    <m/>
    <m/>
    <m/>
    <m/>
    <m/>
  </r>
  <r>
    <x v="8"/>
    <x v="167"/>
    <n v="0"/>
    <n v="83"/>
    <m/>
    <n v="0"/>
    <m/>
    <m/>
    <m/>
    <m/>
    <m/>
    <m/>
    <m/>
  </r>
  <r>
    <x v="9"/>
    <x v="167"/>
    <n v="244"/>
    <n v="4999"/>
    <m/>
    <n v="57"/>
    <m/>
    <m/>
    <m/>
    <m/>
    <m/>
    <m/>
    <m/>
  </r>
  <r>
    <x v="10"/>
    <x v="167"/>
    <n v="1"/>
    <n v="213"/>
    <m/>
    <n v="1"/>
    <m/>
    <m/>
    <m/>
    <m/>
    <m/>
    <m/>
    <m/>
  </r>
  <r>
    <x v="11"/>
    <x v="167"/>
    <n v="45"/>
    <n v="794"/>
    <m/>
    <n v="1"/>
    <m/>
    <m/>
    <m/>
    <m/>
    <m/>
    <m/>
    <m/>
  </r>
  <r>
    <x v="12"/>
    <x v="167"/>
    <n v="169"/>
    <n v="3495"/>
    <n v="1"/>
    <n v="27"/>
    <m/>
    <m/>
    <m/>
    <m/>
    <m/>
    <m/>
    <m/>
  </r>
  <r>
    <x v="13"/>
    <x v="167"/>
    <n v="-4"/>
    <n v="63"/>
    <m/>
    <n v="2"/>
    <m/>
    <m/>
    <m/>
    <m/>
    <m/>
    <m/>
    <m/>
  </r>
  <r>
    <x v="14"/>
    <x v="167"/>
    <n v="64"/>
    <n v="1889"/>
    <n v="1"/>
    <n v="5"/>
    <m/>
    <m/>
    <m/>
    <m/>
    <m/>
    <m/>
    <m/>
  </r>
  <r>
    <x v="15"/>
    <x v="167"/>
    <n v="82"/>
    <n v="3936"/>
    <n v="6"/>
    <n v="31"/>
    <m/>
    <m/>
    <m/>
    <m/>
    <m/>
    <m/>
    <m/>
  </r>
  <r>
    <x v="16"/>
    <x v="167"/>
    <n v="88"/>
    <n v="1183"/>
    <n v="5"/>
    <n v="17"/>
    <m/>
    <m/>
    <m/>
    <m/>
    <m/>
    <m/>
    <m/>
  </r>
  <r>
    <x v="17"/>
    <x v="167"/>
    <n v="0"/>
    <n v="22"/>
    <m/>
    <n v="0"/>
    <m/>
    <m/>
    <m/>
    <m/>
    <m/>
    <m/>
    <m/>
  </r>
  <r>
    <x v="18"/>
    <x v="167"/>
    <n v="0"/>
    <n v="34"/>
    <m/>
    <n v="0"/>
    <m/>
    <m/>
    <m/>
    <m/>
    <m/>
    <m/>
    <m/>
  </r>
  <r>
    <x v="19"/>
    <x v="167"/>
    <n v="33"/>
    <n v="1064"/>
    <m/>
    <n v="3"/>
    <m/>
    <m/>
    <m/>
    <m/>
    <m/>
    <m/>
    <m/>
  </r>
  <r>
    <x v="20"/>
    <x v="167"/>
    <n v="139"/>
    <n v="3432"/>
    <n v="1"/>
    <n v="32"/>
    <m/>
    <m/>
    <m/>
    <m/>
    <m/>
    <m/>
    <m/>
  </r>
  <r>
    <x v="21"/>
    <x v="167"/>
    <n v="44"/>
    <n v="325"/>
    <m/>
    <n v="1"/>
    <m/>
    <m/>
    <m/>
    <m/>
    <m/>
    <m/>
    <m/>
  </r>
  <r>
    <x v="22"/>
    <x v="167"/>
    <n v="60"/>
    <n v="1478"/>
    <n v="1"/>
    <n v="17"/>
    <m/>
    <m/>
    <m/>
    <m/>
    <m/>
    <m/>
    <m/>
  </r>
  <r>
    <x v="23"/>
    <x v="167"/>
    <n v="30"/>
    <n v="640"/>
    <m/>
    <n v="5"/>
    <m/>
    <m/>
    <m/>
    <m/>
    <m/>
    <m/>
    <m/>
  </r>
  <r>
    <x v="0"/>
    <x v="168"/>
    <n v="4585"/>
    <n v="190199"/>
    <n v="132"/>
    <n v="3520"/>
    <m/>
    <m/>
    <m/>
    <m/>
    <m/>
    <m/>
    <m/>
  </r>
  <r>
    <x v="4"/>
    <x v="168"/>
    <n v="1051"/>
    <n v="79252"/>
    <n v="60"/>
    <n v="1766"/>
    <m/>
    <m/>
    <m/>
    <m/>
    <m/>
    <m/>
    <m/>
  </r>
  <r>
    <x v="1"/>
    <x v="168"/>
    <n v="-1"/>
    <n v="64"/>
    <m/>
    <n v="0"/>
    <m/>
    <m/>
    <m/>
    <m/>
    <m/>
    <m/>
    <m/>
  </r>
  <r>
    <x v="2"/>
    <x v="168"/>
    <n v="45"/>
    <n v="4549"/>
    <n v="3"/>
    <n v="187"/>
    <m/>
    <m/>
    <m/>
    <m/>
    <m/>
    <m/>
    <m/>
  </r>
  <r>
    <x v="3"/>
    <x v="168"/>
    <n v="7"/>
    <n v="424"/>
    <m/>
    <n v="5"/>
    <m/>
    <m/>
    <m/>
    <m/>
    <m/>
    <m/>
    <m/>
  </r>
  <r>
    <x v="5"/>
    <x v="168"/>
    <n v="227"/>
    <n v="4991"/>
    <n v="5"/>
    <n v="84"/>
    <m/>
    <m/>
    <m/>
    <m/>
    <m/>
    <m/>
    <m/>
  </r>
  <r>
    <x v="6"/>
    <x v="168"/>
    <n v="3"/>
    <n v="233"/>
    <m/>
    <n v="2"/>
    <m/>
    <m/>
    <m/>
    <m/>
    <m/>
    <m/>
    <m/>
  </r>
  <r>
    <x v="7"/>
    <x v="168"/>
    <n v="46"/>
    <n v="1750"/>
    <m/>
    <n v="26"/>
    <m/>
    <m/>
    <m/>
    <m/>
    <m/>
    <m/>
    <m/>
  </r>
  <r>
    <x v="8"/>
    <x v="168"/>
    <n v="-1"/>
    <n v="79"/>
    <n v="1"/>
    <n v="1"/>
    <m/>
    <m/>
    <m/>
    <m/>
    <m/>
    <m/>
    <m/>
  </r>
  <r>
    <x v="9"/>
    <x v="168"/>
    <n v="218"/>
    <n v="5227"/>
    <n v="16"/>
    <n v="73"/>
    <m/>
    <m/>
    <m/>
    <m/>
    <m/>
    <m/>
    <m/>
  </r>
  <r>
    <x v="10"/>
    <x v="168"/>
    <n v="-1"/>
    <n v="184"/>
    <m/>
    <n v="1"/>
    <m/>
    <m/>
    <m/>
    <m/>
    <m/>
    <m/>
    <m/>
  </r>
  <r>
    <x v="11"/>
    <x v="168"/>
    <n v="56"/>
    <n v="851"/>
    <m/>
    <n v="1"/>
    <m/>
    <m/>
    <m/>
    <m/>
    <m/>
    <m/>
    <m/>
  </r>
  <r>
    <x v="12"/>
    <x v="168"/>
    <n v="124"/>
    <n v="3623"/>
    <n v="8"/>
    <n v="35"/>
    <m/>
    <m/>
    <m/>
    <m/>
    <m/>
    <m/>
    <m/>
  </r>
  <r>
    <x v="13"/>
    <x v="168"/>
    <n v="0"/>
    <n v="55"/>
    <m/>
    <n v="2"/>
    <m/>
    <m/>
    <m/>
    <m/>
    <m/>
    <m/>
    <m/>
  </r>
  <r>
    <x v="14"/>
    <x v="168"/>
    <n v="13"/>
    <n v="1911"/>
    <n v="2"/>
    <n v="7"/>
    <m/>
    <m/>
    <m/>
    <m/>
    <m/>
    <m/>
    <m/>
  </r>
  <r>
    <x v="15"/>
    <x v="168"/>
    <n v="138"/>
    <n v="4074"/>
    <n v="2"/>
    <n v="33"/>
    <m/>
    <m/>
    <m/>
    <m/>
    <m/>
    <m/>
    <m/>
  </r>
  <r>
    <x v="16"/>
    <x v="168"/>
    <n v="111"/>
    <n v="1287"/>
    <n v="1"/>
    <n v="18"/>
    <m/>
    <m/>
    <m/>
    <m/>
    <m/>
    <m/>
    <m/>
  </r>
  <r>
    <x v="17"/>
    <x v="168"/>
    <n v="0"/>
    <n v="22"/>
    <m/>
    <n v="0"/>
    <m/>
    <m/>
    <m/>
    <m/>
    <m/>
    <m/>
    <m/>
  </r>
  <r>
    <x v="18"/>
    <x v="168"/>
    <n v="2"/>
    <n v="36"/>
    <m/>
    <n v="0"/>
    <m/>
    <m/>
    <m/>
    <m/>
    <m/>
    <m/>
    <m/>
  </r>
  <r>
    <x v="19"/>
    <x v="168"/>
    <n v="22"/>
    <n v="1089"/>
    <m/>
    <n v="3"/>
    <m/>
    <m/>
    <m/>
    <m/>
    <m/>
    <m/>
    <m/>
  </r>
  <r>
    <x v="20"/>
    <x v="168"/>
    <n v="129"/>
    <n v="3561"/>
    <n v="2"/>
    <n v="34"/>
    <m/>
    <m/>
    <m/>
    <m/>
    <m/>
    <m/>
    <m/>
  </r>
  <r>
    <x v="21"/>
    <x v="168"/>
    <n v="12"/>
    <n v="338"/>
    <m/>
    <n v="1"/>
    <m/>
    <m/>
    <m/>
    <m/>
    <m/>
    <m/>
    <m/>
  </r>
  <r>
    <x v="22"/>
    <x v="168"/>
    <n v="10"/>
    <n v="1489"/>
    <n v="1"/>
    <n v="18"/>
    <m/>
    <m/>
    <m/>
    <m/>
    <m/>
    <m/>
    <m/>
  </r>
  <r>
    <x v="23"/>
    <x v="168"/>
    <n v="44"/>
    <n v="678"/>
    <m/>
    <n v="5"/>
    <m/>
    <m/>
    <m/>
    <m/>
    <m/>
    <m/>
    <m/>
  </r>
  <r>
    <x v="0"/>
    <x v="169"/>
    <n v="4303"/>
    <n v="194502"/>
    <n v="209"/>
    <n v="3729"/>
    <m/>
    <m/>
    <m/>
    <m/>
    <m/>
    <m/>
    <m/>
  </r>
  <r>
    <x v="4"/>
    <x v="169"/>
    <n v="1094"/>
    <n v="80346"/>
    <n v="47"/>
    <n v="1813"/>
    <m/>
    <m/>
    <m/>
    <m/>
    <m/>
    <m/>
    <m/>
  </r>
  <r>
    <x v="1"/>
    <x v="169"/>
    <n v="-1"/>
    <n v="63"/>
    <m/>
    <n v="0"/>
    <m/>
    <m/>
    <m/>
    <m/>
    <m/>
    <m/>
    <m/>
  </r>
  <r>
    <x v="2"/>
    <x v="169"/>
    <n v="57"/>
    <n v="4606"/>
    <n v="1"/>
    <n v="188"/>
    <m/>
    <m/>
    <m/>
    <m/>
    <m/>
    <m/>
    <m/>
  </r>
  <r>
    <x v="3"/>
    <x v="169"/>
    <n v="13"/>
    <n v="437"/>
    <m/>
    <n v="5"/>
    <m/>
    <m/>
    <m/>
    <m/>
    <m/>
    <m/>
    <m/>
  </r>
  <r>
    <x v="5"/>
    <x v="169"/>
    <n v="100"/>
    <n v="5091"/>
    <m/>
    <n v="84"/>
    <m/>
    <m/>
    <m/>
    <m/>
    <m/>
    <m/>
    <m/>
  </r>
  <r>
    <x v="6"/>
    <x v="169"/>
    <n v="3"/>
    <n v="236"/>
    <m/>
    <n v="2"/>
    <m/>
    <m/>
    <m/>
    <m/>
    <m/>
    <m/>
    <m/>
  </r>
  <r>
    <x v="7"/>
    <x v="169"/>
    <n v="60"/>
    <n v="1810"/>
    <n v="1"/>
    <n v="27"/>
    <m/>
    <m/>
    <m/>
    <m/>
    <m/>
    <m/>
    <m/>
  </r>
  <r>
    <x v="8"/>
    <x v="169"/>
    <n v="0"/>
    <n v="79"/>
    <m/>
    <n v="1"/>
    <m/>
    <m/>
    <m/>
    <m/>
    <m/>
    <m/>
    <m/>
  </r>
  <r>
    <x v="9"/>
    <x v="169"/>
    <n v="133"/>
    <n v="5360"/>
    <n v="12"/>
    <n v="85"/>
    <m/>
    <m/>
    <m/>
    <m/>
    <m/>
    <m/>
    <m/>
  </r>
  <r>
    <x v="10"/>
    <x v="169"/>
    <n v="2"/>
    <n v="186"/>
    <m/>
    <n v="1"/>
    <m/>
    <m/>
    <m/>
    <m/>
    <m/>
    <m/>
    <m/>
  </r>
  <r>
    <x v="11"/>
    <x v="169"/>
    <n v="54"/>
    <n v="905"/>
    <m/>
    <n v="1"/>
    <m/>
    <m/>
    <m/>
    <m/>
    <m/>
    <m/>
    <m/>
  </r>
  <r>
    <x v="12"/>
    <x v="169"/>
    <n v="150"/>
    <n v="3773"/>
    <n v="5"/>
    <n v="40"/>
    <m/>
    <m/>
    <m/>
    <m/>
    <m/>
    <m/>
    <m/>
  </r>
  <r>
    <x v="13"/>
    <x v="169"/>
    <n v="0"/>
    <n v="55"/>
    <m/>
    <n v="2"/>
    <m/>
    <m/>
    <m/>
    <m/>
    <m/>
    <m/>
    <m/>
  </r>
  <r>
    <x v="14"/>
    <x v="169"/>
    <n v="50"/>
    <n v="1961"/>
    <n v="1"/>
    <n v="8"/>
    <m/>
    <m/>
    <m/>
    <m/>
    <m/>
    <m/>
    <m/>
  </r>
  <r>
    <x v="15"/>
    <x v="169"/>
    <n v="94"/>
    <n v="4168"/>
    <n v="3"/>
    <n v="36"/>
    <m/>
    <m/>
    <m/>
    <m/>
    <m/>
    <m/>
    <m/>
  </r>
  <r>
    <x v="16"/>
    <x v="169"/>
    <n v="114"/>
    <n v="1401"/>
    <n v="2"/>
    <n v="20"/>
    <m/>
    <m/>
    <m/>
    <m/>
    <m/>
    <m/>
    <m/>
  </r>
  <r>
    <x v="17"/>
    <x v="169"/>
    <n v="0"/>
    <n v="22"/>
    <m/>
    <n v="0"/>
    <m/>
    <m/>
    <m/>
    <m/>
    <m/>
    <m/>
    <m/>
  </r>
  <r>
    <x v="18"/>
    <x v="169"/>
    <n v="0"/>
    <n v="36"/>
    <m/>
    <n v="0"/>
    <m/>
    <m/>
    <m/>
    <m/>
    <m/>
    <m/>
    <m/>
  </r>
  <r>
    <x v="19"/>
    <x v="169"/>
    <n v="56"/>
    <n v="1145"/>
    <m/>
    <n v="3"/>
    <m/>
    <m/>
    <m/>
    <m/>
    <m/>
    <m/>
    <m/>
  </r>
  <r>
    <x v="20"/>
    <x v="169"/>
    <n v="202"/>
    <n v="3763"/>
    <n v="2"/>
    <n v="36"/>
    <m/>
    <m/>
    <m/>
    <m/>
    <m/>
    <m/>
    <m/>
  </r>
  <r>
    <x v="21"/>
    <x v="169"/>
    <n v="41"/>
    <n v="379"/>
    <m/>
    <n v="1"/>
    <m/>
    <m/>
    <m/>
    <m/>
    <m/>
    <m/>
    <m/>
  </r>
  <r>
    <x v="22"/>
    <x v="169"/>
    <n v="64"/>
    <n v="1553"/>
    <m/>
    <n v="18"/>
    <m/>
    <m/>
    <m/>
    <m/>
    <m/>
    <m/>
    <m/>
  </r>
  <r>
    <x v="23"/>
    <x v="169"/>
    <n v="104"/>
    <n v="782"/>
    <m/>
    <n v="5"/>
    <m/>
    <m/>
    <m/>
    <m/>
    <m/>
    <m/>
    <m/>
  </r>
  <r>
    <x v="0"/>
    <x v="170"/>
    <n v="5245"/>
    <n v="199747"/>
    <n v="55"/>
    <n v="3784"/>
    <m/>
    <m/>
    <m/>
    <m/>
    <m/>
    <m/>
    <m/>
  </r>
  <r>
    <x v="4"/>
    <x v="170"/>
    <n v="1280"/>
    <n v="81626"/>
    <n v="85"/>
    <n v="1898"/>
    <m/>
    <m/>
    <m/>
    <m/>
    <m/>
    <m/>
    <m/>
  </r>
  <r>
    <x v="1"/>
    <x v="170"/>
    <n v="1"/>
    <n v="64"/>
    <m/>
    <n v="0"/>
    <m/>
    <m/>
    <m/>
    <m/>
    <m/>
    <m/>
    <m/>
  </r>
  <r>
    <x v="2"/>
    <x v="170"/>
    <n v="95"/>
    <n v="4701"/>
    <n v="2"/>
    <n v="190"/>
    <m/>
    <m/>
    <m/>
    <m/>
    <m/>
    <m/>
    <m/>
  </r>
  <r>
    <x v="3"/>
    <x v="170"/>
    <n v="18"/>
    <n v="455"/>
    <n v="1"/>
    <n v="6"/>
    <m/>
    <m/>
    <m/>
    <m/>
    <m/>
    <m/>
    <m/>
  </r>
  <r>
    <x v="5"/>
    <x v="170"/>
    <n v="181"/>
    <n v="5272"/>
    <n v="5"/>
    <n v="89"/>
    <m/>
    <m/>
    <m/>
    <m/>
    <m/>
    <m/>
    <m/>
  </r>
  <r>
    <x v="6"/>
    <x v="170"/>
    <n v="3"/>
    <n v="239"/>
    <m/>
    <n v="2"/>
    <m/>
    <m/>
    <m/>
    <m/>
    <m/>
    <m/>
    <m/>
  </r>
  <r>
    <x v="7"/>
    <x v="170"/>
    <n v="51"/>
    <n v="1861"/>
    <m/>
    <n v="27"/>
    <m/>
    <m/>
    <m/>
    <m/>
    <m/>
    <m/>
    <m/>
  </r>
  <r>
    <x v="8"/>
    <x v="170"/>
    <n v="1"/>
    <n v="80"/>
    <m/>
    <n v="1"/>
    <m/>
    <m/>
    <m/>
    <m/>
    <m/>
    <m/>
    <m/>
  </r>
  <r>
    <x v="9"/>
    <x v="170"/>
    <n v="264"/>
    <n v="5624"/>
    <n v="15"/>
    <n v="100"/>
    <m/>
    <m/>
    <m/>
    <m/>
    <m/>
    <m/>
    <m/>
  </r>
  <r>
    <x v="10"/>
    <x v="170"/>
    <n v="1"/>
    <n v="187"/>
    <m/>
    <n v="1"/>
    <m/>
    <m/>
    <m/>
    <m/>
    <m/>
    <m/>
    <m/>
  </r>
  <r>
    <x v="11"/>
    <x v="170"/>
    <n v="22"/>
    <n v="927"/>
    <m/>
    <n v="1"/>
    <m/>
    <m/>
    <m/>
    <m/>
    <m/>
    <m/>
    <m/>
  </r>
  <r>
    <x v="12"/>
    <x v="170"/>
    <n v="267"/>
    <n v="4040"/>
    <n v="4"/>
    <n v="44"/>
    <m/>
    <m/>
    <m/>
    <m/>
    <m/>
    <m/>
    <m/>
  </r>
  <r>
    <x v="13"/>
    <x v="170"/>
    <n v="-2"/>
    <n v="53"/>
    <m/>
    <n v="2"/>
    <m/>
    <m/>
    <m/>
    <m/>
    <m/>
    <m/>
    <m/>
  </r>
  <r>
    <x v="14"/>
    <x v="170"/>
    <n v="59"/>
    <n v="2020"/>
    <n v="1"/>
    <n v="9"/>
    <m/>
    <m/>
    <m/>
    <m/>
    <m/>
    <m/>
    <m/>
  </r>
  <r>
    <x v="15"/>
    <x v="170"/>
    <n v="161"/>
    <n v="4329"/>
    <n v="6"/>
    <n v="42"/>
    <m/>
    <m/>
    <m/>
    <m/>
    <m/>
    <m/>
    <m/>
  </r>
  <r>
    <x v="16"/>
    <x v="170"/>
    <n v="99"/>
    <n v="1500"/>
    <n v="2"/>
    <n v="22"/>
    <m/>
    <m/>
    <m/>
    <m/>
    <m/>
    <m/>
    <m/>
  </r>
  <r>
    <x v="17"/>
    <x v="170"/>
    <n v="13"/>
    <n v="35"/>
    <m/>
    <n v="0"/>
    <m/>
    <m/>
    <m/>
    <m/>
    <m/>
    <m/>
    <m/>
  </r>
  <r>
    <x v="18"/>
    <x v="170"/>
    <n v="3"/>
    <n v="39"/>
    <m/>
    <n v="0"/>
    <m/>
    <m/>
    <m/>
    <m/>
    <m/>
    <m/>
    <m/>
  </r>
  <r>
    <x v="19"/>
    <x v="170"/>
    <n v="33"/>
    <n v="1178"/>
    <n v="6"/>
    <n v="9"/>
    <m/>
    <m/>
    <m/>
    <m/>
    <m/>
    <m/>
    <m/>
  </r>
  <r>
    <x v="20"/>
    <x v="170"/>
    <n v="290"/>
    <n v="4053"/>
    <n v="3"/>
    <n v="39"/>
    <m/>
    <m/>
    <m/>
    <m/>
    <m/>
    <m/>
    <m/>
  </r>
  <r>
    <x v="21"/>
    <x v="170"/>
    <n v="38"/>
    <n v="417"/>
    <m/>
    <n v="1"/>
    <m/>
    <m/>
    <m/>
    <m/>
    <m/>
    <m/>
    <m/>
  </r>
  <r>
    <x v="22"/>
    <x v="170"/>
    <n v="47"/>
    <n v="1600"/>
    <n v="1"/>
    <n v="19"/>
    <m/>
    <m/>
    <m/>
    <m/>
    <m/>
    <m/>
    <m/>
  </r>
  <r>
    <x v="23"/>
    <x v="170"/>
    <n v="55"/>
    <n v="837"/>
    <n v="1"/>
    <n v="6"/>
    <m/>
    <m/>
    <m/>
    <m/>
    <m/>
    <m/>
    <m/>
  </r>
  <r>
    <x v="0"/>
    <x v="171"/>
    <n v="5322"/>
    <n v="205069"/>
    <n v="131"/>
    <n v="3915"/>
    <m/>
    <m/>
    <m/>
    <m/>
    <m/>
    <m/>
    <m/>
  </r>
  <r>
    <x v="4"/>
    <x v="171"/>
    <n v="1179"/>
    <n v="82805"/>
    <n v="31"/>
    <n v="1929"/>
    <m/>
    <m/>
    <m/>
    <m/>
    <m/>
    <m/>
    <m/>
  </r>
  <r>
    <x v="1"/>
    <x v="171"/>
    <n v="-1"/>
    <n v="63"/>
    <m/>
    <n v="0"/>
    <m/>
    <m/>
    <m/>
    <m/>
    <m/>
    <m/>
    <m/>
  </r>
  <r>
    <x v="2"/>
    <x v="171"/>
    <n v="55"/>
    <n v="4756"/>
    <n v="2"/>
    <n v="192"/>
    <m/>
    <m/>
    <m/>
    <m/>
    <m/>
    <m/>
    <m/>
  </r>
  <r>
    <x v="3"/>
    <x v="171"/>
    <n v="19"/>
    <n v="474"/>
    <n v="1"/>
    <n v="7"/>
    <m/>
    <m/>
    <m/>
    <m/>
    <m/>
    <m/>
    <m/>
  </r>
  <r>
    <x v="5"/>
    <x v="171"/>
    <n v="182"/>
    <n v="5454"/>
    <n v="2"/>
    <n v="91"/>
    <m/>
    <m/>
    <m/>
    <m/>
    <m/>
    <m/>
    <m/>
  </r>
  <r>
    <x v="6"/>
    <x v="171"/>
    <n v="4"/>
    <n v="243"/>
    <n v="1"/>
    <n v="3"/>
    <m/>
    <m/>
    <m/>
    <m/>
    <m/>
    <m/>
    <m/>
  </r>
  <r>
    <x v="7"/>
    <x v="171"/>
    <n v="136"/>
    <n v="1997"/>
    <n v="2"/>
    <n v="29"/>
    <m/>
    <m/>
    <m/>
    <m/>
    <m/>
    <m/>
    <m/>
  </r>
  <r>
    <x v="8"/>
    <x v="171"/>
    <n v="-1"/>
    <n v="79"/>
    <m/>
    <n v="1"/>
    <m/>
    <m/>
    <m/>
    <m/>
    <m/>
    <m/>
    <m/>
  </r>
  <r>
    <x v="9"/>
    <x v="171"/>
    <n v="250"/>
    <n v="5874"/>
    <n v="27"/>
    <n v="127"/>
    <m/>
    <m/>
    <m/>
    <m/>
    <m/>
    <m/>
    <m/>
  </r>
  <r>
    <x v="10"/>
    <x v="171"/>
    <n v="0"/>
    <n v="187"/>
    <m/>
    <n v="1"/>
    <m/>
    <m/>
    <m/>
    <m/>
    <m/>
    <m/>
    <m/>
  </r>
  <r>
    <x v="11"/>
    <x v="171"/>
    <n v="51"/>
    <n v="978"/>
    <m/>
    <n v="1"/>
    <m/>
    <m/>
    <m/>
    <m/>
    <m/>
    <m/>
    <m/>
  </r>
  <r>
    <x v="12"/>
    <x v="171"/>
    <n v="212"/>
    <n v="4252"/>
    <n v="5"/>
    <n v="49"/>
    <m/>
    <m/>
    <m/>
    <m/>
    <m/>
    <m/>
    <m/>
  </r>
  <r>
    <x v="13"/>
    <x v="171"/>
    <n v="5"/>
    <n v="58"/>
    <m/>
    <n v="2"/>
    <m/>
    <m/>
    <m/>
    <m/>
    <m/>
    <m/>
    <m/>
  </r>
  <r>
    <x v="14"/>
    <x v="171"/>
    <n v="47"/>
    <n v="2067"/>
    <n v="2"/>
    <n v="11"/>
    <m/>
    <m/>
    <m/>
    <m/>
    <m/>
    <m/>
    <m/>
  </r>
  <r>
    <x v="15"/>
    <x v="171"/>
    <n v="137"/>
    <n v="4466"/>
    <m/>
    <n v="42"/>
    <m/>
    <m/>
    <m/>
    <m/>
    <m/>
    <m/>
    <m/>
  </r>
  <r>
    <x v="16"/>
    <x v="171"/>
    <n v="90"/>
    <n v="1590"/>
    <n v="3"/>
    <n v="25"/>
    <m/>
    <m/>
    <m/>
    <m/>
    <m/>
    <m/>
    <m/>
  </r>
  <r>
    <x v="17"/>
    <x v="171"/>
    <n v="1"/>
    <n v="36"/>
    <m/>
    <n v="0"/>
    <m/>
    <m/>
    <m/>
    <m/>
    <m/>
    <m/>
    <m/>
  </r>
  <r>
    <x v="18"/>
    <x v="171"/>
    <n v="0"/>
    <n v="39"/>
    <m/>
    <n v="0"/>
    <m/>
    <m/>
    <m/>
    <m/>
    <m/>
    <m/>
    <m/>
  </r>
  <r>
    <x v="19"/>
    <x v="171"/>
    <n v="68"/>
    <n v="1246"/>
    <m/>
    <n v="9"/>
    <m/>
    <m/>
    <m/>
    <m/>
    <m/>
    <m/>
    <m/>
  </r>
  <r>
    <x v="20"/>
    <x v="171"/>
    <n v="262"/>
    <n v="4315"/>
    <n v="6"/>
    <n v="45"/>
    <m/>
    <m/>
    <m/>
    <m/>
    <m/>
    <m/>
    <m/>
  </r>
  <r>
    <x v="21"/>
    <x v="171"/>
    <n v="38"/>
    <n v="455"/>
    <n v="1"/>
    <n v="2"/>
    <m/>
    <m/>
    <m/>
    <m/>
    <m/>
    <m/>
    <m/>
  </r>
  <r>
    <x v="22"/>
    <x v="171"/>
    <n v="36"/>
    <n v="1636"/>
    <m/>
    <n v="19"/>
    <m/>
    <m/>
    <m/>
    <m/>
    <m/>
    <m/>
    <m/>
  </r>
  <r>
    <x v="23"/>
    <x v="171"/>
    <n v="67"/>
    <n v="904"/>
    <m/>
    <n v="6"/>
    <m/>
    <m/>
    <m/>
    <m/>
    <m/>
    <m/>
    <m/>
  </r>
  <r>
    <x v="0"/>
    <x v="172"/>
    <n v="4838"/>
    <n v="209907"/>
    <n v="77"/>
    <n v="3992"/>
    <m/>
    <m/>
    <m/>
    <m/>
    <m/>
    <m/>
    <m/>
  </r>
  <r>
    <x v="4"/>
    <x v="172"/>
    <n v="1100"/>
    <n v="83905"/>
    <n v="10"/>
    <n v="1939"/>
    <m/>
    <m/>
    <m/>
    <m/>
    <m/>
    <m/>
    <m/>
  </r>
  <r>
    <x v="1"/>
    <x v="172"/>
    <n v="1"/>
    <n v="64"/>
    <m/>
    <n v="0"/>
    <m/>
    <m/>
    <m/>
    <m/>
    <m/>
    <m/>
    <m/>
  </r>
  <r>
    <x v="2"/>
    <x v="172"/>
    <n v="78"/>
    <n v="4834"/>
    <m/>
    <n v="192"/>
    <m/>
    <m/>
    <m/>
    <m/>
    <m/>
    <m/>
    <m/>
  </r>
  <r>
    <x v="3"/>
    <x v="172"/>
    <n v="36"/>
    <n v="510"/>
    <m/>
    <n v="7"/>
    <m/>
    <m/>
    <m/>
    <m/>
    <m/>
    <m/>
    <m/>
  </r>
  <r>
    <x v="5"/>
    <x v="172"/>
    <n v="219"/>
    <n v="5673"/>
    <n v="4"/>
    <n v="95"/>
    <m/>
    <m/>
    <m/>
    <m/>
    <m/>
    <m/>
    <m/>
  </r>
  <r>
    <x v="6"/>
    <x v="172"/>
    <n v="4"/>
    <n v="247"/>
    <m/>
    <n v="3"/>
    <m/>
    <m/>
    <m/>
    <m/>
    <m/>
    <m/>
    <m/>
  </r>
  <r>
    <x v="7"/>
    <x v="172"/>
    <n v="135"/>
    <n v="2132"/>
    <m/>
    <n v="29"/>
    <m/>
    <m/>
    <m/>
    <m/>
    <m/>
    <m/>
    <m/>
  </r>
  <r>
    <x v="8"/>
    <x v="172"/>
    <n v="1"/>
    <n v="80"/>
    <m/>
    <n v="1"/>
    <m/>
    <m/>
    <m/>
    <m/>
    <m/>
    <m/>
    <m/>
  </r>
  <r>
    <x v="9"/>
    <x v="172"/>
    <n v="212"/>
    <n v="6086"/>
    <n v="14"/>
    <n v="141"/>
    <m/>
    <m/>
    <m/>
    <m/>
    <m/>
    <m/>
    <m/>
  </r>
  <r>
    <x v="10"/>
    <x v="172"/>
    <n v="4"/>
    <n v="191"/>
    <m/>
    <n v="1"/>
    <m/>
    <m/>
    <m/>
    <m/>
    <m/>
    <m/>
    <m/>
  </r>
  <r>
    <x v="11"/>
    <x v="172"/>
    <n v="28"/>
    <n v="1006"/>
    <m/>
    <n v="1"/>
    <m/>
    <m/>
    <m/>
    <m/>
    <m/>
    <m/>
    <m/>
  </r>
  <r>
    <x v="12"/>
    <x v="172"/>
    <n v="245"/>
    <n v="4497"/>
    <n v="3"/>
    <n v="52"/>
    <m/>
    <m/>
    <m/>
    <m/>
    <m/>
    <m/>
    <m/>
  </r>
  <r>
    <x v="13"/>
    <x v="172"/>
    <n v="1"/>
    <n v="59"/>
    <m/>
    <n v="2"/>
    <m/>
    <m/>
    <m/>
    <m/>
    <m/>
    <m/>
    <m/>
  </r>
  <r>
    <x v="14"/>
    <x v="172"/>
    <n v="103"/>
    <n v="2170"/>
    <m/>
    <n v="11"/>
    <m/>
    <m/>
    <m/>
    <m/>
    <m/>
    <m/>
    <m/>
  </r>
  <r>
    <x v="15"/>
    <x v="172"/>
    <n v="118"/>
    <n v="4584"/>
    <n v="2"/>
    <n v="44"/>
    <m/>
    <m/>
    <m/>
    <m/>
    <m/>
    <m/>
    <m/>
  </r>
  <r>
    <x v="16"/>
    <x v="172"/>
    <n v="150"/>
    <n v="1740"/>
    <n v="3"/>
    <n v="28"/>
    <m/>
    <m/>
    <m/>
    <m/>
    <m/>
    <m/>
    <m/>
  </r>
  <r>
    <x v="17"/>
    <x v="172"/>
    <n v="3"/>
    <n v="39"/>
    <m/>
    <n v="0"/>
    <m/>
    <m/>
    <m/>
    <m/>
    <m/>
    <m/>
    <m/>
  </r>
  <r>
    <x v="18"/>
    <x v="172"/>
    <n v="2"/>
    <n v="41"/>
    <m/>
    <n v="0"/>
    <m/>
    <m/>
    <m/>
    <m/>
    <m/>
    <m/>
    <m/>
  </r>
  <r>
    <x v="19"/>
    <x v="172"/>
    <n v="47"/>
    <n v="1293"/>
    <m/>
    <n v="9"/>
    <m/>
    <m/>
    <m/>
    <m/>
    <m/>
    <m/>
    <m/>
  </r>
  <r>
    <x v="20"/>
    <x v="172"/>
    <n v="294"/>
    <n v="4609"/>
    <n v="4"/>
    <n v="49"/>
    <m/>
    <m/>
    <m/>
    <m/>
    <m/>
    <m/>
    <m/>
  </r>
  <r>
    <x v="21"/>
    <x v="172"/>
    <n v="34"/>
    <n v="489"/>
    <m/>
    <n v="2"/>
    <m/>
    <m/>
    <m/>
    <m/>
    <m/>
    <m/>
    <m/>
  </r>
  <r>
    <x v="22"/>
    <x v="172"/>
    <n v="34"/>
    <n v="1670"/>
    <m/>
    <n v="19"/>
    <m/>
    <m/>
    <m/>
    <m/>
    <m/>
    <m/>
    <m/>
  </r>
  <r>
    <x v="23"/>
    <x v="172"/>
    <n v="72"/>
    <n v="976"/>
    <m/>
    <n v="6"/>
    <m/>
    <m/>
    <m/>
    <m/>
    <m/>
    <m/>
    <m/>
  </r>
  <r>
    <x v="0"/>
    <x v="173"/>
    <n v="2829"/>
    <n v="212736"/>
    <n v="100"/>
    <n v="4092"/>
    <m/>
    <m/>
    <m/>
    <m/>
    <m/>
    <m/>
    <m/>
  </r>
  <r>
    <x v="4"/>
    <x v="173"/>
    <n v="1020"/>
    <n v="84925"/>
    <n v="8"/>
    <n v="1947"/>
    <m/>
    <m/>
    <m/>
    <m/>
    <m/>
    <m/>
    <m/>
  </r>
  <r>
    <x v="1"/>
    <x v="173"/>
    <n v="-1"/>
    <n v="63"/>
    <m/>
    <n v="0"/>
    <m/>
    <m/>
    <m/>
    <m/>
    <m/>
    <m/>
    <m/>
  </r>
  <r>
    <x v="2"/>
    <x v="173"/>
    <n v="27"/>
    <n v="4861"/>
    <m/>
    <n v="192"/>
    <m/>
    <m/>
    <m/>
    <m/>
    <m/>
    <m/>
    <m/>
  </r>
  <r>
    <x v="3"/>
    <x v="173"/>
    <n v="24"/>
    <n v="534"/>
    <m/>
    <n v="7"/>
    <m/>
    <m/>
    <m/>
    <m/>
    <m/>
    <m/>
    <m/>
  </r>
  <r>
    <x v="5"/>
    <x v="173"/>
    <n v="233"/>
    <n v="5906"/>
    <n v="2"/>
    <n v="97"/>
    <m/>
    <m/>
    <m/>
    <m/>
    <m/>
    <m/>
    <m/>
  </r>
  <r>
    <x v="6"/>
    <x v="173"/>
    <n v="5"/>
    <n v="252"/>
    <n v="1"/>
    <n v="4"/>
    <m/>
    <m/>
    <m/>
    <m/>
    <m/>
    <m/>
    <m/>
  </r>
  <r>
    <x v="7"/>
    <x v="173"/>
    <n v="126"/>
    <n v="2258"/>
    <m/>
    <n v="29"/>
    <m/>
    <m/>
    <m/>
    <m/>
    <m/>
    <m/>
    <m/>
  </r>
  <r>
    <x v="8"/>
    <x v="173"/>
    <n v="2"/>
    <n v="82"/>
    <m/>
    <n v="1"/>
    <m/>
    <m/>
    <m/>
    <m/>
    <m/>
    <m/>
    <m/>
  </r>
  <r>
    <x v="9"/>
    <x v="173"/>
    <n v="185"/>
    <n v="6271"/>
    <m/>
    <n v="141"/>
    <m/>
    <m/>
    <m/>
    <m/>
    <m/>
    <m/>
    <m/>
  </r>
  <r>
    <x v="10"/>
    <x v="173"/>
    <n v="4"/>
    <n v="195"/>
    <m/>
    <n v="1"/>
    <m/>
    <m/>
    <m/>
    <m/>
    <m/>
    <m/>
    <m/>
  </r>
  <r>
    <x v="11"/>
    <x v="173"/>
    <n v="34"/>
    <n v="1040"/>
    <n v="10"/>
    <n v="11"/>
    <m/>
    <m/>
    <m/>
    <m/>
    <m/>
    <m/>
    <m/>
  </r>
  <r>
    <x v="12"/>
    <x v="173"/>
    <n v="140"/>
    <n v="4637"/>
    <n v="3"/>
    <n v="55"/>
    <m/>
    <m/>
    <m/>
    <m/>
    <m/>
    <m/>
    <m/>
  </r>
  <r>
    <x v="13"/>
    <x v="173"/>
    <n v="-3"/>
    <n v="56"/>
    <m/>
    <n v="2"/>
    <m/>
    <m/>
    <m/>
    <m/>
    <m/>
    <m/>
    <m/>
  </r>
  <r>
    <x v="14"/>
    <x v="173"/>
    <n v="108"/>
    <n v="2278"/>
    <m/>
    <n v="11"/>
    <m/>
    <m/>
    <m/>
    <m/>
    <m/>
    <m/>
    <m/>
  </r>
  <r>
    <x v="15"/>
    <x v="173"/>
    <n v="119"/>
    <n v="4703"/>
    <n v="4"/>
    <n v="48"/>
    <m/>
    <m/>
    <m/>
    <m/>
    <m/>
    <m/>
    <m/>
  </r>
  <r>
    <x v="16"/>
    <x v="173"/>
    <n v="97"/>
    <n v="1837"/>
    <n v="1"/>
    <n v="29"/>
    <m/>
    <m/>
    <m/>
    <m/>
    <m/>
    <m/>
    <m/>
  </r>
  <r>
    <x v="17"/>
    <x v="173"/>
    <n v="19"/>
    <n v="58"/>
    <m/>
    <n v="0"/>
    <m/>
    <m/>
    <m/>
    <m/>
    <m/>
    <m/>
    <m/>
  </r>
  <r>
    <x v="18"/>
    <x v="173"/>
    <n v="2"/>
    <n v="43"/>
    <m/>
    <n v="0"/>
    <m/>
    <m/>
    <m/>
    <m/>
    <m/>
    <m/>
    <m/>
  </r>
  <r>
    <x v="19"/>
    <x v="173"/>
    <n v="41"/>
    <n v="1334"/>
    <m/>
    <n v="9"/>
    <m/>
    <m/>
    <m/>
    <m/>
    <m/>
    <m/>
    <m/>
  </r>
  <r>
    <x v="20"/>
    <x v="173"/>
    <n v="208"/>
    <n v="4817"/>
    <n v="3"/>
    <n v="52"/>
    <m/>
    <m/>
    <m/>
    <m/>
    <m/>
    <m/>
    <m/>
  </r>
  <r>
    <x v="21"/>
    <x v="173"/>
    <n v="28"/>
    <n v="517"/>
    <m/>
    <n v="2"/>
    <m/>
    <m/>
    <m/>
    <m/>
    <m/>
    <m/>
    <m/>
  </r>
  <r>
    <x v="22"/>
    <x v="173"/>
    <n v="28"/>
    <n v="1698"/>
    <n v="1"/>
    <n v="20"/>
    <m/>
    <m/>
    <m/>
    <m/>
    <m/>
    <m/>
    <m/>
  </r>
  <r>
    <x v="23"/>
    <x v="173"/>
    <n v="77"/>
    <n v="1053"/>
    <m/>
    <n v="6"/>
    <m/>
    <m/>
    <m/>
    <m/>
    <m/>
    <m/>
    <m/>
  </r>
  <r>
    <x v="0"/>
    <x v="174"/>
    <n v="5656"/>
    <n v="218392"/>
    <n v="270"/>
    <n v="4362"/>
    <m/>
    <m/>
    <m/>
    <m/>
    <m/>
    <m/>
    <m/>
  </r>
  <r>
    <x v="4"/>
    <x v="174"/>
    <n v="1333"/>
    <n v="86258"/>
    <n v="52"/>
    <n v="1999"/>
    <m/>
    <m/>
    <m/>
    <m/>
    <m/>
    <m/>
    <m/>
  </r>
  <r>
    <x v="1"/>
    <x v="174"/>
    <n v="1"/>
    <n v="64"/>
    <m/>
    <n v="0"/>
    <m/>
    <m/>
    <m/>
    <m/>
    <m/>
    <m/>
    <m/>
  </r>
  <r>
    <x v="2"/>
    <x v="174"/>
    <n v="53"/>
    <n v="4914"/>
    <n v="4"/>
    <n v="196"/>
    <m/>
    <m/>
    <m/>
    <m/>
    <m/>
    <m/>
    <m/>
  </r>
  <r>
    <x v="3"/>
    <x v="174"/>
    <n v="12"/>
    <n v="546"/>
    <m/>
    <n v="7"/>
    <m/>
    <m/>
    <m/>
    <m/>
    <m/>
    <m/>
    <m/>
  </r>
  <r>
    <x v="5"/>
    <x v="174"/>
    <n v="208"/>
    <n v="6114"/>
    <n v="4"/>
    <n v="101"/>
    <m/>
    <m/>
    <m/>
    <m/>
    <m/>
    <m/>
    <m/>
  </r>
  <r>
    <x v="6"/>
    <x v="174"/>
    <n v="7"/>
    <n v="259"/>
    <n v="1"/>
    <n v="5"/>
    <m/>
    <m/>
    <m/>
    <m/>
    <m/>
    <m/>
    <m/>
  </r>
  <r>
    <x v="7"/>
    <x v="174"/>
    <n v="124"/>
    <n v="2382"/>
    <m/>
    <n v="29"/>
    <m/>
    <m/>
    <m/>
    <m/>
    <m/>
    <m/>
    <m/>
  </r>
  <r>
    <x v="8"/>
    <x v="174"/>
    <n v="2"/>
    <n v="84"/>
    <m/>
    <n v="1"/>
    <m/>
    <m/>
    <m/>
    <m/>
    <m/>
    <m/>
    <m/>
  </r>
  <r>
    <x v="9"/>
    <x v="174"/>
    <n v="352"/>
    <n v="6623"/>
    <n v="12"/>
    <n v="153"/>
    <m/>
    <m/>
    <m/>
    <m/>
    <m/>
    <m/>
    <m/>
  </r>
  <r>
    <x v="10"/>
    <x v="174"/>
    <n v="-2"/>
    <n v="193"/>
    <m/>
    <n v="1"/>
    <m/>
    <m/>
    <m/>
    <m/>
    <m/>
    <m/>
    <m/>
  </r>
  <r>
    <x v="11"/>
    <x v="174"/>
    <n v="98"/>
    <n v="1138"/>
    <n v="10"/>
    <n v="21"/>
    <m/>
    <m/>
    <m/>
    <m/>
    <m/>
    <m/>
    <m/>
  </r>
  <r>
    <x v="12"/>
    <x v="174"/>
    <n v="172"/>
    <n v="4809"/>
    <n v="3"/>
    <n v="58"/>
    <m/>
    <m/>
    <m/>
    <m/>
    <m/>
    <m/>
    <m/>
  </r>
  <r>
    <x v="13"/>
    <x v="174"/>
    <n v="2"/>
    <n v="58"/>
    <m/>
    <n v="2"/>
    <m/>
    <m/>
    <m/>
    <m/>
    <m/>
    <m/>
    <m/>
  </r>
  <r>
    <x v="14"/>
    <x v="174"/>
    <n v="15"/>
    <n v="2293"/>
    <n v="2"/>
    <n v="13"/>
    <m/>
    <m/>
    <m/>
    <m/>
    <m/>
    <m/>
    <m/>
  </r>
  <r>
    <x v="15"/>
    <x v="174"/>
    <n v="61"/>
    <n v="4764"/>
    <n v="4"/>
    <n v="52"/>
    <m/>
    <m/>
    <m/>
    <m/>
    <m/>
    <m/>
    <m/>
  </r>
  <r>
    <x v="16"/>
    <x v="174"/>
    <n v="95"/>
    <n v="1932"/>
    <n v="1"/>
    <n v="30"/>
    <m/>
    <m/>
    <m/>
    <m/>
    <m/>
    <m/>
    <m/>
  </r>
  <r>
    <x v="17"/>
    <x v="174"/>
    <n v="38"/>
    <n v="96"/>
    <m/>
    <n v="0"/>
    <m/>
    <m/>
    <m/>
    <m/>
    <m/>
    <m/>
    <m/>
  </r>
  <r>
    <x v="18"/>
    <x v="174"/>
    <n v="-2"/>
    <n v="41"/>
    <m/>
    <n v="0"/>
    <m/>
    <m/>
    <m/>
    <m/>
    <m/>
    <m/>
    <m/>
  </r>
  <r>
    <x v="19"/>
    <x v="174"/>
    <n v="44"/>
    <n v="1378"/>
    <n v="2"/>
    <n v="11"/>
    <m/>
    <m/>
    <m/>
    <m/>
    <m/>
    <m/>
    <m/>
  </r>
  <r>
    <x v="20"/>
    <x v="174"/>
    <n v="209"/>
    <n v="5026"/>
    <n v="7"/>
    <n v="59"/>
    <m/>
    <m/>
    <m/>
    <m/>
    <m/>
    <m/>
    <m/>
  </r>
  <r>
    <x v="21"/>
    <x v="174"/>
    <n v="66"/>
    <n v="583"/>
    <n v="2"/>
    <n v="4"/>
    <m/>
    <m/>
    <m/>
    <m/>
    <m/>
    <m/>
    <m/>
  </r>
  <r>
    <x v="22"/>
    <x v="174"/>
    <n v="54"/>
    <n v="1752"/>
    <n v="1"/>
    <n v="21"/>
    <m/>
    <m/>
    <m/>
    <m/>
    <m/>
    <m/>
    <m/>
  </r>
  <r>
    <x v="23"/>
    <x v="174"/>
    <n v="115"/>
    <n v="1168"/>
    <m/>
    <n v="6"/>
    <m/>
    <m/>
    <m/>
    <m/>
    <m/>
    <m/>
    <m/>
  </r>
  <r>
    <x v="0"/>
    <x v="175"/>
    <n v="5312"/>
    <n v="223704"/>
    <n v="121"/>
    <n v="4483"/>
    <m/>
    <m/>
    <m/>
    <m/>
    <m/>
    <m/>
    <m/>
  </r>
  <r>
    <x v="4"/>
    <x v="175"/>
    <n v="1311"/>
    <n v="87569"/>
    <n v="33"/>
    <n v="2032"/>
    <m/>
    <m/>
    <m/>
    <m/>
    <m/>
    <m/>
    <m/>
  </r>
  <r>
    <x v="1"/>
    <x v="175"/>
    <n v="0"/>
    <n v="64"/>
    <m/>
    <n v="0"/>
    <m/>
    <m/>
    <m/>
    <m/>
    <m/>
    <m/>
    <m/>
  </r>
  <r>
    <x v="2"/>
    <x v="175"/>
    <n v="53"/>
    <n v="4967"/>
    <n v="2"/>
    <n v="198"/>
    <m/>
    <m/>
    <m/>
    <m/>
    <m/>
    <m/>
    <m/>
  </r>
  <r>
    <x v="3"/>
    <x v="175"/>
    <n v="35"/>
    <n v="581"/>
    <m/>
    <n v="7"/>
    <m/>
    <m/>
    <m/>
    <m/>
    <m/>
    <m/>
    <m/>
  </r>
  <r>
    <x v="5"/>
    <x v="175"/>
    <n v="298"/>
    <n v="6412"/>
    <n v="3"/>
    <n v="104"/>
    <m/>
    <m/>
    <m/>
    <m/>
    <m/>
    <m/>
    <m/>
  </r>
  <r>
    <x v="6"/>
    <x v="175"/>
    <n v="1"/>
    <n v="260"/>
    <m/>
    <n v="5"/>
    <m/>
    <m/>
    <m/>
    <m/>
    <m/>
    <m/>
    <m/>
  </r>
  <r>
    <x v="7"/>
    <x v="175"/>
    <n v="127"/>
    <n v="2509"/>
    <n v="3"/>
    <n v="32"/>
    <m/>
    <m/>
    <m/>
    <m/>
    <m/>
    <m/>
    <m/>
  </r>
  <r>
    <x v="8"/>
    <x v="175"/>
    <n v="-1"/>
    <n v="83"/>
    <m/>
    <n v="1"/>
    <m/>
    <m/>
    <m/>
    <m/>
    <m/>
    <m/>
    <m/>
  </r>
  <r>
    <x v="9"/>
    <x v="175"/>
    <n v="215"/>
    <n v="6838"/>
    <n v="10"/>
    <n v="163"/>
    <m/>
    <m/>
    <m/>
    <m/>
    <m/>
    <m/>
    <m/>
  </r>
  <r>
    <x v="10"/>
    <x v="175"/>
    <n v="1"/>
    <n v="194"/>
    <n v="1"/>
    <n v="2"/>
    <m/>
    <m/>
    <m/>
    <m/>
    <m/>
    <m/>
    <m/>
  </r>
  <r>
    <x v="11"/>
    <x v="175"/>
    <n v="39"/>
    <n v="1177"/>
    <n v="6"/>
    <n v="27"/>
    <m/>
    <m/>
    <m/>
    <m/>
    <m/>
    <m/>
    <m/>
  </r>
  <r>
    <x v="12"/>
    <x v="175"/>
    <n v="264"/>
    <n v="5073"/>
    <n v="4"/>
    <n v="62"/>
    <m/>
    <m/>
    <m/>
    <m/>
    <m/>
    <m/>
    <m/>
  </r>
  <r>
    <x v="13"/>
    <x v="175"/>
    <n v="1"/>
    <n v="59"/>
    <m/>
    <n v="2"/>
    <m/>
    <m/>
    <m/>
    <m/>
    <m/>
    <m/>
    <m/>
  </r>
  <r>
    <x v="14"/>
    <x v="175"/>
    <n v="122"/>
    <n v="2415"/>
    <n v="1"/>
    <n v="14"/>
    <m/>
    <m/>
    <m/>
    <m/>
    <m/>
    <m/>
    <m/>
  </r>
  <r>
    <x v="15"/>
    <x v="175"/>
    <n v="174"/>
    <n v="4938"/>
    <n v="4"/>
    <n v="56"/>
    <m/>
    <m/>
    <m/>
    <m/>
    <m/>
    <m/>
    <m/>
  </r>
  <r>
    <x v="16"/>
    <x v="175"/>
    <n v="177"/>
    <n v="2109"/>
    <n v="2"/>
    <n v="32"/>
    <m/>
    <m/>
    <m/>
    <m/>
    <m/>
    <m/>
    <m/>
  </r>
  <r>
    <x v="17"/>
    <x v="175"/>
    <n v="14"/>
    <n v="110"/>
    <m/>
    <n v="0"/>
    <m/>
    <m/>
    <m/>
    <m/>
    <m/>
    <m/>
    <m/>
  </r>
  <r>
    <x v="18"/>
    <x v="175"/>
    <n v="-1"/>
    <n v="40"/>
    <m/>
    <n v="0"/>
    <m/>
    <m/>
    <m/>
    <m/>
    <m/>
    <m/>
    <m/>
  </r>
  <r>
    <x v="19"/>
    <x v="175"/>
    <n v="38"/>
    <n v="1416"/>
    <m/>
    <n v="11"/>
    <m/>
    <m/>
    <m/>
    <m/>
    <m/>
    <m/>
    <m/>
  </r>
  <r>
    <x v="20"/>
    <x v="175"/>
    <n v="356"/>
    <n v="5382"/>
    <n v="5"/>
    <n v="64"/>
    <m/>
    <m/>
    <m/>
    <m/>
    <m/>
    <m/>
    <m/>
  </r>
  <r>
    <x v="21"/>
    <x v="175"/>
    <n v="71"/>
    <n v="654"/>
    <n v="2"/>
    <n v="6"/>
    <m/>
    <m/>
    <m/>
    <m/>
    <m/>
    <m/>
    <m/>
  </r>
  <r>
    <x v="22"/>
    <x v="175"/>
    <n v="51"/>
    <n v="1803"/>
    <n v="1"/>
    <n v="22"/>
    <m/>
    <m/>
    <m/>
    <m/>
    <m/>
    <m/>
    <m/>
  </r>
  <r>
    <x v="23"/>
    <x v="175"/>
    <n v="113"/>
    <n v="1281"/>
    <n v="1"/>
    <n v="7"/>
    <m/>
    <m/>
    <m/>
    <m/>
    <m/>
    <m/>
    <m/>
  </r>
  <r>
    <x v="0"/>
    <x v="176"/>
    <n v="6628"/>
    <n v="230332"/>
    <n v="187"/>
    <n v="4670"/>
    <m/>
    <m/>
    <m/>
    <m/>
    <m/>
    <m/>
    <m/>
  </r>
  <r>
    <x v="4"/>
    <x v="176"/>
    <n v="1568"/>
    <n v="89137"/>
    <n v="40"/>
    <n v="2072"/>
    <m/>
    <m/>
    <m/>
    <m/>
    <m/>
    <m/>
    <m/>
  </r>
  <r>
    <x v="1"/>
    <x v="176"/>
    <n v="-1"/>
    <n v="63"/>
    <m/>
    <n v="0"/>
    <m/>
    <m/>
    <m/>
    <m/>
    <m/>
    <m/>
    <m/>
  </r>
  <r>
    <x v="2"/>
    <x v="176"/>
    <n v="74"/>
    <n v="5041"/>
    <n v="4"/>
    <n v="202"/>
    <m/>
    <m/>
    <m/>
    <m/>
    <m/>
    <m/>
    <m/>
  </r>
  <r>
    <x v="3"/>
    <x v="176"/>
    <n v="69"/>
    <n v="650"/>
    <m/>
    <n v="7"/>
    <m/>
    <m/>
    <m/>
    <m/>
    <m/>
    <m/>
    <m/>
  </r>
  <r>
    <x v="5"/>
    <x v="176"/>
    <n v="355"/>
    <n v="6767"/>
    <n v="4"/>
    <n v="108"/>
    <m/>
    <m/>
    <m/>
    <m/>
    <m/>
    <m/>
    <m/>
  </r>
  <r>
    <x v="6"/>
    <x v="176"/>
    <n v="12"/>
    <n v="272"/>
    <m/>
    <n v="5"/>
    <m/>
    <m/>
    <m/>
    <m/>
    <m/>
    <m/>
    <m/>
  </r>
  <r>
    <x v="7"/>
    <x v="176"/>
    <n v="112"/>
    <n v="2621"/>
    <n v="1"/>
    <n v="33"/>
    <m/>
    <m/>
    <m/>
    <m/>
    <m/>
    <m/>
    <m/>
  </r>
  <r>
    <x v="8"/>
    <x v="176"/>
    <n v="-1"/>
    <n v="82"/>
    <m/>
    <n v="1"/>
    <m/>
    <m/>
    <m/>
    <m/>
    <m/>
    <m/>
    <m/>
  </r>
  <r>
    <x v="9"/>
    <x v="176"/>
    <n v="236"/>
    <n v="7074"/>
    <n v="13"/>
    <n v="176"/>
    <m/>
    <m/>
    <m/>
    <m/>
    <m/>
    <m/>
    <m/>
  </r>
  <r>
    <x v="10"/>
    <x v="176"/>
    <n v="1"/>
    <n v="195"/>
    <m/>
    <n v="2"/>
    <m/>
    <m/>
    <m/>
    <m/>
    <m/>
    <m/>
    <m/>
  </r>
  <r>
    <x v="11"/>
    <x v="176"/>
    <n v="37"/>
    <n v="1214"/>
    <n v="1"/>
    <n v="28"/>
    <m/>
    <m/>
    <m/>
    <m/>
    <m/>
    <m/>
    <m/>
  </r>
  <r>
    <x v="12"/>
    <x v="176"/>
    <n v="276"/>
    <n v="5349"/>
    <n v="4"/>
    <n v="66"/>
    <m/>
    <m/>
    <m/>
    <m/>
    <m/>
    <m/>
    <m/>
  </r>
  <r>
    <x v="13"/>
    <x v="176"/>
    <n v="0"/>
    <n v="59"/>
    <m/>
    <n v="2"/>
    <m/>
    <m/>
    <m/>
    <m/>
    <m/>
    <m/>
    <m/>
  </r>
  <r>
    <x v="14"/>
    <x v="176"/>
    <n v="132"/>
    <n v="2547"/>
    <m/>
    <n v="14"/>
    <m/>
    <m/>
    <m/>
    <m/>
    <m/>
    <m/>
    <m/>
  </r>
  <r>
    <x v="15"/>
    <x v="176"/>
    <n v="235"/>
    <n v="5173"/>
    <n v="11"/>
    <n v="67"/>
    <m/>
    <m/>
    <m/>
    <m/>
    <m/>
    <m/>
    <m/>
  </r>
  <r>
    <x v="16"/>
    <x v="176"/>
    <n v="176"/>
    <n v="2285"/>
    <n v="5"/>
    <n v="37"/>
    <m/>
    <m/>
    <m/>
    <m/>
    <m/>
    <m/>
    <m/>
  </r>
  <r>
    <x v="17"/>
    <x v="176"/>
    <n v="36"/>
    <n v="146"/>
    <m/>
    <n v="0"/>
    <m/>
    <m/>
    <m/>
    <m/>
    <m/>
    <m/>
    <m/>
  </r>
  <r>
    <x v="18"/>
    <x v="176"/>
    <n v="4"/>
    <n v="44"/>
    <m/>
    <n v="0"/>
    <m/>
    <m/>
    <m/>
    <m/>
    <m/>
    <m/>
    <m/>
  </r>
  <r>
    <x v="19"/>
    <x v="176"/>
    <n v="63"/>
    <n v="1479"/>
    <m/>
    <n v="11"/>
    <m/>
    <m/>
    <m/>
    <m/>
    <m/>
    <m/>
    <m/>
  </r>
  <r>
    <x v="20"/>
    <x v="176"/>
    <n v="381"/>
    <n v="5763"/>
    <n v="4"/>
    <n v="68"/>
    <m/>
    <m/>
    <m/>
    <m/>
    <m/>
    <m/>
    <m/>
  </r>
  <r>
    <x v="21"/>
    <x v="176"/>
    <n v="38"/>
    <n v="692"/>
    <m/>
    <n v="6"/>
    <m/>
    <m/>
    <m/>
    <m/>
    <m/>
    <m/>
    <m/>
  </r>
  <r>
    <x v="22"/>
    <x v="176"/>
    <n v="51"/>
    <n v="1854"/>
    <n v="2"/>
    <n v="24"/>
    <m/>
    <m/>
    <m/>
    <m/>
    <m/>
    <m/>
    <m/>
  </r>
  <r>
    <x v="23"/>
    <x v="176"/>
    <n v="68"/>
    <n v="1349"/>
    <m/>
    <n v="7"/>
    <m/>
    <m/>
    <m/>
    <m/>
    <m/>
    <m/>
    <m/>
  </r>
  <r>
    <x v="0"/>
    <x v="177"/>
    <n v="6402"/>
    <n v="236734"/>
    <n v="141"/>
    <n v="4811"/>
    <m/>
    <m/>
    <m/>
    <m/>
    <m/>
    <m/>
    <m/>
  </r>
  <r>
    <x v="4"/>
    <x v="177"/>
    <n v="1220"/>
    <n v="90357"/>
    <n v="35"/>
    <n v="2107"/>
    <m/>
    <m/>
    <m/>
    <m/>
    <m/>
    <m/>
    <m/>
  </r>
  <r>
    <x v="1"/>
    <x v="177"/>
    <n v="1"/>
    <n v="64"/>
    <m/>
    <n v="0"/>
    <m/>
    <m/>
    <m/>
    <m/>
    <m/>
    <m/>
    <m/>
  </r>
  <r>
    <x v="2"/>
    <x v="177"/>
    <n v="63"/>
    <n v="5104"/>
    <n v="1"/>
    <n v="203"/>
    <m/>
    <m/>
    <m/>
    <m/>
    <m/>
    <m/>
    <m/>
  </r>
  <r>
    <x v="3"/>
    <x v="177"/>
    <n v="49"/>
    <n v="699"/>
    <m/>
    <n v="7"/>
    <m/>
    <m/>
    <m/>
    <m/>
    <m/>
    <m/>
    <m/>
  </r>
  <r>
    <x v="5"/>
    <x v="177"/>
    <n v="363"/>
    <n v="7130"/>
    <n v="1"/>
    <n v="109"/>
    <m/>
    <m/>
    <m/>
    <m/>
    <m/>
    <m/>
    <m/>
  </r>
  <r>
    <x v="6"/>
    <x v="177"/>
    <n v="6"/>
    <n v="278"/>
    <m/>
    <n v="5"/>
    <m/>
    <m/>
    <m/>
    <m/>
    <m/>
    <m/>
    <m/>
  </r>
  <r>
    <x v="7"/>
    <x v="177"/>
    <n v="160"/>
    <n v="2781"/>
    <n v="1"/>
    <n v="34"/>
    <m/>
    <m/>
    <m/>
    <m/>
    <m/>
    <m/>
    <m/>
  </r>
  <r>
    <x v="8"/>
    <x v="177"/>
    <n v="0"/>
    <n v="82"/>
    <m/>
    <n v="1"/>
    <m/>
    <m/>
    <m/>
    <m/>
    <m/>
    <m/>
    <m/>
  </r>
  <r>
    <x v="9"/>
    <x v="177"/>
    <n v="200"/>
    <n v="7274"/>
    <n v="9"/>
    <n v="185"/>
    <m/>
    <m/>
    <m/>
    <m/>
    <m/>
    <m/>
    <m/>
  </r>
  <r>
    <x v="10"/>
    <x v="177"/>
    <n v="-1"/>
    <n v="194"/>
    <m/>
    <n v="2"/>
    <m/>
    <m/>
    <m/>
    <m/>
    <m/>
    <m/>
    <m/>
  </r>
  <r>
    <x v="11"/>
    <x v="177"/>
    <n v="58"/>
    <n v="1272"/>
    <n v="3"/>
    <n v="31"/>
    <m/>
    <m/>
    <m/>
    <m/>
    <m/>
    <m/>
    <m/>
  </r>
  <r>
    <x v="12"/>
    <x v="177"/>
    <n v="252"/>
    <n v="5601"/>
    <n v="2"/>
    <n v="68"/>
    <m/>
    <m/>
    <m/>
    <m/>
    <m/>
    <m/>
    <m/>
  </r>
  <r>
    <x v="13"/>
    <x v="177"/>
    <n v="-1"/>
    <n v="58"/>
    <m/>
    <n v="2"/>
    <m/>
    <m/>
    <m/>
    <m/>
    <m/>
    <m/>
    <m/>
  </r>
  <r>
    <x v="14"/>
    <x v="177"/>
    <n v="122"/>
    <n v="2669"/>
    <n v="3"/>
    <n v="17"/>
    <m/>
    <m/>
    <m/>
    <m/>
    <m/>
    <m/>
    <m/>
  </r>
  <r>
    <x v="15"/>
    <x v="177"/>
    <n v="268"/>
    <n v="5441"/>
    <n v="8"/>
    <n v="75"/>
    <m/>
    <m/>
    <m/>
    <m/>
    <m/>
    <m/>
    <m/>
  </r>
  <r>
    <x v="16"/>
    <x v="177"/>
    <n v="179"/>
    <n v="2464"/>
    <n v="1"/>
    <n v="38"/>
    <m/>
    <m/>
    <m/>
    <m/>
    <m/>
    <m/>
    <m/>
  </r>
  <r>
    <x v="17"/>
    <x v="177"/>
    <n v="36"/>
    <n v="182"/>
    <m/>
    <n v="0"/>
    <m/>
    <m/>
    <m/>
    <m/>
    <m/>
    <m/>
    <m/>
  </r>
  <r>
    <x v="18"/>
    <x v="177"/>
    <n v="7"/>
    <n v="51"/>
    <m/>
    <n v="0"/>
    <m/>
    <m/>
    <m/>
    <m/>
    <m/>
    <m/>
    <m/>
  </r>
  <r>
    <x v="19"/>
    <x v="177"/>
    <n v="51"/>
    <n v="1530"/>
    <m/>
    <n v="11"/>
    <m/>
    <m/>
    <m/>
    <m/>
    <m/>
    <m/>
    <m/>
  </r>
  <r>
    <x v="20"/>
    <x v="177"/>
    <n v="471"/>
    <n v="6234"/>
    <n v="4"/>
    <n v="72"/>
    <m/>
    <m/>
    <m/>
    <m/>
    <m/>
    <m/>
    <m/>
  </r>
  <r>
    <x v="21"/>
    <x v="177"/>
    <n v="53"/>
    <n v="745"/>
    <m/>
    <n v="6"/>
    <m/>
    <m/>
    <m/>
    <m/>
    <m/>
    <m/>
    <m/>
  </r>
  <r>
    <x v="22"/>
    <x v="177"/>
    <n v="25"/>
    <n v="1879"/>
    <m/>
    <n v="24"/>
    <m/>
    <m/>
    <m/>
    <m/>
    <m/>
    <m/>
    <m/>
  </r>
  <r>
    <x v="23"/>
    <x v="177"/>
    <n v="120"/>
    <n v="1469"/>
    <n v="1"/>
    <n v="8"/>
    <m/>
    <m/>
    <m/>
    <m/>
    <m/>
    <m/>
    <m/>
  </r>
  <r>
    <x v="0"/>
    <x v="178"/>
    <n v="7486"/>
    <n v="244220"/>
    <n v="144"/>
    <n v="4955"/>
    <m/>
    <m/>
    <m/>
    <m/>
    <m/>
    <m/>
    <m/>
  </r>
  <r>
    <x v="4"/>
    <x v="178"/>
    <n v="1430"/>
    <n v="91787"/>
    <n v="35"/>
    <n v="2142"/>
    <m/>
    <m/>
    <m/>
    <m/>
    <m/>
    <m/>
    <m/>
  </r>
  <r>
    <x v="1"/>
    <x v="178"/>
    <n v="1"/>
    <n v="65"/>
    <m/>
    <n v="0"/>
    <m/>
    <m/>
    <m/>
    <m/>
    <m/>
    <m/>
    <m/>
  </r>
  <r>
    <x v="2"/>
    <x v="178"/>
    <n v="79"/>
    <n v="5183"/>
    <n v="2"/>
    <n v="205"/>
    <m/>
    <m/>
    <m/>
    <m/>
    <m/>
    <m/>
    <m/>
  </r>
  <r>
    <x v="3"/>
    <x v="178"/>
    <n v="66"/>
    <n v="765"/>
    <m/>
    <n v="7"/>
    <m/>
    <m/>
    <m/>
    <m/>
    <m/>
    <m/>
    <m/>
  </r>
  <r>
    <x v="5"/>
    <x v="178"/>
    <n v="375"/>
    <n v="7505"/>
    <n v="2"/>
    <n v="111"/>
    <m/>
    <m/>
    <m/>
    <m/>
    <m/>
    <m/>
    <m/>
  </r>
  <r>
    <x v="6"/>
    <x v="178"/>
    <n v="35"/>
    <n v="313"/>
    <m/>
    <n v="5"/>
    <m/>
    <m/>
    <m/>
    <m/>
    <m/>
    <m/>
    <m/>
  </r>
  <r>
    <x v="7"/>
    <x v="178"/>
    <n v="155"/>
    <n v="2936"/>
    <n v="4"/>
    <n v="38"/>
    <m/>
    <m/>
    <m/>
    <m/>
    <m/>
    <m/>
    <m/>
  </r>
  <r>
    <x v="8"/>
    <x v="178"/>
    <n v="2"/>
    <n v="84"/>
    <m/>
    <n v="1"/>
    <m/>
    <m/>
    <m/>
    <m/>
    <m/>
    <m/>
    <m/>
  </r>
  <r>
    <x v="9"/>
    <x v="178"/>
    <n v="347"/>
    <n v="7621"/>
    <n v="11"/>
    <n v="196"/>
    <m/>
    <m/>
    <m/>
    <m/>
    <m/>
    <m/>
    <m/>
  </r>
  <r>
    <x v="10"/>
    <x v="178"/>
    <n v="0"/>
    <n v="194"/>
    <m/>
    <n v="2"/>
    <m/>
    <m/>
    <m/>
    <m/>
    <m/>
    <m/>
    <m/>
  </r>
  <r>
    <x v="11"/>
    <x v="178"/>
    <n v="60"/>
    <n v="1332"/>
    <m/>
    <n v="31"/>
    <m/>
    <m/>
    <m/>
    <m/>
    <m/>
    <m/>
    <m/>
  </r>
  <r>
    <x v="12"/>
    <x v="178"/>
    <n v="342"/>
    <n v="5943"/>
    <n v="3"/>
    <n v="71"/>
    <m/>
    <m/>
    <m/>
    <m/>
    <m/>
    <m/>
    <m/>
  </r>
  <r>
    <x v="13"/>
    <x v="178"/>
    <n v="1"/>
    <n v="59"/>
    <m/>
    <n v="2"/>
    <m/>
    <m/>
    <m/>
    <m/>
    <m/>
    <m/>
    <m/>
  </r>
  <r>
    <x v="14"/>
    <x v="178"/>
    <n v="99"/>
    <n v="2768"/>
    <n v="3"/>
    <n v="20"/>
    <m/>
    <m/>
    <m/>
    <m/>
    <m/>
    <m/>
    <m/>
  </r>
  <r>
    <x v="15"/>
    <x v="178"/>
    <n v="150"/>
    <n v="5591"/>
    <n v="4"/>
    <n v="79"/>
    <m/>
    <m/>
    <m/>
    <m/>
    <m/>
    <m/>
    <m/>
  </r>
  <r>
    <x v="16"/>
    <x v="178"/>
    <n v="265"/>
    <n v="2729"/>
    <n v="1"/>
    <n v="39"/>
    <m/>
    <m/>
    <m/>
    <m/>
    <m/>
    <m/>
    <m/>
  </r>
  <r>
    <x v="17"/>
    <x v="178"/>
    <n v="11"/>
    <n v="193"/>
    <m/>
    <n v="0"/>
    <m/>
    <m/>
    <m/>
    <m/>
    <m/>
    <m/>
    <m/>
  </r>
  <r>
    <x v="18"/>
    <x v="178"/>
    <n v="10"/>
    <n v="61"/>
    <m/>
    <n v="0"/>
    <m/>
    <m/>
    <m/>
    <m/>
    <m/>
    <m/>
    <m/>
  </r>
  <r>
    <x v="19"/>
    <x v="178"/>
    <n v="88"/>
    <n v="1618"/>
    <n v="2"/>
    <n v="13"/>
    <m/>
    <m/>
    <m/>
    <m/>
    <m/>
    <m/>
    <m/>
  </r>
  <r>
    <x v="20"/>
    <x v="178"/>
    <n v="507"/>
    <n v="6741"/>
    <n v="4"/>
    <n v="76"/>
    <m/>
    <m/>
    <m/>
    <m/>
    <m/>
    <m/>
    <m/>
  </r>
  <r>
    <x v="21"/>
    <x v="178"/>
    <n v="44"/>
    <n v="789"/>
    <m/>
    <n v="6"/>
    <m/>
    <m/>
    <m/>
    <m/>
    <m/>
    <m/>
    <m/>
  </r>
  <r>
    <x v="22"/>
    <x v="178"/>
    <n v="29"/>
    <n v="1908"/>
    <n v="2"/>
    <n v="26"/>
    <m/>
    <m/>
    <m/>
    <m/>
    <m/>
    <m/>
    <m/>
  </r>
  <r>
    <x v="23"/>
    <x v="178"/>
    <n v="135"/>
    <n v="1604"/>
    <n v="5"/>
    <n v="13"/>
    <m/>
    <m/>
    <m/>
    <m/>
    <m/>
    <m/>
    <m/>
  </r>
  <r>
    <x v="0"/>
    <x v="179"/>
    <n v="5545"/>
    <n v="249765"/>
    <n v="41"/>
    <n v="4996"/>
    <m/>
    <m/>
    <m/>
    <m/>
    <m/>
    <m/>
    <m/>
  </r>
  <r>
    <x v="4"/>
    <x v="179"/>
    <n v="1195"/>
    <n v="92982"/>
    <n v="25"/>
    <n v="2167"/>
    <m/>
    <m/>
    <m/>
    <m/>
    <m/>
    <m/>
    <m/>
  </r>
  <r>
    <x v="1"/>
    <x v="179"/>
    <n v="0"/>
    <n v="65"/>
    <m/>
    <n v="0"/>
    <m/>
    <m/>
    <m/>
    <m/>
    <m/>
    <m/>
    <m/>
  </r>
  <r>
    <x v="2"/>
    <x v="179"/>
    <n v="98"/>
    <n v="5281"/>
    <n v="2"/>
    <n v="207"/>
    <m/>
    <m/>
    <m/>
    <m/>
    <m/>
    <m/>
    <m/>
  </r>
  <r>
    <x v="3"/>
    <x v="179"/>
    <n v="43"/>
    <n v="808"/>
    <m/>
    <n v="7"/>
    <m/>
    <m/>
    <m/>
    <m/>
    <m/>
    <m/>
    <m/>
  </r>
  <r>
    <x v="5"/>
    <x v="179"/>
    <n v="337"/>
    <n v="7842"/>
    <n v="6"/>
    <n v="117"/>
    <m/>
    <m/>
    <m/>
    <m/>
    <m/>
    <m/>
    <m/>
  </r>
  <r>
    <x v="6"/>
    <x v="179"/>
    <n v="8"/>
    <n v="321"/>
    <m/>
    <n v="5"/>
    <m/>
    <m/>
    <m/>
    <m/>
    <m/>
    <m/>
    <m/>
  </r>
  <r>
    <x v="7"/>
    <x v="179"/>
    <n v="125"/>
    <n v="3061"/>
    <m/>
    <n v="38"/>
    <m/>
    <m/>
    <m/>
    <m/>
    <m/>
    <m/>
    <m/>
  </r>
  <r>
    <x v="8"/>
    <x v="179"/>
    <n v="0"/>
    <n v="84"/>
    <m/>
    <n v="1"/>
    <m/>
    <m/>
    <m/>
    <m/>
    <m/>
    <m/>
    <m/>
  </r>
  <r>
    <x v="9"/>
    <x v="179"/>
    <n v="321"/>
    <n v="7942"/>
    <m/>
    <n v="196"/>
    <m/>
    <m/>
    <m/>
    <m/>
    <m/>
    <m/>
    <m/>
  </r>
  <r>
    <x v="10"/>
    <x v="179"/>
    <n v="6"/>
    <n v="200"/>
    <m/>
    <n v="2"/>
    <m/>
    <m/>
    <m/>
    <m/>
    <m/>
    <m/>
    <m/>
  </r>
  <r>
    <x v="11"/>
    <x v="179"/>
    <n v="28"/>
    <n v="1360"/>
    <m/>
    <n v="31"/>
    <m/>
    <m/>
    <m/>
    <m/>
    <m/>
    <m/>
    <m/>
  </r>
  <r>
    <x v="12"/>
    <x v="179"/>
    <n v="290"/>
    <n v="6233"/>
    <m/>
    <n v="71"/>
    <m/>
    <m/>
    <m/>
    <m/>
    <m/>
    <m/>
    <m/>
  </r>
  <r>
    <x v="13"/>
    <x v="179"/>
    <n v="1"/>
    <n v="60"/>
    <m/>
    <n v="2"/>
    <m/>
    <m/>
    <m/>
    <m/>
    <m/>
    <m/>
    <m/>
  </r>
  <r>
    <x v="14"/>
    <x v="179"/>
    <n v="77"/>
    <n v="2845"/>
    <m/>
    <n v="20"/>
    <m/>
    <m/>
    <m/>
    <m/>
    <m/>
    <m/>
    <m/>
  </r>
  <r>
    <x v="15"/>
    <x v="179"/>
    <n v="188"/>
    <n v="5779"/>
    <n v="2"/>
    <n v="81"/>
    <m/>
    <m/>
    <m/>
    <m/>
    <m/>
    <m/>
    <m/>
  </r>
  <r>
    <x v="16"/>
    <x v="179"/>
    <n v="182"/>
    <n v="2911"/>
    <m/>
    <n v="39"/>
    <m/>
    <m/>
    <m/>
    <m/>
    <m/>
    <m/>
    <m/>
  </r>
  <r>
    <x v="17"/>
    <x v="179"/>
    <n v="13"/>
    <n v="206"/>
    <m/>
    <n v="0"/>
    <m/>
    <m/>
    <m/>
    <m/>
    <m/>
    <m/>
    <m/>
  </r>
  <r>
    <x v="18"/>
    <x v="179"/>
    <n v="25"/>
    <n v="86"/>
    <m/>
    <n v="0"/>
    <m/>
    <m/>
    <m/>
    <m/>
    <m/>
    <m/>
    <m/>
  </r>
  <r>
    <x v="19"/>
    <x v="179"/>
    <n v="32"/>
    <n v="1650"/>
    <m/>
    <n v="13"/>
    <m/>
    <m/>
    <m/>
    <m/>
    <m/>
    <m/>
    <m/>
  </r>
  <r>
    <x v="20"/>
    <x v="179"/>
    <n v="406"/>
    <n v="7147"/>
    <n v="1"/>
    <n v="77"/>
    <m/>
    <m/>
    <m/>
    <m/>
    <m/>
    <m/>
    <m/>
  </r>
  <r>
    <x v="21"/>
    <x v="179"/>
    <n v="52"/>
    <n v="841"/>
    <n v="3"/>
    <n v="9"/>
    <m/>
    <m/>
    <m/>
    <m/>
    <m/>
    <m/>
    <m/>
  </r>
  <r>
    <x v="22"/>
    <x v="179"/>
    <n v="35"/>
    <n v="1943"/>
    <n v="2"/>
    <n v="28"/>
    <m/>
    <m/>
    <m/>
    <m/>
    <m/>
    <m/>
    <m/>
  </r>
  <r>
    <x v="23"/>
    <x v="179"/>
    <n v="223"/>
    <n v="1827"/>
    <m/>
    <n v="13"/>
    <m/>
    <m/>
    <m/>
    <m/>
    <m/>
    <m/>
    <m/>
  </r>
  <r>
    <x v="0"/>
    <x v="180"/>
    <n v="3887"/>
    <n v="253652"/>
    <n v="37"/>
    <n v="5033"/>
    <m/>
    <m/>
    <m/>
    <m/>
    <m/>
    <m/>
    <m/>
  </r>
  <r>
    <x v="4"/>
    <x v="180"/>
    <n v="1235"/>
    <n v="94217"/>
    <n v="27"/>
    <n v="2194"/>
    <m/>
    <m/>
    <m/>
    <m/>
    <m/>
    <m/>
    <m/>
  </r>
  <r>
    <x v="1"/>
    <x v="180"/>
    <n v="0"/>
    <n v="65"/>
    <m/>
    <n v="0"/>
    <m/>
    <m/>
    <m/>
    <m/>
    <m/>
    <m/>
    <m/>
  </r>
  <r>
    <x v="2"/>
    <x v="180"/>
    <n v="61"/>
    <n v="5342"/>
    <n v="3"/>
    <n v="210"/>
    <m/>
    <m/>
    <m/>
    <m/>
    <m/>
    <m/>
    <m/>
  </r>
  <r>
    <x v="3"/>
    <x v="180"/>
    <n v="12"/>
    <n v="820"/>
    <m/>
    <n v="7"/>
    <m/>
    <m/>
    <m/>
    <m/>
    <m/>
    <m/>
    <m/>
  </r>
  <r>
    <x v="5"/>
    <x v="180"/>
    <n v="292"/>
    <n v="8134"/>
    <n v="6"/>
    <n v="123"/>
    <m/>
    <m/>
    <m/>
    <m/>
    <m/>
    <m/>
    <m/>
  </r>
  <r>
    <x v="6"/>
    <x v="180"/>
    <n v="-4"/>
    <n v="317"/>
    <m/>
    <n v="5"/>
    <m/>
    <m/>
    <m/>
    <m/>
    <m/>
    <m/>
    <m/>
  </r>
  <r>
    <x v="7"/>
    <x v="180"/>
    <n v="110"/>
    <n v="3171"/>
    <n v="7"/>
    <n v="45"/>
    <m/>
    <m/>
    <m/>
    <m/>
    <m/>
    <m/>
    <m/>
  </r>
  <r>
    <x v="8"/>
    <x v="180"/>
    <n v="-1"/>
    <n v="83"/>
    <m/>
    <n v="1"/>
    <m/>
    <m/>
    <m/>
    <m/>
    <m/>
    <m/>
    <m/>
  </r>
  <r>
    <x v="9"/>
    <x v="180"/>
    <n v="149"/>
    <n v="8091"/>
    <m/>
    <n v="196"/>
    <m/>
    <m/>
    <m/>
    <m/>
    <m/>
    <m/>
    <m/>
  </r>
  <r>
    <x v="10"/>
    <x v="180"/>
    <n v="0"/>
    <n v="200"/>
    <m/>
    <n v="2"/>
    <m/>
    <m/>
    <m/>
    <m/>
    <m/>
    <m/>
    <m/>
  </r>
  <r>
    <x v="11"/>
    <x v="180"/>
    <n v="57"/>
    <n v="1417"/>
    <m/>
    <n v="31"/>
    <m/>
    <m/>
    <m/>
    <m/>
    <m/>
    <m/>
    <m/>
  </r>
  <r>
    <x v="12"/>
    <x v="180"/>
    <n v="316"/>
    <n v="6549"/>
    <n v="4"/>
    <n v="75"/>
    <m/>
    <m/>
    <m/>
    <m/>
    <m/>
    <m/>
    <m/>
  </r>
  <r>
    <x v="13"/>
    <x v="180"/>
    <n v="2"/>
    <n v="62"/>
    <m/>
    <n v="2"/>
    <m/>
    <m/>
    <m/>
    <m/>
    <m/>
    <m/>
    <m/>
  </r>
  <r>
    <x v="14"/>
    <x v="180"/>
    <n v="87"/>
    <n v="2932"/>
    <n v="1"/>
    <n v="21"/>
    <m/>
    <m/>
    <m/>
    <m/>
    <m/>
    <m/>
    <m/>
  </r>
  <r>
    <x v="15"/>
    <x v="180"/>
    <n v="91"/>
    <n v="5870"/>
    <n v="12"/>
    <n v="93"/>
    <m/>
    <m/>
    <m/>
    <m/>
    <m/>
    <m/>
    <m/>
  </r>
  <r>
    <x v="16"/>
    <x v="180"/>
    <n v="250"/>
    <n v="3161"/>
    <n v="2"/>
    <n v="41"/>
    <m/>
    <m/>
    <m/>
    <m/>
    <m/>
    <m/>
    <m/>
  </r>
  <r>
    <x v="17"/>
    <x v="180"/>
    <n v="15"/>
    <n v="221"/>
    <m/>
    <n v="0"/>
    <m/>
    <m/>
    <m/>
    <m/>
    <m/>
    <m/>
    <m/>
  </r>
  <r>
    <x v="18"/>
    <x v="180"/>
    <n v="-1"/>
    <n v="85"/>
    <m/>
    <n v="0"/>
    <m/>
    <m/>
    <m/>
    <m/>
    <m/>
    <m/>
    <m/>
  </r>
  <r>
    <x v="19"/>
    <x v="180"/>
    <n v="84"/>
    <n v="1734"/>
    <m/>
    <n v="13"/>
    <m/>
    <m/>
    <m/>
    <m/>
    <m/>
    <m/>
    <m/>
  </r>
  <r>
    <x v="20"/>
    <x v="180"/>
    <n v="283"/>
    <n v="7430"/>
    <n v="3"/>
    <n v="80"/>
    <m/>
    <m/>
    <m/>
    <m/>
    <m/>
    <m/>
    <m/>
  </r>
  <r>
    <x v="21"/>
    <x v="180"/>
    <n v="57"/>
    <n v="898"/>
    <n v="1"/>
    <n v="10"/>
    <m/>
    <m/>
    <m/>
    <m/>
    <m/>
    <m/>
    <m/>
  </r>
  <r>
    <x v="22"/>
    <x v="180"/>
    <n v="39"/>
    <n v="1982"/>
    <m/>
    <n v="28"/>
    <m/>
    <m/>
    <m/>
    <m/>
    <m/>
    <m/>
    <m/>
  </r>
  <r>
    <x v="23"/>
    <x v="180"/>
    <n v="166"/>
    <n v="1993"/>
    <m/>
    <n v="13"/>
    <m/>
    <m/>
    <m/>
    <m/>
    <m/>
    <m/>
    <m/>
  </r>
  <r>
    <x v="0"/>
    <x v="181"/>
    <n v="5141"/>
    <n v="258793"/>
    <n v="124"/>
    <n v="5157"/>
    <m/>
    <m/>
    <m/>
    <m/>
    <m/>
    <m/>
    <m/>
  </r>
  <r>
    <x v="4"/>
    <x v="181"/>
    <n v="1387"/>
    <n v="95604"/>
    <n v="45"/>
    <n v="2239"/>
    <m/>
    <m/>
    <m/>
    <m/>
    <m/>
    <m/>
    <m/>
  </r>
  <r>
    <x v="1"/>
    <x v="181"/>
    <n v="1"/>
    <n v="66"/>
    <m/>
    <n v="0"/>
    <m/>
    <m/>
    <m/>
    <m/>
    <m/>
    <m/>
    <m/>
  </r>
  <r>
    <x v="2"/>
    <x v="181"/>
    <n v="75"/>
    <n v="5417"/>
    <n v="6"/>
    <n v="216"/>
    <m/>
    <m/>
    <m/>
    <m/>
    <m/>
    <m/>
    <m/>
  </r>
  <r>
    <x v="3"/>
    <x v="181"/>
    <n v="79"/>
    <n v="899"/>
    <m/>
    <n v="7"/>
    <m/>
    <m/>
    <m/>
    <m/>
    <m/>
    <m/>
    <m/>
  </r>
  <r>
    <x v="5"/>
    <x v="181"/>
    <n v="388"/>
    <n v="8522"/>
    <n v="2"/>
    <n v="125"/>
    <m/>
    <m/>
    <m/>
    <m/>
    <m/>
    <m/>
    <m/>
  </r>
  <r>
    <x v="6"/>
    <x v="181"/>
    <n v="-6"/>
    <n v="311"/>
    <m/>
    <n v="5"/>
    <m/>
    <m/>
    <m/>
    <m/>
    <m/>
    <m/>
    <m/>
  </r>
  <r>
    <x v="7"/>
    <x v="181"/>
    <n v="167"/>
    <n v="3338"/>
    <n v="2"/>
    <n v="47"/>
    <m/>
    <m/>
    <m/>
    <m/>
    <m/>
    <m/>
    <m/>
  </r>
  <r>
    <x v="8"/>
    <x v="181"/>
    <n v="1"/>
    <n v="84"/>
    <m/>
    <n v="1"/>
    <m/>
    <m/>
    <m/>
    <m/>
    <m/>
    <m/>
    <m/>
  </r>
  <r>
    <x v="9"/>
    <x v="181"/>
    <n v="327"/>
    <n v="8418"/>
    <m/>
    <n v="196"/>
    <m/>
    <m/>
    <m/>
    <m/>
    <m/>
    <m/>
    <m/>
  </r>
  <r>
    <x v="10"/>
    <x v="181"/>
    <n v="4"/>
    <n v="204"/>
    <m/>
    <n v="2"/>
    <m/>
    <m/>
    <m/>
    <m/>
    <m/>
    <m/>
    <m/>
  </r>
  <r>
    <x v="11"/>
    <x v="181"/>
    <n v="171"/>
    <n v="1588"/>
    <m/>
    <n v="31"/>
    <m/>
    <m/>
    <m/>
    <m/>
    <m/>
    <m/>
    <m/>
  </r>
  <r>
    <x v="12"/>
    <x v="181"/>
    <n v="281"/>
    <n v="6830"/>
    <n v="3"/>
    <n v="78"/>
    <m/>
    <m/>
    <m/>
    <m/>
    <m/>
    <m/>
    <m/>
  </r>
  <r>
    <x v="13"/>
    <x v="181"/>
    <n v="0"/>
    <n v="62"/>
    <m/>
    <n v="2"/>
    <m/>
    <m/>
    <m/>
    <m/>
    <m/>
    <m/>
    <m/>
  </r>
  <r>
    <x v="14"/>
    <x v="181"/>
    <n v="104"/>
    <n v="3036"/>
    <n v="2"/>
    <n v="23"/>
    <m/>
    <m/>
    <m/>
    <m/>
    <m/>
    <m/>
    <m/>
  </r>
  <r>
    <x v="15"/>
    <x v="181"/>
    <n v="126"/>
    <n v="5996"/>
    <n v="2"/>
    <n v="95"/>
    <m/>
    <m/>
    <m/>
    <m/>
    <m/>
    <m/>
    <m/>
  </r>
  <r>
    <x v="16"/>
    <x v="181"/>
    <n v="159"/>
    <n v="3320"/>
    <n v="4"/>
    <n v="45"/>
    <m/>
    <m/>
    <m/>
    <m/>
    <m/>
    <m/>
    <m/>
  </r>
  <r>
    <x v="17"/>
    <x v="181"/>
    <n v="2"/>
    <n v="223"/>
    <m/>
    <n v="0"/>
    <m/>
    <m/>
    <m/>
    <m/>
    <m/>
    <m/>
    <m/>
  </r>
  <r>
    <x v="18"/>
    <x v="181"/>
    <n v="62"/>
    <n v="147"/>
    <m/>
    <n v="0"/>
    <m/>
    <m/>
    <m/>
    <m/>
    <m/>
    <m/>
    <m/>
  </r>
  <r>
    <x v="19"/>
    <x v="181"/>
    <n v="37"/>
    <n v="1771"/>
    <m/>
    <n v="13"/>
    <m/>
    <m/>
    <m/>
    <m/>
    <m/>
    <m/>
    <m/>
  </r>
  <r>
    <x v="20"/>
    <x v="181"/>
    <n v="475"/>
    <n v="7905"/>
    <n v="10"/>
    <n v="90"/>
    <m/>
    <m/>
    <m/>
    <m/>
    <m/>
    <m/>
    <m/>
  </r>
  <r>
    <x v="21"/>
    <x v="181"/>
    <n v="40"/>
    <n v="938"/>
    <n v="1"/>
    <n v="11"/>
    <m/>
    <m/>
    <m/>
    <m/>
    <m/>
    <m/>
    <m/>
  </r>
  <r>
    <x v="22"/>
    <x v="181"/>
    <n v="38"/>
    <n v="2020"/>
    <n v="1"/>
    <n v="29"/>
    <m/>
    <m/>
    <m/>
    <m/>
    <m/>
    <m/>
    <m/>
  </r>
  <r>
    <x v="23"/>
    <x v="181"/>
    <n v="250"/>
    <n v="2243"/>
    <n v="1"/>
    <n v="14"/>
    <m/>
    <m/>
    <m/>
    <m/>
    <m/>
    <m/>
    <m/>
  </r>
  <r>
    <x v="0"/>
    <x v="182"/>
    <n v="6157"/>
    <n v="264950"/>
    <n v="176"/>
    <n v="5333"/>
    <m/>
    <m/>
    <m/>
    <m/>
    <m/>
    <m/>
    <m/>
  </r>
  <r>
    <x v="4"/>
    <x v="182"/>
    <n v="1395"/>
    <n v="96999"/>
    <n v="53"/>
    <n v="2292"/>
    <m/>
    <m/>
    <m/>
    <m/>
    <m/>
    <m/>
    <m/>
  </r>
  <r>
    <x v="1"/>
    <x v="182"/>
    <n v="1"/>
    <n v="67"/>
    <m/>
    <n v="0"/>
    <m/>
    <m/>
    <m/>
    <m/>
    <m/>
    <m/>
    <m/>
  </r>
  <r>
    <x v="2"/>
    <x v="182"/>
    <n v="75"/>
    <n v="5492"/>
    <m/>
    <n v="216"/>
    <m/>
    <m/>
    <m/>
    <m/>
    <m/>
    <m/>
    <m/>
  </r>
  <r>
    <x v="3"/>
    <x v="182"/>
    <n v="56"/>
    <n v="955"/>
    <m/>
    <n v="7"/>
    <m/>
    <m/>
    <m/>
    <m/>
    <m/>
    <m/>
    <m/>
  </r>
  <r>
    <x v="5"/>
    <x v="182"/>
    <n v="392"/>
    <n v="8914"/>
    <n v="2"/>
    <n v="127"/>
    <m/>
    <m/>
    <m/>
    <m/>
    <m/>
    <m/>
    <m/>
  </r>
  <r>
    <x v="6"/>
    <x v="182"/>
    <n v="3"/>
    <n v="314"/>
    <m/>
    <n v="5"/>
    <m/>
    <m/>
    <m/>
    <m/>
    <m/>
    <m/>
    <m/>
  </r>
  <r>
    <x v="7"/>
    <x v="182"/>
    <n v="312"/>
    <n v="3650"/>
    <n v="2"/>
    <n v="49"/>
    <m/>
    <m/>
    <m/>
    <m/>
    <m/>
    <m/>
    <m/>
  </r>
  <r>
    <x v="8"/>
    <x v="182"/>
    <n v="-1"/>
    <n v="83"/>
    <m/>
    <n v="1"/>
    <m/>
    <m/>
    <m/>
    <m/>
    <m/>
    <m/>
    <m/>
  </r>
  <r>
    <x v="9"/>
    <x v="182"/>
    <n v="124"/>
    <n v="8542"/>
    <m/>
    <n v="196"/>
    <m/>
    <m/>
    <m/>
    <m/>
    <m/>
    <m/>
    <m/>
  </r>
  <r>
    <x v="10"/>
    <x v="182"/>
    <n v="8"/>
    <n v="212"/>
    <n v="1"/>
    <n v="3"/>
    <m/>
    <m/>
    <m/>
    <m/>
    <m/>
    <m/>
    <m/>
  </r>
  <r>
    <x v="11"/>
    <x v="182"/>
    <n v="40"/>
    <n v="1628"/>
    <n v="8"/>
    <n v="39"/>
    <m/>
    <m/>
    <m/>
    <m/>
    <m/>
    <m/>
    <m/>
  </r>
  <r>
    <x v="12"/>
    <x v="182"/>
    <n v="361"/>
    <n v="7191"/>
    <n v="3"/>
    <n v="81"/>
    <m/>
    <m/>
    <m/>
    <m/>
    <m/>
    <m/>
    <m/>
  </r>
  <r>
    <x v="13"/>
    <x v="182"/>
    <n v="4"/>
    <n v="66"/>
    <m/>
    <n v="2"/>
    <m/>
    <m/>
    <m/>
    <m/>
    <m/>
    <m/>
    <m/>
  </r>
  <r>
    <x v="14"/>
    <x v="182"/>
    <n v="136"/>
    <n v="3172"/>
    <n v="3"/>
    <n v="26"/>
    <m/>
    <m/>
    <m/>
    <m/>
    <m/>
    <m/>
    <m/>
  </r>
  <r>
    <x v="15"/>
    <x v="182"/>
    <n v="179"/>
    <n v="6175"/>
    <n v="3"/>
    <n v="98"/>
    <m/>
    <m/>
    <m/>
    <m/>
    <m/>
    <m/>
    <m/>
  </r>
  <r>
    <x v="16"/>
    <x v="182"/>
    <n v="183"/>
    <n v="3503"/>
    <m/>
    <n v="45"/>
    <m/>
    <m/>
    <m/>
    <m/>
    <m/>
    <m/>
    <m/>
  </r>
  <r>
    <x v="17"/>
    <x v="182"/>
    <n v="0"/>
    <n v="223"/>
    <m/>
    <n v="0"/>
    <m/>
    <m/>
    <m/>
    <m/>
    <m/>
    <m/>
    <m/>
  </r>
  <r>
    <x v="18"/>
    <x v="182"/>
    <n v="9"/>
    <n v="156"/>
    <m/>
    <n v="0"/>
    <m/>
    <m/>
    <m/>
    <m/>
    <m/>
    <m/>
    <m/>
  </r>
  <r>
    <x v="19"/>
    <x v="182"/>
    <n v="37"/>
    <n v="1808"/>
    <n v="1"/>
    <n v="14"/>
    <m/>
    <m/>
    <m/>
    <m/>
    <m/>
    <m/>
    <m/>
  </r>
  <r>
    <x v="20"/>
    <x v="182"/>
    <n v="677"/>
    <n v="8582"/>
    <n v="5"/>
    <n v="95"/>
    <m/>
    <m/>
    <m/>
    <m/>
    <m/>
    <m/>
    <m/>
  </r>
  <r>
    <x v="21"/>
    <x v="182"/>
    <n v="38"/>
    <n v="976"/>
    <n v="2"/>
    <n v="13"/>
    <m/>
    <m/>
    <m/>
    <m/>
    <m/>
    <m/>
    <m/>
  </r>
  <r>
    <x v="22"/>
    <x v="182"/>
    <n v="82"/>
    <n v="2102"/>
    <m/>
    <n v="29"/>
    <m/>
    <m/>
    <m/>
    <m/>
    <m/>
    <m/>
    <m/>
  </r>
  <r>
    <x v="23"/>
    <x v="182"/>
    <n v="236"/>
    <n v="2479"/>
    <m/>
    <n v="14"/>
    <m/>
    <m/>
    <m/>
    <m/>
    <m/>
    <m/>
    <m/>
  </r>
  <r>
    <x v="0"/>
    <x v="183"/>
    <n v="6235"/>
    <n v="271185"/>
    <n v="109"/>
    <n v="5442"/>
    <m/>
    <m/>
    <m/>
    <m/>
    <m/>
    <m/>
    <m/>
  </r>
  <r>
    <x v="4"/>
    <x v="183"/>
    <n v="1346"/>
    <n v="98345"/>
    <n v="47"/>
    <n v="2339"/>
    <m/>
    <m/>
    <m/>
    <m/>
    <m/>
    <m/>
    <m/>
  </r>
  <r>
    <x v="1"/>
    <x v="183"/>
    <n v="0"/>
    <n v="67"/>
    <m/>
    <n v="0"/>
    <m/>
    <m/>
    <m/>
    <m/>
    <m/>
    <m/>
    <m/>
  </r>
  <r>
    <x v="2"/>
    <x v="183"/>
    <n v="84"/>
    <n v="5576"/>
    <m/>
    <n v="216"/>
    <m/>
    <m/>
    <m/>
    <m/>
    <m/>
    <m/>
    <m/>
  </r>
  <r>
    <x v="3"/>
    <x v="183"/>
    <n v="28"/>
    <n v="983"/>
    <m/>
    <n v="7"/>
    <m/>
    <m/>
    <m/>
    <m/>
    <m/>
    <m/>
    <m/>
  </r>
  <r>
    <x v="5"/>
    <x v="183"/>
    <n v="480"/>
    <n v="9394"/>
    <n v="5"/>
    <n v="132"/>
    <m/>
    <m/>
    <m/>
    <m/>
    <m/>
    <m/>
    <m/>
  </r>
  <r>
    <x v="6"/>
    <x v="183"/>
    <n v="7"/>
    <n v="321"/>
    <m/>
    <n v="5"/>
    <m/>
    <m/>
    <m/>
    <m/>
    <m/>
    <m/>
    <m/>
  </r>
  <r>
    <x v="7"/>
    <x v="183"/>
    <n v="188"/>
    <n v="3838"/>
    <n v="5"/>
    <n v="54"/>
    <m/>
    <m/>
    <m/>
    <m/>
    <m/>
    <m/>
    <m/>
  </r>
  <r>
    <x v="8"/>
    <x v="183"/>
    <n v="1"/>
    <n v="84"/>
    <m/>
    <n v="1"/>
    <m/>
    <m/>
    <m/>
    <m/>
    <m/>
    <m/>
    <m/>
  </r>
  <r>
    <x v="9"/>
    <x v="183"/>
    <n v="318"/>
    <n v="8860"/>
    <n v="11"/>
    <n v="207"/>
    <m/>
    <m/>
    <m/>
    <m/>
    <m/>
    <m/>
    <m/>
  </r>
  <r>
    <x v="10"/>
    <x v="183"/>
    <n v="1"/>
    <n v="213"/>
    <m/>
    <n v="3"/>
    <m/>
    <m/>
    <m/>
    <m/>
    <m/>
    <m/>
    <m/>
  </r>
  <r>
    <x v="11"/>
    <x v="183"/>
    <n v="67"/>
    <n v="1695"/>
    <m/>
    <n v="39"/>
    <m/>
    <m/>
    <m/>
    <m/>
    <m/>
    <m/>
    <m/>
  </r>
  <r>
    <x v="12"/>
    <x v="183"/>
    <n v="413"/>
    <n v="7604"/>
    <n v="4"/>
    <n v="85"/>
    <m/>
    <m/>
    <m/>
    <m/>
    <m/>
    <m/>
    <m/>
  </r>
  <r>
    <x v="13"/>
    <x v="183"/>
    <n v="-2"/>
    <n v="64"/>
    <m/>
    <n v="2"/>
    <m/>
    <m/>
    <m/>
    <m/>
    <m/>
    <m/>
    <m/>
  </r>
  <r>
    <x v="14"/>
    <x v="183"/>
    <n v="91"/>
    <n v="3263"/>
    <m/>
    <n v="26"/>
    <m/>
    <m/>
    <m/>
    <m/>
    <m/>
    <m/>
    <m/>
  </r>
  <r>
    <x v="15"/>
    <x v="183"/>
    <n v="173"/>
    <n v="6348"/>
    <n v="7"/>
    <n v="105"/>
    <m/>
    <m/>
    <m/>
    <m/>
    <m/>
    <m/>
    <m/>
  </r>
  <r>
    <x v="16"/>
    <x v="183"/>
    <n v="184"/>
    <n v="3687"/>
    <n v="1"/>
    <n v="46"/>
    <m/>
    <m/>
    <m/>
    <m/>
    <m/>
    <m/>
    <m/>
  </r>
  <r>
    <x v="17"/>
    <x v="183"/>
    <n v="32"/>
    <n v="255"/>
    <m/>
    <n v="0"/>
    <m/>
    <m/>
    <m/>
    <m/>
    <m/>
    <m/>
    <m/>
  </r>
  <r>
    <x v="18"/>
    <x v="183"/>
    <n v="21"/>
    <n v="177"/>
    <m/>
    <n v="0"/>
    <m/>
    <m/>
    <m/>
    <m/>
    <m/>
    <m/>
    <m/>
  </r>
  <r>
    <x v="19"/>
    <x v="183"/>
    <n v="107"/>
    <n v="1915"/>
    <n v="1"/>
    <n v="15"/>
    <m/>
    <m/>
    <m/>
    <m/>
    <m/>
    <m/>
    <m/>
  </r>
  <r>
    <x v="20"/>
    <x v="183"/>
    <n v="747"/>
    <n v="9329"/>
    <n v="6"/>
    <n v="101"/>
    <m/>
    <m/>
    <m/>
    <m/>
    <m/>
    <m/>
    <m/>
  </r>
  <r>
    <x v="21"/>
    <x v="183"/>
    <n v="55"/>
    <n v="1031"/>
    <m/>
    <n v="13"/>
    <m/>
    <m/>
    <m/>
    <m/>
    <m/>
    <m/>
    <m/>
  </r>
  <r>
    <x v="22"/>
    <x v="183"/>
    <n v="33"/>
    <n v="2135"/>
    <n v="2"/>
    <n v="31"/>
    <m/>
    <m/>
    <m/>
    <m/>
    <m/>
    <m/>
    <m/>
  </r>
  <r>
    <x v="23"/>
    <x v="183"/>
    <n v="324"/>
    <n v="2803"/>
    <m/>
    <n v="14"/>
    <m/>
    <m/>
    <m/>
    <m/>
    <m/>
    <m/>
    <m/>
  </r>
  <r>
    <x v="0"/>
    <x v="184"/>
    <n v="6990"/>
    <n v="278175"/>
    <n v="182"/>
    <n v="5624"/>
    <m/>
    <m/>
    <m/>
    <m/>
    <m/>
    <m/>
    <m/>
  </r>
  <r>
    <x v="4"/>
    <x v="184"/>
    <n v="1411"/>
    <n v="99756"/>
    <n v="31"/>
    <n v="2370"/>
    <m/>
    <m/>
    <m/>
    <m/>
    <m/>
    <m/>
    <m/>
  </r>
  <r>
    <x v="1"/>
    <x v="184"/>
    <n v="3"/>
    <n v="70"/>
    <m/>
    <n v="0"/>
    <m/>
    <m/>
    <m/>
    <m/>
    <m/>
    <m/>
    <m/>
  </r>
  <r>
    <x v="2"/>
    <x v="184"/>
    <n v="106"/>
    <n v="5682"/>
    <n v="3"/>
    <n v="219"/>
    <m/>
    <m/>
    <m/>
    <m/>
    <m/>
    <m/>
    <m/>
  </r>
  <r>
    <x v="3"/>
    <x v="184"/>
    <n v="79"/>
    <n v="1062"/>
    <m/>
    <n v="7"/>
    <m/>
    <m/>
    <m/>
    <m/>
    <m/>
    <m/>
    <m/>
  </r>
  <r>
    <x v="5"/>
    <x v="184"/>
    <n v="449"/>
    <n v="9843"/>
    <n v="7"/>
    <n v="139"/>
    <m/>
    <m/>
    <m/>
    <m/>
    <m/>
    <m/>
    <m/>
  </r>
  <r>
    <x v="6"/>
    <x v="184"/>
    <n v="9"/>
    <n v="330"/>
    <m/>
    <n v="5"/>
    <m/>
    <m/>
    <m/>
    <m/>
    <m/>
    <m/>
    <m/>
  </r>
  <r>
    <x v="7"/>
    <x v="184"/>
    <n v="109"/>
    <n v="3947"/>
    <m/>
    <n v="54"/>
    <m/>
    <m/>
    <m/>
    <m/>
    <m/>
    <m/>
    <m/>
  </r>
  <r>
    <x v="8"/>
    <x v="184"/>
    <n v="4"/>
    <n v="88"/>
    <m/>
    <n v="1"/>
    <m/>
    <m/>
    <m/>
    <m/>
    <m/>
    <m/>
    <m/>
  </r>
  <r>
    <x v="9"/>
    <x v="184"/>
    <n v="357"/>
    <n v="9217"/>
    <n v="3"/>
    <n v="210"/>
    <m/>
    <m/>
    <m/>
    <m/>
    <m/>
    <m/>
    <m/>
  </r>
  <r>
    <x v="10"/>
    <x v="184"/>
    <n v="1"/>
    <n v="214"/>
    <n v="1"/>
    <n v="4"/>
    <m/>
    <m/>
    <m/>
    <m/>
    <m/>
    <m/>
    <m/>
  </r>
  <r>
    <x v="11"/>
    <x v="184"/>
    <n v="93"/>
    <n v="1788"/>
    <m/>
    <n v="39"/>
    <m/>
    <m/>
    <m/>
    <m/>
    <m/>
    <m/>
    <m/>
  </r>
  <r>
    <x v="12"/>
    <x v="184"/>
    <n v="544"/>
    <n v="8148"/>
    <n v="1"/>
    <n v="86"/>
    <m/>
    <m/>
    <m/>
    <m/>
    <m/>
    <m/>
    <m/>
  </r>
  <r>
    <x v="13"/>
    <x v="184"/>
    <n v="0"/>
    <n v="64"/>
    <m/>
    <n v="2"/>
    <m/>
    <m/>
    <m/>
    <m/>
    <m/>
    <m/>
    <m/>
  </r>
  <r>
    <x v="14"/>
    <x v="184"/>
    <n v="135"/>
    <n v="3398"/>
    <n v="3"/>
    <n v="29"/>
    <m/>
    <m/>
    <m/>
    <m/>
    <m/>
    <m/>
    <m/>
  </r>
  <r>
    <x v="15"/>
    <x v="184"/>
    <n v="158"/>
    <n v="6506"/>
    <n v="6"/>
    <n v="111"/>
    <m/>
    <m/>
    <m/>
    <m/>
    <m/>
    <m/>
    <m/>
  </r>
  <r>
    <x v="16"/>
    <x v="184"/>
    <n v="241"/>
    <n v="3928"/>
    <n v="1"/>
    <n v="47"/>
    <m/>
    <m/>
    <m/>
    <m/>
    <m/>
    <m/>
    <m/>
  </r>
  <r>
    <x v="17"/>
    <x v="184"/>
    <n v="74"/>
    <n v="329"/>
    <m/>
    <n v="0"/>
    <m/>
    <m/>
    <m/>
    <m/>
    <m/>
    <m/>
    <m/>
  </r>
  <r>
    <x v="18"/>
    <x v="184"/>
    <n v="18"/>
    <n v="195"/>
    <m/>
    <n v="0"/>
    <m/>
    <m/>
    <m/>
    <m/>
    <m/>
    <m/>
    <m/>
  </r>
  <r>
    <x v="19"/>
    <x v="184"/>
    <n v="47"/>
    <n v="1962"/>
    <m/>
    <n v="15"/>
    <m/>
    <m/>
    <m/>
    <m/>
    <m/>
    <m/>
    <m/>
  </r>
  <r>
    <x v="20"/>
    <x v="184"/>
    <n v="764"/>
    <n v="10093"/>
    <n v="5"/>
    <n v="106"/>
    <m/>
    <m/>
    <m/>
    <m/>
    <m/>
    <m/>
    <m/>
  </r>
  <r>
    <x v="21"/>
    <x v="184"/>
    <n v="64"/>
    <n v="1095"/>
    <m/>
    <n v="13"/>
    <m/>
    <m/>
    <m/>
    <m/>
    <m/>
    <m/>
    <m/>
  </r>
  <r>
    <x v="22"/>
    <x v="184"/>
    <n v="98"/>
    <n v="2233"/>
    <n v="1"/>
    <n v="32"/>
    <m/>
    <m/>
    <m/>
    <m/>
    <m/>
    <m/>
    <m/>
  </r>
  <r>
    <x v="23"/>
    <x v="184"/>
    <n v="272"/>
    <n v="3075"/>
    <m/>
    <n v="14"/>
    <m/>
    <m/>
    <m/>
    <m/>
    <m/>
    <m/>
    <m/>
  </r>
  <r>
    <x v="0"/>
    <x v="185"/>
    <n v="5682"/>
    <n v="283857"/>
    <n v="175"/>
    <n v="5799"/>
    <m/>
    <m/>
    <m/>
    <m/>
    <m/>
    <m/>
    <m/>
  </r>
  <r>
    <x v="4"/>
    <x v="185"/>
    <n v="1278"/>
    <n v="101034"/>
    <n v="43"/>
    <n v="2413"/>
    <m/>
    <m/>
    <m/>
    <m/>
    <m/>
    <m/>
    <m/>
  </r>
  <r>
    <x v="1"/>
    <x v="185"/>
    <n v="1"/>
    <n v="71"/>
    <m/>
    <n v="0"/>
    <m/>
    <m/>
    <m/>
    <m/>
    <m/>
    <m/>
    <m/>
  </r>
  <r>
    <x v="2"/>
    <x v="185"/>
    <n v="89"/>
    <n v="5771"/>
    <n v="2"/>
    <n v="221"/>
    <m/>
    <m/>
    <m/>
    <m/>
    <m/>
    <m/>
    <m/>
  </r>
  <r>
    <x v="3"/>
    <x v="185"/>
    <n v="39"/>
    <n v="1101"/>
    <m/>
    <n v="7"/>
    <m/>
    <m/>
    <m/>
    <m/>
    <m/>
    <m/>
    <m/>
  </r>
  <r>
    <x v="5"/>
    <x v="185"/>
    <n v="498"/>
    <n v="10341"/>
    <n v="7"/>
    <n v="146"/>
    <m/>
    <m/>
    <m/>
    <m/>
    <m/>
    <m/>
    <m/>
  </r>
  <r>
    <x v="6"/>
    <x v="185"/>
    <n v="3"/>
    <n v="333"/>
    <m/>
    <n v="5"/>
    <m/>
    <m/>
    <m/>
    <m/>
    <m/>
    <m/>
    <m/>
  </r>
  <r>
    <x v="7"/>
    <x v="185"/>
    <n v="166"/>
    <n v="4113"/>
    <n v="1"/>
    <n v="55"/>
    <m/>
    <m/>
    <m/>
    <m/>
    <m/>
    <m/>
    <m/>
  </r>
  <r>
    <x v="8"/>
    <x v="185"/>
    <n v="2"/>
    <n v="90"/>
    <m/>
    <n v="1"/>
    <m/>
    <m/>
    <m/>
    <m/>
    <m/>
    <m/>
    <m/>
  </r>
  <r>
    <x v="9"/>
    <x v="185"/>
    <n v="332"/>
    <n v="9549"/>
    <n v="5"/>
    <n v="215"/>
    <m/>
    <m/>
    <m/>
    <m/>
    <m/>
    <m/>
    <m/>
  </r>
  <r>
    <x v="10"/>
    <x v="185"/>
    <n v="7"/>
    <n v="221"/>
    <m/>
    <n v="4"/>
    <m/>
    <m/>
    <m/>
    <m/>
    <m/>
    <m/>
    <m/>
  </r>
  <r>
    <x v="11"/>
    <x v="185"/>
    <n v="99"/>
    <n v="1887"/>
    <m/>
    <n v="39"/>
    <m/>
    <m/>
    <m/>
    <m/>
    <m/>
    <m/>
    <m/>
  </r>
  <r>
    <x v="12"/>
    <x v="185"/>
    <n v="653"/>
    <n v="8801"/>
    <n v="2"/>
    <n v="88"/>
    <m/>
    <m/>
    <m/>
    <m/>
    <m/>
    <m/>
    <m/>
  </r>
  <r>
    <x v="13"/>
    <x v="185"/>
    <n v="1"/>
    <n v="65"/>
    <m/>
    <n v="2"/>
    <m/>
    <m/>
    <m/>
    <m/>
    <m/>
    <m/>
    <m/>
  </r>
  <r>
    <x v="14"/>
    <x v="185"/>
    <n v="73"/>
    <n v="3471"/>
    <m/>
    <n v="29"/>
    <m/>
    <m/>
    <m/>
    <m/>
    <m/>
    <m/>
    <m/>
  </r>
  <r>
    <x v="15"/>
    <x v="185"/>
    <n v="262"/>
    <n v="6768"/>
    <n v="7"/>
    <n v="118"/>
    <m/>
    <m/>
    <m/>
    <m/>
    <m/>
    <m/>
    <m/>
  </r>
  <r>
    <x v="16"/>
    <x v="185"/>
    <n v="269"/>
    <n v="4197"/>
    <n v="8"/>
    <n v="55"/>
    <m/>
    <m/>
    <m/>
    <m/>
    <m/>
    <m/>
    <m/>
  </r>
  <r>
    <x v="17"/>
    <x v="185"/>
    <n v="29"/>
    <n v="358"/>
    <m/>
    <n v="0"/>
    <m/>
    <m/>
    <m/>
    <m/>
    <m/>
    <m/>
    <m/>
  </r>
  <r>
    <x v="18"/>
    <x v="185"/>
    <n v="15"/>
    <n v="210"/>
    <m/>
    <n v="0"/>
    <m/>
    <m/>
    <m/>
    <m/>
    <m/>
    <m/>
    <m/>
  </r>
  <r>
    <x v="19"/>
    <x v="185"/>
    <n v="67"/>
    <n v="2029"/>
    <n v="1"/>
    <n v="16"/>
    <m/>
    <m/>
    <m/>
    <m/>
    <m/>
    <m/>
    <m/>
  </r>
  <r>
    <x v="20"/>
    <x v="185"/>
    <n v="713"/>
    <n v="10806"/>
    <n v="7"/>
    <n v="113"/>
    <m/>
    <m/>
    <m/>
    <m/>
    <m/>
    <m/>
    <m/>
  </r>
  <r>
    <x v="21"/>
    <x v="185"/>
    <n v="57"/>
    <n v="1152"/>
    <m/>
    <n v="13"/>
    <m/>
    <m/>
    <m/>
    <m/>
    <m/>
    <m/>
    <m/>
  </r>
  <r>
    <x v="22"/>
    <x v="185"/>
    <n v="39"/>
    <n v="2272"/>
    <n v="3"/>
    <n v="35"/>
    <m/>
    <m/>
    <m/>
    <m/>
    <m/>
    <m/>
    <m/>
  </r>
  <r>
    <x v="23"/>
    <x v="185"/>
    <n v="310"/>
    <n v="3385"/>
    <m/>
    <n v="14"/>
    <m/>
    <m/>
    <m/>
    <m/>
    <m/>
    <m/>
    <m/>
  </r>
  <r>
    <x v="0"/>
    <x v="186"/>
    <n v="5320"/>
    <n v="289177"/>
    <n v="71"/>
    <n v="5870"/>
    <m/>
    <m/>
    <m/>
    <m/>
    <m/>
    <m/>
    <m/>
  </r>
  <r>
    <x v="4"/>
    <x v="186"/>
    <n v="1084"/>
    <n v="102118"/>
    <n v="13"/>
    <n v="2426"/>
    <m/>
    <m/>
    <m/>
    <m/>
    <m/>
    <m/>
    <m/>
  </r>
  <r>
    <x v="1"/>
    <x v="186"/>
    <n v="10"/>
    <n v="81"/>
    <m/>
    <n v="0"/>
    <m/>
    <m/>
    <m/>
    <m/>
    <m/>
    <m/>
    <m/>
  </r>
  <r>
    <x v="2"/>
    <x v="186"/>
    <n v="141"/>
    <n v="5912"/>
    <n v="1"/>
    <n v="222"/>
    <m/>
    <m/>
    <m/>
    <m/>
    <m/>
    <m/>
    <m/>
  </r>
  <r>
    <x v="3"/>
    <x v="186"/>
    <n v="77"/>
    <n v="1178"/>
    <m/>
    <n v="7"/>
    <m/>
    <m/>
    <m/>
    <m/>
    <m/>
    <m/>
    <m/>
  </r>
  <r>
    <x v="5"/>
    <x v="186"/>
    <n v="424"/>
    <n v="10765"/>
    <n v="8"/>
    <n v="154"/>
    <m/>
    <m/>
    <m/>
    <m/>
    <m/>
    <m/>
    <m/>
  </r>
  <r>
    <x v="6"/>
    <x v="186"/>
    <n v="2"/>
    <n v="335"/>
    <m/>
    <n v="5"/>
    <m/>
    <m/>
    <m/>
    <m/>
    <m/>
    <m/>
    <m/>
  </r>
  <r>
    <x v="7"/>
    <x v="186"/>
    <n v="88"/>
    <n v="4201"/>
    <n v="4"/>
    <n v="59"/>
    <m/>
    <m/>
    <m/>
    <m/>
    <m/>
    <m/>
    <m/>
  </r>
  <r>
    <x v="8"/>
    <x v="186"/>
    <n v="-1"/>
    <n v="89"/>
    <m/>
    <n v="1"/>
    <m/>
    <m/>
    <m/>
    <m/>
    <m/>
    <m/>
    <m/>
  </r>
  <r>
    <x v="9"/>
    <x v="186"/>
    <n v="326"/>
    <n v="9875"/>
    <m/>
    <n v="215"/>
    <m/>
    <m/>
    <m/>
    <m/>
    <m/>
    <m/>
    <m/>
  </r>
  <r>
    <x v="10"/>
    <x v="186"/>
    <n v="9"/>
    <n v="230"/>
    <m/>
    <n v="4"/>
    <m/>
    <m/>
    <m/>
    <m/>
    <m/>
    <m/>
    <m/>
  </r>
  <r>
    <x v="11"/>
    <x v="186"/>
    <n v="58"/>
    <n v="1945"/>
    <m/>
    <n v="39"/>
    <m/>
    <m/>
    <m/>
    <m/>
    <m/>
    <m/>
    <m/>
  </r>
  <r>
    <x v="12"/>
    <x v="186"/>
    <n v="483"/>
    <n v="9284"/>
    <n v="1"/>
    <n v="89"/>
    <m/>
    <m/>
    <m/>
    <m/>
    <m/>
    <m/>
    <m/>
  </r>
  <r>
    <x v="13"/>
    <x v="186"/>
    <n v="0"/>
    <n v="65"/>
    <m/>
    <n v="2"/>
    <m/>
    <m/>
    <m/>
    <m/>
    <m/>
    <m/>
    <m/>
  </r>
  <r>
    <x v="14"/>
    <x v="186"/>
    <n v="171"/>
    <n v="3642"/>
    <n v="1"/>
    <n v="30"/>
    <m/>
    <m/>
    <m/>
    <m/>
    <m/>
    <m/>
    <m/>
  </r>
  <r>
    <x v="15"/>
    <x v="186"/>
    <n v="169"/>
    <n v="6937"/>
    <n v="5"/>
    <n v="123"/>
    <m/>
    <m/>
    <m/>
    <m/>
    <m/>
    <m/>
    <m/>
  </r>
  <r>
    <x v="16"/>
    <x v="186"/>
    <n v="279"/>
    <n v="4476"/>
    <n v="1"/>
    <n v="56"/>
    <m/>
    <m/>
    <m/>
    <m/>
    <m/>
    <m/>
    <m/>
  </r>
  <r>
    <x v="17"/>
    <x v="186"/>
    <n v="15"/>
    <n v="373"/>
    <m/>
    <n v="0"/>
    <m/>
    <m/>
    <m/>
    <m/>
    <m/>
    <m/>
    <m/>
  </r>
  <r>
    <x v="18"/>
    <x v="186"/>
    <n v="35"/>
    <n v="245"/>
    <m/>
    <n v="0"/>
    <m/>
    <m/>
    <m/>
    <m/>
    <m/>
    <m/>
    <m/>
  </r>
  <r>
    <x v="19"/>
    <x v="186"/>
    <n v="138"/>
    <n v="2167"/>
    <m/>
    <n v="16"/>
    <m/>
    <m/>
    <m/>
    <m/>
    <m/>
    <m/>
    <m/>
  </r>
  <r>
    <x v="20"/>
    <x v="186"/>
    <n v="698"/>
    <n v="11504"/>
    <n v="6"/>
    <n v="119"/>
    <m/>
    <m/>
    <m/>
    <m/>
    <m/>
    <m/>
    <m/>
  </r>
  <r>
    <x v="21"/>
    <x v="186"/>
    <n v="67"/>
    <n v="1219"/>
    <n v="3"/>
    <n v="16"/>
    <m/>
    <m/>
    <m/>
    <m/>
    <m/>
    <m/>
    <m/>
  </r>
  <r>
    <x v="22"/>
    <x v="186"/>
    <n v="24"/>
    <n v="2296"/>
    <n v="2"/>
    <n v="37"/>
    <m/>
    <m/>
    <m/>
    <m/>
    <m/>
    <m/>
    <m/>
  </r>
  <r>
    <x v="23"/>
    <x v="186"/>
    <n v="307"/>
    <n v="3692"/>
    <n v="1"/>
    <n v="15"/>
    <m/>
    <m/>
    <m/>
    <m/>
    <m/>
    <m/>
    <m/>
  </r>
  <r>
    <x v="0"/>
    <x v="187"/>
    <n v="3269"/>
    <n v="292446"/>
    <n v="68"/>
    <n v="5938"/>
    <m/>
    <m/>
    <m/>
    <m/>
    <m/>
    <m/>
    <m/>
  </r>
  <r>
    <x v="4"/>
    <x v="187"/>
    <n v="802"/>
    <n v="102920"/>
    <n v="11"/>
    <n v="2437"/>
    <m/>
    <m/>
    <m/>
    <m/>
    <m/>
    <m/>
    <m/>
  </r>
  <r>
    <x v="1"/>
    <x v="187"/>
    <n v="5"/>
    <n v="86"/>
    <m/>
    <n v="0"/>
    <m/>
    <m/>
    <m/>
    <m/>
    <m/>
    <m/>
    <m/>
  </r>
  <r>
    <x v="2"/>
    <x v="187"/>
    <n v="102"/>
    <n v="6014"/>
    <n v="3"/>
    <n v="225"/>
    <m/>
    <m/>
    <m/>
    <m/>
    <m/>
    <m/>
    <m/>
  </r>
  <r>
    <x v="3"/>
    <x v="187"/>
    <n v="39"/>
    <n v="1217"/>
    <m/>
    <n v="7"/>
    <m/>
    <m/>
    <m/>
    <m/>
    <m/>
    <m/>
    <m/>
  </r>
  <r>
    <x v="5"/>
    <x v="187"/>
    <n v="387"/>
    <n v="11152"/>
    <n v="5"/>
    <n v="159"/>
    <m/>
    <m/>
    <m/>
    <m/>
    <m/>
    <m/>
    <m/>
  </r>
  <r>
    <x v="6"/>
    <x v="187"/>
    <n v="10"/>
    <n v="345"/>
    <m/>
    <n v="5"/>
    <m/>
    <m/>
    <m/>
    <m/>
    <m/>
    <m/>
    <m/>
  </r>
  <r>
    <x v="7"/>
    <x v="187"/>
    <n v="92"/>
    <n v="4293"/>
    <n v="1"/>
    <n v="60"/>
    <m/>
    <m/>
    <m/>
    <m/>
    <m/>
    <m/>
    <m/>
  </r>
  <r>
    <x v="8"/>
    <x v="187"/>
    <n v="1"/>
    <n v="90"/>
    <m/>
    <n v="1"/>
    <m/>
    <m/>
    <m/>
    <m/>
    <m/>
    <m/>
    <m/>
  </r>
  <r>
    <x v="9"/>
    <x v="187"/>
    <n v="250"/>
    <n v="10125"/>
    <n v="4"/>
    <n v="219"/>
    <m/>
    <m/>
    <m/>
    <m/>
    <m/>
    <m/>
    <m/>
  </r>
  <r>
    <x v="10"/>
    <x v="187"/>
    <n v="4"/>
    <n v="234"/>
    <m/>
    <n v="4"/>
    <m/>
    <m/>
    <m/>
    <m/>
    <m/>
    <m/>
    <m/>
  </r>
  <r>
    <x v="11"/>
    <x v="187"/>
    <n v="94"/>
    <n v="2039"/>
    <n v="3"/>
    <n v="42"/>
    <m/>
    <m/>
    <m/>
    <m/>
    <m/>
    <m/>
    <m/>
  </r>
  <r>
    <x v="12"/>
    <x v="187"/>
    <n v="413"/>
    <n v="9697"/>
    <n v="1"/>
    <n v="90"/>
    <m/>
    <m/>
    <m/>
    <m/>
    <m/>
    <m/>
    <m/>
  </r>
  <r>
    <x v="13"/>
    <x v="187"/>
    <n v="2"/>
    <n v="67"/>
    <m/>
    <n v="2"/>
    <m/>
    <m/>
    <m/>
    <m/>
    <m/>
    <m/>
    <m/>
  </r>
  <r>
    <x v="14"/>
    <x v="187"/>
    <n v="177"/>
    <n v="3819"/>
    <n v="4"/>
    <n v="34"/>
    <m/>
    <m/>
    <m/>
    <m/>
    <m/>
    <m/>
    <m/>
  </r>
  <r>
    <x v="15"/>
    <x v="187"/>
    <n v="54"/>
    <n v="6991"/>
    <n v="2"/>
    <n v="125"/>
    <m/>
    <m/>
    <m/>
    <m/>
    <m/>
    <m/>
    <m/>
  </r>
  <r>
    <x v="16"/>
    <x v="187"/>
    <n v="156"/>
    <n v="4632"/>
    <n v="3"/>
    <n v="59"/>
    <m/>
    <m/>
    <m/>
    <m/>
    <m/>
    <m/>
    <m/>
  </r>
  <r>
    <x v="17"/>
    <x v="187"/>
    <n v="4"/>
    <n v="377"/>
    <m/>
    <n v="0"/>
    <m/>
    <m/>
    <m/>
    <m/>
    <m/>
    <m/>
    <m/>
  </r>
  <r>
    <x v="18"/>
    <x v="187"/>
    <n v="2"/>
    <n v="247"/>
    <m/>
    <n v="0"/>
    <m/>
    <m/>
    <m/>
    <m/>
    <m/>
    <m/>
    <m/>
  </r>
  <r>
    <x v="19"/>
    <x v="187"/>
    <n v="121"/>
    <n v="2288"/>
    <m/>
    <n v="16"/>
    <m/>
    <m/>
    <m/>
    <m/>
    <m/>
    <m/>
    <m/>
  </r>
  <r>
    <x v="20"/>
    <x v="187"/>
    <n v="615"/>
    <n v="12119"/>
    <n v="11"/>
    <n v="130"/>
    <m/>
    <m/>
    <m/>
    <m/>
    <m/>
    <m/>
    <m/>
  </r>
  <r>
    <x v="21"/>
    <x v="187"/>
    <n v="76"/>
    <n v="1295"/>
    <n v="1"/>
    <n v="17"/>
    <m/>
    <m/>
    <m/>
    <m/>
    <m/>
    <m/>
    <m/>
  </r>
  <r>
    <x v="22"/>
    <x v="187"/>
    <n v="49"/>
    <n v="2345"/>
    <n v="1"/>
    <n v="38"/>
    <m/>
    <m/>
    <m/>
    <m/>
    <m/>
    <m/>
    <m/>
  </r>
  <r>
    <x v="23"/>
    <x v="187"/>
    <n v="262"/>
    <n v="3954"/>
    <m/>
    <n v="15"/>
    <m/>
    <m/>
    <m/>
    <m/>
    <m/>
    <m/>
    <m/>
  </r>
  <r>
    <x v="0"/>
    <x v="188"/>
    <n v="4633"/>
    <n v="297079"/>
    <n v="140"/>
    <n v="6078"/>
    <m/>
    <m/>
    <m/>
    <m/>
    <m/>
    <m/>
    <m/>
  </r>
  <r>
    <x v="4"/>
    <x v="188"/>
    <n v="1089"/>
    <n v="104009"/>
    <n v="64"/>
    <n v="2501"/>
    <m/>
    <m/>
    <m/>
    <m/>
    <m/>
    <m/>
    <m/>
  </r>
  <r>
    <x v="1"/>
    <x v="188"/>
    <n v="2"/>
    <n v="88"/>
    <m/>
    <n v="0"/>
    <m/>
    <m/>
    <m/>
    <m/>
    <m/>
    <m/>
    <m/>
  </r>
  <r>
    <x v="2"/>
    <x v="188"/>
    <n v="42"/>
    <n v="6056"/>
    <n v="1"/>
    <n v="226"/>
    <m/>
    <m/>
    <m/>
    <m/>
    <m/>
    <m/>
    <m/>
  </r>
  <r>
    <x v="3"/>
    <x v="188"/>
    <n v="57"/>
    <n v="1274"/>
    <n v="1"/>
    <n v="8"/>
    <m/>
    <m/>
    <m/>
    <m/>
    <m/>
    <m/>
    <m/>
  </r>
  <r>
    <x v="5"/>
    <x v="188"/>
    <n v="456"/>
    <n v="11608"/>
    <n v="5"/>
    <n v="164"/>
    <m/>
    <m/>
    <m/>
    <m/>
    <m/>
    <m/>
    <m/>
  </r>
  <r>
    <x v="6"/>
    <x v="188"/>
    <n v="41"/>
    <n v="386"/>
    <m/>
    <n v="5"/>
    <m/>
    <m/>
    <m/>
    <m/>
    <m/>
    <m/>
    <m/>
  </r>
  <r>
    <x v="7"/>
    <x v="188"/>
    <n v="60"/>
    <n v="4353"/>
    <n v="3"/>
    <n v="63"/>
    <m/>
    <m/>
    <m/>
    <m/>
    <m/>
    <m/>
    <m/>
  </r>
  <r>
    <x v="8"/>
    <x v="188"/>
    <n v="0"/>
    <n v="90"/>
    <m/>
    <n v="1"/>
    <m/>
    <m/>
    <m/>
    <m/>
    <m/>
    <m/>
    <m/>
  </r>
  <r>
    <x v="9"/>
    <x v="188"/>
    <n v="355"/>
    <n v="10480"/>
    <n v="6"/>
    <n v="225"/>
    <m/>
    <m/>
    <m/>
    <m/>
    <m/>
    <m/>
    <m/>
  </r>
  <r>
    <x v="10"/>
    <x v="188"/>
    <n v="9"/>
    <n v="243"/>
    <m/>
    <n v="4"/>
    <m/>
    <m/>
    <m/>
    <m/>
    <m/>
    <m/>
    <m/>
  </r>
  <r>
    <x v="11"/>
    <x v="188"/>
    <n v="92"/>
    <n v="2131"/>
    <n v="9"/>
    <n v="51"/>
    <m/>
    <m/>
    <m/>
    <m/>
    <m/>
    <m/>
    <m/>
  </r>
  <r>
    <x v="12"/>
    <x v="188"/>
    <n v="623"/>
    <n v="10320"/>
    <n v="7"/>
    <n v="97"/>
    <m/>
    <m/>
    <m/>
    <m/>
    <m/>
    <m/>
    <m/>
  </r>
  <r>
    <x v="13"/>
    <x v="188"/>
    <n v="4"/>
    <n v="71"/>
    <m/>
    <n v="2"/>
    <m/>
    <m/>
    <m/>
    <m/>
    <m/>
    <m/>
    <m/>
  </r>
  <r>
    <x v="14"/>
    <x v="188"/>
    <n v="140"/>
    <n v="3959"/>
    <n v="4"/>
    <n v="38"/>
    <m/>
    <m/>
    <m/>
    <m/>
    <m/>
    <m/>
    <m/>
  </r>
  <r>
    <x v="15"/>
    <x v="188"/>
    <n v="207"/>
    <n v="7198"/>
    <n v="5"/>
    <n v="130"/>
    <m/>
    <m/>
    <m/>
    <m/>
    <m/>
    <m/>
    <m/>
  </r>
  <r>
    <x v="16"/>
    <x v="188"/>
    <n v="195"/>
    <n v="4827"/>
    <n v="4"/>
    <n v="63"/>
    <m/>
    <m/>
    <m/>
    <m/>
    <m/>
    <m/>
    <m/>
  </r>
  <r>
    <x v="17"/>
    <x v="188"/>
    <n v="-13"/>
    <n v="364"/>
    <m/>
    <n v="0"/>
    <m/>
    <m/>
    <m/>
    <m/>
    <m/>
    <m/>
    <m/>
  </r>
  <r>
    <x v="18"/>
    <x v="188"/>
    <n v="60"/>
    <n v="307"/>
    <m/>
    <n v="0"/>
    <m/>
    <m/>
    <m/>
    <m/>
    <m/>
    <m/>
    <m/>
  </r>
  <r>
    <x v="19"/>
    <x v="188"/>
    <n v="34"/>
    <n v="2322"/>
    <n v="4"/>
    <n v="20"/>
    <m/>
    <m/>
    <m/>
    <m/>
    <m/>
    <m/>
    <m/>
  </r>
  <r>
    <x v="20"/>
    <x v="188"/>
    <n v="517"/>
    <n v="12636"/>
    <n v="12"/>
    <n v="142"/>
    <m/>
    <m/>
    <m/>
    <m/>
    <m/>
    <m/>
    <m/>
  </r>
  <r>
    <x v="21"/>
    <x v="188"/>
    <n v="48"/>
    <n v="1343"/>
    <n v="3"/>
    <n v="20"/>
    <m/>
    <m/>
    <m/>
    <m/>
    <m/>
    <m/>
    <m/>
  </r>
  <r>
    <x v="22"/>
    <x v="188"/>
    <n v="55"/>
    <n v="2400"/>
    <m/>
    <n v="38"/>
    <m/>
    <m/>
    <m/>
    <m/>
    <m/>
    <m/>
    <m/>
  </r>
  <r>
    <x v="23"/>
    <x v="188"/>
    <n v="509"/>
    <n v="4463"/>
    <n v="1"/>
    <n v="16"/>
    <m/>
    <m/>
    <m/>
    <m/>
    <m/>
    <m/>
    <m/>
  </r>
  <r>
    <x v="0"/>
    <x v="189"/>
    <n v="6909"/>
    <n v="303988"/>
    <n v="185"/>
    <n v="6263"/>
    <m/>
    <m/>
    <m/>
    <m/>
    <m/>
    <m/>
    <m/>
  </r>
  <r>
    <x v="4"/>
    <x v="189"/>
    <n v="1300"/>
    <n v="105309"/>
    <n v="29"/>
    <n v="2530"/>
    <m/>
    <m/>
    <m/>
    <m/>
    <m/>
    <m/>
    <m/>
  </r>
  <r>
    <x v="1"/>
    <x v="189"/>
    <n v="8"/>
    <n v="96"/>
    <m/>
    <n v="0"/>
    <m/>
    <m/>
    <m/>
    <m/>
    <m/>
    <m/>
    <m/>
  </r>
  <r>
    <x v="2"/>
    <x v="189"/>
    <n v="94"/>
    <n v="6150"/>
    <n v="3"/>
    <n v="229"/>
    <m/>
    <m/>
    <m/>
    <m/>
    <m/>
    <m/>
    <m/>
  </r>
  <r>
    <x v="3"/>
    <x v="189"/>
    <n v="48"/>
    <n v="1322"/>
    <m/>
    <n v="8"/>
    <m/>
    <m/>
    <m/>
    <m/>
    <m/>
    <m/>
    <m/>
  </r>
  <r>
    <x v="5"/>
    <x v="189"/>
    <n v="381"/>
    <n v="11989"/>
    <n v="6"/>
    <n v="170"/>
    <m/>
    <m/>
    <m/>
    <m/>
    <m/>
    <m/>
    <m/>
  </r>
  <r>
    <x v="6"/>
    <x v="189"/>
    <n v="20"/>
    <n v="406"/>
    <m/>
    <n v="5"/>
    <m/>
    <m/>
    <m/>
    <m/>
    <m/>
    <m/>
    <m/>
  </r>
  <r>
    <x v="7"/>
    <x v="189"/>
    <n v="224"/>
    <n v="4577"/>
    <n v="5"/>
    <n v="68"/>
    <m/>
    <m/>
    <m/>
    <m/>
    <m/>
    <m/>
    <m/>
  </r>
  <r>
    <x v="8"/>
    <x v="189"/>
    <n v="0"/>
    <n v="90"/>
    <m/>
    <n v="1"/>
    <m/>
    <m/>
    <m/>
    <m/>
    <m/>
    <m/>
    <m/>
  </r>
  <r>
    <x v="9"/>
    <x v="189"/>
    <n v="294"/>
    <n v="10774"/>
    <n v="6"/>
    <n v="231"/>
    <m/>
    <m/>
    <m/>
    <m/>
    <m/>
    <m/>
    <m/>
  </r>
  <r>
    <x v="10"/>
    <x v="189"/>
    <n v="4"/>
    <n v="247"/>
    <m/>
    <n v="4"/>
    <m/>
    <m/>
    <m/>
    <m/>
    <m/>
    <m/>
    <m/>
  </r>
  <r>
    <x v="11"/>
    <x v="189"/>
    <n v="84"/>
    <n v="2215"/>
    <m/>
    <n v="51"/>
    <m/>
    <m/>
    <m/>
    <m/>
    <m/>
    <m/>
    <m/>
  </r>
  <r>
    <x v="12"/>
    <x v="189"/>
    <n v="516"/>
    <n v="10836"/>
    <n v="17"/>
    <n v="114"/>
    <m/>
    <m/>
    <m/>
    <m/>
    <m/>
    <m/>
    <m/>
  </r>
  <r>
    <x v="13"/>
    <x v="189"/>
    <n v="-2"/>
    <n v="69"/>
    <m/>
    <n v="2"/>
    <m/>
    <m/>
    <m/>
    <m/>
    <m/>
    <m/>
    <m/>
  </r>
  <r>
    <x v="14"/>
    <x v="189"/>
    <n v="90"/>
    <n v="4049"/>
    <n v="3"/>
    <n v="41"/>
    <m/>
    <m/>
    <m/>
    <m/>
    <m/>
    <m/>
    <m/>
  </r>
  <r>
    <x v="15"/>
    <x v="189"/>
    <n v="299"/>
    <n v="7497"/>
    <n v="8"/>
    <n v="138"/>
    <m/>
    <m/>
    <m/>
    <m/>
    <m/>
    <m/>
    <m/>
  </r>
  <r>
    <x v="16"/>
    <x v="189"/>
    <n v="282"/>
    <n v="5109"/>
    <m/>
    <n v="63"/>
    <m/>
    <m/>
    <m/>
    <m/>
    <m/>
    <m/>
    <m/>
  </r>
  <r>
    <x v="17"/>
    <x v="189"/>
    <n v="16"/>
    <n v="380"/>
    <n v="7"/>
    <n v="7"/>
    <m/>
    <m/>
    <m/>
    <m/>
    <m/>
    <m/>
    <m/>
  </r>
  <r>
    <x v="18"/>
    <x v="189"/>
    <n v="18"/>
    <n v="325"/>
    <m/>
    <n v="0"/>
    <m/>
    <m/>
    <m/>
    <m/>
    <m/>
    <m/>
    <m/>
  </r>
  <r>
    <x v="19"/>
    <x v="189"/>
    <n v="76"/>
    <n v="2398"/>
    <m/>
    <n v="20"/>
    <m/>
    <m/>
    <m/>
    <m/>
    <m/>
    <m/>
    <m/>
  </r>
  <r>
    <x v="20"/>
    <x v="189"/>
    <n v="976"/>
    <n v="13612"/>
    <n v="7"/>
    <n v="149"/>
    <m/>
    <m/>
    <m/>
    <m/>
    <m/>
    <m/>
    <m/>
  </r>
  <r>
    <x v="21"/>
    <x v="189"/>
    <n v="46"/>
    <n v="1389"/>
    <n v="1"/>
    <n v="21"/>
    <m/>
    <m/>
    <m/>
    <m/>
    <m/>
    <m/>
    <m/>
  </r>
  <r>
    <x v="22"/>
    <x v="189"/>
    <n v="61"/>
    <n v="2461"/>
    <m/>
    <n v="38"/>
    <m/>
    <m/>
    <m/>
    <m/>
    <m/>
    <m/>
    <m/>
  </r>
  <r>
    <x v="23"/>
    <x v="189"/>
    <n v="283"/>
    <n v="4746"/>
    <n v="1"/>
    <n v="17"/>
    <m/>
    <m/>
    <m/>
    <m/>
    <m/>
    <m/>
    <m/>
  </r>
  <r>
    <x v="0"/>
    <x v="190"/>
    <n v="6266"/>
    <n v="310254"/>
    <n v="152"/>
    <n v="6415"/>
    <m/>
    <m/>
    <m/>
    <m/>
    <m/>
    <m/>
    <m/>
  </r>
  <r>
    <x v="4"/>
    <x v="190"/>
    <n v="1264"/>
    <n v="106573"/>
    <n v="47"/>
    <n v="2577"/>
    <m/>
    <m/>
    <m/>
    <m/>
    <m/>
    <m/>
    <m/>
  </r>
  <r>
    <x v="1"/>
    <x v="190"/>
    <n v="3"/>
    <n v="99"/>
    <m/>
    <n v="0"/>
    <m/>
    <m/>
    <m/>
    <m/>
    <m/>
    <m/>
    <m/>
  </r>
  <r>
    <x v="2"/>
    <x v="190"/>
    <n v="140"/>
    <n v="6290"/>
    <n v="2"/>
    <n v="231"/>
    <m/>
    <m/>
    <m/>
    <m/>
    <m/>
    <m/>
    <m/>
  </r>
  <r>
    <x v="3"/>
    <x v="190"/>
    <n v="39"/>
    <n v="1361"/>
    <m/>
    <n v="8"/>
    <m/>
    <m/>
    <m/>
    <m/>
    <m/>
    <m/>
    <m/>
  </r>
  <r>
    <x v="5"/>
    <x v="190"/>
    <n v="577"/>
    <n v="12566"/>
    <n v="8"/>
    <n v="178"/>
    <m/>
    <m/>
    <m/>
    <m/>
    <m/>
    <m/>
    <m/>
  </r>
  <r>
    <x v="6"/>
    <x v="190"/>
    <n v="25"/>
    <n v="431"/>
    <m/>
    <n v="5"/>
    <m/>
    <m/>
    <m/>
    <m/>
    <m/>
    <m/>
    <m/>
  </r>
  <r>
    <x v="7"/>
    <x v="190"/>
    <n v="130"/>
    <n v="4707"/>
    <n v="1"/>
    <n v="69"/>
    <m/>
    <m/>
    <m/>
    <m/>
    <m/>
    <m/>
    <m/>
  </r>
  <r>
    <x v="8"/>
    <x v="190"/>
    <n v="1"/>
    <n v="91"/>
    <m/>
    <n v="1"/>
    <m/>
    <m/>
    <m/>
    <m/>
    <m/>
    <m/>
    <m/>
  </r>
  <r>
    <x v="9"/>
    <x v="190"/>
    <n v="343"/>
    <n v="11117"/>
    <n v="6"/>
    <n v="237"/>
    <m/>
    <m/>
    <m/>
    <m/>
    <m/>
    <m/>
    <m/>
  </r>
  <r>
    <x v="10"/>
    <x v="190"/>
    <n v="20"/>
    <n v="267"/>
    <m/>
    <n v="4"/>
    <m/>
    <m/>
    <m/>
    <m/>
    <m/>
    <m/>
    <m/>
  </r>
  <r>
    <x v="11"/>
    <x v="190"/>
    <n v="145"/>
    <n v="2360"/>
    <n v="1"/>
    <n v="52"/>
    <m/>
    <m/>
    <m/>
    <m/>
    <m/>
    <m/>
    <m/>
  </r>
  <r>
    <x v="12"/>
    <x v="190"/>
    <n v="798"/>
    <n v="11634"/>
    <n v="11"/>
    <n v="125"/>
    <m/>
    <m/>
    <m/>
    <m/>
    <m/>
    <m/>
    <m/>
  </r>
  <r>
    <x v="13"/>
    <x v="190"/>
    <n v="2"/>
    <n v="71"/>
    <m/>
    <n v="2"/>
    <m/>
    <m/>
    <m/>
    <m/>
    <m/>
    <m/>
    <m/>
  </r>
  <r>
    <x v="14"/>
    <x v="190"/>
    <n v="69"/>
    <n v="4118"/>
    <n v="2"/>
    <n v="43"/>
    <m/>
    <m/>
    <m/>
    <m/>
    <m/>
    <m/>
    <m/>
  </r>
  <r>
    <x v="15"/>
    <x v="190"/>
    <n v="280"/>
    <n v="7777"/>
    <n v="2"/>
    <n v="140"/>
    <m/>
    <m/>
    <m/>
    <m/>
    <m/>
    <m/>
    <m/>
  </r>
  <r>
    <x v="16"/>
    <x v="190"/>
    <n v="361"/>
    <n v="5470"/>
    <n v="8"/>
    <n v="71"/>
    <m/>
    <m/>
    <m/>
    <m/>
    <m/>
    <m/>
    <m/>
  </r>
  <r>
    <x v="17"/>
    <x v="190"/>
    <n v="4"/>
    <n v="384"/>
    <m/>
    <n v="7"/>
    <m/>
    <m/>
    <m/>
    <m/>
    <m/>
    <m/>
    <m/>
  </r>
  <r>
    <x v="18"/>
    <x v="190"/>
    <n v="21"/>
    <n v="346"/>
    <m/>
    <n v="0"/>
    <m/>
    <m/>
    <m/>
    <m/>
    <m/>
    <m/>
    <m/>
  </r>
  <r>
    <x v="19"/>
    <x v="190"/>
    <n v="142"/>
    <n v="2540"/>
    <n v="1"/>
    <n v="21"/>
    <m/>
    <m/>
    <m/>
    <m/>
    <m/>
    <m/>
    <m/>
  </r>
  <r>
    <x v="20"/>
    <x v="190"/>
    <n v="1089"/>
    <n v="14701"/>
    <n v="7"/>
    <n v="156"/>
    <m/>
    <m/>
    <m/>
    <m/>
    <m/>
    <m/>
    <m/>
  </r>
  <r>
    <x v="21"/>
    <x v="190"/>
    <n v="81"/>
    <n v="1470"/>
    <n v="1"/>
    <n v="22"/>
    <m/>
    <m/>
    <m/>
    <m/>
    <m/>
    <m/>
    <m/>
  </r>
  <r>
    <x v="22"/>
    <x v="190"/>
    <n v="69"/>
    <n v="2530"/>
    <n v="1"/>
    <n v="39"/>
    <m/>
    <m/>
    <m/>
    <m/>
    <m/>
    <m/>
    <m/>
  </r>
  <r>
    <x v="23"/>
    <x v="190"/>
    <n v="390"/>
    <n v="5136"/>
    <m/>
    <n v="17"/>
    <m/>
    <m/>
    <m/>
    <m/>
    <m/>
    <m/>
    <m/>
  </r>
  <r>
    <x v="0"/>
    <x v="191"/>
    <n v="6252"/>
    <n v="316506"/>
    <n v="141"/>
    <n v="6556"/>
    <m/>
    <m/>
    <m/>
    <m/>
    <m/>
    <m/>
    <m/>
  </r>
  <r>
    <x v="4"/>
    <x v="191"/>
    <n v="1284"/>
    <n v="107857"/>
    <n v="34"/>
    <n v="2611"/>
    <m/>
    <m/>
    <m/>
    <m/>
    <m/>
    <m/>
    <m/>
  </r>
  <r>
    <x v="1"/>
    <x v="191"/>
    <n v="12"/>
    <n v="111"/>
    <m/>
    <n v="0"/>
    <m/>
    <m/>
    <m/>
    <m/>
    <m/>
    <m/>
    <m/>
  </r>
  <r>
    <x v="2"/>
    <x v="191"/>
    <n v="128"/>
    <n v="6418"/>
    <n v="1"/>
    <n v="232"/>
    <m/>
    <m/>
    <m/>
    <m/>
    <m/>
    <m/>
    <m/>
  </r>
  <r>
    <x v="3"/>
    <x v="191"/>
    <n v="29"/>
    <n v="1390"/>
    <m/>
    <n v="8"/>
    <m/>
    <m/>
    <m/>
    <m/>
    <m/>
    <m/>
    <m/>
  </r>
  <r>
    <x v="5"/>
    <x v="191"/>
    <n v="443"/>
    <n v="13009"/>
    <n v="5"/>
    <n v="183"/>
    <m/>
    <m/>
    <m/>
    <m/>
    <m/>
    <m/>
    <m/>
  </r>
  <r>
    <x v="6"/>
    <x v="191"/>
    <n v="60"/>
    <n v="491"/>
    <m/>
    <n v="5"/>
    <m/>
    <m/>
    <m/>
    <m/>
    <m/>
    <m/>
    <m/>
  </r>
  <r>
    <x v="7"/>
    <x v="191"/>
    <n v="137"/>
    <n v="4844"/>
    <n v="8"/>
    <n v="77"/>
    <m/>
    <m/>
    <m/>
    <m/>
    <m/>
    <m/>
    <m/>
  </r>
  <r>
    <x v="8"/>
    <x v="191"/>
    <n v="1"/>
    <n v="92"/>
    <m/>
    <n v="1"/>
    <m/>
    <m/>
    <m/>
    <m/>
    <m/>
    <m/>
    <m/>
  </r>
  <r>
    <x v="9"/>
    <x v="191"/>
    <n v="280"/>
    <n v="11397"/>
    <n v="6"/>
    <n v="243"/>
    <m/>
    <m/>
    <m/>
    <m/>
    <m/>
    <m/>
    <m/>
  </r>
  <r>
    <x v="10"/>
    <x v="191"/>
    <n v="27"/>
    <n v="294"/>
    <m/>
    <n v="4"/>
    <m/>
    <m/>
    <m/>
    <m/>
    <m/>
    <m/>
    <m/>
  </r>
  <r>
    <x v="11"/>
    <x v="191"/>
    <n v="143"/>
    <n v="2503"/>
    <n v="2"/>
    <n v="54"/>
    <m/>
    <m/>
    <m/>
    <m/>
    <m/>
    <m/>
    <m/>
  </r>
  <r>
    <x v="12"/>
    <x v="191"/>
    <n v="731"/>
    <n v="12365"/>
    <n v="13"/>
    <n v="138"/>
    <m/>
    <m/>
    <m/>
    <m/>
    <m/>
    <m/>
    <m/>
  </r>
  <r>
    <x v="13"/>
    <x v="191"/>
    <n v="-6"/>
    <n v="65"/>
    <m/>
    <n v="2"/>
    <m/>
    <m/>
    <m/>
    <m/>
    <m/>
    <m/>
    <m/>
  </r>
  <r>
    <x v="14"/>
    <x v="191"/>
    <n v="180"/>
    <n v="4298"/>
    <n v="2"/>
    <n v="45"/>
    <m/>
    <m/>
    <m/>
    <m/>
    <m/>
    <m/>
    <m/>
  </r>
  <r>
    <x v="15"/>
    <x v="191"/>
    <n v="265"/>
    <n v="8042"/>
    <n v="4"/>
    <n v="144"/>
    <m/>
    <m/>
    <m/>
    <m/>
    <m/>
    <m/>
    <m/>
  </r>
  <r>
    <x v="16"/>
    <x v="191"/>
    <n v="367"/>
    <n v="5837"/>
    <n v="9"/>
    <n v="80"/>
    <m/>
    <m/>
    <m/>
    <m/>
    <m/>
    <m/>
    <m/>
  </r>
  <r>
    <x v="17"/>
    <x v="191"/>
    <n v="1"/>
    <n v="385"/>
    <m/>
    <n v="7"/>
    <m/>
    <m/>
    <m/>
    <m/>
    <m/>
    <m/>
    <m/>
  </r>
  <r>
    <x v="18"/>
    <x v="191"/>
    <n v="10"/>
    <n v="356"/>
    <m/>
    <n v="0"/>
    <m/>
    <m/>
    <m/>
    <m/>
    <m/>
    <m/>
    <m/>
  </r>
  <r>
    <x v="19"/>
    <x v="191"/>
    <n v="86"/>
    <n v="2626"/>
    <m/>
    <n v="21"/>
    <m/>
    <m/>
    <m/>
    <m/>
    <m/>
    <m/>
    <m/>
  </r>
  <r>
    <x v="20"/>
    <x v="191"/>
    <n v="1042"/>
    <n v="15743"/>
    <n v="21"/>
    <n v="177"/>
    <m/>
    <m/>
    <m/>
    <m/>
    <m/>
    <m/>
    <m/>
  </r>
  <r>
    <x v="21"/>
    <x v="191"/>
    <n v="88"/>
    <n v="1558"/>
    <n v="3"/>
    <n v="25"/>
    <m/>
    <m/>
    <m/>
    <m/>
    <m/>
    <m/>
    <m/>
  </r>
  <r>
    <x v="22"/>
    <x v="191"/>
    <n v="62"/>
    <n v="2592"/>
    <n v="1"/>
    <n v="40"/>
    <m/>
    <m/>
    <m/>
    <m/>
    <m/>
    <m/>
    <m/>
  </r>
  <r>
    <x v="23"/>
    <x v="191"/>
    <n v="283"/>
    <n v="5419"/>
    <m/>
    <n v="17"/>
    <m/>
    <m/>
    <m/>
    <m/>
    <m/>
    <m/>
    <m/>
  </r>
  <r>
    <x v="0"/>
    <x v="192"/>
    <n v="5732"/>
    <n v="322238"/>
    <n v="127"/>
    <n v="6683"/>
    <m/>
    <m/>
    <m/>
    <m/>
    <m/>
    <m/>
    <m/>
  </r>
  <r>
    <x v="4"/>
    <x v="192"/>
    <n v="1215"/>
    <n v="109072"/>
    <n v="59"/>
    <n v="2670"/>
    <m/>
    <m/>
    <m/>
    <m/>
    <m/>
    <m/>
    <m/>
  </r>
  <r>
    <x v="1"/>
    <x v="192"/>
    <n v="3"/>
    <n v="114"/>
    <m/>
    <n v="0"/>
    <m/>
    <m/>
    <m/>
    <m/>
    <m/>
    <m/>
    <m/>
  </r>
  <r>
    <x v="2"/>
    <x v="192"/>
    <n v="125"/>
    <n v="6543"/>
    <n v="2"/>
    <n v="234"/>
    <m/>
    <m/>
    <m/>
    <m/>
    <m/>
    <m/>
    <m/>
  </r>
  <r>
    <x v="3"/>
    <x v="192"/>
    <n v="90"/>
    <n v="1480"/>
    <n v="2"/>
    <n v="10"/>
    <m/>
    <m/>
    <m/>
    <m/>
    <m/>
    <m/>
    <m/>
  </r>
  <r>
    <x v="5"/>
    <x v="192"/>
    <n v="387"/>
    <n v="13396"/>
    <n v="6"/>
    <n v="189"/>
    <m/>
    <m/>
    <m/>
    <m/>
    <m/>
    <m/>
    <m/>
  </r>
  <r>
    <x v="6"/>
    <x v="192"/>
    <n v="112"/>
    <n v="603"/>
    <n v="1"/>
    <n v="6"/>
    <m/>
    <m/>
    <m/>
    <m/>
    <m/>
    <m/>
    <m/>
  </r>
  <r>
    <x v="7"/>
    <x v="192"/>
    <n v="151"/>
    <n v="4995"/>
    <n v="11"/>
    <n v="88"/>
    <m/>
    <m/>
    <m/>
    <m/>
    <m/>
    <m/>
    <m/>
  </r>
  <r>
    <x v="8"/>
    <x v="192"/>
    <n v="4"/>
    <n v="96"/>
    <m/>
    <n v="1"/>
    <m/>
    <m/>
    <m/>
    <m/>
    <m/>
    <m/>
    <m/>
  </r>
  <r>
    <x v="9"/>
    <x v="192"/>
    <n v="302"/>
    <n v="11699"/>
    <n v="1"/>
    <n v="244"/>
    <m/>
    <m/>
    <m/>
    <m/>
    <m/>
    <m/>
    <m/>
  </r>
  <r>
    <x v="10"/>
    <x v="192"/>
    <n v="27"/>
    <n v="321"/>
    <m/>
    <n v="4"/>
    <m/>
    <m/>
    <m/>
    <m/>
    <m/>
    <m/>
    <m/>
  </r>
  <r>
    <x v="11"/>
    <x v="192"/>
    <n v="162"/>
    <n v="2665"/>
    <m/>
    <n v="54"/>
    <m/>
    <m/>
    <m/>
    <m/>
    <m/>
    <m/>
    <m/>
  </r>
  <r>
    <x v="12"/>
    <x v="192"/>
    <n v="695"/>
    <n v="13060"/>
    <n v="8"/>
    <n v="146"/>
    <m/>
    <m/>
    <m/>
    <m/>
    <m/>
    <m/>
    <m/>
  </r>
  <r>
    <x v="13"/>
    <x v="192"/>
    <n v="0"/>
    <n v="65"/>
    <m/>
    <n v="2"/>
    <m/>
    <m/>
    <m/>
    <m/>
    <m/>
    <m/>
    <m/>
  </r>
  <r>
    <x v="14"/>
    <x v="192"/>
    <n v="161"/>
    <n v="4459"/>
    <n v="1"/>
    <n v="46"/>
    <m/>
    <m/>
    <m/>
    <m/>
    <m/>
    <m/>
    <m/>
  </r>
  <r>
    <x v="15"/>
    <x v="192"/>
    <n v="318"/>
    <n v="8360"/>
    <n v="7"/>
    <n v="151"/>
    <m/>
    <m/>
    <m/>
    <m/>
    <m/>
    <m/>
    <m/>
  </r>
  <r>
    <x v="16"/>
    <x v="192"/>
    <n v="322"/>
    <n v="6159"/>
    <n v="5"/>
    <n v="85"/>
    <m/>
    <m/>
    <m/>
    <m/>
    <m/>
    <m/>
    <m/>
  </r>
  <r>
    <x v="17"/>
    <x v="192"/>
    <n v="14"/>
    <n v="399"/>
    <m/>
    <n v="7"/>
    <m/>
    <m/>
    <m/>
    <m/>
    <m/>
    <m/>
    <m/>
  </r>
  <r>
    <x v="18"/>
    <x v="192"/>
    <n v="23"/>
    <n v="379"/>
    <m/>
    <n v="0"/>
    <m/>
    <m/>
    <m/>
    <m/>
    <m/>
    <m/>
    <m/>
  </r>
  <r>
    <x v="19"/>
    <x v="192"/>
    <n v="136"/>
    <n v="2762"/>
    <m/>
    <n v="21"/>
    <m/>
    <m/>
    <m/>
    <m/>
    <m/>
    <m/>
    <m/>
  </r>
  <r>
    <x v="20"/>
    <x v="192"/>
    <n v="930"/>
    <n v="16673"/>
    <n v="10"/>
    <n v="187"/>
    <m/>
    <m/>
    <m/>
    <m/>
    <m/>
    <m/>
    <m/>
  </r>
  <r>
    <x v="21"/>
    <x v="192"/>
    <n v="83"/>
    <n v="1641"/>
    <m/>
    <n v="25"/>
    <m/>
    <m/>
    <m/>
    <m/>
    <m/>
    <m/>
    <m/>
  </r>
  <r>
    <x v="22"/>
    <x v="192"/>
    <n v="43"/>
    <n v="2635"/>
    <n v="1"/>
    <n v="41"/>
    <m/>
    <m/>
    <m/>
    <m/>
    <m/>
    <m/>
    <m/>
  </r>
  <r>
    <x v="23"/>
    <x v="192"/>
    <n v="472"/>
    <n v="5891"/>
    <n v="1"/>
    <n v="18"/>
    <m/>
    <m/>
    <m/>
    <m/>
    <m/>
    <m/>
    <m/>
  </r>
  <r>
    <x v="0"/>
    <x v="193"/>
    <n v="5862"/>
    <n v="328100"/>
    <n v="54"/>
    <n v="6737"/>
    <m/>
    <m/>
    <m/>
    <m/>
    <m/>
    <m/>
    <m/>
  </r>
  <r>
    <x v="4"/>
    <x v="193"/>
    <n v="985"/>
    <n v="110057"/>
    <n v="23"/>
    <n v="2693"/>
    <m/>
    <m/>
    <m/>
    <m/>
    <m/>
    <m/>
    <m/>
  </r>
  <r>
    <x v="1"/>
    <x v="193"/>
    <n v="6"/>
    <n v="120"/>
    <m/>
    <n v="0"/>
    <m/>
    <m/>
    <m/>
    <m/>
    <m/>
    <m/>
    <m/>
  </r>
  <r>
    <x v="2"/>
    <x v="193"/>
    <n v="117"/>
    <n v="6660"/>
    <n v="3"/>
    <n v="237"/>
    <m/>
    <m/>
    <m/>
    <m/>
    <m/>
    <m/>
    <m/>
  </r>
  <r>
    <x v="3"/>
    <x v="193"/>
    <n v="165"/>
    <n v="1645"/>
    <n v="4"/>
    <n v="14"/>
    <m/>
    <m/>
    <m/>
    <m/>
    <m/>
    <m/>
    <m/>
  </r>
  <r>
    <x v="5"/>
    <x v="193"/>
    <n v="491"/>
    <n v="13887"/>
    <n v="4"/>
    <n v="193"/>
    <m/>
    <m/>
    <m/>
    <m/>
    <m/>
    <m/>
    <m/>
  </r>
  <r>
    <x v="6"/>
    <x v="193"/>
    <n v="56"/>
    <n v="659"/>
    <m/>
    <n v="6"/>
    <m/>
    <m/>
    <m/>
    <m/>
    <m/>
    <m/>
    <m/>
  </r>
  <r>
    <x v="7"/>
    <x v="193"/>
    <n v="138"/>
    <n v="5133"/>
    <m/>
    <n v="88"/>
    <m/>
    <m/>
    <m/>
    <m/>
    <m/>
    <m/>
    <m/>
  </r>
  <r>
    <x v="8"/>
    <x v="193"/>
    <n v="-1"/>
    <n v="95"/>
    <m/>
    <n v="1"/>
    <m/>
    <m/>
    <m/>
    <m/>
    <m/>
    <m/>
    <m/>
  </r>
  <r>
    <x v="9"/>
    <x v="193"/>
    <n v="254"/>
    <n v="11953"/>
    <n v="6"/>
    <n v="250"/>
    <m/>
    <m/>
    <m/>
    <m/>
    <m/>
    <m/>
    <m/>
  </r>
  <r>
    <x v="10"/>
    <x v="193"/>
    <n v="30"/>
    <n v="351"/>
    <m/>
    <n v="4"/>
    <m/>
    <m/>
    <m/>
    <m/>
    <m/>
    <m/>
    <m/>
  </r>
  <r>
    <x v="11"/>
    <x v="193"/>
    <n v="47"/>
    <n v="2712"/>
    <m/>
    <n v="54"/>
    <m/>
    <m/>
    <m/>
    <m/>
    <m/>
    <m/>
    <m/>
  </r>
  <r>
    <x v="12"/>
    <x v="193"/>
    <n v="718"/>
    <n v="13778"/>
    <n v="2"/>
    <n v="148"/>
    <m/>
    <m/>
    <m/>
    <m/>
    <m/>
    <m/>
    <m/>
  </r>
  <r>
    <x v="13"/>
    <x v="193"/>
    <n v="3"/>
    <n v="68"/>
    <m/>
    <n v="2"/>
    <m/>
    <m/>
    <m/>
    <m/>
    <m/>
    <m/>
    <m/>
  </r>
  <r>
    <x v="14"/>
    <x v="193"/>
    <n v="67"/>
    <n v="4526"/>
    <m/>
    <n v="46"/>
    <m/>
    <m/>
    <m/>
    <m/>
    <m/>
    <m/>
    <m/>
  </r>
  <r>
    <x v="15"/>
    <x v="193"/>
    <n v="229"/>
    <n v="8589"/>
    <m/>
    <n v="151"/>
    <m/>
    <m/>
    <m/>
    <m/>
    <m/>
    <m/>
    <m/>
  </r>
  <r>
    <x v="16"/>
    <x v="193"/>
    <n v="266"/>
    <n v="6425"/>
    <n v="2"/>
    <n v="87"/>
    <m/>
    <m/>
    <m/>
    <m/>
    <m/>
    <m/>
    <m/>
  </r>
  <r>
    <x v="17"/>
    <x v="193"/>
    <n v="23"/>
    <n v="422"/>
    <n v="5"/>
    <n v="12"/>
    <m/>
    <m/>
    <m/>
    <m/>
    <m/>
    <m/>
    <m/>
  </r>
  <r>
    <x v="18"/>
    <x v="193"/>
    <n v="3"/>
    <n v="382"/>
    <m/>
    <n v="0"/>
    <m/>
    <m/>
    <m/>
    <m/>
    <m/>
    <m/>
    <m/>
  </r>
  <r>
    <x v="19"/>
    <x v="193"/>
    <n v="114"/>
    <n v="2876"/>
    <m/>
    <n v="21"/>
    <m/>
    <m/>
    <m/>
    <m/>
    <m/>
    <m/>
    <m/>
  </r>
  <r>
    <x v="20"/>
    <x v="193"/>
    <n v="889"/>
    <n v="17562"/>
    <n v="7"/>
    <n v="194"/>
    <m/>
    <m/>
    <m/>
    <m/>
    <m/>
    <m/>
    <m/>
  </r>
  <r>
    <x v="21"/>
    <x v="193"/>
    <n v="112"/>
    <n v="1753"/>
    <m/>
    <n v="25"/>
    <m/>
    <m/>
    <m/>
    <m/>
    <m/>
    <m/>
    <m/>
  </r>
  <r>
    <x v="22"/>
    <x v="193"/>
    <n v="48"/>
    <n v="2683"/>
    <n v="3"/>
    <n v="44"/>
    <m/>
    <m/>
    <m/>
    <m/>
    <m/>
    <m/>
    <m/>
  </r>
  <r>
    <x v="23"/>
    <x v="193"/>
    <n v="154"/>
    <n v="6045"/>
    <n v="1"/>
    <n v="19"/>
    <m/>
    <m/>
    <m/>
    <m/>
    <m/>
    <m/>
    <m/>
  </r>
  <r>
    <x v="0"/>
    <x v="194"/>
    <n v="3689"/>
    <n v="331789"/>
    <n v="38"/>
    <n v="6775"/>
    <m/>
    <m/>
    <m/>
    <m/>
    <m/>
    <m/>
    <m/>
  </r>
  <r>
    <x v="4"/>
    <x v="194"/>
    <n v="843"/>
    <n v="110900"/>
    <n v="19"/>
    <n v="2712"/>
    <m/>
    <m/>
    <m/>
    <m/>
    <m/>
    <m/>
    <m/>
  </r>
  <r>
    <x v="1"/>
    <x v="194"/>
    <n v="4"/>
    <n v="124"/>
    <m/>
    <n v="0"/>
    <m/>
    <m/>
    <m/>
    <m/>
    <m/>
    <m/>
    <m/>
  </r>
  <r>
    <x v="2"/>
    <x v="194"/>
    <n v="91"/>
    <n v="6751"/>
    <n v="2"/>
    <n v="239"/>
    <m/>
    <m/>
    <m/>
    <m/>
    <m/>
    <m/>
    <m/>
  </r>
  <r>
    <x v="3"/>
    <x v="194"/>
    <n v="73"/>
    <n v="1718"/>
    <m/>
    <n v="14"/>
    <m/>
    <m/>
    <m/>
    <m/>
    <m/>
    <m/>
    <m/>
  </r>
  <r>
    <x v="5"/>
    <x v="194"/>
    <n v="552"/>
    <n v="14439"/>
    <n v="4"/>
    <n v="197"/>
    <m/>
    <m/>
    <m/>
    <m/>
    <m/>
    <m/>
    <m/>
  </r>
  <r>
    <x v="6"/>
    <x v="194"/>
    <n v="1"/>
    <n v="660"/>
    <m/>
    <n v="6"/>
    <m/>
    <m/>
    <m/>
    <m/>
    <m/>
    <m/>
    <m/>
  </r>
  <r>
    <x v="7"/>
    <x v="194"/>
    <n v="105"/>
    <n v="5238"/>
    <n v="1"/>
    <n v="89"/>
    <m/>
    <m/>
    <m/>
    <m/>
    <m/>
    <m/>
    <m/>
  </r>
  <r>
    <x v="8"/>
    <x v="194"/>
    <n v="-1"/>
    <n v="94"/>
    <m/>
    <n v="1"/>
    <m/>
    <m/>
    <m/>
    <m/>
    <m/>
    <m/>
    <m/>
  </r>
  <r>
    <x v="9"/>
    <x v="194"/>
    <n v="169"/>
    <n v="12122"/>
    <n v="6"/>
    <n v="256"/>
    <m/>
    <m/>
    <m/>
    <m/>
    <m/>
    <m/>
    <m/>
  </r>
  <r>
    <x v="10"/>
    <x v="194"/>
    <n v="46"/>
    <n v="397"/>
    <m/>
    <n v="4"/>
    <m/>
    <m/>
    <m/>
    <m/>
    <m/>
    <m/>
    <m/>
  </r>
  <r>
    <x v="11"/>
    <x v="194"/>
    <n v="96"/>
    <n v="2808"/>
    <n v="4"/>
    <n v="58"/>
    <m/>
    <m/>
    <m/>
    <m/>
    <m/>
    <m/>
    <m/>
  </r>
  <r>
    <x v="12"/>
    <x v="194"/>
    <n v="704"/>
    <n v="14482"/>
    <n v="2"/>
    <n v="150"/>
    <m/>
    <m/>
    <m/>
    <m/>
    <m/>
    <m/>
    <m/>
  </r>
  <r>
    <x v="13"/>
    <x v="194"/>
    <n v="0"/>
    <n v="68"/>
    <m/>
    <n v="2"/>
    <m/>
    <m/>
    <m/>
    <m/>
    <m/>
    <m/>
    <m/>
  </r>
  <r>
    <x v="14"/>
    <x v="194"/>
    <n v="286"/>
    <n v="4812"/>
    <n v="4"/>
    <n v="50"/>
    <m/>
    <m/>
    <m/>
    <m/>
    <m/>
    <m/>
    <m/>
  </r>
  <r>
    <x v="15"/>
    <x v="194"/>
    <n v="130"/>
    <n v="8719"/>
    <n v="2"/>
    <n v="153"/>
    <m/>
    <m/>
    <m/>
    <m/>
    <m/>
    <m/>
    <m/>
  </r>
  <r>
    <x v="16"/>
    <x v="194"/>
    <n v="340"/>
    <n v="6765"/>
    <n v="2"/>
    <n v="89"/>
    <m/>
    <m/>
    <m/>
    <m/>
    <m/>
    <m/>
    <m/>
  </r>
  <r>
    <x v="17"/>
    <x v="194"/>
    <n v="-5"/>
    <n v="417"/>
    <m/>
    <n v="12"/>
    <m/>
    <m/>
    <m/>
    <m/>
    <m/>
    <m/>
    <m/>
  </r>
  <r>
    <x v="18"/>
    <x v="194"/>
    <n v="1"/>
    <n v="383"/>
    <m/>
    <n v="0"/>
    <m/>
    <m/>
    <m/>
    <m/>
    <m/>
    <m/>
    <m/>
  </r>
  <r>
    <x v="19"/>
    <x v="194"/>
    <n v="193"/>
    <n v="3069"/>
    <m/>
    <n v="21"/>
    <m/>
    <m/>
    <m/>
    <m/>
    <m/>
    <m/>
    <m/>
  </r>
  <r>
    <x v="20"/>
    <x v="194"/>
    <n v="1055"/>
    <n v="18617"/>
    <n v="2"/>
    <n v="196"/>
    <m/>
    <m/>
    <m/>
    <m/>
    <m/>
    <m/>
    <m/>
  </r>
  <r>
    <x v="21"/>
    <x v="194"/>
    <n v="79"/>
    <n v="1832"/>
    <n v="1"/>
    <n v="26"/>
    <m/>
    <m/>
    <m/>
    <m/>
    <m/>
    <m/>
    <m/>
  </r>
  <r>
    <x v="22"/>
    <x v="194"/>
    <n v="22"/>
    <n v="2705"/>
    <n v="1"/>
    <n v="45"/>
    <m/>
    <m/>
    <m/>
    <m/>
    <m/>
    <m/>
    <m/>
  </r>
  <r>
    <x v="23"/>
    <x v="194"/>
    <n v="583"/>
    <n v="6628"/>
    <m/>
    <n v="19"/>
    <m/>
    <m/>
    <m/>
    <m/>
    <m/>
    <m/>
    <m/>
  </r>
  <r>
    <x v="0"/>
    <x v="195"/>
    <n v="4863"/>
    <n v="336652"/>
    <n v="158"/>
    <n v="6933"/>
    <m/>
    <m/>
    <m/>
    <m/>
    <m/>
    <m/>
    <m/>
  </r>
  <r>
    <x v="4"/>
    <x v="195"/>
    <n v="946"/>
    <n v="111846"/>
    <n v="53"/>
    <n v="2765"/>
    <m/>
    <m/>
    <m/>
    <m/>
    <m/>
    <m/>
    <m/>
  </r>
  <r>
    <x v="1"/>
    <x v="195"/>
    <n v="5"/>
    <n v="129"/>
    <m/>
    <n v="0"/>
    <m/>
    <m/>
    <m/>
    <m/>
    <m/>
    <m/>
    <m/>
  </r>
  <r>
    <x v="2"/>
    <x v="195"/>
    <n v="41"/>
    <n v="6792"/>
    <n v="3"/>
    <n v="242"/>
    <m/>
    <m/>
    <m/>
    <m/>
    <m/>
    <m/>
    <m/>
  </r>
  <r>
    <x v="3"/>
    <x v="195"/>
    <n v="39"/>
    <n v="1757"/>
    <n v="6"/>
    <n v="20"/>
    <m/>
    <m/>
    <m/>
    <m/>
    <m/>
    <m/>
    <m/>
  </r>
  <r>
    <x v="5"/>
    <x v="195"/>
    <n v="535"/>
    <n v="14974"/>
    <n v="7"/>
    <n v="204"/>
    <m/>
    <m/>
    <m/>
    <m/>
    <m/>
    <m/>
    <m/>
  </r>
  <r>
    <x v="6"/>
    <x v="195"/>
    <n v="58"/>
    <n v="718"/>
    <m/>
    <n v="6"/>
    <m/>
    <m/>
    <m/>
    <m/>
    <m/>
    <m/>
    <m/>
  </r>
  <r>
    <x v="7"/>
    <x v="195"/>
    <n v="72"/>
    <n v="5310"/>
    <m/>
    <n v="89"/>
    <m/>
    <m/>
    <m/>
    <m/>
    <m/>
    <m/>
    <m/>
  </r>
  <r>
    <x v="8"/>
    <x v="195"/>
    <n v="1"/>
    <n v="95"/>
    <m/>
    <n v="1"/>
    <m/>
    <m/>
    <m/>
    <m/>
    <m/>
    <m/>
    <m/>
  </r>
  <r>
    <x v="9"/>
    <x v="195"/>
    <n v="277"/>
    <n v="12399"/>
    <n v="10"/>
    <n v="266"/>
    <m/>
    <m/>
    <m/>
    <m/>
    <m/>
    <m/>
    <m/>
  </r>
  <r>
    <x v="10"/>
    <x v="195"/>
    <n v="45"/>
    <n v="442"/>
    <m/>
    <n v="4"/>
    <m/>
    <m/>
    <m/>
    <m/>
    <m/>
    <m/>
    <m/>
  </r>
  <r>
    <x v="11"/>
    <x v="195"/>
    <n v="74"/>
    <n v="2882"/>
    <n v="24"/>
    <n v="82"/>
    <m/>
    <m/>
    <m/>
    <m/>
    <m/>
    <m/>
    <m/>
  </r>
  <r>
    <x v="12"/>
    <x v="195"/>
    <n v="650"/>
    <n v="15132"/>
    <n v="3"/>
    <n v="153"/>
    <m/>
    <m/>
    <m/>
    <m/>
    <m/>
    <m/>
    <m/>
  </r>
  <r>
    <x v="13"/>
    <x v="195"/>
    <n v="0"/>
    <n v="68"/>
    <m/>
    <n v="2"/>
    <m/>
    <m/>
    <m/>
    <m/>
    <m/>
    <m/>
    <m/>
  </r>
  <r>
    <x v="14"/>
    <x v="195"/>
    <n v="227"/>
    <n v="5039"/>
    <n v="2"/>
    <n v="52"/>
    <m/>
    <m/>
    <m/>
    <m/>
    <m/>
    <m/>
    <m/>
  </r>
  <r>
    <x v="15"/>
    <x v="195"/>
    <n v="135"/>
    <n v="8854"/>
    <n v="8"/>
    <n v="161"/>
    <m/>
    <m/>
    <m/>
    <m/>
    <m/>
    <m/>
    <m/>
  </r>
  <r>
    <x v="16"/>
    <x v="195"/>
    <n v="229"/>
    <n v="6994"/>
    <n v="5"/>
    <n v="94"/>
    <m/>
    <m/>
    <m/>
    <m/>
    <m/>
    <m/>
    <m/>
  </r>
  <r>
    <x v="17"/>
    <x v="195"/>
    <n v="0"/>
    <n v="417"/>
    <m/>
    <n v="12"/>
    <m/>
    <m/>
    <m/>
    <m/>
    <m/>
    <m/>
    <m/>
  </r>
  <r>
    <x v="18"/>
    <x v="195"/>
    <n v="49"/>
    <n v="432"/>
    <m/>
    <n v="0"/>
    <m/>
    <m/>
    <m/>
    <m/>
    <m/>
    <m/>
    <m/>
  </r>
  <r>
    <x v="19"/>
    <x v="195"/>
    <n v="39"/>
    <n v="3108"/>
    <n v="15"/>
    <n v="36"/>
    <m/>
    <m/>
    <m/>
    <m/>
    <m/>
    <m/>
    <m/>
  </r>
  <r>
    <x v="20"/>
    <x v="195"/>
    <n v="850"/>
    <n v="19467"/>
    <n v="16"/>
    <n v="212"/>
    <m/>
    <m/>
    <m/>
    <m/>
    <m/>
    <m/>
    <m/>
  </r>
  <r>
    <x v="21"/>
    <x v="195"/>
    <n v="81"/>
    <n v="1913"/>
    <n v="2"/>
    <n v="28"/>
    <m/>
    <m/>
    <m/>
    <m/>
    <m/>
    <m/>
    <m/>
  </r>
  <r>
    <x v="22"/>
    <x v="195"/>
    <n v="72"/>
    <n v="2777"/>
    <n v="2"/>
    <n v="47"/>
    <m/>
    <m/>
    <m/>
    <m/>
    <m/>
    <m/>
    <m/>
  </r>
  <r>
    <x v="23"/>
    <x v="195"/>
    <n v="621"/>
    <n v="7249"/>
    <m/>
    <n v="19"/>
    <m/>
    <m/>
    <m/>
    <m/>
    <m/>
    <m/>
    <m/>
  </r>
  <r>
    <x v="0"/>
    <x v="196"/>
    <n v="6001"/>
    <n v="342653"/>
    <n v="100"/>
    <n v="7033"/>
    <m/>
    <m/>
    <m/>
    <m/>
    <m/>
    <m/>
    <m/>
  </r>
  <r>
    <x v="4"/>
    <x v="196"/>
    <n v="1010"/>
    <n v="112856"/>
    <n v="26"/>
    <n v="2791"/>
    <m/>
    <m/>
    <m/>
    <m/>
    <m/>
    <m/>
    <m/>
  </r>
  <r>
    <x v="1"/>
    <x v="196"/>
    <n v="4"/>
    <n v="133"/>
    <m/>
    <n v="0"/>
    <m/>
    <m/>
    <m/>
    <m/>
    <m/>
    <m/>
    <m/>
  </r>
  <r>
    <x v="2"/>
    <x v="196"/>
    <n v="87"/>
    <n v="6879"/>
    <n v="2"/>
    <n v="244"/>
    <m/>
    <m/>
    <m/>
    <m/>
    <m/>
    <m/>
    <m/>
  </r>
  <r>
    <x v="3"/>
    <x v="196"/>
    <n v="98"/>
    <n v="1855"/>
    <n v="3"/>
    <n v="23"/>
    <m/>
    <m/>
    <m/>
    <m/>
    <m/>
    <m/>
    <m/>
  </r>
  <r>
    <x v="5"/>
    <x v="196"/>
    <n v="719"/>
    <n v="15693"/>
    <n v="8"/>
    <n v="212"/>
    <m/>
    <m/>
    <m/>
    <m/>
    <m/>
    <m/>
    <m/>
  </r>
  <r>
    <x v="6"/>
    <x v="196"/>
    <n v="60"/>
    <n v="778"/>
    <m/>
    <n v="6"/>
    <m/>
    <m/>
    <m/>
    <m/>
    <m/>
    <m/>
    <m/>
  </r>
  <r>
    <x v="7"/>
    <x v="196"/>
    <n v="189"/>
    <n v="5499"/>
    <n v="5"/>
    <n v="94"/>
    <m/>
    <m/>
    <m/>
    <m/>
    <m/>
    <m/>
    <m/>
  </r>
  <r>
    <x v="8"/>
    <x v="196"/>
    <n v="3"/>
    <n v="98"/>
    <m/>
    <n v="1"/>
    <m/>
    <m/>
    <m/>
    <m/>
    <m/>
    <m/>
    <m/>
  </r>
  <r>
    <x v="9"/>
    <x v="196"/>
    <n v="331"/>
    <n v="12730"/>
    <n v="10"/>
    <n v="276"/>
    <m/>
    <m/>
    <m/>
    <m/>
    <m/>
    <m/>
    <m/>
  </r>
  <r>
    <x v="10"/>
    <x v="196"/>
    <n v="24"/>
    <n v="466"/>
    <m/>
    <n v="4"/>
    <m/>
    <m/>
    <m/>
    <m/>
    <m/>
    <m/>
    <m/>
  </r>
  <r>
    <x v="11"/>
    <x v="196"/>
    <n v="124"/>
    <n v="3006"/>
    <n v="5"/>
    <n v="87"/>
    <m/>
    <m/>
    <m/>
    <m/>
    <m/>
    <m/>
    <m/>
  </r>
  <r>
    <x v="12"/>
    <x v="196"/>
    <n v="629"/>
    <n v="15761"/>
    <n v="3"/>
    <n v="156"/>
    <m/>
    <m/>
    <m/>
    <m/>
    <m/>
    <m/>
    <m/>
  </r>
  <r>
    <x v="13"/>
    <x v="196"/>
    <n v="-8"/>
    <n v="60"/>
    <m/>
    <n v="2"/>
    <m/>
    <m/>
    <m/>
    <m/>
    <m/>
    <m/>
    <m/>
  </r>
  <r>
    <x v="14"/>
    <x v="196"/>
    <n v="120"/>
    <n v="5159"/>
    <n v="1"/>
    <n v="53"/>
    <m/>
    <m/>
    <m/>
    <m/>
    <m/>
    <m/>
    <m/>
  </r>
  <r>
    <x v="15"/>
    <x v="196"/>
    <n v="375"/>
    <n v="9229"/>
    <n v="7"/>
    <n v="168"/>
    <m/>
    <m/>
    <m/>
    <m/>
    <m/>
    <m/>
    <m/>
  </r>
  <r>
    <x v="16"/>
    <x v="196"/>
    <n v="309"/>
    <n v="7303"/>
    <n v="5"/>
    <n v="99"/>
    <m/>
    <m/>
    <m/>
    <m/>
    <m/>
    <m/>
    <m/>
  </r>
  <r>
    <x v="17"/>
    <x v="196"/>
    <n v="11"/>
    <n v="428"/>
    <m/>
    <n v="12"/>
    <m/>
    <m/>
    <m/>
    <m/>
    <m/>
    <m/>
    <m/>
  </r>
  <r>
    <x v="18"/>
    <x v="196"/>
    <n v="51"/>
    <n v="483"/>
    <m/>
    <n v="0"/>
    <m/>
    <m/>
    <m/>
    <m/>
    <m/>
    <m/>
    <m/>
  </r>
  <r>
    <x v="19"/>
    <x v="196"/>
    <n v="84"/>
    <n v="3192"/>
    <m/>
    <n v="36"/>
    <m/>
    <m/>
    <m/>
    <m/>
    <m/>
    <m/>
    <m/>
  </r>
  <r>
    <x v="20"/>
    <x v="196"/>
    <n v="1056"/>
    <n v="20523"/>
    <n v="7"/>
    <n v="219"/>
    <m/>
    <m/>
    <m/>
    <m/>
    <m/>
    <m/>
    <m/>
  </r>
  <r>
    <x v="21"/>
    <x v="196"/>
    <n v="69"/>
    <n v="1982"/>
    <m/>
    <n v="28"/>
    <m/>
    <m/>
    <m/>
    <m/>
    <m/>
    <m/>
    <m/>
  </r>
  <r>
    <x v="22"/>
    <x v="196"/>
    <n v="78"/>
    <n v="2855"/>
    <m/>
    <n v="47"/>
    <m/>
    <m/>
    <m/>
    <m/>
    <m/>
    <m/>
    <m/>
  </r>
  <r>
    <x v="23"/>
    <x v="196"/>
    <n v="468"/>
    <n v="7717"/>
    <n v="3"/>
    <n v="22"/>
    <m/>
    <m/>
    <m/>
    <m/>
    <m/>
    <m/>
    <m/>
  </r>
  <r>
    <x v="0"/>
    <x v="197"/>
    <n v="6078"/>
    <n v="348731"/>
    <n v="165"/>
    <n v="7198"/>
    <m/>
    <m/>
    <m/>
    <m/>
    <m/>
    <m/>
    <m/>
  </r>
  <r>
    <x v="4"/>
    <x v="197"/>
    <n v="813"/>
    <n v="113669"/>
    <n v="40"/>
    <n v="2831"/>
    <m/>
    <m/>
    <m/>
    <m/>
    <m/>
    <m/>
    <m/>
  </r>
  <r>
    <x v="1"/>
    <x v="197"/>
    <n v="21"/>
    <n v="154"/>
    <m/>
    <n v="0"/>
    <m/>
    <m/>
    <m/>
    <m/>
    <m/>
    <m/>
    <m/>
  </r>
  <r>
    <x v="2"/>
    <x v="197"/>
    <n v="122"/>
    <n v="7001"/>
    <m/>
    <n v="244"/>
    <m/>
    <m/>
    <m/>
    <m/>
    <m/>
    <m/>
    <m/>
  </r>
  <r>
    <x v="3"/>
    <x v="197"/>
    <n v="94"/>
    <n v="1949"/>
    <m/>
    <n v="23"/>
    <m/>
    <m/>
    <m/>
    <m/>
    <m/>
    <m/>
    <m/>
  </r>
  <r>
    <x v="5"/>
    <x v="197"/>
    <n v="691"/>
    <n v="16384"/>
    <n v="9"/>
    <n v="221"/>
    <m/>
    <m/>
    <m/>
    <m/>
    <m/>
    <m/>
    <m/>
  </r>
  <r>
    <x v="6"/>
    <x v="197"/>
    <n v="17"/>
    <n v="795"/>
    <m/>
    <n v="6"/>
    <m/>
    <m/>
    <m/>
    <m/>
    <m/>
    <m/>
    <m/>
  </r>
  <r>
    <x v="7"/>
    <x v="197"/>
    <n v="125"/>
    <n v="5624"/>
    <n v="3"/>
    <n v="97"/>
    <m/>
    <m/>
    <m/>
    <m/>
    <m/>
    <m/>
    <m/>
  </r>
  <r>
    <x v="8"/>
    <x v="197"/>
    <n v="-2"/>
    <n v="96"/>
    <m/>
    <n v="1"/>
    <m/>
    <m/>
    <m/>
    <m/>
    <m/>
    <m/>
    <m/>
  </r>
  <r>
    <x v="9"/>
    <x v="197"/>
    <n v="305"/>
    <n v="13035"/>
    <m/>
    <n v="276"/>
    <m/>
    <m/>
    <m/>
    <m/>
    <m/>
    <m/>
    <m/>
  </r>
  <r>
    <x v="10"/>
    <x v="197"/>
    <n v="39"/>
    <n v="505"/>
    <m/>
    <n v="4"/>
    <m/>
    <m/>
    <m/>
    <m/>
    <m/>
    <m/>
    <m/>
  </r>
  <r>
    <x v="11"/>
    <x v="197"/>
    <n v="125"/>
    <n v="3131"/>
    <m/>
    <n v="87"/>
    <m/>
    <m/>
    <m/>
    <m/>
    <m/>
    <m/>
    <m/>
  </r>
  <r>
    <x v="12"/>
    <x v="197"/>
    <n v="682"/>
    <n v="16443"/>
    <n v="3"/>
    <n v="159"/>
    <m/>
    <m/>
    <m/>
    <m/>
    <m/>
    <m/>
    <m/>
  </r>
  <r>
    <x v="13"/>
    <x v="197"/>
    <n v="3"/>
    <n v="63"/>
    <m/>
    <n v="2"/>
    <m/>
    <m/>
    <m/>
    <m/>
    <m/>
    <m/>
    <m/>
  </r>
  <r>
    <x v="14"/>
    <x v="197"/>
    <n v="189"/>
    <n v="5348"/>
    <n v="1"/>
    <n v="54"/>
    <m/>
    <m/>
    <m/>
    <m/>
    <m/>
    <m/>
    <m/>
  </r>
  <r>
    <x v="15"/>
    <x v="197"/>
    <n v="232"/>
    <n v="9461"/>
    <n v="8"/>
    <n v="176"/>
    <m/>
    <m/>
    <m/>
    <m/>
    <m/>
    <m/>
    <m/>
  </r>
  <r>
    <x v="16"/>
    <x v="197"/>
    <n v="319"/>
    <n v="7622"/>
    <n v="2"/>
    <n v="101"/>
    <m/>
    <m/>
    <m/>
    <m/>
    <m/>
    <m/>
    <m/>
  </r>
  <r>
    <x v="17"/>
    <x v="197"/>
    <n v="0"/>
    <n v="428"/>
    <n v="2"/>
    <n v="14"/>
    <m/>
    <m/>
    <m/>
    <m/>
    <m/>
    <m/>
    <m/>
  </r>
  <r>
    <x v="18"/>
    <x v="197"/>
    <n v="25"/>
    <n v="508"/>
    <m/>
    <n v="0"/>
    <m/>
    <m/>
    <m/>
    <m/>
    <m/>
    <m/>
    <m/>
  </r>
  <r>
    <x v="19"/>
    <x v="197"/>
    <n v="84"/>
    <n v="3276"/>
    <n v="3"/>
    <n v="39"/>
    <m/>
    <m/>
    <m/>
    <m/>
    <m/>
    <m/>
    <m/>
  </r>
  <r>
    <x v="20"/>
    <x v="197"/>
    <n v="1149"/>
    <n v="21672"/>
    <n v="17"/>
    <n v="236"/>
    <m/>
    <m/>
    <m/>
    <m/>
    <m/>
    <m/>
    <m/>
  </r>
  <r>
    <x v="21"/>
    <x v="197"/>
    <n v="59"/>
    <n v="2041"/>
    <m/>
    <n v="28"/>
    <m/>
    <m/>
    <m/>
    <m/>
    <m/>
    <m/>
    <m/>
  </r>
  <r>
    <x v="22"/>
    <x v="197"/>
    <n v="46"/>
    <n v="2901"/>
    <n v="3"/>
    <n v="50"/>
    <m/>
    <m/>
    <m/>
    <m/>
    <m/>
    <m/>
    <m/>
  </r>
  <r>
    <x v="23"/>
    <x v="197"/>
    <n v="458"/>
    <n v="8175"/>
    <n v="8"/>
    <n v="30"/>
    <m/>
    <m/>
    <m/>
    <m/>
    <m/>
    <m/>
    <m/>
  </r>
  <r>
    <x v="0"/>
    <x v="198"/>
    <n v="6319"/>
    <n v="355050"/>
    <n v="213"/>
    <n v="7411"/>
    <m/>
    <m/>
    <m/>
    <m/>
    <m/>
    <m/>
    <m/>
  </r>
  <r>
    <x v="4"/>
    <x v="198"/>
    <n v="1156"/>
    <n v="114825"/>
    <n v="24"/>
    <n v="2855"/>
    <m/>
    <m/>
    <m/>
    <m/>
    <m/>
    <m/>
    <m/>
  </r>
  <r>
    <x v="1"/>
    <x v="198"/>
    <n v="23"/>
    <n v="177"/>
    <m/>
    <n v="0"/>
    <m/>
    <m/>
    <m/>
    <m/>
    <m/>
    <m/>
    <m/>
  </r>
  <r>
    <x v="2"/>
    <x v="198"/>
    <n v="108"/>
    <n v="7109"/>
    <n v="3"/>
    <n v="247"/>
    <m/>
    <m/>
    <m/>
    <m/>
    <m/>
    <m/>
    <m/>
  </r>
  <r>
    <x v="3"/>
    <x v="198"/>
    <n v="95"/>
    <n v="2044"/>
    <n v="1"/>
    <n v="24"/>
    <m/>
    <m/>
    <m/>
    <m/>
    <m/>
    <m/>
    <m/>
  </r>
  <r>
    <x v="5"/>
    <x v="198"/>
    <n v="757"/>
    <n v="17141"/>
    <n v="7"/>
    <n v="228"/>
    <m/>
    <m/>
    <m/>
    <m/>
    <m/>
    <m/>
    <m/>
  </r>
  <r>
    <x v="6"/>
    <x v="198"/>
    <n v="73"/>
    <n v="868"/>
    <m/>
    <n v="6"/>
    <m/>
    <m/>
    <m/>
    <m/>
    <m/>
    <m/>
    <m/>
  </r>
  <r>
    <x v="7"/>
    <x v="198"/>
    <n v="150"/>
    <n v="5774"/>
    <n v="5"/>
    <n v="102"/>
    <m/>
    <m/>
    <m/>
    <m/>
    <m/>
    <m/>
    <m/>
  </r>
  <r>
    <x v="8"/>
    <x v="198"/>
    <n v="-3"/>
    <n v="93"/>
    <m/>
    <n v="1"/>
    <m/>
    <m/>
    <m/>
    <m/>
    <m/>
    <m/>
    <m/>
  </r>
  <r>
    <x v="9"/>
    <x v="198"/>
    <n v="309"/>
    <n v="13344"/>
    <n v="22"/>
    <n v="298"/>
    <m/>
    <m/>
    <m/>
    <m/>
    <m/>
    <m/>
    <m/>
  </r>
  <r>
    <x v="10"/>
    <x v="198"/>
    <n v="15"/>
    <n v="520"/>
    <m/>
    <n v="4"/>
    <m/>
    <m/>
    <m/>
    <m/>
    <m/>
    <m/>
    <m/>
  </r>
  <r>
    <x v="11"/>
    <x v="198"/>
    <n v="121"/>
    <n v="3252"/>
    <n v="6"/>
    <n v="93"/>
    <m/>
    <m/>
    <m/>
    <m/>
    <m/>
    <m/>
    <m/>
  </r>
  <r>
    <x v="12"/>
    <x v="198"/>
    <n v="566"/>
    <n v="17009"/>
    <n v="5"/>
    <n v="164"/>
    <m/>
    <m/>
    <m/>
    <m/>
    <m/>
    <m/>
    <m/>
  </r>
  <r>
    <x v="13"/>
    <x v="198"/>
    <n v="2"/>
    <n v="65"/>
    <m/>
    <n v="2"/>
    <m/>
    <m/>
    <m/>
    <m/>
    <m/>
    <m/>
    <m/>
  </r>
  <r>
    <x v="14"/>
    <x v="198"/>
    <n v="218"/>
    <n v="5566"/>
    <n v="7"/>
    <n v="61"/>
    <m/>
    <m/>
    <m/>
    <m/>
    <m/>
    <m/>
    <m/>
  </r>
  <r>
    <x v="15"/>
    <x v="198"/>
    <n v="291"/>
    <n v="9752"/>
    <n v="6"/>
    <n v="182"/>
    <m/>
    <m/>
    <m/>
    <m/>
    <m/>
    <m/>
    <m/>
  </r>
  <r>
    <x v="16"/>
    <x v="198"/>
    <n v="419"/>
    <n v="8041"/>
    <n v="15"/>
    <n v="116"/>
    <m/>
    <m/>
    <m/>
    <m/>
    <m/>
    <m/>
    <m/>
  </r>
  <r>
    <x v="17"/>
    <x v="198"/>
    <n v="20"/>
    <n v="448"/>
    <m/>
    <n v="14"/>
    <m/>
    <m/>
    <m/>
    <m/>
    <m/>
    <m/>
    <m/>
  </r>
  <r>
    <x v="18"/>
    <x v="198"/>
    <n v="62"/>
    <n v="570"/>
    <m/>
    <n v="0"/>
    <m/>
    <m/>
    <m/>
    <m/>
    <m/>
    <m/>
    <m/>
  </r>
  <r>
    <x v="19"/>
    <x v="198"/>
    <n v="86"/>
    <n v="3362"/>
    <n v="3"/>
    <n v="42"/>
    <m/>
    <m/>
    <m/>
    <m/>
    <m/>
    <m/>
    <m/>
  </r>
  <r>
    <x v="20"/>
    <x v="198"/>
    <n v="1362"/>
    <n v="23034"/>
    <n v="16"/>
    <n v="252"/>
    <m/>
    <m/>
    <m/>
    <m/>
    <m/>
    <m/>
    <m/>
  </r>
  <r>
    <x v="21"/>
    <x v="198"/>
    <n v="68"/>
    <n v="2109"/>
    <n v="2"/>
    <n v="30"/>
    <m/>
    <m/>
    <m/>
    <m/>
    <m/>
    <m/>
    <m/>
  </r>
  <r>
    <x v="22"/>
    <x v="198"/>
    <n v="49"/>
    <n v="2950"/>
    <n v="2"/>
    <n v="52"/>
    <m/>
    <m/>
    <m/>
    <m/>
    <m/>
    <m/>
    <m/>
  </r>
  <r>
    <x v="23"/>
    <x v="198"/>
    <n v="435"/>
    <n v="8610"/>
    <n v="7"/>
    <n v="37"/>
    <m/>
    <m/>
    <m/>
    <m/>
    <m/>
    <m/>
    <m/>
  </r>
  <r>
    <x v="0"/>
    <x v="199"/>
    <n v="5708"/>
    <n v="360758"/>
    <n v="92"/>
    <n v="7503"/>
    <m/>
    <m/>
    <m/>
    <m/>
    <m/>
    <m/>
    <m/>
  </r>
  <r>
    <x v="4"/>
    <x v="199"/>
    <n v="1070"/>
    <n v="115895"/>
    <n v="29"/>
    <n v="2884"/>
    <m/>
    <m/>
    <m/>
    <m/>
    <m/>
    <m/>
    <m/>
  </r>
  <r>
    <x v="1"/>
    <x v="199"/>
    <n v="6"/>
    <n v="183"/>
    <m/>
    <n v="0"/>
    <m/>
    <m/>
    <m/>
    <m/>
    <m/>
    <m/>
    <m/>
  </r>
  <r>
    <x v="2"/>
    <x v="199"/>
    <n v="104"/>
    <n v="7213"/>
    <n v="4"/>
    <n v="251"/>
    <m/>
    <m/>
    <m/>
    <m/>
    <m/>
    <m/>
    <m/>
  </r>
  <r>
    <x v="3"/>
    <x v="199"/>
    <n v="56"/>
    <n v="2100"/>
    <n v="1"/>
    <n v="25"/>
    <m/>
    <m/>
    <m/>
    <m/>
    <m/>
    <m/>
    <m/>
  </r>
  <r>
    <x v="5"/>
    <x v="199"/>
    <n v="716"/>
    <n v="17857"/>
    <n v="10"/>
    <n v="238"/>
    <m/>
    <m/>
    <m/>
    <m/>
    <m/>
    <m/>
    <m/>
  </r>
  <r>
    <x v="6"/>
    <x v="199"/>
    <n v="35"/>
    <n v="903"/>
    <m/>
    <n v="6"/>
    <m/>
    <m/>
    <m/>
    <m/>
    <m/>
    <m/>
    <m/>
  </r>
  <r>
    <x v="7"/>
    <x v="199"/>
    <n v="181"/>
    <n v="5955"/>
    <n v="2"/>
    <n v="104"/>
    <m/>
    <m/>
    <m/>
    <m/>
    <m/>
    <m/>
    <m/>
  </r>
  <r>
    <x v="8"/>
    <x v="199"/>
    <n v="-1"/>
    <n v="92"/>
    <m/>
    <n v="1"/>
    <m/>
    <m/>
    <m/>
    <m/>
    <m/>
    <m/>
    <m/>
  </r>
  <r>
    <x v="9"/>
    <x v="199"/>
    <n v="256"/>
    <n v="13600"/>
    <m/>
    <n v="298"/>
    <m/>
    <m/>
    <m/>
    <m/>
    <m/>
    <m/>
    <m/>
  </r>
  <r>
    <x v="10"/>
    <x v="199"/>
    <n v="14"/>
    <n v="534"/>
    <m/>
    <n v="4"/>
    <m/>
    <m/>
    <m/>
    <m/>
    <m/>
    <m/>
    <m/>
  </r>
  <r>
    <x v="11"/>
    <x v="199"/>
    <n v="152"/>
    <n v="3404"/>
    <n v="5"/>
    <n v="98"/>
    <m/>
    <m/>
    <m/>
    <m/>
    <m/>
    <m/>
    <m/>
  </r>
  <r>
    <x v="12"/>
    <x v="199"/>
    <n v="578"/>
    <n v="17587"/>
    <n v="5"/>
    <n v="169"/>
    <m/>
    <m/>
    <m/>
    <m/>
    <m/>
    <m/>
    <m/>
  </r>
  <r>
    <x v="13"/>
    <x v="199"/>
    <n v="3"/>
    <n v="68"/>
    <m/>
    <n v="2"/>
    <m/>
    <m/>
    <m/>
    <m/>
    <m/>
    <m/>
    <m/>
  </r>
  <r>
    <x v="14"/>
    <x v="199"/>
    <n v="150"/>
    <n v="5716"/>
    <n v="6"/>
    <n v="67"/>
    <m/>
    <m/>
    <m/>
    <m/>
    <m/>
    <m/>
    <m/>
  </r>
  <r>
    <x v="15"/>
    <x v="199"/>
    <n v="217"/>
    <n v="9969"/>
    <n v="6"/>
    <n v="188"/>
    <m/>
    <m/>
    <m/>
    <m/>
    <m/>
    <m/>
    <m/>
  </r>
  <r>
    <x v="16"/>
    <x v="199"/>
    <n v="450"/>
    <n v="8491"/>
    <n v="18"/>
    <n v="134"/>
    <m/>
    <m/>
    <m/>
    <m/>
    <m/>
    <m/>
    <m/>
  </r>
  <r>
    <x v="17"/>
    <x v="199"/>
    <n v="15"/>
    <n v="463"/>
    <n v="6"/>
    <n v="20"/>
    <m/>
    <m/>
    <m/>
    <m/>
    <m/>
    <m/>
    <m/>
  </r>
  <r>
    <x v="18"/>
    <x v="199"/>
    <n v="78"/>
    <n v="648"/>
    <m/>
    <n v="0"/>
    <m/>
    <m/>
    <m/>
    <m/>
    <m/>
    <m/>
    <m/>
  </r>
  <r>
    <x v="19"/>
    <x v="199"/>
    <n v="107"/>
    <n v="3469"/>
    <n v="2"/>
    <n v="44"/>
    <m/>
    <m/>
    <m/>
    <m/>
    <m/>
    <m/>
    <m/>
  </r>
  <r>
    <x v="20"/>
    <x v="199"/>
    <n v="1347"/>
    <n v="24381"/>
    <n v="10"/>
    <n v="262"/>
    <m/>
    <m/>
    <m/>
    <m/>
    <m/>
    <m/>
    <m/>
  </r>
  <r>
    <x v="21"/>
    <x v="199"/>
    <n v="137"/>
    <n v="2246"/>
    <m/>
    <n v="30"/>
    <m/>
    <m/>
    <m/>
    <m/>
    <m/>
    <m/>
    <m/>
  </r>
  <r>
    <x v="22"/>
    <x v="199"/>
    <n v="70"/>
    <n v="3020"/>
    <n v="1"/>
    <n v="53"/>
    <m/>
    <m/>
    <m/>
    <m/>
    <m/>
    <m/>
    <m/>
  </r>
  <r>
    <x v="23"/>
    <x v="199"/>
    <n v="496"/>
    <n v="9106"/>
    <m/>
    <n v="37"/>
    <m/>
    <m/>
    <m/>
    <m/>
    <m/>
    <m/>
    <m/>
  </r>
  <r>
    <x v="0"/>
    <x v="200"/>
    <n v="3877"/>
    <n v="364635"/>
    <n v="56"/>
    <n v="7559"/>
    <m/>
    <m/>
    <m/>
    <m/>
    <m/>
    <m/>
    <m/>
  </r>
  <r>
    <x v="4"/>
    <x v="200"/>
    <n v="683"/>
    <n v="116578"/>
    <n v="10"/>
    <n v="2894"/>
    <m/>
    <m/>
    <m/>
    <m/>
    <m/>
    <m/>
    <m/>
  </r>
  <r>
    <x v="1"/>
    <x v="200"/>
    <n v="7"/>
    <n v="190"/>
    <m/>
    <n v="0"/>
    <m/>
    <m/>
    <m/>
    <m/>
    <m/>
    <m/>
    <m/>
  </r>
  <r>
    <x v="2"/>
    <x v="200"/>
    <n v="132"/>
    <n v="7345"/>
    <n v="1"/>
    <n v="252"/>
    <m/>
    <m/>
    <m/>
    <m/>
    <m/>
    <m/>
    <m/>
  </r>
  <r>
    <x v="3"/>
    <x v="200"/>
    <n v="81"/>
    <n v="2181"/>
    <m/>
    <n v="25"/>
    <m/>
    <m/>
    <m/>
    <m/>
    <m/>
    <m/>
    <m/>
  </r>
  <r>
    <x v="5"/>
    <x v="200"/>
    <n v="751"/>
    <n v="18608"/>
    <n v="9"/>
    <n v="247"/>
    <m/>
    <m/>
    <m/>
    <m/>
    <m/>
    <m/>
    <m/>
  </r>
  <r>
    <x v="6"/>
    <x v="200"/>
    <n v="37"/>
    <n v="940"/>
    <n v="5"/>
    <n v="11"/>
    <m/>
    <m/>
    <m/>
    <m/>
    <m/>
    <m/>
    <m/>
  </r>
  <r>
    <x v="7"/>
    <x v="200"/>
    <n v="149"/>
    <n v="6104"/>
    <n v="2"/>
    <n v="106"/>
    <m/>
    <m/>
    <m/>
    <m/>
    <m/>
    <m/>
    <m/>
  </r>
  <r>
    <x v="8"/>
    <x v="200"/>
    <n v="9"/>
    <n v="101"/>
    <m/>
    <n v="1"/>
    <m/>
    <m/>
    <m/>
    <m/>
    <m/>
    <m/>
    <m/>
  </r>
  <r>
    <x v="9"/>
    <x v="200"/>
    <n v="295"/>
    <n v="13895"/>
    <n v="8"/>
    <n v="306"/>
    <m/>
    <m/>
    <m/>
    <m/>
    <m/>
    <m/>
    <m/>
  </r>
  <r>
    <x v="10"/>
    <x v="200"/>
    <n v="13"/>
    <n v="547"/>
    <m/>
    <n v="4"/>
    <m/>
    <m/>
    <m/>
    <m/>
    <m/>
    <m/>
    <m/>
  </r>
  <r>
    <x v="11"/>
    <x v="200"/>
    <n v="86"/>
    <n v="3490"/>
    <m/>
    <n v="98"/>
    <m/>
    <m/>
    <m/>
    <m/>
    <m/>
    <m/>
    <m/>
  </r>
  <r>
    <x v="12"/>
    <x v="200"/>
    <n v="673"/>
    <n v="18260"/>
    <n v="2"/>
    <n v="171"/>
    <m/>
    <m/>
    <m/>
    <m/>
    <m/>
    <m/>
    <m/>
  </r>
  <r>
    <x v="13"/>
    <x v="200"/>
    <n v="1"/>
    <n v="69"/>
    <m/>
    <n v="2"/>
    <m/>
    <m/>
    <m/>
    <m/>
    <m/>
    <m/>
    <m/>
  </r>
  <r>
    <x v="14"/>
    <x v="200"/>
    <n v="141"/>
    <n v="5857"/>
    <n v="3"/>
    <n v="70"/>
    <m/>
    <m/>
    <m/>
    <m/>
    <m/>
    <m/>
    <m/>
  </r>
  <r>
    <x v="15"/>
    <x v="200"/>
    <n v="245"/>
    <n v="10214"/>
    <n v="7"/>
    <n v="195"/>
    <m/>
    <m/>
    <m/>
    <m/>
    <m/>
    <m/>
    <m/>
  </r>
  <r>
    <x v="16"/>
    <x v="200"/>
    <n v="438"/>
    <n v="8929"/>
    <n v="21"/>
    <n v="155"/>
    <m/>
    <m/>
    <m/>
    <m/>
    <m/>
    <m/>
    <m/>
  </r>
  <r>
    <x v="17"/>
    <x v="200"/>
    <n v="1"/>
    <n v="464"/>
    <n v="1"/>
    <n v="21"/>
    <m/>
    <m/>
    <m/>
    <m/>
    <m/>
    <m/>
    <m/>
  </r>
  <r>
    <x v="18"/>
    <x v="200"/>
    <n v="24"/>
    <n v="672"/>
    <m/>
    <n v="0"/>
    <m/>
    <m/>
    <m/>
    <m/>
    <m/>
    <m/>
    <m/>
  </r>
  <r>
    <x v="19"/>
    <x v="200"/>
    <n v="195"/>
    <n v="3664"/>
    <m/>
    <n v="44"/>
    <m/>
    <m/>
    <m/>
    <m/>
    <m/>
    <m/>
    <m/>
  </r>
  <r>
    <x v="20"/>
    <x v="200"/>
    <n v="1137"/>
    <n v="25518"/>
    <n v="4"/>
    <n v="266"/>
    <m/>
    <m/>
    <m/>
    <m/>
    <m/>
    <m/>
    <m/>
  </r>
  <r>
    <x v="21"/>
    <x v="200"/>
    <n v="56"/>
    <n v="2302"/>
    <m/>
    <n v="30"/>
    <m/>
    <m/>
    <m/>
    <m/>
    <m/>
    <m/>
    <m/>
  </r>
  <r>
    <x v="22"/>
    <x v="200"/>
    <n v="98"/>
    <n v="3118"/>
    <m/>
    <n v="53"/>
    <m/>
    <m/>
    <m/>
    <m/>
    <m/>
    <m/>
    <m/>
  </r>
  <r>
    <x v="23"/>
    <x v="200"/>
    <n v="147"/>
    <n v="9253"/>
    <n v="14"/>
    <n v="51"/>
    <m/>
    <m/>
    <m/>
    <m/>
    <m/>
    <m/>
    <m/>
  </r>
  <r>
    <x v="0"/>
    <x v="201"/>
    <n v="3645"/>
    <n v="368280"/>
    <n v="118"/>
    <n v="7677"/>
    <m/>
    <m/>
    <m/>
    <m/>
    <m/>
    <m/>
    <m/>
  </r>
  <r>
    <x v="4"/>
    <x v="201"/>
    <n v="696"/>
    <n v="117274"/>
    <n v="9"/>
    <n v="2903"/>
    <m/>
    <m/>
    <m/>
    <m/>
    <m/>
    <m/>
    <m/>
  </r>
  <r>
    <x v="1"/>
    <x v="201"/>
    <n v="1"/>
    <n v="191"/>
    <m/>
    <n v="0"/>
    <m/>
    <m/>
    <m/>
    <m/>
    <m/>
    <m/>
    <m/>
  </r>
  <r>
    <x v="2"/>
    <x v="201"/>
    <n v="65"/>
    <n v="7410"/>
    <n v="3"/>
    <n v="255"/>
    <m/>
    <m/>
    <m/>
    <m/>
    <m/>
    <m/>
    <m/>
  </r>
  <r>
    <x v="3"/>
    <x v="201"/>
    <n v="126"/>
    <n v="2307"/>
    <m/>
    <n v="25"/>
    <m/>
    <m/>
    <m/>
    <m/>
    <m/>
    <m/>
    <m/>
  </r>
  <r>
    <x v="5"/>
    <x v="201"/>
    <n v="600"/>
    <n v="19208"/>
    <n v="8"/>
    <n v="255"/>
    <m/>
    <m/>
    <m/>
    <m/>
    <m/>
    <m/>
    <m/>
  </r>
  <r>
    <x v="6"/>
    <x v="201"/>
    <n v="28"/>
    <n v="968"/>
    <n v="3"/>
    <n v="14"/>
    <m/>
    <m/>
    <m/>
    <m/>
    <m/>
    <m/>
    <m/>
  </r>
  <r>
    <x v="7"/>
    <x v="201"/>
    <n v="102"/>
    <n v="6206"/>
    <n v="2"/>
    <n v="108"/>
    <m/>
    <m/>
    <m/>
    <m/>
    <m/>
    <m/>
    <m/>
  </r>
  <r>
    <x v="8"/>
    <x v="201"/>
    <n v="0"/>
    <n v="101"/>
    <m/>
    <n v="1"/>
    <m/>
    <m/>
    <m/>
    <m/>
    <m/>
    <m/>
    <m/>
  </r>
  <r>
    <x v="9"/>
    <x v="201"/>
    <n v="255"/>
    <n v="14150"/>
    <n v="21"/>
    <n v="327"/>
    <m/>
    <m/>
    <m/>
    <m/>
    <m/>
    <m/>
    <m/>
  </r>
  <r>
    <x v="10"/>
    <x v="201"/>
    <n v="21"/>
    <n v="568"/>
    <m/>
    <n v="4"/>
    <m/>
    <m/>
    <m/>
    <m/>
    <m/>
    <m/>
    <m/>
  </r>
  <r>
    <x v="11"/>
    <x v="201"/>
    <n v="260"/>
    <n v="3750"/>
    <n v="1"/>
    <n v="99"/>
    <m/>
    <m/>
    <m/>
    <m/>
    <m/>
    <m/>
    <m/>
  </r>
  <r>
    <x v="12"/>
    <x v="201"/>
    <n v="590"/>
    <n v="18850"/>
    <n v="8"/>
    <n v="179"/>
    <m/>
    <m/>
    <m/>
    <m/>
    <m/>
    <m/>
    <m/>
  </r>
  <r>
    <x v="13"/>
    <x v="201"/>
    <n v="1"/>
    <n v="70"/>
    <m/>
    <n v="2"/>
    <m/>
    <m/>
    <m/>
    <m/>
    <m/>
    <m/>
    <m/>
  </r>
  <r>
    <x v="14"/>
    <x v="201"/>
    <n v="155"/>
    <n v="6012"/>
    <n v="3"/>
    <n v="73"/>
    <m/>
    <m/>
    <m/>
    <m/>
    <m/>
    <m/>
    <m/>
  </r>
  <r>
    <x v="15"/>
    <x v="201"/>
    <n v="132"/>
    <n v="10346"/>
    <m/>
    <n v="195"/>
    <m/>
    <m/>
    <m/>
    <m/>
    <m/>
    <m/>
    <m/>
  </r>
  <r>
    <x v="16"/>
    <x v="201"/>
    <n v="339"/>
    <n v="9268"/>
    <n v="16"/>
    <n v="171"/>
    <m/>
    <m/>
    <m/>
    <m/>
    <m/>
    <m/>
    <m/>
  </r>
  <r>
    <x v="17"/>
    <x v="201"/>
    <n v="8"/>
    <n v="472"/>
    <m/>
    <n v="21"/>
    <m/>
    <m/>
    <m/>
    <m/>
    <m/>
    <m/>
    <m/>
  </r>
  <r>
    <x v="18"/>
    <x v="201"/>
    <n v="26"/>
    <n v="698"/>
    <m/>
    <n v="0"/>
    <m/>
    <m/>
    <m/>
    <m/>
    <m/>
    <m/>
    <m/>
  </r>
  <r>
    <x v="19"/>
    <x v="201"/>
    <n v="83"/>
    <n v="3747"/>
    <m/>
    <n v="44"/>
    <m/>
    <m/>
    <m/>
    <m/>
    <m/>
    <m/>
    <m/>
  </r>
  <r>
    <x v="20"/>
    <x v="201"/>
    <n v="877"/>
    <n v="26395"/>
    <n v="5"/>
    <n v="271"/>
    <m/>
    <m/>
    <m/>
    <m/>
    <m/>
    <m/>
    <m/>
  </r>
  <r>
    <x v="21"/>
    <x v="201"/>
    <n v="70"/>
    <n v="2372"/>
    <n v="5"/>
    <n v="35"/>
    <m/>
    <m/>
    <m/>
    <m/>
    <m/>
    <m/>
    <m/>
  </r>
  <r>
    <x v="22"/>
    <x v="201"/>
    <n v="79"/>
    <n v="3197"/>
    <n v="1"/>
    <n v="54"/>
    <m/>
    <m/>
    <m/>
    <m/>
    <m/>
    <m/>
    <m/>
  </r>
  <r>
    <x v="23"/>
    <x v="201"/>
    <n v="272"/>
    <n v="9525"/>
    <n v="50"/>
    <n v="101"/>
    <m/>
    <m/>
    <m/>
    <m/>
    <m/>
    <m/>
    <m/>
  </r>
  <r>
    <x v="0"/>
    <x v="202"/>
    <n v="3700"/>
    <n v="371980"/>
    <n v="276"/>
    <n v="7953"/>
    <m/>
    <m/>
    <m/>
    <m/>
    <m/>
    <m/>
    <m/>
  </r>
  <r>
    <x v="4"/>
    <x v="202"/>
    <n v="678"/>
    <n v="117952"/>
    <n v="30"/>
    <n v="2933"/>
    <m/>
    <m/>
    <m/>
    <m/>
    <m/>
    <m/>
    <m/>
  </r>
  <r>
    <x v="1"/>
    <x v="202"/>
    <n v="1"/>
    <n v="192"/>
    <m/>
    <n v="0"/>
    <m/>
    <m/>
    <m/>
    <m/>
    <m/>
    <m/>
    <m/>
  </r>
  <r>
    <x v="2"/>
    <x v="202"/>
    <n v="69"/>
    <n v="7479"/>
    <n v="7"/>
    <n v="262"/>
    <m/>
    <m/>
    <m/>
    <m/>
    <m/>
    <m/>
    <m/>
  </r>
  <r>
    <x v="3"/>
    <x v="202"/>
    <n v="116"/>
    <n v="2423"/>
    <m/>
    <n v="25"/>
    <m/>
    <m/>
    <m/>
    <m/>
    <m/>
    <m/>
    <m/>
  </r>
  <r>
    <x v="5"/>
    <x v="202"/>
    <n v="770"/>
    <n v="19978"/>
    <n v="5"/>
    <n v="260"/>
    <m/>
    <m/>
    <m/>
    <m/>
    <m/>
    <m/>
    <m/>
  </r>
  <r>
    <x v="6"/>
    <x v="202"/>
    <n v="61"/>
    <n v="1029"/>
    <n v="1"/>
    <n v="15"/>
    <m/>
    <m/>
    <m/>
    <m/>
    <m/>
    <m/>
    <m/>
  </r>
  <r>
    <x v="7"/>
    <x v="202"/>
    <n v="85"/>
    <n v="6291"/>
    <n v="3"/>
    <n v="111"/>
    <m/>
    <m/>
    <m/>
    <m/>
    <m/>
    <m/>
    <m/>
  </r>
  <r>
    <x v="8"/>
    <x v="202"/>
    <n v="0"/>
    <n v="101"/>
    <m/>
    <n v="1"/>
    <m/>
    <m/>
    <m/>
    <m/>
    <m/>
    <m/>
    <m/>
  </r>
  <r>
    <x v="9"/>
    <x v="202"/>
    <n v="101"/>
    <n v="14251"/>
    <n v="11"/>
    <n v="338"/>
    <m/>
    <m/>
    <m/>
    <m/>
    <m/>
    <m/>
    <m/>
  </r>
  <r>
    <x v="10"/>
    <x v="202"/>
    <n v="18"/>
    <n v="586"/>
    <m/>
    <n v="4"/>
    <m/>
    <m/>
    <m/>
    <m/>
    <m/>
    <m/>
    <m/>
  </r>
  <r>
    <x v="11"/>
    <x v="202"/>
    <n v="350"/>
    <n v="4100"/>
    <n v="2"/>
    <n v="101"/>
    <m/>
    <m/>
    <m/>
    <m/>
    <m/>
    <m/>
    <m/>
  </r>
  <r>
    <x v="12"/>
    <x v="202"/>
    <n v="599"/>
    <n v="19449"/>
    <n v="6"/>
    <n v="185"/>
    <m/>
    <m/>
    <m/>
    <m/>
    <m/>
    <m/>
    <m/>
  </r>
  <r>
    <x v="13"/>
    <x v="202"/>
    <n v="0"/>
    <n v="70"/>
    <m/>
    <n v="2"/>
    <m/>
    <m/>
    <m/>
    <m/>
    <m/>
    <m/>
    <m/>
  </r>
  <r>
    <x v="14"/>
    <x v="202"/>
    <n v="211"/>
    <n v="6223"/>
    <n v="13"/>
    <n v="86"/>
    <m/>
    <m/>
    <m/>
    <m/>
    <m/>
    <m/>
    <m/>
  </r>
  <r>
    <x v="15"/>
    <x v="202"/>
    <n v="132"/>
    <n v="10478"/>
    <n v="21"/>
    <n v="216"/>
    <m/>
    <m/>
    <m/>
    <m/>
    <m/>
    <m/>
    <m/>
  </r>
  <r>
    <x v="16"/>
    <x v="202"/>
    <n v="138"/>
    <n v="9406"/>
    <n v="23"/>
    <n v="194"/>
    <m/>
    <m/>
    <m/>
    <m/>
    <m/>
    <m/>
    <m/>
  </r>
  <r>
    <x v="17"/>
    <x v="202"/>
    <n v="18"/>
    <n v="490"/>
    <m/>
    <n v="21"/>
    <m/>
    <m/>
    <m/>
    <m/>
    <m/>
    <m/>
    <m/>
  </r>
  <r>
    <x v="18"/>
    <x v="202"/>
    <n v="83"/>
    <n v="781"/>
    <m/>
    <n v="0"/>
    <m/>
    <m/>
    <m/>
    <m/>
    <m/>
    <m/>
    <m/>
  </r>
  <r>
    <x v="19"/>
    <x v="202"/>
    <n v="95"/>
    <n v="3842"/>
    <n v="1"/>
    <n v="45"/>
    <m/>
    <m/>
    <m/>
    <m/>
    <m/>
    <m/>
    <m/>
  </r>
  <r>
    <x v="20"/>
    <x v="202"/>
    <n v="1215"/>
    <n v="27610"/>
    <n v="27"/>
    <n v="298"/>
    <m/>
    <m/>
    <m/>
    <m/>
    <m/>
    <m/>
    <m/>
  </r>
  <r>
    <x v="21"/>
    <x v="202"/>
    <n v="53"/>
    <n v="2425"/>
    <n v="2"/>
    <n v="37"/>
    <m/>
    <m/>
    <m/>
    <m/>
    <m/>
    <m/>
    <m/>
  </r>
  <r>
    <x v="22"/>
    <x v="202"/>
    <n v="81"/>
    <n v="3278"/>
    <n v="1"/>
    <n v="55"/>
    <m/>
    <m/>
    <m/>
    <m/>
    <m/>
    <m/>
    <m/>
  </r>
  <r>
    <x v="23"/>
    <x v="202"/>
    <n v="208"/>
    <n v="9733"/>
    <m/>
    <n v="101"/>
    <m/>
    <m/>
    <m/>
    <m/>
    <m/>
    <m/>
    <m/>
  </r>
  <r>
    <x v="0"/>
    <x v="203"/>
    <n v="5344"/>
    <n v="377324"/>
    <n v="337"/>
    <n v="8290"/>
    <m/>
    <m/>
    <m/>
    <m/>
    <m/>
    <m/>
    <m/>
  </r>
  <r>
    <x v="4"/>
    <x v="203"/>
    <n v="927"/>
    <n v="118879"/>
    <n v="44"/>
    <n v="2977"/>
    <m/>
    <m/>
    <m/>
    <m/>
    <m/>
    <m/>
    <m/>
  </r>
  <r>
    <x v="1"/>
    <x v="203"/>
    <n v="-5"/>
    <n v="187"/>
    <m/>
    <n v="0"/>
    <m/>
    <m/>
    <m/>
    <m/>
    <m/>
    <m/>
    <m/>
  </r>
  <r>
    <x v="2"/>
    <x v="203"/>
    <n v="94"/>
    <n v="7573"/>
    <m/>
    <n v="262"/>
    <m/>
    <m/>
    <m/>
    <m/>
    <m/>
    <m/>
    <m/>
  </r>
  <r>
    <x v="3"/>
    <x v="203"/>
    <n v="132"/>
    <n v="2555"/>
    <n v="2"/>
    <n v="27"/>
    <m/>
    <m/>
    <m/>
    <m/>
    <m/>
    <m/>
    <m/>
  </r>
  <r>
    <x v="5"/>
    <x v="203"/>
    <n v="1152"/>
    <n v="21130"/>
    <n v="9"/>
    <n v="269"/>
    <m/>
    <m/>
    <m/>
    <m/>
    <m/>
    <m/>
    <m/>
  </r>
  <r>
    <x v="6"/>
    <x v="203"/>
    <n v="30"/>
    <n v="1059"/>
    <m/>
    <n v="15"/>
    <m/>
    <m/>
    <m/>
    <m/>
    <m/>
    <m/>
    <m/>
  </r>
  <r>
    <x v="7"/>
    <x v="203"/>
    <n v="121"/>
    <n v="6412"/>
    <n v="8"/>
    <n v="119"/>
    <m/>
    <m/>
    <m/>
    <m/>
    <m/>
    <m/>
    <m/>
  </r>
  <r>
    <x v="8"/>
    <x v="203"/>
    <n v="0"/>
    <n v="101"/>
    <m/>
    <n v="1"/>
    <m/>
    <m/>
    <m/>
    <m/>
    <m/>
    <m/>
    <m/>
  </r>
  <r>
    <x v="9"/>
    <x v="203"/>
    <n v="99"/>
    <n v="14350"/>
    <n v="13"/>
    <n v="351"/>
    <m/>
    <m/>
    <m/>
    <m/>
    <m/>
    <m/>
    <m/>
  </r>
  <r>
    <x v="10"/>
    <x v="203"/>
    <n v="22"/>
    <n v="608"/>
    <m/>
    <n v="4"/>
    <m/>
    <m/>
    <m/>
    <m/>
    <m/>
    <m/>
    <m/>
  </r>
  <r>
    <x v="11"/>
    <x v="203"/>
    <n v="120"/>
    <n v="4220"/>
    <m/>
    <n v="101"/>
    <m/>
    <m/>
    <m/>
    <m/>
    <m/>
    <m/>
    <m/>
  </r>
  <r>
    <x v="12"/>
    <x v="203"/>
    <n v="426"/>
    <n v="19875"/>
    <n v="10"/>
    <n v="195"/>
    <m/>
    <m/>
    <m/>
    <m/>
    <m/>
    <m/>
    <m/>
  </r>
  <r>
    <x v="13"/>
    <x v="203"/>
    <n v="8"/>
    <n v="78"/>
    <m/>
    <n v="2"/>
    <m/>
    <m/>
    <m/>
    <m/>
    <m/>
    <m/>
    <m/>
  </r>
  <r>
    <x v="14"/>
    <x v="203"/>
    <n v="218"/>
    <n v="6441"/>
    <n v="6"/>
    <n v="92"/>
    <m/>
    <m/>
    <m/>
    <m/>
    <m/>
    <m/>
    <m/>
  </r>
  <r>
    <x v="15"/>
    <x v="203"/>
    <n v="251"/>
    <n v="10729"/>
    <n v="12"/>
    <n v="228"/>
    <m/>
    <m/>
    <m/>
    <m/>
    <m/>
    <m/>
    <m/>
  </r>
  <r>
    <x v="16"/>
    <x v="203"/>
    <n v="444"/>
    <n v="9850"/>
    <n v="12"/>
    <n v="206"/>
    <m/>
    <m/>
    <m/>
    <m/>
    <m/>
    <m/>
    <m/>
  </r>
  <r>
    <x v="17"/>
    <x v="203"/>
    <n v="27"/>
    <n v="517"/>
    <m/>
    <n v="21"/>
    <m/>
    <m/>
    <m/>
    <m/>
    <m/>
    <m/>
    <m/>
  </r>
  <r>
    <x v="18"/>
    <x v="203"/>
    <n v="77"/>
    <n v="858"/>
    <n v="3"/>
    <n v="3"/>
    <m/>
    <m/>
    <m/>
    <m/>
    <m/>
    <m/>
    <m/>
  </r>
  <r>
    <x v="19"/>
    <x v="203"/>
    <n v="74"/>
    <n v="3916"/>
    <n v="1"/>
    <n v="46"/>
    <m/>
    <m/>
    <m/>
    <m/>
    <m/>
    <m/>
    <m/>
  </r>
  <r>
    <x v="20"/>
    <x v="203"/>
    <n v="1592"/>
    <n v="29202"/>
    <n v="8"/>
    <n v="306"/>
    <m/>
    <m/>
    <m/>
    <m/>
    <m/>
    <m/>
    <m/>
  </r>
  <r>
    <x v="21"/>
    <x v="203"/>
    <n v="75"/>
    <n v="2500"/>
    <n v="2"/>
    <n v="39"/>
    <m/>
    <m/>
    <m/>
    <m/>
    <m/>
    <m/>
    <m/>
  </r>
  <r>
    <x v="22"/>
    <x v="203"/>
    <n v="78"/>
    <n v="3356"/>
    <n v="2"/>
    <n v="57"/>
    <m/>
    <m/>
    <m/>
    <m/>
    <m/>
    <m/>
    <m/>
  </r>
  <r>
    <x v="23"/>
    <x v="203"/>
    <n v="721"/>
    <n v="10454"/>
    <m/>
    <n v="101"/>
    <m/>
    <m/>
    <m/>
    <m/>
    <m/>
    <m/>
    <m/>
  </r>
  <r>
    <x v="0"/>
    <x v="204"/>
    <n v="5389"/>
    <n v="382713"/>
    <n v="291"/>
    <n v="8581"/>
    <m/>
    <m/>
    <m/>
    <m/>
    <m/>
    <m/>
    <m/>
  </r>
  <r>
    <x v="4"/>
    <x v="204"/>
    <n v="929"/>
    <n v="119808"/>
    <n v="34"/>
    <n v="3011"/>
    <m/>
    <m/>
    <m/>
    <m/>
    <m/>
    <m/>
    <m/>
  </r>
  <r>
    <x v="1"/>
    <x v="204"/>
    <n v="6"/>
    <n v="193"/>
    <m/>
    <n v="0"/>
    <m/>
    <m/>
    <m/>
    <m/>
    <m/>
    <m/>
    <m/>
  </r>
  <r>
    <x v="2"/>
    <x v="204"/>
    <n v="86"/>
    <n v="7659"/>
    <n v="3"/>
    <n v="265"/>
    <m/>
    <m/>
    <m/>
    <m/>
    <m/>
    <m/>
    <m/>
  </r>
  <r>
    <x v="3"/>
    <x v="204"/>
    <n v="203"/>
    <n v="2758"/>
    <n v="1"/>
    <n v="28"/>
    <m/>
    <m/>
    <m/>
    <m/>
    <m/>
    <m/>
    <m/>
  </r>
  <r>
    <x v="5"/>
    <x v="204"/>
    <n v="1435"/>
    <n v="22565"/>
    <n v="11"/>
    <n v="280"/>
    <m/>
    <m/>
    <m/>
    <m/>
    <m/>
    <m/>
    <m/>
  </r>
  <r>
    <x v="6"/>
    <x v="204"/>
    <n v="-45"/>
    <n v="1014"/>
    <m/>
    <n v="15"/>
    <m/>
    <m/>
    <m/>
    <m/>
    <m/>
    <m/>
    <m/>
  </r>
  <r>
    <x v="7"/>
    <x v="204"/>
    <n v="118"/>
    <n v="6530"/>
    <n v="3"/>
    <n v="122"/>
    <m/>
    <m/>
    <m/>
    <m/>
    <m/>
    <m/>
    <m/>
  </r>
  <r>
    <x v="8"/>
    <x v="204"/>
    <n v="1"/>
    <n v="102"/>
    <m/>
    <n v="1"/>
    <m/>
    <m/>
    <m/>
    <m/>
    <m/>
    <m/>
    <m/>
  </r>
  <r>
    <x v="9"/>
    <x v="204"/>
    <n v="230"/>
    <n v="14580"/>
    <n v="11"/>
    <n v="362"/>
    <m/>
    <m/>
    <m/>
    <m/>
    <m/>
    <m/>
    <m/>
  </r>
  <r>
    <x v="10"/>
    <x v="204"/>
    <n v="15"/>
    <n v="623"/>
    <m/>
    <n v="4"/>
    <m/>
    <m/>
    <m/>
    <m/>
    <m/>
    <m/>
    <m/>
  </r>
  <r>
    <x v="11"/>
    <x v="204"/>
    <n v="48"/>
    <n v="4268"/>
    <m/>
    <n v="101"/>
    <m/>
    <m/>
    <m/>
    <m/>
    <m/>
    <m/>
    <m/>
  </r>
  <r>
    <x v="12"/>
    <x v="204"/>
    <n v="528"/>
    <n v="20403"/>
    <n v="12"/>
    <n v="207"/>
    <m/>
    <m/>
    <m/>
    <m/>
    <m/>
    <m/>
    <m/>
  </r>
  <r>
    <x v="13"/>
    <x v="204"/>
    <n v="4"/>
    <n v="82"/>
    <m/>
    <n v="2"/>
    <m/>
    <m/>
    <m/>
    <m/>
    <m/>
    <m/>
    <m/>
  </r>
  <r>
    <x v="14"/>
    <x v="204"/>
    <n v="176"/>
    <n v="6617"/>
    <n v="7"/>
    <n v="99"/>
    <m/>
    <m/>
    <m/>
    <m/>
    <m/>
    <m/>
    <m/>
  </r>
  <r>
    <x v="15"/>
    <x v="204"/>
    <n v="272"/>
    <n v="11001"/>
    <n v="8"/>
    <n v="236"/>
    <m/>
    <m/>
    <m/>
    <m/>
    <m/>
    <m/>
    <m/>
  </r>
  <r>
    <x v="16"/>
    <x v="204"/>
    <n v="347"/>
    <n v="10197"/>
    <n v="15"/>
    <n v="221"/>
    <m/>
    <m/>
    <m/>
    <m/>
    <m/>
    <m/>
    <m/>
  </r>
  <r>
    <x v="17"/>
    <x v="204"/>
    <n v="19"/>
    <n v="536"/>
    <n v="4"/>
    <n v="25"/>
    <m/>
    <m/>
    <m/>
    <m/>
    <m/>
    <m/>
    <m/>
  </r>
  <r>
    <x v="18"/>
    <x v="204"/>
    <n v="62"/>
    <n v="920"/>
    <m/>
    <n v="3"/>
    <m/>
    <m/>
    <m/>
    <m/>
    <m/>
    <m/>
    <m/>
  </r>
  <r>
    <x v="19"/>
    <x v="204"/>
    <n v="114"/>
    <n v="4030"/>
    <n v="1"/>
    <n v="47"/>
    <m/>
    <m/>
    <m/>
    <m/>
    <m/>
    <m/>
    <m/>
  </r>
  <r>
    <x v="20"/>
    <x v="204"/>
    <n v="1682"/>
    <n v="30884"/>
    <n v="17"/>
    <n v="323"/>
    <m/>
    <m/>
    <m/>
    <m/>
    <m/>
    <m/>
    <m/>
  </r>
  <r>
    <x v="21"/>
    <x v="204"/>
    <n v="108"/>
    <n v="2608"/>
    <n v="4"/>
    <n v="43"/>
    <m/>
    <m/>
    <m/>
    <m/>
    <m/>
    <m/>
    <m/>
  </r>
  <r>
    <x v="22"/>
    <x v="204"/>
    <n v="79"/>
    <n v="3435"/>
    <n v="2"/>
    <n v="59"/>
    <m/>
    <m/>
    <m/>
    <m/>
    <m/>
    <m/>
    <m/>
  </r>
  <r>
    <x v="23"/>
    <x v="204"/>
    <n v="819"/>
    <n v="11273"/>
    <m/>
    <n v="101"/>
    <m/>
    <m/>
    <m/>
    <m/>
    <m/>
    <m/>
    <m/>
  </r>
  <r>
    <x v="0"/>
    <x v="205"/>
    <n v="6122"/>
    <n v="388835"/>
    <n v="282"/>
    <n v="8863"/>
    <m/>
    <m/>
    <m/>
    <m/>
    <m/>
    <m/>
    <m/>
  </r>
  <r>
    <x v="4"/>
    <x v="205"/>
    <n v="1009"/>
    <n v="120817"/>
    <n v="19"/>
    <n v="3030"/>
    <m/>
    <m/>
    <m/>
    <m/>
    <m/>
    <m/>
    <m/>
  </r>
  <r>
    <x v="1"/>
    <x v="205"/>
    <n v="2"/>
    <n v="195"/>
    <m/>
    <n v="0"/>
    <m/>
    <m/>
    <m/>
    <m/>
    <m/>
    <m/>
    <m/>
  </r>
  <r>
    <x v="2"/>
    <x v="205"/>
    <n v="128"/>
    <n v="7787"/>
    <n v="5"/>
    <n v="270"/>
    <m/>
    <m/>
    <m/>
    <m/>
    <m/>
    <m/>
    <m/>
  </r>
  <r>
    <x v="3"/>
    <x v="205"/>
    <n v="162"/>
    <n v="2920"/>
    <m/>
    <n v="28"/>
    <m/>
    <m/>
    <m/>
    <m/>
    <m/>
    <m/>
    <m/>
  </r>
  <r>
    <x v="5"/>
    <x v="205"/>
    <n v="1626"/>
    <n v="24191"/>
    <n v="13"/>
    <n v="293"/>
    <m/>
    <m/>
    <m/>
    <m/>
    <m/>
    <m/>
    <m/>
  </r>
  <r>
    <x v="6"/>
    <x v="205"/>
    <n v="-4"/>
    <n v="1010"/>
    <n v="1"/>
    <n v="16"/>
    <m/>
    <m/>
    <m/>
    <m/>
    <m/>
    <m/>
    <m/>
  </r>
  <r>
    <x v="7"/>
    <x v="205"/>
    <n v="115"/>
    <n v="6645"/>
    <n v="3"/>
    <n v="125"/>
    <m/>
    <m/>
    <m/>
    <m/>
    <m/>
    <m/>
    <m/>
  </r>
  <r>
    <x v="8"/>
    <x v="205"/>
    <n v="0"/>
    <n v="102"/>
    <m/>
    <n v="1"/>
    <m/>
    <m/>
    <m/>
    <m/>
    <m/>
    <m/>
    <m/>
  </r>
  <r>
    <x v="9"/>
    <x v="205"/>
    <n v="223"/>
    <n v="14803"/>
    <n v="11"/>
    <n v="373"/>
    <m/>
    <m/>
    <m/>
    <m/>
    <m/>
    <m/>
    <m/>
  </r>
  <r>
    <x v="10"/>
    <x v="205"/>
    <n v="34"/>
    <n v="657"/>
    <m/>
    <n v="4"/>
    <m/>
    <m/>
    <m/>
    <m/>
    <m/>
    <m/>
    <m/>
  </r>
  <r>
    <x v="11"/>
    <x v="205"/>
    <n v="100"/>
    <n v="4368"/>
    <m/>
    <n v="101"/>
    <m/>
    <m/>
    <m/>
    <m/>
    <m/>
    <m/>
    <m/>
  </r>
  <r>
    <x v="12"/>
    <x v="205"/>
    <n v="656"/>
    <n v="21059"/>
    <n v="6"/>
    <n v="213"/>
    <m/>
    <m/>
    <m/>
    <m/>
    <m/>
    <m/>
    <m/>
  </r>
  <r>
    <x v="13"/>
    <x v="205"/>
    <n v="3"/>
    <n v="85"/>
    <m/>
    <n v="2"/>
    <m/>
    <m/>
    <m/>
    <m/>
    <m/>
    <m/>
    <m/>
  </r>
  <r>
    <x v="14"/>
    <x v="205"/>
    <n v="253"/>
    <n v="6870"/>
    <n v="2"/>
    <n v="101"/>
    <m/>
    <m/>
    <m/>
    <m/>
    <m/>
    <m/>
    <m/>
  </r>
  <r>
    <x v="15"/>
    <x v="205"/>
    <n v="247"/>
    <n v="11248"/>
    <n v="10"/>
    <n v="246"/>
    <m/>
    <m/>
    <m/>
    <m/>
    <m/>
    <m/>
    <m/>
  </r>
  <r>
    <x v="16"/>
    <x v="205"/>
    <n v="286"/>
    <n v="10483"/>
    <n v="14"/>
    <n v="235"/>
    <m/>
    <m/>
    <m/>
    <m/>
    <m/>
    <m/>
    <m/>
  </r>
  <r>
    <x v="17"/>
    <x v="205"/>
    <n v="12"/>
    <n v="548"/>
    <m/>
    <n v="25"/>
    <m/>
    <m/>
    <m/>
    <m/>
    <m/>
    <m/>
    <m/>
  </r>
  <r>
    <x v="18"/>
    <x v="205"/>
    <n v="71"/>
    <n v="991"/>
    <m/>
    <n v="3"/>
    <m/>
    <m/>
    <m/>
    <m/>
    <m/>
    <m/>
    <m/>
  </r>
  <r>
    <x v="19"/>
    <x v="205"/>
    <n v="86"/>
    <n v="4116"/>
    <n v="2"/>
    <n v="49"/>
    <m/>
    <m/>
    <m/>
    <m/>
    <m/>
    <m/>
    <m/>
  </r>
  <r>
    <x v="20"/>
    <x v="205"/>
    <n v="1928"/>
    <n v="32812"/>
    <n v="20"/>
    <n v="343"/>
    <m/>
    <m/>
    <m/>
    <m/>
    <m/>
    <m/>
    <m/>
  </r>
  <r>
    <x v="21"/>
    <x v="205"/>
    <n v="116"/>
    <n v="2724"/>
    <n v="1"/>
    <n v="44"/>
    <m/>
    <m/>
    <m/>
    <m/>
    <m/>
    <m/>
    <m/>
  </r>
  <r>
    <x v="22"/>
    <x v="205"/>
    <n v="68"/>
    <n v="3503"/>
    <n v="1"/>
    <n v="60"/>
    <m/>
    <m/>
    <m/>
    <m/>
    <m/>
    <m/>
    <m/>
  </r>
  <r>
    <x v="23"/>
    <x v="205"/>
    <n v="224"/>
    <n v="11497"/>
    <n v="1"/>
    <n v="102"/>
    <m/>
    <m/>
    <m/>
    <m/>
    <m/>
    <m/>
    <m/>
  </r>
  <r>
    <x v="0"/>
    <x v="206"/>
    <n v="5600"/>
    <n v="394435"/>
    <n v="240"/>
    <n v="9103"/>
    <m/>
    <m/>
    <m/>
    <m/>
    <m/>
    <m/>
    <m/>
  </r>
  <r>
    <x v="4"/>
    <x v="206"/>
    <n v="926"/>
    <n v="121743"/>
    <n v="47"/>
    <n v="3077"/>
    <m/>
    <m/>
    <m/>
    <m/>
    <m/>
    <m/>
    <m/>
  </r>
  <r>
    <x v="1"/>
    <x v="206"/>
    <n v="6"/>
    <n v="201"/>
    <m/>
    <n v="0"/>
    <m/>
    <m/>
    <m/>
    <m/>
    <m/>
    <m/>
    <m/>
  </r>
  <r>
    <x v="2"/>
    <x v="206"/>
    <n v="120"/>
    <n v="7907"/>
    <n v="5"/>
    <n v="275"/>
    <m/>
    <m/>
    <m/>
    <m/>
    <m/>
    <m/>
    <m/>
  </r>
  <r>
    <x v="3"/>
    <x v="206"/>
    <n v="207"/>
    <n v="3127"/>
    <n v="1"/>
    <n v="29"/>
    <m/>
    <m/>
    <m/>
    <m/>
    <m/>
    <m/>
    <m/>
  </r>
  <r>
    <x v="5"/>
    <x v="206"/>
    <n v="1575"/>
    <n v="25766"/>
    <n v="17"/>
    <n v="310"/>
    <m/>
    <m/>
    <m/>
    <m/>
    <m/>
    <m/>
    <m/>
  </r>
  <r>
    <x v="6"/>
    <x v="206"/>
    <n v="-8"/>
    <n v="1002"/>
    <m/>
    <n v="16"/>
    <m/>
    <m/>
    <m/>
    <m/>
    <m/>
    <m/>
    <m/>
  </r>
  <r>
    <x v="7"/>
    <x v="206"/>
    <n v="165"/>
    <n v="6810"/>
    <n v="2"/>
    <n v="127"/>
    <m/>
    <m/>
    <m/>
    <m/>
    <m/>
    <m/>
    <m/>
  </r>
  <r>
    <x v="8"/>
    <x v="206"/>
    <n v="0"/>
    <n v="102"/>
    <m/>
    <n v="1"/>
    <m/>
    <m/>
    <m/>
    <m/>
    <m/>
    <m/>
    <m/>
  </r>
  <r>
    <x v="9"/>
    <x v="206"/>
    <n v="193"/>
    <n v="14996"/>
    <n v="21"/>
    <n v="394"/>
    <m/>
    <m/>
    <m/>
    <m/>
    <m/>
    <m/>
    <m/>
  </r>
  <r>
    <x v="10"/>
    <x v="206"/>
    <n v="25"/>
    <n v="682"/>
    <m/>
    <n v="4"/>
    <m/>
    <m/>
    <m/>
    <m/>
    <m/>
    <m/>
    <m/>
  </r>
  <r>
    <x v="11"/>
    <x v="206"/>
    <n v="106"/>
    <n v="4474"/>
    <m/>
    <n v="101"/>
    <m/>
    <m/>
    <m/>
    <m/>
    <m/>
    <m/>
    <m/>
  </r>
  <r>
    <x v="12"/>
    <x v="206"/>
    <n v="768"/>
    <n v="21827"/>
    <n v="15"/>
    <n v="228"/>
    <m/>
    <m/>
    <m/>
    <m/>
    <m/>
    <m/>
    <m/>
  </r>
  <r>
    <x v="13"/>
    <x v="206"/>
    <n v="2"/>
    <n v="87"/>
    <m/>
    <n v="2"/>
    <m/>
    <m/>
    <m/>
    <m/>
    <m/>
    <m/>
    <m/>
  </r>
  <r>
    <x v="14"/>
    <x v="206"/>
    <n v="105"/>
    <n v="6975"/>
    <n v="3"/>
    <n v="104"/>
    <m/>
    <m/>
    <m/>
    <m/>
    <m/>
    <m/>
    <m/>
  </r>
  <r>
    <x v="15"/>
    <x v="206"/>
    <n v="227"/>
    <n v="11475"/>
    <n v="10"/>
    <n v="256"/>
    <m/>
    <m/>
    <m/>
    <m/>
    <m/>
    <m/>
    <m/>
  </r>
  <r>
    <x v="16"/>
    <x v="206"/>
    <n v="469"/>
    <n v="10952"/>
    <n v="43"/>
    <n v="278"/>
    <m/>
    <m/>
    <m/>
    <m/>
    <m/>
    <m/>
    <m/>
  </r>
  <r>
    <x v="17"/>
    <x v="206"/>
    <n v="8"/>
    <n v="556"/>
    <m/>
    <n v="25"/>
    <m/>
    <m/>
    <m/>
    <m/>
    <m/>
    <m/>
    <m/>
  </r>
  <r>
    <x v="18"/>
    <x v="206"/>
    <n v="94"/>
    <n v="1085"/>
    <n v="1"/>
    <n v="4"/>
    <m/>
    <m/>
    <m/>
    <m/>
    <m/>
    <m/>
    <m/>
  </r>
  <r>
    <x v="19"/>
    <x v="206"/>
    <n v="139"/>
    <n v="4255"/>
    <n v="1"/>
    <n v="50"/>
    <m/>
    <m/>
    <m/>
    <m/>
    <m/>
    <m/>
    <m/>
  </r>
  <r>
    <x v="20"/>
    <x v="206"/>
    <n v="1728"/>
    <n v="34540"/>
    <n v="26"/>
    <n v="369"/>
    <m/>
    <m/>
    <m/>
    <m/>
    <m/>
    <m/>
    <m/>
  </r>
  <r>
    <x v="21"/>
    <x v="206"/>
    <n v="94"/>
    <n v="2818"/>
    <n v="3"/>
    <n v="47"/>
    <m/>
    <m/>
    <m/>
    <m/>
    <m/>
    <m/>
    <m/>
  </r>
  <r>
    <x v="22"/>
    <x v="206"/>
    <n v="37"/>
    <n v="3540"/>
    <n v="2"/>
    <n v="62"/>
    <m/>
    <m/>
    <m/>
    <m/>
    <m/>
    <m/>
    <m/>
  </r>
  <r>
    <x v="23"/>
    <x v="206"/>
    <n v="383"/>
    <n v="11880"/>
    <n v="5"/>
    <n v="107"/>
    <m/>
    <m/>
    <m/>
    <m/>
    <m/>
    <m/>
    <m/>
  </r>
  <r>
    <x v="0"/>
    <x v="207"/>
    <n v="4480"/>
    <n v="398915"/>
    <n v="173"/>
    <n v="9276"/>
    <m/>
    <m/>
    <m/>
    <m/>
    <m/>
    <m/>
    <m/>
  </r>
  <r>
    <x v="4"/>
    <x v="207"/>
    <n v="917"/>
    <n v="122660"/>
    <n v="59"/>
    <n v="3136"/>
    <m/>
    <m/>
    <m/>
    <m/>
    <m/>
    <m/>
    <m/>
  </r>
  <r>
    <x v="1"/>
    <x v="207"/>
    <n v="4"/>
    <n v="205"/>
    <m/>
    <n v="0"/>
    <m/>
    <m/>
    <m/>
    <m/>
    <m/>
    <m/>
    <m/>
  </r>
  <r>
    <x v="2"/>
    <x v="207"/>
    <n v="160"/>
    <n v="8067"/>
    <n v="2"/>
    <n v="277"/>
    <m/>
    <m/>
    <m/>
    <m/>
    <m/>
    <m/>
    <m/>
  </r>
  <r>
    <x v="3"/>
    <x v="207"/>
    <n v="182"/>
    <n v="3309"/>
    <n v="3"/>
    <n v="32"/>
    <m/>
    <m/>
    <m/>
    <m/>
    <m/>
    <m/>
    <m/>
  </r>
  <r>
    <x v="5"/>
    <x v="207"/>
    <n v="1867"/>
    <n v="27633"/>
    <n v="18"/>
    <n v="328"/>
    <m/>
    <m/>
    <m/>
    <m/>
    <m/>
    <m/>
    <m/>
  </r>
  <r>
    <x v="6"/>
    <x v="207"/>
    <n v="12"/>
    <n v="1014"/>
    <m/>
    <n v="16"/>
    <m/>
    <m/>
    <m/>
    <m/>
    <m/>
    <m/>
    <m/>
  </r>
  <r>
    <x v="7"/>
    <x v="207"/>
    <n v="146"/>
    <n v="6956"/>
    <n v="2"/>
    <n v="129"/>
    <m/>
    <m/>
    <m/>
    <m/>
    <m/>
    <m/>
    <m/>
  </r>
  <r>
    <x v="8"/>
    <x v="207"/>
    <n v="2"/>
    <n v="104"/>
    <m/>
    <n v="1"/>
    <m/>
    <m/>
    <m/>
    <m/>
    <m/>
    <m/>
    <m/>
  </r>
  <r>
    <x v="9"/>
    <x v="207"/>
    <n v="209"/>
    <n v="15205"/>
    <n v="19"/>
    <n v="413"/>
    <m/>
    <m/>
    <m/>
    <m/>
    <m/>
    <m/>
    <m/>
  </r>
  <r>
    <x v="10"/>
    <x v="207"/>
    <n v="2"/>
    <n v="684"/>
    <n v="1"/>
    <n v="5"/>
    <m/>
    <m/>
    <m/>
    <m/>
    <m/>
    <m/>
    <m/>
  </r>
  <r>
    <x v="11"/>
    <x v="207"/>
    <n v="22"/>
    <n v="4496"/>
    <m/>
    <n v="101"/>
    <m/>
    <m/>
    <m/>
    <m/>
    <m/>
    <m/>
    <m/>
  </r>
  <r>
    <x v="12"/>
    <x v="207"/>
    <n v="656"/>
    <n v="22483"/>
    <n v="14"/>
    <n v="242"/>
    <m/>
    <m/>
    <m/>
    <m/>
    <m/>
    <m/>
    <m/>
  </r>
  <r>
    <x v="13"/>
    <x v="207"/>
    <n v="-5"/>
    <n v="82"/>
    <m/>
    <n v="2"/>
    <m/>
    <m/>
    <m/>
    <m/>
    <m/>
    <m/>
    <m/>
  </r>
  <r>
    <x v="14"/>
    <x v="207"/>
    <n v="180"/>
    <n v="7155"/>
    <n v="5"/>
    <n v="109"/>
    <m/>
    <m/>
    <m/>
    <m/>
    <m/>
    <m/>
    <m/>
  </r>
  <r>
    <x v="15"/>
    <x v="207"/>
    <n v="243"/>
    <n v="11718"/>
    <n v="1"/>
    <n v="257"/>
    <m/>
    <m/>
    <m/>
    <m/>
    <m/>
    <m/>
    <m/>
  </r>
  <r>
    <x v="16"/>
    <x v="207"/>
    <n v="301"/>
    <n v="11253"/>
    <n v="15"/>
    <n v="293"/>
    <m/>
    <m/>
    <m/>
    <m/>
    <m/>
    <m/>
    <m/>
  </r>
  <r>
    <x v="17"/>
    <x v="207"/>
    <n v="2"/>
    <n v="558"/>
    <n v="3"/>
    <n v="28"/>
    <m/>
    <m/>
    <m/>
    <m/>
    <m/>
    <m/>
    <m/>
  </r>
  <r>
    <x v="18"/>
    <x v="207"/>
    <n v="1"/>
    <n v="1086"/>
    <m/>
    <n v="4"/>
    <m/>
    <m/>
    <m/>
    <m/>
    <m/>
    <m/>
    <m/>
  </r>
  <r>
    <x v="19"/>
    <x v="207"/>
    <n v="125"/>
    <n v="4380"/>
    <n v="5"/>
    <n v="55"/>
    <m/>
    <m/>
    <m/>
    <m/>
    <m/>
    <m/>
    <m/>
  </r>
  <r>
    <x v="20"/>
    <x v="207"/>
    <n v="1311"/>
    <n v="35851"/>
    <n v="15"/>
    <n v="384"/>
    <m/>
    <m/>
    <m/>
    <m/>
    <m/>
    <m/>
    <m/>
  </r>
  <r>
    <x v="21"/>
    <x v="207"/>
    <n v="71"/>
    <n v="2889"/>
    <n v="2"/>
    <n v="49"/>
    <m/>
    <m/>
    <m/>
    <m/>
    <m/>
    <m/>
    <m/>
  </r>
  <r>
    <x v="22"/>
    <x v="207"/>
    <n v="102"/>
    <n v="3642"/>
    <m/>
    <n v="62"/>
    <m/>
    <m/>
    <m/>
    <m/>
    <m/>
    <m/>
    <m/>
  </r>
  <r>
    <x v="23"/>
    <x v="207"/>
    <n v="249"/>
    <n v="12129"/>
    <m/>
    <n v="107"/>
    <m/>
    <m/>
    <m/>
    <m/>
    <m/>
    <m/>
    <m/>
  </r>
  <r>
    <x v="0"/>
    <x v="208"/>
    <n v="2947"/>
    <n v="401862"/>
    <n v="68"/>
    <n v="9344"/>
    <m/>
    <m/>
    <m/>
    <m/>
    <m/>
    <m/>
    <m/>
  </r>
  <r>
    <x v="4"/>
    <x v="208"/>
    <n v="628"/>
    <n v="123288"/>
    <n v="62"/>
    <n v="3198"/>
    <m/>
    <m/>
    <m/>
    <m/>
    <m/>
    <m/>
    <m/>
  </r>
  <r>
    <x v="1"/>
    <x v="208"/>
    <n v="67"/>
    <n v="272"/>
    <m/>
    <n v="0"/>
    <m/>
    <m/>
    <m/>
    <m/>
    <m/>
    <m/>
    <m/>
  </r>
  <r>
    <x v="2"/>
    <x v="208"/>
    <n v="111"/>
    <n v="8178"/>
    <n v="1"/>
    <n v="278"/>
    <m/>
    <m/>
    <m/>
    <m/>
    <m/>
    <m/>
    <m/>
  </r>
  <r>
    <x v="3"/>
    <x v="208"/>
    <n v="100"/>
    <n v="3409"/>
    <m/>
    <n v="32"/>
    <m/>
    <m/>
    <m/>
    <m/>
    <m/>
    <m/>
    <m/>
  </r>
  <r>
    <x v="5"/>
    <x v="208"/>
    <n v="1577"/>
    <n v="29210"/>
    <n v="17"/>
    <n v="345"/>
    <m/>
    <m/>
    <m/>
    <m/>
    <m/>
    <m/>
    <m/>
  </r>
  <r>
    <x v="6"/>
    <x v="208"/>
    <n v="49"/>
    <n v="1063"/>
    <n v="3"/>
    <n v="19"/>
    <m/>
    <m/>
    <m/>
    <m/>
    <m/>
    <m/>
    <m/>
  </r>
  <r>
    <x v="7"/>
    <x v="208"/>
    <n v="85"/>
    <n v="7041"/>
    <n v="2"/>
    <n v="131"/>
    <m/>
    <m/>
    <m/>
    <m/>
    <m/>
    <m/>
    <m/>
  </r>
  <r>
    <x v="8"/>
    <x v="208"/>
    <n v="1"/>
    <n v="105"/>
    <m/>
    <n v="1"/>
    <m/>
    <m/>
    <m/>
    <m/>
    <m/>
    <m/>
    <m/>
  </r>
  <r>
    <x v="9"/>
    <x v="208"/>
    <n v="97"/>
    <n v="15302"/>
    <n v="18"/>
    <n v="431"/>
    <m/>
    <m/>
    <m/>
    <m/>
    <m/>
    <m/>
    <m/>
  </r>
  <r>
    <x v="10"/>
    <x v="208"/>
    <n v="10"/>
    <n v="694"/>
    <n v="2"/>
    <n v="7"/>
    <m/>
    <m/>
    <m/>
    <m/>
    <m/>
    <m/>
    <m/>
  </r>
  <r>
    <x v="11"/>
    <x v="208"/>
    <n v="86"/>
    <n v="4582"/>
    <m/>
    <n v="101"/>
    <m/>
    <m/>
    <m/>
    <m/>
    <m/>
    <m/>
    <m/>
  </r>
  <r>
    <x v="12"/>
    <x v="208"/>
    <n v="558"/>
    <n v="23041"/>
    <n v="2"/>
    <n v="244"/>
    <m/>
    <m/>
    <m/>
    <m/>
    <m/>
    <m/>
    <m/>
  </r>
  <r>
    <x v="13"/>
    <x v="208"/>
    <n v="3"/>
    <n v="85"/>
    <m/>
    <n v="2"/>
    <m/>
    <m/>
    <m/>
    <m/>
    <m/>
    <m/>
    <m/>
  </r>
  <r>
    <x v="14"/>
    <x v="208"/>
    <n v="181"/>
    <n v="7336"/>
    <n v="2"/>
    <n v="111"/>
    <m/>
    <m/>
    <m/>
    <m/>
    <m/>
    <m/>
    <m/>
  </r>
  <r>
    <x v="15"/>
    <x v="208"/>
    <n v="200"/>
    <n v="11918"/>
    <n v="8"/>
    <n v="265"/>
    <m/>
    <m/>
    <m/>
    <m/>
    <m/>
    <m/>
    <m/>
  </r>
  <r>
    <x v="16"/>
    <x v="208"/>
    <n v="244"/>
    <n v="11497"/>
    <n v="3"/>
    <n v="296"/>
    <m/>
    <m/>
    <m/>
    <m/>
    <m/>
    <m/>
    <m/>
  </r>
  <r>
    <x v="17"/>
    <x v="208"/>
    <n v="65"/>
    <n v="623"/>
    <m/>
    <n v="28"/>
    <m/>
    <m/>
    <m/>
    <m/>
    <m/>
    <m/>
    <m/>
  </r>
  <r>
    <x v="18"/>
    <x v="208"/>
    <n v="5"/>
    <n v="1091"/>
    <m/>
    <n v="4"/>
    <m/>
    <m/>
    <m/>
    <m/>
    <m/>
    <m/>
    <m/>
  </r>
  <r>
    <x v="19"/>
    <x v="208"/>
    <n v="77"/>
    <n v="4457"/>
    <n v="2"/>
    <n v="57"/>
    <m/>
    <m/>
    <m/>
    <m/>
    <m/>
    <m/>
    <m/>
  </r>
  <r>
    <x v="20"/>
    <x v="208"/>
    <n v="944"/>
    <n v="36795"/>
    <n v="13"/>
    <n v="397"/>
    <m/>
    <m/>
    <m/>
    <m/>
    <m/>
    <m/>
    <m/>
  </r>
  <r>
    <x v="21"/>
    <x v="208"/>
    <n v="168"/>
    <n v="3057"/>
    <n v="3"/>
    <n v="52"/>
    <m/>
    <m/>
    <m/>
    <m/>
    <m/>
    <m/>
    <m/>
  </r>
  <r>
    <x v="22"/>
    <x v="208"/>
    <n v="86"/>
    <n v="3728"/>
    <m/>
    <n v="62"/>
    <m/>
    <m/>
    <m/>
    <m/>
    <m/>
    <m/>
    <m/>
  </r>
  <r>
    <x v="23"/>
    <x v="208"/>
    <n v="552"/>
    <n v="12681"/>
    <m/>
    <n v="107"/>
    <m/>
    <m/>
    <m/>
    <m/>
    <m/>
    <m/>
    <m/>
  </r>
  <r>
    <x v="0"/>
    <x v="209"/>
    <n v="4544"/>
    <n v="406406"/>
    <n v="192"/>
    <n v="9536"/>
    <m/>
    <m/>
    <m/>
    <m/>
    <m/>
    <m/>
    <m/>
  </r>
  <r>
    <x v="4"/>
    <x v="209"/>
    <n v="787"/>
    <n v="124075"/>
    <n v="39"/>
    <n v="3237"/>
    <m/>
    <m/>
    <m/>
    <m/>
    <m/>
    <m/>
    <m/>
  </r>
  <r>
    <x v="1"/>
    <x v="209"/>
    <n v="3"/>
    <n v="275"/>
    <m/>
    <n v="0"/>
    <m/>
    <m/>
    <m/>
    <m/>
    <m/>
    <m/>
    <m/>
  </r>
  <r>
    <x v="2"/>
    <x v="209"/>
    <n v="65"/>
    <n v="8243"/>
    <n v="2"/>
    <n v="280"/>
    <m/>
    <m/>
    <m/>
    <m/>
    <m/>
    <m/>
    <m/>
  </r>
  <r>
    <x v="3"/>
    <x v="209"/>
    <n v="181"/>
    <n v="3590"/>
    <n v="5"/>
    <n v="37"/>
    <m/>
    <m/>
    <m/>
    <m/>
    <m/>
    <m/>
    <m/>
  </r>
  <r>
    <x v="5"/>
    <x v="209"/>
    <n v="1475"/>
    <n v="30685"/>
    <n v="12"/>
    <n v="357"/>
    <m/>
    <m/>
    <m/>
    <m/>
    <m/>
    <m/>
    <m/>
  </r>
  <r>
    <x v="6"/>
    <x v="209"/>
    <n v="22"/>
    <n v="1085"/>
    <n v="4"/>
    <n v="23"/>
    <m/>
    <m/>
    <m/>
    <m/>
    <m/>
    <m/>
    <m/>
  </r>
  <r>
    <x v="7"/>
    <x v="209"/>
    <n v="103"/>
    <n v="7144"/>
    <n v="1"/>
    <n v="132"/>
    <m/>
    <m/>
    <m/>
    <m/>
    <m/>
    <m/>
    <m/>
  </r>
  <r>
    <x v="8"/>
    <x v="209"/>
    <n v="-1"/>
    <n v="104"/>
    <m/>
    <n v="1"/>
    <m/>
    <m/>
    <m/>
    <m/>
    <m/>
    <m/>
    <m/>
  </r>
  <r>
    <x v="9"/>
    <x v="209"/>
    <n v="109"/>
    <n v="15411"/>
    <n v="33"/>
    <n v="464"/>
    <m/>
    <m/>
    <m/>
    <m/>
    <m/>
    <m/>
    <m/>
  </r>
  <r>
    <x v="10"/>
    <x v="209"/>
    <n v="25"/>
    <n v="719"/>
    <m/>
    <n v="7"/>
    <m/>
    <m/>
    <m/>
    <m/>
    <m/>
    <m/>
    <m/>
  </r>
  <r>
    <x v="11"/>
    <x v="209"/>
    <n v="69"/>
    <n v="4651"/>
    <m/>
    <n v="101"/>
    <m/>
    <m/>
    <m/>
    <m/>
    <m/>
    <m/>
    <m/>
  </r>
  <r>
    <x v="12"/>
    <x v="209"/>
    <n v="649"/>
    <n v="23690"/>
    <n v="2"/>
    <n v="246"/>
    <m/>
    <m/>
    <m/>
    <m/>
    <m/>
    <m/>
    <m/>
  </r>
  <r>
    <x v="13"/>
    <x v="209"/>
    <n v="-6"/>
    <n v="79"/>
    <n v="1"/>
    <n v="3"/>
    <m/>
    <m/>
    <m/>
    <m/>
    <m/>
    <m/>
    <m/>
  </r>
  <r>
    <x v="14"/>
    <x v="209"/>
    <n v="288"/>
    <n v="7624"/>
    <n v="3"/>
    <n v="114"/>
    <m/>
    <m/>
    <m/>
    <m/>
    <m/>
    <m/>
    <m/>
  </r>
  <r>
    <x v="15"/>
    <x v="209"/>
    <n v="213"/>
    <n v="12131"/>
    <n v="6"/>
    <n v="271"/>
    <m/>
    <m/>
    <m/>
    <m/>
    <m/>
    <m/>
    <m/>
  </r>
  <r>
    <x v="16"/>
    <x v="209"/>
    <n v="234"/>
    <n v="11731"/>
    <n v="19"/>
    <n v="315"/>
    <m/>
    <m/>
    <m/>
    <m/>
    <m/>
    <m/>
    <m/>
  </r>
  <r>
    <x v="17"/>
    <x v="209"/>
    <n v="72"/>
    <n v="695"/>
    <m/>
    <n v="28"/>
    <m/>
    <m/>
    <m/>
    <m/>
    <m/>
    <m/>
    <m/>
  </r>
  <r>
    <x v="18"/>
    <x v="209"/>
    <n v="100"/>
    <n v="1191"/>
    <n v="1"/>
    <n v="5"/>
    <m/>
    <m/>
    <m/>
    <m/>
    <m/>
    <m/>
    <m/>
  </r>
  <r>
    <x v="19"/>
    <x v="209"/>
    <n v="129"/>
    <n v="4586"/>
    <n v="1"/>
    <n v="58"/>
    <m/>
    <m/>
    <m/>
    <m/>
    <m/>
    <m/>
    <m/>
  </r>
  <r>
    <x v="20"/>
    <x v="209"/>
    <n v="1575"/>
    <n v="38370"/>
    <n v="24"/>
    <n v="421"/>
    <m/>
    <m/>
    <m/>
    <m/>
    <m/>
    <m/>
    <m/>
  </r>
  <r>
    <x v="21"/>
    <x v="209"/>
    <n v="124"/>
    <n v="3181"/>
    <n v="5"/>
    <n v="57"/>
    <m/>
    <m/>
    <m/>
    <m/>
    <m/>
    <m/>
    <m/>
  </r>
  <r>
    <x v="22"/>
    <x v="209"/>
    <n v="158"/>
    <n v="3886"/>
    <n v="3"/>
    <n v="65"/>
    <m/>
    <m/>
    <m/>
    <m/>
    <m/>
    <m/>
    <m/>
  </r>
  <r>
    <x v="23"/>
    <x v="209"/>
    <n v="889"/>
    <n v="13570"/>
    <n v="12"/>
    <n v="119"/>
    <m/>
    <m/>
    <m/>
    <m/>
    <m/>
    <m/>
    <m/>
  </r>
  <r>
    <x v="0"/>
    <x v="210"/>
    <n v="5328"/>
    <n v="411734"/>
    <n v="249"/>
    <n v="9785"/>
    <m/>
    <m/>
    <m/>
    <m/>
    <m/>
    <m/>
    <m/>
  </r>
  <r>
    <x v="4"/>
    <x v="210"/>
    <n v="993"/>
    <n v="125068"/>
    <n v="52"/>
    <n v="3289"/>
    <m/>
    <m/>
    <m/>
    <m/>
    <m/>
    <m/>
    <m/>
  </r>
  <r>
    <x v="1"/>
    <x v="210"/>
    <n v="4"/>
    <n v="279"/>
    <m/>
    <n v="0"/>
    <m/>
    <m/>
    <m/>
    <m/>
    <m/>
    <m/>
    <m/>
  </r>
  <r>
    <x v="2"/>
    <x v="210"/>
    <n v="143"/>
    <n v="8386"/>
    <n v="1"/>
    <n v="281"/>
    <m/>
    <m/>
    <m/>
    <m/>
    <m/>
    <m/>
    <m/>
  </r>
  <r>
    <x v="3"/>
    <x v="210"/>
    <n v="209"/>
    <n v="3799"/>
    <n v="7"/>
    <n v="44"/>
    <m/>
    <m/>
    <m/>
    <m/>
    <m/>
    <m/>
    <m/>
  </r>
  <r>
    <x v="5"/>
    <x v="210"/>
    <n v="1800"/>
    <n v="32485"/>
    <n v="21"/>
    <n v="378"/>
    <m/>
    <m/>
    <m/>
    <m/>
    <m/>
    <m/>
    <m/>
  </r>
  <r>
    <x v="6"/>
    <x v="210"/>
    <n v="-12"/>
    <n v="1073"/>
    <n v="-1"/>
    <n v="22"/>
    <m/>
    <m/>
    <m/>
    <m/>
    <m/>
    <m/>
    <m/>
  </r>
  <r>
    <x v="7"/>
    <x v="210"/>
    <n v="162"/>
    <n v="7306"/>
    <n v="6"/>
    <n v="138"/>
    <m/>
    <m/>
    <m/>
    <m/>
    <m/>
    <m/>
    <m/>
  </r>
  <r>
    <x v="8"/>
    <x v="210"/>
    <n v="0"/>
    <n v="104"/>
    <m/>
    <n v="1"/>
    <m/>
    <m/>
    <m/>
    <m/>
    <m/>
    <m/>
    <m/>
  </r>
  <r>
    <x v="9"/>
    <x v="210"/>
    <n v="102"/>
    <n v="15513"/>
    <n v="4"/>
    <n v="468"/>
    <m/>
    <m/>
    <m/>
    <m/>
    <m/>
    <m/>
    <m/>
  </r>
  <r>
    <x v="10"/>
    <x v="210"/>
    <n v="19"/>
    <n v="738"/>
    <m/>
    <n v="7"/>
    <m/>
    <m/>
    <m/>
    <m/>
    <m/>
    <m/>
    <m/>
  </r>
  <r>
    <x v="11"/>
    <x v="210"/>
    <n v="51"/>
    <n v="4702"/>
    <m/>
    <n v="101"/>
    <m/>
    <m/>
    <m/>
    <m/>
    <m/>
    <m/>
    <m/>
  </r>
  <r>
    <x v="12"/>
    <x v="210"/>
    <n v="668"/>
    <n v="24358"/>
    <n v="7"/>
    <n v="253"/>
    <m/>
    <m/>
    <m/>
    <m/>
    <m/>
    <m/>
    <m/>
  </r>
  <r>
    <x v="13"/>
    <x v="210"/>
    <n v="8"/>
    <n v="87"/>
    <m/>
    <n v="3"/>
    <m/>
    <m/>
    <m/>
    <m/>
    <m/>
    <m/>
    <m/>
  </r>
  <r>
    <x v="14"/>
    <x v="210"/>
    <n v="77"/>
    <n v="7701"/>
    <n v="2"/>
    <n v="116"/>
    <m/>
    <m/>
    <m/>
    <m/>
    <m/>
    <m/>
    <m/>
  </r>
  <r>
    <x v="15"/>
    <x v="210"/>
    <n v="339"/>
    <n v="12470"/>
    <n v="8"/>
    <n v="279"/>
    <m/>
    <m/>
    <m/>
    <m/>
    <m/>
    <m/>
    <m/>
  </r>
  <r>
    <x v="16"/>
    <x v="210"/>
    <n v="324"/>
    <n v="12055"/>
    <n v="11"/>
    <n v="326"/>
    <m/>
    <m/>
    <m/>
    <m/>
    <m/>
    <m/>
    <m/>
  </r>
  <r>
    <x v="17"/>
    <x v="210"/>
    <n v="20"/>
    <n v="715"/>
    <n v="4"/>
    <n v="32"/>
    <m/>
    <m/>
    <m/>
    <m/>
    <m/>
    <m/>
    <m/>
  </r>
  <r>
    <x v="18"/>
    <x v="210"/>
    <n v="150"/>
    <n v="1341"/>
    <m/>
    <n v="5"/>
    <m/>
    <m/>
    <m/>
    <m/>
    <m/>
    <m/>
    <m/>
  </r>
  <r>
    <x v="19"/>
    <x v="210"/>
    <n v="113"/>
    <n v="4699"/>
    <n v="3"/>
    <n v="61"/>
    <m/>
    <m/>
    <m/>
    <m/>
    <m/>
    <m/>
    <m/>
  </r>
  <r>
    <x v="20"/>
    <x v="210"/>
    <n v="2011"/>
    <n v="40381"/>
    <n v="15"/>
    <n v="436"/>
    <m/>
    <m/>
    <m/>
    <m/>
    <m/>
    <m/>
    <m/>
  </r>
  <r>
    <x v="21"/>
    <x v="210"/>
    <n v="142"/>
    <n v="3323"/>
    <n v="1"/>
    <n v="58"/>
    <m/>
    <m/>
    <m/>
    <m/>
    <m/>
    <m/>
    <m/>
  </r>
  <r>
    <x v="22"/>
    <x v="210"/>
    <n v="221"/>
    <n v="4107"/>
    <n v="2"/>
    <n v="67"/>
    <m/>
    <m/>
    <m/>
    <m/>
    <m/>
    <m/>
    <m/>
  </r>
  <r>
    <x v="23"/>
    <x v="210"/>
    <n v="605"/>
    <n v="14175"/>
    <n v="13"/>
    <n v="132"/>
    <m/>
    <m/>
    <m/>
    <m/>
    <m/>
    <m/>
    <m/>
  </r>
  <r>
    <x v="0"/>
    <x v="211"/>
    <n v="5943"/>
    <n v="417677"/>
    <n v="176"/>
    <n v="9961"/>
    <m/>
    <m/>
    <m/>
    <m/>
    <m/>
    <m/>
    <m/>
  </r>
  <r>
    <x v="4"/>
    <x v="211"/>
    <n v="898"/>
    <n v="125966"/>
    <n v="118"/>
    <n v="3407"/>
    <m/>
    <m/>
    <m/>
    <m/>
    <m/>
    <m/>
    <m/>
  </r>
  <r>
    <x v="1"/>
    <x v="211"/>
    <n v="8"/>
    <n v="287"/>
    <m/>
    <n v="0"/>
    <m/>
    <m/>
    <m/>
    <m/>
    <m/>
    <m/>
    <m/>
  </r>
  <r>
    <x v="2"/>
    <x v="211"/>
    <n v="157"/>
    <n v="8543"/>
    <n v="4"/>
    <n v="285"/>
    <m/>
    <m/>
    <m/>
    <m/>
    <m/>
    <m/>
    <m/>
  </r>
  <r>
    <x v="3"/>
    <x v="211"/>
    <n v="156"/>
    <n v="3955"/>
    <n v="6"/>
    <n v="50"/>
    <m/>
    <m/>
    <m/>
    <m/>
    <m/>
    <m/>
    <m/>
  </r>
  <r>
    <x v="5"/>
    <x v="211"/>
    <n v="1718"/>
    <n v="34203"/>
    <n v="19"/>
    <n v="397"/>
    <m/>
    <m/>
    <m/>
    <m/>
    <m/>
    <m/>
    <m/>
  </r>
  <r>
    <x v="6"/>
    <x v="211"/>
    <n v="20"/>
    <n v="1093"/>
    <m/>
    <n v="22"/>
    <m/>
    <m/>
    <m/>
    <m/>
    <m/>
    <m/>
    <m/>
  </r>
  <r>
    <x v="7"/>
    <x v="211"/>
    <n v="177"/>
    <n v="7483"/>
    <n v="2"/>
    <n v="140"/>
    <m/>
    <m/>
    <m/>
    <m/>
    <m/>
    <m/>
    <m/>
  </r>
  <r>
    <x v="8"/>
    <x v="211"/>
    <n v="0"/>
    <n v="104"/>
    <m/>
    <n v="1"/>
    <m/>
    <m/>
    <m/>
    <m/>
    <m/>
    <m/>
    <m/>
  </r>
  <r>
    <x v="9"/>
    <x v="211"/>
    <n v="157"/>
    <n v="15670"/>
    <n v="36"/>
    <n v="504"/>
    <m/>
    <m/>
    <m/>
    <m/>
    <m/>
    <m/>
    <m/>
  </r>
  <r>
    <x v="10"/>
    <x v="211"/>
    <n v="25"/>
    <n v="763"/>
    <m/>
    <n v="7"/>
    <m/>
    <m/>
    <m/>
    <m/>
    <m/>
    <m/>
    <m/>
  </r>
  <r>
    <x v="11"/>
    <x v="211"/>
    <n v="126"/>
    <n v="4828"/>
    <m/>
    <n v="101"/>
    <m/>
    <m/>
    <m/>
    <m/>
    <m/>
    <m/>
    <m/>
  </r>
  <r>
    <x v="12"/>
    <x v="211"/>
    <n v="691"/>
    <n v="25049"/>
    <n v="14"/>
    <n v="267"/>
    <m/>
    <m/>
    <m/>
    <m/>
    <m/>
    <m/>
    <m/>
  </r>
  <r>
    <x v="13"/>
    <x v="211"/>
    <n v="9"/>
    <n v="96"/>
    <m/>
    <n v="3"/>
    <m/>
    <m/>
    <m/>
    <m/>
    <m/>
    <m/>
    <m/>
  </r>
  <r>
    <x v="14"/>
    <x v="211"/>
    <n v="192"/>
    <n v="7893"/>
    <n v="1"/>
    <n v="117"/>
    <m/>
    <m/>
    <m/>
    <m/>
    <m/>
    <m/>
    <m/>
  </r>
  <r>
    <x v="15"/>
    <x v="211"/>
    <n v="369"/>
    <n v="12839"/>
    <n v="11"/>
    <n v="290"/>
    <m/>
    <m/>
    <m/>
    <m/>
    <m/>
    <m/>
    <m/>
  </r>
  <r>
    <x v="16"/>
    <x v="211"/>
    <n v="360"/>
    <n v="12415"/>
    <n v="12"/>
    <n v="338"/>
    <m/>
    <m/>
    <m/>
    <m/>
    <m/>
    <m/>
    <m/>
  </r>
  <r>
    <x v="17"/>
    <x v="211"/>
    <n v="2"/>
    <n v="717"/>
    <n v="3"/>
    <n v="35"/>
    <m/>
    <m/>
    <m/>
    <m/>
    <m/>
    <m/>
    <m/>
  </r>
  <r>
    <x v="18"/>
    <x v="211"/>
    <n v="131"/>
    <n v="1472"/>
    <n v="1"/>
    <n v="6"/>
    <m/>
    <m/>
    <m/>
    <m/>
    <m/>
    <m/>
    <m/>
  </r>
  <r>
    <x v="19"/>
    <x v="211"/>
    <n v="145"/>
    <n v="4844"/>
    <n v="1"/>
    <n v="62"/>
    <m/>
    <m/>
    <m/>
    <m/>
    <m/>
    <m/>
    <m/>
  </r>
  <r>
    <x v="20"/>
    <x v="211"/>
    <n v="2017"/>
    <n v="42398"/>
    <n v="10"/>
    <n v="446"/>
    <m/>
    <m/>
    <m/>
    <m/>
    <m/>
    <m/>
    <m/>
  </r>
  <r>
    <x v="21"/>
    <x v="211"/>
    <n v="96"/>
    <n v="3419"/>
    <n v="4"/>
    <n v="62"/>
    <m/>
    <m/>
    <m/>
    <m/>
    <m/>
    <m/>
    <m/>
  </r>
  <r>
    <x v="22"/>
    <x v="211"/>
    <n v="256"/>
    <n v="4363"/>
    <m/>
    <n v="67"/>
    <m/>
    <m/>
    <m/>
    <m/>
    <m/>
    <m/>
    <m/>
  </r>
  <r>
    <x v="23"/>
    <x v="211"/>
    <n v="739"/>
    <n v="14914"/>
    <m/>
    <n v="132"/>
    <m/>
    <m/>
    <m/>
    <m/>
    <m/>
    <m/>
    <m/>
  </r>
  <r>
    <x v="0"/>
    <x v="212"/>
    <n v="5407"/>
    <n v="423084"/>
    <n v="3153"/>
    <n v="13114"/>
    <m/>
    <m/>
    <m/>
    <m/>
    <m/>
    <m/>
    <m/>
  </r>
  <r>
    <x v="4"/>
    <x v="212"/>
    <n v="924"/>
    <n v="126890"/>
    <n v="95"/>
    <n v="3502"/>
    <m/>
    <m/>
    <m/>
    <m/>
    <m/>
    <m/>
    <m/>
  </r>
  <r>
    <x v="1"/>
    <x v="212"/>
    <n v="5"/>
    <n v="292"/>
    <m/>
    <n v="0"/>
    <m/>
    <m/>
    <m/>
    <m/>
    <m/>
    <m/>
    <m/>
  </r>
  <r>
    <x v="2"/>
    <x v="212"/>
    <n v="200"/>
    <n v="8743"/>
    <n v="4"/>
    <n v="289"/>
    <m/>
    <m/>
    <m/>
    <m/>
    <m/>
    <m/>
    <m/>
  </r>
  <r>
    <x v="3"/>
    <x v="212"/>
    <n v="188"/>
    <n v="4143"/>
    <n v="6"/>
    <n v="56"/>
    <m/>
    <m/>
    <m/>
    <m/>
    <m/>
    <m/>
    <m/>
  </r>
  <r>
    <x v="5"/>
    <x v="212"/>
    <n v="1966"/>
    <n v="36169"/>
    <n v="17"/>
    <n v="414"/>
    <m/>
    <m/>
    <m/>
    <m/>
    <m/>
    <m/>
    <m/>
  </r>
  <r>
    <x v="6"/>
    <x v="212"/>
    <n v="7"/>
    <n v="1100"/>
    <m/>
    <n v="22"/>
    <m/>
    <m/>
    <m/>
    <m/>
    <m/>
    <m/>
    <m/>
  </r>
  <r>
    <x v="7"/>
    <x v="212"/>
    <n v="186"/>
    <n v="7669"/>
    <m/>
    <n v="140"/>
    <m/>
    <m/>
    <m/>
    <m/>
    <m/>
    <m/>
    <m/>
  </r>
  <r>
    <x v="8"/>
    <x v="212"/>
    <n v="0"/>
    <n v="104"/>
    <m/>
    <n v="1"/>
    <m/>
    <m/>
    <m/>
    <m/>
    <m/>
    <m/>
    <m/>
  </r>
  <r>
    <x v="9"/>
    <x v="212"/>
    <n v="175"/>
    <n v="15845"/>
    <n v="16"/>
    <n v="520"/>
    <m/>
    <m/>
    <m/>
    <m/>
    <m/>
    <m/>
    <m/>
  </r>
  <r>
    <x v="10"/>
    <x v="212"/>
    <n v="28"/>
    <n v="791"/>
    <m/>
    <n v="7"/>
    <m/>
    <m/>
    <m/>
    <m/>
    <m/>
    <m/>
    <m/>
  </r>
  <r>
    <x v="11"/>
    <x v="212"/>
    <n v="22"/>
    <n v="4850"/>
    <n v="4"/>
    <n v="105"/>
    <m/>
    <m/>
    <m/>
    <m/>
    <m/>
    <m/>
    <m/>
  </r>
  <r>
    <x v="12"/>
    <x v="212"/>
    <n v="799"/>
    <n v="25848"/>
    <n v="7"/>
    <n v="274"/>
    <m/>
    <m/>
    <m/>
    <m/>
    <m/>
    <m/>
    <m/>
  </r>
  <r>
    <x v="13"/>
    <x v="212"/>
    <n v="-2"/>
    <n v="94"/>
    <m/>
    <n v="3"/>
    <m/>
    <m/>
    <m/>
    <m/>
    <m/>
    <m/>
    <m/>
  </r>
  <r>
    <x v="14"/>
    <x v="212"/>
    <n v="186"/>
    <n v="8079"/>
    <n v="1"/>
    <n v="118"/>
    <m/>
    <m/>
    <m/>
    <m/>
    <m/>
    <m/>
    <m/>
  </r>
  <r>
    <x v="15"/>
    <x v="212"/>
    <n v="287"/>
    <n v="13126"/>
    <n v="9"/>
    <n v="299"/>
    <m/>
    <m/>
    <m/>
    <m/>
    <m/>
    <m/>
    <m/>
  </r>
  <r>
    <x v="16"/>
    <x v="212"/>
    <n v="359"/>
    <n v="12774"/>
    <n v="11"/>
    <n v="349"/>
    <m/>
    <m/>
    <m/>
    <m/>
    <m/>
    <m/>
    <m/>
  </r>
  <r>
    <x v="17"/>
    <x v="212"/>
    <n v="34"/>
    <n v="751"/>
    <n v="1"/>
    <n v="36"/>
    <m/>
    <m/>
    <m/>
    <m/>
    <m/>
    <m/>
    <m/>
  </r>
  <r>
    <x v="18"/>
    <x v="212"/>
    <n v="93"/>
    <n v="1565"/>
    <n v="1"/>
    <n v="7"/>
    <m/>
    <m/>
    <m/>
    <m/>
    <m/>
    <m/>
    <m/>
  </r>
  <r>
    <x v="19"/>
    <x v="212"/>
    <n v="142"/>
    <n v="4986"/>
    <n v="3"/>
    <n v="65"/>
    <m/>
    <m/>
    <m/>
    <m/>
    <m/>
    <m/>
    <m/>
  </r>
  <r>
    <x v="20"/>
    <x v="212"/>
    <n v="2073"/>
    <n v="44471"/>
    <n v="21"/>
    <n v="467"/>
    <m/>
    <m/>
    <m/>
    <m/>
    <m/>
    <m/>
    <m/>
  </r>
  <r>
    <x v="21"/>
    <x v="212"/>
    <n v="126"/>
    <n v="3545"/>
    <m/>
    <n v="62"/>
    <m/>
    <m/>
    <m/>
    <m/>
    <m/>
    <m/>
    <m/>
  </r>
  <r>
    <x v="22"/>
    <x v="212"/>
    <n v="164"/>
    <n v="4527"/>
    <m/>
    <n v="67"/>
    <m/>
    <m/>
    <m/>
    <m/>
    <m/>
    <m/>
    <m/>
  </r>
  <r>
    <x v="23"/>
    <x v="212"/>
    <n v="632"/>
    <n v="15546"/>
    <m/>
    <n v="132"/>
    <m/>
    <m/>
    <m/>
    <m/>
    <m/>
    <m/>
    <m/>
  </r>
  <r>
    <x v="0"/>
    <x v="213"/>
    <n v="5695"/>
    <n v="428779"/>
    <n v="149"/>
    <n v="13263"/>
    <m/>
    <m/>
    <m/>
    <m/>
    <m/>
    <m/>
    <m/>
  </r>
  <r>
    <x v="4"/>
    <x v="213"/>
    <n v="1050"/>
    <n v="127940"/>
    <n v="44"/>
    <n v="3546"/>
    <m/>
    <m/>
    <m/>
    <m/>
    <m/>
    <m/>
    <m/>
  </r>
  <r>
    <x v="1"/>
    <x v="213"/>
    <n v="7"/>
    <n v="299"/>
    <m/>
    <n v="0"/>
    <m/>
    <m/>
    <m/>
    <m/>
    <m/>
    <m/>
    <m/>
  </r>
  <r>
    <x v="2"/>
    <x v="213"/>
    <n v="200"/>
    <n v="8943"/>
    <n v="8"/>
    <n v="297"/>
    <m/>
    <m/>
    <m/>
    <m/>
    <m/>
    <m/>
    <m/>
  </r>
  <r>
    <x v="3"/>
    <x v="213"/>
    <n v="214"/>
    <n v="4357"/>
    <n v="2"/>
    <n v="58"/>
    <m/>
    <m/>
    <m/>
    <m/>
    <m/>
    <m/>
    <m/>
  </r>
  <r>
    <x v="5"/>
    <x v="213"/>
    <n v="1776"/>
    <n v="37945"/>
    <n v="14"/>
    <n v="428"/>
    <m/>
    <m/>
    <m/>
    <m/>
    <m/>
    <m/>
    <m/>
  </r>
  <r>
    <x v="6"/>
    <x v="213"/>
    <n v="67"/>
    <n v="1167"/>
    <n v="4"/>
    <n v="26"/>
    <m/>
    <m/>
    <m/>
    <m/>
    <m/>
    <m/>
    <m/>
  </r>
  <r>
    <x v="7"/>
    <x v="213"/>
    <n v="173"/>
    <n v="7842"/>
    <n v="2"/>
    <n v="142"/>
    <m/>
    <m/>
    <m/>
    <m/>
    <m/>
    <m/>
    <m/>
  </r>
  <r>
    <x v="8"/>
    <x v="213"/>
    <n v="2"/>
    <n v="106"/>
    <m/>
    <n v="1"/>
    <m/>
    <m/>
    <m/>
    <m/>
    <m/>
    <m/>
    <m/>
  </r>
  <r>
    <x v="9"/>
    <x v="213"/>
    <n v="116"/>
    <n v="15961"/>
    <n v="9"/>
    <n v="529"/>
    <m/>
    <m/>
    <m/>
    <m/>
    <m/>
    <m/>
    <m/>
  </r>
  <r>
    <x v="10"/>
    <x v="213"/>
    <n v="13"/>
    <n v="804"/>
    <n v="2"/>
    <n v="9"/>
    <m/>
    <m/>
    <m/>
    <m/>
    <m/>
    <m/>
    <m/>
  </r>
  <r>
    <x v="11"/>
    <x v="213"/>
    <n v="142"/>
    <n v="4992"/>
    <m/>
    <n v="105"/>
    <m/>
    <m/>
    <m/>
    <m/>
    <m/>
    <m/>
    <m/>
  </r>
  <r>
    <x v="12"/>
    <x v="213"/>
    <n v="759"/>
    <n v="26607"/>
    <n v="14"/>
    <n v="288"/>
    <m/>
    <m/>
    <m/>
    <m/>
    <m/>
    <m/>
    <m/>
  </r>
  <r>
    <x v="13"/>
    <x v="213"/>
    <n v="5"/>
    <n v="99"/>
    <n v="1"/>
    <n v="4"/>
    <m/>
    <m/>
    <m/>
    <m/>
    <m/>
    <m/>
    <m/>
  </r>
  <r>
    <x v="14"/>
    <x v="213"/>
    <n v="270"/>
    <n v="8349"/>
    <n v="2"/>
    <n v="120"/>
    <m/>
    <m/>
    <m/>
    <m/>
    <m/>
    <m/>
    <m/>
  </r>
  <r>
    <x v="15"/>
    <x v="213"/>
    <n v="371"/>
    <n v="13497"/>
    <n v="4"/>
    <n v="303"/>
    <m/>
    <m/>
    <m/>
    <m/>
    <m/>
    <m/>
    <m/>
  </r>
  <r>
    <x v="16"/>
    <x v="213"/>
    <n v="327"/>
    <n v="13101"/>
    <n v="14"/>
    <n v="363"/>
    <m/>
    <m/>
    <m/>
    <m/>
    <m/>
    <m/>
    <m/>
  </r>
  <r>
    <x v="17"/>
    <x v="213"/>
    <n v="3"/>
    <n v="754"/>
    <n v="4"/>
    <n v="40"/>
    <m/>
    <m/>
    <m/>
    <m/>
    <m/>
    <m/>
    <m/>
  </r>
  <r>
    <x v="18"/>
    <x v="213"/>
    <n v="73"/>
    <n v="1638"/>
    <m/>
    <n v="7"/>
    <m/>
    <m/>
    <m/>
    <m/>
    <m/>
    <m/>
    <m/>
  </r>
  <r>
    <x v="19"/>
    <x v="213"/>
    <n v="137"/>
    <n v="5123"/>
    <n v="2"/>
    <n v="67"/>
    <m/>
    <m/>
    <m/>
    <m/>
    <m/>
    <m/>
    <m/>
  </r>
  <r>
    <x v="20"/>
    <x v="213"/>
    <n v="2244"/>
    <n v="46715"/>
    <n v="24"/>
    <n v="491"/>
    <m/>
    <m/>
    <m/>
    <m/>
    <m/>
    <m/>
    <m/>
  </r>
  <r>
    <x v="21"/>
    <x v="213"/>
    <n v="176"/>
    <n v="3721"/>
    <n v="2"/>
    <n v="64"/>
    <m/>
    <m/>
    <m/>
    <m/>
    <m/>
    <m/>
    <m/>
  </r>
  <r>
    <x v="22"/>
    <x v="213"/>
    <n v="193"/>
    <n v="4720"/>
    <n v="3"/>
    <n v="70"/>
    <m/>
    <m/>
    <m/>
    <m/>
    <m/>
    <m/>
    <m/>
  </r>
  <r>
    <x v="23"/>
    <x v="213"/>
    <n v="674"/>
    <n v="16220"/>
    <n v="8"/>
    <n v="140"/>
    <m/>
    <m/>
    <m/>
    <m/>
    <m/>
    <m/>
    <m/>
  </r>
  <r>
    <x v="0"/>
    <x v="214"/>
    <n v="4507"/>
    <n v="433286"/>
    <n v="92"/>
    <n v="13355"/>
    <m/>
    <m/>
    <m/>
    <m/>
    <m/>
    <m/>
    <m/>
  </r>
  <r>
    <x v="4"/>
    <x v="214"/>
    <n v="801"/>
    <n v="128741"/>
    <n v="20"/>
    <n v="3566"/>
    <m/>
    <m/>
    <m/>
    <m/>
    <m/>
    <m/>
    <m/>
  </r>
  <r>
    <x v="1"/>
    <x v="214"/>
    <n v="6"/>
    <n v="305"/>
    <m/>
    <n v="0"/>
    <m/>
    <m/>
    <m/>
    <m/>
    <m/>
    <m/>
    <m/>
  </r>
  <r>
    <x v="2"/>
    <x v="214"/>
    <n v="120"/>
    <n v="9063"/>
    <n v="1"/>
    <n v="298"/>
    <m/>
    <m/>
    <m/>
    <m/>
    <m/>
    <m/>
    <m/>
  </r>
  <r>
    <x v="3"/>
    <x v="214"/>
    <n v="149"/>
    <n v="4506"/>
    <m/>
    <n v="58"/>
    <m/>
    <m/>
    <m/>
    <m/>
    <m/>
    <m/>
    <m/>
  </r>
  <r>
    <x v="5"/>
    <x v="214"/>
    <n v="1451"/>
    <n v="39396"/>
    <n v="19"/>
    <n v="447"/>
    <m/>
    <m/>
    <m/>
    <m/>
    <m/>
    <m/>
    <m/>
  </r>
  <r>
    <x v="6"/>
    <x v="214"/>
    <n v="3"/>
    <n v="1170"/>
    <n v="1"/>
    <n v="27"/>
    <m/>
    <m/>
    <m/>
    <m/>
    <m/>
    <m/>
    <m/>
  </r>
  <r>
    <x v="7"/>
    <x v="214"/>
    <n v="152"/>
    <n v="7994"/>
    <n v="1"/>
    <n v="143"/>
    <m/>
    <m/>
    <m/>
    <m/>
    <m/>
    <m/>
    <m/>
  </r>
  <r>
    <x v="8"/>
    <x v="214"/>
    <n v="-1"/>
    <n v="105"/>
    <m/>
    <n v="1"/>
    <m/>
    <m/>
    <m/>
    <m/>
    <m/>
    <m/>
    <m/>
  </r>
  <r>
    <x v="9"/>
    <x v="214"/>
    <n v="122"/>
    <n v="16083"/>
    <n v="10"/>
    <n v="539"/>
    <m/>
    <m/>
    <m/>
    <m/>
    <m/>
    <m/>
    <m/>
  </r>
  <r>
    <x v="10"/>
    <x v="214"/>
    <n v="27"/>
    <n v="831"/>
    <m/>
    <n v="9"/>
    <m/>
    <m/>
    <m/>
    <m/>
    <m/>
    <m/>
    <m/>
  </r>
  <r>
    <x v="11"/>
    <x v="214"/>
    <n v="62"/>
    <n v="5054"/>
    <m/>
    <n v="105"/>
    <m/>
    <m/>
    <m/>
    <m/>
    <m/>
    <m/>
    <m/>
  </r>
  <r>
    <x v="12"/>
    <x v="214"/>
    <n v="517"/>
    <n v="27124"/>
    <n v="16"/>
    <n v="304"/>
    <m/>
    <m/>
    <m/>
    <m/>
    <m/>
    <m/>
    <m/>
  </r>
  <r>
    <x v="13"/>
    <x v="214"/>
    <n v="5"/>
    <n v="104"/>
    <m/>
    <n v="4"/>
    <m/>
    <m/>
    <m/>
    <m/>
    <m/>
    <m/>
    <m/>
  </r>
  <r>
    <x v="14"/>
    <x v="214"/>
    <n v="264"/>
    <n v="8613"/>
    <n v="1"/>
    <n v="121"/>
    <m/>
    <m/>
    <m/>
    <m/>
    <m/>
    <m/>
    <m/>
  </r>
  <r>
    <x v="15"/>
    <x v="214"/>
    <n v="330"/>
    <n v="13827"/>
    <n v="4"/>
    <n v="307"/>
    <m/>
    <m/>
    <m/>
    <m/>
    <m/>
    <m/>
    <m/>
  </r>
  <r>
    <x v="16"/>
    <x v="214"/>
    <n v="134"/>
    <n v="13235"/>
    <n v="3"/>
    <n v="366"/>
    <m/>
    <m/>
    <m/>
    <m/>
    <m/>
    <m/>
    <m/>
  </r>
  <r>
    <x v="17"/>
    <x v="214"/>
    <n v="75"/>
    <n v="829"/>
    <m/>
    <n v="40"/>
    <m/>
    <m/>
    <m/>
    <m/>
    <m/>
    <m/>
    <m/>
  </r>
  <r>
    <x v="18"/>
    <x v="214"/>
    <n v="11"/>
    <n v="1649"/>
    <n v="12"/>
    <n v="19"/>
    <m/>
    <m/>
    <m/>
    <m/>
    <m/>
    <m/>
    <m/>
  </r>
  <r>
    <x v="19"/>
    <x v="214"/>
    <n v="221"/>
    <n v="5344"/>
    <m/>
    <n v="67"/>
    <m/>
    <m/>
    <m/>
    <m/>
    <m/>
    <m/>
    <m/>
  </r>
  <r>
    <x v="20"/>
    <x v="214"/>
    <n v="1450"/>
    <n v="48165"/>
    <n v="15"/>
    <n v="506"/>
    <m/>
    <m/>
    <m/>
    <m/>
    <m/>
    <m/>
    <m/>
  </r>
  <r>
    <x v="21"/>
    <x v="214"/>
    <n v="123"/>
    <n v="3844"/>
    <n v="1"/>
    <n v="65"/>
    <m/>
    <m/>
    <m/>
    <m/>
    <m/>
    <m/>
    <m/>
  </r>
  <r>
    <x v="22"/>
    <x v="214"/>
    <n v="188"/>
    <n v="4908"/>
    <n v="1"/>
    <n v="71"/>
    <m/>
    <m/>
    <m/>
    <m/>
    <m/>
    <m/>
    <m/>
  </r>
  <r>
    <x v="23"/>
    <x v="214"/>
    <n v="412"/>
    <n v="16632"/>
    <m/>
    <n v="140"/>
    <m/>
    <m/>
    <m/>
    <m/>
    <m/>
    <m/>
    <m/>
  </r>
  <r>
    <x v="0"/>
    <x v="215"/>
    <n v="2648"/>
    <n v="435934"/>
    <n v="59"/>
    <n v="13414"/>
    <m/>
    <m/>
    <m/>
    <m/>
    <m/>
    <m/>
    <m/>
  </r>
  <r>
    <x v="4"/>
    <x v="215"/>
    <n v="533"/>
    <n v="129274"/>
    <n v="57"/>
    <n v="3623"/>
    <m/>
    <m/>
    <m/>
    <m/>
    <m/>
    <m/>
    <m/>
  </r>
  <r>
    <x v="1"/>
    <x v="215"/>
    <n v="13"/>
    <n v="318"/>
    <m/>
    <n v="0"/>
    <m/>
    <m/>
    <m/>
    <m/>
    <m/>
    <m/>
    <m/>
  </r>
  <r>
    <x v="2"/>
    <x v="215"/>
    <n v="177"/>
    <n v="9240"/>
    <n v="2"/>
    <n v="300"/>
    <m/>
    <m/>
    <m/>
    <m/>
    <m/>
    <m/>
    <m/>
  </r>
  <r>
    <x v="3"/>
    <x v="215"/>
    <n v="181"/>
    <n v="4687"/>
    <m/>
    <n v="58"/>
    <m/>
    <m/>
    <m/>
    <m/>
    <m/>
    <m/>
    <m/>
  </r>
  <r>
    <x v="5"/>
    <x v="215"/>
    <n v="1154"/>
    <n v="40550"/>
    <n v="25"/>
    <n v="472"/>
    <m/>
    <m/>
    <m/>
    <m/>
    <m/>
    <m/>
    <m/>
  </r>
  <r>
    <x v="6"/>
    <x v="215"/>
    <n v="4"/>
    <n v="1174"/>
    <m/>
    <n v="27"/>
    <m/>
    <m/>
    <m/>
    <m/>
    <m/>
    <m/>
    <m/>
  </r>
  <r>
    <x v="7"/>
    <x v="215"/>
    <n v="125"/>
    <n v="8119"/>
    <m/>
    <n v="143"/>
    <m/>
    <m/>
    <m/>
    <m/>
    <m/>
    <m/>
    <m/>
  </r>
  <r>
    <x v="8"/>
    <x v="215"/>
    <n v="0"/>
    <n v="105"/>
    <m/>
    <n v="1"/>
    <m/>
    <m/>
    <m/>
    <m/>
    <m/>
    <m/>
    <m/>
  </r>
  <r>
    <x v="9"/>
    <x v="215"/>
    <n v="37"/>
    <n v="16120"/>
    <n v="21"/>
    <n v="560"/>
    <m/>
    <m/>
    <m/>
    <m/>
    <m/>
    <m/>
    <m/>
  </r>
  <r>
    <x v="10"/>
    <x v="215"/>
    <n v="24"/>
    <n v="855"/>
    <n v="2"/>
    <n v="11"/>
    <m/>
    <m/>
    <m/>
    <m/>
    <m/>
    <m/>
    <m/>
  </r>
  <r>
    <x v="11"/>
    <x v="215"/>
    <n v="62"/>
    <n v="5116"/>
    <m/>
    <n v="105"/>
    <m/>
    <m/>
    <m/>
    <m/>
    <m/>
    <m/>
    <m/>
  </r>
  <r>
    <x v="12"/>
    <x v="215"/>
    <n v="377"/>
    <n v="27501"/>
    <n v="6"/>
    <n v="310"/>
    <m/>
    <m/>
    <m/>
    <m/>
    <m/>
    <m/>
    <m/>
  </r>
  <r>
    <x v="13"/>
    <x v="215"/>
    <n v="-1"/>
    <n v="103"/>
    <m/>
    <n v="4"/>
    <m/>
    <m/>
    <m/>
    <m/>
    <m/>
    <m/>
    <m/>
  </r>
  <r>
    <x v="14"/>
    <x v="215"/>
    <n v="266"/>
    <n v="8879"/>
    <n v="1"/>
    <n v="122"/>
    <m/>
    <m/>
    <m/>
    <m/>
    <m/>
    <m/>
    <m/>
  </r>
  <r>
    <x v="15"/>
    <x v="215"/>
    <n v="230"/>
    <n v="14057"/>
    <n v="3"/>
    <n v="310"/>
    <m/>
    <m/>
    <m/>
    <m/>
    <m/>
    <m/>
    <m/>
  </r>
  <r>
    <x v="16"/>
    <x v="215"/>
    <n v="288"/>
    <n v="13523"/>
    <n v="17"/>
    <n v="383"/>
    <m/>
    <m/>
    <m/>
    <m/>
    <m/>
    <m/>
    <m/>
  </r>
  <r>
    <x v="17"/>
    <x v="215"/>
    <n v="10"/>
    <n v="839"/>
    <n v="2"/>
    <n v="42"/>
    <m/>
    <m/>
    <m/>
    <m/>
    <m/>
    <m/>
    <m/>
  </r>
  <r>
    <x v="18"/>
    <x v="215"/>
    <n v="51"/>
    <n v="1700"/>
    <n v="6"/>
    <n v="25"/>
    <m/>
    <m/>
    <m/>
    <m/>
    <m/>
    <m/>
    <m/>
  </r>
  <r>
    <x v="19"/>
    <x v="215"/>
    <n v="109"/>
    <n v="5453"/>
    <n v="1"/>
    <n v="68"/>
    <m/>
    <m/>
    <m/>
    <m/>
    <m/>
    <m/>
    <m/>
  </r>
  <r>
    <x v="20"/>
    <x v="215"/>
    <n v="851"/>
    <n v="49016"/>
    <n v="16"/>
    <n v="522"/>
    <m/>
    <m/>
    <m/>
    <m/>
    <m/>
    <m/>
    <m/>
  </r>
  <r>
    <x v="21"/>
    <x v="215"/>
    <n v="58"/>
    <n v="3902"/>
    <n v="2"/>
    <n v="67"/>
    <m/>
    <m/>
    <m/>
    <m/>
    <m/>
    <m/>
    <m/>
  </r>
  <r>
    <x v="22"/>
    <x v="215"/>
    <n v="135"/>
    <n v="5043"/>
    <m/>
    <n v="71"/>
    <m/>
    <m/>
    <m/>
    <m/>
    <m/>
    <m/>
    <m/>
  </r>
  <r>
    <x v="23"/>
    <x v="215"/>
    <n v="336"/>
    <n v="16968"/>
    <n v="2"/>
    <n v="142"/>
    <m/>
    <m/>
    <m/>
    <m/>
    <m/>
    <m/>
    <m/>
  </r>
  <r>
    <x v="0"/>
    <x v="216"/>
    <n v="4471"/>
    <n v="440405"/>
    <n v="207"/>
    <n v="13621"/>
    <m/>
    <m/>
    <m/>
    <m/>
    <m/>
    <m/>
    <m/>
  </r>
  <r>
    <x v="4"/>
    <x v="216"/>
    <n v="684"/>
    <n v="129958"/>
    <n v="57"/>
    <n v="3680"/>
    <m/>
    <m/>
    <m/>
    <m/>
    <m/>
    <m/>
    <m/>
  </r>
  <r>
    <x v="1"/>
    <x v="216"/>
    <n v="0"/>
    <n v="318"/>
    <m/>
    <n v="0"/>
    <m/>
    <m/>
    <m/>
    <m/>
    <m/>
    <m/>
    <m/>
  </r>
  <r>
    <x v="2"/>
    <x v="216"/>
    <n v="101"/>
    <n v="9341"/>
    <n v="5"/>
    <n v="305"/>
    <m/>
    <m/>
    <m/>
    <m/>
    <m/>
    <m/>
    <m/>
  </r>
  <r>
    <x v="3"/>
    <x v="216"/>
    <n v="234"/>
    <n v="4921"/>
    <n v="11"/>
    <n v="69"/>
    <m/>
    <m/>
    <m/>
    <m/>
    <m/>
    <m/>
    <m/>
  </r>
  <r>
    <x v="5"/>
    <x v="216"/>
    <n v="1188"/>
    <n v="41738"/>
    <n v="21"/>
    <n v="493"/>
    <m/>
    <m/>
    <m/>
    <m/>
    <m/>
    <m/>
    <m/>
  </r>
  <r>
    <x v="6"/>
    <x v="216"/>
    <n v="110"/>
    <n v="1284"/>
    <n v="1"/>
    <n v="28"/>
    <m/>
    <m/>
    <m/>
    <m/>
    <m/>
    <m/>
    <m/>
  </r>
  <r>
    <x v="7"/>
    <x v="216"/>
    <n v="129"/>
    <n v="8248"/>
    <n v="7"/>
    <n v="150"/>
    <m/>
    <m/>
    <m/>
    <m/>
    <m/>
    <m/>
    <m/>
  </r>
  <r>
    <x v="8"/>
    <x v="216"/>
    <n v="1"/>
    <n v="106"/>
    <m/>
    <n v="1"/>
    <m/>
    <m/>
    <m/>
    <m/>
    <m/>
    <m/>
    <m/>
  </r>
  <r>
    <x v="9"/>
    <x v="216"/>
    <n v="61"/>
    <n v="16181"/>
    <n v="29"/>
    <n v="589"/>
    <m/>
    <m/>
    <m/>
    <m/>
    <m/>
    <m/>
    <m/>
  </r>
  <r>
    <x v="10"/>
    <x v="216"/>
    <n v="16"/>
    <n v="871"/>
    <m/>
    <n v="11"/>
    <m/>
    <m/>
    <m/>
    <m/>
    <m/>
    <m/>
    <m/>
  </r>
  <r>
    <x v="11"/>
    <x v="216"/>
    <n v="85"/>
    <n v="5201"/>
    <m/>
    <n v="105"/>
    <m/>
    <m/>
    <m/>
    <m/>
    <m/>
    <m/>
    <m/>
  </r>
  <r>
    <x v="12"/>
    <x v="216"/>
    <n v="384"/>
    <n v="27885"/>
    <n v="8"/>
    <n v="318"/>
    <m/>
    <m/>
    <m/>
    <m/>
    <m/>
    <m/>
    <m/>
  </r>
  <r>
    <x v="13"/>
    <x v="216"/>
    <n v="4"/>
    <n v="107"/>
    <m/>
    <n v="4"/>
    <m/>
    <m/>
    <m/>
    <m/>
    <m/>
    <m/>
    <m/>
  </r>
  <r>
    <x v="14"/>
    <x v="216"/>
    <n v="251"/>
    <n v="9130"/>
    <m/>
    <n v="122"/>
    <m/>
    <m/>
    <m/>
    <m/>
    <m/>
    <m/>
    <m/>
  </r>
  <r>
    <x v="15"/>
    <x v="216"/>
    <n v="257"/>
    <n v="14314"/>
    <n v="10"/>
    <n v="320"/>
    <m/>
    <m/>
    <m/>
    <m/>
    <m/>
    <m/>
    <m/>
  </r>
  <r>
    <x v="16"/>
    <x v="216"/>
    <n v="217"/>
    <n v="13740"/>
    <n v="40"/>
    <n v="423"/>
    <m/>
    <m/>
    <m/>
    <m/>
    <m/>
    <m/>
    <m/>
  </r>
  <r>
    <x v="17"/>
    <x v="216"/>
    <n v="84"/>
    <n v="923"/>
    <m/>
    <n v="42"/>
    <m/>
    <m/>
    <m/>
    <m/>
    <m/>
    <m/>
    <m/>
  </r>
  <r>
    <x v="18"/>
    <x v="216"/>
    <n v="104"/>
    <n v="1804"/>
    <n v="3"/>
    <n v="28"/>
    <m/>
    <m/>
    <m/>
    <m/>
    <m/>
    <m/>
    <m/>
  </r>
  <r>
    <x v="19"/>
    <x v="216"/>
    <n v="110"/>
    <n v="5563"/>
    <n v="3"/>
    <n v="71"/>
    <m/>
    <m/>
    <m/>
    <m/>
    <m/>
    <m/>
    <m/>
  </r>
  <r>
    <x v="20"/>
    <x v="216"/>
    <n v="1670"/>
    <n v="50686"/>
    <n v="34"/>
    <n v="556"/>
    <m/>
    <m/>
    <m/>
    <m/>
    <m/>
    <m/>
    <m/>
  </r>
  <r>
    <x v="21"/>
    <x v="216"/>
    <n v="112"/>
    <n v="4014"/>
    <n v="2"/>
    <n v="69"/>
    <m/>
    <m/>
    <m/>
    <m/>
    <m/>
    <m/>
    <m/>
  </r>
  <r>
    <x v="22"/>
    <x v="216"/>
    <n v="133"/>
    <n v="5176"/>
    <n v="3"/>
    <n v="74"/>
    <m/>
    <m/>
    <m/>
    <m/>
    <m/>
    <m/>
    <m/>
  </r>
  <r>
    <x v="23"/>
    <x v="216"/>
    <n v="836"/>
    <n v="17804"/>
    <n v="9"/>
    <n v="151"/>
    <m/>
    <m/>
    <m/>
    <m/>
    <m/>
    <m/>
    <m/>
  </r>
  <r>
    <x v="0"/>
    <x v="217"/>
    <n v="5659"/>
    <n v="446064"/>
    <n v="149"/>
    <n v="13770"/>
    <m/>
    <m/>
    <m/>
    <m/>
    <m/>
    <m/>
    <m/>
  </r>
  <r>
    <x v="4"/>
    <x v="217"/>
    <n v="883"/>
    <n v="130841"/>
    <n v="51"/>
    <n v="3731"/>
    <m/>
    <m/>
    <m/>
    <m/>
    <m/>
    <m/>
    <m/>
  </r>
  <r>
    <x v="1"/>
    <x v="217"/>
    <n v="9"/>
    <n v="327"/>
    <m/>
    <n v="0"/>
    <m/>
    <m/>
    <m/>
    <m/>
    <m/>
    <m/>
    <m/>
  </r>
  <r>
    <x v="2"/>
    <x v="217"/>
    <n v="145"/>
    <n v="9486"/>
    <n v="4"/>
    <n v="309"/>
    <m/>
    <m/>
    <m/>
    <m/>
    <m/>
    <m/>
    <m/>
  </r>
  <r>
    <x v="3"/>
    <x v="217"/>
    <n v="322"/>
    <n v="5243"/>
    <m/>
    <n v="69"/>
    <m/>
    <m/>
    <m/>
    <m/>
    <m/>
    <m/>
    <m/>
  </r>
  <r>
    <x v="5"/>
    <x v="217"/>
    <n v="1455"/>
    <n v="43193"/>
    <n v="21"/>
    <n v="514"/>
    <m/>
    <m/>
    <m/>
    <m/>
    <m/>
    <m/>
    <m/>
  </r>
  <r>
    <x v="6"/>
    <x v="217"/>
    <n v="72"/>
    <n v="1356"/>
    <n v="3"/>
    <n v="31"/>
    <m/>
    <m/>
    <m/>
    <m/>
    <m/>
    <m/>
    <m/>
  </r>
  <r>
    <x v="7"/>
    <x v="217"/>
    <n v="201"/>
    <n v="8449"/>
    <n v="3"/>
    <n v="153"/>
    <m/>
    <m/>
    <m/>
    <m/>
    <m/>
    <m/>
    <m/>
  </r>
  <r>
    <x v="8"/>
    <x v="217"/>
    <n v="0"/>
    <n v="106"/>
    <m/>
    <n v="1"/>
    <m/>
    <m/>
    <m/>
    <m/>
    <m/>
    <m/>
    <m/>
  </r>
  <r>
    <x v="9"/>
    <x v="217"/>
    <n v="109"/>
    <n v="16290"/>
    <n v="19"/>
    <n v="608"/>
    <m/>
    <m/>
    <m/>
    <m/>
    <m/>
    <m/>
    <m/>
  </r>
  <r>
    <x v="10"/>
    <x v="217"/>
    <n v="26"/>
    <n v="897"/>
    <m/>
    <n v="11"/>
    <m/>
    <m/>
    <m/>
    <m/>
    <m/>
    <m/>
    <m/>
  </r>
  <r>
    <x v="11"/>
    <x v="217"/>
    <n v="110"/>
    <n v="5311"/>
    <m/>
    <n v="105"/>
    <m/>
    <m/>
    <m/>
    <m/>
    <m/>
    <m/>
    <m/>
  </r>
  <r>
    <x v="12"/>
    <x v="217"/>
    <n v="680"/>
    <n v="28565"/>
    <n v="44"/>
    <n v="362"/>
    <m/>
    <m/>
    <m/>
    <m/>
    <m/>
    <m/>
    <m/>
  </r>
  <r>
    <x v="13"/>
    <x v="217"/>
    <n v="11"/>
    <n v="118"/>
    <m/>
    <n v="4"/>
    <m/>
    <m/>
    <m/>
    <m/>
    <m/>
    <m/>
    <m/>
  </r>
  <r>
    <x v="14"/>
    <x v="217"/>
    <n v="356"/>
    <n v="9486"/>
    <n v="1"/>
    <n v="123"/>
    <m/>
    <m/>
    <m/>
    <m/>
    <m/>
    <m/>
    <m/>
  </r>
  <r>
    <x v="15"/>
    <x v="217"/>
    <n v="338"/>
    <n v="14652"/>
    <n v="11"/>
    <n v="331"/>
    <m/>
    <m/>
    <m/>
    <m/>
    <m/>
    <m/>
    <m/>
  </r>
  <r>
    <x v="16"/>
    <x v="217"/>
    <n v="222"/>
    <n v="13962"/>
    <n v="11"/>
    <n v="434"/>
    <m/>
    <m/>
    <m/>
    <m/>
    <m/>
    <m/>
    <m/>
  </r>
  <r>
    <x v="17"/>
    <x v="217"/>
    <n v="64"/>
    <n v="987"/>
    <m/>
    <n v="42"/>
    <m/>
    <m/>
    <m/>
    <m/>
    <m/>
    <m/>
    <m/>
  </r>
  <r>
    <x v="18"/>
    <x v="217"/>
    <n v="61"/>
    <n v="1865"/>
    <n v="3"/>
    <n v="31"/>
    <m/>
    <m/>
    <m/>
    <m/>
    <m/>
    <m/>
    <m/>
  </r>
  <r>
    <x v="19"/>
    <x v="217"/>
    <n v="55"/>
    <n v="5618"/>
    <n v="1"/>
    <n v="72"/>
    <m/>
    <m/>
    <m/>
    <m/>
    <m/>
    <m/>
    <m/>
  </r>
  <r>
    <x v="20"/>
    <x v="217"/>
    <n v="2209"/>
    <n v="52895"/>
    <n v="16"/>
    <n v="572"/>
    <m/>
    <m/>
    <m/>
    <m/>
    <m/>
    <m/>
    <m/>
  </r>
  <r>
    <x v="21"/>
    <x v="217"/>
    <n v="154"/>
    <n v="4168"/>
    <n v="4"/>
    <n v="73"/>
    <m/>
    <m/>
    <m/>
    <m/>
    <m/>
    <m/>
    <m/>
  </r>
  <r>
    <x v="22"/>
    <x v="217"/>
    <n v="244"/>
    <n v="5420"/>
    <n v="1"/>
    <n v="75"/>
    <m/>
    <m/>
    <m/>
    <m/>
    <m/>
    <m/>
    <m/>
  </r>
  <r>
    <x v="23"/>
    <x v="217"/>
    <n v="1356"/>
    <n v="19160"/>
    <n v="17"/>
    <n v="168"/>
    <m/>
    <m/>
    <m/>
    <m/>
    <m/>
    <m/>
    <m/>
  </r>
  <r>
    <x v="0"/>
    <x v="218"/>
    <n v="5222"/>
    <n v="451286"/>
    <n v="187"/>
    <n v="13957"/>
    <m/>
    <m/>
    <m/>
    <m/>
    <m/>
    <m/>
    <m/>
  </r>
  <r>
    <x v="4"/>
    <x v="218"/>
    <n v="956"/>
    <n v="131797"/>
    <n v="63"/>
    <n v="3794"/>
    <m/>
    <m/>
    <m/>
    <m/>
    <m/>
    <m/>
    <m/>
  </r>
  <r>
    <x v="1"/>
    <x v="218"/>
    <n v="8"/>
    <n v="335"/>
    <m/>
    <n v="0"/>
    <m/>
    <m/>
    <m/>
    <m/>
    <m/>
    <m/>
    <m/>
  </r>
  <r>
    <x v="2"/>
    <x v="218"/>
    <n v="207"/>
    <n v="9693"/>
    <n v="5"/>
    <n v="314"/>
    <m/>
    <m/>
    <m/>
    <m/>
    <m/>
    <m/>
    <m/>
  </r>
  <r>
    <x v="3"/>
    <x v="218"/>
    <n v="381"/>
    <n v="5624"/>
    <n v="5"/>
    <n v="74"/>
    <m/>
    <m/>
    <m/>
    <m/>
    <m/>
    <m/>
    <m/>
  </r>
  <r>
    <x v="5"/>
    <x v="218"/>
    <n v="1749"/>
    <n v="44942"/>
    <n v="10"/>
    <n v="524"/>
    <m/>
    <m/>
    <m/>
    <m/>
    <m/>
    <m/>
    <m/>
  </r>
  <r>
    <x v="6"/>
    <x v="218"/>
    <n v="5"/>
    <n v="1361"/>
    <m/>
    <n v="31"/>
    <m/>
    <m/>
    <m/>
    <m/>
    <m/>
    <m/>
    <m/>
  </r>
  <r>
    <x v="7"/>
    <x v="218"/>
    <n v="170"/>
    <n v="8619"/>
    <n v="7"/>
    <n v="160"/>
    <m/>
    <m/>
    <m/>
    <m/>
    <m/>
    <m/>
    <m/>
  </r>
  <r>
    <x v="8"/>
    <x v="218"/>
    <n v="-1"/>
    <n v="105"/>
    <m/>
    <n v="1"/>
    <m/>
    <m/>
    <m/>
    <m/>
    <m/>
    <m/>
    <m/>
  </r>
  <r>
    <x v="9"/>
    <x v="218"/>
    <n v="65"/>
    <n v="16355"/>
    <m/>
    <n v="608"/>
    <m/>
    <m/>
    <m/>
    <m/>
    <m/>
    <m/>
    <m/>
  </r>
  <r>
    <x v="10"/>
    <x v="218"/>
    <n v="33"/>
    <n v="930"/>
    <m/>
    <n v="11"/>
    <m/>
    <m/>
    <m/>
    <m/>
    <m/>
    <m/>
    <m/>
  </r>
  <r>
    <x v="11"/>
    <x v="218"/>
    <n v="119"/>
    <n v="5430"/>
    <n v="25"/>
    <n v="130"/>
    <m/>
    <m/>
    <m/>
    <m/>
    <m/>
    <m/>
    <m/>
  </r>
  <r>
    <x v="12"/>
    <x v="218"/>
    <n v="771"/>
    <n v="29336"/>
    <n v="36"/>
    <n v="398"/>
    <m/>
    <m/>
    <m/>
    <m/>
    <m/>
    <m/>
    <m/>
  </r>
  <r>
    <x v="13"/>
    <x v="218"/>
    <n v="7"/>
    <n v="125"/>
    <m/>
    <n v="4"/>
    <m/>
    <m/>
    <m/>
    <m/>
    <m/>
    <m/>
    <m/>
  </r>
  <r>
    <x v="14"/>
    <x v="218"/>
    <n v="1204"/>
    <n v="10690"/>
    <n v="1"/>
    <n v="124"/>
    <m/>
    <m/>
    <m/>
    <m/>
    <m/>
    <m/>
    <m/>
  </r>
  <r>
    <x v="15"/>
    <x v="218"/>
    <n v="339"/>
    <n v="14991"/>
    <n v="6"/>
    <n v="337"/>
    <m/>
    <m/>
    <m/>
    <m/>
    <m/>
    <m/>
    <m/>
  </r>
  <r>
    <x v="16"/>
    <x v="218"/>
    <n v="289"/>
    <n v="14251"/>
    <n v="18"/>
    <n v="452"/>
    <m/>
    <m/>
    <m/>
    <m/>
    <m/>
    <m/>
    <m/>
  </r>
  <r>
    <x v="17"/>
    <x v="218"/>
    <n v="6"/>
    <n v="993"/>
    <m/>
    <n v="42"/>
    <m/>
    <m/>
    <m/>
    <m/>
    <m/>
    <m/>
    <m/>
  </r>
  <r>
    <x v="18"/>
    <x v="218"/>
    <n v="125"/>
    <n v="1990"/>
    <m/>
    <n v="31"/>
    <m/>
    <m/>
    <m/>
    <m/>
    <m/>
    <m/>
    <m/>
  </r>
  <r>
    <x v="19"/>
    <x v="218"/>
    <n v="162"/>
    <n v="5780"/>
    <n v="2"/>
    <n v="74"/>
    <m/>
    <m/>
    <m/>
    <m/>
    <m/>
    <m/>
    <m/>
  </r>
  <r>
    <x v="20"/>
    <x v="218"/>
    <n v="2137"/>
    <n v="55032"/>
    <n v="17"/>
    <n v="589"/>
    <m/>
    <m/>
    <m/>
    <m/>
    <m/>
    <m/>
    <m/>
  </r>
  <r>
    <x v="21"/>
    <x v="218"/>
    <n v="60"/>
    <n v="4228"/>
    <n v="5"/>
    <n v="78"/>
    <m/>
    <m/>
    <m/>
    <m/>
    <m/>
    <m/>
    <m/>
  </r>
  <r>
    <x v="22"/>
    <x v="218"/>
    <n v="216"/>
    <n v="5636"/>
    <n v="6"/>
    <n v="81"/>
    <m/>
    <m/>
    <m/>
    <m/>
    <m/>
    <m/>
    <m/>
  </r>
  <r>
    <x v="23"/>
    <x v="218"/>
    <n v="2217"/>
    <n v="21377"/>
    <n v="8"/>
    <n v="176"/>
    <m/>
    <m/>
    <m/>
    <m/>
    <m/>
    <m/>
    <m/>
  </r>
  <r>
    <x v="0"/>
    <x v="219"/>
    <n v="5184"/>
    <n v="456470"/>
    <n v="186"/>
    <n v="14143"/>
    <m/>
    <m/>
    <m/>
    <m/>
    <m/>
    <m/>
    <m/>
  </r>
  <r>
    <x v="4"/>
    <x v="219"/>
    <n v="937"/>
    <n v="132734"/>
    <n v="67"/>
    <n v="3861"/>
    <m/>
    <m/>
    <m/>
    <m/>
    <m/>
    <m/>
    <m/>
  </r>
  <r>
    <x v="1"/>
    <x v="219"/>
    <n v="18"/>
    <n v="353"/>
    <m/>
    <n v="0"/>
    <m/>
    <m/>
    <m/>
    <m/>
    <m/>
    <m/>
    <m/>
  </r>
  <r>
    <x v="2"/>
    <x v="219"/>
    <n v="156"/>
    <n v="9849"/>
    <n v="4"/>
    <n v="318"/>
    <m/>
    <m/>
    <m/>
    <m/>
    <m/>
    <m/>
    <m/>
  </r>
  <r>
    <x v="3"/>
    <x v="219"/>
    <n v="312"/>
    <n v="5936"/>
    <n v="2"/>
    <n v="76"/>
    <m/>
    <m/>
    <m/>
    <m/>
    <m/>
    <m/>
    <m/>
  </r>
  <r>
    <x v="5"/>
    <x v="219"/>
    <n v="2090"/>
    <n v="47032"/>
    <n v="18"/>
    <n v="542"/>
    <m/>
    <m/>
    <m/>
    <m/>
    <m/>
    <m/>
    <m/>
  </r>
  <r>
    <x v="6"/>
    <x v="219"/>
    <n v="51"/>
    <n v="1412"/>
    <m/>
    <n v="31"/>
    <m/>
    <m/>
    <m/>
    <m/>
    <m/>
    <m/>
    <m/>
  </r>
  <r>
    <x v="7"/>
    <x v="219"/>
    <n v="220"/>
    <n v="8839"/>
    <n v="6"/>
    <n v="166"/>
    <m/>
    <m/>
    <m/>
    <m/>
    <m/>
    <m/>
    <m/>
  </r>
  <r>
    <x v="8"/>
    <x v="219"/>
    <n v="5"/>
    <n v="110"/>
    <m/>
    <n v="1"/>
    <m/>
    <m/>
    <m/>
    <m/>
    <m/>
    <m/>
    <m/>
  </r>
  <r>
    <x v="9"/>
    <x v="219"/>
    <n v="119"/>
    <n v="16474"/>
    <n v="19"/>
    <n v="627"/>
    <m/>
    <m/>
    <m/>
    <m/>
    <m/>
    <m/>
    <m/>
  </r>
  <r>
    <x v="10"/>
    <x v="219"/>
    <n v="24"/>
    <n v="954"/>
    <n v="1"/>
    <n v="12"/>
    <m/>
    <m/>
    <m/>
    <m/>
    <m/>
    <m/>
    <m/>
  </r>
  <r>
    <x v="11"/>
    <x v="219"/>
    <n v="117"/>
    <n v="5547"/>
    <n v="30"/>
    <n v="160"/>
    <m/>
    <m/>
    <m/>
    <m/>
    <m/>
    <m/>
    <m/>
  </r>
  <r>
    <x v="12"/>
    <x v="219"/>
    <n v="697"/>
    <n v="30033"/>
    <n v="10"/>
    <n v="408"/>
    <m/>
    <m/>
    <m/>
    <m/>
    <m/>
    <m/>
    <m/>
  </r>
  <r>
    <x v="13"/>
    <x v="219"/>
    <n v="15"/>
    <n v="140"/>
    <m/>
    <n v="4"/>
    <m/>
    <m/>
    <m/>
    <m/>
    <m/>
    <m/>
    <m/>
  </r>
  <r>
    <x v="14"/>
    <x v="219"/>
    <n v="409"/>
    <n v="11099"/>
    <n v="1"/>
    <n v="125"/>
    <m/>
    <m/>
    <m/>
    <m/>
    <m/>
    <m/>
    <m/>
  </r>
  <r>
    <x v="15"/>
    <x v="219"/>
    <n v="356"/>
    <n v="15347"/>
    <n v="7"/>
    <n v="344"/>
    <m/>
    <m/>
    <m/>
    <m/>
    <m/>
    <m/>
    <m/>
  </r>
  <r>
    <x v="16"/>
    <x v="219"/>
    <n v="265"/>
    <n v="14516"/>
    <n v="11"/>
    <n v="463"/>
    <m/>
    <m/>
    <m/>
    <m/>
    <m/>
    <m/>
    <m/>
  </r>
  <r>
    <x v="17"/>
    <x v="219"/>
    <n v="112"/>
    <n v="1105"/>
    <m/>
    <n v="42"/>
    <m/>
    <m/>
    <m/>
    <m/>
    <m/>
    <m/>
    <m/>
  </r>
  <r>
    <x v="18"/>
    <x v="219"/>
    <n v="112"/>
    <n v="2102"/>
    <n v="2"/>
    <n v="33"/>
    <m/>
    <m/>
    <m/>
    <m/>
    <m/>
    <m/>
    <m/>
  </r>
  <r>
    <x v="19"/>
    <x v="219"/>
    <n v="89"/>
    <n v="5869"/>
    <n v="2"/>
    <n v="76"/>
    <m/>
    <m/>
    <m/>
    <m/>
    <m/>
    <m/>
    <m/>
  </r>
  <r>
    <x v="20"/>
    <x v="219"/>
    <n v="2099"/>
    <n v="57131"/>
    <n v="31"/>
    <n v="620"/>
    <m/>
    <m/>
    <m/>
    <m/>
    <m/>
    <m/>
    <m/>
  </r>
  <r>
    <x v="21"/>
    <x v="219"/>
    <n v="40"/>
    <n v="4268"/>
    <n v="1"/>
    <n v="79"/>
    <m/>
    <m/>
    <m/>
    <m/>
    <m/>
    <m/>
    <m/>
  </r>
  <r>
    <x v="22"/>
    <x v="219"/>
    <n v="168"/>
    <n v="5804"/>
    <n v="1"/>
    <n v="82"/>
    <m/>
    <m/>
    <m/>
    <m/>
    <m/>
    <m/>
    <m/>
  </r>
  <r>
    <x v="23"/>
    <x v="219"/>
    <n v="1859"/>
    <n v="23236"/>
    <n v="84"/>
    <n v="260"/>
    <m/>
    <m/>
    <m/>
    <m/>
    <m/>
    <m/>
    <m/>
  </r>
  <r>
    <x v="0"/>
    <x v="220"/>
    <n v="5346"/>
    <n v="461816"/>
    <n v="239"/>
    <n v="14382"/>
    <m/>
    <m/>
    <m/>
    <m/>
    <m/>
    <m/>
    <m/>
  </r>
  <r>
    <x v="4"/>
    <x v="220"/>
    <n v="874"/>
    <n v="133608"/>
    <n v="38"/>
    <n v="3899"/>
    <m/>
    <m/>
    <m/>
    <m/>
    <m/>
    <m/>
    <m/>
  </r>
  <r>
    <x v="1"/>
    <x v="220"/>
    <n v="7"/>
    <n v="360"/>
    <m/>
    <n v="0"/>
    <m/>
    <m/>
    <m/>
    <m/>
    <m/>
    <m/>
    <m/>
  </r>
  <r>
    <x v="2"/>
    <x v="220"/>
    <n v="177"/>
    <n v="10026"/>
    <n v="12"/>
    <n v="330"/>
    <m/>
    <m/>
    <m/>
    <m/>
    <m/>
    <m/>
    <m/>
  </r>
  <r>
    <x v="3"/>
    <x v="220"/>
    <n v="205"/>
    <n v="6141"/>
    <n v="6"/>
    <n v="82"/>
    <m/>
    <m/>
    <m/>
    <m/>
    <m/>
    <m/>
    <m/>
  </r>
  <r>
    <x v="5"/>
    <x v="220"/>
    <n v="1643"/>
    <n v="48675"/>
    <n v="27"/>
    <n v="569"/>
    <m/>
    <m/>
    <m/>
    <m/>
    <m/>
    <m/>
    <m/>
  </r>
  <r>
    <x v="6"/>
    <x v="220"/>
    <n v="93"/>
    <n v="1505"/>
    <m/>
    <n v="31"/>
    <m/>
    <m/>
    <m/>
    <m/>
    <m/>
    <m/>
    <m/>
  </r>
  <r>
    <x v="7"/>
    <x v="220"/>
    <n v="206"/>
    <n v="9045"/>
    <n v="4"/>
    <n v="170"/>
    <m/>
    <m/>
    <m/>
    <m/>
    <m/>
    <m/>
    <m/>
  </r>
  <r>
    <x v="8"/>
    <x v="220"/>
    <n v="10"/>
    <n v="120"/>
    <m/>
    <n v="1"/>
    <m/>
    <m/>
    <m/>
    <m/>
    <m/>
    <m/>
    <m/>
  </r>
  <r>
    <x v="9"/>
    <x v="220"/>
    <n v="70"/>
    <n v="16544"/>
    <m/>
    <n v="627"/>
    <m/>
    <m/>
    <m/>
    <m/>
    <m/>
    <m/>
    <m/>
  </r>
  <r>
    <x v="10"/>
    <x v="220"/>
    <n v="42"/>
    <n v="996"/>
    <m/>
    <n v="12"/>
    <m/>
    <m/>
    <m/>
    <m/>
    <m/>
    <m/>
    <m/>
  </r>
  <r>
    <x v="11"/>
    <x v="220"/>
    <n v="83"/>
    <n v="5630"/>
    <n v="11"/>
    <n v="171"/>
    <m/>
    <m/>
    <m/>
    <m/>
    <m/>
    <m/>
    <m/>
  </r>
  <r>
    <x v="12"/>
    <x v="220"/>
    <n v="858"/>
    <n v="30891"/>
    <n v="18"/>
    <n v="426"/>
    <m/>
    <m/>
    <m/>
    <m/>
    <m/>
    <m/>
    <m/>
  </r>
  <r>
    <x v="13"/>
    <x v="220"/>
    <n v="4"/>
    <n v="144"/>
    <m/>
    <n v="4"/>
    <m/>
    <m/>
    <m/>
    <m/>
    <m/>
    <m/>
    <m/>
  </r>
  <r>
    <x v="14"/>
    <x v="220"/>
    <n v="287"/>
    <n v="11386"/>
    <n v="42"/>
    <n v="167"/>
    <m/>
    <m/>
    <m/>
    <m/>
    <m/>
    <m/>
    <m/>
  </r>
  <r>
    <x v="15"/>
    <x v="220"/>
    <n v="462"/>
    <n v="15809"/>
    <n v="8"/>
    <n v="352"/>
    <m/>
    <m/>
    <m/>
    <m/>
    <m/>
    <m/>
    <m/>
  </r>
  <r>
    <x v="16"/>
    <x v="220"/>
    <n v="267"/>
    <n v="14783"/>
    <n v="14"/>
    <n v="477"/>
    <m/>
    <m/>
    <m/>
    <m/>
    <m/>
    <m/>
    <m/>
  </r>
  <r>
    <x v="17"/>
    <x v="220"/>
    <n v="40"/>
    <n v="1145"/>
    <m/>
    <n v="42"/>
    <m/>
    <m/>
    <m/>
    <m/>
    <m/>
    <m/>
    <m/>
  </r>
  <r>
    <x v="18"/>
    <x v="220"/>
    <n v="86"/>
    <n v="2188"/>
    <m/>
    <n v="33"/>
    <m/>
    <m/>
    <m/>
    <m/>
    <m/>
    <m/>
    <m/>
  </r>
  <r>
    <x v="19"/>
    <x v="220"/>
    <n v="172"/>
    <n v="6041"/>
    <n v="4"/>
    <n v="80"/>
    <m/>
    <m/>
    <m/>
    <m/>
    <m/>
    <m/>
    <m/>
  </r>
  <r>
    <x v="20"/>
    <x v="220"/>
    <n v="2179"/>
    <n v="59310"/>
    <n v="21"/>
    <n v="641"/>
    <m/>
    <m/>
    <m/>
    <m/>
    <m/>
    <m/>
    <m/>
  </r>
  <r>
    <x v="21"/>
    <x v="220"/>
    <n v="15"/>
    <n v="4283"/>
    <n v="3"/>
    <n v="82"/>
    <m/>
    <m/>
    <m/>
    <m/>
    <m/>
    <m/>
    <m/>
  </r>
  <r>
    <x v="22"/>
    <x v="220"/>
    <n v="249"/>
    <n v="6053"/>
    <n v="2"/>
    <n v="84"/>
    <m/>
    <m/>
    <m/>
    <m/>
    <m/>
    <m/>
    <m/>
  </r>
  <r>
    <x v="23"/>
    <x v="220"/>
    <n v="1724"/>
    <n v="24960"/>
    <n v="65"/>
    <n v="325"/>
    <m/>
    <m/>
    <m/>
    <m/>
    <m/>
    <m/>
    <m/>
  </r>
  <r>
    <x v="0"/>
    <x v="221"/>
    <n v="4047"/>
    <n v="465863"/>
    <n v="187"/>
    <n v="14569"/>
    <m/>
    <m/>
    <m/>
    <m/>
    <m/>
    <m/>
    <m/>
  </r>
  <r>
    <x v="4"/>
    <x v="221"/>
    <n v="742"/>
    <n v="134350"/>
    <n v="73"/>
    <n v="3972"/>
    <m/>
    <m/>
    <m/>
    <m/>
    <m/>
    <m/>
    <m/>
  </r>
  <r>
    <x v="1"/>
    <x v="221"/>
    <n v="10"/>
    <n v="370"/>
    <m/>
    <n v="0"/>
    <m/>
    <m/>
    <m/>
    <m/>
    <m/>
    <m/>
    <m/>
  </r>
  <r>
    <x v="2"/>
    <x v="221"/>
    <n v="148"/>
    <n v="10174"/>
    <n v="1"/>
    <n v="331"/>
    <m/>
    <m/>
    <m/>
    <m/>
    <m/>
    <m/>
    <m/>
  </r>
  <r>
    <x v="3"/>
    <x v="221"/>
    <n v="482"/>
    <n v="6623"/>
    <m/>
    <n v="82"/>
    <m/>
    <m/>
    <m/>
    <m/>
    <m/>
    <m/>
    <m/>
  </r>
  <r>
    <x v="5"/>
    <x v="221"/>
    <n v="1606"/>
    <n v="50281"/>
    <n v="27"/>
    <n v="596"/>
    <m/>
    <m/>
    <m/>
    <m/>
    <m/>
    <m/>
    <m/>
  </r>
  <r>
    <x v="6"/>
    <x v="221"/>
    <n v="2"/>
    <n v="1507"/>
    <m/>
    <n v="31"/>
    <m/>
    <m/>
    <m/>
    <m/>
    <m/>
    <m/>
    <m/>
  </r>
  <r>
    <x v="7"/>
    <x v="221"/>
    <n v="188"/>
    <n v="9233"/>
    <n v="2"/>
    <n v="172"/>
    <m/>
    <m/>
    <m/>
    <m/>
    <m/>
    <m/>
    <m/>
  </r>
  <r>
    <x v="8"/>
    <x v="221"/>
    <n v="8"/>
    <n v="128"/>
    <m/>
    <n v="1"/>
    <m/>
    <m/>
    <m/>
    <m/>
    <m/>
    <m/>
    <m/>
  </r>
  <r>
    <x v="9"/>
    <x v="221"/>
    <n v="128"/>
    <n v="16672"/>
    <m/>
    <n v="627"/>
    <m/>
    <m/>
    <m/>
    <m/>
    <m/>
    <m/>
    <m/>
  </r>
  <r>
    <x v="10"/>
    <x v="221"/>
    <n v="44"/>
    <n v="1040"/>
    <m/>
    <n v="12"/>
    <m/>
    <m/>
    <m/>
    <m/>
    <m/>
    <m/>
    <m/>
  </r>
  <r>
    <x v="11"/>
    <x v="221"/>
    <n v="46"/>
    <n v="5676"/>
    <n v="1"/>
    <n v="172"/>
    <m/>
    <m/>
    <m/>
    <m/>
    <m/>
    <m/>
    <m/>
  </r>
  <r>
    <x v="12"/>
    <x v="221"/>
    <n v="573"/>
    <n v="31464"/>
    <n v="3"/>
    <n v="429"/>
    <m/>
    <m/>
    <m/>
    <m/>
    <m/>
    <m/>
    <m/>
  </r>
  <r>
    <x v="13"/>
    <x v="221"/>
    <n v="5"/>
    <n v="149"/>
    <m/>
    <n v="4"/>
    <m/>
    <m/>
    <m/>
    <m/>
    <m/>
    <m/>
    <m/>
  </r>
  <r>
    <x v="14"/>
    <x v="221"/>
    <n v="433"/>
    <n v="11819"/>
    <n v="17"/>
    <n v="184"/>
    <m/>
    <m/>
    <m/>
    <m/>
    <m/>
    <m/>
    <m/>
  </r>
  <r>
    <x v="15"/>
    <x v="221"/>
    <n v="433"/>
    <n v="16242"/>
    <n v="4"/>
    <n v="356"/>
    <m/>
    <m/>
    <m/>
    <m/>
    <m/>
    <m/>
    <m/>
  </r>
  <r>
    <x v="16"/>
    <x v="221"/>
    <n v="453"/>
    <n v="15236"/>
    <n v="21"/>
    <n v="498"/>
    <m/>
    <m/>
    <m/>
    <m/>
    <m/>
    <m/>
    <m/>
  </r>
  <r>
    <x v="17"/>
    <x v="221"/>
    <n v="1"/>
    <n v="1146"/>
    <m/>
    <n v="42"/>
    <m/>
    <m/>
    <m/>
    <m/>
    <m/>
    <m/>
    <m/>
  </r>
  <r>
    <x v="18"/>
    <x v="221"/>
    <n v="14"/>
    <n v="2202"/>
    <m/>
    <n v="33"/>
    <m/>
    <m/>
    <m/>
    <m/>
    <m/>
    <m/>
    <m/>
  </r>
  <r>
    <x v="19"/>
    <x v="221"/>
    <n v="170"/>
    <n v="6211"/>
    <n v="3"/>
    <n v="83"/>
    <m/>
    <m/>
    <m/>
    <m/>
    <m/>
    <m/>
    <m/>
  </r>
  <r>
    <x v="20"/>
    <x v="221"/>
    <n v="2043"/>
    <n v="61353"/>
    <n v="16"/>
    <n v="657"/>
    <m/>
    <m/>
    <m/>
    <m/>
    <m/>
    <m/>
    <m/>
  </r>
  <r>
    <x v="21"/>
    <x v="221"/>
    <n v="93"/>
    <n v="4376"/>
    <m/>
    <n v="82"/>
    <m/>
    <m/>
    <m/>
    <m/>
    <m/>
    <m/>
    <m/>
  </r>
  <r>
    <x v="22"/>
    <x v="221"/>
    <n v="144"/>
    <n v="6197"/>
    <m/>
    <n v="84"/>
    <m/>
    <m/>
    <m/>
    <m/>
    <m/>
    <m/>
    <m/>
  </r>
  <r>
    <x v="23"/>
    <x v="221"/>
    <n v="802"/>
    <n v="25762"/>
    <m/>
    <n v="325"/>
    <m/>
    <m/>
    <m/>
    <m/>
    <m/>
    <m/>
    <m/>
  </r>
  <r>
    <x v="0"/>
    <x v="222"/>
    <n v="2542"/>
    <n v="468405"/>
    <n v="147"/>
    <n v="14716"/>
    <m/>
    <m/>
    <m/>
    <m/>
    <m/>
    <m/>
    <m/>
  </r>
  <r>
    <x v="4"/>
    <x v="222"/>
    <n v="642"/>
    <n v="134992"/>
    <n v="20"/>
    <n v="3992"/>
    <m/>
    <m/>
    <m/>
    <m/>
    <m/>
    <m/>
    <m/>
  </r>
  <r>
    <x v="1"/>
    <x v="222"/>
    <n v="6"/>
    <n v="376"/>
    <m/>
    <n v="0"/>
    <m/>
    <m/>
    <m/>
    <m/>
    <m/>
    <m/>
    <m/>
  </r>
  <r>
    <x v="2"/>
    <x v="222"/>
    <n v="199"/>
    <n v="10373"/>
    <n v="3"/>
    <n v="334"/>
    <m/>
    <m/>
    <m/>
    <m/>
    <m/>
    <m/>
    <m/>
  </r>
  <r>
    <x v="3"/>
    <x v="222"/>
    <n v="379"/>
    <n v="7002"/>
    <m/>
    <n v="82"/>
    <m/>
    <m/>
    <m/>
    <m/>
    <m/>
    <m/>
    <m/>
  </r>
  <r>
    <x v="5"/>
    <x v="222"/>
    <n v="1536"/>
    <n v="51817"/>
    <n v="31"/>
    <n v="627"/>
    <m/>
    <m/>
    <m/>
    <m/>
    <m/>
    <m/>
    <m/>
  </r>
  <r>
    <x v="6"/>
    <x v="222"/>
    <n v="50"/>
    <n v="1557"/>
    <m/>
    <n v="31"/>
    <m/>
    <m/>
    <m/>
    <m/>
    <m/>
    <m/>
    <m/>
  </r>
  <r>
    <x v="7"/>
    <x v="222"/>
    <n v="157"/>
    <n v="9390"/>
    <n v="3"/>
    <n v="175"/>
    <m/>
    <m/>
    <m/>
    <m/>
    <m/>
    <m/>
    <m/>
  </r>
  <r>
    <x v="8"/>
    <x v="222"/>
    <n v="0"/>
    <n v="128"/>
    <m/>
    <n v="1"/>
    <m/>
    <m/>
    <m/>
    <m/>
    <m/>
    <m/>
    <m/>
  </r>
  <r>
    <x v="9"/>
    <x v="222"/>
    <n v="58"/>
    <n v="16730"/>
    <n v="1"/>
    <n v="628"/>
    <m/>
    <m/>
    <m/>
    <m/>
    <m/>
    <m/>
    <m/>
  </r>
  <r>
    <x v="10"/>
    <x v="222"/>
    <n v="30"/>
    <n v="1070"/>
    <m/>
    <n v="12"/>
    <m/>
    <m/>
    <m/>
    <m/>
    <m/>
    <m/>
    <m/>
  </r>
  <r>
    <x v="11"/>
    <x v="222"/>
    <n v="152"/>
    <n v="5828"/>
    <n v="3"/>
    <n v="175"/>
    <m/>
    <m/>
    <m/>
    <m/>
    <m/>
    <m/>
    <m/>
  </r>
  <r>
    <x v="12"/>
    <x v="222"/>
    <n v="571"/>
    <n v="32035"/>
    <n v="6"/>
    <n v="435"/>
    <m/>
    <m/>
    <m/>
    <m/>
    <m/>
    <m/>
    <m/>
  </r>
  <r>
    <x v="13"/>
    <x v="222"/>
    <n v="5"/>
    <n v="154"/>
    <m/>
    <n v="4"/>
    <m/>
    <m/>
    <m/>
    <m/>
    <m/>
    <m/>
    <m/>
  </r>
  <r>
    <x v="14"/>
    <x v="222"/>
    <n v="306"/>
    <n v="12125"/>
    <m/>
    <n v="184"/>
    <m/>
    <m/>
    <m/>
    <m/>
    <m/>
    <m/>
    <m/>
  </r>
  <r>
    <x v="15"/>
    <x v="222"/>
    <n v="252"/>
    <n v="16494"/>
    <n v="8"/>
    <n v="364"/>
    <m/>
    <m/>
    <m/>
    <m/>
    <m/>
    <m/>
    <m/>
  </r>
  <r>
    <x v="16"/>
    <x v="222"/>
    <n v="148"/>
    <n v="15384"/>
    <n v="25"/>
    <n v="523"/>
    <m/>
    <m/>
    <m/>
    <m/>
    <m/>
    <m/>
    <m/>
  </r>
  <r>
    <x v="17"/>
    <x v="222"/>
    <n v="58"/>
    <n v="1204"/>
    <m/>
    <n v="42"/>
    <m/>
    <m/>
    <m/>
    <m/>
    <m/>
    <m/>
    <m/>
  </r>
  <r>
    <x v="18"/>
    <x v="222"/>
    <n v="20"/>
    <n v="2222"/>
    <m/>
    <n v="33"/>
    <m/>
    <m/>
    <m/>
    <m/>
    <m/>
    <m/>
    <m/>
  </r>
  <r>
    <x v="19"/>
    <x v="222"/>
    <n v="134"/>
    <n v="6345"/>
    <n v="3"/>
    <n v="86"/>
    <m/>
    <m/>
    <m/>
    <m/>
    <m/>
    <m/>
    <m/>
  </r>
  <r>
    <x v="20"/>
    <x v="222"/>
    <n v="1547"/>
    <n v="62900"/>
    <n v="14"/>
    <n v="671"/>
    <m/>
    <m/>
    <m/>
    <m/>
    <m/>
    <m/>
    <m/>
  </r>
  <r>
    <x v="21"/>
    <x v="222"/>
    <n v="450"/>
    <n v="4826"/>
    <n v="2"/>
    <n v="84"/>
    <m/>
    <m/>
    <m/>
    <m/>
    <m/>
    <m/>
    <m/>
  </r>
  <r>
    <x v="22"/>
    <x v="222"/>
    <n v="227"/>
    <n v="6424"/>
    <m/>
    <n v="84"/>
    <m/>
    <m/>
    <m/>
    <m/>
    <m/>
    <m/>
    <m/>
  </r>
  <r>
    <x v="23"/>
    <x v="222"/>
    <n v="855"/>
    <n v="26617"/>
    <n v="17"/>
    <n v="342"/>
    <m/>
    <m/>
    <m/>
    <m/>
    <m/>
    <m/>
    <m/>
  </r>
  <r>
    <x v="0"/>
    <x v="223"/>
    <n v="2221"/>
    <n v="470626"/>
    <n v="131"/>
    <n v="14847"/>
    <m/>
    <m/>
    <m/>
    <m/>
    <m/>
    <m/>
    <m/>
  </r>
  <r>
    <x v="4"/>
    <x v="223"/>
    <n v="499"/>
    <n v="135491"/>
    <n v="55"/>
    <n v="4047"/>
    <m/>
    <m/>
    <m/>
    <m/>
    <m/>
    <m/>
    <m/>
  </r>
  <r>
    <x v="1"/>
    <x v="223"/>
    <n v="14"/>
    <n v="390"/>
    <m/>
    <n v="0"/>
    <m/>
    <m/>
    <m/>
    <m/>
    <m/>
    <m/>
    <m/>
  </r>
  <r>
    <x v="2"/>
    <x v="223"/>
    <n v="133"/>
    <n v="10506"/>
    <m/>
    <n v="334"/>
    <m/>
    <m/>
    <m/>
    <m/>
    <m/>
    <m/>
    <m/>
  </r>
  <r>
    <x v="3"/>
    <x v="223"/>
    <n v="348"/>
    <n v="7350"/>
    <n v="15"/>
    <n v="97"/>
    <m/>
    <m/>
    <m/>
    <m/>
    <m/>
    <m/>
    <m/>
  </r>
  <r>
    <x v="5"/>
    <x v="223"/>
    <n v="1120"/>
    <n v="52937"/>
    <n v="28"/>
    <n v="655"/>
    <m/>
    <m/>
    <m/>
    <m/>
    <m/>
    <m/>
    <m/>
  </r>
  <r>
    <x v="6"/>
    <x v="223"/>
    <n v="77"/>
    <n v="1634"/>
    <m/>
    <n v="31"/>
    <m/>
    <m/>
    <m/>
    <m/>
    <m/>
    <m/>
    <m/>
  </r>
  <r>
    <x v="7"/>
    <x v="223"/>
    <n v="176"/>
    <n v="9566"/>
    <n v="13"/>
    <n v="188"/>
    <m/>
    <m/>
    <m/>
    <m/>
    <m/>
    <m/>
    <m/>
  </r>
  <r>
    <x v="8"/>
    <x v="223"/>
    <n v="8"/>
    <n v="136"/>
    <m/>
    <n v="1"/>
    <m/>
    <m/>
    <m/>
    <m/>
    <m/>
    <m/>
    <m/>
  </r>
  <r>
    <x v="9"/>
    <x v="223"/>
    <n v="76"/>
    <n v="16806"/>
    <m/>
    <n v="628"/>
    <m/>
    <m/>
    <m/>
    <m/>
    <m/>
    <m/>
    <m/>
  </r>
  <r>
    <x v="10"/>
    <x v="223"/>
    <n v="57"/>
    <n v="1127"/>
    <m/>
    <n v="12"/>
    <m/>
    <m/>
    <m/>
    <m/>
    <m/>
    <m/>
    <m/>
  </r>
  <r>
    <x v="11"/>
    <x v="223"/>
    <n v="160"/>
    <n v="5988"/>
    <n v="1"/>
    <n v="176"/>
    <m/>
    <m/>
    <m/>
    <m/>
    <m/>
    <m/>
    <m/>
  </r>
  <r>
    <x v="12"/>
    <x v="223"/>
    <n v="364"/>
    <n v="32399"/>
    <n v="2"/>
    <n v="437"/>
    <m/>
    <m/>
    <m/>
    <m/>
    <m/>
    <m/>
    <m/>
  </r>
  <r>
    <x v="13"/>
    <x v="223"/>
    <n v="8"/>
    <n v="162"/>
    <m/>
    <n v="4"/>
    <m/>
    <m/>
    <m/>
    <m/>
    <m/>
    <m/>
    <m/>
  </r>
  <r>
    <x v="14"/>
    <x v="223"/>
    <n v="264"/>
    <n v="12389"/>
    <n v="1"/>
    <n v="185"/>
    <m/>
    <m/>
    <m/>
    <m/>
    <m/>
    <m/>
    <m/>
  </r>
  <r>
    <x v="15"/>
    <x v="223"/>
    <n v="233"/>
    <n v="16727"/>
    <n v="4"/>
    <n v="368"/>
    <m/>
    <m/>
    <m/>
    <m/>
    <m/>
    <m/>
    <m/>
  </r>
  <r>
    <x v="16"/>
    <x v="223"/>
    <n v="84"/>
    <n v="15468"/>
    <n v="12"/>
    <n v="535"/>
    <m/>
    <m/>
    <m/>
    <m/>
    <m/>
    <m/>
    <m/>
  </r>
  <r>
    <x v="17"/>
    <x v="223"/>
    <n v="37"/>
    <n v="1241"/>
    <m/>
    <n v="42"/>
    <m/>
    <m/>
    <m/>
    <m/>
    <m/>
    <m/>
    <m/>
  </r>
  <r>
    <x v="18"/>
    <x v="223"/>
    <n v="68"/>
    <n v="2290"/>
    <m/>
    <n v="33"/>
    <m/>
    <m/>
    <m/>
    <m/>
    <m/>
    <m/>
    <m/>
  </r>
  <r>
    <x v="19"/>
    <x v="223"/>
    <n v="103"/>
    <n v="6448"/>
    <n v="2"/>
    <n v="88"/>
    <m/>
    <m/>
    <m/>
    <m/>
    <m/>
    <m/>
    <m/>
  </r>
  <r>
    <x v="20"/>
    <x v="223"/>
    <n v="1711"/>
    <n v="64611"/>
    <n v="11"/>
    <n v="682"/>
    <m/>
    <m/>
    <m/>
    <m/>
    <m/>
    <m/>
    <m/>
  </r>
  <r>
    <x v="21"/>
    <x v="223"/>
    <n v="573"/>
    <n v="5399"/>
    <n v="2"/>
    <n v="86"/>
    <m/>
    <m/>
    <m/>
    <m/>
    <m/>
    <m/>
    <m/>
  </r>
  <r>
    <x v="22"/>
    <x v="223"/>
    <n v="268"/>
    <n v="6692"/>
    <n v="1"/>
    <n v="85"/>
    <m/>
    <m/>
    <m/>
    <m/>
    <m/>
    <m/>
    <m/>
  </r>
  <r>
    <x v="23"/>
    <x v="223"/>
    <n v="922"/>
    <n v="27539"/>
    <n v="40"/>
    <n v="382"/>
    <m/>
    <m/>
    <m/>
    <m/>
    <m/>
    <m/>
    <m/>
  </r>
  <r>
    <x v="0"/>
    <x v="224"/>
    <n v="4666"/>
    <n v="475292"/>
    <n v="169"/>
    <n v="15016"/>
    <m/>
    <m/>
    <m/>
    <m/>
    <m/>
    <m/>
    <m/>
  </r>
  <r>
    <x v="4"/>
    <x v="224"/>
    <n v="745"/>
    <n v="136236"/>
    <n v="49"/>
    <n v="4096"/>
    <m/>
    <m/>
    <m/>
    <m/>
    <m/>
    <m/>
    <m/>
  </r>
  <r>
    <x v="1"/>
    <x v="224"/>
    <n v="3"/>
    <n v="393"/>
    <m/>
    <n v="0"/>
    <m/>
    <m/>
    <m/>
    <m/>
    <m/>
    <m/>
    <m/>
  </r>
  <r>
    <x v="2"/>
    <x v="224"/>
    <n v="172"/>
    <n v="10678"/>
    <n v="10"/>
    <n v="344"/>
    <m/>
    <m/>
    <m/>
    <m/>
    <m/>
    <m/>
    <m/>
  </r>
  <r>
    <x v="3"/>
    <x v="224"/>
    <n v="438"/>
    <n v="7788"/>
    <n v="4"/>
    <n v="101"/>
    <m/>
    <m/>
    <m/>
    <m/>
    <m/>
    <m/>
    <m/>
  </r>
  <r>
    <x v="5"/>
    <x v="224"/>
    <n v="1158"/>
    <n v="54095"/>
    <n v="35"/>
    <n v="690"/>
    <m/>
    <m/>
    <m/>
    <m/>
    <m/>
    <m/>
    <m/>
  </r>
  <r>
    <x v="6"/>
    <x v="224"/>
    <n v="114"/>
    <n v="1748"/>
    <n v="1"/>
    <n v="32"/>
    <m/>
    <m/>
    <m/>
    <m/>
    <m/>
    <m/>
    <m/>
  </r>
  <r>
    <x v="7"/>
    <x v="224"/>
    <n v="257"/>
    <n v="9823"/>
    <n v="5"/>
    <n v="193"/>
    <m/>
    <m/>
    <m/>
    <m/>
    <m/>
    <m/>
    <m/>
  </r>
  <r>
    <x v="8"/>
    <x v="224"/>
    <n v="3"/>
    <n v="139"/>
    <m/>
    <n v="1"/>
    <m/>
    <m/>
    <m/>
    <m/>
    <m/>
    <m/>
    <m/>
  </r>
  <r>
    <x v="9"/>
    <x v="224"/>
    <n v="36"/>
    <n v="16842"/>
    <n v="2"/>
    <n v="630"/>
    <m/>
    <m/>
    <m/>
    <m/>
    <m/>
    <m/>
    <m/>
  </r>
  <r>
    <x v="10"/>
    <x v="224"/>
    <n v="44"/>
    <n v="1171"/>
    <n v="1"/>
    <n v="13"/>
    <m/>
    <m/>
    <m/>
    <m/>
    <m/>
    <m/>
    <m/>
  </r>
  <r>
    <x v="11"/>
    <x v="224"/>
    <n v="43"/>
    <n v="6031"/>
    <n v="6"/>
    <n v="182"/>
    <m/>
    <m/>
    <m/>
    <m/>
    <m/>
    <m/>
    <m/>
  </r>
  <r>
    <x v="12"/>
    <x v="224"/>
    <n v="653"/>
    <n v="33052"/>
    <n v="7"/>
    <n v="444"/>
    <m/>
    <m/>
    <m/>
    <m/>
    <m/>
    <m/>
    <m/>
  </r>
  <r>
    <x v="13"/>
    <x v="224"/>
    <n v="24"/>
    <n v="186"/>
    <m/>
    <n v="4"/>
    <m/>
    <m/>
    <m/>
    <m/>
    <m/>
    <m/>
    <m/>
  </r>
  <r>
    <x v="14"/>
    <x v="224"/>
    <n v="299"/>
    <n v="12688"/>
    <n v="12"/>
    <n v="197"/>
    <m/>
    <m/>
    <m/>
    <m/>
    <m/>
    <m/>
    <m/>
  </r>
  <r>
    <x v="15"/>
    <x v="224"/>
    <n v="405"/>
    <n v="17132"/>
    <n v="6"/>
    <n v="374"/>
    <m/>
    <m/>
    <m/>
    <m/>
    <m/>
    <m/>
    <m/>
  </r>
  <r>
    <x v="16"/>
    <x v="224"/>
    <n v="136"/>
    <n v="15604"/>
    <n v="8"/>
    <n v="543"/>
    <m/>
    <m/>
    <m/>
    <m/>
    <m/>
    <m/>
    <m/>
  </r>
  <r>
    <x v="17"/>
    <x v="224"/>
    <n v="27"/>
    <n v="1268"/>
    <n v="9"/>
    <n v="51"/>
    <m/>
    <m/>
    <m/>
    <m/>
    <m/>
    <m/>
    <m/>
  </r>
  <r>
    <x v="18"/>
    <x v="224"/>
    <n v="126"/>
    <n v="2416"/>
    <m/>
    <n v="33"/>
    <m/>
    <m/>
    <m/>
    <m/>
    <m/>
    <m/>
    <m/>
  </r>
  <r>
    <x v="19"/>
    <x v="224"/>
    <n v="66"/>
    <n v="6514"/>
    <n v="3"/>
    <n v="91"/>
    <m/>
    <m/>
    <m/>
    <m/>
    <m/>
    <m/>
    <m/>
  </r>
  <r>
    <x v="20"/>
    <x v="224"/>
    <n v="2288"/>
    <n v="66899"/>
    <n v="25"/>
    <n v="707"/>
    <m/>
    <m/>
    <m/>
    <m/>
    <m/>
    <m/>
    <m/>
  </r>
  <r>
    <x v="21"/>
    <x v="224"/>
    <n v="146"/>
    <n v="5545"/>
    <n v="2"/>
    <n v="88"/>
    <m/>
    <m/>
    <m/>
    <m/>
    <m/>
    <m/>
    <m/>
  </r>
  <r>
    <x v="22"/>
    <x v="224"/>
    <n v="202"/>
    <n v="6894"/>
    <n v="2"/>
    <n v="87"/>
    <m/>
    <m/>
    <m/>
    <m/>
    <m/>
    <m/>
    <m/>
  </r>
  <r>
    <x v="23"/>
    <x v="224"/>
    <n v="1254"/>
    <n v="28793"/>
    <n v="28"/>
    <n v="410"/>
    <m/>
    <m/>
    <m/>
    <m/>
    <m/>
    <m/>
    <m/>
  </r>
  <r>
    <x v="0"/>
    <x v="225"/>
    <n v="5175"/>
    <n v="480467"/>
    <n v="164"/>
    <n v="15180"/>
    <m/>
    <m/>
    <m/>
    <m/>
    <m/>
    <m/>
    <m/>
  </r>
  <r>
    <x v="4"/>
    <x v="225"/>
    <n v="825"/>
    <n v="137061"/>
    <n v="51"/>
    <n v="4147"/>
    <m/>
    <m/>
    <m/>
    <m/>
    <m/>
    <m/>
    <m/>
  </r>
  <r>
    <x v="1"/>
    <x v="225"/>
    <n v="8"/>
    <n v="401"/>
    <m/>
    <n v="0"/>
    <m/>
    <m/>
    <m/>
    <m/>
    <m/>
    <m/>
    <m/>
  </r>
  <r>
    <x v="2"/>
    <x v="225"/>
    <n v="192"/>
    <n v="10870"/>
    <n v="2"/>
    <n v="346"/>
    <m/>
    <m/>
    <m/>
    <m/>
    <m/>
    <m/>
    <m/>
  </r>
  <r>
    <x v="3"/>
    <x v="225"/>
    <n v="236"/>
    <n v="8024"/>
    <m/>
    <n v="101"/>
    <m/>
    <m/>
    <m/>
    <m/>
    <m/>
    <m/>
    <m/>
  </r>
  <r>
    <x v="5"/>
    <x v="225"/>
    <n v="1606"/>
    <n v="55701"/>
    <n v="28"/>
    <n v="718"/>
    <m/>
    <m/>
    <m/>
    <m/>
    <m/>
    <m/>
    <m/>
  </r>
  <r>
    <x v="6"/>
    <x v="225"/>
    <n v="54"/>
    <n v="1802"/>
    <m/>
    <n v="32"/>
    <m/>
    <m/>
    <m/>
    <m/>
    <m/>
    <m/>
    <m/>
  </r>
  <r>
    <x v="7"/>
    <x v="225"/>
    <n v="299"/>
    <n v="10122"/>
    <n v="3"/>
    <n v="196"/>
    <m/>
    <m/>
    <m/>
    <m/>
    <m/>
    <m/>
    <m/>
  </r>
  <r>
    <x v="8"/>
    <x v="225"/>
    <n v="1"/>
    <n v="140"/>
    <m/>
    <n v="1"/>
    <m/>
    <m/>
    <m/>
    <m/>
    <m/>
    <m/>
    <m/>
  </r>
  <r>
    <x v="9"/>
    <x v="225"/>
    <n v="103"/>
    <n v="16945"/>
    <m/>
    <n v="630"/>
    <m/>
    <m/>
    <m/>
    <m/>
    <m/>
    <m/>
    <m/>
  </r>
  <r>
    <x v="10"/>
    <x v="225"/>
    <n v="101"/>
    <n v="1272"/>
    <n v="3"/>
    <n v="16"/>
    <m/>
    <m/>
    <m/>
    <m/>
    <m/>
    <m/>
    <m/>
  </r>
  <r>
    <x v="11"/>
    <x v="225"/>
    <n v="87"/>
    <n v="6118"/>
    <n v="4"/>
    <n v="186"/>
    <m/>
    <m/>
    <m/>
    <m/>
    <m/>
    <m/>
    <m/>
  </r>
  <r>
    <x v="12"/>
    <x v="225"/>
    <n v="925"/>
    <n v="33977"/>
    <n v="9"/>
    <n v="453"/>
    <m/>
    <m/>
    <m/>
    <m/>
    <m/>
    <m/>
    <m/>
  </r>
  <r>
    <x v="13"/>
    <x v="225"/>
    <n v="3"/>
    <n v="189"/>
    <m/>
    <n v="4"/>
    <m/>
    <m/>
    <m/>
    <m/>
    <m/>
    <m/>
    <m/>
  </r>
  <r>
    <x v="14"/>
    <x v="225"/>
    <n v="296"/>
    <n v="12984"/>
    <n v="8"/>
    <n v="205"/>
    <m/>
    <m/>
    <m/>
    <m/>
    <m/>
    <m/>
    <m/>
  </r>
  <r>
    <x v="15"/>
    <x v="225"/>
    <n v="361"/>
    <n v="17493"/>
    <n v="14"/>
    <n v="388"/>
    <m/>
    <m/>
    <m/>
    <m/>
    <m/>
    <m/>
    <m/>
  </r>
  <r>
    <x v="16"/>
    <x v="225"/>
    <n v="150"/>
    <n v="15754"/>
    <n v="9"/>
    <n v="552"/>
    <m/>
    <m/>
    <m/>
    <m/>
    <m/>
    <m/>
    <m/>
  </r>
  <r>
    <x v="17"/>
    <x v="225"/>
    <n v="5"/>
    <n v="1273"/>
    <m/>
    <n v="51"/>
    <m/>
    <m/>
    <m/>
    <m/>
    <m/>
    <m/>
    <m/>
  </r>
  <r>
    <x v="18"/>
    <x v="225"/>
    <n v="151"/>
    <n v="2567"/>
    <n v="1"/>
    <n v="34"/>
    <m/>
    <m/>
    <m/>
    <m/>
    <m/>
    <m/>
    <m/>
  </r>
  <r>
    <x v="19"/>
    <x v="225"/>
    <n v="195"/>
    <n v="6709"/>
    <n v="1"/>
    <n v="92"/>
    <m/>
    <m/>
    <m/>
    <m/>
    <m/>
    <m/>
    <m/>
  </r>
  <r>
    <x v="20"/>
    <x v="225"/>
    <n v="2470"/>
    <n v="69369"/>
    <n v="41"/>
    <n v="748"/>
    <m/>
    <m/>
    <m/>
    <m/>
    <m/>
    <m/>
    <m/>
  </r>
  <r>
    <x v="21"/>
    <x v="225"/>
    <n v="153"/>
    <n v="5698"/>
    <n v="4"/>
    <n v="92"/>
    <m/>
    <m/>
    <m/>
    <m/>
    <m/>
    <m/>
    <m/>
  </r>
  <r>
    <x v="22"/>
    <x v="225"/>
    <n v="295"/>
    <n v="7189"/>
    <n v="4"/>
    <n v="91"/>
    <m/>
    <m/>
    <m/>
    <m/>
    <m/>
    <m/>
    <m/>
  </r>
  <r>
    <x v="23"/>
    <x v="225"/>
    <n v="1241"/>
    <n v="30034"/>
    <n v="4"/>
    <n v="414"/>
    <m/>
    <m/>
    <m/>
    <m/>
    <m/>
    <m/>
    <m/>
  </r>
  <r>
    <x v="0"/>
    <x v="226"/>
    <n v="5756"/>
    <n v="486223"/>
    <n v="193"/>
    <n v="15373"/>
    <m/>
    <m/>
    <m/>
    <m/>
    <m/>
    <m/>
    <m/>
  </r>
  <r>
    <x v="4"/>
    <x v="226"/>
    <n v="830"/>
    <n v="137891"/>
    <n v="58"/>
    <n v="4205"/>
    <m/>
    <m/>
    <m/>
    <m/>
    <m/>
    <m/>
    <m/>
  </r>
  <r>
    <x v="1"/>
    <x v="226"/>
    <n v="6"/>
    <n v="407"/>
    <m/>
    <n v="0"/>
    <m/>
    <m/>
    <m/>
    <m/>
    <m/>
    <m/>
    <m/>
  </r>
  <r>
    <x v="2"/>
    <x v="226"/>
    <n v="197"/>
    <n v="11067"/>
    <n v="5"/>
    <n v="351"/>
    <m/>
    <m/>
    <m/>
    <m/>
    <m/>
    <m/>
    <m/>
  </r>
  <r>
    <x v="3"/>
    <x v="226"/>
    <n v="245"/>
    <n v="8269"/>
    <n v="9"/>
    <n v="110"/>
    <m/>
    <m/>
    <m/>
    <m/>
    <m/>
    <m/>
    <m/>
  </r>
  <r>
    <x v="5"/>
    <x v="226"/>
    <n v="2082"/>
    <n v="57783"/>
    <n v="44"/>
    <n v="762"/>
    <m/>
    <m/>
    <m/>
    <m/>
    <m/>
    <m/>
    <m/>
  </r>
  <r>
    <x v="6"/>
    <x v="226"/>
    <n v="72"/>
    <n v="1874"/>
    <m/>
    <n v="32"/>
    <m/>
    <m/>
    <m/>
    <m/>
    <m/>
    <m/>
    <m/>
  </r>
  <r>
    <x v="7"/>
    <x v="226"/>
    <n v="334"/>
    <n v="10456"/>
    <n v="7"/>
    <n v="203"/>
    <m/>
    <m/>
    <m/>
    <m/>
    <m/>
    <m/>
    <m/>
  </r>
  <r>
    <x v="8"/>
    <x v="226"/>
    <n v="-2"/>
    <n v="138"/>
    <m/>
    <n v="1"/>
    <m/>
    <m/>
    <m/>
    <m/>
    <m/>
    <m/>
    <m/>
  </r>
  <r>
    <x v="9"/>
    <x v="226"/>
    <n v="120"/>
    <n v="17065"/>
    <n v="13"/>
    <n v="643"/>
    <m/>
    <m/>
    <m/>
    <m/>
    <m/>
    <m/>
    <m/>
  </r>
  <r>
    <x v="10"/>
    <x v="226"/>
    <n v="82"/>
    <n v="1354"/>
    <m/>
    <n v="16"/>
    <m/>
    <m/>
    <m/>
    <m/>
    <m/>
    <m/>
    <m/>
  </r>
  <r>
    <x v="11"/>
    <x v="226"/>
    <n v="107"/>
    <n v="6225"/>
    <n v="5"/>
    <n v="191"/>
    <m/>
    <m/>
    <m/>
    <m/>
    <m/>
    <m/>
    <m/>
  </r>
  <r>
    <x v="12"/>
    <x v="226"/>
    <n v="1056"/>
    <n v="35033"/>
    <n v="15"/>
    <n v="468"/>
    <m/>
    <m/>
    <m/>
    <m/>
    <m/>
    <m/>
    <m/>
  </r>
  <r>
    <x v="13"/>
    <x v="226"/>
    <n v="12"/>
    <n v="201"/>
    <m/>
    <n v="4"/>
    <m/>
    <m/>
    <m/>
    <m/>
    <m/>
    <m/>
    <m/>
  </r>
  <r>
    <x v="14"/>
    <x v="226"/>
    <n v="424"/>
    <n v="13408"/>
    <m/>
    <n v="205"/>
    <m/>
    <m/>
    <m/>
    <m/>
    <m/>
    <m/>
    <m/>
  </r>
  <r>
    <x v="15"/>
    <x v="226"/>
    <n v="532"/>
    <n v="18025"/>
    <n v="11"/>
    <n v="399"/>
    <m/>
    <m/>
    <m/>
    <m/>
    <m/>
    <m/>
    <m/>
  </r>
  <r>
    <x v="16"/>
    <x v="226"/>
    <n v="257"/>
    <n v="16011"/>
    <n v="12"/>
    <n v="564"/>
    <m/>
    <m/>
    <m/>
    <m/>
    <m/>
    <m/>
    <m/>
  </r>
  <r>
    <x v="17"/>
    <x v="226"/>
    <n v="3"/>
    <n v="1276"/>
    <m/>
    <n v="51"/>
    <m/>
    <m/>
    <m/>
    <m/>
    <m/>
    <m/>
    <m/>
  </r>
  <r>
    <x v="18"/>
    <x v="226"/>
    <n v="119"/>
    <n v="2686"/>
    <m/>
    <n v="34"/>
    <m/>
    <m/>
    <m/>
    <m/>
    <m/>
    <m/>
    <m/>
  </r>
  <r>
    <x v="19"/>
    <x v="226"/>
    <n v="123"/>
    <n v="6832"/>
    <n v="3"/>
    <n v="95"/>
    <m/>
    <m/>
    <m/>
    <m/>
    <m/>
    <m/>
    <m/>
  </r>
  <r>
    <x v="20"/>
    <x v="226"/>
    <n v="2659"/>
    <n v="72028"/>
    <n v="44"/>
    <n v="792"/>
    <m/>
    <m/>
    <m/>
    <m/>
    <m/>
    <m/>
    <m/>
  </r>
  <r>
    <x v="21"/>
    <x v="226"/>
    <n v="275"/>
    <n v="5973"/>
    <n v="-1"/>
    <n v="91"/>
    <m/>
    <m/>
    <m/>
    <m/>
    <m/>
    <m/>
    <m/>
  </r>
  <r>
    <x v="22"/>
    <x v="226"/>
    <n v="313"/>
    <n v="7502"/>
    <m/>
    <n v="91"/>
    <m/>
    <m/>
    <m/>
    <m/>
    <m/>
    <m/>
    <m/>
  </r>
  <r>
    <x v="23"/>
    <x v="226"/>
    <n v="1494"/>
    <n v="31528"/>
    <n v="2"/>
    <n v="416"/>
    <m/>
    <m/>
    <m/>
    <m/>
    <m/>
    <m/>
    <m/>
  </r>
  <r>
    <x v="0"/>
    <x v="227"/>
    <n v="5199"/>
    <n v="491422"/>
    <n v="136"/>
    <n v="15509"/>
    <m/>
    <m/>
    <m/>
    <m/>
    <m/>
    <m/>
    <m/>
  </r>
  <r>
    <x v="4"/>
    <x v="227"/>
    <n v="952"/>
    <n v="138843"/>
    <n v="46"/>
    <n v="4251"/>
    <m/>
    <m/>
    <m/>
    <m/>
    <m/>
    <m/>
    <m/>
  </r>
  <r>
    <x v="1"/>
    <x v="227"/>
    <n v="22"/>
    <n v="429"/>
    <m/>
    <n v="0"/>
    <m/>
    <m/>
    <m/>
    <m/>
    <m/>
    <m/>
    <m/>
  </r>
  <r>
    <x v="2"/>
    <x v="227"/>
    <n v="197"/>
    <n v="11264"/>
    <n v="3"/>
    <n v="354"/>
    <m/>
    <m/>
    <m/>
    <m/>
    <m/>
    <m/>
    <m/>
  </r>
  <r>
    <x v="3"/>
    <x v="227"/>
    <n v="288"/>
    <n v="8557"/>
    <n v="2"/>
    <n v="112"/>
    <m/>
    <m/>
    <m/>
    <m/>
    <m/>
    <m/>
    <m/>
  </r>
  <r>
    <x v="5"/>
    <x v="227"/>
    <n v="2045"/>
    <n v="59828"/>
    <n v="28"/>
    <n v="790"/>
    <m/>
    <m/>
    <m/>
    <m/>
    <m/>
    <m/>
    <m/>
  </r>
  <r>
    <x v="6"/>
    <x v="227"/>
    <n v="61"/>
    <n v="1935"/>
    <m/>
    <n v="32"/>
    <m/>
    <m/>
    <m/>
    <m/>
    <m/>
    <m/>
    <m/>
  </r>
  <r>
    <x v="7"/>
    <x v="227"/>
    <n v="349"/>
    <n v="10805"/>
    <n v="2"/>
    <n v="205"/>
    <m/>
    <m/>
    <m/>
    <m/>
    <m/>
    <m/>
    <m/>
  </r>
  <r>
    <x v="8"/>
    <x v="227"/>
    <n v="1"/>
    <n v="139"/>
    <m/>
    <n v="1"/>
    <m/>
    <m/>
    <m/>
    <m/>
    <m/>
    <m/>
    <m/>
  </r>
  <r>
    <x v="9"/>
    <x v="227"/>
    <n v="55"/>
    <n v="17120"/>
    <n v="12"/>
    <n v="655"/>
    <m/>
    <m/>
    <m/>
    <m/>
    <m/>
    <m/>
    <m/>
  </r>
  <r>
    <x v="10"/>
    <x v="227"/>
    <n v="82"/>
    <n v="1436"/>
    <n v="1"/>
    <n v="17"/>
    <m/>
    <m/>
    <m/>
    <m/>
    <m/>
    <m/>
    <m/>
  </r>
  <r>
    <x v="11"/>
    <x v="227"/>
    <n v="98"/>
    <n v="6323"/>
    <n v="11"/>
    <n v="202"/>
    <m/>
    <m/>
    <m/>
    <m/>
    <m/>
    <m/>
    <m/>
  </r>
  <r>
    <x v="12"/>
    <x v="227"/>
    <n v="897"/>
    <n v="35930"/>
    <n v="30"/>
    <n v="498"/>
    <m/>
    <m/>
    <m/>
    <m/>
    <m/>
    <m/>
    <m/>
  </r>
  <r>
    <x v="13"/>
    <x v="227"/>
    <n v="-3"/>
    <n v="198"/>
    <m/>
    <n v="4"/>
    <m/>
    <m/>
    <m/>
    <m/>
    <m/>
    <m/>
    <m/>
  </r>
  <r>
    <x v="14"/>
    <x v="227"/>
    <n v="382"/>
    <n v="13790"/>
    <n v="13"/>
    <n v="218"/>
    <m/>
    <m/>
    <m/>
    <m/>
    <m/>
    <m/>
    <m/>
  </r>
  <r>
    <x v="15"/>
    <x v="227"/>
    <n v="536"/>
    <n v="18561"/>
    <n v="2"/>
    <n v="401"/>
    <m/>
    <m/>
    <m/>
    <m/>
    <m/>
    <m/>
    <m/>
  </r>
  <r>
    <x v="16"/>
    <x v="227"/>
    <n v="215"/>
    <n v="16226"/>
    <n v="13"/>
    <n v="577"/>
    <m/>
    <m/>
    <m/>
    <m/>
    <m/>
    <m/>
    <m/>
  </r>
  <r>
    <x v="17"/>
    <x v="227"/>
    <n v="9"/>
    <n v="1285"/>
    <m/>
    <n v="51"/>
    <m/>
    <m/>
    <m/>
    <m/>
    <m/>
    <m/>
    <m/>
  </r>
  <r>
    <x v="18"/>
    <x v="227"/>
    <n v="257"/>
    <n v="2943"/>
    <n v="1"/>
    <n v="35"/>
    <m/>
    <m/>
    <m/>
    <m/>
    <m/>
    <m/>
    <m/>
  </r>
  <r>
    <x v="19"/>
    <x v="227"/>
    <n v="210"/>
    <n v="7042"/>
    <n v="1"/>
    <n v="96"/>
    <m/>
    <m/>
    <m/>
    <m/>
    <m/>
    <m/>
    <m/>
  </r>
  <r>
    <x v="20"/>
    <x v="227"/>
    <n v="2582"/>
    <n v="74610"/>
    <n v="29"/>
    <n v="821"/>
    <m/>
    <m/>
    <m/>
    <m/>
    <m/>
    <m/>
    <m/>
  </r>
  <r>
    <x v="21"/>
    <x v="227"/>
    <n v="342"/>
    <n v="6315"/>
    <n v="6"/>
    <n v="97"/>
    <m/>
    <m/>
    <m/>
    <m/>
    <m/>
    <m/>
    <m/>
  </r>
  <r>
    <x v="22"/>
    <x v="227"/>
    <n v="256"/>
    <n v="7758"/>
    <n v="5"/>
    <n v="96"/>
    <m/>
    <m/>
    <m/>
    <m/>
    <m/>
    <m/>
    <m/>
  </r>
  <r>
    <x v="23"/>
    <x v="227"/>
    <n v="1514"/>
    <n v="33042"/>
    <n v="38"/>
    <n v="454"/>
    <m/>
    <m/>
    <m/>
    <m/>
    <m/>
    <m/>
    <m/>
  </r>
  <r>
    <x v="0"/>
    <x v="228"/>
    <n v="4419"/>
    <n v="495841"/>
    <n v="191"/>
    <n v="15700"/>
    <m/>
    <m/>
    <m/>
    <m/>
    <m/>
    <m/>
    <m/>
  </r>
  <r>
    <x v="4"/>
    <x v="228"/>
    <n v="610"/>
    <n v="139453"/>
    <n v="50"/>
    <n v="4301"/>
    <m/>
    <m/>
    <m/>
    <m/>
    <m/>
    <m/>
    <m/>
  </r>
  <r>
    <x v="1"/>
    <x v="228"/>
    <n v="24"/>
    <n v="453"/>
    <m/>
    <n v="0"/>
    <m/>
    <m/>
    <m/>
    <m/>
    <m/>
    <m/>
    <m/>
  </r>
  <r>
    <x v="2"/>
    <x v="228"/>
    <n v="167"/>
    <n v="11431"/>
    <n v="3"/>
    <n v="357"/>
    <m/>
    <m/>
    <m/>
    <m/>
    <m/>
    <m/>
    <m/>
  </r>
  <r>
    <x v="3"/>
    <x v="228"/>
    <n v="335"/>
    <n v="8892"/>
    <m/>
    <n v="112"/>
    <m/>
    <m/>
    <m/>
    <m/>
    <m/>
    <m/>
    <m/>
  </r>
  <r>
    <x v="5"/>
    <x v="228"/>
    <n v="1233"/>
    <n v="61061"/>
    <n v="33"/>
    <n v="823"/>
    <m/>
    <m/>
    <m/>
    <m/>
    <m/>
    <m/>
    <m/>
  </r>
  <r>
    <x v="6"/>
    <x v="228"/>
    <n v="2"/>
    <n v="1937"/>
    <m/>
    <n v="32"/>
    <m/>
    <m/>
    <m/>
    <m/>
    <m/>
    <m/>
    <m/>
  </r>
  <r>
    <x v="7"/>
    <x v="228"/>
    <n v="350"/>
    <n v="11155"/>
    <n v="1"/>
    <n v="206"/>
    <m/>
    <m/>
    <m/>
    <m/>
    <m/>
    <m/>
    <m/>
  </r>
  <r>
    <x v="8"/>
    <x v="228"/>
    <n v="1"/>
    <n v="140"/>
    <m/>
    <n v="1"/>
    <m/>
    <m/>
    <m/>
    <m/>
    <m/>
    <m/>
    <m/>
  </r>
  <r>
    <x v="9"/>
    <x v="228"/>
    <n v="69"/>
    <n v="17189"/>
    <n v="20"/>
    <n v="675"/>
    <m/>
    <m/>
    <m/>
    <m/>
    <m/>
    <m/>
    <m/>
  </r>
  <r>
    <x v="10"/>
    <x v="228"/>
    <n v="95"/>
    <n v="1531"/>
    <m/>
    <n v="17"/>
    <m/>
    <m/>
    <m/>
    <m/>
    <m/>
    <m/>
    <m/>
  </r>
  <r>
    <x v="11"/>
    <x v="228"/>
    <n v="55"/>
    <n v="6378"/>
    <m/>
    <n v="202"/>
    <m/>
    <m/>
    <m/>
    <m/>
    <m/>
    <m/>
    <m/>
  </r>
  <r>
    <x v="12"/>
    <x v="228"/>
    <n v="659"/>
    <n v="36589"/>
    <n v="40"/>
    <n v="538"/>
    <m/>
    <m/>
    <m/>
    <m/>
    <m/>
    <m/>
    <m/>
  </r>
  <r>
    <x v="13"/>
    <x v="228"/>
    <n v="1"/>
    <n v="199"/>
    <m/>
    <n v="4"/>
    <m/>
    <m/>
    <m/>
    <m/>
    <m/>
    <m/>
    <m/>
  </r>
  <r>
    <x v="14"/>
    <x v="228"/>
    <n v="1005"/>
    <n v="14795"/>
    <m/>
    <n v="218"/>
    <m/>
    <m/>
    <m/>
    <m/>
    <m/>
    <m/>
    <m/>
  </r>
  <r>
    <x v="15"/>
    <x v="228"/>
    <n v="357"/>
    <n v="18918"/>
    <n v="2"/>
    <n v="403"/>
    <m/>
    <m/>
    <m/>
    <m/>
    <m/>
    <m/>
    <m/>
  </r>
  <r>
    <x v="16"/>
    <x v="228"/>
    <n v="238"/>
    <n v="16464"/>
    <n v="6"/>
    <n v="583"/>
    <m/>
    <m/>
    <m/>
    <m/>
    <m/>
    <m/>
    <m/>
  </r>
  <r>
    <x v="17"/>
    <x v="228"/>
    <n v="6"/>
    <n v="1291"/>
    <m/>
    <n v="51"/>
    <m/>
    <m/>
    <m/>
    <m/>
    <m/>
    <m/>
    <m/>
  </r>
  <r>
    <x v="18"/>
    <x v="228"/>
    <n v="201"/>
    <n v="3144"/>
    <m/>
    <n v="35"/>
    <m/>
    <m/>
    <m/>
    <m/>
    <m/>
    <m/>
    <m/>
  </r>
  <r>
    <x v="19"/>
    <x v="228"/>
    <n v="141"/>
    <n v="7183"/>
    <n v="1"/>
    <n v="97"/>
    <m/>
    <m/>
    <m/>
    <m/>
    <m/>
    <m/>
    <m/>
  </r>
  <r>
    <x v="20"/>
    <x v="228"/>
    <n v="2199"/>
    <n v="76809"/>
    <n v="27"/>
    <n v="848"/>
    <m/>
    <m/>
    <m/>
    <m/>
    <m/>
    <m/>
    <m/>
  </r>
  <r>
    <x v="21"/>
    <x v="228"/>
    <n v="238"/>
    <n v="6553"/>
    <m/>
    <n v="97"/>
    <m/>
    <m/>
    <m/>
    <m/>
    <m/>
    <m/>
    <m/>
  </r>
  <r>
    <x v="22"/>
    <x v="228"/>
    <n v="182"/>
    <n v="7940"/>
    <n v="4"/>
    <n v="100"/>
    <m/>
    <m/>
    <m/>
    <m/>
    <m/>
    <m/>
    <m/>
  </r>
  <r>
    <x v="23"/>
    <x v="228"/>
    <n v="923"/>
    <n v="33965"/>
    <m/>
    <n v="454"/>
    <m/>
    <m/>
    <m/>
    <m/>
    <m/>
    <m/>
    <m/>
  </r>
  <r>
    <x v="0"/>
    <x v="229"/>
    <n v="2383"/>
    <n v="498224"/>
    <n v="15"/>
    <n v="15715"/>
    <m/>
    <m/>
    <m/>
    <m/>
    <m/>
    <m/>
    <m/>
  </r>
  <r>
    <x v="4"/>
    <x v="229"/>
    <n v="517"/>
    <n v="139970"/>
    <n v="38"/>
    <n v="4339"/>
    <m/>
    <m/>
    <m/>
    <m/>
    <m/>
    <m/>
    <m/>
  </r>
  <r>
    <x v="1"/>
    <x v="229"/>
    <n v="27"/>
    <n v="480"/>
    <m/>
    <n v="0"/>
    <m/>
    <m/>
    <m/>
    <m/>
    <m/>
    <m/>
    <m/>
  </r>
  <r>
    <x v="2"/>
    <x v="229"/>
    <n v="232"/>
    <n v="11663"/>
    <n v="3"/>
    <n v="360"/>
    <m/>
    <m/>
    <m/>
    <m/>
    <m/>
    <m/>
    <m/>
  </r>
  <r>
    <x v="3"/>
    <x v="229"/>
    <n v="150"/>
    <n v="9042"/>
    <n v="9"/>
    <n v="121"/>
    <m/>
    <m/>
    <m/>
    <m/>
    <m/>
    <m/>
    <m/>
  </r>
  <r>
    <x v="5"/>
    <x v="229"/>
    <n v="1850"/>
    <n v="62911"/>
    <n v="27"/>
    <n v="850"/>
    <m/>
    <m/>
    <m/>
    <m/>
    <m/>
    <m/>
    <m/>
  </r>
  <r>
    <x v="6"/>
    <x v="229"/>
    <n v="41"/>
    <n v="1978"/>
    <m/>
    <n v="32"/>
    <m/>
    <m/>
    <m/>
    <m/>
    <m/>
    <m/>
    <m/>
  </r>
  <r>
    <x v="7"/>
    <x v="229"/>
    <n v="279"/>
    <n v="11434"/>
    <n v="1"/>
    <n v="207"/>
    <m/>
    <m/>
    <m/>
    <m/>
    <m/>
    <m/>
    <m/>
  </r>
  <r>
    <x v="8"/>
    <x v="229"/>
    <n v="-2"/>
    <n v="138"/>
    <m/>
    <n v="1"/>
    <m/>
    <m/>
    <m/>
    <m/>
    <m/>
    <m/>
    <m/>
  </r>
  <r>
    <x v="9"/>
    <x v="229"/>
    <n v="45"/>
    <n v="17234"/>
    <m/>
    <n v="675"/>
    <m/>
    <m/>
    <m/>
    <m/>
    <m/>
    <m/>
    <m/>
  </r>
  <r>
    <x v="10"/>
    <x v="229"/>
    <n v="87"/>
    <n v="1618"/>
    <m/>
    <n v="17"/>
    <m/>
    <m/>
    <m/>
    <m/>
    <m/>
    <m/>
    <m/>
  </r>
  <r>
    <x v="11"/>
    <x v="229"/>
    <n v="181"/>
    <n v="6559"/>
    <m/>
    <n v="202"/>
    <m/>
    <m/>
    <m/>
    <m/>
    <m/>
    <m/>
    <m/>
  </r>
  <r>
    <x v="12"/>
    <x v="229"/>
    <n v="513"/>
    <n v="37102"/>
    <n v="17"/>
    <n v="555"/>
    <m/>
    <m/>
    <m/>
    <m/>
    <m/>
    <m/>
    <m/>
  </r>
  <r>
    <x v="13"/>
    <x v="229"/>
    <n v="4"/>
    <n v="203"/>
    <m/>
    <n v="4"/>
    <m/>
    <m/>
    <m/>
    <m/>
    <m/>
    <m/>
    <m/>
  </r>
  <r>
    <x v="14"/>
    <x v="229"/>
    <n v="288"/>
    <n v="15083"/>
    <n v="24"/>
    <n v="242"/>
    <m/>
    <m/>
    <m/>
    <m/>
    <m/>
    <m/>
    <m/>
  </r>
  <r>
    <x v="15"/>
    <x v="229"/>
    <n v="273"/>
    <n v="19191"/>
    <n v="5"/>
    <n v="408"/>
    <m/>
    <m/>
    <m/>
    <m/>
    <m/>
    <m/>
    <m/>
  </r>
  <r>
    <x v="16"/>
    <x v="229"/>
    <n v="168"/>
    <n v="16632"/>
    <n v="13"/>
    <n v="596"/>
    <m/>
    <m/>
    <m/>
    <m/>
    <m/>
    <m/>
    <m/>
  </r>
  <r>
    <x v="17"/>
    <x v="229"/>
    <n v="1"/>
    <n v="1292"/>
    <m/>
    <n v="51"/>
    <m/>
    <m/>
    <m/>
    <m/>
    <m/>
    <m/>
    <m/>
  </r>
  <r>
    <x v="18"/>
    <x v="229"/>
    <n v="183"/>
    <n v="3327"/>
    <n v="1"/>
    <n v="36"/>
    <m/>
    <m/>
    <m/>
    <m/>
    <m/>
    <m/>
    <m/>
  </r>
  <r>
    <x v="19"/>
    <x v="229"/>
    <n v="84"/>
    <n v="7267"/>
    <n v="3"/>
    <n v="100"/>
    <m/>
    <m/>
    <m/>
    <m/>
    <m/>
    <m/>
    <m/>
  </r>
  <r>
    <x v="20"/>
    <x v="229"/>
    <n v="2015"/>
    <n v="78824"/>
    <n v="1"/>
    <n v="849"/>
    <m/>
    <m/>
    <m/>
    <m/>
    <m/>
    <m/>
    <m/>
  </r>
  <r>
    <x v="21"/>
    <x v="229"/>
    <n v="262"/>
    <n v="6815"/>
    <m/>
    <n v="97"/>
    <m/>
    <m/>
    <m/>
    <m/>
    <m/>
    <m/>
    <m/>
  </r>
  <r>
    <x v="22"/>
    <x v="229"/>
    <n v="208"/>
    <n v="8148"/>
    <n v="2"/>
    <n v="102"/>
    <m/>
    <m/>
    <m/>
    <m/>
    <m/>
    <m/>
    <m/>
  </r>
  <r>
    <x v="23"/>
    <x v="229"/>
    <n v="772"/>
    <n v="34737"/>
    <m/>
    <n v="454"/>
    <m/>
    <m/>
    <m/>
    <m/>
    <m/>
    <m/>
    <m/>
  </r>
  <r>
    <x v="0"/>
    <x v="230"/>
    <n v="4206"/>
    <n v="502430"/>
    <n v="197"/>
    <n v="16032"/>
    <m/>
    <m/>
    <m/>
    <m/>
    <m/>
    <m/>
    <m/>
  </r>
  <r>
    <x v="4"/>
    <x v="230"/>
    <n v="557"/>
    <n v="140527"/>
    <n v="47"/>
    <n v="4227"/>
    <m/>
    <m/>
    <m/>
    <m/>
    <m/>
    <m/>
    <m/>
  </r>
  <r>
    <x v="1"/>
    <x v="230"/>
    <n v="12"/>
    <n v="492"/>
    <m/>
    <n v="0"/>
    <m/>
    <m/>
    <m/>
    <m/>
    <m/>
    <m/>
    <m/>
  </r>
  <r>
    <x v="2"/>
    <x v="230"/>
    <n v="185"/>
    <n v="11848"/>
    <n v="8"/>
    <n v="373"/>
    <m/>
    <m/>
    <m/>
    <m/>
    <m/>
    <m/>
    <m/>
  </r>
  <r>
    <x v="3"/>
    <x v="230"/>
    <n v="220"/>
    <n v="9262"/>
    <n v="1"/>
    <n v="185"/>
    <m/>
    <m/>
    <m/>
    <m/>
    <m/>
    <m/>
    <m/>
  </r>
  <r>
    <x v="5"/>
    <x v="230"/>
    <n v="1668"/>
    <n v="64579"/>
    <n v="44"/>
    <n v="871"/>
    <m/>
    <m/>
    <m/>
    <m/>
    <m/>
    <m/>
    <m/>
  </r>
  <r>
    <x v="6"/>
    <x v="230"/>
    <n v="122"/>
    <n v="2100"/>
    <n v="3"/>
    <n v="36"/>
    <m/>
    <m/>
    <m/>
    <m/>
    <m/>
    <m/>
    <m/>
  </r>
  <r>
    <x v="7"/>
    <x v="230"/>
    <n v="258"/>
    <n v="11692"/>
    <n v="5"/>
    <n v="210"/>
    <m/>
    <m/>
    <m/>
    <m/>
    <m/>
    <m/>
    <m/>
  </r>
  <r>
    <x v="8"/>
    <x v="230"/>
    <n v="6"/>
    <n v="144"/>
    <m/>
    <n v="1"/>
    <m/>
    <m/>
    <m/>
    <m/>
    <m/>
    <m/>
    <m/>
  </r>
  <r>
    <x v="9"/>
    <x v="230"/>
    <n v="51"/>
    <n v="17285"/>
    <n v="30"/>
    <n v="734"/>
    <m/>
    <m/>
    <m/>
    <m/>
    <m/>
    <m/>
    <m/>
  </r>
  <r>
    <x v="10"/>
    <x v="230"/>
    <n v="92"/>
    <n v="1710"/>
    <m/>
    <n v="16"/>
    <m/>
    <m/>
    <m/>
    <m/>
    <m/>
    <m/>
    <m/>
  </r>
  <r>
    <x v="11"/>
    <x v="230"/>
    <n v="65"/>
    <n v="6624"/>
    <n v="3"/>
    <n v="226"/>
    <m/>
    <m/>
    <m/>
    <m/>
    <m/>
    <m/>
    <m/>
  </r>
  <r>
    <x v="12"/>
    <x v="230"/>
    <n v="744"/>
    <n v="37846"/>
    <n v="28"/>
    <n v="625"/>
    <m/>
    <m/>
    <m/>
    <m/>
    <m/>
    <m/>
    <m/>
  </r>
  <r>
    <x v="13"/>
    <x v="230"/>
    <n v="-6"/>
    <n v="197"/>
    <m/>
    <n v="4"/>
    <m/>
    <m/>
    <m/>
    <m/>
    <m/>
    <m/>
    <m/>
  </r>
  <r>
    <x v="14"/>
    <x v="230"/>
    <n v="271"/>
    <n v="15354"/>
    <n v="4"/>
    <n v="282"/>
    <m/>
    <m/>
    <m/>
    <m/>
    <m/>
    <m/>
    <m/>
  </r>
  <r>
    <x v="15"/>
    <x v="230"/>
    <n v="207"/>
    <n v="19398"/>
    <n v="11"/>
    <n v="505"/>
    <m/>
    <m/>
    <m/>
    <m/>
    <m/>
    <m/>
    <m/>
  </r>
  <r>
    <x v="16"/>
    <x v="230"/>
    <n v="80"/>
    <n v="16712"/>
    <n v="18"/>
    <n v="632"/>
    <m/>
    <m/>
    <m/>
    <m/>
    <m/>
    <m/>
    <m/>
  </r>
  <r>
    <x v="17"/>
    <x v="230"/>
    <n v="10"/>
    <n v="1302"/>
    <n v="2"/>
    <n v="75"/>
    <m/>
    <m/>
    <m/>
    <m/>
    <m/>
    <m/>
    <m/>
  </r>
  <r>
    <x v="18"/>
    <x v="230"/>
    <n v="277"/>
    <n v="3604"/>
    <m/>
    <n v="51"/>
    <m/>
    <m/>
    <m/>
    <m/>
    <m/>
    <m/>
    <m/>
  </r>
  <r>
    <x v="19"/>
    <x v="230"/>
    <n v="138"/>
    <n v="7405"/>
    <n v="1"/>
    <n v="99"/>
    <m/>
    <m/>
    <m/>
    <m/>
    <m/>
    <m/>
    <m/>
  </r>
  <r>
    <x v="20"/>
    <x v="230"/>
    <n v="2050"/>
    <n v="80874"/>
    <n v="28"/>
    <n v="857"/>
    <m/>
    <m/>
    <m/>
    <m/>
    <m/>
    <m/>
    <m/>
  </r>
  <r>
    <x v="21"/>
    <x v="230"/>
    <n v="145"/>
    <n v="6960"/>
    <n v="1"/>
    <n v="100"/>
    <m/>
    <m/>
    <m/>
    <m/>
    <m/>
    <m/>
    <m/>
  </r>
  <r>
    <x v="22"/>
    <x v="230"/>
    <n v="238"/>
    <n v="8386"/>
    <m/>
    <n v="102"/>
    <m/>
    <m/>
    <m/>
    <m/>
    <m/>
    <m/>
    <m/>
  </r>
  <r>
    <x v="23"/>
    <x v="230"/>
    <n v="1386"/>
    <n v="36123"/>
    <n v="17"/>
    <n v="473"/>
    <m/>
    <m/>
    <m/>
    <m/>
    <m/>
    <m/>
    <m/>
  </r>
  <r>
    <x v="0"/>
    <x v="231"/>
    <n v="4981"/>
    <n v="507411"/>
    <n v="143"/>
    <n v="16175"/>
    <m/>
    <m/>
    <m/>
    <m/>
    <m/>
    <m/>
    <m/>
  </r>
  <r>
    <x v="4"/>
    <x v="231"/>
    <n v="663"/>
    <n v="141190"/>
    <n v="54"/>
    <n v="4281"/>
    <m/>
    <m/>
    <m/>
    <m/>
    <m/>
    <m/>
    <m/>
  </r>
  <r>
    <x v="1"/>
    <x v="231"/>
    <n v="8"/>
    <n v="500"/>
    <m/>
    <n v="0"/>
    <m/>
    <m/>
    <m/>
    <m/>
    <m/>
    <m/>
    <m/>
  </r>
  <r>
    <x v="2"/>
    <x v="231"/>
    <n v="193"/>
    <n v="12041"/>
    <n v="5"/>
    <n v="378"/>
    <m/>
    <m/>
    <m/>
    <m/>
    <m/>
    <m/>
    <m/>
  </r>
  <r>
    <x v="3"/>
    <x v="231"/>
    <n v="465"/>
    <n v="9727"/>
    <n v="7"/>
    <n v="192"/>
    <m/>
    <m/>
    <m/>
    <m/>
    <m/>
    <m/>
    <m/>
  </r>
  <r>
    <x v="5"/>
    <x v="231"/>
    <n v="1708"/>
    <n v="66287"/>
    <n v="52"/>
    <n v="923"/>
    <m/>
    <m/>
    <m/>
    <m/>
    <m/>
    <m/>
    <m/>
  </r>
  <r>
    <x v="6"/>
    <x v="231"/>
    <n v="34"/>
    <n v="2134"/>
    <m/>
    <n v="36"/>
    <m/>
    <m/>
    <m/>
    <m/>
    <m/>
    <m/>
    <m/>
  </r>
  <r>
    <x v="7"/>
    <x v="231"/>
    <n v="402"/>
    <n v="12094"/>
    <n v="5"/>
    <n v="215"/>
    <m/>
    <m/>
    <m/>
    <m/>
    <m/>
    <m/>
    <m/>
  </r>
  <r>
    <x v="8"/>
    <x v="231"/>
    <n v="-4"/>
    <n v="140"/>
    <m/>
    <n v="1"/>
    <m/>
    <m/>
    <m/>
    <m/>
    <m/>
    <m/>
    <m/>
  </r>
  <r>
    <x v="9"/>
    <x v="231"/>
    <n v="59"/>
    <n v="17344"/>
    <n v="4"/>
    <n v="738"/>
    <m/>
    <m/>
    <m/>
    <m/>
    <m/>
    <m/>
    <m/>
  </r>
  <r>
    <x v="10"/>
    <x v="231"/>
    <n v="98"/>
    <n v="1808"/>
    <n v="2"/>
    <n v="18"/>
    <m/>
    <m/>
    <m/>
    <m/>
    <m/>
    <m/>
    <m/>
  </r>
  <r>
    <x v="11"/>
    <x v="231"/>
    <n v="41"/>
    <n v="6665"/>
    <n v="2"/>
    <n v="228"/>
    <m/>
    <m/>
    <m/>
    <m/>
    <m/>
    <m/>
    <m/>
  </r>
  <r>
    <x v="12"/>
    <x v="231"/>
    <n v="968"/>
    <n v="38814"/>
    <n v="9"/>
    <n v="634"/>
    <m/>
    <m/>
    <m/>
    <m/>
    <m/>
    <m/>
    <m/>
  </r>
  <r>
    <x v="13"/>
    <x v="231"/>
    <n v="-2"/>
    <n v="195"/>
    <m/>
    <n v="4"/>
    <m/>
    <m/>
    <m/>
    <m/>
    <m/>
    <m/>
    <m/>
  </r>
  <r>
    <x v="14"/>
    <x v="231"/>
    <n v="1305"/>
    <n v="16659"/>
    <n v="7"/>
    <n v="289"/>
    <m/>
    <m/>
    <m/>
    <m/>
    <m/>
    <m/>
    <m/>
  </r>
  <r>
    <x v="15"/>
    <x v="231"/>
    <n v="393"/>
    <n v="19791"/>
    <n v="2"/>
    <n v="507"/>
    <m/>
    <m/>
    <m/>
    <m/>
    <m/>
    <m/>
    <m/>
  </r>
  <r>
    <x v="16"/>
    <x v="231"/>
    <n v="201"/>
    <n v="16913"/>
    <n v="6"/>
    <n v="638"/>
    <m/>
    <m/>
    <m/>
    <m/>
    <m/>
    <m/>
    <m/>
  </r>
  <r>
    <x v="17"/>
    <x v="231"/>
    <n v="5"/>
    <n v="1307"/>
    <n v="1"/>
    <n v="76"/>
    <m/>
    <m/>
    <m/>
    <m/>
    <m/>
    <m/>
    <m/>
  </r>
  <r>
    <x v="18"/>
    <x v="231"/>
    <n v="266"/>
    <n v="3870"/>
    <m/>
    <n v="51"/>
    <m/>
    <m/>
    <m/>
    <m/>
    <m/>
    <m/>
    <m/>
  </r>
  <r>
    <x v="19"/>
    <x v="231"/>
    <n v="158"/>
    <n v="7563"/>
    <n v="3"/>
    <n v="102"/>
    <m/>
    <m/>
    <m/>
    <m/>
    <m/>
    <m/>
    <m/>
  </r>
  <r>
    <x v="20"/>
    <x v="231"/>
    <n v="2575"/>
    <n v="83449"/>
    <n v="60"/>
    <n v="917"/>
    <m/>
    <m/>
    <m/>
    <m/>
    <m/>
    <m/>
    <m/>
  </r>
  <r>
    <x v="21"/>
    <x v="231"/>
    <n v="104"/>
    <n v="7064"/>
    <n v="3"/>
    <n v="103"/>
    <m/>
    <m/>
    <m/>
    <m/>
    <m/>
    <m/>
    <m/>
  </r>
  <r>
    <x v="22"/>
    <x v="231"/>
    <n v="295"/>
    <n v="8681"/>
    <n v="1"/>
    <n v="103"/>
    <m/>
    <m/>
    <m/>
    <m/>
    <m/>
    <m/>
    <m/>
  </r>
  <r>
    <x v="23"/>
    <x v="231"/>
    <n v="1421"/>
    <n v="37544"/>
    <n v="15"/>
    <n v="488"/>
    <m/>
    <m/>
    <m/>
    <m/>
    <m/>
    <m/>
    <m/>
  </r>
  <r>
    <x v="0"/>
    <x v="232"/>
    <n v="5179"/>
    <n v="512590"/>
    <n v="106"/>
    <n v="16281"/>
    <m/>
    <m/>
    <m/>
    <m/>
    <m/>
    <m/>
    <m/>
  </r>
  <r>
    <x v="4"/>
    <x v="232"/>
    <n v="740"/>
    <n v="141930"/>
    <n v="52"/>
    <n v="4333"/>
    <m/>
    <m/>
    <m/>
    <m/>
    <m/>
    <m/>
    <m/>
  </r>
  <r>
    <x v="1"/>
    <x v="232"/>
    <n v="25"/>
    <n v="525"/>
    <m/>
    <n v="0"/>
    <m/>
    <m/>
    <m/>
    <m/>
    <m/>
    <m/>
    <m/>
  </r>
  <r>
    <x v="2"/>
    <x v="232"/>
    <n v="255"/>
    <n v="12296"/>
    <n v="4"/>
    <n v="382"/>
    <m/>
    <m/>
    <m/>
    <m/>
    <m/>
    <m/>
    <m/>
  </r>
  <r>
    <x v="3"/>
    <x v="232"/>
    <n v="531"/>
    <n v="10258"/>
    <n v="2"/>
    <n v="194"/>
    <m/>
    <m/>
    <m/>
    <m/>
    <m/>
    <m/>
    <m/>
  </r>
  <r>
    <x v="5"/>
    <x v="232"/>
    <n v="2480"/>
    <n v="68767"/>
    <n v="55"/>
    <n v="978"/>
    <m/>
    <m/>
    <m/>
    <m/>
    <m/>
    <m/>
    <m/>
  </r>
  <r>
    <x v="6"/>
    <x v="232"/>
    <n v="20"/>
    <n v="2154"/>
    <m/>
    <n v="36"/>
    <m/>
    <m/>
    <m/>
    <m/>
    <m/>
    <m/>
    <m/>
  </r>
  <r>
    <x v="7"/>
    <x v="232"/>
    <n v="467"/>
    <n v="12561"/>
    <n v="3"/>
    <n v="218"/>
    <m/>
    <m/>
    <m/>
    <m/>
    <m/>
    <m/>
    <m/>
  </r>
  <r>
    <x v="8"/>
    <x v="232"/>
    <n v="7"/>
    <n v="147"/>
    <m/>
    <n v="1"/>
    <m/>
    <m/>
    <m/>
    <m/>
    <m/>
    <m/>
    <m/>
  </r>
  <r>
    <x v="9"/>
    <x v="232"/>
    <n v="68"/>
    <n v="17412"/>
    <n v="3"/>
    <n v="741"/>
    <m/>
    <m/>
    <m/>
    <m/>
    <m/>
    <m/>
    <m/>
  </r>
  <r>
    <x v="10"/>
    <x v="232"/>
    <n v="161"/>
    <n v="1969"/>
    <n v="2"/>
    <n v="20"/>
    <m/>
    <m/>
    <m/>
    <m/>
    <m/>
    <m/>
    <m/>
  </r>
  <r>
    <x v="11"/>
    <x v="232"/>
    <n v="134"/>
    <n v="6799"/>
    <n v="6"/>
    <n v="234"/>
    <m/>
    <m/>
    <m/>
    <m/>
    <m/>
    <m/>
    <m/>
  </r>
  <r>
    <x v="12"/>
    <x v="232"/>
    <n v="1155"/>
    <n v="39969"/>
    <n v="21"/>
    <n v="655"/>
    <m/>
    <m/>
    <m/>
    <m/>
    <m/>
    <m/>
    <m/>
  </r>
  <r>
    <x v="13"/>
    <x v="232"/>
    <n v="3"/>
    <n v="198"/>
    <m/>
    <n v="4"/>
    <m/>
    <m/>
    <m/>
    <m/>
    <m/>
    <m/>
    <m/>
  </r>
  <r>
    <x v="14"/>
    <x v="232"/>
    <n v="976"/>
    <n v="17635"/>
    <n v="28"/>
    <n v="317"/>
    <m/>
    <m/>
    <m/>
    <m/>
    <m/>
    <m/>
    <m/>
  </r>
  <r>
    <x v="15"/>
    <x v="232"/>
    <n v="536"/>
    <n v="20327"/>
    <n v="12"/>
    <n v="519"/>
    <m/>
    <m/>
    <m/>
    <m/>
    <m/>
    <m/>
    <m/>
  </r>
  <r>
    <x v="16"/>
    <x v="232"/>
    <n v="254"/>
    <n v="17167"/>
    <n v="11"/>
    <n v="649"/>
    <m/>
    <m/>
    <m/>
    <m/>
    <m/>
    <m/>
    <m/>
  </r>
  <r>
    <x v="17"/>
    <x v="232"/>
    <n v="8"/>
    <n v="1315"/>
    <m/>
    <n v="76"/>
    <m/>
    <m/>
    <m/>
    <m/>
    <m/>
    <m/>
    <m/>
  </r>
  <r>
    <x v="18"/>
    <x v="232"/>
    <n v="507"/>
    <n v="4377"/>
    <m/>
    <n v="51"/>
    <m/>
    <m/>
    <m/>
    <m/>
    <m/>
    <m/>
    <m/>
  </r>
  <r>
    <x v="19"/>
    <x v="232"/>
    <n v="197"/>
    <n v="7760"/>
    <n v="1"/>
    <n v="103"/>
    <m/>
    <m/>
    <m/>
    <m/>
    <m/>
    <m/>
    <m/>
  </r>
  <r>
    <x v="20"/>
    <x v="232"/>
    <n v="2673"/>
    <n v="86122"/>
    <n v="52"/>
    <n v="969"/>
    <m/>
    <m/>
    <m/>
    <m/>
    <m/>
    <m/>
    <m/>
  </r>
  <r>
    <x v="21"/>
    <x v="232"/>
    <n v="185"/>
    <n v="7249"/>
    <n v="1"/>
    <n v="104"/>
    <m/>
    <m/>
    <m/>
    <m/>
    <m/>
    <m/>
    <m/>
  </r>
  <r>
    <x v="22"/>
    <x v="232"/>
    <n v="205"/>
    <n v="8886"/>
    <n v="4"/>
    <n v="107"/>
    <m/>
    <m/>
    <m/>
    <m/>
    <m/>
    <m/>
    <m/>
  </r>
  <r>
    <x v="23"/>
    <x v="232"/>
    <n v="1560"/>
    <n v="39104"/>
    <n v="58"/>
    <n v="546"/>
    <m/>
    <m/>
    <m/>
    <m/>
    <m/>
    <m/>
    <m/>
  </r>
  <r>
    <x v="0"/>
    <x v="233"/>
    <n v="4854"/>
    <n v="517444"/>
    <n v="193"/>
    <n v="16474"/>
    <m/>
    <m/>
    <m/>
    <m/>
    <m/>
    <m/>
    <m/>
  </r>
  <r>
    <x v="4"/>
    <x v="233"/>
    <n v="566"/>
    <n v="142496"/>
    <n v="52"/>
    <n v="4385"/>
    <m/>
    <m/>
    <m/>
    <m/>
    <m/>
    <m/>
    <m/>
  </r>
  <r>
    <x v="1"/>
    <x v="233"/>
    <n v="27"/>
    <n v="552"/>
    <m/>
    <n v="0"/>
    <m/>
    <m/>
    <m/>
    <m/>
    <m/>
    <m/>
    <m/>
  </r>
  <r>
    <x v="2"/>
    <x v="233"/>
    <n v="254"/>
    <n v="12550"/>
    <n v="7"/>
    <n v="389"/>
    <m/>
    <m/>
    <m/>
    <m/>
    <m/>
    <m/>
    <m/>
  </r>
  <r>
    <x v="3"/>
    <x v="233"/>
    <n v="670"/>
    <n v="10928"/>
    <n v="4"/>
    <n v="198"/>
    <m/>
    <m/>
    <m/>
    <m/>
    <m/>
    <m/>
    <m/>
  </r>
  <r>
    <x v="5"/>
    <x v="233"/>
    <n v="1857"/>
    <n v="70624"/>
    <n v="29"/>
    <n v="1007"/>
    <m/>
    <m/>
    <m/>
    <m/>
    <m/>
    <m/>
    <m/>
  </r>
  <r>
    <x v="6"/>
    <x v="233"/>
    <n v="34"/>
    <n v="2188"/>
    <m/>
    <n v="36"/>
    <m/>
    <m/>
    <m/>
    <m/>
    <m/>
    <m/>
    <m/>
  </r>
  <r>
    <x v="7"/>
    <x v="233"/>
    <n v="393"/>
    <n v="12954"/>
    <n v="4"/>
    <n v="222"/>
    <m/>
    <m/>
    <m/>
    <m/>
    <m/>
    <m/>
    <m/>
  </r>
  <r>
    <x v="8"/>
    <x v="233"/>
    <n v="-7"/>
    <n v="140"/>
    <m/>
    <n v="1"/>
    <m/>
    <m/>
    <m/>
    <m/>
    <m/>
    <m/>
    <m/>
  </r>
  <r>
    <x v="9"/>
    <x v="233"/>
    <n v="59"/>
    <n v="17471"/>
    <n v="6"/>
    <n v="747"/>
    <m/>
    <m/>
    <m/>
    <m/>
    <m/>
    <m/>
    <m/>
  </r>
  <r>
    <x v="10"/>
    <x v="233"/>
    <n v="161"/>
    <n v="2130"/>
    <n v="3"/>
    <n v="23"/>
    <m/>
    <m/>
    <m/>
    <m/>
    <m/>
    <m/>
    <m/>
  </r>
  <r>
    <x v="11"/>
    <x v="233"/>
    <n v="62"/>
    <n v="6861"/>
    <m/>
    <n v="234"/>
    <m/>
    <m/>
    <m/>
    <m/>
    <m/>
    <m/>
    <m/>
  </r>
  <r>
    <x v="12"/>
    <x v="233"/>
    <n v="936"/>
    <n v="40905"/>
    <n v="17"/>
    <n v="672"/>
    <m/>
    <m/>
    <m/>
    <m/>
    <m/>
    <m/>
    <m/>
  </r>
  <r>
    <x v="13"/>
    <x v="233"/>
    <n v="9"/>
    <n v="207"/>
    <m/>
    <n v="4"/>
    <m/>
    <m/>
    <m/>
    <m/>
    <m/>
    <m/>
    <m/>
  </r>
  <r>
    <x v="14"/>
    <x v="233"/>
    <n v="567"/>
    <n v="18202"/>
    <n v="1"/>
    <n v="318"/>
    <m/>
    <m/>
    <m/>
    <m/>
    <m/>
    <m/>
    <m/>
  </r>
  <r>
    <x v="15"/>
    <x v="233"/>
    <n v="511"/>
    <n v="20838"/>
    <n v="9"/>
    <n v="528"/>
    <m/>
    <m/>
    <m/>
    <m/>
    <m/>
    <m/>
    <m/>
  </r>
  <r>
    <x v="16"/>
    <x v="233"/>
    <n v="287"/>
    <n v="17454"/>
    <n v="18"/>
    <n v="667"/>
    <m/>
    <m/>
    <m/>
    <m/>
    <m/>
    <m/>
    <m/>
  </r>
  <r>
    <x v="17"/>
    <x v="233"/>
    <n v="7"/>
    <n v="1322"/>
    <m/>
    <n v="76"/>
    <m/>
    <m/>
    <m/>
    <m/>
    <m/>
    <m/>
    <m/>
  </r>
  <r>
    <x v="18"/>
    <x v="233"/>
    <n v="369"/>
    <n v="4746"/>
    <n v="1"/>
    <n v="52"/>
    <m/>
    <m/>
    <m/>
    <m/>
    <m/>
    <m/>
    <m/>
  </r>
  <r>
    <x v="19"/>
    <x v="233"/>
    <n v="195"/>
    <n v="7955"/>
    <n v="5"/>
    <n v="108"/>
    <m/>
    <m/>
    <m/>
    <m/>
    <m/>
    <m/>
    <m/>
  </r>
  <r>
    <x v="20"/>
    <x v="233"/>
    <n v="2536"/>
    <n v="88658"/>
    <n v="38"/>
    <n v="1007"/>
    <m/>
    <m/>
    <m/>
    <m/>
    <m/>
    <m/>
    <m/>
  </r>
  <r>
    <x v="21"/>
    <x v="233"/>
    <n v="247"/>
    <n v="7496"/>
    <n v="2"/>
    <n v="106"/>
    <m/>
    <m/>
    <m/>
    <m/>
    <m/>
    <m/>
    <m/>
  </r>
  <r>
    <x v="22"/>
    <x v="233"/>
    <n v="254"/>
    <n v="9140"/>
    <n v="5"/>
    <n v="112"/>
    <m/>
    <m/>
    <m/>
    <m/>
    <m/>
    <m/>
    <m/>
  </r>
  <r>
    <x v="23"/>
    <x v="233"/>
    <n v="1477"/>
    <n v="40581"/>
    <n v="41"/>
    <n v="587"/>
    <m/>
    <m/>
    <m/>
    <m/>
    <m/>
    <m/>
    <m/>
  </r>
  <r>
    <x v="0"/>
    <x v="234"/>
    <n v="4649"/>
    <n v="522093"/>
    <n v="139"/>
    <n v="16613"/>
    <m/>
    <m/>
    <m/>
    <m/>
    <m/>
    <m/>
    <m/>
  </r>
  <r>
    <x v="4"/>
    <x v="234"/>
    <n v="585"/>
    <n v="143081"/>
    <n v="53"/>
    <n v="4438"/>
    <m/>
    <m/>
    <m/>
    <m/>
    <m/>
    <m/>
    <m/>
  </r>
  <r>
    <x v="1"/>
    <x v="234"/>
    <n v="11"/>
    <n v="563"/>
    <m/>
    <n v="0"/>
    <m/>
    <m/>
    <m/>
    <m/>
    <m/>
    <m/>
    <m/>
  </r>
  <r>
    <x v="2"/>
    <x v="234"/>
    <n v="231"/>
    <n v="12781"/>
    <n v="5"/>
    <n v="394"/>
    <m/>
    <m/>
    <m/>
    <m/>
    <m/>
    <m/>
    <m/>
  </r>
  <r>
    <x v="3"/>
    <x v="234"/>
    <n v="673"/>
    <n v="11601"/>
    <n v="8"/>
    <n v="206"/>
    <m/>
    <m/>
    <m/>
    <m/>
    <m/>
    <m/>
    <m/>
  </r>
  <r>
    <x v="5"/>
    <x v="234"/>
    <n v="2134"/>
    <n v="72758"/>
    <n v="39"/>
    <n v="1046"/>
    <m/>
    <m/>
    <m/>
    <m/>
    <m/>
    <m/>
    <m/>
  </r>
  <r>
    <x v="6"/>
    <x v="234"/>
    <n v="12"/>
    <n v="2200"/>
    <n v="4"/>
    <n v="40"/>
    <m/>
    <m/>
    <m/>
    <m/>
    <m/>
    <m/>
    <m/>
  </r>
  <r>
    <x v="7"/>
    <x v="234"/>
    <n v="475"/>
    <n v="13429"/>
    <n v="5"/>
    <n v="227"/>
    <m/>
    <m/>
    <m/>
    <m/>
    <m/>
    <m/>
    <m/>
  </r>
  <r>
    <x v="8"/>
    <x v="234"/>
    <n v="2"/>
    <n v="142"/>
    <m/>
    <n v="1"/>
    <m/>
    <m/>
    <m/>
    <m/>
    <m/>
    <m/>
    <m/>
  </r>
  <r>
    <x v="9"/>
    <x v="234"/>
    <n v="46"/>
    <n v="17517"/>
    <n v="21"/>
    <n v="768"/>
    <m/>
    <m/>
    <m/>
    <m/>
    <m/>
    <m/>
    <m/>
  </r>
  <r>
    <x v="10"/>
    <x v="234"/>
    <n v="129"/>
    <n v="2259"/>
    <n v="2"/>
    <n v="25"/>
    <m/>
    <m/>
    <m/>
    <m/>
    <m/>
    <m/>
    <m/>
  </r>
  <r>
    <x v="11"/>
    <x v="234"/>
    <n v="109"/>
    <n v="6970"/>
    <n v="5"/>
    <n v="239"/>
    <m/>
    <m/>
    <m/>
    <m/>
    <m/>
    <m/>
    <m/>
  </r>
  <r>
    <x v="12"/>
    <x v="234"/>
    <n v="830"/>
    <n v="41735"/>
    <n v="11"/>
    <n v="683"/>
    <m/>
    <m/>
    <m/>
    <m/>
    <m/>
    <m/>
    <m/>
  </r>
  <r>
    <x v="13"/>
    <x v="234"/>
    <n v="2"/>
    <n v="209"/>
    <m/>
    <n v="4"/>
    <m/>
    <m/>
    <m/>
    <m/>
    <m/>
    <m/>
    <m/>
  </r>
  <r>
    <x v="14"/>
    <x v="234"/>
    <n v="411"/>
    <n v="18613"/>
    <n v="16"/>
    <n v="334"/>
    <m/>
    <m/>
    <m/>
    <m/>
    <m/>
    <m/>
    <m/>
  </r>
  <r>
    <x v="15"/>
    <x v="234"/>
    <n v="417"/>
    <n v="21255"/>
    <n v="11"/>
    <n v="539"/>
    <m/>
    <m/>
    <m/>
    <m/>
    <m/>
    <m/>
    <m/>
  </r>
  <r>
    <x v="16"/>
    <x v="234"/>
    <n v="238"/>
    <n v="17692"/>
    <n v="12"/>
    <n v="679"/>
    <m/>
    <m/>
    <m/>
    <m/>
    <m/>
    <m/>
    <m/>
  </r>
  <r>
    <x v="17"/>
    <x v="234"/>
    <n v="52"/>
    <n v="1374"/>
    <m/>
    <n v="76"/>
    <m/>
    <m/>
    <m/>
    <m/>
    <m/>
    <m/>
    <m/>
  </r>
  <r>
    <x v="18"/>
    <x v="234"/>
    <n v="316"/>
    <n v="5062"/>
    <m/>
    <n v="52"/>
    <m/>
    <m/>
    <m/>
    <m/>
    <m/>
    <m/>
    <m/>
  </r>
  <r>
    <x v="19"/>
    <x v="234"/>
    <n v="200"/>
    <n v="8155"/>
    <n v="5"/>
    <n v="113"/>
    <m/>
    <m/>
    <m/>
    <m/>
    <m/>
    <m/>
    <m/>
  </r>
  <r>
    <x v="20"/>
    <x v="234"/>
    <n v="2517"/>
    <n v="91175"/>
    <n v="27"/>
    <n v="1034"/>
    <m/>
    <m/>
    <m/>
    <m/>
    <m/>
    <m/>
    <m/>
  </r>
  <r>
    <x v="21"/>
    <x v="234"/>
    <n v="316"/>
    <n v="7812"/>
    <m/>
    <n v="106"/>
    <m/>
    <m/>
    <m/>
    <m/>
    <m/>
    <m/>
    <m/>
  </r>
  <r>
    <x v="22"/>
    <x v="234"/>
    <n v="331"/>
    <n v="9471"/>
    <n v="7"/>
    <n v="119"/>
    <m/>
    <m/>
    <m/>
    <m/>
    <m/>
    <m/>
    <m/>
  </r>
  <r>
    <x v="23"/>
    <x v="234"/>
    <n v="1032"/>
    <n v="41613"/>
    <n v="10"/>
    <n v="597"/>
    <m/>
    <m/>
    <m/>
    <m/>
    <m/>
    <m/>
    <m/>
  </r>
  <r>
    <x v="0"/>
    <x v="235"/>
    <n v="3030"/>
    <n v="525123"/>
    <n v="96"/>
    <n v="16709"/>
    <m/>
    <m/>
    <m/>
    <m/>
    <m/>
    <m/>
    <m/>
  </r>
  <r>
    <x v="4"/>
    <x v="235"/>
    <n v="464"/>
    <n v="143545"/>
    <n v="41"/>
    <n v="4479"/>
    <m/>
    <m/>
    <m/>
    <m/>
    <m/>
    <m/>
    <m/>
  </r>
  <r>
    <x v="1"/>
    <x v="235"/>
    <n v="33"/>
    <n v="596"/>
    <m/>
    <n v="0"/>
    <m/>
    <m/>
    <m/>
    <m/>
    <m/>
    <m/>
    <m/>
  </r>
  <r>
    <x v="2"/>
    <x v="235"/>
    <n v="147"/>
    <n v="12928"/>
    <n v="6"/>
    <n v="400"/>
    <m/>
    <m/>
    <m/>
    <m/>
    <m/>
    <m/>
    <m/>
  </r>
  <r>
    <x v="3"/>
    <x v="235"/>
    <n v="351"/>
    <n v="11952"/>
    <n v="5"/>
    <n v="211"/>
    <m/>
    <m/>
    <m/>
    <m/>
    <m/>
    <m/>
    <m/>
  </r>
  <r>
    <x v="5"/>
    <x v="235"/>
    <n v="1847"/>
    <n v="74605"/>
    <n v="30"/>
    <n v="1076"/>
    <m/>
    <m/>
    <m/>
    <m/>
    <m/>
    <m/>
    <m/>
  </r>
  <r>
    <x v="6"/>
    <x v="235"/>
    <n v="45"/>
    <n v="2245"/>
    <m/>
    <n v="40"/>
    <m/>
    <m/>
    <m/>
    <m/>
    <m/>
    <m/>
    <m/>
  </r>
  <r>
    <x v="7"/>
    <x v="235"/>
    <n v="309"/>
    <n v="13738"/>
    <n v="2"/>
    <n v="229"/>
    <m/>
    <m/>
    <m/>
    <m/>
    <m/>
    <m/>
    <m/>
  </r>
  <r>
    <x v="8"/>
    <x v="235"/>
    <n v="0"/>
    <n v="142"/>
    <m/>
    <n v="1"/>
    <m/>
    <m/>
    <m/>
    <m/>
    <m/>
    <m/>
    <m/>
  </r>
  <r>
    <x v="9"/>
    <x v="235"/>
    <n v="62"/>
    <n v="17579"/>
    <n v="4"/>
    <n v="772"/>
    <m/>
    <m/>
    <m/>
    <m/>
    <m/>
    <m/>
    <m/>
  </r>
  <r>
    <x v="10"/>
    <x v="235"/>
    <n v="77"/>
    <n v="2336"/>
    <m/>
    <n v="25"/>
    <m/>
    <m/>
    <m/>
    <m/>
    <m/>
    <m/>
    <m/>
  </r>
  <r>
    <x v="11"/>
    <x v="235"/>
    <n v="46"/>
    <n v="7016"/>
    <m/>
    <n v="239"/>
    <m/>
    <m/>
    <m/>
    <m/>
    <m/>
    <m/>
    <m/>
  </r>
  <r>
    <x v="12"/>
    <x v="235"/>
    <n v="653"/>
    <n v="42388"/>
    <n v="6"/>
    <n v="689"/>
    <m/>
    <m/>
    <m/>
    <m/>
    <m/>
    <m/>
    <m/>
  </r>
  <r>
    <x v="13"/>
    <x v="235"/>
    <n v="3"/>
    <n v="212"/>
    <n v="1"/>
    <n v="5"/>
    <m/>
    <m/>
    <m/>
    <m/>
    <m/>
    <m/>
    <m/>
  </r>
  <r>
    <x v="14"/>
    <x v="235"/>
    <n v="534"/>
    <n v="19147"/>
    <m/>
    <n v="334"/>
    <m/>
    <m/>
    <m/>
    <m/>
    <m/>
    <m/>
    <m/>
  </r>
  <r>
    <x v="15"/>
    <x v="235"/>
    <n v="267"/>
    <n v="21522"/>
    <n v="10"/>
    <n v="549"/>
    <m/>
    <m/>
    <m/>
    <m/>
    <m/>
    <m/>
    <m/>
  </r>
  <r>
    <x v="16"/>
    <x v="235"/>
    <n v="193"/>
    <n v="17885"/>
    <n v="3"/>
    <n v="682"/>
    <m/>
    <m/>
    <m/>
    <m/>
    <m/>
    <m/>
    <m/>
  </r>
  <r>
    <x v="17"/>
    <x v="235"/>
    <n v="6"/>
    <n v="1380"/>
    <n v="1"/>
    <n v="77"/>
    <m/>
    <m/>
    <m/>
    <m/>
    <m/>
    <m/>
    <m/>
  </r>
  <r>
    <x v="18"/>
    <x v="235"/>
    <n v="233"/>
    <n v="5295"/>
    <m/>
    <n v="52"/>
    <m/>
    <m/>
    <m/>
    <m/>
    <m/>
    <m/>
    <m/>
  </r>
  <r>
    <x v="19"/>
    <x v="235"/>
    <n v="136"/>
    <n v="8291"/>
    <m/>
    <n v="113"/>
    <m/>
    <m/>
    <m/>
    <m/>
    <m/>
    <m/>
    <m/>
  </r>
  <r>
    <x v="20"/>
    <x v="235"/>
    <n v="1927"/>
    <n v="93102"/>
    <n v="17"/>
    <n v="1051"/>
    <m/>
    <m/>
    <m/>
    <m/>
    <m/>
    <m/>
    <m/>
  </r>
  <r>
    <x v="21"/>
    <x v="235"/>
    <n v="311"/>
    <n v="8123"/>
    <m/>
    <n v="106"/>
    <m/>
    <m/>
    <m/>
    <m/>
    <m/>
    <m/>
    <m/>
  </r>
  <r>
    <x v="22"/>
    <x v="235"/>
    <n v="338"/>
    <n v="9809"/>
    <n v="7"/>
    <n v="126"/>
    <m/>
    <m/>
    <m/>
    <m/>
    <m/>
    <m/>
    <m/>
  </r>
  <r>
    <x v="23"/>
    <x v="235"/>
    <n v="956"/>
    <n v="42569"/>
    <n v="43"/>
    <n v="640"/>
    <m/>
    <m/>
    <m/>
    <m/>
    <m/>
    <m/>
    <m/>
  </r>
  <r>
    <x v="0"/>
    <x v="236"/>
    <n v="2170"/>
    <n v="527293"/>
    <n v="86"/>
    <n v="16795"/>
    <m/>
    <m/>
    <m/>
    <m/>
    <m/>
    <m/>
    <m/>
  </r>
  <r>
    <x v="4"/>
    <x v="236"/>
    <n v="445"/>
    <n v="143990"/>
    <n v="35"/>
    <n v="4514"/>
    <m/>
    <m/>
    <m/>
    <m/>
    <m/>
    <m/>
    <m/>
  </r>
  <r>
    <x v="1"/>
    <x v="236"/>
    <n v="35"/>
    <n v="631"/>
    <m/>
    <n v="0"/>
    <m/>
    <m/>
    <m/>
    <m/>
    <m/>
    <m/>
    <m/>
  </r>
  <r>
    <x v="2"/>
    <x v="236"/>
    <n v="162"/>
    <n v="13090"/>
    <n v="5"/>
    <n v="405"/>
    <m/>
    <m/>
    <m/>
    <m/>
    <m/>
    <m/>
    <m/>
  </r>
  <r>
    <x v="3"/>
    <x v="236"/>
    <n v="485"/>
    <n v="12437"/>
    <n v="5"/>
    <n v="216"/>
    <m/>
    <m/>
    <m/>
    <m/>
    <m/>
    <m/>
    <m/>
  </r>
  <r>
    <x v="5"/>
    <x v="236"/>
    <n v="1390"/>
    <n v="75995"/>
    <n v="29"/>
    <n v="1105"/>
    <m/>
    <m/>
    <m/>
    <m/>
    <m/>
    <m/>
    <m/>
  </r>
  <r>
    <x v="6"/>
    <x v="236"/>
    <n v="24"/>
    <n v="2269"/>
    <m/>
    <n v="40"/>
    <m/>
    <m/>
    <m/>
    <m/>
    <m/>
    <m/>
    <m/>
  </r>
  <r>
    <x v="7"/>
    <x v="236"/>
    <n v="202"/>
    <n v="13940"/>
    <n v="11"/>
    <n v="240"/>
    <m/>
    <m/>
    <m/>
    <m/>
    <m/>
    <m/>
    <m/>
  </r>
  <r>
    <x v="8"/>
    <x v="236"/>
    <n v="1"/>
    <n v="143"/>
    <m/>
    <n v="1"/>
    <m/>
    <m/>
    <m/>
    <m/>
    <m/>
    <m/>
    <m/>
  </r>
  <r>
    <x v="9"/>
    <x v="236"/>
    <n v="35"/>
    <n v="17614"/>
    <n v="4"/>
    <n v="776"/>
    <m/>
    <m/>
    <m/>
    <m/>
    <m/>
    <m/>
    <m/>
  </r>
  <r>
    <x v="10"/>
    <x v="236"/>
    <n v="120"/>
    <n v="2456"/>
    <m/>
    <n v="25"/>
    <m/>
    <m/>
    <m/>
    <m/>
    <m/>
    <m/>
    <m/>
  </r>
  <r>
    <x v="11"/>
    <x v="236"/>
    <n v="108"/>
    <n v="7124"/>
    <m/>
    <n v="239"/>
    <m/>
    <m/>
    <m/>
    <m/>
    <m/>
    <m/>
    <m/>
  </r>
  <r>
    <x v="12"/>
    <x v="236"/>
    <n v="561"/>
    <n v="42949"/>
    <n v="16"/>
    <n v="705"/>
    <m/>
    <m/>
    <m/>
    <m/>
    <m/>
    <m/>
    <m/>
  </r>
  <r>
    <x v="13"/>
    <x v="236"/>
    <n v="5"/>
    <n v="217"/>
    <m/>
    <n v="5"/>
    <m/>
    <m/>
    <m/>
    <m/>
    <m/>
    <m/>
    <m/>
  </r>
  <r>
    <x v="14"/>
    <x v="236"/>
    <n v="236"/>
    <n v="19383"/>
    <n v="20"/>
    <n v="354"/>
    <m/>
    <m/>
    <m/>
    <m/>
    <m/>
    <m/>
    <m/>
  </r>
  <r>
    <x v="15"/>
    <x v="236"/>
    <n v="238"/>
    <n v="21760"/>
    <n v="11"/>
    <n v="560"/>
    <m/>
    <m/>
    <m/>
    <m/>
    <m/>
    <m/>
    <m/>
  </r>
  <r>
    <x v="16"/>
    <x v="236"/>
    <n v="145"/>
    <n v="18030"/>
    <n v="24"/>
    <n v="706"/>
    <m/>
    <m/>
    <m/>
    <m/>
    <m/>
    <m/>
    <m/>
  </r>
  <r>
    <x v="17"/>
    <x v="236"/>
    <n v="6"/>
    <n v="1386"/>
    <m/>
    <n v="77"/>
    <m/>
    <m/>
    <m/>
    <m/>
    <m/>
    <m/>
    <m/>
  </r>
  <r>
    <x v="18"/>
    <x v="236"/>
    <n v="188"/>
    <n v="5483"/>
    <m/>
    <n v="52"/>
    <m/>
    <m/>
    <m/>
    <m/>
    <m/>
    <m/>
    <m/>
  </r>
  <r>
    <x v="19"/>
    <x v="236"/>
    <n v="178"/>
    <n v="8469"/>
    <m/>
    <n v="113"/>
    <m/>
    <m/>
    <m/>
    <m/>
    <m/>
    <m/>
    <m/>
  </r>
  <r>
    <x v="20"/>
    <x v="236"/>
    <n v="1405"/>
    <n v="94507"/>
    <n v="6"/>
    <n v="1057"/>
    <m/>
    <m/>
    <m/>
    <m/>
    <m/>
    <m/>
    <m/>
  </r>
  <r>
    <x v="21"/>
    <x v="236"/>
    <n v="262"/>
    <n v="8385"/>
    <n v="8"/>
    <n v="114"/>
    <m/>
    <m/>
    <m/>
    <m/>
    <m/>
    <m/>
    <m/>
  </r>
  <r>
    <x v="22"/>
    <x v="236"/>
    <n v="243"/>
    <n v="10052"/>
    <n v="2"/>
    <n v="128"/>
    <m/>
    <m/>
    <m/>
    <m/>
    <m/>
    <m/>
    <m/>
  </r>
  <r>
    <x v="23"/>
    <x v="236"/>
    <n v="609"/>
    <n v="43178"/>
    <n v="20"/>
    <n v="660"/>
    <m/>
    <m/>
    <m/>
    <m/>
    <m/>
    <m/>
    <m/>
  </r>
  <r>
    <x v="0"/>
    <x v="237"/>
    <n v="3694"/>
    <n v="530987"/>
    <n v="146"/>
    <n v="16941"/>
    <m/>
    <m/>
    <m/>
    <m/>
    <m/>
    <m/>
    <m/>
  </r>
  <r>
    <x v="4"/>
    <x v="237"/>
    <n v="515"/>
    <n v="144505"/>
    <n v="64"/>
    <n v="4578"/>
    <m/>
    <m/>
    <m/>
    <m/>
    <m/>
    <m/>
    <m/>
  </r>
  <r>
    <x v="1"/>
    <x v="237"/>
    <n v="7"/>
    <n v="638"/>
    <m/>
    <n v="0"/>
    <m/>
    <m/>
    <m/>
    <m/>
    <m/>
    <m/>
    <m/>
  </r>
  <r>
    <x v="2"/>
    <x v="237"/>
    <n v="137"/>
    <n v="13227"/>
    <n v="1"/>
    <n v="406"/>
    <m/>
    <m/>
    <m/>
    <m/>
    <m/>
    <m/>
    <m/>
  </r>
  <r>
    <x v="3"/>
    <x v="237"/>
    <n v="544"/>
    <n v="12981"/>
    <n v="2"/>
    <n v="218"/>
    <m/>
    <m/>
    <m/>
    <m/>
    <m/>
    <m/>
    <m/>
  </r>
  <r>
    <x v="5"/>
    <x v="237"/>
    <n v="1271"/>
    <n v="77266"/>
    <n v="32"/>
    <n v="1137"/>
    <m/>
    <m/>
    <m/>
    <m/>
    <m/>
    <m/>
    <m/>
  </r>
  <r>
    <x v="6"/>
    <x v="237"/>
    <n v="114"/>
    <n v="2383"/>
    <n v="3"/>
    <n v="43"/>
    <m/>
    <m/>
    <m/>
    <m/>
    <m/>
    <m/>
    <m/>
  </r>
  <r>
    <x v="7"/>
    <x v="237"/>
    <n v="352"/>
    <n v="14292"/>
    <n v="11"/>
    <n v="251"/>
    <m/>
    <m/>
    <m/>
    <m/>
    <m/>
    <m/>
    <m/>
  </r>
  <r>
    <x v="8"/>
    <x v="237"/>
    <n v="2"/>
    <n v="145"/>
    <m/>
    <n v="1"/>
    <m/>
    <m/>
    <m/>
    <m/>
    <m/>
    <m/>
    <m/>
  </r>
  <r>
    <x v="9"/>
    <x v="237"/>
    <n v="38"/>
    <n v="17652"/>
    <n v="10"/>
    <n v="786"/>
    <m/>
    <m/>
    <m/>
    <m/>
    <m/>
    <m/>
    <m/>
  </r>
  <r>
    <x v="10"/>
    <x v="237"/>
    <n v="68"/>
    <n v="2524"/>
    <m/>
    <n v="25"/>
    <m/>
    <m/>
    <m/>
    <m/>
    <m/>
    <m/>
    <m/>
  </r>
  <r>
    <x v="11"/>
    <x v="237"/>
    <n v="49"/>
    <n v="7173"/>
    <n v="13"/>
    <n v="252"/>
    <m/>
    <m/>
    <m/>
    <m/>
    <m/>
    <m/>
    <m/>
  </r>
  <r>
    <x v="12"/>
    <x v="237"/>
    <n v="652"/>
    <n v="43601"/>
    <n v="11"/>
    <n v="716"/>
    <m/>
    <m/>
    <m/>
    <m/>
    <m/>
    <m/>
    <m/>
  </r>
  <r>
    <x v="13"/>
    <x v="237"/>
    <n v="12"/>
    <n v="229"/>
    <m/>
    <n v="5"/>
    <m/>
    <m/>
    <m/>
    <m/>
    <m/>
    <m/>
    <m/>
  </r>
  <r>
    <x v="14"/>
    <x v="237"/>
    <n v="395"/>
    <n v="19778"/>
    <n v="6"/>
    <n v="360"/>
    <m/>
    <m/>
    <m/>
    <m/>
    <m/>
    <m/>
    <m/>
  </r>
  <r>
    <x v="15"/>
    <x v="237"/>
    <n v="308"/>
    <n v="22068"/>
    <n v="12"/>
    <n v="572"/>
    <m/>
    <m/>
    <m/>
    <m/>
    <m/>
    <m/>
    <m/>
  </r>
  <r>
    <x v="16"/>
    <x v="237"/>
    <n v="95"/>
    <n v="18125"/>
    <n v="24"/>
    <n v="730"/>
    <m/>
    <m/>
    <m/>
    <m/>
    <m/>
    <m/>
    <m/>
  </r>
  <r>
    <x v="17"/>
    <x v="237"/>
    <n v="10"/>
    <n v="1396"/>
    <m/>
    <n v="77"/>
    <m/>
    <m/>
    <m/>
    <m/>
    <m/>
    <m/>
    <m/>
  </r>
  <r>
    <x v="18"/>
    <x v="237"/>
    <n v="136"/>
    <n v="5619"/>
    <m/>
    <n v="52"/>
    <m/>
    <m/>
    <m/>
    <m/>
    <m/>
    <m/>
    <m/>
  </r>
  <r>
    <x v="19"/>
    <x v="237"/>
    <n v="86"/>
    <n v="8555"/>
    <n v="3"/>
    <n v="116"/>
    <m/>
    <m/>
    <m/>
    <m/>
    <m/>
    <m/>
    <m/>
  </r>
  <r>
    <x v="20"/>
    <x v="237"/>
    <n v="1733"/>
    <n v="96240"/>
    <n v="37"/>
    <n v="1094"/>
    <m/>
    <m/>
    <m/>
    <m/>
    <m/>
    <m/>
    <m/>
  </r>
  <r>
    <x v="21"/>
    <x v="237"/>
    <n v="240"/>
    <n v="8625"/>
    <n v="1"/>
    <n v="115"/>
    <m/>
    <m/>
    <m/>
    <m/>
    <m/>
    <m/>
    <m/>
  </r>
  <r>
    <x v="22"/>
    <x v="237"/>
    <n v="305"/>
    <n v="10357"/>
    <n v="4"/>
    <n v="132"/>
    <m/>
    <m/>
    <m/>
    <m/>
    <m/>
    <m/>
    <m/>
  </r>
  <r>
    <x v="23"/>
    <x v="237"/>
    <n v="949"/>
    <n v="44127"/>
    <n v="26"/>
    <n v="686"/>
    <m/>
    <m/>
    <m/>
    <m/>
    <m/>
    <m/>
    <m/>
  </r>
  <r>
    <x v="0"/>
    <x v="238"/>
    <n v="4221"/>
    <n v="535208"/>
    <n v="179"/>
    <n v="17120"/>
    <m/>
    <m/>
    <m/>
    <m/>
    <m/>
    <m/>
    <m/>
  </r>
  <r>
    <x v="4"/>
    <x v="238"/>
    <n v="598"/>
    <n v="145103"/>
    <n v="48"/>
    <n v="4626"/>
    <m/>
    <m/>
    <m/>
    <m/>
    <m/>
    <m/>
    <m/>
  </r>
  <r>
    <x v="1"/>
    <x v="238"/>
    <n v="28"/>
    <n v="666"/>
    <m/>
    <n v="0"/>
    <m/>
    <m/>
    <m/>
    <m/>
    <m/>
    <m/>
    <m/>
  </r>
  <r>
    <x v="2"/>
    <x v="238"/>
    <n v="167"/>
    <n v="13394"/>
    <n v="7"/>
    <n v="413"/>
    <m/>
    <m/>
    <m/>
    <m/>
    <m/>
    <m/>
    <m/>
  </r>
  <r>
    <x v="3"/>
    <x v="238"/>
    <n v="318"/>
    <n v="13299"/>
    <n v="24"/>
    <n v="242"/>
    <m/>
    <m/>
    <m/>
    <m/>
    <m/>
    <m/>
    <m/>
  </r>
  <r>
    <x v="5"/>
    <x v="238"/>
    <n v="1819"/>
    <n v="79085"/>
    <n v="38"/>
    <n v="1175"/>
    <m/>
    <m/>
    <m/>
    <m/>
    <m/>
    <m/>
    <m/>
  </r>
  <r>
    <x v="6"/>
    <x v="238"/>
    <n v="17"/>
    <n v="2400"/>
    <m/>
    <n v="43"/>
    <m/>
    <m/>
    <m/>
    <m/>
    <m/>
    <m/>
    <m/>
  </r>
  <r>
    <x v="7"/>
    <x v="238"/>
    <n v="395"/>
    <n v="14687"/>
    <n v="6"/>
    <n v="257"/>
    <m/>
    <m/>
    <m/>
    <m/>
    <m/>
    <m/>
    <m/>
  </r>
  <r>
    <x v="8"/>
    <x v="238"/>
    <n v="3"/>
    <n v="148"/>
    <m/>
    <n v="1"/>
    <m/>
    <m/>
    <m/>
    <m/>
    <m/>
    <m/>
    <m/>
  </r>
  <r>
    <x v="9"/>
    <x v="238"/>
    <n v="35"/>
    <n v="17687"/>
    <n v="11"/>
    <n v="797"/>
    <m/>
    <m/>
    <m/>
    <m/>
    <m/>
    <m/>
    <m/>
  </r>
  <r>
    <x v="10"/>
    <x v="238"/>
    <n v="144"/>
    <n v="2668"/>
    <n v="4"/>
    <n v="29"/>
    <m/>
    <m/>
    <m/>
    <m/>
    <m/>
    <m/>
    <m/>
  </r>
  <r>
    <x v="11"/>
    <x v="238"/>
    <n v="123"/>
    <n v="7296"/>
    <n v="8"/>
    <n v="260"/>
    <m/>
    <m/>
    <m/>
    <m/>
    <m/>
    <m/>
    <m/>
  </r>
  <r>
    <x v="12"/>
    <x v="238"/>
    <n v="771"/>
    <n v="44372"/>
    <n v="12"/>
    <n v="728"/>
    <m/>
    <m/>
    <m/>
    <m/>
    <m/>
    <m/>
    <m/>
  </r>
  <r>
    <x v="13"/>
    <x v="238"/>
    <n v="11"/>
    <n v="240"/>
    <m/>
    <n v="5"/>
    <m/>
    <m/>
    <m/>
    <m/>
    <m/>
    <m/>
    <m/>
  </r>
  <r>
    <x v="14"/>
    <x v="238"/>
    <n v="414"/>
    <n v="20192"/>
    <n v="10"/>
    <n v="370"/>
    <m/>
    <m/>
    <m/>
    <m/>
    <m/>
    <m/>
    <m/>
  </r>
  <r>
    <x v="15"/>
    <x v="238"/>
    <n v="461"/>
    <n v="22529"/>
    <n v="9"/>
    <n v="581"/>
    <m/>
    <m/>
    <m/>
    <m/>
    <m/>
    <m/>
    <m/>
  </r>
  <r>
    <x v="16"/>
    <x v="238"/>
    <n v="156"/>
    <n v="18281"/>
    <n v="9"/>
    <n v="739"/>
    <m/>
    <m/>
    <m/>
    <m/>
    <m/>
    <m/>
    <m/>
  </r>
  <r>
    <x v="17"/>
    <x v="238"/>
    <n v="40"/>
    <n v="1436"/>
    <n v="1"/>
    <n v="78"/>
    <m/>
    <m/>
    <m/>
    <m/>
    <m/>
    <m/>
    <m/>
  </r>
  <r>
    <x v="18"/>
    <x v="238"/>
    <n v="446"/>
    <n v="6065"/>
    <n v="1"/>
    <n v="53"/>
    <m/>
    <m/>
    <m/>
    <m/>
    <m/>
    <m/>
    <m/>
  </r>
  <r>
    <x v="19"/>
    <x v="238"/>
    <n v="91"/>
    <n v="8646"/>
    <n v="1"/>
    <n v="117"/>
    <m/>
    <m/>
    <m/>
    <m/>
    <m/>
    <m/>
    <m/>
  </r>
  <r>
    <x v="20"/>
    <x v="238"/>
    <n v="2235"/>
    <n v="98475"/>
    <n v="29"/>
    <n v="1123"/>
    <m/>
    <m/>
    <m/>
    <m/>
    <m/>
    <m/>
    <m/>
  </r>
  <r>
    <x v="21"/>
    <x v="238"/>
    <n v="144"/>
    <n v="8769"/>
    <n v="1"/>
    <n v="116"/>
    <m/>
    <m/>
    <m/>
    <m/>
    <m/>
    <m/>
    <m/>
  </r>
  <r>
    <x v="22"/>
    <x v="238"/>
    <n v="231"/>
    <n v="10588"/>
    <n v="5"/>
    <n v="137"/>
    <m/>
    <m/>
    <m/>
    <m/>
    <m/>
    <m/>
    <m/>
  </r>
  <r>
    <x v="23"/>
    <x v="238"/>
    <n v="1440"/>
    <n v="45567"/>
    <n v="23"/>
    <n v="709"/>
    <m/>
    <m/>
    <m/>
    <m/>
    <m/>
    <m/>
    <m/>
  </r>
  <r>
    <x v="0"/>
    <x v="239"/>
    <n v="4238"/>
    <n v="539446"/>
    <n v="122"/>
    <n v="17242"/>
    <m/>
    <m/>
    <m/>
    <m/>
    <m/>
    <m/>
    <m/>
  </r>
  <r>
    <x v="4"/>
    <x v="239"/>
    <n v="641"/>
    <n v="145744"/>
    <n v="36"/>
    <n v="4662"/>
    <m/>
    <m/>
    <m/>
    <m/>
    <m/>
    <m/>
    <m/>
  </r>
  <r>
    <x v="1"/>
    <x v="239"/>
    <n v="54"/>
    <n v="720"/>
    <m/>
    <n v="0"/>
    <m/>
    <m/>
    <m/>
    <m/>
    <m/>
    <m/>
    <m/>
  </r>
  <r>
    <x v="2"/>
    <x v="239"/>
    <n v="186"/>
    <n v="13580"/>
    <n v="6"/>
    <n v="419"/>
    <m/>
    <m/>
    <m/>
    <m/>
    <m/>
    <m/>
    <m/>
  </r>
  <r>
    <x v="3"/>
    <x v="239"/>
    <n v="295"/>
    <n v="13594"/>
    <m/>
    <n v="242"/>
    <m/>
    <m/>
    <m/>
    <m/>
    <m/>
    <m/>
    <m/>
  </r>
  <r>
    <x v="5"/>
    <x v="239"/>
    <n v="1848"/>
    <n v="80933"/>
    <n v="33"/>
    <n v="1208"/>
    <m/>
    <m/>
    <m/>
    <m/>
    <m/>
    <m/>
    <m/>
  </r>
  <r>
    <x v="6"/>
    <x v="239"/>
    <n v="69"/>
    <n v="2469"/>
    <n v="4"/>
    <n v="47"/>
    <m/>
    <m/>
    <m/>
    <m/>
    <m/>
    <m/>
    <m/>
  </r>
  <r>
    <x v="7"/>
    <x v="239"/>
    <n v="343"/>
    <n v="15030"/>
    <n v="10"/>
    <n v="267"/>
    <m/>
    <m/>
    <m/>
    <m/>
    <m/>
    <m/>
    <m/>
  </r>
  <r>
    <x v="8"/>
    <x v="239"/>
    <n v="1"/>
    <n v="149"/>
    <m/>
    <n v="1"/>
    <m/>
    <m/>
    <m/>
    <m/>
    <m/>
    <m/>
    <m/>
  </r>
  <r>
    <x v="9"/>
    <x v="239"/>
    <n v="53"/>
    <n v="17740"/>
    <n v="2"/>
    <n v="799"/>
    <m/>
    <m/>
    <m/>
    <m/>
    <m/>
    <m/>
    <m/>
  </r>
  <r>
    <x v="10"/>
    <x v="239"/>
    <n v="161"/>
    <n v="2829"/>
    <m/>
    <n v="29"/>
    <m/>
    <m/>
    <m/>
    <m/>
    <m/>
    <m/>
    <m/>
  </r>
  <r>
    <x v="11"/>
    <x v="239"/>
    <n v="90"/>
    <n v="7386"/>
    <n v="4"/>
    <n v="264"/>
    <m/>
    <m/>
    <m/>
    <m/>
    <m/>
    <m/>
    <m/>
  </r>
  <r>
    <x v="12"/>
    <x v="239"/>
    <n v="675"/>
    <n v="45047"/>
    <n v="12"/>
    <n v="740"/>
    <m/>
    <m/>
    <m/>
    <m/>
    <m/>
    <m/>
    <m/>
  </r>
  <r>
    <x v="13"/>
    <x v="239"/>
    <n v="9"/>
    <n v="249"/>
    <m/>
    <n v="5"/>
    <m/>
    <m/>
    <m/>
    <m/>
    <m/>
    <m/>
    <m/>
  </r>
  <r>
    <x v="14"/>
    <x v="239"/>
    <n v="384"/>
    <n v="20576"/>
    <n v="13"/>
    <n v="383"/>
    <m/>
    <m/>
    <m/>
    <m/>
    <m/>
    <m/>
    <m/>
  </r>
  <r>
    <x v="15"/>
    <x v="239"/>
    <n v="450"/>
    <n v="22979"/>
    <n v="10"/>
    <n v="591"/>
    <m/>
    <m/>
    <m/>
    <m/>
    <m/>
    <m/>
    <m/>
  </r>
  <r>
    <x v="16"/>
    <x v="239"/>
    <n v="219"/>
    <n v="18500"/>
    <n v="12"/>
    <n v="751"/>
    <m/>
    <m/>
    <m/>
    <m/>
    <m/>
    <m/>
    <m/>
  </r>
  <r>
    <x v="17"/>
    <x v="239"/>
    <n v="144"/>
    <n v="1580"/>
    <n v="5"/>
    <n v="83"/>
    <m/>
    <m/>
    <m/>
    <m/>
    <m/>
    <m/>
    <m/>
  </r>
  <r>
    <x v="18"/>
    <x v="239"/>
    <n v="167"/>
    <n v="6232"/>
    <m/>
    <n v="53"/>
    <m/>
    <m/>
    <m/>
    <m/>
    <m/>
    <m/>
    <m/>
  </r>
  <r>
    <x v="19"/>
    <x v="239"/>
    <n v="239"/>
    <n v="8885"/>
    <m/>
    <n v="117"/>
    <m/>
    <m/>
    <m/>
    <m/>
    <m/>
    <m/>
    <m/>
  </r>
  <r>
    <x v="20"/>
    <x v="239"/>
    <n v="2003"/>
    <n v="100478"/>
    <n v="43"/>
    <n v="1166"/>
    <m/>
    <m/>
    <m/>
    <m/>
    <m/>
    <m/>
    <m/>
  </r>
  <r>
    <x v="21"/>
    <x v="239"/>
    <n v="292"/>
    <n v="9061"/>
    <n v="4"/>
    <n v="120"/>
    <m/>
    <m/>
    <m/>
    <m/>
    <m/>
    <m/>
    <m/>
  </r>
  <r>
    <x v="22"/>
    <x v="239"/>
    <n v="236"/>
    <n v="10824"/>
    <n v="4"/>
    <n v="141"/>
    <m/>
    <m/>
    <m/>
    <m/>
    <m/>
    <m/>
    <m/>
  </r>
  <r>
    <x v="23"/>
    <x v="239"/>
    <n v="1127"/>
    <n v="46694"/>
    <n v="24"/>
    <n v="733"/>
    <m/>
    <m/>
    <m/>
    <m/>
    <m/>
    <m/>
    <m/>
  </r>
  <r>
    <x v="0"/>
    <x v="240"/>
    <n v="3708"/>
    <n v="543181"/>
    <n v="138"/>
    <n v="17380"/>
    <m/>
    <m/>
    <m/>
    <m/>
    <m/>
    <m/>
    <m/>
  </r>
  <r>
    <x v="4"/>
    <x v="240"/>
    <n v="512"/>
    <n v="146256"/>
    <n v="39"/>
    <n v="4701"/>
    <m/>
    <m/>
    <m/>
    <m/>
    <m/>
    <m/>
    <m/>
  </r>
  <r>
    <x v="1"/>
    <x v="240"/>
    <n v="16"/>
    <n v="736"/>
    <m/>
    <n v="0"/>
    <m/>
    <m/>
    <m/>
    <m/>
    <m/>
    <m/>
    <m/>
  </r>
  <r>
    <x v="2"/>
    <x v="240"/>
    <n v="130"/>
    <n v="13710"/>
    <n v="4"/>
    <n v="423"/>
    <m/>
    <m/>
    <m/>
    <m/>
    <m/>
    <m/>
    <m/>
  </r>
  <r>
    <x v="3"/>
    <x v="240"/>
    <n v="284"/>
    <n v="13878"/>
    <n v="2"/>
    <n v="244"/>
    <m/>
    <m/>
    <m/>
    <m/>
    <m/>
    <m/>
    <m/>
  </r>
  <r>
    <x v="5"/>
    <x v="240"/>
    <n v="1457"/>
    <n v="82390"/>
    <n v="35"/>
    <n v="1243"/>
    <m/>
    <m/>
    <m/>
    <m/>
    <m/>
    <m/>
    <m/>
  </r>
  <r>
    <x v="6"/>
    <x v="240"/>
    <n v="61"/>
    <n v="2530"/>
    <m/>
    <n v="47"/>
    <m/>
    <m/>
    <m/>
    <m/>
    <m/>
    <m/>
    <m/>
  </r>
  <r>
    <x v="7"/>
    <x v="240"/>
    <n v="360"/>
    <n v="15390"/>
    <n v="4"/>
    <n v="271"/>
    <m/>
    <m/>
    <m/>
    <m/>
    <m/>
    <m/>
    <m/>
  </r>
  <r>
    <x v="8"/>
    <x v="240"/>
    <n v="1"/>
    <n v="150"/>
    <m/>
    <n v="1"/>
    <m/>
    <m/>
    <m/>
    <m/>
    <m/>
    <m/>
    <m/>
  </r>
  <r>
    <x v="9"/>
    <x v="240"/>
    <n v="46"/>
    <n v="17786"/>
    <n v="4"/>
    <n v="803"/>
    <m/>
    <m/>
    <m/>
    <m/>
    <m/>
    <m/>
    <m/>
  </r>
  <r>
    <x v="10"/>
    <x v="240"/>
    <n v="231"/>
    <n v="3060"/>
    <n v="3"/>
    <n v="32"/>
    <m/>
    <m/>
    <m/>
    <m/>
    <m/>
    <m/>
    <m/>
  </r>
  <r>
    <x v="11"/>
    <x v="240"/>
    <n v="55"/>
    <n v="7441"/>
    <m/>
    <n v="264"/>
    <m/>
    <m/>
    <m/>
    <m/>
    <m/>
    <m/>
    <m/>
  </r>
  <r>
    <x v="12"/>
    <x v="240"/>
    <n v="813"/>
    <n v="45860"/>
    <n v="16"/>
    <n v="756"/>
    <m/>
    <m/>
    <m/>
    <m/>
    <m/>
    <m/>
    <m/>
  </r>
  <r>
    <x v="13"/>
    <x v="240"/>
    <n v="11"/>
    <n v="260"/>
    <m/>
    <n v="5"/>
    <m/>
    <m/>
    <m/>
    <m/>
    <m/>
    <m/>
    <m/>
  </r>
  <r>
    <x v="14"/>
    <x v="240"/>
    <n v="499"/>
    <n v="21075"/>
    <n v="2"/>
    <n v="385"/>
    <m/>
    <m/>
    <m/>
    <m/>
    <m/>
    <m/>
    <m/>
  </r>
  <r>
    <x v="15"/>
    <x v="240"/>
    <n v="451"/>
    <n v="23450"/>
    <n v="13"/>
    <n v="604"/>
    <m/>
    <m/>
    <m/>
    <m/>
    <m/>
    <m/>
    <m/>
  </r>
  <r>
    <x v="16"/>
    <x v="240"/>
    <n v="157"/>
    <n v="18409"/>
    <n v="11"/>
    <n v="762"/>
    <m/>
    <m/>
    <m/>
    <m/>
    <m/>
    <m/>
    <m/>
  </r>
  <r>
    <x v="17"/>
    <x v="240"/>
    <n v="297"/>
    <n v="1877"/>
    <n v="1"/>
    <n v="84"/>
    <m/>
    <m/>
    <m/>
    <m/>
    <m/>
    <m/>
    <m/>
  </r>
  <r>
    <x v="18"/>
    <x v="240"/>
    <n v="314"/>
    <n v="6556"/>
    <n v="1"/>
    <n v="54"/>
    <m/>
    <m/>
    <m/>
    <m/>
    <m/>
    <m/>
    <m/>
  </r>
  <r>
    <x v="19"/>
    <x v="240"/>
    <n v="250"/>
    <n v="9135"/>
    <n v="11"/>
    <n v="128"/>
    <m/>
    <m/>
    <m/>
    <m/>
    <m/>
    <m/>
    <m/>
  </r>
  <r>
    <x v="20"/>
    <x v="240"/>
    <n v="2013"/>
    <n v="102490"/>
    <n v="66"/>
    <n v="1232"/>
    <m/>
    <m/>
    <m/>
    <m/>
    <m/>
    <m/>
    <m/>
  </r>
  <r>
    <x v="21"/>
    <x v="240"/>
    <n v="308"/>
    <n v="9369"/>
    <n v="1"/>
    <n v="121"/>
    <m/>
    <m/>
    <m/>
    <m/>
    <m/>
    <m/>
    <m/>
  </r>
  <r>
    <x v="22"/>
    <x v="240"/>
    <n v="204"/>
    <n v="11028"/>
    <n v="4"/>
    <n v="145"/>
    <m/>
    <m/>
    <m/>
    <m/>
    <m/>
    <m/>
    <m/>
  </r>
  <r>
    <x v="23"/>
    <x v="240"/>
    <n v="1089"/>
    <n v="47783"/>
    <n v="15"/>
    <n v="748"/>
    <m/>
    <m/>
    <m/>
    <m/>
    <m/>
    <m/>
    <m/>
  </r>
  <r>
    <x v="0"/>
    <x v="241"/>
    <n v="3830"/>
    <n v="547011"/>
    <n v="117"/>
    <n v="17497"/>
    <m/>
    <m/>
    <m/>
    <m/>
    <m/>
    <m/>
    <m/>
  </r>
  <r>
    <x v="4"/>
    <x v="241"/>
    <n v="504"/>
    <n v="146760"/>
    <n v="36"/>
    <n v="4737"/>
    <m/>
    <m/>
    <m/>
    <m/>
    <m/>
    <m/>
    <m/>
  </r>
  <r>
    <x v="1"/>
    <x v="241"/>
    <n v="83"/>
    <n v="819"/>
    <m/>
    <n v="0"/>
    <m/>
    <m/>
    <m/>
    <m/>
    <m/>
    <m/>
    <m/>
  </r>
  <r>
    <x v="2"/>
    <x v="241"/>
    <n v="203"/>
    <n v="13913"/>
    <n v="1"/>
    <n v="424"/>
    <m/>
    <m/>
    <m/>
    <m/>
    <m/>
    <m/>
    <m/>
  </r>
  <r>
    <x v="3"/>
    <x v="241"/>
    <n v="309"/>
    <n v="14187"/>
    <n v="2"/>
    <n v="246"/>
    <m/>
    <m/>
    <m/>
    <m/>
    <m/>
    <m/>
    <m/>
  </r>
  <r>
    <x v="5"/>
    <x v="241"/>
    <n v="1601"/>
    <n v="83991"/>
    <n v="27"/>
    <n v="1270"/>
    <m/>
    <m/>
    <m/>
    <m/>
    <m/>
    <m/>
    <m/>
  </r>
  <r>
    <x v="6"/>
    <x v="241"/>
    <n v="9"/>
    <n v="2539"/>
    <m/>
    <n v="47"/>
    <m/>
    <m/>
    <m/>
    <m/>
    <m/>
    <m/>
    <m/>
  </r>
  <r>
    <x v="7"/>
    <x v="241"/>
    <n v="343"/>
    <n v="15733"/>
    <n v="5"/>
    <n v="276"/>
    <m/>
    <m/>
    <m/>
    <m/>
    <m/>
    <m/>
    <m/>
  </r>
  <r>
    <x v="8"/>
    <x v="241"/>
    <n v="-1"/>
    <n v="149"/>
    <m/>
    <n v="1"/>
    <m/>
    <m/>
    <m/>
    <m/>
    <m/>
    <m/>
    <m/>
  </r>
  <r>
    <x v="9"/>
    <x v="241"/>
    <n v="37"/>
    <n v="17823"/>
    <n v="4"/>
    <n v="807"/>
    <m/>
    <m/>
    <m/>
    <m/>
    <m/>
    <m/>
    <m/>
  </r>
  <r>
    <x v="10"/>
    <x v="241"/>
    <n v="129"/>
    <n v="3189"/>
    <m/>
    <n v="32"/>
    <m/>
    <m/>
    <m/>
    <m/>
    <m/>
    <m/>
    <m/>
  </r>
  <r>
    <x v="11"/>
    <x v="241"/>
    <n v="73"/>
    <n v="7514"/>
    <n v="6"/>
    <n v="270"/>
    <m/>
    <m/>
    <m/>
    <m/>
    <m/>
    <m/>
    <m/>
  </r>
  <r>
    <x v="12"/>
    <x v="241"/>
    <n v="704"/>
    <n v="46564"/>
    <n v="17"/>
    <n v="773"/>
    <m/>
    <m/>
    <m/>
    <m/>
    <m/>
    <m/>
    <m/>
  </r>
  <r>
    <x v="13"/>
    <x v="241"/>
    <n v="10"/>
    <n v="270"/>
    <m/>
    <n v="5"/>
    <m/>
    <m/>
    <m/>
    <m/>
    <m/>
    <m/>
    <m/>
  </r>
  <r>
    <x v="14"/>
    <x v="241"/>
    <n v="696"/>
    <n v="21771"/>
    <n v="20"/>
    <n v="405"/>
    <m/>
    <m/>
    <m/>
    <m/>
    <m/>
    <m/>
    <m/>
  </r>
  <r>
    <x v="15"/>
    <x v="241"/>
    <n v="288"/>
    <n v="23738"/>
    <n v="5"/>
    <n v="609"/>
    <m/>
    <m/>
    <m/>
    <m/>
    <m/>
    <m/>
    <m/>
  </r>
  <r>
    <x v="16"/>
    <x v="241"/>
    <n v="191"/>
    <n v="18600"/>
    <n v="14"/>
    <n v="776"/>
    <m/>
    <m/>
    <m/>
    <m/>
    <m/>
    <m/>
    <m/>
  </r>
  <r>
    <x v="17"/>
    <x v="241"/>
    <n v="379"/>
    <n v="2256"/>
    <n v="17"/>
    <n v="101"/>
    <m/>
    <m/>
    <m/>
    <m/>
    <m/>
    <m/>
    <m/>
  </r>
  <r>
    <x v="18"/>
    <x v="241"/>
    <n v="258"/>
    <n v="6814"/>
    <m/>
    <n v="54"/>
    <m/>
    <m/>
    <m/>
    <m/>
    <m/>
    <m/>
    <m/>
  </r>
  <r>
    <x v="19"/>
    <x v="241"/>
    <n v="214"/>
    <n v="9349"/>
    <n v="2"/>
    <n v="130"/>
    <m/>
    <m/>
    <m/>
    <m/>
    <m/>
    <m/>
    <m/>
  </r>
  <r>
    <x v="20"/>
    <x v="241"/>
    <n v="2140"/>
    <n v="104630"/>
    <n v="49"/>
    <n v="1281"/>
    <m/>
    <m/>
    <m/>
    <m/>
    <m/>
    <m/>
    <m/>
  </r>
  <r>
    <x v="21"/>
    <x v="241"/>
    <n v="209"/>
    <n v="9578"/>
    <n v="8"/>
    <n v="129"/>
    <m/>
    <m/>
    <m/>
    <m/>
    <m/>
    <m/>
    <m/>
  </r>
  <r>
    <x v="22"/>
    <x v="241"/>
    <n v="159"/>
    <n v="11187"/>
    <n v="2"/>
    <n v="147"/>
    <m/>
    <m/>
    <m/>
    <m/>
    <m/>
    <m/>
    <m/>
  </r>
  <r>
    <x v="23"/>
    <x v="241"/>
    <n v="1011"/>
    <n v="48794"/>
    <n v="18"/>
    <n v="766"/>
    <m/>
    <m/>
    <m/>
    <m/>
    <m/>
    <m/>
    <m/>
  </r>
  <r>
    <x v="0"/>
    <x v="242"/>
    <n v="2354"/>
    <n v="549365"/>
    <n v="114"/>
    <n v="17611"/>
    <m/>
    <m/>
    <m/>
    <m/>
    <m/>
    <m/>
    <m/>
  </r>
  <r>
    <x v="4"/>
    <x v="242"/>
    <n v="441"/>
    <n v="147201"/>
    <n v="18"/>
    <n v="4755"/>
    <m/>
    <m/>
    <m/>
    <m/>
    <m/>
    <m/>
    <m/>
  </r>
  <r>
    <x v="1"/>
    <x v="242"/>
    <n v="77"/>
    <n v="896"/>
    <m/>
    <n v="0"/>
    <m/>
    <m/>
    <m/>
    <m/>
    <m/>
    <m/>
    <m/>
  </r>
  <r>
    <x v="2"/>
    <x v="242"/>
    <n v="137"/>
    <n v="14050"/>
    <n v="3"/>
    <n v="427"/>
    <m/>
    <m/>
    <m/>
    <m/>
    <m/>
    <m/>
    <m/>
  </r>
  <r>
    <x v="3"/>
    <x v="242"/>
    <n v="195"/>
    <n v="14382"/>
    <n v="2"/>
    <n v="248"/>
    <m/>
    <m/>
    <m/>
    <m/>
    <m/>
    <m/>
    <m/>
  </r>
  <r>
    <x v="5"/>
    <x v="242"/>
    <n v="1424"/>
    <n v="85415"/>
    <n v="21"/>
    <n v="1291"/>
    <m/>
    <m/>
    <m/>
    <m/>
    <m/>
    <m/>
    <m/>
  </r>
  <r>
    <x v="6"/>
    <x v="242"/>
    <n v="10"/>
    <n v="2549"/>
    <m/>
    <n v="47"/>
    <m/>
    <m/>
    <m/>
    <m/>
    <m/>
    <m/>
    <m/>
  </r>
  <r>
    <x v="7"/>
    <x v="242"/>
    <n v="264"/>
    <n v="15997"/>
    <n v="1"/>
    <n v="277"/>
    <m/>
    <m/>
    <m/>
    <m/>
    <m/>
    <m/>
    <m/>
  </r>
  <r>
    <x v="8"/>
    <x v="242"/>
    <n v="4"/>
    <n v="153"/>
    <m/>
    <n v="1"/>
    <m/>
    <m/>
    <m/>
    <m/>
    <m/>
    <m/>
    <m/>
  </r>
  <r>
    <x v="9"/>
    <x v="242"/>
    <n v="33"/>
    <n v="17856"/>
    <n v="4"/>
    <n v="811"/>
    <m/>
    <m/>
    <m/>
    <m/>
    <m/>
    <m/>
    <m/>
  </r>
  <r>
    <x v="10"/>
    <x v="242"/>
    <n v="90"/>
    <n v="3279"/>
    <n v="1"/>
    <n v="33"/>
    <m/>
    <m/>
    <m/>
    <m/>
    <m/>
    <m/>
    <m/>
  </r>
  <r>
    <x v="11"/>
    <x v="242"/>
    <n v="55"/>
    <n v="7569"/>
    <n v="2"/>
    <n v="272"/>
    <m/>
    <m/>
    <m/>
    <m/>
    <m/>
    <m/>
    <m/>
  </r>
  <r>
    <x v="12"/>
    <x v="242"/>
    <n v="509"/>
    <n v="47073"/>
    <n v="5"/>
    <n v="778"/>
    <m/>
    <m/>
    <m/>
    <m/>
    <m/>
    <m/>
    <m/>
  </r>
  <r>
    <x v="13"/>
    <x v="242"/>
    <n v="-9"/>
    <n v="261"/>
    <m/>
    <n v="5"/>
    <m/>
    <m/>
    <m/>
    <m/>
    <m/>
    <m/>
    <m/>
  </r>
  <r>
    <x v="14"/>
    <x v="242"/>
    <n v="467"/>
    <n v="22238"/>
    <m/>
    <n v="405"/>
    <m/>
    <m/>
    <m/>
    <m/>
    <m/>
    <m/>
    <m/>
  </r>
  <r>
    <x v="15"/>
    <x v="242"/>
    <n v="255"/>
    <n v="23993"/>
    <n v="3"/>
    <n v="612"/>
    <m/>
    <m/>
    <m/>
    <m/>
    <m/>
    <m/>
    <m/>
  </r>
  <r>
    <x v="16"/>
    <x v="242"/>
    <n v="146"/>
    <n v="18746"/>
    <n v="7"/>
    <n v="783"/>
    <m/>
    <m/>
    <m/>
    <m/>
    <m/>
    <m/>
    <m/>
  </r>
  <r>
    <x v="17"/>
    <x v="242"/>
    <n v="110"/>
    <n v="2366"/>
    <m/>
    <n v="101"/>
    <m/>
    <m/>
    <m/>
    <m/>
    <m/>
    <m/>
    <m/>
  </r>
  <r>
    <x v="18"/>
    <x v="242"/>
    <n v="167"/>
    <n v="6981"/>
    <m/>
    <n v="54"/>
    <m/>
    <m/>
    <m/>
    <m/>
    <m/>
    <m/>
    <m/>
  </r>
  <r>
    <x v="19"/>
    <x v="242"/>
    <n v="159"/>
    <n v="9508"/>
    <n v="3"/>
    <n v="133"/>
    <m/>
    <m/>
    <m/>
    <m/>
    <m/>
    <m/>
    <m/>
  </r>
  <r>
    <x v="20"/>
    <x v="242"/>
    <n v="1718"/>
    <n v="106348"/>
    <n v="16"/>
    <n v="1297"/>
    <m/>
    <m/>
    <m/>
    <m/>
    <m/>
    <m/>
    <m/>
  </r>
  <r>
    <x v="21"/>
    <x v="242"/>
    <n v="221"/>
    <n v="9799"/>
    <n v="3"/>
    <n v="132"/>
    <m/>
    <m/>
    <m/>
    <m/>
    <m/>
    <m/>
    <m/>
  </r>
  <r>
    <x v="22"/>
    <x v="242"/>
    <n v="189"/>
    <n v="11376"/>
    <n v="1"/>
    <n v="148"/>
    <m/>
    <m/>
    <m/>
    <m/>
    <m/>
    <m/>
    <m/>
  </r>
  <r>
    <x v="23"/>
    <x v="242"/>
    <n v="729"/>
    <n v="49523"/>
    <n v="6"/>
    <n v="772"/>
    <m/>
    <m/>
    <m/>
    <m/>
    <m/>
    <m/>
    <m/>
  </r>
  <r>
    <x v="0"/>
    <x v="243"/>
    <n v="1574"/>
    <n v="550939"/>
    <n v="41"/>
    <n v="17652"/>
    <m/>
    <m/>
    <m/>
    <m/>
    <m/>
    <m/>
    <m/>
  </r>
  <r>
    <x v="4"/>
    <x v="243"/>
    <n v="258"/>
    <n v="147459"/>
    <n v="41"/>
    <n v="4796"/>
    <m/>
    <m/>
    <m/>
    <m/>
    <m/>
    <m/>
    <m/>
  </r>
  <r>
    <x v="1"/>
    <x v="243"/>
    <n v="39"/>
    <n v="935"/>
    <m/>
    <n v="0"/>
    <m/>
    <m/>
    <m/>
    <m/>
    <m/>
    <m/>
    <m/>
  </r>
  <r>
    <x v="2"/>
    <x v="243"/>
    <n v="141"/>
    <n v="14191"/>
    <n v="5"/>
    <n v="432"/>
    <m/>
    <m/>
    <m/>
    <m/>
    <m/>
    <m/>
    <m/>
  </r>
  <r>
    <x v="3"/>
    <x v="243"/>
    <n v="93"/>
    <n v="14475"/>
    <n v="1"/>
    <n v="249"/>
    <m/>
    <m/>
    <m/>
    <m/>
    <m/>
    <m/>
    <m/>
  </r>
  <r>
    <x v="5"/>
    <x v="243"/>
    <n v="903"/>
    <n v="86318"/>
    <n v="18"/>
    <n v="1309"/>
    <m/>
    <m/>
    <m/>
    <m/>
    <m/>
    <m/>
    <m/>
  </r>
  <r>
    <x v="6"/>
    <x v="243"/>
    <n v="4"/>
    <n v="2553"/>
    <m/>
    <n v="47"/>
    <m/>
    <m/>
    <m/>
    <m/>
    <m/>
    <m/>
    <m/>
  </r>
  <r>
    <x v="7"/>
    <x v="243"/>
    <n v="198"/>
    <n v="16195"/>
    <n v="1"/>
    <n v="278"/>
    <m/>
    <m/>
    <m/>
    <m/>
    <m/>
    <m/>
    <m/>
  </r>
  <r>
    <x v="8"/>
    <x v="243"/>
    <n v="-2"/>
    <n v="151"/>
    <n v="1"/>
    <n v="2"/>
    <m/>
    <m/>
    <m/>
    <m/>
    <m/>
    <m/>
    <m/>
  </r>
  <r>
    <x v="9"/>
    <x v="243"/>
    <n v="28"/>
    <n v="17884"/>
    <n v="1"/>
    <n v="812"/>
    <m/>
    <m/>
    <m/>
    <m/>
    <m/>
    <m/>
    <m/>
  </r>
  <r>
    <x v="10"/>
    <x v="243"/>
    <n v="82"/>
    <n v="3361"/>
    <m/>
    <n v="33"/>
    <m/>
    <m/>
    <m/>
    <m/>
    <m/>
    <m/>
    <m/>
  </r>
  <r>
    <x v="11"/>
    <x v="243"/>
    <n v="35"/>
    <n v="7604"/>
    <m/>
    <n v="272"/>
    <m/>
    <m/>
    <m/>
    <m/>
    <m/>
    <m/>
    <m/>
  </r>
  <r>
    <x v="12"/>
    <x v="243"/>
    <n v="207"/>
    <n v="47280"/>
    <n v="1"/>
    <n v="779"/>
    <m/>
    <m/>
    <m/>
    <m/>
    <m/>
    <m/>
    <m/>
  </r>
  <r>
    <x v="13"/>
    <x v="243"/>
    <n v="17"/>
    <n v="278"/>
    <m/>
    <n v="5"/>
    <m/>
    <m/>
    <m/>
    <m/>
    <m/>
    <m/>
    <m/>
  </r>
  <r>
    <x v="14"/>
    <x v="243"/>
    <n v="256"/>
    <n v="22494"/>
    <n v="1"/>
    <n v="406"/>
    <m/>
    <m/>
    <m/>
    <m/>
    <m/>
    <m/>
    <m/>
  </r>
  <r>
    <x v="15"/>
    <x v="243"/>
    <n v="144"/>
    <n v="24137"/>
    <n v="2"/>
    <n v="614"/>
    <m/>
    <m/>
    <m/>
    <m/>
    <m/>
    <m/>
    <m/>
  </r>
  <r>
    <x v="16"/>
    <x v="243"/>
    <n v="139"/>
    <n v="18885"/>
    <n v="6"/>
    <n v="789"/>
    <m/>
    <m/>
    <m/>
    <m/>
    <m/>
    <m/>
    <m/>
  </r>
  <r>
    <x v="17"/>
    <x v="243"/>
    <n v="59"/>
    <n v="2425"/>
    <m/>
    <n v="101"/>
    <m/>
    <m/>
    <m/>
    <m/>
    <m/>
    <m/>
    <m/>
  </r>
  <r>
    <x v="18"/>
    <x v="243"/>
    <n v="248"/>
    <n v="7229"/>
    <m/>
    <n v="54"/>
    <m/>
    <m/>
    <m/>
    <m/>
    <m/>
    <m/>
    <m/>
  </r>
  <r>
    <x v="19"/>
    <x v="243"/>
    <n v="176"/>
    <n v="9684"/>
    <n v="2"/>
    <n v="135"/>
    <m/>
    <m/>
    <m/>
    <m/>
    <m/>
    <m/>
    <m/>
  </r>
  <r>
    <x v="20"/>
    <x v="243"/>
    <n v="1170"/>
    <n v="107518"/>
    <n v="17"/>
    <n v="1314"/>
    <m/>
    <m/>
    <m/>
    <m/>
    <m/>
    <m/>
    <m/>
  </r>
  <r>
    <x v="21"/>
    <x v="243"/>
    <n v="182"/>
    <n v="9981"/>
    <n v="1"/>
    <n v="133"/>
    <m/>
    <m/>
    <m/>
    <m/>
    <m/>
    <m/>
    <m/>
  </r>
  <r>
    <x v="22"/>
    <x v="243"/>
    <n v="205"/>
    <n v="11581"/>
    <n v="2"/>
    <n v="150"/>
    <m/>
    <m/>
    <m/>
    <m/>
    <m/>
    <m/>
    <m/>
  </r>
  <r>
    <x v="23"/>
    <x v="243"/>
    <n v="453"/>
    <n v="49976"/>
    <m/>
    <n v="772"/>
    <m/>
    <m/>
    <m/>
    <m/>
    <m/>
    <m/>
    <m/>
  </r>
  <r>
    <x v="0"/>
    <x v="244"/>
    <n v="3022"/>
    <n v="553961"/>
    <n v="203"/>
    <n v="17855"/>
    <m/>
    <m/>
    <m/>
    <m/>
    <m/>
    <m/>
    <m/>
  </r>
  <r>
    <x v="4"/>
    <x v="244"/>
    <n v="425"/>
    <n v="147884"/>
    <n v="35"/>
    <n v="4831"/>
    <m/>
    <m/>
    <m/>
    <m/>
    <m/>
    <m/>
    <m/>
  </r>
  <r>
    <x v="1"/>
    <x v="244"/>
    <n v="45"/>
    <n v="980"/>
    <m/>
    <n v="0"/>
    <m/>
    <m/>
    <m/>
    <m/>
    <m/>
    <m/>
    <m/>
  </r>
  <r>
    <x v="2"/>
    <x v="244"/>
    <n v="73"/>
    <n v="14264"/>
    <n v="2"/>
    <n v="434"/>
    <m/>
    <m/>
    <m/>
    <m/>
    <m/>
    <m/>
    <m/>
  </r>
  <r>
    <x v="3"/>
    <x v="244"/>
    <n v="316"/>
    <n v="14791"/>
    <n v="5"/>
    <n v="254"/>
    <m/>
    <m/>
    <m/>
    <m/>
    <m/>
    <m/>
    <m/>
  </r>
  <r>
    <x v="5"/>
    <x v="244"/>
    <n v="633"/>
    <n v="86951"/>
    <n v="27"/>
    <n v="1336"/>
    <m/>
    <m/>
    <m/>
    <m/>
    <m/>
    <m/>
    <m/>
  </r>
  <r>
    <x v="6"/>
    <x v="244"/>
    <n v="40"/>
    <n v="2593"/>
    <m/>
    <n v="47"/>
    <m/>
    <m/>
    <m/>
    <m/>
    <m/>
    <m/>
    <m/>
  </r>
  <r>
    <x v="7"/>
    <x v="244"/>
    <n v="231"/>
    <n v="16426"/>
    <n v="9"/>
    <n v="287"/>
    <m/>
    <m/>
    <m/>
    <m/>
    <m/>
    <m/>
    <m/>
  </r>
  <r>
    <x v="8"/>
    <x v="244"/>
    <n v="7"/>
    <n v="158"/>
    <m/>
    <n v="2"/>
    <m/>
    <m/>
    <m/>
    <m/>
    <m/>
    <m/>
    <m/>
  </r>
  <r>
    <x v="9"/>
    <x v="244"/>
    <n v="34"/>
    <n v="17918"/>
    <n v="3"/>
    <n v="815"/>
    <m/>
    <m/>
    <m/>
    <m/>
    <m/>
    <m/>
    <m/>
  </r>
  <r>
    <x v="10"/>
    <x v="244"/>
    <n v="119"/>
    <n v="3480"/>
    <n v="3"/>
    <n v="36"/>
    <m/>
    <m/>
    <m/>
    <m/>
    <m/>
    <m/>
    <m/>
  </r>
  <r>
    <x v="11"/>
    <x v="244"/>
    <n v="36"/>
    <n v="7640"/>
    <n v="2"/>
    <n v="274"/>
    <m/>
    <m/>
    <m/>
    <m/>
    <m/>
    <m/>
    <m/>
  </r>
  <r>
    <x v="12"/>
    <x v="244"/>
    <n v="513"/>
    <n v="47793"/>
    <n v="19"/>
    <n v="798"/>
    <m/>
    <m/>
    <m/>
    <m/>
    <m/>
    <m/>
    <m/>
  </r>
  <r>
    <x v="13"/>
    <x v="244"/>
    <n v="4"/>
    <n v="282"/>
    <m/>
    <n v="5"/>
    <m/>
    <m/>
    <m/>
    <m/>
    <m/>
    <m/>
    <m/>
  </r>
  <r>
    <x v="14"/>
    <x v="244"/>
    <n v="250"/>
    <n v="22744"/>
    <n v="2"/>
    <n v="408"/>
    <m/>
    <m/>
    <m/>
    <m/>
    <m/>
    <m/>
    <m/>
  </r>
  <r>
    <x v="15"/>
    <x v="244"/>
    <n v="275"/>
    <n v="24412"/>
    <n v="17"/>
    <n v="631"/>
    <m/>
    <m/>
    <m/>
    <m/>
    <m/>
    <m/>
    <m/>
  </r>
  <r>
    <x v="16"/>
    <x v="244"/>
    <n v="64"/>
    <n v="18949"/>
    <n v="4"/>
    <n v="793"/>
    <m/>
    <m/>
    <m/>
    <m/>
    <m/>
    <m/>
    <m/>
  </r>
  <r>
    <x v="17"/>
    <x v="244"/>
    <n v="304"/>
    <n v="2729"/>
    <m/>
    <n v="101"/>
    <m/>
    <m/>
    <m/>
    <m/>
    <m/>
    <m/>
    <m/>
  </r>
  <r>
    <x v="18"/>
    <x v="244"/>
    <n v="380"/>
    <n v="7609"/>
    <n v="17"/>
    <n v="71"/>
    <m/>
    <m/>
    <m/>
    <m/>
    <m/>
    <m/>
    <m/>
  </r>
  <r>
    <x v="19"/>
    <x v="244"/>
    <n v="131"/>
    <n v="9815"/>
    <n v="6"/>
    <n v="141"/>
    <m/>
    <m/>
    <m/>
    <m/>
    <m/>
    <m/>
    <m/>
  </r>
  <r>
    <x v="20"/>
    <x v="244"/>
    <n v="1793"/>
    <n v="109311"/>
    <n v="75"/>
    <n v="1389"/>
    <m/>
    <m/>
    <m/>
    <m/>
    <m/>
    <m/>
    <m/>
  </r>
  <r>
    <x v="21"/>
    <x v="244"/>
    <n v="111"/>
    <n v="10092"/>
    <n v="1"/>
    <n v="134"/>
    <m/>
    <m/>
    <m/>
    <m/>
    <m/>
    <m/>
    <m/>
  </r>
  <r>
    <x v="22"/>
    <x v="244"/>
    <n v="127"/>
    <n v="11708"/>
    <n v="7"/>
    <n v="157"/>
    <m/>
    <m/>
    <m/>
    <m/>
    <m/>
    <m/>
    <m/>
  </r>
  <r>
    <x v="23"/>
    <x v="244"/>
    <n v="666"/>
    <n v="50642"/>
    <n v="41"/>
    <n v="813"/>
    <m/>
    <m/>
    <m/>
    <m/>
    <m/>
    <m/>
    <m/>
  </r>
  <r>
    <x v="0"/>
    <x v="245"/>
    <n v="3615"/>
    <n v="557576"/>
    <n v="188"/>
    <n v="18043"/>
    <m/>
    <m/>
    <m/>
    <m/>
    <m/>
    <m/>
    <m/>
  </r>
  <r>
    <x v="4"/>
    <x v="245"/>
    <n v="460"/>
    <n v="148344"/>
    <n v="25"/>
    <n v="4856"/>
    <m/>
    <m/>
    <m/>
    <m/>
    <m/>
    <m/>
    <m/>
  </r>
  <r>
    <x v="1"/>
    <x v="245"/>
    <n v="31"/>
    <n v="1011"/>
    <m/>
    <n v="0"/>
    <m/>
    <m/>
    <m/>
    <m/>
    <m/>
    <m/>
    <m/>
  </r>
  <r>
    <x v="2"/>
    <x v="245"/>
    <n v="131"/>
    <n v="14395"/>
    <n v="7"/>
    <n v="441"/>
    <m/>
    <m/>
    <m/>
    <m/>
    <m/>
    <m/>
    <m/>
  </r>
  <r>
    <x v="3"/>
    <x v="245"/>
    <n v="421"/>
    <n v="15212"/>
    <m/>
    <n v="254"/>
    <m/>
    <m/>
    <m/>
    <m/>
    <m/>
    <m/>
    <m/>
  </r>
  <r>
    <x v="5"/>
    <x v="245"/>
    <n v="1339"/>
    <n v="88290"/>
    <n v="22"/>
    <n v="1358"/>
    <m/>
    <m/>
    <m/>
    <m/>
    <m/>
    <m/>
    <m/>
  </r>
  <r>
    <x v="6"/>
    <x v="245"/>
    <n v="26"/>
    <n v="2619"/>
    <m/>
    <n v="47"/>
    <m/>
    <m/>
    <m/>
    <m/>
    <m/>
    <m/>
    <m/>
  </r>
  <r>
    <x v="7"/>
    <x v="245"/>
    <n v="258"/>
    <n v="16684"/>
    <n v="7"/>
    <n v="294"/>
    <m/>
    <m/>
    <m/>
    <m/>
    <m/>
    <m/>
    <m/>
  </r>
  <r>
    <x v="8"/>
    <x v="245"/>
    <n v="0"/>
    <n v="158"/>
    <m/>
    <n v="2"/>
    <m/>
    <m/>
    <m/>
    <m/>
    <m/>
    <m/>
    <m/>
  </r>
  <r>
    <x v="9"/>
    <x v="245"/>
    <n v="22"/>
    <n v="17940"/>
    <n v="2"/>
    <n v="817"/>
    <m/>
    <m/>
    <m/>
    <m/>
    <m/>
    <m/>
    <m/>
  </r>
  <r>
    <x v="10"/>
    <x v="245"/>
    <n v="84"/>
    <n v="3564"/>
    <m/>
    <n v="36"/>
    <m/>
    <m/>
    <m/>
    <m/>
    <m/>
    <m/>
    <m/>
  </r>
  <r>
    <x v="11"/>
    <x v="245"/>
    <n v="42"/>
    <n v="7682"/>
    <n v="9"/>
    <n v="283"/>
    <m/>
    <m/>
    <m/>
    <m/>
    <m/>
    <m/>
    <m/>
  </r>
  <r>
    <x v="12"/>
    <x v="245"/>
    <n v="515"/>
    <n v="48308"/>
    <n v="15"/>
    <n v="813"/>
    <m/>
    <m/>
    <m/>
    <m/>
    <m/>
    <m/>
    <m/>
  </r>
  <r>
    <x v="13"/>
    <x v="245"/>
    <n v="16"/>
    <n v="298"/>
    <n v="1"/>
    <n v="6"/>
    <m/>
    <m/>
    <m/>
    <m/>
    <m/>
    <m/>
    <m/>
  </r>
  <r>
    <x v="14"/>
    <x v="245"/>
    <n v="934"/>
    <n v="23678"/>
    <n v="5"/>
    <n v="413"/>
    <m/>
    <m/>
    <m/>
    <m/>
    <m/>
    <m/>
    <m/>
  </r>
  <r>
    <x v="15"/>
    <x v="245"/>
    <n v="395"/>
    <n v="24807"/>
    <n v="3"/>
    <n v="634"/>
    <m/>
    <m/>
    <m/>
    <m/>
    <m/>
    <m/>
    <m/>
  </r>
  <r>
    <x v="16"/>
    <x v="245"/>
    <n v="110"/>
    <n v="19059"/>
    <n v="7"/>
    <n v="800"/>
    <m/>
    <m/>
    <m/>
    <m/>
    <m/>
    <m/>
    <m/>
  </r>
  <r>
    <x v="17"/>
    <x v="245"/>
    <n v="164"/>
    <n v="2893"/>
    <n v="1"/>
    <n v="102"/>
    <m/>
    <m/>
    <m/>
    <m/>
    <m/>
    <m/>
    <m/>
  </r>
  <r>
    <x v="18"/>
    <x v="245"/>
    <n v="247"/>
    <n v="7856"/>
    <n v="21"/>
    <n v="92"/>
    <m/>
    <m/>
    <m/>
    <m/>
    <m/>
    <m/>
    <m/>
  </r>
  <r>
    <x v="19"/>
    <x v="245"/>
    <n v="250"/>
    <n v="10065"/>
    <n v="6"/>
    <n v="147"/>
    <m/>
    <m/>
    <m/>
    <m/>
    <m/>
    <m/>
    <m/>
  </r>
  <r>
    <x v="20"/>
    <x v="245"/>
    <n v="1764"/>
    <n v="111075"/>
    <n v="85"/>
    <n v="1474"/>
    <m/>
    <m/>
    <m/>
    <m/>
    <m/>
    <m/>
    <m/>
  </r>
  <r>
    <x v="21"/>
    <x v="245"/>
    <n v="82"/>
    <n v="10174"/>
    <n v="1"/>
    <n v="135"/>
    <m/>
    <m/>
    <m/>
    <m/>
    <m/>
    <m/>
    <m/>
  </r>
  <r>
    <x v="22"/>
    <x v="245"/>
    <n v="266"/>
    <n v="11974"/>
    <n v="2"/>
    <n v="159"/>
    <m/>
    <m/>
    <m/>
    <m/>
    <m/>
    <m/>
    <m/>
  </r>
  <r>
    <x v="23"/>
    <x v="245"/>
    <n v="973"/>
    <n v="51615"/>
    <n v="21"/>
    <n v="834"/>
    <m/>
    <m/>
    <m/>
    <m/>
    <m/>
    <m/>
    <m/>
  </r>
  <r>
    <x v="0"/>
    <x v="246"/>
    <n v="3123"/>
    <n v="560699"/>
    <n v="226"/>
    <n v="18269"/>
    <m/>
    <m/>
    <m/>
    <m/>
    <m/>
    <m/>
    <m/>
  </r>
  <r>
    <x v="4"/>
    <x v="246"/>
    <n v="476"/>
    <n v="148820"/>
    <n v="20"/>
    <n v="4876"/>
    <m/>
    <m/>
    <m/>
    <m/>
    <m/>
    <m/>
    <m/>
  </r>
  <r>
    <x v="1"/>
    <x v="246"/>
    <n v="62"/>
    <n v="1073"/>
    <m/>
    <n v="0"/>
    <m/>
    <m/>
    <m/>
    <m/>
    <m/>
    <m/>
    <m/>
  </r>
  <r>
    <x v="2"/>
    <x v="246"/>
    <n v="98"/>
    <n v="14493"/>
    <n v="7"/>
    <n v="448"/>
    <m/>
    <m/>
    <m/>
    <m/>
    <m/>
    <m/>
    <m/>
  </r>
  <r>
    <x v="3"/>
    <x v="246"/>
    <n v="500"/>
    <n v="15712"/>
    <n v="6"/>
    <n v="260"/>
    <m/>
    <m/>
    <m/>
    <m/>
    <m/>
    <m/>
    <m/>
  </r>
  <r>
    <x v="5"/>
    <x v="246"/>
    <n v="1196"/>
    <n v="89486"/>
    <n v="37"/>
    <n v="1395"/>
    <m/>
    <m/>
    <m/>
    <m/>
    <m/>
    <m/>
    <m/>
  </r>
  <r>
    <x v="6"/>
    <x v="246"/>
    <n v="14"/>
    <n v="2633"/>
    <n v="2"/>
    <n v="49"/>
    <m/>
    <m/>
    <m/>
    <m/>
    <m/>
    <m/>
    <m/>
  </r>
  <r>
    <x v="7"/>
    <x v="246"/>
    <n v="325"/>
    <n v="17009"/>
    <n v="7"/>
    <n v="301"/>
    <m/>
    <m/>
    <m/>
    <m/>
    <m/>
    <m/>
    <m/>
  </r>
  <r>
    <x v="8"/>
    <x v="246"/>
    <n v="5"/>
    <n v="163"/>
    <n v="1"/>
    <n v="3"/>
    <m/>
    <m/>
    <m/>
    <m/>
    <m/>
    <m/>
    <m/>
  </r>
  <r>
    <x v="9"/>
    <x v="246"/>
    <n v="22"/>
    <n v="17962"/>
    <m/>
    <n v="817"/>
    <m/>
    <m/>
    <m/>
    <m/>
    <m/>
    <m/>
    <m/>
  </r>
  <r>
    <x v="10"/>
    <x v="246"/>
    <n v="137"/>
    <n v="3701"/>
    <m/>
    <n v="36"/>
    <m/>
    <m/>
    <m/>
    <m/>
    <m/>
    <m/>
    <m/>
  </r>
  <r>
    <x v="11"/>
    <x v="246"/>
    <n v="61"/>
    <n v="7743"/>
    <m/>
    <n v="283"/>
    <m/>
    <m/>
    <m/>
    <m/>
    <m/>
    <m/>
    <m/>
  </r>
  <r>
    <x v="12"/>
    <x v="246"/>
    <n v="518"/>
    <n v="48826"/>
    <n v="41"/>
    <n v="854"/>
    <m/>
    <m/>
    <m/>
    <m/>
    <m/>
    <m/>
    <m/>
  </r>
  <r>
    <x v="13"/>
    <x v="246"/>
    <n v="-11"/>
    <n v="287"/>
    <m/>
    <n v="6"/>
    <m/>
    <m/>
    <m/>
    <m/>
    <m/>
    <m/>
    <m/>
  </r>
  <r>
    <x v="14"/>
    <x v="246"/>
    <n v="298"/>
    <n v="23976"/>
    <n v="1"/>
    <n v="414"/>
    <m/>
    <m/>
    <m/>
    <m/>
    <m/>
    <m/>
    <m/>
  </r>
  <r>
    <x v="15"/>
    <x v="246"/>
    <n v="371"/>
    <n v="25178"/>
    <n v="8"/>
    <n v="642"/>
    <m/>
    <m/>
    <m/>
    <m/>
    <m/>
    <m/>
    <m/>
  </r>
  <r>
    <x v="16"/>
    <x v="246"/>
    <n v="134"/>
    <n v="19193"/>
    <n v="22"/>
    <n v="822"/>
    <m/>
    <m/>
    <m/>
    <m/>
    <m/>
    <m/>
    <m/>
  </r>
  <r>
    <x v="17"/>
    <x v="246"/>
    <n v="180"/>
    <n v="3073"/>
    <m/>
    <n v="102"/>
    <m/>
    <m/>
    <m/>
    <m/>
    <m/>
    <m/>
    <m/>
  </r>
  <r>
    <x v="18"/>
    <x v="246"/>
    <n v="247"/>
    <n v="8103"/>
    <n v="10"/>
    <n v="102"/>
    <m/>
    <m/>
    <m/>
    <m/>
    <m/>
    <m/>
    <m/>
  </r>
  <r>
    <x v="19"/>
    <x v="246"/>
    <n v="185"/>
    <n v="10250"/>
    <n v="2"/>
    <n v="149"/>
    <m/>
    <m/>
    <m/>
    <m/>
    <m/>
    <m/>
    <m/>
  </r>
  <r>
    <x v="20"/>
    <x v="246"/>
    <n v="1543"/>
    <n v="112618"/>
    <n v="56"/>
    <n v="1530"/>
    <m/>
    <m/>
    <m/>
    <m/>
    <m/>
    <m/>
    <m/>
  </r>
  <r>
    <x v="21"/>
    <x v="246"/>
    <n v="213"/>
    <n v="10387"/>
    <m/>
    <n v="135"/>
    <m/>
    <m/>
    <m/>
    <m/>
    <m/>
    <m/>
    <m/>
  </r>
  <r>
    <x v="22"/>
    <x v="246"/>
    <n v="205"/>
    <n v="12179"/>
    <n v="2"/>
    <n v="161"/>
    <m/>
    <m/>
    <m/>
    <m/>
    <m/>
    <m/>
    <m/>
  </r>
  <r>
    <x v="23"/>
    <x v="246"/>
    <n v="750"/>
    <n v="52365"/>
    <n v="17"/>
    <n v="851"/>
    <m/>
    <m/>
    <m/>
    <m/>
    <m/>
    <m/>
    <m/>
  </r>
  <r>
    <x v="0"/>
    <x v="247"/>
    <n v="3239"/>
    <n v="563938"/>
    <n v="81"/>
    <n v="18350"/>
    <m/>
    <m/>
    <m/>
    <m/>
    <m/>
    <m/>
    <m/>
  </r>
  <r>
    <x v="4"/>
    <x v="247"/>
    <n v="476"/>
    <n v="149296"/>
    <n v="27"/>
    <n v="4903"/>
    <m/>
    <m/>
    <m/>
    <m/>
    <m/>
    <m/>
    <m/>
  </r>
  <r>
    <x v="1"/>
    <x v="247"/>
    <n v="47"/>
    <n v="1120"/>
    <m/>
    <n v="0"/>
    <m/>
    <m/>
    <m/>
    <m/>
    <m/>
    <m/>
    <m/>
  </r>
  <r>
    <x v="2"/>
    <x v="247"/>
    <n v="145"/>
    <n v="14638"/>
    <n v="5"/>
    <n v="453"/>
    <m/>
    <m/>
    <m/>
    <m/>
    <m/>
    <m/>
    <m/>
  </r>
  <r>
    <x v="3"/>
    <x v="247"/>
    <n v="441"/>
    <n v="16153"/>
    <n v="14"/>
    <n v="274"/>
    <m/>
    <m/>
    <m/>
    <m/>
    <m/>
    <m/>
    <m/>
  </r>
  <r>
    <x v="5"/>
    <x v="247"/>
    <n v="1054"/>
    <n v="90540"/>
    <n v="19"/>
    <n v="1414"/>
    <m/>
    <m/>
    <m/>
    <m/>
    <m/>
    <m/>
    <m/>
  </r>
  <r>
    <x v="6"/>
    <x v="247"/>
    <n v="18"/>
    <n v="2651"/>
    <m/>
    <n v="49"/>
    <m/>
    <m/>
    <m/>
    <m/>
    <m/>
    <m/>
    <m/>
  </r>
  <r>
    <x v="7"/>
    <x v="247"/>
    <n v="336"/>
    <n v="17345"/>
    <n v="5"/>
    <n v="306"/>
    <m/>
    <m/>
    <m/>
    <m/>
    <m/>
    <m/>
    <m/>
  </r>
  <r>
    <x v="8"/>
    <x v="247"/>
    <n v="-3"/>
    <n v="160"/>
    <m/>
    <n v="3"/>
    <m/>
    <m/>
    <m/>
    <m/>
    <m/>
    <m/>
    <m/>
  </r>
  <r>
    <x v="9"/>
    <x v="247"/>
    <n v="13"/>
    <n v="17975"/>
    <n v="4"/>
    <n v="821"/>
    <m/>
    <m/>
    <m/>
    <m/>
    <m/>
    <m/>
    <m/>
  </r>
  <r>
    <x v="10"/>
    <x v="247"/>
    <n v="111"/>
    <n v="3812"/>
    <m/>
    <n v="36"/>
    <m/>
    <m/>
    <m/>
    <m/>
    <m/>
    <m/>
    <m/>
  </r>
  <r>
    <x v="11"/>
    <x v="247"/>
    <n v="20"/>
    <n v="7763"/>
    <n v="5"/>
    <n v="288"/>
    <m/>
    <m/>
    <m/>
    <m/>
    <m/>
    <m/>
    <m/>
  </r>
  <r>
    <x v="12"/>
    <x v="247"/>
    <n v="628"/>
    <n v="49454"/>
    <n v="13"/>
    <n v="867"/>
    <m/>
    <m/>
    <m/>
    <m/>
    <m/>
    <m/>
    <m/>
  </r>
  <r>
    <x v="13"/>
    <x v="247"/>
    <n v="18"/>
    <n v="305"/>
    <m/>
    <n v="6"/>
    <m/>
    <m/>
    <m/>
    <m/>
    <m/>
    <m/>
    <m/>
  </r>
  <r>
    <x v="14"/>
    <x v="247"/>
    <n v="462"/>
    <n v="24438"/>
    <m/>
    <n v="414"/>
    <m/>
    <m/>
    <m/>
    <m/>
    <m/>
    <m/>
    <m/>
  </r>
  <r>
    <x v="15"/>
    <x v="247"/>
    <n v="355"/>
    <n v="25533"/>
    <n v="5"/>
    <n v="647"/>
    <m/>
    <m/>
    <m/>
    <m/>
    <m/>
    <m/>
    <m/>
  </r>
  <r>
    <x v="16"/>
    <x v="247"/>
    <n v="112"/>
    <n v="19305"/>
    <n v="7"/>
    <n v="829"/>
    <m/>
    <m/>
    <m/>
    <m/>
    <m/>
    <m/>
    <m/>
  </r>
  <r>
    <x v="17"/>
    <x v="247"/>
    <n v="134"/>
    <n v="3207"/>
    <m/>
    <n v="102"/>
    <m/>
    <m/>
    <m/>
    <m/>
    <m/>
    <m/>
    <m/>
  </r>
  <r>
    <x v="18"/>
    <x v="247"/>
    <n v="293"/>
    <n v="8396"/>
    <n v="9"/>
    <n v="111"/>
    <m/>
    <m/>
    <m/>
    <m/>
    <m/>
    <m/>
    <m/>
  </r>
  <r>
    <x v="19"/>
    <x v="247"/>
    <n v="269"/>
    <n v="10519"/>
    <n v="10"/>
    <n v="159"/>
    <m/>
    <m/>
    <m/>
    <m/>
    <m/>
    <m/>
    <m/>
  </r>
  <r>
    <x v="20"/>
    <x v="247"/>
    <n v="1741"/>
    <n v="114359"/>
    <n v="19"/>
    <n v="1549"/>
    <m/>
    <m/>
    <m/>
    <m/>
    <m/>
    <m/>
    <m/>
  </r>
  <r>
    <x v="21"/>
    <x v="247"/>
    <n v="320"/>
    <n v="10707"/>
    <n v="3"/>
    <n v="138"/>
    <m/>
    <m/>
    <m/>
    <m/>
    <m/>
    <m/>
    <m/>
  </r>
  <r>
    <x v="22"/>
    <x v="247"/>
    <n v="267"/>
    <n v="12446"/>
    <n v="2"/>
    <n v="163"/>
    <m/>
    <m/>
    <m/>
    <m/>
    <m/>
    <m/>
    <m/>
  </r>
  <r>
    <x v="23"/>
    <x v="247"/>
    <n v="603"/>
    <n v="52968"/>
    <n v="18"/>
    <n v="869"/>
    <m/>
    <m/>
    <m/>
    <m/>
    <m/>
    <m/>
    <m/>
  </r>
  <r>
    <x v="0"/>
    <x v="248"/>
    <n v="3089"/>
    <n v="567027"/>
    <n v="156"/>
    <n v="18506"/>
    <m/>
    <m/>
    <m/>
    <m/>
    <m/>
    <m/>
    <m/>
  </r>
  <r>
    <x v="4"/>
    <x v="248"/>
    <n v="641"/>
    <n v="149937"/>
    <n v="40"/>
    <n v="4943"/>
    <m/>
    <m/>
    <m/>
    <m/>
    <m/>
    <m/>
    <m/>
  </r>
  <r>
    <x v="1"/>
    <x v="248"/>
    <n v="3"/>
    <n v="1123"/>
    <m/>
    <n v="0"/>
    <m/>
    <m/>
    <m/>
    <m/>
    <m/>
    <m/>
    <m/>
  </r>
  <r>
    <x v="2"/>
    <x v="248"/>
    <n v="121"/>
    <n v="14759"/>
    <n v="5"/>
    <n v="458"/>
    <m/>
    <m/>
    <m/>
    <m/>
    <m/>
    <m/>
    <m/>
  </r>
  <r>
    <x v="3"/>
    <x v="248"/>
    <n v="392"/>
    <n v="16545"/>
    <n v="2"/>
    <n v="276"/>
    <m/>
    <m/>
    <m/>
    <m/>
    <m/>
    <m/>
    <m/>
  </r>
  <r>
    <x v="5"/>
    <x v="248"/>
    <n v="1258"/>
    <n v="91798"/>
    <n v="28"/>
    <n v="1442"/>
    <m/>
    <m/>
    <m/>
    <m/>
    <m/>
    <m/>
    <m/>
  </r>
  <r>
    <x v="6"/>
    <x v="248"/>
    <n v="106"/>
    <n v="2757"/>
    <n v="7"/>
    <n v="56"/>
    <m/>
    <m/>
    <m/>
    <m/>
    <m/>
    <m/>
    <m/>
  </r>
  <r>
    <x v="7"/>
    <x v="248"/>
    <n v="338"/>
    <n v="17683"/>
    <n v="11"/>
    <n v="317"/>
    <m/>
    <m/>
    <m/>
    <m/>
    <m/>
    <m/>
    <m/>
  </r>
  <r>
    <x v="8"/>
    <x v="248"/>
    <n v="2"/>
    <n v="162"/>
    <m/>
    <n v="3"/>
    <m/>
    <m/>
    <m/>
    <m/>
    <m/>
    <m/>
    <m/>
  </r>
  <r>
    <x v="9"/>
    <x v="248"/>
    <n v="14"/>
    <n v="17989"/>
    <m/>
    <n v="821"/>
    <m/>
    <m/>
    <m/>
    <m/>
    <m/>
    <m/>
    <m/>
  </r>
  <r>
    <x v="10"/>
    <x v="248"/>
    <n v="104"/>
    <n v="3916"/>
    <m/>
    <n v="36"/>
    <m/>
    <m/>
    <m/>
    <m/>
    <m/>
    <m/>
    <m/>
  </r>
  <r>
    <x v="11"/>
    <x v="248"/>
    <n v="18"/>
    <n v="7781"/>
    <n v="1"/>
    <n v="289"/>
    <m/>
    <m/>
    <m/>
    <m/>
    <m/>
    <m/>
    <m/>
  </r>
  <r>
    <x v="12"/>
    <x v="248"/>
    <n v="626"/>
    <n v="50080"/>
    <n v="22"/>
    <n v="889"/>
    <m/>
    <m/>
    <m/>
    <m/>
    <m/>
    <m/>
    <m/>
  </r>
  <r>
    <x v="13"/>
    <x v="248"/>
    <n v="15"/>
    <n v="320"/>
    <m/>
    <n v="6"/>
    <m/>
    <m/>
    <m/>
    <m/>
    <m/>
    <m/>
    <m/>
  </r>
  <r>
    <x v="14"/>
    <x v="248"/>
    <n v="310"/>
    <n v="24748"/>
    <n v="8"/>
    <n v="422"/>
    <m/>
    <m/>
    <m/>
    <m/>
    <m/>
    <m/>
    <m/>
  </r>
  <r>
    <x v="15"/>
    <x v="248"/>
    <n v="383"/>
    <n v="25916"/>
    <n v="5"/>
    <n v="652"/>
    <m/>
    <m/>
    <m/>
    <m/>
    <m/>
    <m/>
    <m/>
  </r>
  <r>
    <x v="16"/>
    <x v="248"/>
    <n v="93"/>
    <n v="19398"/>
    <n v="9"/>
    <n v="838"/>
    <m/>
    <m/>
    <m/>
    <m/>
    <m/>
    <m/>
    <m/>
  </r>
  <r>
    <x v="17"/>
    <x v="248"/>
    <n v="191"/>
    <n v="3398"/>
    <m/>
    <n v="102"/>
    <m/>
    <m/>
    <m/>
    <m/>
    <m/>
    <m/>
    <m/>
  </r>
  <r>
    <x v="18"/>
    <x v="248"/>
    <n v="468"/>
    <n v="8864"/>
    <n v="10"/>
    <n v="121"/>
    <m/>
    <m/>
    <m/>
    <m/>
    <m/>
    <m/>
    <m/>
  </r>
  <r>
    <x v="19"/>
    <x v="248"/>
    <n v="222"/>
    <n v="10741"/>
    <n v="4"/>
    <n v="163"/>
    <m/>
    <m/>
    <m/>
    <m/>
    <m/>
    <m/>
    <m/>
  </r>
  <r>
    <x v="20"/>
    <x v="248"/>
    <n v="1736"/>
    <n v="116095"/>
    <n v="53"/>
    <n v="1602"/>
    <m/>
    <m/>
    <m/>
    <m/>
    <m/>
    <m/>
    <m/>
  </r>
  <r>
    <x v="21"/>
    <x v="248"/>
    <n v="223"/>
    <n v="10930"/>
    <n v="3"/>
    <n v="141"/>
    <m/>
    <m/>
    <m/>
    <m/>
    <m/>
    <m/>
    <m/>
  </r>
  <r>
    <x v="22"/>
    <x v="248"/>
    <n v="311"/>
    <n v="12757"/>
    <m/>
    <n v="163"/>
    <m/>
    <m/>
    <m/>
    <m/>
    <m/>
    <m/>
    <m/>
  </r>
  <r>
    <x v="23"/>
    <x v="248"/>
    <n v="1122"/>
    <n v="54090"/>
    <n v="6"/>
    <n v="875"/>
    <m/>
    <m/>
    <m/>
    <m/>
    <m/>
    <m/>
    <m/>
  </r>
  <r>
    <x v="0"/>
    <x v="249"/>
    <n v="2161"/>
    <n v="569188"/>
    <n v="75"/>
    <n v="18581"/>
    <m/>
    <m/>
    <m/>
    <m/>
    <m/>
    <m/>
    <m/>
  </r>
  <r>
    <x v="4"/>
    <x v="249"/>
    <n v="394"/>
    <n v="150331"/>
    <n v="24"/>
    <n v="4967"/>
    <m/>
    <m/>
    <m/>
    <m/>
    <m/>
    <m/>
    <m/>
  </r>
  <r>
    <x v="1"/>
    <x v="249"/>
    <n v="41"/>
    <n v="1164"/>
    <n v="2"/>
    <n v="2"/>
    <m/>
    <m/>
    <m/>
    <m/>
    <m/>
    <m/>
    <m/>
  </r>
  <r>
    <x v="2"/>
    <x v="249"/>
    <n v="157"/>
    <n v="14916"/>
    <n v="6"/>
    <n v="464"/>
    <m/>
    <m/>
    <m/>
    <m/>
    <m/>
    <m/>
    <m/>
  </r>
  <r>
    <x v="3"/>
    <x v="249"/>
    <n v="231"/>
    <n v="16776"/>
    <m/>
    <n v="276"/>
    <m/>
    <m/>
    <m/>
    <m/>
    <m/>
    <m/>
    <m/>
  </r>
  <r>
    <x v="5"/>
    <x v="249"/>
    <n v="1006"/>
    <n v="92804"/>
    <n v="11"/>
    <n v="1453"/>
    <m/>
    <m/>
    <m/>
    <m/>
    <m/>
    <m/>
    <m/>
  </r>
  <r>
    <x v="6"/>
    <x v="249"/>
    <n v="76"/>
    <n v="2833"/>
    <m/>
    <n v="56"/>
    <m/>
    <m/>
    <m/>
    <m/>
    <m/>
    <m/>
    <m/>
  </r>
  <r>
    <x v="7"/>
    <x v="249"/>
    <n v="234"/>
    <n v="17917"/>
    <n v="8"/>
    <n v="325"/>
    <m/>
    <m/>
    <m/>
    <m/>
    <m/>
    <m/>
    <m/>
  </r>
  <r>
    <x v="8"/>
    <x v="249"/>
    <n v="0"/>
    <n v="162"/>
    <m/>
    <n v="3"/>
    <m/>
    <m/>
    <m/>
    <m/>
    <m/>
    <m/>
    <m/>
  </r>
  <r>
    <x v="9"/>
    <x v="249"/>
    <n v="24"/>
    <n v="18013"/>
    <n v="4"/>
    <n v="825"/>
    <m/>
    <m/>
    <m/>
    <m/>
    <m/>
    <m/>
    <m/>
  </r>
  <r>
    <x v="10"/>
    <x v="249"/>
    <n v="106"/>
    <n v="4022"/>
    <m/>
    <n v="36"/>
    <m/>
    <m/>
    <m/>
    <m/>
    <m/>
    <m/>
    <m/>
  </r>
  <r>
    <x v="11"/>
    <x v="249"/>
    <n v="13"/>
    <n v="7794"/>
    <m/>
    <n v="289"/>
    <m/>
    <m/>
    <m/>
    <m/>
    <m/>
    <m/>
    <m/>
  </r>
  <r>
    <x v="12"/>
    <x v="249"/>
    <n v="354"/>
    <n v="50434"/>
    <n v="19"/>
    <n v="908"/>
    <m/>
    <m/>
    <m/>
    <m/>
    <m/>
    <m/>
    <m/>
  </r>
  <r>
    <x v="13"/>
    <x v="249"/>
    <n v="10"/>
    <n v="330"/>
    <m/>
    <n v="6"/>
    <m/>
    <m/>
    <m/>
    <m/>
    <m/>
    <m/>
    <m/>
  </r>
  <r>
    <x v="14"/>
    <x v="249"/>
    <n v="352"/>
    <n v="25100"/>
    <m/>
    <n v="422"/>
    <m/>
    <m/>
    <m/>
    <m/>
    <m/>
    <m/>
    <m/>
  </r>
  <r>
    <x v="15"/>
    <x v="249"/>
    <n v="187"/>
    <n v="26103"/>
    <n v="10"/>
    <n v="662"/>
    <m/>
    <m/>
    <m/>
    <m/>
    <m/>
    <m/>
    <m/>
  </r>
  <r>
    <x v="16"/>
    <x v="249"/>
    <n v="112"/>
    <n v="19510"/>
    <n v="13"/>
    <n v="851"/>
    <m/>
    <m/>
    <m/>
    <m/>
    <m/>
    <m/>
    <m/>
  </r>
  <r>
    <x v="17"/>
    <x v="249"/>
    <n v="138"/>
    <n v="3536"/>
    <m/>
    <n v="102"/>
    <m/>
    <m/>
    <m/>
    <m/>
    <m/>
    <m/>
    <m/>
  </r>
  <r>
    <x v="18"/>
    <x v="249"/>
    <n v="153"/>
    <n v="9017"/>
    <m/>
    <n v="121"/>
    <m/>
    <m/>
    <m/>
    <m/>
    <m/>
    <m/>
    <m/>
  </r>
  <r>
    <x v="19"/>
    <x v="249"/>
    <n v="169"/>
    <n v="10910"/>
    <n v="1"/>
    <n v="164"/>
    <m/>
    <m/>
    <m/>
    <m/>
    <m/>
    <m/>
    <m/>
  </r>
  <r>
    <x v="20"/>
    <x v="249"/>
    <n v="1328"/>
    <n v="117423"/>
    <n v="26"/>
    <n v="1628"/>
    <m/>
    <m/>
    <m/>
    <m/>
    <m/>
    <m/>
    <m/>
  </r>
  <r>
    <x v="21"/>
    <x v="249"/>
    <n v="226"/>
    <n v="11156"/>
    <n v="1"/>
    <n v="142"/>
    <m/>
    <m/>
    <m/>
    <m/>
    <m/>
    <m/>
    <m/>
  </r>
  <r>
    <x v="22"/>
    <x v="249"/>
    <n v="201"/>
    <n v="12958"/>
    <n v="3"/>
    <n v="166"/>
    <m/>
    <m/>
    <m/>
    <m/>
    <m/>
    <m/>
    <m/>
  </r>
  <r>
    <x v="23"/>
    <x v="249"/>
    <n v="364"/>
    <n v="54454"/>
    <n v="10"/>
    <n v="885"/>
    <m/>
    <m/>
    <m/>
    <m/>
    <m/>
    <m/>
    <m/>
  </r>
  <r>
    <x v="0"/>
    <x v="250"/>
    <n v="1309"/>
    <n v="570497"/>
    <n v="72"/>
    <n v="18653"/>
    <m/>
    <m/>
    <m/>
    <m/>
    <m/>
    <m/>
    <m/>
  </r>
  <r>
    <x v="4"/>
    <x v="250"/>
    <n v="245"/>
    <n v="150576"/>
    <n v="15"/>
    <n v="4982"/>
    <m/>
    <m/>
    <m/>
    <m/>
    <m/>
    <m/>
    <m/>
  </r>
  <r>
    <x v="1"/>
    <x v="250"/>
    <n v="15"/>
    <n v="1179"/>
    <m/>
    <n v="2"/>
    <m/>
    <m/>
    <m/>
    <m/>
    <m/>
    <m/>
    <m/>
  </r>
  <r>
    <x v="2"/>
    <x v="250"/>
    <n v="122"/>
    <n v="15038"/>
    <n v="1"/>
    <n v="465"/>
    <m/>
    <m/>
    <m/>
    <m/>
    <m/>
    <m/>
    <m/>
  </r>
  <r>
    <x v="3"/>
    <x v="250"/>
    <n v="119"/>
    <n v="16895"/>
    <m/>
    <n v="276"/>
    <m/>
    <m/>
    <m/>
    <m/>
    <m/>
    <m/>
    <m/>
  </r>
  <r>
    <x v="5"/>
    <x v="250"/>
    <n v="775"/>
    <n v="93579"/>
    <n v="23"/>
    <n v="1476"/>
    <m/>
    <m/>
    <m/>
    <m/>
    <m/>
    <m/>
    <m/>
  </r>
  <r>
    <x v="6"/>
    <x v="250"/>
    <n v="77"/>
    <n v="2910"/>
    <n v="1"/>
    <n v="57"/>
    <m/>
    <m/>
    <m/>
    <m/>
    <m/>
    <m/>
    <m/>
  </r>
  <r>
    <x v="7"/>
    <x v="250"/>
    <n v="187"/>
    <n v="18104"/>
    <n v="3"/>
    <n v="328"/>
    <m/>
    <m/>
    <m/>
    <m/>
    <m/>
    <m/>
    <m/>
  </r>
  <r>
    <x v="8"/>
    <x v="250"/>
    <n v="0"/>
    <n v="162"/>
    <m/>
    <n v="3"/>
    <m/>
    <m/>
    <m/>
    <m/>
    <m/>
    <m/>
    <m/>
  </r>
  <r>
    <x v="9"/>
    <x v="250"/>
    <n v="12"/>
    <n v="18025"/>
    <m/>
    <n v="825"/>
    <m/>
    <m/>
    <m/>
    <m/>
    <m/>
    <m/>
    <m/>
  </r>
  <r>
    <x v="10"/>
    <x v="250"/>
    <n v="99"/>
    <n v="4121"/>
    <n v="5"/>
    <n v="41"/>
    <m/>
    <m/>
    <m/>
    <m/>
    <m/>
    <m/>
    <m/>
  </r>
  <r>
    <x v="11"/>
    <x v="250"/>
    <n v="55"/>
    <n v="7849"/>
    <n v="3"/>
    <n v="292"/>
    <m/>
    <m/>
    <m/>
    <m/>
    <m/>
    <m/>
    <m/>
  </r>
  <r>
    <x v="12"/>
    <x v="250"/>
    <n v="140"/>
    <n v="50574"/>
    <n v="16"/>
    <n v="924"/>
    <m/>
    <m/>
    <m/>
    <m/>
    <m/>
    <m/>
    <m/>
  </r>
  <r>
    <x v="13"/>
    <x v="250"/>
    <n v="3"/>
    <n v="333"/>
    <m/>
    <n v="6"/>
    <m/>
    <m/>
    <m/>
    <m/>
    <m/>
    <m/>
    <m/>
  </r>
  <r>
    <x v="14"/>
    <x v="250"/>
    <n v="154"/>
    <n v="25254"/>
    <m/>
    <n v="422"/>
    <m/>
    <m/>
    <m/>
    <m/>
    <m/>
    <m/>
    <m/>
  </r>
  <r>
    <x v="15"/>
    <x v="250"/>
    <n v="126"/>
    <n v="26229"/>
    <n v="2"/>
    <n v="664"/>
    <m/>
    <m/>
    <m/>
    <m/>
    <m/>
    <m/>
    <m/>
  </r>
  <r>
    <x v="16"/>
    <x v="250"/>
    <n v="36"/>
    <n v="19546"/>
    <n v="30"/>
    <n v="881"/>
    <m/>
    <m/>
    <m/>
    <m/>
    <m/>
    <m/>
    <m/>
  </r>
  <r>
    <x v="17"/>
    <x v="250"/>
    <n v="127"/>
    <n v="3663"/>
    <m/>
    <n v="102"/>
    <m/>
    <m/>
    <m/>
    <m/>
    <m/>
    <m/>
    <m/>
  </r>
  <r>
    <x v="18"/>
    <x v="250"/>
    <n v="54"/>
    <n v="9071"/>
    <n v="1"/>
    <n v="122"/>
    <m/>
    <m/>
    <m/>
    <m/>
    <m/>
    <m/>
    <m/>
  </r>
  <r>
    <x v="19"/>
    <x v="250"/>
    <n v="176"/>
    <n v="11086"/>
    <n v="1"/>
    <n v="165"/>
    <m/>
    <m/>
    <m/>
    <m/>
    <m/>
    <m/>
    <m/>
  </r>
  <r>
    <x v="20"/>
    <x v="250"/>
    <n v="879"/>
    <n v="118302"/>
    <n v="37"/>
    <n v="1665"/>
    <m/>
    <m/>
    <m/>
    <m/>
    <m/>
    <m/>
    <m/>
  </r>
  <r>
    <x v="21"/>
    <x v="250"/>
    <n v="170"/>
    <n v="11326"/>
    <m/>
    <n v="142"/>
    <m/>
    <m/>
    <m/>
    <m/>
    <m/>
    <m/>
    <m/>
  </r>
  <r>
    <x v="22"/>
    <x v="250"/>
    <n v="178"/>
    <n v="13136"/>
    <m/>
    <n v="166"/>
    <m/>
    <m/>
    <m/>
    <m/>
    <m/>
    <m/>
    <m/>
  </r>
  <r>
    <x v="23"/>
    <x v="250"/>
    <n v="273"/>
    <n v="54727"/>
    <n v="1"/>
    <n v="886"/>
    <m/>
    <m/>
    <m/>
    <m/>
    <m/>
    <m/>
    <m/>
  </r>
  <r>
    <x v="0"/>
    <x v="251"/>
    <n v="2391"/>
    <n v="572888"/>
    <n v="114"/>
    <n v="18767"/>
    <m/>
    <m/>
    <m/>
    <m/>
    <m/>
    <m/>
    <m/>
  </r>
  <r>
    <x v="4"/>
    <x v="251"/>
    <n v="401"/>
    <n v="150977"/>
    <n v="14"/>
    <n v="4996"/>
    <m/>
    <m/>
    <m/>
    <m/>
    <m/>
    <m/>
    <m/>
  </r>
  <r>
    <x v="1"/>
    <x v="251"/>
    <n v="45"/>
    <n v="1224"/>
    <m/>
    <n v="2"/>
    <m/>
    <m/>
    <m/>
    <m/>
    <m/>
    <m/>
    <m/>
  </r>
  <r>
    <x v="2"/>
    <x v="251"/>
    <n v="125"/>
    <n v="15163"/>
    <n v="4"/>
    <n v="469"/>
    <m/>
    <m/>
    <m/>
    <m/>
    <m/>
    <m/>
    <m/>
  </r>
  <r>
    <x v="3"/>
    <x v="251"/>
    <n v="288"/>
    <n v="17183"/>
    <n v="1"/>
    <n v="277"/>
    <m/>
    <m/>
    <m/>
    <m/>
    <m/>
    <m/>
    <m/>
  </r>
  <r>
    <x v="5"/>
    <x v="251"/>
    <n v="866"/>
    <n v="94445"/>
    <n v="26"/>
    <n v="1502"/>
    <m/>
    <m/>
    <m/>
    <m/>
    <m/>
    <m/>
    <m/>
  </r>
  <r>
    <x v="6"/>
    <x v="251"/>
    <n v="137"/>
    <n v="3047"/>
    <n v="4"/>
    <n v="61"/>
    <m/>
    <m/>
    <m/>
    <m/>
    <m/>
    <m/>
    <m/>
  </r>
  <r>
    <x v="7"/>
    <x v="251"/>
    <n v="156"/>
    <n v="18260"/>
    <n v="8"/>
    <n v="336"/>
    <m/>
    <m/>
    <m/>
    <m/>
    <m/>
    <m/>
    <m/>
  </r>
  <r>
    <x v="8"/>
    <x v="251"/>
    <n v="-1"/>
    <n v="161"/>
    <m/>
    <n v="3"/>
    <m/>
    <m/>
    <m/>
    <m/>
    <m/>
    <m/>
    <m/>
  </r>
  <r>
    <x v="9"/>
    <x v="251"/>
    <n v="16"/>
    <n v="18041"/>
    <m/>
    <n v="825"/>
    <m/>
    <m/>
    <m/>
    <m/>
    <m/>
    <m/>
    <m/>
  </r>
  <r>
    <x v="10"/>
    <x v="251"/>
    <n v="71"/>
    <n v="4192"/>
    <m/>
    <n v="41"/>
    <m/>
    <m/>
    <m/>
    <m/>
    <m/>
    <m/>
    <m/>
  </r>
  <r>
    <x v="11"/>
    <x v="251"/>
    <n v="21"/>
    <n v="7870"/>
    <m/>
    <n v="292"/>
    <m/>
    <m/>
    <m/>
    <m/>
    <m/>
    <m/>
    <m/>
  </r>
  <r>
    <x v="12"/>
    <x v="251"/>
    <n v="326"/>
    <n v="50900"/>
    <n v="11"/>
    <n v="935"/>
    <m/>
    <m/>
    <m/>
    <m/>
    <m/>
    <m/>
    <m/>
  </r>
  <r>
    <x v="13"/>
    <x v="251"/>
    <n v="7"/>
    <n v="340"/>
    <n v="1"/>
    <n v="7"/>
    <m/>
    <m/>
    <m/>
    <m/>
    <m/>
    <m/>
    <m/>
  </r>
  <r>
    <x v="14"/>
    <x v="251"/>
    <n v="149"/>
    <n v="25403"/>
    <n v="1"/>
    <n v="423"/>
    <m/>
    <m/>
    <m/>
    <m/>
    <m/>
    <m/>
    <m/>
  </r>
  <r>
    <x v="15"/>
    <x v="251"/>
    <n v="356"/>
    <n v="26585"/>
    <n v="7"/>
    <n v="671"/>
    <m/>
    <m/>
    <m/>
    <m/>
    <m/>
    <m/>
    <m/>
  </r>
  <r>
    <x v="16"/>
    <x v="251"/>
    <n v="65"/>
    <n v="19611"/>
    <n v="17"/>
    <n v="898"/>
    <m/>
    <m/>
    <m/>
    <m/>
    <m/>
    <m/>
    <m/>
  </r>
  <r>
    <x v="17"/>
    <x v="251"/>
    <n v="154"/>
    <n v="3817"/>
    <n v="21"/>
    <n v="123"/>
    <m/>
    <m/>
    <m/>
    <m/>
    <m/>
    <m/>
    <m/>
  </r>
  <r>
    <x v="18"/>
    <x v="251"/>
    <n v="298"/>
    <n v="9369"/>
    <n v="10"/>
    <n v="132"/>
    <m/>
    <m/>
    <m/>
    <m/>
    <m/>
    <m/>
    <m/>
  </r>
  <r>
    <x v="19"/>
    <x v="251"/>
    <n v="136"/>
    <n v="11222"/>
    <n v="10"/>
    <n v="175"/>
    <m/>
    <m/>
    <m/>
    <m/>
    <m/>
    <m/>
    <m/>
  </r>
  <r>
    <x v="20"/>
    <x v="251"/>
    <n v="1291"/>
    <n v="119593"/>
    <n v="60"/>
    <n v="1725"/>
    <m/>
    <m/>
    <m/>
    <m/>
    <m/>
    <m/>
    <m/>
  </r>
  <r>
    <x v="21"/>
    <x v="251"/>
    <n v="205"/>
    <n v="11531"/>
    <n v="4"/>
    <n v="146"/>
    <m/>
    <m/>
    <m/>
    <m/>
    <m/>
    <m/>
    <m/>
  </r>
  <r>
    <x v="22"/>
    <x v="251"/>
    <n v="173"/>
    <n v="13309"/>
    <n v="2"/>
    <n v="168"/>
    <m/>
    <m/>
    <m/>
    <m/>
    <m/>
    <m/>
    <m/>
  </r>
  <r>
    <x v="23"/>
    <x v="251"/>
    <n v="641"/>
    <n v="55368"/>
    <n v="33"/>
    <n v="919"/>
    <m/>
    <m/>
    <m/>
    <m/>
    <m/>
    <m/>
    <m/>
  </r>
  <r>
    <x v="0"/>
    <x v="252"/>
    <n v="3428"/>
    <n v="576316"/>
    <n v="81"/>
    <n v="18848"/>
    <m/>
    <m/>
    <m/>
    <m/>
    <m/>
    <m/>
    <m/>
  </r>
  <r>
    <x v="4"/>
    <x v="252"/>
    <n v="560"/>
    <n v="151537"/>
    <n v="16"/>
    <n v="5012"/>
    <m/>
    <m/>
    <m/>
    <m/>
    <m/>
    <m/>
    <m/>
  </r>
  <r>
    <x v="1"/>
    <x v="252"/>
    <n v="27"/>
    <n v="1251"/>
    <m/>
    <n v="2"/>
    <m/>
    <m/>
    <m/>
    <m/>
    <m/>
    <m/>
    <m/>
  </r>
  <r>
    <x v="2"/>
    <x v="252"/>
    <n v="144"/>
    <n v="15307"/>
    <n v="6"/>
    <n v="475"/>
    <m/>
    <m/>
    <m/>
    <m/>
    <m/>
    <m/>
    <m/>
  </r>
  <r>
    <x v="3"/>
    <x v="252"/>
    <n v="511"/>
    <n v="17694"/>
    <n v="13"/>
    <n v="290"/>
    <m/>
    <m/>
    <m/>
    <m/>
    <m/>
    <m/>
    <m/>
  </r>
  <r>
    <x v="5"/>
    <x v="252"/>
    <n v="1622"/>
    <n v="96067"/>
    <n v="27"/>
    <n v="1529"/>
    <m/>
    <m/>
    <m/>
    <m/>
    <m/>
    <m/>
    <m/>
  </r>
  <r>
    <x v="6"/>
    <x v="252"/>
    <n v="62"/>
    <n v="3109"/>
    <n v="2"/>
    <n v="63"/>
    <m/>
    <m/>
    <m/>
    <m/>
    <m/>
    <m/>
    <m/>
  </r>
  <r>
    <x v="7"/>
    <x v="252"/>
    <n v="338"/>
    <n v="18598"/>
    <n v="9"/>
    <n v="345"/>
    <m/>
    <m/>
    <m/>
    <m/>
    <m/>
    <m/>
    <m/>
  </r>
  <r>
    <x v="8"/>
    <x v="252"/>
    <n v="2"/>
    <n v="163"/>
    <m/>
    <n v="3"/>
    <m/>
    <m/>
    <m/>
    <m/>
    <m/>
    <m/>
    <m/>
  </r>
  <r>
    <x v="9"/>
    <x v="252"/>
    <n v="24"/>
    <n v="18065"/>
    <n v="7"/>
    <n v="832"/>
    <m/>
    <m/>
    <m/>
    <m/>
    <m/>
    <m/>
    <m/>
  </r>
  <r>
    <x v="10"/>
    <x v="252"/>
    <n v="96"/>
    <n v="4288"/>
    <n v="1"/>
    <n v="42"/>
    <m/>
    <m/>
    <m/>
    <m/>
    <m/>
    <m/>
    <m/>
  </r>
  <r>
    <x v="11"/>
    <x v="252"/>
    <n v="48"/>
    <n v="7918"/>
    <m/>
    <n v="292"/>
    <m/>
    <m/>
    <m/>
    <m/>
    <m/>
    <m/>
    <m/>
  </r>
  <r>
    <x v="12"/>
    <x v="252"/>
    <n v="520"/>
    <n v="51420"/>
    <n v="16"/>
    <n v="951"/>
    <m/>
    <m/>
    <m/>
    <m/>
    <m/>
    <m/>
    <m/>
  </r>
  <r>
    <x v="13"/>
    <x v="252"/>
    <n v="21"/>
    <n v="361"/>
    <m/>
    <n v="7"/>
    <m/>
    <m/>
    <m/>
    <m/>
    <m/>
    <m/>
    <m/>
  </r>
  <r>
    <x v="14"/>
    <x v="252"/>
    <n v="351"/>
    <n v="25754"/>
    <n v="1"/>
    <n v="424"/>
    <m/>
    <m/>
    <m/>
    <m/>
    <m/>
    <m/>
    <m/>
  </r>
  <r>
    <x v="15"/>
    <x v="252"/>
    <n v="539"/>
    <n v="27124"/>
    <n v="11"/>
    <n v="682"/>
    <m/>
    <m/>
    <m/>
    <m/>
    <m/>
    <m/>
    <m/>
  </r>
  <r>
    <x v="16"/>
    <x v="252"/>
    <n v="89"/>
    <n v="19700"/>
    <n v="5"/>
    <n v="903"/>
    <m/>
    <m/>
    <m/>
    <m/>
    <m/>
    <m/>
    <m/>
  </r>
  <r>
    <x v="17"/>
    <x v="252"/>
    <n v="142"/>
    <n v="3959"/>
    <m/>
    <n v="123"/>
    <m/>
    <m/>
    <m/>
    <m/>
    <m/>
    <m/>
    <m/>
  </r>
  <r>
    <x v="18"/>
    <x v="252"/>
    <n v="452"/>
    <n v="9821"/>
    <n v="2"/>
    <n v="134"/>
    <m/>
    <m/>
    <m/>
    <m/>
    <m/>
    <m/>
    <m/>
  </r>
  <r>
    <x v="19"/>
    <x v="252"/>
    <n v="257"/>
    <n v="11479"/>
    <n v="5"/>
    <n v="180"/>
    <m/>
    <m/>
    <m/>
    <m/>
    <m/>
    <m/>
    <m/>
  </r>
  <r>
    <x v="20"/>
    <x v="252"/>
    <n v="1691"/>
    <n v="121284"/>
    <n v="44"/>
    <n v="1769"/>
    <m/>
    <m/>
    <m/>
    <m/>
    <m/>
    <m/>
    <m/>
  </r>
  <r>
    <x v="21"/>
    <x v="252"/>
    <n v="129"/>
    <n v="11660"/>
    <n v="5"/>
    <n v="151"/>
    <m/>
    <m/>
    <m/>
    <m/>
    <m/>
    <m/>
    <m/>
  </r>
  <r>
    <x v="22"/>
    <x v="252"/>
    <n v="235"/>
    <n v="13544"/>
    <n v="1"/>
    <n v="169"/>
    <m/>
    <m/>
    <m/>
    <m/>
    <m/>
    <m/>
    <m/>
  </r>
  <r>
    <x v="23"/>
    <x v="252"/>
    <n v="689"/>
    <n v="56057"/>
    <n v="27"/>
    <n v="946"/>
    <m/>
    <m/>
    <m/>
    <m/>
    <m/>
    <m/>
    <m/>
  </r>
  <r>
    <x v="0"/>
    <x v="253"/>
    <n v="3040"/>
    <n v="579356"/>
    <n v="128"/>
    <n v="18976"/>
    <m/>
    <m/>
    <m/>
    <m/>
    <m/>
    <m/>
    <m/>
  </r>
  <r>
    <x v="4"/>
    <x v="253"/>
    <n v="549"/>
    <n v="152086"/>
    <n v="10"/>
    <n v="5022"/>
    <m/>
    <m/>
    <m/>
    <m/>
    <m/>
    <m/>
    <m/>
  </r>
  <r>
    <x v="1"/>
    <x v="253"/>
    <n v="51"/>
    <n v="1302"/>
    <m/>
    <n v="2"/>
    <m/>
    <m/>
    <m/>
    <m/>
    <m/>
    <m/>
    <m/>
  </r>
  <r>
    <x v="2"/>
    <x v="253"/>
    <n v="205"/>
    <n v="15512"/>
    <n v="2"/>
    <n v="477"/>
    <m/>
    <m/>
    <m/>
    <m/>
    <m/>
    <m/>
    <m/>
  </r>
  <r>
    <x v="3"/>
    <x v="253"/>
    <n v="354"/>
    <n v="18048"/>
    <n v="7"/>
    <n v="297"/>
    <m/>
    <m/>
    <m/>
    <m/>
    <m/>
    <m/>
    <m/>
  </r>
  <r>
    <x v="5"/>
    <x v="253"/>
    <n v="1361"/>
    <n v="97428"/>
    <n v="28"/>
    <n v="1557"/>
    <m/>
    <m/>
    <m/>
    <m/>
    <m/>
    <m/>
    <m/>
  </r>
  <r>
    <x v="6"/>
    <x v="253"/>
    <n v="135"/>
    <n v="3244"/>
    <m/>
    <n v="63"/>
    <m/>
    <m/>
    <m/>
    <m/>
    <m/>
    <m/>
    <m/>
  </r>
  <r>
    <x v="7"/>
    <x v="253"/>
    <n v="357"/>
    <n v="18955"/>
    <n v="4"/>
    <n v="349"/>
    <m/>
    <m/>
    <m/>
    <m/>
    <m/>
    <m/>
    <m/>
  </r>
  <r>
    <x v="8"/>
    <x v="253"/>
    <n v="2"/>
    <n v="165"/>
    <m/>
    <n v="3"/>
    <m/>
    <m/>
    <m/>
    <m/>
    <m/>
    <m/>
    <m/>
  </r>
  <r>
    <x v="9"/>
    <x v="253"/>
    <n v="10"/>
    <n v="18075"/>
    <m/>
    <n v="832"/>
    <m/>
    <m/>
    <m/>
    <m/>
    <m/>
    <m/>
    <m/>
  </r>
  <r>
    <x v="10"/>
    <x v="253"/>
    <n v="92"/>
    <n v="4380"/>
    <n v="4"/>
    <n v="46"/>
    <m/>
    <m/>
    <m/>
    <m/>
    <m/>
    <m/>
    <m/>
  </r>
  <r>
    <x v="11"/>
    <x v="253"/>
    <n v="41"/>
    <n v="7959"/>
    <m/>
    <n v="292"/>
    <m/>
    <m/>
    <m/>
    <m/>
    <m/>
    <m/>
    <m/>
  </r>
  <r>
    <x v="12"/>
    <x v="253"/>
    <n v="474"/>
    <n v="51894"/>
    <n v="41"/>
    <n v="992"/>
    <m/>
    <m/>
    <m/>
    <m/>
    <m/>
    <m/>
    <m/>
  </r>
  <r>
    <x v="13"/>
    <x v="253"/>
    <n v="-2"/>
    <n v="359"/>
    <m/>
    <n v="7"/>
    <m/>
    <m/>
    <m/>
    <m/>
    <m/>
    <m/>
    <m/>
  </r>
  <r>
    <x v="14"/>
    <x v="253"/>
    <n v="129"/>
    <n v="25883"/>
    <n v="42"/>
    <n v="466"/>
    <m/>
    <m/>
    <m/>
    <m/>
    <m/>
    <m/>
    <m/>
  </r>
  <r>
    <x v="15"/>
    <x v="253"/>
    <n v="207"/>
    <n v="27331"/>
    <n v="6"/>
    <n v="688"/>
    <m/>
    <m/>
    <m/>
    <m/>
    <m/>
    <m/>
    <m/>
  </r>
  <r>
    <x v="16"/>
    <x v="253"/>
    <n v="93"/>
    <n v="19793"/>
    <n v="7"/>
    <n v="910"/>
    <m/>
    <m/>
    <m/>
    <m/>
    <m/>
    <m/>
    <m/>
  </r>
  <r>
    <x v="17"/>
    <x v="253"/>
    <n v="157"/>
    <n v="4116"/>
    <m/>
    <n v="123"/>
    <m/>
    <m/>
    <m/>
    <m/>
    <m/>
    <m/>
    <m/>
  </r>
  <r>
    <x v="18"/>
    <x v="253"/>
    <n v="363"/>
    <n v="10184"/>
    <n v="5"/>
    <n v="139"/>
    <m/>
    <m/>
    <m/>
    <m/>
    <m/>
    <m/>
    <m/>
  </r>
  <r>
    <x v="19"/>
    <x v="253"/>
    <n v="305"/>
    <n v="11784"/>
    <n v="2"/>
    <n v="182"/>
    <m/>
    <m/>
    <m/>
    <m/>
    <m/>
    <m/>
    <m/>
  </r>
  <r>
    <x v="20"/>
    <x v="253"/>
    <n v="1545"/>
    <n v="122829"/>
    <n v="47"/>
    <n v="1816"/>
    <m/>
    <m/>
    <m/>
    <m/>
    <m/>
    <m/>
    <m/>
  </r>
  <r>
    <x v="21"/>
    <x v="253"/>
    <n v="252"/>
    <n v="11912"/>
    <m/>
    <n v="151"/>
    <m/>
    <m/>
    <m/>
    <m/>
    <m/>
    <m/>
    <m/>
  </r>
  <r>
    <x v="22"/>
    <x v="253"/>
    <n v="123"/>
    <n v="13667"/>
    <n v="3"/>
    <n v="172"/>
    <m/>
    <m/>
    <m/>
    <m/>
    <m/>
    <m/>
    <m/>
  </r>
  <r>
    <x v="23"/>
    <x v="253"/>
    <n v="1037"/>
    <n v="57094"/>
    <n v="12"/>
    <n v="958"/>
    <m/>
    <m/>
    <m/>
    <m/>
    <m/>
    <m/>
    <m/>
  </r>
  <r>
    <x v="0"/>
    <x v="254"/>
    <n v="3391"/>
    <n v="582747"/>
    <n v="67"/>
    <n v="19043"/>
    <m/>
    <m/>
    <m/>
    <m/>
    <m/>
    <m/>
    <m/>
  </r>
  <r>
    <x v="4"/>
    <x v="254"/>
    <n v="499"/>
    <n v="152585"/>
    <n v="19"/>
    <n v="5041"/>
    <m/>
    <m/>
    <m/>
    <m/>
    <m/>
    <m/>
    <m/>
  </r>
  <r>
    <x v="1"/>
    <x v="254"/>
    <n v="26"/>
    <n v="1328"/>
    <n v="2"/>
    <n v="4"/>
    <m/>
    <m/>
    <m/>
    <m/>
    <m/>
    <m/>
    <m/>
  </r>
  <r>
    <x v="2"/>
    <x v="254"/>
    <n v="203"/>
    <n v="15715"/>
    <n v="5"/>
    <n v="482"/>
    <m/>
    <m/>
    <m/>
    <m/>
    <m/>
    <m/>
    <m/>
  </r>
  <r>
    <x v="3"/>
    <x v="254"/>
    <n v="342"/>
    <n v="18390"/>
    <n v="13"/>
    <n v="310"/>
    <m/>
    <m/>
    <m/>
    <m/>
    <m/>
    <m/>
    <m/>
  </r>
  <r>
    <x v="5"/>
    <x v="254"/>
    <n v="1432"/>
    <n v="98860"/>
    <n v="26"/>
    <n v="1583"/>
    <m/>
    <m/>
    <m/>
    <m/>
    <m/>
    <m/>
    <m/>
  </r>
  <r>
    <x v="6"/>
    <x v="254"/>
    <n v="171"/>
    <n v="3415"/>
    <n v="2"/>
    <n v="65"/>
    <m/>
    <m/>
    <m/>
    <m/>
    <m/>
    <m/>
    <m/>
  </r>
  <r>
    <x v="7"/>
    <x v="254"/>
    <n v="308"/>
    <n v="19263"/>
    <n v="9"/>
    <n v="358"/>
    <m/>
    <m/>
    <m/>
    <m/>
    <m/>
    <m/>
    <m/>
  </r>
  <r>
    <x v="8"/>
    <x v="254"/>
    <n v="1"/>
    <n v="166"/>
    <m/>
    <n v="3"/>
    <m/>
    <m/>
    <m/>
    <m/>
    <m/>
    <m/>
    <m/>
  </r>
  <r>
    <x v="9"/>
    <x v="254"/>
    <n v="20"/>
    <n v="18095"/>
    <n v="4"/>
    <n v="836"/>
    <m/>
    <m/>
    <m/>
    <m/>
    <m/>
    <m/>
    <m/>
  </r>
  <r>
    <x v="10"/>
    <x v="254"/>
    <n v="86"/>
    <n v="4466"/>
    <n v="2"/>
    <n v="48"/>
    <m/>
    <m/>
    <m/>
    <m/>
    <m/>
    <m/>
    <m/>
  </r>
  <r>
    <x v="11"/>
    <x v="254"/>
    <n v="48"/>
    <n v="8007"/>
    <n v="6"/>
    <n v="298"/>
    <m/>
    <m/>
    <m/>
    <m/>
    <m/>
    <m/>
    <m/>
  </r>
  <r>
    <x v="12"/>
    <x v="254"/>
    <n v="380"/>
    <n v="52274"/>
    <n v="7"/>
    <n v="999"/>
    <m/>
    <m/>
    <m/>
    <m/>
    <m/>
    <m/>
    <m/>
  </r>
  <r>
    <x v="13"/>
    <x v="254"/>
    <n v="0"/>
    <n v="359"/>
    <m/>
    <n v="7"/>
    <m/>
    <m/>
    <m/>
    <m/>
    <m/>
    <m/>
    <m/>
  </r>
  <r>
    <x v="14"/>
    <x v="254"/>
    <n v="355"/>
    <n v="26238"/>
    <n v="17"/>
    <n v="483"/>
    <m/>
    <m/>
    <m/>
    <m/>
    <m/>
    <m/>
    <m/>
  </r>
  <r>
    <x v="15"/>
    <x v="254"/>
    <n v="429"/>
    <n v="27760"/>
    <n v="8"/>
    <n v="696"/>
    <m/>
    <m/>
    <m/>
    <m/>
    <m/>
    <m/>
    <m/>
  </r>
  <r>
    <x v="16"/>
    <x v="254"/>
    <n v="116"/>
    <n v="19909"/>
    <n v="1"/>
    <n v="911"/>
    <m/>
    <m/>
    <m/>
    <m/>
    <m/>
    <m/>
    <m/>
  </r>
  <r>
    <x v="17"/>
    <x v="254"/>
    <n v="118"/>
    <n v="4234"/>
    <m/>
    <n v="123"/>
    <m/>
    <m/>
    <m/>
    <m/>
    <m/>
    <m/>
    <m/>
  </r>
  <r>
    <x v="18"/>
    <x v="254"/>
    <n v="346"/>
    <n v="10530"/>
    <n v="6"/>
    <n v="145"/>
    <m/>
    <m/>
    <m/>
    <m/>
    <m/>
    <m/>
    <m/>
  </r>
  <r>
    <x v="19"/>
    <x v="254"/>
    <n v="260"/>
    <n v="12044"/>
    <n v="3"/>
    <n v="185"/>
    <m/>
    <m/>
    <m/>
    <m/>
    <m/>
    <m/>
    <m/>
  </r>
  <r>
    <x v="20"/>
    <x v="254"/>
    <n v="1597"/>
    <n v="124426"/>
    <n v="33"/>
    <n v="1849"/>
    <m/>
    <m/>
    <m/>
    <m/>
    <m/>
    <m/>
    <m/>
  </r>
  <r>
    <x v="21"/>
    <x v="254"/>
    <n v="188"/>
    <n v="12100"/>
    <n v="1"/>
    <n v="152"/>
    <m/>
    <m/>
    <m/>
    <m/>
    <m/>
    <m/>
    <m/>
  </r>
  <r>
    <x v="22"/>
    <x v="254"/>
    <n v="214"/>
    <n v="13881"/>
    <n v="16"/>
    <n v="188"/>
    <m/>
    <m/>
    <m/>
    <m/>
    <m/>
    <m/>
    <m/>
  </r>
  <r>
    <x v="23"/>
    <x v="254"/>
    <n v="633"/>
    <n v="57727"/>
    <n v="2"/>
    <n v="960"/>
    <m/>
    <m/>
    <m/>
    <m/>
    <m/>
    <m/>
    <m/>
  </r>
  <r>
    <x v="0"/>
    <x v="255"/>
    <n v="2761"/>
    <n v="585508"/>
    <n v="87"/>
    <n v="19130"/>
    <m/>
    <m/>
    <m/>
    <m/>
    <m/>
    <m/>
    <m/>
  </r>
  <r>
    <x v="4"/>
    <x v="255"/>
    <n v="397"/>
    <n v="152982"/>
    <n v="16"/>
    <n v="5057"/>
    <m/>
    <m/>
    <m/>
    <m/>
    <m/>
    <m/>
    <m/>
  </r>
  <r>
    <x v="1"/>
    <x v="255"/>
    <n v="59"/>
    <n v="1387"/>
    <n v="3"/>
    <n v="7"/>
    <m/>
    <m/>
    <m/>
    <m/>
    <m/>
    <m/>
    <m/>
  </r>
  <r>
    <x v="2"/>
    <x v="255"/>
    <n v="258"/>
    <n v="15973"/>
    <n v="2"/>
    <n v="484"/>
    <m/>
    <m/>
    <m/>
    <m/>
    <m/>
    <m/>
    <m/>
  </r>
  <r>
    <x v="3"/>
    <x v="255"/>
    <n v="367"/>
    <n v="18757"/>
    <n v="8"/>
    <n v="318"/>
    <m/>
    <m/>
    <m/>
    <m/>
    <m/>
    <m/>
    <m/>
  </r>
  <r>
    <x v="5"/>
    <x v="255"/>
    <n v="1631"/>
    <n v="100491"/>
    <n v="29"/>
    <n v="1612"/>
    <m/>
    <m/>
    <m/>
    <m/>
    <m/>
    <m/>
    <m/>
  </r>
  <r>
    <x v="6"/>
    <x v="255"/>
    <n v="64"/>
    <n v="3479"/>
    <n v="3"/>
    <n v="68"/>
    <m/>
    <m/>
    <m/>
    <m/>
    <m/>
    <m/>
    <m/>
  </r>
  <r>
    <x v="7"/>
    <x v="255"/>
    <n v="297"/>
    <n v="19560"/>
    <n v="5"/>
    <n v="363"/>
    <m/>
    <m/>
    <m/>
    <m/>
    <m/>
    <m/>
    <m/>
  </r>
  <r>
    <x v="8"/>
    <x v="255"/>
    <n v="1"/>
    <n v="167"/>
    <m/>
    <n v="3"/>
    <m/>
    <m/>
    <m/>
    <m/>
    <m/>
    <m/>
    <m/>
  </r>
  <r>
    <x v="9"/>
    <x v="255"/>
    <n v="30"/>
    <n v="18125"/>
    <n v="1"/>
    <n v="837"/>
    <m/>
    <m/>
    <m/>
    <m/>
    <m/>
    <m/>
    <m/>
  </r>
  <r>
    <x v="10"/>
    <x v="255"/>
    <n v="82"/>
    <n v="4548"/>
    <n v="1"/>
    <n v="49"/>
    <m/>
    <m/>
    <m/>
    <m/>
    <m/>
    <m/>
    <m/>
  </r>
  <r>
    <x v="11"/>
    <x v="255"/>
    <n v="69"/>
    <n v="8076"/>
    <m/>
    <n v="298"/>
    <m/>
    <m/>
    <m/>
    <m/>
    <m/>
    <m/>
    <m/>
  </r>
  <r>
    <x v="12"/>
    <x v="255"/>
    <n v="425"/>
    <n v="52699"/>
    <n v="8"/>
    <n v="1007"/>
    <m/>
    <m/>
    <m/>
    <m/>
    <m/>
    <m/>
    <m/>
  </r>
  <r>
    <x v="13"/>
    <x v="255"/>
    <n v="9"/>
    <n v="368"/>
    <m/>
    <n v="7"/>
    <m/>
    <m/>
    <m/>
    <m/>
    <m/>
    <m/>
    <m/>
  </r>
  <r>
    <x v="14"/>
    <x v="255"/>
    <n v="255"/>
    <n v="26493"/>
    <n v="32"/>
    <n v="515"/>
    <m/>
    <m/>
    <m/>
    <m/>
    <m/>
    <m/>
    <m/>
  </r>
  <r>
    <x v="15"/>
    <x v="255"/>
    <n v="335"/>
    <n v="28095"/>
    <n v="8"/>
    <n v="704"/>
    <m/>
    <m/>
    <m/>
    <m/>
    <m/>
    <m/>
    <m/>
  </r>
  <r>
    <x v="16"/>
    <x v="255"/>
    <n v="157"/>
    <n v="20066"/>
    <n v="3"/>
    <n v="914"/>
    <m/>
    <m/>
    <m/>
    <m/>
    <m/>
    <m/>
    <m/>
  </r>
  <r>
    <x v="17"/>
    <x v="255"/>
    <n v="98"/>
    <n v="4332"/>
    <n v="13"/>
    <n v="136"/>
    <m/>
    <m/>
    <m/>
    <m/>
    <m/>
    <m/>
    <m/>
  </r>
  <r>
    <x v="18"/>
    <x v="255"/>
    <n v="465"/>
    <n v="10995"/>
    <n v="7"/>
    <n v="152"/>
    <m/>
    <m/>
    <m/>
    <m/>
    <m/>
    <m/>
    <m/>
  </r>
  <r>
    <x v="19"/>
    <x v="255"/>
    <n v="265"/>
    <n v="12309"/>
    <n v="1"/>
    <n v="186"/>
    <m/>
    <m/>
    <m/>
    <m/>
    <m/>
    <m/>
    <m/>
  </r>
  <r>
    <x v="20"/>
    <x v="255"/>
    <n v="1683"/>
    <n v="126109"/>
    <n v="8"/>
    <n v="1857"/>
    <m/>
    <m/>
    <m/>
    <m/>
    <m/>
    <m/>
    <m/>
  </r>
  <r>
    <x v="21"/>
    <x v="255"/>
    <n v="504"/>
    <n v="12604"/>
    <n v="3"/>
    <n v="155"/>
    <m/>
    <m/>
    <m/>
    <m/>
    <m/>
    <m/>
    <m/>
  </r>
  <r>
    <x v="22"/>
    <x v="255"/>
    <n v="171"/>
    <n v="14052"/>
    <n v="6"/>
    <n v="194"/>
    <m/>
    <m/>
    <m/>
    <m/>
    <m/>
    <m/>
    <m/>
  </r>
  <r>
    <x v="23"/>
    <x v="255"/>
    <n v="1476"/>
    <n v="59203"/>
    <n v="11"/>
    <n v="971"/>
    <m/>
    <m/>
    <m/>
    <m/>
    <m/>
    <m/>
    <m/>
  </r>
  <r>
    <x v="0"/>
    <x v="256"/>
    <n v="2300"/>
    <n v="587808"/>
    <n v="177"/>
    <n v="19307"/>
    <m/>
    <m/>
    <m/>
    <m/>
    <m/>
    <m/>
    <m/>
  </r>
  <r>
    <x v="4"/>
    <x v="256"/>
    <n v="506"/>
    <n v="153488"/>
    <n v="14"/>
    <n v="5071"/>
    <m/>
    <m/>
    <m/>
    <m/>
    <m/>
    <m/>
    <m/>
  </r>
  <r>
    <x v="1"/>
    <x v="256"/>
    <n v="34"/>
    <n v="1421"/>
    <m/>
    <n v="7"/>
    <m/>
    <m/>
    <m/>
    <m/>
    <m/>
    <m/>
    <m/>
  </r>
  <r>
    <x v="2"/>
    <x v="256"/>
    <n v="215"/>
    <n v="16188"/>
    <n v="2"/>
    <n v="486"/>
    <m/>
    <m/>
    <m/>
    <m/>
    <m/>
    <m/>
    <m/>
  </r>
  <r>
    <x v="3"/>
    <x v="256"/>
    <n v="275"/>
    <n v="19032"/>
    <n v="2"/>
    <n v="320"/>
    <m/>
    <m/>
    <m/>
    <m/>
    <m/>
    <m/>
    <m/>
  </r>
  <r>
    <x v="5"/>
    <x v="256"/>
    <n v="1139"/>
    <n v="101630"/>
    <n v="19"/>
    <n v="1631"/>
    <m/>
    <m/>
    <m/>
    <m/>
    <m/>
    <m/>
    <m/>
  </r>
  <r>
    <x v="6"/>
    <x v="256"/>
    <n v="144"/>
    <n v="3623"/>
    <n v="1"/>
    <n v="69"/>
    <m/>
    <m/>
    <m/>
    <m/>
    <m/>
    <m/>
    <m/>
  </r>
  <r>
    <x v="7"/>
    <x v="256"/>
    <n v="306"/>
    <n v="19866"/>
    <n v="7"/>
    <n v="370"/>
    <m/>
    <m/>
    <m/>
    <m/>
    <m/>
    <m/>
    <m/>
  </r>
  <r>
    <x v="8"/>
    <x v="256"/>
    <n v="1"/>
    <n v="168"/>
    <m/>
    <n v="3"/>
    <m/>
    <m/>
    <m/>
    <m/>
    <m/>
    <m/>
    <m/>
  </r>
  <r>
    <x v="9"/>
    <x v="256"/>
    <n v="22"/>
    <n v="18147"/>
    <n v="1"/>
    <n v="838"/>
    <m/>
    <m/>
    <m/>
    <m/>
    <m/>
    <m/>
    <m/>
  </r>
  <r>
    <x v="10"/>
    <x v="256"/>
    <n v="95"/>
    <n v="4643"/>
    <m/>
    <n v="49"/>
    <m/>
    <m/>
    <m/>
    <m/>
    <m/>
    <m/>
    <m/>
  </r>
  <r>
    <x v="11"/>
    <x v="256"/>
    <n v="80"/>
    <n v="8156"/>
    <m/>
    <n v="298"/>
    <m/>
    <m/>
    <m/>
    <m/>
    <m/>
    <m/>
    <m/>
  </r>
  <r>
    <x v="12"/>
    <x v="256"/>
    <n v="294"/>
    <n v="52993"/>
    <n v="3"/>
    <n v="1010"/>
    <m/>
    <m/>
    <m/>
    <m/>
    <m/>
    <m/>
    <m/>
  </r>
  <r>
    <x v="13"/>
    <x v="256"/>
    <n v="4"/>
    <n v="372"/>
    <m/>
    <n v="7"/>
    <m/>
    <m/>
    <m/>
    <m/>
    <m/>
    <m/>
    <m/>
  </r>
  <r>
    <x v="14"/>
    <x v="256"/>
    <n v="181"/>
    <n v="26674"/>
    <m/>
    <n v="515"/>
    <m/>
    <m/>
    <m/>
    <m/>
    <m/>
    <m/>
    <m/>
  </r>
  <r>
    <x v="15"/>
    <x v="256"/>
    <n v="217"/>
    <n v="28312"/>
    <n v="7"/>
    <n v="711"/>
    <m/>
    <m/>
    <m/>
    <m/>
    <m/>
    <m/>
    <m/>
  </r>
  <r>
    <x v="16"/>
    <x v="256"/>
    <n v="59"/>
    <n v="20125"/>
    <n v="5"/>
    <n v="919"/>
    <m/>
    <m/>
    <m/>
    <m/>
    <m/>
    <m/>
    <m/>
  </r>
  <r>
    <x v="17"/>
    <x v="256"/>
    <n v="88"/>
    <n v="4420"/>
    <m/>
    <n v="136"/>
    <m/>
    <m/>
    <m/>
    <m/>
    <m/>
    <m/>
    <m/>
  </r>
  <r>
    <x v="18"/>
    <x v="256"/>
    <n v="199"/>
    <n v="11194"/>
    <m/>
    <n v="152"/>
    <m/>
    <m/>
    <m/>
    <m/>
    <m/>
    <m/>
    <m/>
  </r>
  <r>
    <x v="19"/>
    <x v="256"/>
    <n v="160"/>
    <n v="12469"/>
    <n v="1"/>
    <n v="187"/>
    <m/>
    <m/>
    <m/>
    <m/>
    <m/>
    <m/>
    <m/>
  </r>
  <r>
    <x v="20"/>
    <x v="256"/>
    <n v="1339"/>
    <n v="127448"/>
    <n v="12"/>
    <n v="1869"/>
    <m/>
    <m/>
    <m/>
    <m/>
    <m/>
    <m/>
    <m/>
  </r>
  <r>
    <x v="21"/>
    <x v="256"/>
    <n v="264"/>
    <n v="12868"/>
    <n v="2"/>
    <n v="157"/>
    <m/>
    <m/>
    <m/>
    <m/>
    <m/>
    <m/>
    <m/>
  </r>
  <r>
    <x v="22"/>
    <x v="256"/>
    <n v="120"/>
    <n v="14172"/>
    <n v="1"/>
    <n v="195"/>
    <m/>
    <m/>
    <m/>
    <m/>
    <m/>
    <m/>
    <m/>
  </r>
  <r>
    <x v="23"/>
    <x v="256"/>
    <n v="426"/>
    <n v="59629"/>
    <n v="8"/>
    <n v="979"/>
    <m/>
    <m/>
    <m/>
    <m/>
    <m/>
    <m/>
    <m/>
  </r>
  <r>
    <x v="0"/>
    <x v="257"/>
    <n v="1446"/>
    <n v="589254"/>
    <n v="69"/>
    <n v="19376"/>
    <m/>
    <m/>
    <m/>
    <m/>
    <m/>
    <m/>
    <m/>
  </r>
  <r>
    <x v="4"/>
    <x v="257"/>
    <n v="297"/>
    <n v="153785"/>
    <n v="5"/>
    <n v="5076"/>
    <m/>
    <m/>
    <m/>
    <m/>
    <m/>
    <m/>
    <m/>
  </r>
  <r>
    <x v="1"/>
    <x v="257"/>
    <n v="45"/>
    <n v="1466"/>
    <m/>
    <n v="7"/>
    <m/>
    <m/>
    <m/>
    <m/>
    <m/>
    <m/>
    <m/>
  </r>
  <r>
    <x v="2"/>
    <x v="257"/>
    <n v="130"/>
    <n v="16318"/>
    <n v="4"/>
    <n v="490"/>
    <m/>
    <m/>
    <m/>
    <m/>
    <m/>
    <m/>
    <m/>
  </r>
  <r>
    <x v="3"/>
    <x v="257"/>
    <n v="159"/>
    <n v="19191"/>
    <n v="2"/>
    <n v="322"/>
    <m/>
    <m/>
    <m/>
    <m/>
    <m/>
    <m/>
    <m/>
  </r>
  <r>
    <x v="5"/>
    <x v="257"/>
    <n v="832"/>
    <n v="102462"/>
    <n v="14"/>
    <n v="1645"/>
    <m/>
    <m/>
    <m/>
    <m/>
    <m/>
    <m/>
    <m/>
  </r>
  <r>
    <x v="6"/>
    <x v="257"/>
    <n v="93"/>
    <n v="3716"/>
    <m/>
    <n v="69"/>
    <m/>
    <m/>
    <m/>
    <m/>
    <m/>
    <m/>
    <m/>
  </r>
  <r>
    <x v="7"/>
    <x v="257"/>
    <n v="180"/>
    <n v="20046"/>
    <n v="3"/>
    <n v="373"/>
    <m/>
    <m/>
    <m/>
    <m/>
    <m/>
    <m/>
    <m/>
  </r>
  <r>
    <x v="8"/>
    <x v="257"/>
    <n v="0"/>
    <n v="168"/>
    <m/>
    <n v="3"/>
    <m/>
    <m/>
    <m/>
    <m/>
    <m/>
    <m/>
    <m/>
  </r>
  <r>
    <x v="9"/>
    <x v="257"/>
    <n v="21"/>
    <n v="18168"/>
    <m/>
    <n v="838"/>
    <m/>
    <m/>
    <m/>
    <m/>
    <m/>
    <m/>
    <m/>
  </r>
  <r>
    <x v="10"/>
    <x v="257"/>
    <n v="65"/>
    <n v="4708"/>
    <m/>
    <n v="49"/>
    <m/>
    <m/>
    <m/>
    <m/>
    <m/>
    <m/>
    <m/>
  </r>
  <r>
    <x v="11"/>
    <x v="257"/>
    <n v="24"/>
    <n v="8180"/>
    <m/>
    <n v="298"/>
    <m/>
    <m/>
    <m/>
    <m/>
    <m/>
    <m/>
    <m/>
  </r>
  <r>
    <x v="12"/>
    <x v="257"/>
    <n v="94"/>
    <n v="53087"/>
    <n v="2"/>
    <n v="1012"/>
    <m/>
    <m/>
    <m/>
    <m/>
    <m/>
    <m/>
    <m/>
  </r>
  <r>
    <x v="13"/>
    <x v="257"/>
    <n v="3"/>
    <n v="375"/>
    <m/>
    <n v="7"/>
    <m/>
    <m/>
    <m/>
    <m/>
    <m/>
    <m/>
    <m/>
  </r>
  <r>
    <x v="14"/>
    <x v="257"/>
    <n v="234"/>
    <n v="26908"/>
    <n v="2"/>
    <n v="517"/>
    <m/>
    <m/>
    <m/>
    <m/>
    <m/>
    <m/>
    <m/>
  </r>
  <r>
    <x v="15"/>
    <x v="257"/>
    <n v="132"/>
    <n v="28444"/>
    <n v="6"/>
    <n v="717"/>
    <m/>
    <m/>
    <m/>
    <m/>
    <m/>
    <m/>
    <m/>
  </r>
  <r>
    <x v="16"/>
    <x v="257"/>
    <n v="67"/>
    <n v="20192"/>
    <m/>
    <n v="919"/>
    <m/>
    <m/>
    <m/>
    <m/>
    <m/>
    <m/>
    <m/>
  </r>
  <r>
    <x v="17"/>
    <x v="257"/>
    <n v="29"/>
    <n v="4449"/>
    <m/>
    <n v="136"/>
    <m/>
    <m/>
    <m/>
    <m/>
    <m/>
    <m/>
    <m/>
  </r>
  <r>
    <x v="18"/>
    <x v="257"/>
    <n v="180"/>
    <n v="11374"/>
    <m/>
    <n v="152"/>
    <m/>
    <m/>
    <m/>
    <m/>
    <m/>
    <m/>
    <m/>
  </r>
  <r>
    <x v="19"/>
    <x v="257"/>
    <n v="186"/>
    <n v="12655"/>
    <n v="4"/>
    <n v="191"/>
    <m/>
    <m/>
    <m/>
    <m/>
    <m/>
    <m/>
    <m/>
  </r>
  <r>
    <x v="20"/>
    <x v="257"/>
    <n v="685"/>
    <n v="128133"/>
    <n v="9"/>
    <n v="1878"/>
    <m/>
    <m/>
    <m/>
    <m/>
    <m/>
    <m/>
    <m/>
  </r>
  <r>
    <x v="21"/>
    <x v="257"/>
    <n v="251"/>
    <n v="13119"/>
    <m/>
    <n v="157"/>
    <m/>
    <m/>
    <m/>
    <m/>
    <m/>
    <m/>
    <m/>
  </r>
  <r>
    <x v="22"/>
    <x v="257"/>
    <n v="89"/>
    <n v="14261"/>
    <n v="1"/>
    <n v="196"/>
    <m/>
    <m/>
    <m/>
    <m/>
    <m/>
    <m/>
    <m/>
  </r>
  <r>
    <x v="23"/>
    <x v="257"/>
    <n v="403"/>
    <n v="60032"/>
    <m/>
    <n v="979"/>
    <m/>
    <m/>
    <m/>
    <m/>
    <m/>
    <m/>
    <m/>
  </r>
  <r>
    <x v="0"/>
    <x v="258"/>
    <n v="2190"/>
    <n v="591444"/>
    <n v="105"/>
    <n v="19481"/>
    <m/>
    <m/>
    <m/>
    <m/>
    <m/>
    <m/>
    <m/>
  </r>
  <r>
    <x v="4"/>
    <x v="258"/>
    <n v="383"/>
    <n v="154168"/>
    <n v="19"/>
    <n v="5095"/>
    <m/>
    <m/>
    <m/>
    <m/>
    <m/>
    <m/>
    <m/>
  </r>
  <r>
    <x v="1"/>
    <x v="258"/>
    <n v="98"/>
    <n v="1564"/>
    <m/>
    <n v="7"/>
    <m/>
    <m/>
    <m/>
    <m/>
    <m/>
    <m/>
    <m/>
  </r>
  <r>
    <x v="2"/>
    <x v="258"/>
    <n v="150"/>
    <n v="16468"/>
    <n v="13"/>
    <n v="503"/>
    <m/>
    <m/>
    <m/>
    <m/>
    <m/>
    <m/>
    <m/>
  </r>
  <r>
    <x v="3"/>
    <x v="258"/>
    <n v="212"/>
    <n v="19403"/>
    <n v="2"/>
    <n v="324"/>
    <m/>
    <m/>
    <m/>
    <m/>
    <m/>
    <m/>
    <m/>
  </r>
  <r>
    <x v="5"/>
    <x v="258"/>
    <n v="701"/>
    <n v="103163"/>
    <n v="27"/>
    <n v="1672"/>
    <m/>
    <m/>
    <m/>
    <m/>
    <m/>
    <m/>
    <m/>
  </r>
  <r>
    <x v="6"/>
    <x v="258"/>
    <n v="122"/>
    <n v="3838"/>
    <m/>
    <n v="69"/>
    <m/>
    <m/>
    <m/>
    <m/>
    <m/>
    <m/>
    <m/>
  </r>
  <r>
    <x v="7"/>
    <x v="258"/>
    <n v="157"/>
    <n v="20203"/>
    <n v="11"/>
    <n v="384"/>
    <m/>
    <m/>
    <m/>
    <m/>
    <m/>
    <m/>
    <m/>
  </r>
  <r>
    <x v="8"/>
    <x v="258"/>
    <n v="2"/>
    <n v="170"/>
    <m/>
    <n v="3"/>
    <m/>
    <m/>
    <m/>
    <m/>
    <m/>
    <m/>
    <m/>
  </r>
  <r>
    <x v="9"/>
    <x v="258"/>
    <n v="24"/>
    <n v="18192"/>
    <m/>
    <n v="838"/>
    <m/>
    <m/>
    <m/>
    <m/>
    <m/>
    <m/>
    <m/>
  </r>
  <r>
    <x v="10"/>
    <x v="258"/>
    <n v="61"/>
    <n v="4769"/>
    <n v="2"/>
    <n v="51"/>
    <m/>
    <m/>
    <m/>
    <m/>
    <m/>
    <m/>
    <m/>
  </r>
  <r>
    <x v="11"/>
    <x v="258"/>
    <n v="45"/>
    <n v="8225"/>
    <n v="1"/>
    <n v="299"/>
    <m/>
    <m/>
    <m/>
    <m/>
    <m/>
    <m/>
    <m/>
  </r>
  <r>
    <x v="12"/>
    <x v="258"/>
    <n v="429"/>
    <n v="53516"/>
    <n v="10"/>
    <n v="1022"/>
    <m/>
    <m/>
    <m/>
    <m/>
    <m/>
    <m/>
    <m/>
  </r>
  <r>
    <x v="13"/>
    <x v="258"/>
    <n v="16"/>
    <n v="391"/>
    <m/>
    <n v="7"/>
    <m/>
    <m/>
    <m/>
    <m/>
    <m/>
    <m/>
    <m/>
  </r>
  <r>
    <x v="14"/>
    <x v="258"/>
    <n v="403"/>
    <n v="27311"/>
    <n v="5"/>
    <n v="522"/>
    <m/>
    <m/>
    <m/>
    <m/>
    <m/>
    <m/>
    <m/>
  </r>
  <r>
    <x v="15"/>
    <x v="258"/>
    <n v="198"/>
    <n v="28642"/>
    <n v="9"/>
    <n v="726"/>
    <m/>
    <m/>
    <m/>
    <m/>
    <m/>
    <m/>
    <m/>
  </r>
  <r>
    <x v="16"/>
    <x v="258"/>
    <n v="43"/>
    <n v="20235"/>
    <n v="5"/>
    <n v="924"/>
    <m/>
    <m/>
    <m/>
    <m/>
    <m/>
    <m/>
    <m/>
  </r>
  <r>
    <x v="17"/>
    <x v="258"/>
    <n v="67"/>
    <n v="4516"/>
    <n v="7"/>
    <n v="143"/>
    <m/>
    <m/>
    <m/>
    <m/>
    <m/>
    <m/>
    <m/>
  </r>
  <r>
    <x v="18"/>
    <x v="258"/>
    <n v="234"/>
    <n v="11608"/>
    <m/>
    <n v="152"/>
    <m/>
    <m/>
    <m/>
    <m/>
    <m/>
    <m/>
    <m/>
  </r>
  <r>
    <x v="19"/>
    <x v="258"/>
    <n v="123"/>
    <n v="12778"/>
    <n v="2"/>
    <n v="193"/>
    <m/>
    <m/>
    <m/>
    <m/>
    <m/>
    <m/>
    <m/>
  </r>
  <r>
    <x v="20"/>
    <x v="258"/>
    <n v="1319"/>
    <n v="129452"/>
    <n v="36"/>
    <n v="1914"/>
    <m/>
    <m/>
    <m/>
    <m/>
    <m/>
    <m/>
    <m/>
  </r>
  <r>
    <x v="21"/>
    <x v="258"/>
    <n v="192"/>
    <n v="13311"/>
    <n v="3"/>
    <n v="160"/>
    <m/>
    <m/>
    <m/>
    <m/>
    <m/>
    <m/>
    <m/>
  </r>
  <r>
    <x v="22"/>
    <x v="258"/>
    <n v="144"/>
    <n v="14405"/>
    <n v="9"/>
    <n v="205"/>
    <m/>
    <m/>
    <m/>
    <m/>
    <m/>
    <m/>
    <m/>
  </r>
  <r>
    <x v="23"/>
    <x v="258"/>
    <n v="580"/>
    <n v="60612"/>
    <n v="26"/>
    <n v="1005"/>
    <m/>
    <m/>
    <m/>
    <m/>
    <m/>
    <m/>
    <m/>
  </r>
  <r>
    <x v="0"/>
    <x v="259"/>
    <n v="2804"/>
    <n v="594248"/>
    <n v="167"/>
    <n v="19648"/>
    <m/>
    <m/>
    <m/>
    <m/>
    <m/>
    <m/>
    <m/>
  </r>
  <r>
    <x v="4"/>
    <x v="259"/>
    <n v="428"/>
    <n v="154596"/>
    <n v="11"/>
    <n v="5106"/>
    <m/>
    <m/>
    <m/>
    <m/>
    <m/>
    <m/>
    <m/>
  </r>
  <r>
    <x v="1"/>
    <x v="259"/>
    <n v="17"/>
    <n v="1581"/>
    <m/>
    <n v="7"/>
    <m/>
    <m/>
    <m/>
    <m/>
    <m/>
    <m/>
    <m/>
  </r>
  <r>
    <x v="2"/>
    <x v="259"/>
    <n v="259"/>
    <n v="16727"/>
    <n v="13"/>
    <n v="516"/>
    <m/>
    <m/>
    <m/>
    <m/>
    <m/>
    <m/>
    <m/>
  </r>
  <r>
    <x v="3"/>
    <x v="259"/>
    <n v="344"/>
    <n v="19747"/>
    <n v="8"/>
    <n v="332"/>
    <m/>
    <m/>
    <m/>
    <m/>
    <m/>
    <m/>
    <m/>
  </r>
  <r>
    <x v="5"/>
    <x v="259"/>
    <n v="1309"/>
    <n v="104472"/>
    <n v="27"/>
    <n v="1699"/>
    <m/>
    <m/>
    <m/>
    <m/>
    <m/>
    <m/>
    <m/>
  </r>
  <r>
    <x v="6"/>
    <x v="259"/>
    <n v="138"/>
    <n v="3976"/>
    <n v="11"/>
    <n v="80"/>
    <m/>
    <m/>
    <m/>
    <m/>
    <m/>
    <m/>
    <m/>
  </r>
  <r>
    <x v="7"/>
    <x v="259"/>
    <n v="348"/>
    <n v="20551"/>
    <n v="8"/>
    <n v="392"/>
    <m/>
    <m/>
    <m/>
    <m/>
    <m/>
    <m/>
    <m/>
  </r>
  <r>
    <x v="8"/>
    <x v="259"/>
    <n v="0"/>
    <n v="170"/>
    <m/>
    <n v="3"/>
    <m/>
    <m/>
    <m/>
    <m/>
    <m/>
    <m/>
    <m/>
  </r>
  <r>
    <x v="9"/>
    <x v="259"/>
    <n v="21"/>
    <n v="18213"/>
    <n v="1"/>
    <n v="839"/>
    <m/>
    <m/>
    <m/>
    <m/>
    <m/>
    <m/>
    <m/>
  </r>
  <r>
    <x v="10"/>
    <x v="259"/>
    <n v="65"/>
    <n v="4834"/>
    <n v="11"/>
    <n v="62"/>
    <m/>
    <m/>
    <m/>
    <m/>
    <m/>
    <m/>
    <m/>
  </r>
  <r>
    <x v="11"/>
    <x v="259"/>
    <n v="18"/>
    <n v="8243"/>
    <n v="1"/>
    <n v="300"/>
    <m/>
    <m/>
    <m/>
    <m/>
    <m/>
    <m/>
    <m/>
  </r>
  <r>
    <x v="12"/>
    <x v="259"/>
    <n v="396"/>
    <n v="53912"/>
    <n v="7"/>
    <n v="1029"/>
    <m/>
    <m/>
    <m/>
    <m/>
    <m/>
    <m/>
    <m/>
  </r>
  <r>
    <x v="13"/>
    <x v="259"/>
    <n v="6"/>
    <n v="397"/>
    <m/>
    <n v="7"/>
    <m/>
    <m/>
    <m/>
    <m/>
    <m/>
    <m/>
    <m/>
  </r>
  <r>
    <x v="14"/>
    <x v="259"/>
    <n v="999"/>
    <n v="28310"/>
    <n v="29"/>
    <n v="551"/>
    <m/>
    <m/>
    <m/>
    <m/>
    <m/>
    <m/>
    <m/>
  </r>
  <r>
    <x v="15"/>
    <x v="259"/>
    <n v="295"/>
    <n v="28937"/>
    <n v="5"/>
    <n v="731"/>
    <m/>
    <m/>
    <m/>
    <m/>
    <m/>
    <m/>
    <m/>
  </r>
  <r>
    <x v="16"/>
    <x v="259"/>
    <n v="92"/>
    <n v="20327"/>
    <n v="4"/>
    <n v="928"/>
    <m/>
    <m/>
    <m/>
    <m/>
    <m/>
    <m/>
    <m/>
  </r>
  <r>
    <x v="17"/>
    <x v="259"/>
    <n v="172"/>
    <n v="4688"/>
    <m/>
    <n v="143"/>
    <m/>
    <m/>
    <m/>
    <m/>
    <m/>
    <m/>
    <m/>
  </r>
  <r>
    <x v="18"/>
    <x v="259"/>
    <n v="233"/>
    <n v="11841"/>
    <n v="5"/>
    <n v="157"/>
    <m/>
    <m/>
    <m/>
    <m/>
    <m/>
    <m/>
    <m/>
  </r>
  <r>
    <x v="19"/>
    <x v="259"/>
    <n v="267"/>
    <n v="13045"/>
    <n v="17"/>
    <n v="210"/>
    <m/>
    <m/>
    <m/>
    <m/>
    <m/>
    <m/>
    <m/>
  </r>
  <r>
    <x v="20"/>
    <x v="259"/>
    <n v="1477"/>
    <n v="130929"/>
    <n v="33"/>
    <n v="1947"/>
    <m/>
    <m/>
    <m/>
    <m/>
    <m/>
    <m/>
    <m/>
  </r>
  <r>
    <x v="21"/>
    <x v="259"/>
    <n v="113"/>
    <n v="13424"/>
    <n v="3"/>
    <n v="163"/>
    <m/>
    <m/>
    <m/>
    <m/>
    <m/>
    <m/>
    <m/>
  </r>
  <r>
    <x v="22"/>
    <x v="259"/>
    <n v="132"/>
    <n v="14537"/>
    <n v="2"/>
    <n v="207"/>
    <m/>
    <m/>
    <m/>
    <m/>
    <m/>
    <m/>
    <m/>
  </r>
  <r>
    <x v="23"/>
    <x v="259"/>
    <n v="688"/>
    <n v="61300"/>
    <n v="15"/>
    <n v="1020"/>
    <m/>
    <m/>
    <m/>
    <m/>
    <m/>
    <m/>
    <m/>
  </r>
  <r>
    <x v="0"/>
    <x v="260"/>
    <n v="2826"/>
    <n v="597074"/>
    <n v="68"/>
    <n v="19716"/>
    <m/>
    <m/>
    <m/>
    <m/>
    <m/>
    <m/>
    <m/>
  </r>
  <r>
    <x v="4"/>
    <x v="260"/>
    <n v="384"/>
    <n v="154980"/>
    <n v="21"/>
    <n v="5127"/>
    <m/>
    <m/>
    <m/>
    <m/>
    <m/>
    <m/>
    <m/>
  </r>
  <r>
    <x v="1"/>
    <x v="260"/>
    <n v="23"/>
    <n v="1604"/>
    <n v="1"/>
    <n v="8"/>
    <m/>
    <m/>
    <m/>
    <m/>
    <m/>
    <m/>
    <m/>
  </r>
  <r>
    <x v="2"/>
    <x v="260"/>
    <n v="230"/>
    <n v="16957"/>
    <n v="3"/>
    <n v="519"/>
    <m/>
    <m/>
    <m/>
    <m/>
    <m/>
    <m/>
    <m/>
  </r>
  <r>
    <x v="3"/>
    <x v="260"/>
    <n v="366"/>
    <n v="20113"/>
    <n v="7"/>
    <n v="339"/>
    <m/>
    <m/>
    <m/>
    <m/>
    <m/>
    <m/>
    <m/>
  </r>
  <r>
    <x v="5"/>
    <x v="260"/>
    <n v="1381"/>
    <n v="105853"/>
    <n v="31"/>
    <n v="1730"/>
    <m/>
    <m/>
    <m/>
    <m/>
    <m/>
    <m/>
    <m/>
  </r>
  <r>
    <x v="6"/>
    <x v="260"/>
    <n v="272"/>
    <n v="4248"/>
    <n v="6"/>
    <n v="86"/>
    <m/>
    <m/>
    <m/>
    <m/>
    <m/>
    <m/>
    <m/>
  </r>
  <r>
    <x v="7"/>
    <x v="260"/>
    <n v="374"/>
    <n v="20925"/>
    <n v="4"/>
    <n v="396"/>
    <m/>
    <m/>
    <m/>
    <m/>
    <m/>
    <m/>
    <m/>
  </r>
  <r>
    <x v="8"/>
    <x v="260"/>
    <n v="3"/>
    <n v="173"/>
    <m/>
    <n v="3"/>
    <m/>
    <m/>
    <m/>
    <m/>
    <m/>
    <m/>
    <m/>
  </r>
  <r>
    <x v="9"/>
    <x v="260"/>
    <n v="27"/>
    <n v="18240"/>
    <n v="1"/>
    <n v="840"/>
    <m/>
    <m/>
    <m/>
    <m/>
    <m/>
    <m/>
    <m/>
  </r>
  <r>
    <x v="10"/>
    <x v="260"/>
    <n v="75"/>
    <n v="4909"/>
    <n v="2"/>
    <n v="64"/>
    <m/>
    <m/>
    <m/>
    <m/>
    <m/>
    <m/>
    <m/>
  </r>
  <r>
    <x v="11"/>
    <x v="260"/>
    <n v="51"/>
    <n v="8294"/>
    <n v="1"/>
    <n v="301"/>
    <m/>
    <m/>
    <m/>
    <m/>
    <m/>
    <m/>
    <m/>
  </r>
  <r>
    <x v="12"/>
    <x v="260"/>
    <n v="339"/>
    <n v="54251"/>
    <n v="24"/>
    <n v="1053"/>
    <m/>
    <m/>
    <m/>
    <m/>
    <m/>
    <m/>
    <m/>
  </r>
  <r>
    <x v="13"/>
    <x v="260"/>
    <n v="10"/>
    <n v="407"/>
    <m/>
    <n v="7"/>
    <m/>
    <m/>
    <m/>
    <m/>
    <m/>
    <m/>
    <m/>
  </r>
  <r>
    <x v="14"/>
    <x v="260"/>
    <n v="348"/>
    <n v="28658"/>
    <n v="13"/>
    <n v="564"/>
    <m/>
    <m/>
    <m/>
    <m/>
    <m/>
    <m/>
    <m/>
  </r>
  <r>
    <x v="15"/>
    <x v="260"/>
    <n v="299"/>
    <n v="29236"/>
    <n v="8"/>
    <n v="739"/>
    <m/>
    <m/>
    <m/>
    <m/>
    <m/>
    <m/>
    <m/>
  </r>
  <r>
    <x v="16"/>
    <x v="260"/>
    <n v="112"/>
    <n v="20439"/>
    <n v="9"/>
    <n v="937"/>
    <m/>
    <m/>
    <m/>
    <m/>
    <m/>
    <m/>
    <m/>
  </r>
  <r>
    <x v="17"/>
    <x v="260"/>
    <n v="174"/>
    <n v="4862"/>
    <m/>
    <n v="143"/>
    <m/>
    <m/>
    <m/>
    <m/>
    <m/>
    <m/>
    <m/>
  </r>
  <r>
    <x v="18"/>
    <x v="260"/>
    <n v="219"/>
    <n v="12060"/>
    <n v="6"/>
    <n v="163"/>
    <m/>
    <m/>
    <m/>
    <m/>
    <m/>
    <m/>
    <m/>
  </r>
  <r>
    <x v="19"/>
    <x v="260"/>
    <n v="268"/>
    <n v="13313"/>
    <n v="6"/>
    <n v="216"/>
    <m/>
    <m/>
    <m/>
    <m/>
    <m/>
    <m/>
    <m/>
  </r>
  <r>
    <x v="20"/>
    <x v="260"/>
    <n v="1657"/>
    <n v="132586"/>
    <n v="23"/>
    <n v="1970"/>
    <m/>
    <m/>
    <m/>
    <m/>
    <m/>
    <m/>
    <m/>
  </r>
  <r>
    <x v="21"/>
    <x v="260"/>
    <n v="229"/>
    <n v="13653"/>
    <m/>
    <n v="163"/>
    <m/>
    <m/>
    <m/>
    <m/>
    <m/>
    <m/>
    <m/>
  </r>
  <r>
    <x v="22"/>
    <x v="260"/>
    <n v="132"/>
    <n v="14669"/>
    <n v="4"/>
    <n v="211"/>
    <m/>
    <m/>
    <m/>
    <m/>
    <m/>
    <m/>
    <m/>
  </r>
  <r>
    <x v="23"/>
    <x v="260"/>
    <n v="533"/>
    <n v="61833"/>
    <n v="1"/>
    <n v="1021"/>
    <m/>
    <m/>
    <m/>
    <m/>
    <m/>
    <m/>
    <m/>
  </r>
  <r>
    <x v="0"/>
    <x v="261"/>
    <n v="2743"/>
    <n v="599817"/>
    <n v="47"/>
    <n v="19763"/>
    <m/>
    <m/>
    <m/>
    <m/>
    <m/>
    <m/>
    <m/>
  </r>
  <r>
    <x v="4"/>
    <x v="261"/>
    <n v="479"/>
    <n v="155459"/>
    <n v="4"/>
    <n v="5131"/>
    <m/>
    <m/>
    <m/>
    <m/>
    <m/>
    <m/>
    <m/>
  </r>
  <r>
    <x v="1"/>
    <x v="261"/>
    <n v="30"/>
    <n v="1634"/>
    <m/>
    <n v="8"/>
    <m/>
    <m/>
    <m/>
    <m/>
    <m/>
    <m/>
    <m/>
  </r>
  <r>
    <x v="2"/>
    <x v="261"/>
    <n v="290"/>
    <n v="17247"/>
    <n v="1"/>
    <n v="520"/>
    <m/>
    <m/>
    <m/>
    <m/>
    <m/>
    <m/>
    <m/>
  </r>
  <r>
    <x v="3"/>
    <x v="261"/>
    <n v="324"/>
    <n v="20437"/>
    <n v="12"/>
    <n v="351"/>
    <m/>
    <m/>
    <m/>
    <m/>
    <m/>
    <m/>
    <m/>
  </r>
  <r>
    <x v="5"/>
    <x v="261"/>
    <n v="1051"/>
    <n v="106904"/>
    <n v="16"/>
    <n v="1746"/>
    <m/>
    <m/>
    <m/>
    <m/>
    <m/>
    <m/>
    <m/>
  </r>
  <r>
    <x v="6"/>
    <x v="261"/>
    <n v="261"/>
    <n v="4509"/>
    <m/>
    <n v="86"/>
    <m/>
    <m/>
    <m/>
    <m/>
    <m/>
    <m/>
    <m/>
  </r>
  <r>
    <x v="7"/>
    <x v="261"/>
    <n v="324"/>
    <n v="21249"/>
    <n v="6"/>
    <n v="402"/>
    <m/>
    <m/>
    <m/>
    <m/>
    <m/>
    <m/>
    <m/>
  </r>
  <r>
    <x v="8"/>
    <x v="261"/>
    <n v="1"/>
    <n v="174"/>
    <m/>
    <n v="3"/>
    <m/>
    <m/>
    <m/>
    <m/>
    <m/>
    <m/>
    <m/>
  </r>
  <r>
    <x v="9"/>
    <x v="261"/>
    <n v="12"/>
    <n v="18252"/>
    <m/>
    <n v="840"/>
    <m/>
    <m/>
    <m/>
    <m/>
    <m/>
    <m/>
    <m/>
  </r>
  <r>
    <x v="10"/>
    <x v="261"/>
    <n v="63"/>
    <n v="4972"/>
    <m/>
    <n v="64"/>
    <m/>
    <m/>
    <m/>
    <m/>
    <m/>
    <m/>
    <m/>
  </r>
  <r>
    <x v="11"/>
    <x v="261"/>
    <n v="68"/>
    <n v="8362"/>
    <n v="3"/>
    <n v="304"/>
    <m/>
    <m/>
    <m/>
    <m/>
    <m/>
    <m/>
    <m/>
  </r>
  <r>
    <x v="12"/>
    <x v="261"/>
    <n v="243"/>
    <n v="54494"/>
    <n v="5"/>
    <n v="1058"/>
    <m/>
    <m/>
    <m/>
    <m/>
    <m/>
    <m/>
    <m/>
  </r>
  <r>
    <x v="13"/>
    <x v="261"/>
    <n v="24"/>
    <n v="431"/>
    <m/>
    <n v="7"/>
    <m/>
    <m/>
    <m/>
    <m/>
    <m/>
    <m/>
    <m/>
  </r>
  <r>
    <x v="14"/>
    <x v="261"/>
    <n v="280"/>
    <n v="28938"/>
    <n v="7"/>
    <n v="571"/>
    <m/>
    <m/>
    <m/>
    <m/>
    <m/>
    <m/>
    <m/>
  </r>
  <r>
    <x v="15"/>
    <x v="261"/>
    <n v="309"/>
    <n v="29545"/>
    <n v="10"/>
    <n v="749"/>
    <m/>
    <m/>
    <m/>
    <m/>
    <m/>
    <m/>
    <m/>
  </r>
  <r>
    <x v="16"/>
    <x v="261"/>
    <n v="73"/>
    <n v="20512"/>
    <n v="6"/>
    <n v="943"/>
    <m/>
    <m/>
    <m/>
    <m/>
    <m/>
    <m/>
    <m/>
  </r>
  <r>
    <x v="17"/>
    <x v="261"/>
    <n v="220"/>
    <n v="5082"/>
    <m/>
    <n v="143"/>
    <m/>
    <m/>
    <m/>
    <m/>
    <m/>
    <m/>
    <m/>
  </r>
  <r>
    <x v="18"/>
    <x v="261"/>
    <n v="349"/>
    <n v="12409"/>
    <n v="6"/>
    <n v="169"/>
    <m/>
    <m/>
    <m/>
    <m/>
    <m/>
    <m/>
    <m/>
  </r>
  <r>
    <x v="19"/>
    <x v="261"/>
    <n v="286"/>
    <n v="13599"/>
    <n v="5"/>
    <n v="221"/>
    <m/>
    <m/>
    <m/>
    <m/>
    <m/>
    <m/>
    <m/>
  </r>
  <r>
    <x v="20"/>
    <x v="261"/>
    <n v="1666"/>
    <n v="134252"/>
    <n v="34"/>
    <n v="2004"/>
    <m/>
    <m/>
    <m/>
    <m/>
    <m/>
    <m/>
    <m/>
  </r>
  <r>
    <x v="21"/>
    <x v="261"/>
    <n v="258"/>
    <n v="13911"/>
    <n v="10"/>
    <n v="173"/>
    <m/>
    <m/>
    <m/>
    <m/>
    <m/>
    <m/>
    <m/>
  </r>
  <r>
    <x v="22"/>
    <x v="261"/>
    <n v="169"/>
    <n v="14838"/>
    <n v="4"/>
    <n v="215"/>
    <m/>
    <m/>
    <m/>
    <m/>
    <m/>
    <m/>
    <m/>
  </r>
  <r>
    <x v="23"/>
    <x v="261"/>
    <n v="574"/>
    <n v="62407"/>
    <n v="11"/>
    <n v="1032"/>
    <m/>
    <m/>
    <m/>
    <m/>
    <m/>
    <m/>
    <m/>
  </r>
  <r>
    <x v="0"/>
    <x v="262"/>
    <n v="2305"/>
    <n v="602122"/>
    <n v="132"/>
    <n v="19895"/>
    <m/>
    <m/>
    <m/>
    <m/>
    <m/>
    <m/>
    <m/>
  </r>
  <r>
    <x v="4"/>
    <x v="262"/>
    <n v="410"/>
    <n v="155869"/>
    <n v="23"/>
    <n v="5154"/>
    <m/>
    <m/>
    <m/>
    <m/>
    <m/>
    <m/>
    <m/>
  </r>
  <r>
    <x v="1"/>
    <x v="262"/>
    <n v="12"/>
    <n v="1646"/>
    <m/>
    <n v="8"/>
    <m/>
    <m/>
    <m/>
    <m/>
    <m/>
    <m/>
    <m/>
  </r>
  <r>
    <x v="2"/>
    <x v="262"/>
    <n v="256"/>
    <n v="17503"/>
    <n v="5"/>
    <n v="525"/>
    <m/>
    <m/>
    <m/>
    <m/>
    <m/>
    <m/>
    <m/>
  </r>
  <r>
    <x v="3"/>
    <x v="262"/>
    <n v="343"/>
    <n v="20780"/>
    <n v="5"/>
    <n v="356"/>
    <m/>
    <m/>
    <m/>
    <m/>
    <m/>
    <m/>
    <m/>
  </r>
  <r>
    <x v="5"/>
    <x v="262"/>
    <n v="982"/>
    <n v="107886"/>
    <n v="15"/>
    <n v="1761"/>
    <m/>
    <m/>
    <m/>
    <m/>
    <m/>
    <m/>
    <m/>
  </r>
  <r>
    <x v="6"/>
    <x v="262"/>
    <n v="164"/>
    <n v="4673"/>
    <m/>
    <n v="86"/>
    <m/>
    <m/>
    <m/>
    <m/>
    <m/>
    <m/>
    <m/>
  </r>
  <r>
    <x v="7"/>
    <x v="262"/>
    <n v="253"/>
    <n v="21502"/>
    <n v="9"/>
    <n v="411"/>
    <m/>
    <m/>
    <m/>
    <m/>
    <m/>
    <m/>
    <m/>
  </r>
  <r>
    <x v="8"/>
    <x v="262"/>
    <n v="3"/>
    <n v="177"/>
    <m/>
    <n v="3"/>
    <m/>
    <m/>
    <m/>
    <m/>
    <m/>
    <m/>
    <m/>
  </r>
  <r>
    <x v="9"/>
    <x v="262"/>
    <n v="21"/>
    <n v="18273"/>
    <n v="1"/>
    <n v="841"/>
    <m/>
    <m/>
    <m/>
    <m/>
    <m/>
    <m/>
    <m/>
  </r>
  <r>
    <x v="10"/>
    <x v="262"/>
    <n v="88"/>
    <n v="5060"/>
    <n v="4"/>
    <n v="68"/>
    <m/>
    <m/>
    <m/>
    <m/>
    <m/>
    <m/>
    <m/>
  </r>
  <r>
    <x v="11"/>
    <x v="262"/>
    <n v="58"/>
    <n v="8420"/>
    <m/>
    <n v="304"/>
    <m/>
    <m/>
    <m/>
    <m/>
    <m/>
    <m/>
    <m/>
  </r>
  <r>
    <x v="12"/>
    <x v="262"/>
    <n v="317"/>
    <n v="54811"/>
    <n v="6"/>
    <n v="1064"/>
    <m/>
    <m/>
    <m/>
    <m/>
    <m/>
    <m/>
    <m/>
  </r>
  <r>
    <x v="13"/>
    <x v="262"/>
    <n v="3"/>
    <n v="434"/>
    <m/>
    <n v="7"/>
    <m/>
    <m/>
    <m/>
    <m/>
    <m/>
    <m/>
    <m/>
  </r>
  <r>
    <x v="14"/>
    <x v="262"/>
    <n v="321"/>
    <n v="29259"/>
    <n v="1"/>
    <n v="572"/>
    <m/>
    <m/>
    <m/>
    <m/>
    <m/>
    <m/>
    <m/>
  </r>
  <r>
    <x v="15"/>
    <x v="262"/>
    <n v="201"/>
    <n v="29746"/>
    <n v="1"/>
    <n v="750"/>
    <m/>
    <m/>
    <m/>
    <m/>
    <m/>
    <m/>
    <m/>
  </r>
  <r>
    <x v="16"/>
    <x v="262"/>
    <n v="166"/>
    <n v="20678"/>
    <n v="3"/>
    <n v="946"/>
    <m/>
    <m/>
    <m/>
    <m/>
    <m/>
    <m/>
    <m/>
  </r>
  <r>
    <x v="17"/>
    <x v="262"/>
    <n v="471"/>
    <n v="5553"/>
    <m/>
    <n v="143"/>
    <m/>
    <m/>
    <m/>
    <m/>
    <m/>
    <m/>
    <m/>
  </r>
  <r>
    <x v="18"/>
    <x v="262"/>
    <n v="378"/>
    <n v="12787"/>
    <n v="8"/>
    <n v="177"/>
    <m/>
    <m/>
    <m/>
    <m/>
    <m/>
    <m/>
    <m/>
  </r>
  <r>
    <x v="19"/>
    <x v="262"/>
    <n v="248"/>
    <n v="13847"/>
    <n v="3"/>
    <n v="224"/>
    <m/>
    <m/>
    <m/>
    <m/>
    <m/>
    <m/>
    <m/>
  </r>
  <r>
    <x v="20"/>
    <x v="262"/>
    <n v="1757"/>
    <n v="136009"/>
    <n v="18"/>
    <n v="2022"/>
    <m/>
    <m/>
    <m/>
    <m/>
    <m/>
    <m/>
    <m/>
  </r>
  <r>
    <x v="21"/>
    <x v="262"/>
    <n v="252"/>
    <n v="14163"/>
    <m/>
    <n v="173"/>
    <m/>
    <m/>
    <m/>
    <m/>
    <m/>
    <m/>
    <m/>
  </r>
  <r>
    <x v="22"/>
    <x v="262"/>
    <n v="127"/>
    <n v="14965"/>
    <n v="2"/>
    <n v="217"/>
    <m/>
    <m/>
    <m/>
    <m/>
    <m/>
    <m/>
    <m/>
  </r>
  <r>
    <x v="23"/>
    <x v="262"/>
    <n v="472"/>
    <n v="62879"/>
    <n v="24"/>
    <n v="1056"/>
    <m/>
    <m/>
    <m/>
    <m/>
    <m/>
    <m/>
    <m/>
  </r>
  <r>
    <x v="0"/>
    <x v="263"/>
    <n v="1894"/>
    <n v="604016"/>
    <n v="41"/>
    <n v="19936"/>
    <m/>
    <m/>
    <m/>
    <m/>
    <m/>
    <m/>
    <m/>
  </r>
  <r>
    <x v="4"/>
    <x v="263"/>
    <n v="350"/>
    <n v="156219"/>
    <n v="4"/>
    <n v="5158"/>
    <m/>
    <m/>
    <m/>
    <m/>
    <m/>
    <m/>
    <m/>
  </r>
  <r>
    <x v="1"/>
    <x v="263"/>
    <n v="25"/>
    <n v="1671"/>
    <n v="5"/>
    <n v="13"/>
    <m/>
    <m/>
    <m/>
    <m/>
    <m/>
    <m/>
    <m/>
  </r>
  <r>
    <x v="2"/>
    <x v="263"/>
    <n v="156"/>
    <n v="17659"/>
    <m/>
    <n v="525"/>
    <m/>
    <m/>
    <m/>
    <m/>
    <m/>
    <m/>
    <m/>
  </r>
  <r>
    <x v="3"/>
    <x v="263"/>
    <n v="241"/>
    <n v="21021"/>
    <n v="1"/>
    <n v="357"/>
    <m/>
    <m/>
    <m/>
    <m/>
    <m/>
    <m/>
    <m/>
  </r>
  <r>
    <x v="5"/>
    <x v="263"/>
    <n v="888"/>
    <n v="108774"/>
    <n v="10"/>
    <n v="1771"/>
    <m/>
    <m/>
    <m/>
    <m/>
    <m/>
    <m/>
    <m/>
  </r>
  <r>
    <x v="6"/>
    <x v="263"/>
    <n v="96"/>
    <n v="4769"/>
    <m/>
    <n v="86"/>
    <m/>
    <m/>
    <m/>
    <m/>
    <m/>
    <m/>
    <m/>
  </r>
  <r>
    <x v="7"/>
    <x v="263"/>
    <n v="216"/>
    <n v="21718"/>
    <n v="5"/>
    <n v="416"/>
    <m/>
    <m/>
    <m/>
    <m/>
    <m/>
    <m/>
    <m/>
  </r>
  <r>
    <x v="8"/>
    <x v="263"/>
    <n v="2"/>
    <n v="179"/>
    <m/>
    <n v="3"/>
    <m/>
    <m/>
    <m/>
    <m/>
    <m/>
    <m/>
    <m/>
  </r>
  <r>
    <x v="9"/>
    <x v="263"/>
    <n v="12"/>
    <n v="18285"/>
    <n v="1"/>
    <n v="842"/>
    <m/>
    <m/>
    <m/>
    <m/>
    <m/>
    <m/>
    <m/>
  </r>
  <r>
    <x v="10"/>
    <x v="263"/>
    <n v="57"/>
    <n v="5117"/>
    <n v="2"/>
    <n v="70"/>
    <m/>
    <m/>
    <m/>
    <m/>
    <m/>
    <m/>
    <m/>
  </r>
  <r>
    <x v="11"/>
    <x v="263"/>
    <n v="63"/>
    <n v="8483"/>
    <n v="5"/>
    <n v="309"/>
    <m/>
    <m/>
    <m/>
    <m/>
    <m/>
    <m/>
    <m/>
  </r>
  <r>
    <x v="12"/>
    <x v="263"/>
    <n v="226"/>
    <n v="55037"/>
    <n v="2"/>
    <n v="1066"/>
    <m/>
    <m/>
    <m/>
    <m/>
    <m/>
    <m/>
    <m/>
  </r>
  <r>
    <x v="13"/>
    <x v="263"/>
    <n v="1"/>
    <n v="435"/>
    <n v="1"/>
    <n v="8"/>
    <m/>
    <m/>
    <m/>
    <m/>
    <m/>
    <m/>
    <m/>
  </r>
  <r>
    <x v="14"/>
    <x v="263"/>
    <n v="235"/>
    <n v="29494"/>
    <m/>
    <n v="572"/>
    <m/>
    <m/>
    <m/>
    <m/>
    <m/>
    <m/>
    <m/>
  </r>
  <r>
    <x v="15"/>
    <x v="263"/>
    <n v="169"/>
    <n v="29915"/>
    <n v="1"/>
    <n v="751"/>
    <m/>
    <m/>
    <m/>
    <m/>
    <m/>
    <m/>
    <m/>
  </r>
  <r>
    <x v="16"/>
    <x v="263"/>
    <n v="48"/>
    <n v="20726"/>
    <n v="1"/>
    <n v="947"/>
    <m/>
    <m/>
    <m/>
    <m/>
    <m/>
    <m/>
    <m/>
  </r>
  <r>
    <x v="17"/>
    <x v="263"/>
    <n v="115"/>
    <n v="5668"/>
    <m/>
    <n v="143"/>
    <m/>
    <m/>
    <m/>
    <m/>
    <m/>
    <m/>
    <m/>
  </r>
  <r>
    <x v="18"/>
    <x v="263"/>
    <n v="250"/>
    <n v="13037"/>
    <n v="1"/>
    <n v="178"/>
    <m/>
    <m/>
    <m/>
    <m/>
    <m/>
    <m/>
    <m/>
  </r>
  <r>
    <x v="19"/>
    <x v="263"/>
    <n v="163"/>
    <n v="14010"/>
    <n v="7"/>
    <n v="231"/>
    <m/>
    <m/>
    <m/>
    <m/>
    <m/>
    <m/>
    <m/>
  </r>
  <r>
    <x v="20"/>
    <x v="263"/>
    <n v="1254"/>
    <n v="137263"/>
    <n v="21"/>
    <n v="2043"/>
    <m/>
    <m/>
    <m/>
    <m/>
    <m/>
    <m/>
    <m/>
  </r>
  <r>
    <x v="21"/>
    <x v="263"/>
    <n v="201"/>
    <n v="14364"/>
    <m/>
    <n v="173"/>
    <m/>
    <m/>
    <m/>
    <m/>
    <m/>
    <m/>
    <m/>
  </r>
  <r>
    <x v="22"/>
    <x v="263"/>
    <n v="221"/>
    <n v="15186"/>
    <n v="2"/>
    <n v="219"/>
    <m/>
    <m/>
    <m/>
    <m/>
    <m/>
    <m/>
    <m/>
  </r>
  <r>
    <x v="23"/>
    <x v="263"/>
    <n v="257"/>
    <n v="63136"/>
    <n v="2"/>
    <n v="1058"/>
    <m/>
    <m/>
    <m/>
    <m/>
    <m/>
    <m/>
    <m/>
  </r>
  <r>
    <x v="0"/>
    <x v="264"/>
    <n v="998"/>
    <n v="605014"/>
    <n v="33"/>
    <n v="19969"/>
    <m/>
    <m/>
    <m/>
    <m/>
    <m/>
    <m/>
    <m/>
  </r>
  <r>
    <x v="4"/>
    <x v="264"/>
    <n v="195"/>
    <n v="156414"/>
    <n v="4"/>
    <n v="5162"/>
    <m/>
    <m/>
    <m/>
    <m/>
    <m/>
    <m/>
    <m/>
  </r>
  <r>
    <x v="1"/>
    <x v="264"/>
    <n v="37"/>
    <n v="1708"/>
    <m/>
    <n v="13"/>
    <m/>
    <m/>
    <m/>
    <m/>
    <m/>
    <m/>
    <m/>
  </r>
  <r>
    <x v="2"/>
    <x v="264"/>
    <n v="119"/>
    <n v="17778"/>
    <n v="2"/>
    <n v="527"/>
    <m/>
    <m/>
    <m/>
    <m/>
    <m/>
    <m/>
    <m/>
  </r>
  <r>
    <x v="3"/>
    <x v="264"/>
    <n v="146"/>
    <n v="21167"/>
    <m/>
    <n v="357"/>
    <m/>
    <m/>
    <m/>
    <m/>
    <m/>
    <m/>
    <m/>
  </r>
  <r>
    <x v="5"/>
    <x v="264"/>
    <n v="452"/>
    <n v="109226"/>
    <n v="5"/>
    <n v="1776"/>
    <m/>
    <m/>
    <m/>
    <m/>
    <m/>
    <m/>
    <m/>
  </r>
  <r>
    <x v="6"/>
    <x v="264"/>
    <n v="27"/>
    <n v="4796"/>
    <m/>
    <n v="86"/>
    <m/>
    <m/>
    <m/>
    <m/>
    <m/>
    <m/>
    <m/>
  </r>
  <r>
    <x v="7"/>
    <x v="264"/>
    <n v="159"/>
    <n v="21877"/>
    <n v="2"/>
    <n v="418"/>
    <m/>
    <m/>
    <m/>
    <m/>
    <m/>
    <m/>
    <m/>
  </r>
  <r>
    <x v="8"/>
    <x v="264"/>
    <n v="1"/>
    <n v="180"/>
    <m/>
    <n v="3"/>
    <m/>
    <m/>
    <m/>
    <m/>
    <m/>
    <m/>
    <m/>
  </r>
  <r>
    <x v="9"/>
    <x v="264"/>
    <n v="9"/>
    <n v="18294"/>
    <m/>
    <n v="842"/>
    <m/>
    <m/>
    <m/>
    <m/>
    <m/>
    <m/>
    <m/>
  </r>
  <r>
    <x v="10"/>
    <x v="264"/>
    <n v="82"/>
    <n v="5199"/>
    <m/>
    <n v="70"/>
    <m/>
    <m/>
    <m/>
    <m/>
    <m/>
    <m/>
    <m/>
  </r>
  <r>
    <x v="11"/>
    <x v="264"/>
    <n v="28"/>
    <n v="8511"/>
    <n v="1"/>
    <n v="310"/>
    <m/>
    <m/>
    <m/>
    <m/>
    <m/>
    <m/>
    <m/>
  </r>
  <r>
    <x v="12"/>
    <x v="264"/>
    <n v="152"/>
    <n v="55189"/>
    <n v="2"/>
    <n v="1068"/>
    <m/>
    <m/>
    <m/>
    <m/>
    <m/>
    <m/>
    <m/>
  </r>
  <r>
    <x v="13"/>
    <x v="264"/>
    <n v="1"/>
    <n v="436"/>
    <m/>
    <n v="8"/>
    <m/>
    <m/>
    <m/>
    <m/>
    <m/>
    <m/>
    <m/>
  </r>
  <r>
    <x v="14"/>
    <x v="264"/>
    <n v="169"/>
    <n v="29663"/>
    <n v="17"/>
    <n v="589"/>
    <m/>
    <m/>
    <m/>
    <m/>
    <m/>
    <m/>
    <m/>
  </r>
  <r>
    <x v="15"/>
    <x v="264"/>
    <n v="141"/>
    <n v="30056"/>
    <m/>
    <n v="751"/>
    <m/>
    <m/>
    <m/>
    <m/>
    <m/>
    <m/>
    <m/>
  </r>
  <r>
    <x v="16"/>
    <x v="264"/>
    <n v="28"/>
    <n v="20754"/>
    <n v="1"/>
    <n v="948"/>
    <m/>
    <m/>
    <m/>
    <m/>
    <m/>
    <m/>
    <m/>
  </r>
  <r>
    <x v="17"/>
    <x v="264"/>
    <n v="62"/>
    <n v="5730"/>
    <m/>
    <n v="143"/>
    <m/>
    <m/>
    <m/>
    <m/>
    <m/>
    <m/>
    <m/>
  </r>
  <r>
    <x v="18"/>
    <x v="264"/>
    <n v="126"/>
    <n v="13163"/>
    <n v="1"/>
    <n v="179"/>
    <m/>
    <m/>
    <m/>
    <m/>
    <m/>
    <m/>
    <m/>
  </r>
  <r>
    <x v="19"/>
    <x v="264"/>
    <n v="189"/>
    <n v="14199"/>
    <m/>
    <n v="231"/>
    <m/>
    <m/>
    <m/>
    <m/>
    <m/>
    <m/>
    <m/>
  </r>
  <r>
    <x v="20"/>
    <x v="264"/>
    <n v="634"/>
    <n v="137897"/>
    <n v="31"/>
    <n v="2074"/>
    <m/>
    <m/>
    <m/>
    <m/>
    <m/>
    <m/>
    <m/>
  </r>
  <r>
    <x v="21"/>
    <x v="264"/>
    <n v="194"/>
    <n v="14558"/>
    <m/>
    <n v="173"/>
    <m/>
    <m/>
    <m/>
    <m/>
    <m/>
    <m/>
    <m/>
  </r>
  <r>
    <x v="22"/>
    <x v="264"/>
    <n v="77"/>
    <n v="15263"/>
    <n v="1"/>
    <n v="220"/>
    <m/>
    <m/>
    <m/>
    <m/>
    <m/>
    <m/>
    <m/>
  </r>
  <r>
    <x v="23"/>
    <x v="264"/>
    <n v="158"/>
    <n v="63294"/>
    <m/>
    <n v="1058"/>
    <m/>
    <m/>
    <m/>
    <m/>
    <m/>
    <m/>
    <m/>
  </r>
  <r>
    <x v="0"/>
    <x v="265"/>
    <n v="954"/>
    <n v="605968"/>
    <n v="34"/>
    <n v="20003"/>
    <m/>
    <m/>
    <m/>
    <m/>
    <m/>
    <m/>
    <m/>
  </r>
  <r>
    <x v="4"/>
    <x v="265"/>
    <n v="239"/>
    <n v="156653"/>
    <n v="3"/>
    <n v="5165"/>
    <m/>
    <m/>
    <m/>
    <m/>
    <m/>
    <m/>
    <m/>
  </r>
  <r>
    <x v="1"/>
    <x v="265"/>
    <n v="4"/>
    <n v="1712"/>
    <m/>
    <n v="13"/>
    <m/>
    <m/>
    <m/>
    <m/>
    <m/>
    <m/>
    <m/>
  </r>
  <r>
    <x v="2"/>
    <x v="265"/>
    <n v="127"/>
    <n v="17905"/>
    <n v="1"/>
    <n v="528"/>
    <m/>
    <m/>
    <m/>
    <m/>
    <m/>
    <m/>
    <m/>
  </r>
  <r>
    <x v="3"/>
    <x v="265"/>
    <n v="104"/>
    <n v="21271"/>
    <n v="2"/>
    <n v="359"/>
    <m/>
    <m/>
    <m/>
    <m/>
    <m/>
    <m/>
    <m/>
  </r>
  <r>
    <x v="5"/>
    <x v="265"/>
    <n v="365"/>
    <n v="109591"/>
    <n v="13"/>
    <n v="1789"/>
    <m/>
    <m/>
    <m/>
    <m/>
    <m/>
    <m/>
    <m/>
  </r>
  <r>
    <x v="6"/>
    <x v="265"/>
    <n v="121"/>
    <n v="4917"/>
    <m/>
    <n v="86"/>
    <m/>
    <m/>
    <m/>
    <m/>
    <m/>
    <m/>
    <m/>
  </r>
  <r>
    <x v="7"/>
    <x v="265"/>
    <n v="22"/>
    <n v="21899"/>
    <n v="2"/>
    <n v="420"/>
    <m/>
    <m/>
    <m/>
    <m/>
    <m/>
    <m/>
    <m/>
  </r>
  <r>
    <x v="8"/>
    <x v="265"/>
    <n v="9"/>
    <n v="189"/>
    <m/>
    <n v="3"/>
    <m/>
    <m/>
    <m/>
    <m/>
    <m/>
    <m/>
    <m/>
  </r>
  <r>
    <x v="9"/>
    <x v="265"/>
    <n v="3"/>
    <n v="18297"/>
    <n v="3"/>
    <n v="845"/>
    <m/>
    <m/>
    <m/>
    <m/>
    <m/>
    <m/>
    <m/>
  </r>
  <r>
    <x v="10"/>
    <x v="265"/>
    <n v="38"/>
    <n v="5237"/>
    <n v="2"/>
    <n v="72"/>
    <m/>
    <m/>
    <m/>
    <m/>
    <m/>
    <m/>
    <m/>
  </r>
  <r>
    <x v="11"/>
    <x v="265"/>
    <n v="43"/>
    <n v="8554"/>
    <m/>
    <n v="310"/>
    <m/>
    <m/>
    <m/>
    <m/>
    <m/>
    <m/>
    <m/>
  </r>
  <r>
    <x v="12"/>
    <x v="265"/>
    <n v="113"/>
    <n v="55302"/>
    <n v="5"/>
    <n v="1073"/>
    <m/>
    <m/>
    <m/>
    <m/>
    <m/>
    <m/>
    <m/>
  </r>
  <r>
    <x v="13"/>
    <x v="265"/>
    <n v="12"/>
    <n v="448"/>
    <m/>
    <n v="8"/>
    <m/>
    <m/>
    <m/>
    <m/>
    <m/>
    <m/>
    <m/>
  </r>
  <r>
    <x v="14"/>
    <x v="265"/>
    <n v="356"/>
    <n v="30019"/>
    <n v="2"/>
    <n v="591"/>
    <m/>
    <m/>
    <m/>
    <m/>
    <m/>
    <m/>
    <m/>
  </r>
  <r>
    <x v="15"/>
    <x v="265"/>
    <n v="92"/>
    <n v="30148"/>
    <n v="3"/>
    <n v="754"/>
    <m/>
    <m/>
    <m/>
    <m/>
    <m/>
    <m/>
    <m/>
  </r>
  <r>
    <x v="16"/>
    <x v="265"/>
    <n v="17"/>
    <n v="20771"/>
    <m/>
    <n v="948"/>
    <m/>
    <m/>
    <m/>
    <m/>
    <m/>
    <m/>
    <m/>
  </r>
  <r>
    <x v="17"/>
    <x v="265"/>
    <n v="48"/>
    <n v="5778"/>
    <m/>
    <n v="143"/>
    <m/>
    <m/>
    <m/>
    <m/>
    <m/>
    <m/>
    <m/>
  </r>
  <r>
    <x v="18"/>
    <x v="265"/>
    <n v="46"/>
    <n v="13209"/>
    <n v="2"/>
    <n v="181"/>
    <m/>
    <m/>
    <m/>
    <m/>
    <m/>
    <m/>
    <m/>
  </r>
  <r>
    <x v="19"/>
    <x v="265"/>
    <n v="110"/>
    <n v="14309"/>
    <n v="7"/>
    <n v="238"/>
    <m/>
    <m/>
    <m/>
    <m/>
    <m/>
    <m/>
    <m/>
  </r>
  <r>
    <x v="20"/>
    <x v="265"/>
    <n v="1021"/>
    <n v="138918"/>
    <n v="23"/>
    <n v="2097"/>
    <m/>
    <m/>
    <m/>
    <m/>
    <m/>
    <m/>
    <m/>
  </r>
  <r>
    <x v="21"/>
    <x v="265"/>
    <n v="81"/>
    <n v="14639"/>
    <n v="2"/>
    <n v="175"/>
    <m/>
    <m/>
    <m/>
    <m/>
    <m/>
    <m/>
    <m/>
  </r>
  <r>
    <x v="22"/>
    <x v="265"/>
    <n v="152"/>
    <n v="15415"/>
    <m/>
    <n v="220"/>
    <m/>
    <m/>
    <m/>
    <m/>
    <m/>
    <m/>
    <m/>
  </r>
  <r>
    <x v="23"/>
    <x v="265"/>
    <n v="188"/>
    <n v="63482"/>
    <n v="15"/>
    <n v="1073"/>
    <m/>
    <m/>
    <m/>
    <m/>
    <m/>
    <m/>
    <m/>
  </r>
  <r>
    <x v="0"/>
    <x v="266"/>
    <n v="1929"/>
    <n v="607897"/>
    <n v="152"/>
    <n v="20155"/>
    <m/>
    <m/>
    <m/>
    <m/>
    <m/>
    <m/>
    <m/>
  </r>
  <r>
    <x v="4"/>
    <x v="266"/>
    <n v="250"/>
    <n v="156903"/>
    <n v="12"/>
    <n v="5177"/>
    <m/>
    <m/>
    <m/>
    <m/>
    <m/>
    <m/>
    <m/>
  </r>
  <r>
    <x v="1"/>
    <x v="266"/>
    <n v="13"/>
    <n v="1725"/>
    <m/>
    <n v="13"/>
    <m/>
    <m/>
    <m/>
    <m/>
    <m/>
    <m/>
    <m/>
  </r>
  <r>
    <x v="2"/>
    <x v="266"/>
    <n v="177"/>
    <n v="18082"/>
    <n v="5"/>
    <n v="533"/>
    <m/>
    <m/>
    <m/>
    <m/>
    <m/>
    <m/>
    <m/>
  </r>
  <r>
    <x v="3"/>
    <x v="266"/>
    <n v="227"/>
    <n v="21498"/>
    <n v="2"/>
    <n v="361"/>
    <m/>
    <m/>
    <m/>
    <m/>
    <m/>
    <m/>
    <m/>
  </r>
  <r>
    <x v="5"/>
    <x v="266"/>
    <n v="471"/>
    <n v="110062"/>
    <n v="33"/>
    <n v="1822"/>
    <m/>
    <m/>
    <m/>
    <m/>
    <m/>
    <m/>
    <m/>
  </r>
  <r>
    <x v="6"/>
    <x v="266"/>
    <n v="92"/>
    <n v="5009"/>
    <m/>
    <n v="86"/>
    <m/>
    <m/>
    <m/>
    <m/>
    <m/>
    <m/>
    <m/>
  </r>
  <r>
    <x v="7"/>
    <x v="266"/>
    <n v="177"/>
    <n v="22076"/>
    <n v="14"/>
    <n v="434"/>
    <m/>
    <m/>
    <m/>
    <m/>
    <m/>
    <m/>
    <m/>
  </r>
  <r>
    <x v="8"/>
    <x v="266"/>
    <n v="2"/>
    <n v="191"/>
    <m/>
    <n v="3"/>
    <m/>
    <m/>
    <m/>
    <m/>
    <m/>
    <m/>
    <m/>
  </r>
  <r>
    <x v="9"/>
    <x v="266"/>
    <n v="20"/>
    <n v="18317"/>
    <m/>
    <n v="845"/>
    <m/>
    <m/>
    <m/>
    <m/>
    <m/>
    <m/>
    <m/>
  </r>
  <r>
    <x v="10"/>
    <x v="266"/>
    <n v="61"/>
    <n v="5298"/>
    <n v="1"/>
    <n v="73"/>
    <m/>
    <m/>
    <m/>
    <m/>
    <m/>
    <m/>
    <m/>
  </r>
  <r>
    <x v="11"/>
    <x v="266"/>
    <n v="16"/>
    <n v="8570"/>
    <m/>
    <n v="310"/>
    <m/>
    <m/>
    <m/>
    <m/>
    <m/>
    <m/>
    <m/>
  </r>
  <r>
    <x v="12"/>
    <x v="266"/>
    <n v="198"/>
    <n v="55500"/>
    <n v="3"/>
    <n v="1076"/>
    <m/>
    <m/>
    <m/>
    <m/>
    <m/>
    <m/>
    <m/>
  </r>
  <r>
    <x v="13"/>
    <x v="266"/>
    <n v="10"/>
    <n v="458"/>
    <m/>
    <n v="8"/>
    <m/>
    <m/>
    <m/>
    <m/>
    <m/>
    <m/>
    <m/>
  </r>
  <r>
    <x v="14"/>
    <x v="266"/>
    <n v="485"/>
    <n v="30504"/>
    <m/>
    <n v="591"/>
    <m/>
    <m/>
    <m/>
    <m/>
    <m/>
    <m/>
    <m/>
  </r>
  <r>
    <x v="15"/>
    <x v="266"/>
    <n v="234"/>
    <n v="30382"/>
    <n v="1"/>
    <n v="755"/>
    <m/>
    <m/>
    <m/>
    <m/>
    <m/>
    <m/>
    <m/>
  </r>
  <r>
    <x v="16"/>
    <x v="266"/>
    <n v="97"/>
    <n v="20868"/>
    <n v="10"/>
    <n v="958"/>
    <m/>
    <m/>
    <m/>
    <m/>
    <m/>
    <m/>
    <m/>
  </r>
  <r>
    <x v="17"/>
    <x v="266"/>
    <n v="493"/>
    <n v="6271"/>
    <m/>
    <n v="143"/>
    <m/>
    <m/>
    <m/>
    <m/>
    <m/>
    <m/>
    <m/>
  </r>
  <r>
    <x v="18"/>
    <x v="266"/>
    <n v="178"/>
    <n v="13387"/>
    <n v="7"/>
    <n v="188"/>
    <m/>
    <m/>
    <m/>
    <m/>
    <m/>
    <m/>
    <m/>
  </r>
  <r>
    <x v="19"/>
    <x v="266"/>
    <n v="208"/>
    <n v="14517"/>
    <n v="9"/>
    <n v="247"/>
    <m/>
    <m/>
    <m/>
    <m/>
    <m/>
    <m/>
    <m/>
  </r>
  <r>
    <x v="20"/>
    <x v="266"/>
    <n v="1187"/>
    <n v="140105"/>
    <n v="32"/>
    <n v="2129"/>
    <m/>
    <m/>
    <m/>
    <m/>
    <m/>
    <m/>
    <m/>
  </r>
  <r>
    <x v="21"/>
    <x v="266"/>
    <n v="75"/>
    <n v="14714"/>
    <n v="5"/>
    <n v="180"/>
    <m/>
    <m/>
    <m/>
    <m/>
    <m/>
    <m/>
    <m/>
  </r>
  <r>
    <x v="22"/>
    <x v="266"/>
    <n v="109"/>
    <n v="15524"/>
    <n v="2"/>
    <n v="222"/>
    <m/>
    <m/>
    <m/>
    <m/>
    <m/>
    <m/>
    <m/>
  </r>
  <r>
    <x v="23"/>
    <x v="266"/>
    <n v="455"/>
    <n v="63937"/>
    <n v="23"/>
    <n v="1096"/>
    <m/>
    <m/>
    <m/>
    <m/>
    <m/>
    <m/>
    <m/>
  </r>
  <r>
    <x v="0"/>
    <x v="267"/>
    <n v="2262"/>
    <n v="610159"/>
    <n v="76"/>
    <n v="20231"/>
    <m/>
    <m/>
    <m/>
    <m/>
    <m/>
    <m/>
    <m/>
  </r>
  <r>
    <x v="4"/>
    <x v="267"/>
    <n v="324"/>
    <n v="157227"/>
    <n v="11"/>
    <n v="5188"/>
    <m/>
    <m/>
    <m/>
    <m/>
    <m/>
    <m/>
    <m/>
  </r>
  <r>
    <x v="1"/>
    <x v="267"/>
    <n v="12"/>
    <n v="1737"/>
    <m/>
    <n v="13"/>
    <m/>
    <m/>
    <m/>
    <m/>
    <m/>
    <m/>
    <m/>
  </r>
  <r>
    <x v="2"/>
    <x v="267"/>
    <n v="166"/>
    <n v="18248"/>
    <n v="1"/>
    <n v="534"/>
    <m/>
    <m/>
    <m/>
    <m/>
    <m/>
    <m/>
    <m/>
  </r>
  <r>
    <x v="3"/>
    <x v="267"/>
    <n v="259"/>
    <n v="21757"/>
    <n v="1"/>
    <n v="362"/>
    <m/>
    <m/>
    <m/>
    <m/>
    <m/>
    <m/>
    <m/>
  </r>
  <r>
    <x v="5"/>
    <x v="267"/>
    <n v="881"/>
    <n v="110943"/>
    <n v="36"/>
    <n v="1858"/>
    <m/>
    <m/>
    <m/>
    <m/>
    <m/>
    <m/>
    <m/>
  </r>
  <r>
    <x v="6"/>
    <x v="267"/>
    <n v="125"/>
    <n v="5134"/>
    <m/>
    <n v="86"/>
    <m/>
    <m/>
    <m/>
    <m/>
    <m/>
    <m/>
    <m/>
  </r>
  <r>
    <x v="7"/>
    <x v="267"/>
    <n v="191"/>
    <n v="22267"/>
    <n v="18"/>
    <n v="452"/>
    <m/>
    <m/>
    <m/>
    <m/>
    <m/>
    <m/>
    <m/>
  </r>
  <r>
    <x v="8"/>
    <x v="267"/>
    <n v="-13"/>
    <n v="178"/>
    <m/>
    <n v="3"/>
    <m/>
    <m/>
    <m/>
    <m/>
    <m/>
    <m/>
    <m/>
  </r>
  <r>
    <x v="9"/>
    <x v="267"/>
    <n v="15"/>
    <n v="18332"/>
    <m/>
    <n v="845"/>
    <m/>
    <m/>
    <m/>
    <m/>
    <m/>
    <m/>
    <m/>
  </r>
  <r>
    <x v="10"/>
    <x v="267"/>
    <n v="105"/>
    <n v="5403"/>
    <n v="2"/>
    <n v="75"/>
    <m/>
    <m/>
    <m/>
    <m/>
    <m/>
    <m/>
    <m/>
  </r>
  <r>
    <x v="11"/>
    <x v="267"/>
    <n v="18"/>
    <n v="8588"/>
    <m/>
    <n v="310"/>
    <m/>
    <m/>
    <m/>
    <m/>
    <m/>
    <m/>
    <m/>
  </r>
  <r>
    <x v="12"/>
    <x v="267"/>
    <n v="264"/>
    <n v="55764"/>
    <n v="4"/>
    <n v="1080"/>
    <m/>
    <m/>
    <m/>
    <m/>
    <m/>
    <m/>
    <m/>
  </r>
  <r>
    <x v="13"/>
    <x v="267"/>
    <n v="8"/>
    <n v="466"/>
    <n v="1"/>
    <n v="9"/>
    <m/>
    <m/>
    <m/>
    <m/>
    <m/>
    <m/>
    <m/>
  </r>
  <r>
    <x v="14"/>
    <x v="267"/>
    <n v="394"/>
    <n v="30898"/>
    <n v="20"/>
    <n v="611"/>
    <m/>
    <m/>
    <m/>
    <m/>
    <m/>
    <m/>
    <m/>
  </r>
  <r>
    <x v="15"/>
    <x v="267"/>
    <n v="350"/>
    <n v="30732"/>
    <n v="6"/>
    <n v="761"/>
    <m/>
    <m/>
    <m/>
    <m/>
    <m/>
    <m/>
    <m/>
  </r>
  <r>
    <x v="16"/>
    <x v="267"/>
    <n v="84"/>
    <n v="20952"/>
    <n v="2"/>
    <n v="960"/>
    <m/>
    <m/>
    <m/>
    <m/>
    <m/>
    <m/>
    <m/>
  </r>
  <r>
    <x v="17"/>
    <x v="267"/>
    <n v="451"/>
    <n v="6722"/>
    <n v="28"/>
    <n v="171"/>
    <m/>
    <m/>
    <m/>
    <m/>
    <m/>
    <m/>
    <m/>
  </r>
  <r>
    <x v="18"/>
    <x v="267"/>
    <n v="185"/>
    <n v="13572"/>
    <n v="2"/>
    <n v="190"/>
    <m/>
    <m/>
    <m/>
    <m/>
    <m/>
    <m/>
    <m/>
  </r>
  <r>
    <x v="19"/>
    <x v="267"/>
    <n v="327"/>
    <n v="14844"/>
    <n v="7"/>
    <n v="254"/>
    <m/>
    <m/>
    <m/>
    <m/>
    <m/>
    <m/>
    <m/>
  </r>
  <r>
    <x v="20"/>
    <x v="267"/>
    <n v="1490"/>
    <n v="141595"/>
    <n v="31"/>
    <n v="2160"/>
    <m/>
    <m/>
    <m/>
    <m/>
    <m/>
    <m/>
    <m/>
  </r>
  <r>
    <x v="21"/>
    <x v="267"/>
    <n v="154"/>
    <n v="14868"/>
    <n v="2"/>
    <n v="182"/>
    <m/>
    <m/>
    <m/>
    <m/>
    <m/>
    <m/>
    <m/>
  </r>
  <r>
    <x v="22"/>
    <x v="267"/>
    <n v="177"/>
    <n v="15701"/>
    <n v="4"/>
    <n v="226"/>
    <m/>
    <m/>
    <m/>
    <m/>
    <m/>
    <m/>
    <m/>
  </r>
  <r>
    <x v="23"/>
    <x v="267"/>
    <n v="364"/>
    <n v="64301"/>
    <n v="30"/>
    <n v="1126"/>
    <m/>
    <m/>
    <m/>
    <m/>
    <m/>
    <m/>
    <m/>
  </r>
  <r>
    <x v="0"/>
    <x v="268"/>
    <n v="2589"/>
    <n v="612748"/>
    <n v="64"/>
    <n v="20295"/>
    <m/>
    <m/>
    <m/>
    <m/>
    <m/>
    <m/>
    <m/>
  </r>
  <r>
    <x v="4"/>
    <x v="268"/>
    <n v="344"/>
    <n v="157571"/>
    <n v="13"/>
    <n v="5201"/>
    <m/>
    <m/>
    <m/>
    <m/>
    <m/>
    <m/>
    <m/>
  </r>
  <r>
    <x v="1"/>
    <x v="268"/>
    <n v="42"/>
    <n v="1779"/>
    <n v="2"/>
    <n v="15"/>
    <m/>
    <m/>
    <m/>
    <m/>
    <m/>
    <m/>
    <m/>
  </r>
  <r>
    <x v="2"/>
    <x v="268"/>
    <n v="250"/>
    <n v="18498"/>
    <n v="9"/>
    <n v="543"/>
    <m/>
    <m/>
    <m/>
    <m/>
    <m/>
    <m/>
    <m/>
  </r>
  <r>
    <x v="3"/>
    <x v="268"/>
    <n v="266"/>
    <n v="22023"/>
    <m/>
    <n v="362"/>
    <m/>
    <m/>
    <m/>
    <m/>
    <m/>
    <m/>
    <m/>
  </r>
  <r>
    <x v="5"/>
    <x v="268"/>
    <n v="942"/>
    <n v="111885"/>
    <n v="25"/>
    <n v="1883"/>
    <m/>
    <m/>
    <m/>
    <m/>
    <m/>
    <m/>
    <m/>
  </r>
  <r>
    <x v="6"/>
    <x v="268"/>
    <n v="150"/>
    <n v="5284"/>
    <m/>
    <n v="86"/>
    <m/>
    <m/>
    <m/>
    <m/>
    <m/>
    <m/>
    <m/>
  </r>
  <r>
    <x v="7"/>
    <x v="268"/>
    <n v="288"/>
    <n v="22555"/>
    <n v="9"/>
    <n v="461"/>
    <m/>
    <m/>
    <m/>
    <m/>
    <m/>
    <m/>
    <m/>
  </r>
  <r>
    <x v="8"/>
    <x v="268"/>
    <n v="0"/>
    <n v="178"/>
    <m/>
    <n v="3"/>
    <m/>
    <m/>
    <m/>
    <m/>
    <m/>
    <m/>
    <m/>
  </r>
  <r>
    <x v="9"/>
    <x v="268"/>
    <n v="6"/>
    <n v="18338"/>
    <n v="2"/>
    <n v="847"/>
    <m/>
    <m/>
    <m/>
    <m/>
    <m/>
    <m/>
    <m/>
  </r>
  <r>
    <x v="10"/>
    <x v="268"/>
    <n v="81"/>
    <n v="5484"/>
    <m/>
    <n v="75"/>
    <m/>
    <m/>
    <m/>
    <m/>
    <m/>
    <m/>
    <m/>
  </r>
  <r>
    <x v="11"/>
    <x v="268"/>
    <n v="13"/>
    <n v="8601"/>
    <n v="4"/>
    <n v="314"/>
    <m/>
    <m/>
    <m/>
    <m/>
    <m/>
    <m/>
    <m/>
  </r>
  <r>
    <x v="12"/>
    <x v="268"/>
    <n v="202"/>
    <n v="55966"/>
    <n v="20"/>
    <n v="1100"/>
    <m/>
    <m/>
    <m/>
    <m/>
    <m/>
    <m/>
    <m/>
  </r>
  <r>
    <x v="13"/>
    <x v="268"/>
    <n v="16"/>
    <n v="482"/>
    <m/>
    <n v="9"/>
    <m/>
    <m/>
    <m/>
    <m/>
    <m/>
    <m/>
    <m/>
  </r>
  <r>
    <x v="14"/>
    <x v="268"/>
    <n v="361"/>
    <n v="31259"/>
    <n v="2"/>
    <n v="613"/>
    <m/>
    <m/>
    <m/>
    <m/>
    <m/>
    <m/>
    <m/>
  </r>
  <r>
    <x v="15"/>
    <x v="268"/>
    <n v="336"/>
    <n v="31068"/>
    <n v="5"/>
    <n v="766"/>
    <m/>
    <m/>
    <m/>
    <m/>
    <m/>
    <m/>
    <m/>
  </r>
  <r>
    <x v="16"/>
    <x v="268"/>
    <n v="77"/>
    <n v="21029"/>
    <n v="6"/>
    <n v="966"/>
    <m/>
    <m/>
    <m/>
    <m/>
    <m/>
    <m/>
    <m/>
  </r>
  <r>
    <x v="17"/>
    <x v="268"/>
    <n v="226"/>
    <n v="6948"/>
    <m/>
    <n v="171"/>
    <m/>
    <m/>
    <m/>
    <m/>
    <m/>
    <m/>
    <m/>
  </r>
  <r>
    <x v="18"/>
    <x v="268"/>
    <n v="256"/>
    <n v="13828"/>
    <n v="13"/>
    <n v="203"/>
    <m/>
    <m/>
    <m/>
    <m/>
    <m/>
    <m/>
    <m/>
  </r>
  <r>
    <x v="19"/>
    <x v="268"/>
    <n v="236"/>
    <n v="15080"/>
    <n v="7"/>
    <n v="261"/>
    <m/>
    <m/>
    <m/>
    <m/>
    <m/>
    <m/>
    <m/>
  </r>
  <r>
    <x v="20"/>
    <x v="268"/>
    <n v="1446"/>
    <n v="143041"/>
    <n v="25"/>
    <n v="2185"/>
    <m/>
    <m/>
    <m/>
    <m/>
    <m/>
    <m/>
    <m/>
  </r>
  <r>
    <x v="21"/>
    <x v="268"/>
    <n v="272"/>
    <n v="15140"/>
    <n v="5"/>
    <n v="187"/>
    <m/>
    <m/>
    <m/>
    <m/>
    <m/>
    <m/>
    <m/>
  </r>
  <r>
    <x v="22"/>
    <x v="268"/>
    <n v="153"/>
    <n v="15854"/>
    <n v="3"/>
    <n v="229"/>
    <m/>
    <m/>
    <m/>
    <m/>
    <m/>
    <m/>
    <m/>
  </r>
  <r>
    <x v="23"/>
    <x v="268"/>
    <n v="491"/>
    <n v="64792"/>
    <n v="15"/>
    <n v="1141"/>
    <m/>
    <m/>
    <m/>
    <m/>
    <m/>
    <m/>
    <m/>
  </r>
  <r>
    <x v="0"/>
    <x v="269"/>
    <n v="2124"/>
    <n v="614872"/>
    <n v="138"/>
    <n v="20433"/>
    <m/>
    <m/>
    <m/>
    <m/>
    <m/>
    <m/>
    <m/>
  </r>
  <r>
    <x v="4"/>
    <x v="269"/>
    <n v="414"/>
    <n v="157985"/>
    <n v="7"/>
    <n v="5208"/>
    <m/>
    <m/>
    <m/>
    <m/>
    <m/>
    <m/>
    <m/>
  </r>
  <r>
    <x v="1"/>
    <x v="269"/>
    <n v="3"/>
    <n v="1782"/>
    <m/>
    <n v="15"/>
    <m/>
    <m/>
    <m/>
    <m/>
    <m/>
    <m/>
    <m/>
  </r>
  <r>
    <x v="2"/>
    <x v="269"/>
    <n v="258"/>
    <n v="18756"/>
    <n v="5"/>
    <n v="548"/>
    <m/>
    <m/>
    <m/>
    <m/>
    <m/>
    <m/>
    <m/>
  </r>
  <r>
    <x v="3"/>
    <x v="269"/>
    <n v="264"/>
    <n v="22287"/>
    <n v="9"/>
    <n v="371"/>
    <m/>
    <m/>
    <m/>
    <m/>
    <m/>
    <m/>
    <m/>
  </r>
  <r>
    <x v="5"/>
    <x v="269"/>
    <n v="834"/>
    <n v="112719"/>
    <n v="36"/>
    <n v="1919"/>
    <m/>
    <m/>
    <m/>
    <m/>
    <m/>
    <m/>
    <m/>
  </r>
  <r>
    <x v="6"/>
    <x v="269"/>
    <n v="158"/>
    <n v="5442"/>
    <m/>
    <n v="86"/>
    <m/>
    <m/>
    <m/>
    <m/>
    <m/>
    <m/>
    <m/>
  </r>
  <r>
    <x v="7"/>
    <x v="269"/>
    <n v="298"/>
    <n v="22853"/>
    <n v="3"/>
    <n v="464"/>
    <m/>
    <m/>
    <m/>
    <m/>
    <m/>
    <m/>
    <m/>
  </r>
  <r>
    <x v="8"/>
    <x v="269"/>
    <n v="1"/>
    <n v="179"/>
    <m/>
    <n v="3"/>
    <m/>
    <m/>
    <m/>
    <m/>
    <m/>
    <m/>
    <m/>
  </r>
  <r>
    <x v="9"/>
    <x v="269"/>
    <n v="22"/>
    <n v="18360"/>
    <n v="1"/>
    <n v="848"/>
    <m/>
    <m/>
    <m/>
    <m/>
    <m/>
    <m/>
    <m/>
  </r>
  <r>
    <x v="10"/>
    <x v="269"/>
    <n v="105"/>
    <n v="5589"/>
    <m/>
    <n v="75"/>
    <m/>
    <m/>
    <m/>
    <m/>
    <m/>
    <m/>
    <m/>
  </r>
  <r>
    <x v="11"/>
    <x v="269"/>
    <n v="29"/>
    <n v="8630"/>
    <n v="2"/>
    <n v="316"/>
    <m/>
    <m/>
    <m/>
    <m/>
    <m/>
    <m/>
    <m/>
  </r>
  <r>
    <x v="12"/>
    <x v="269"/>
    <n v="202"/>
    <n v="56168"/>
    <n v="5"/>
    <n v="1105"/>
    <m/>
    <m/>
    <m/>
    <m/>
    <m/>
    <m/>
    <m/>
  </r>
  <r>
    <x v="13"/>
    <x v="269"/>
    <n v="4"/>
    <n v="486"/>
    <m/>
    <n v="9"/>
    <m/>
    <m/>
    <m/>
    <m/>
    <m/>
    <m/>
    <m/>
  </r>
  <r>
    <x v="14"/>
    <x v="269"/>
    <n v="204"/>
    <n v="31463"/>
    <m/>
    <n v="613"/>
    <m/>
    <m/>
    <m/>
    <m/>
    <m/>
    <m/>
    <m/>
  </r>
  <r>
    <x v="15"/>
    <x v="269"/>
    <n v="202"/>
    <n v="31270"/>
    <n v="3"/>
    <n v="769"/>
    <m/>
    <m/>
    <m/>
    <m/>
    <m/>
    <m/>
    <m/>
  </r>
  <r>
    <x v="16"/>
    <x v="269"/>
    <n v="51"/>
    <n v="21080"/>
    <n v="8"/>
    <n v="974"/>
    <m/>
    <m/>
    <m/>
    <m/>
    <m/>
    <m/>
    <m/>
  </r>
  <r>
    <x v="17"/>
    <x v="269"/>
    <n v="234"/>
    <n v="7182"/>
    <m/>
    <n v="171"/>
    <m/>
    <m/>
    <m/>
    <m/>
    <m/>
    <m/>
    <m/>
  </r>
  <r>
    <x v="18"/>
    <x v="269"/>
    <n v="114"/>
    <n v="13942"/>
    <n v="4"/>
    <n v="207"/>
    <m/>
    <m/>
    <m/>
    <m/>
    <m/>
    <m/>
    <m/>
  </r>
  <r>
    <x v="19"/>
    <x v="269"/>
    <n v="293"/>
    <n v="15373"/>
    <n v="6"/>
    <n v="267"/>
    <m/>
    <m/>
    <m/>
    <m/>
    <m/>
    <m/>
    <m/>
  </r>
  <r>
    <x v="20"/>
    <x v="269"/>
    <n v="1390"/>
    <n v="144431"/>
    <n v="22"/>
    <n v="2207"/>
    <m/>
    <m/>
    <m/>
    <m/>
    <m/>
    <m/>
    <m/>
  </r>
  <r>
    <x v="21"/>
    <x v="269"/>
    <n v="158"/>
    <n v="15298"/>
    <n v="1"/>
    <n v="188"/>
    <m/>
    <m/>
    <m/>
    <m/>
    <m/>
    <m/>
    <m/>
  </r>
  <r>
    <x v="22"/>
    <x v="269"/>
    <n v="86"/>
    <n v="15940"/>
    <n v="1"/>
    <n v="230"/>
    <m/>
    <m/>
    <m/>
    <m/>
    <m/>
    <m/>
    <m/>
  </r>
  <r>
    <x v="23"/>
    <x v="269"/>
    <n v="398"/>
    <n v="65190"/>
    <n v="25"/>
    <n v="1166"/>
    <m/>
    <m/>
    <m/>
    <m/>
    <m/>
    <m/>
    <m/>
  </r>
  <r>
    <x v="0"/>
    <x v="270"/>
    <n v="1531"/>
    <n v="616403"/>
    <n v="61"/>
    <n v="20494"/>
    <m/>
    <m/>
    <m/>
    <m/>
    <m/>
    <m/>
    <m/>
  </r>
  <r>
    <x v="4"/>
    <x v="270"/>
    <n v="282"/>
    <n v="158267"/>
    <n v="8"/>
    <n v="5216"/>
    <m/>
    <m/>
    <m/>
    <m/>
    <m/>
    <m/>
    <m/>
  </r>
  <r>
    <x v="1"/>
    <x v="270"/>
    <n v="31"/>
    <n v="1813"/>
    <m/>
    <n v="15"/>
    <m/>
    <m/>
    <m/>
    <m/>
    <m/>
    <m/>
    <m/>
  </r>
  <r>
    <x v="2"/>
    <x v="270"/>
    <n v="202"/>
    <n v="18958"/>
    <n v="5"/>
    <n v="553"/>
    <m/>
    <m/>
    <m/>
    <m/>
    <m/>
    <m/>
    <m/>
  </r>
  <r>
    <x v="3"/>
    <x v="270"/>
    <n v="230"/>
    <n v="22517"/>
    <n v="2"/>
    <n v="373"/>
    <m/>
    <m/>
    <m/>
    <m/>
    <m/>
    <m/>
    <m/>
  </r>
  <r>
    <x v="5"/>
    <x v="270"/>
    <n v="711"/>
    <n v="113430"/>
    <n v="10"/>
    <n v="1929"/>
    <m/>
    <m/>
    <m/>
    <m/>
    <m/>
    <m/>
    <m/>
  </r>
  <r>
    <x v="6"/>
    <x v="270"/>
    <n v="231"/>
    <n v="5673"/>
    <m/>
    <n v="86"/>
    <m/>
    <m/>
    <m/>
    <m/>
    <m/>
    <m/>
    <m/>
  </r>
  <r>
    <x v="7"/>
    <x v="270"/>
    <n v="222"/>
    <n v="23075"/>
    <m/>
    <n v="464"/>
    <m/>
    <m/>
    <m/>
    <m/>
    <m/>
    <m/>
    <m/>
  </r>
  <r>
    <x v="8"/>
    <x v="270"/>
    <n v="3"/>
    <n v="182"/>
    <m/>
    <n v="3"/>
    <m/>
    <m/>
    <m/>
    <m/>
    <m/>
    <m/>
    <m/>
  </r>
  <r>
    <x v="9"/>
    <x v="270"/>
    <n v="8"/>
    <n v="18368"/>
    <m/>
    <n v="848"/>
    <m/>
    <m/>
    <m/>
    <m/>
    <m/>
    <m/>
    <m/>
  </r>
  <r>
    <x v="10"/>
    <x v="270"/>
    <n v="60"/>
    <n v="5649"/>
    <m/>
    <n v="75"/>
    <m/>
    <m/>
    <m/>
    <m/>
    <m/>
    <m/>
    <m/>
  </r>
  <r>
    <x v="11"/>
    <x v="270"/>
    <n v="38"/>
    <n v="8668"/>
    <m/>
    <n v="316"/>
    <m/>
    <m/>
    <m/>
    <m/>
    <m/>
    <m/>
    <m/>
  </r>
  <r>
    <x v="12"/>
    <x v="270"/>
    <n v="180"/>
    <n v="56348"/>
    <n v="1"/>
    <n v="1106"/>
    <m/>
    <m/>
    <m/>
    <m/>
    <m/>
    <m/>
    <m/>
  </r>
  <r>
    <x v="13"/>
    <x v="270"/>
    <n v="7"/>
    <n v="493"/>
    <m/>
    <n v="9"/>
    <m/>
    <m/>
    <m/>
    <m/>
    <m/>
    <m/>
    <m/>
  </r>
  <r>
    <x v="14"/>
    <x v="270"/>
    <n v="255"/>
    <n v="31718"/>
    <n v="1"/>
    <n v="614"/>
    <m/>
    <m/>
    <m/>
    <m/>
    <m/>
    <m/>
    <m/>
  </r>
  <r>
    <x v="15"/>
    <x v="270"/>
    <n v="143"/>
    <n v="31413"/>
    <n v="4"/>
    <n v="773"/>
    <m/>
    <m/>
    <m/>
    <m/>
    <m/>
    <m/>
    <m/>
  </r>
  <r>
    <x v="16"/>
    <x v="270"/>
    <n v="32"/>
    <n v="21112"/>
    <n v="2"/>
    <n v="976"/>
    <m/>
    <m/>
    <m/>
    <m/>
    <m/>
    <m/>
    <m/>
  </r>
  <r>
    <x v="17"/>
    <x v="270"/>
    <n v="72"/>
    <n v="7254"/>
    <m/>
    <n v="171"/>
    <m/>
    <m/>
    <m/>
    <m/>
    <m/>
    <m/>
    <m/>
  </r>
  <r>
    <x v="18"/>
    <x v="270"/>
    <n v="154"/>
    <n v="14096"/>
    <n v="1"/>
    <n v="208"/>
    <m/>
    <m/>
    <m/>
    <m/>
    <m/>
    <m/>
    <m/>
  </r>
  <r>
    <x v="19"/>
    <x v="270"/>
    <n v="188"/>
    <n v="15561"/>
    <n v="1"/>
    <n v="268"/>
    <m/>
    <m/>
    <m/>
    <m/>
    <m/>
    <m/>
    <m/>
  </r>
  <r>
    <x v="20"/>
    <x v="270"/>
    <n v="1070"/>
    <n v="145501"/>
    <n v="10"/>
    <n v="2217"/>
    <m/>
    <m/>
    <m/>
    <m/>
    <m/>
    <m/>
    <m/>
  </r>
  <r>
    <x v="21"/>
    <x v="270"/>
    <n v="141"/>
    <n v="15439"/>
    <m/>
    <n v="188"/>
    <m/>
    <m/>
    <m/>
    <m/>
    <m/>
    <m/>
    <m/>
  </r>
  <r>
    <x v="22"/>
    <x v="270"/>
    <n v="67"/>
    <n v="16007"/>
    <m/>
    <n v="230"/>
    <m/>
    <m/>
    <m/>
    <m/>
    <m/>
    <m/>
    <m/>
  </r>
  <r>
    <x v="23"/>
    <x v="270"/>
    <n v="240"/>
    <n v="65430"/>
    <m/>
    <n v="1166"/>
    <m/>
    <m/>
    <m/>
    <m/>
    <m/>
    <m/>
    <m/>
  </r>
  <r>
    <x v="0"/>
    <x v="271"/>
    <n v="868"/>
    <n v="617271"/>
    <n v="70"/>
    <n v="20564"/>
    <m/>
    <m/>
    <m/>
    <m/>
    <m/>
    <m/>
    <m/>
  </r>
  <r>
    <x v="4"/>
    <x v="271"/>
    <n v="217"/>
    <n v="158484"/>
    <n v="6"/>
    <n v="5222"/>
    <m/>
    <m/>
    <m/>
    <m/>
    <m/>
    <m/>
    <m/>
  </r>
  <r>
    <x v="1"/>
    <x v="271"/>
    <n v="37"/>
    <n v="1850"/>
    <m/>
    <n v="15"/>
    <m/>
    <m/>
    <m/>
    <m/>
    <m/>
    <m/>
    <m/>
  </r>
  <r>
    <x v="2"/>
    <x v="271"/>
    <n v="163"/>
    <n v="19121"/>
    <n v="4"/>
    <n v="557"/>
    <m/>
    <m/>
    <m/>
    <m/>
    <m/>
    <m/>
    <m/>
  </r>
  <r>
    <x v="3"/>
    <x v="271"/>
    <n v="114"/>
    <n v="22631"/>
    <n v="3"/>
    <n v="376"/>
    <m/>
    <m/>
    <m/>
    <m/>
    <m/>
    <m/>
    <m/>
  </r>
  <r>
    <x v="5"/>
    <x v="271"/>
    <n v="427"/>
    <n v="113857"/>
    <n v="21"/>
    <n v="1950"/>
    <m/>
    <m/>
    <m/>
    <m/>
    <m/>
    <m/>
    <m/>
  </r>
  <r>
    <x v="6"/>
    <x v="271"/>
    <n v="1130"/>
    <n v="6803"/>
    <m/>
    <n v="86"/>
    <m/>
    <m/>
    <m/>
    <m/>
    <m/>
    <m/>
    <m/>
  </r>
  <r>
    <x v="7"/>
    <x v="271"/>
    <n v="174"/>
    <n v="23249"/>
    <n v="1"/>
    <n v="465"/>
    <m/>
    <m/>
    <m/>
    <m/>
    <m/>
    <m/>
    <m/>
  </r>
  <r>
    <x v="8"/>
    <x v="271"/>
    <n v="0"/>
    <n v="182"/>
    <m/>
    <n v="3"/>
    <m/>
    <m/>
    <m/>
    <m/>
    <m/>
    <m/>
    <m/>
  </r>
  <r>
    <x v="9"/>
    <x v="271"/>
    <n v="2"/>
    <n v="18370"/>
    <m/>
    <n v="848"/>
    <m/>
    <m/>
    <m/>
    <m/>
    <m/>
    <m/>
    <m/>
  </r>
  <r>
    <x v="10"/>
    <x v="271"/>
    <n v="61"/>
    <n v="5710"/>
    <m/>
    <n v="75"/>
    <m/>
    <m/>
    <m/>
    <m/>
    <m/>
    <m/>
    <m/>
  </r>
  <r>
    <x v="11"/>
    <x v="271"/>
    <n v="26"/>
    <n v="8694"/>
    <m/>
    <n v="316"/>
    <m/>
    <m/>
    <m/>
    <m/>
    <m/>
    <m/>
    <m/>
  </r>
  <r>
    <x v="12"/>
    <x v="271"/>
    <n v="47"/>
    <n v="56395"/>
    <n v="1"/>
    <n v="1107"/>
    <m/>
    <m/>
    <m/>
    <m/>
    <m/>
    <m/>
    <m/>
  </r>
  <r>
    <x v="13"/>
    <x v="271"/>
    <n v="2"/>
    <n v="495"/>
    <m/>
    <n v="9"/>
    <m/>
    <m/>
    <m/>
    <m/>
    <m/>
    <m/>
    <m/>
  </r>
  <r>
    <x v="14"/>
    <x v="271"/>
    <n v="122"/>
    <n v="31840"/>
    <n v="5"/>
    <n v="619"/>
    <m/>
    <m/>
    <m/>
    <m/>
    <m/>
    <m/>
    <m/>
  </r>
  <r>
    <x v="15"/>
    <x v="271"/>
    <n v="108"/>
    <n v="31521"/>
    <n v="2"/>
    <n v="775"/>
    <m/>
    <m/>
    <m/>
    <m/>
    <m/>
    <m/>
    <m/>
  </r>
  <r>
    <x v="16"/>
    <x v="271"/>
    <n v="28"/>
    <n v="21140"/>
    <n v="1"/>
    <n v="977"/>
    <m/>
    <m/>
    <m/>
    <m/>
    <m/>
    <m/>
    <m/>
  </r>
  <r>
    <x v="17"/>
    <x v="271"/>
    <n v="65"/>
    <n v="7319"/>
    <m/>
    <n v="171"/>
    <m/>
    <m/>
    <m/>
    <m/>
    <m/>
    <m/>
    <m/>
  </r>
  <r>
    <x v="18"/>
    <x v="271"/>
    <n v="192"/>
    <n v="14288"/>
    <n v="4"/>
    <n v="212"/>
    <m/>
    <m/>
    <m/>
    <m/>
    <m/>
    <m/>
    <m/>
  </r>
  <r>
    <x v="19"/>
    <x v="271"/>
    <n v="211"/>
    <n v="15772"/>
    <n v="4"/>
    <n v="272"/>
    <m/>
    <m/>
    <m/>
    <m/>
    <m/>
    <m/>
    <m/>
  </r>
  <r>
    <x v="20"/>
    <x v="271"/>
    <n v="1004"/>
    <n v="146505"/>
    <n v="18"/>
    <n v="2235"/>
    <m/>
    <m/>
    <m/>
    <m/>
    <m/>
    <m/>
    <m/>
  </r>
  <r>
    <x v="21"/>
    <x v="271"/>
    <n v="151"/>
    <n v="15590"/>
    <m/>
    <n v="188"/>
    <m/>
    <m/>
    <m/>
    <m/>
    <m/>
    <m/>
    <m/>
  </r>
  <r>
    <x v="22"/>
    <x v="271"/>
    <n v="83"/>
    <n v="16090"/>
    <m/>
    <n v="230"/>
    <m/>
    <m/>
    <m/>
    <m/>
    <m/>
    <m/>
    <m/>
  </r>
  <r>
    <x v="23"/>
    <x v="271"/>
    <n v="200"/>
    <n v="65630"/>
    <n v="11"/>
    <n v="1177"/>
    <m/>
    <m/>
    <m/>
    <m/>
    <m/>
    <m/>
    <m/>
  </r>
  <r>
    <x v="0"/>
    <x v="272"/>
    <n v="1455"/>
    <n v="618726"/>
    <n v="135"/>
    <n v="20699"/>
    <m/>
    <m/>
    <m/>
    <m/>
    <m/>
    <m/>
    <m/>
  </r>
  <r>
    <x v="4"/>
    <x v="272"/>
    <n v="321"/>
    <n v="158805"/>
    <n v="15"/>
    <n v="5237"/>
    <m/>
    <m/>
    <m/>
    <m/>
    <m/>
    <m/>
    <m/>
  </r>
  <r>
    <x v="1"/>
    <x v="272"/>
    <n v="17"/>
    <n v="1867"/>
    <m/>
    <n v="15"/>
    <m/>
    <m/>
    <m/>
    <m/>
    <m/>
    <m/>
    <m/>
  </r>
  <r>
    <x v="2"/>
    <x v="272"/>
    <n v="236"/>
    <n v="19357"/>
    <n v="5"/>
    <n v="562"/>
    <m/>
    <m/>
    <m/>
    <m/>
    <m/>
    <m/>
    <m/>
  </r>
  <r>
    <x v="3"/>
    <x v="272"/>
    <n v="220"/>
    <n v="22851"/>
    <n v="1"/>
    <n v="377"/>
    <m/>
    <m/>
    <m/>
    <m/>
    <m/>
    <m/>
    <m/>
  </r>
  <r>
    <x v="5"/>
    <x v="272"/>
    <n v="350"/>
    <n v="114207"/>
    <n v="22"/>
    <n v="1972"/>
    <m/>
    <m/>
    <m/>
    <m/>
    <m/>
    <m/>
    <m/>
  </r>
  <r>
    <x v="6"/>
    <x v="272"/>
    <n v="295"/>
    <n v="7098"/>
    <m/>
    <n v="86"/>
    <m/>
    <m/>
    <m/>
    <m/>
    <m/>
    <m/>
    <m/>
  </r>
  <r>
    <x v="7"/>
    <x v="272"/>
    <n v="116"/>
    <n v="23365"/>
    <n v="4"/>
    <n v="469"/>
    <m/>
    <m/>
    <m/>
    <m/>
    <m/>
    <m/>
    <m/>
  </r>
  <r>
    <x v="8"/>
    <x v="272"/>
    <n v="0"/>
    <n v="182"/>
    <m/>
    <n v="3"/>
    <m/>
    <m/>
    <m/>
    <m/>
    <m/>
    <m/>
    <m/>
  </r>
  <r>
    <x v="9"/>
    <x v="272"/>
    <n v="11"/>
    <n v="18381"/>
    <m/>
    <n v="848"/>
    <m/>
    <m/>
    <m/>
    <m/>
    <m/>
    <m/>
    <m/>
  </r>
  <r>
    <x v="10"/>
    <x v="272"/>
    <n v="60"/>
    <n v="5770"/>
    <n v="8"/>
    <n v="83"/>
    <m/>
    <m/>
    <m/>
    <m/>
    <m/>
    <m/>
    <m/>
  </r>
  <r>
    <x v="11"/>
    <x v="272"/>
    <n v="28"/>
    <n v="8722"/>
    <m/>
    <n v="316"/>
    <m/>
    <m/>
    <m/>
    <m/>
    <m/>
    <m/>
    <m/>
  </r>
  <r>
    <x v="12"/>
    <x v="272"/>
    <n v="151"/>
    <n v="56546"/>
    <n v="1"/>
    <n v="1108"/>
    <m/>
    <m/>
    <m/>
    <m/>
    <m/>
    <m/>
    <m/>
  </r>
  <r>
    <x v="13"/>
    <x v="272"/>
    <n v="5"/>
    <n v="500"/>
    <m/>
    <n v="9"/>
    <m/>
    <m/>
    <m/>
    <m/>
    <m/>
    <m/>
    <m/>
  </r>
  <r>
    <x v="14"/>
    <x v="272"/>
    <n v="228"/>
    <n v="32068"/>
    <m/>
    <n v="619"/>
    <m/>
    <m/>
    <m/>
    <m/>
    <m/>
    <m/>
    <m/>
  </r>
  <r>
    <x v="15"/>
    <x v="272"/>
    <n v="184"/>
    <n v="31705"/>
    <n v="5"/>
    <n v="780"/>
    <m/>
    <m/>
    <m/>
    <m/>
    <m/>
    <m/>
    <m/>
  </r>
  <r>
    <x v="16"/>
    <x v="272"/>
    <n v="19"/>
    <n v="21159"/>
    <n v="3"/>
    <n v="980"/>
    <m/>
    <m/>
    <m/>
    <m/>
    <m/>
    <m/>
    <m/>
  </r>
  <r>
    <x v="17"/>
    <x v="272"/>
    <n v="147"/>
    <n v="7466"/>
    <m/>
    <n v="171"/>
    <m/>
    <m/>
    <m/>
    <m/>
    <m/>
    <m/>
    <m/>
  </r>
  <r>
    <x v="18"/>
    <x v="272"/>
    <n v="167"/>
    <n v="14455"/>
    <m/>
    <n v="212"/>
    <m/>
    <m/>
    <m/>
    <m/>
    <m/>
    <m/>
    <m/>
  </r>
  <r>
    <x v="19"/>
    <x v="272"/>
    <n v="154"/>
    <n v="15926"/>
    <n v="2"/>
    <n v="274"/>
    <m/>
    <m/>
    <m/>
    <m/>
    <m/>
    <m/>
    <m/>
  </r>
  <r>
    <x v="20"/>
    <x v="272"/>
    <n v="1115"/>
    <n v="147620"/>
    <n v="44"/>
    <n v="2279"/>
    <m/>
    <m/>
    <m/>
    <m/>
    <m/>
    <m/>
    <m/>
  </r>
  <r>
    <x v="21"/>
    <x v="272"/>
    <n v="53"/>
    <n v="15643"/>
    <n v="1"/>
    <n v="189"/>
    <m/>
    <m/>
    <m/>
    <m/>
    <m/>
    <m/>
    <m/>
  </r>
  <r>
    <x v="22"/>
    <x v="272"/>
    <n v="91"/>
    <n v="16181"/>
    <n v="3"/>
    <n v="233"/>
    <m/>
    <m/>
    <m/>
    <m/>
    <m/>
    <m/>
    <m/>
  </r>
  <r>
    <x v="23"/>
    <x v="272"/>
    <n v="303"/>
    <n v="65933"/>
    <n v="7"/>
    <n v="1184"/>
    <m/>
    <m/>
    <m/>
    <m/>
    <m/>
    <m/>
    <m/>
  </r>
  <r>
    <x v="0"/>
    <x v="273"/>
    <n v="2128"/>
    <n v="620854"/>
    <n v="59"/>
    <n v="20758"/>
    <m/>
    <m/>
    <m/>
    <m/>
    <m/>
    <m/>
    <m/>
  </r>
  <r>
    <x v="4"/>
    <x v="273"/>
    <n v="398"/>
    <n v="159203"/>
    <n v="23"/>
    <n v="5260"/>
    <m/>
    <m/>
    <m/>
    <m/>
    <m/>
    <m/>
    <m/>
  </r>
  <r>
    <x v="1"/>
    <x v="273"/>
    <n v="16"/>
    <n v="1883"/>
    <m/>
    <n v="15"/>
    <m/>
    <m/>
    <m/>
    <m/>
    <m/>
    <m/>
    <m/>
  </r>
  <r>
    <x v="2"/>
    <x v="273"/>
    <n v="238"/>
    <n v="19595"/>
    <n v="4"/>
    <n v="566"/>
    <m/>
    <m/>
    <m/>
    <m/>
    <m/>
    <m/>
    <m/>
  </r>
  <r>
    <x v="3"/>
    <x v="273"/>
    <n v="438"/>
    <n v="23289"/>
    <n v="4"/>
    <n v="381"/>
    <m/>
    <m/>
    <m/>
    <m/>
    <m/>
    <m/>
    <m/>
  </r>
  <r>
    <x v="5"/>
    <x v="273"/>
    <n v="715"/>
    <n v="114922"/>
    <n v="36"/>
    <n v="2008"/>
    <m/>
    <m/>
    <m/>
    <m/>
    <m/>
    <m/>
    <m/>
  </r>
  <r>
    <x v="6"/>
    <x v="273"/>
    <n v="193"/>
    <n v="7291"/>
    <n v="2"/>
    <n v="88"/>
    <m/>
    <m/>
    <m/>
    <m/>
    <m/>
    <m/>
    <m/>
  </r>
  <r>
    <x v="7"/>
    <x v="273"/>
    <n v="139"/>
    <n v="23504"/>
    <n v="2"/>
    <n v="471"/>
    <m/>
    <m/>
    <m/>
    <m/>
    <m/>
    <m/>
    <m/>
  </r>
  <r>
    <x v="8"/>
    <x v="273"/>
    <n v="1"/>
    <n v="183"/>
    <m/>
    <n v="3"/>
    <m/>
    <m/>
    <m/>
    <m/>
    <m/>
    <m/>
    <m/>
  </r>
  <r>
    <x v="9"/>
    <x v="273"/>
    <n v="16"/>
    <n v="18397"/>
    <n v="2"/>
    <n v="850"/>
    <m/>
    <m/>
    <m/>
    <m/>
    <m/>
    <m/>
    <m/>
  </r>
  <r>
    <x v="10"/>
    <x v="273"/>
    <n v="103"/>
    <n v="5873"/>
    <n v="2"/>
    <n v="85"/>
    <m/>
    <m/>
    <m/>
    <m/>
    <m/>
    <m/>
    <m/>
  </r>
  <r>
    <x v="11"/>
    <x v="273"/>
    <n v="13"/>
    <n v="8735"/>
    <m/>
    <n v="316"/>
    <m/>
    <m/>
    <m/>
    <m/>
    <m/>
    <m/>
    <m/>
  </r>
  <r>
    <x v="12"/>
    <x v="273"/>
    <n v="263"/>
    <n v="56809"/>
    <n v="2"/>
    <n v="1110"/>
    <m/>
    <m/>
    <m/>
    <m/>
    <m/>
    <m/>
    <m/>
  </r>
  <r>
    <x v="13"/>
    <x v="273"/>
    <n v="19"/>
    <n v="519"/>
    <m/>
    <n v="9"/>
    <m/>
    <m/>
    <m/>
    <m/>
    <m/>
    <m/>
    <m/>
  </r>
  <r>
    <x v="14"/>
    <x v="273"/>
    <n v="344"/>
    <n v="32412"/>
    <m/>
    <n v="619"/>
    <m/>
    <m/>
    <m/>
    <m/>
    <m/>
    <m/>
    <m/>
  </r>
  <r>
    <x v="15"/>
    <x v="273"/>
    <n v="244"/>
    <n v="31949"/>
    <n v="11"/>
    <n v="791"/>
    <m/>
    <m/>
    <m/>
    <m/>
    <m/>
    <m/>
    <m/>
  </r>
  <r>
    <x v="16"/>
    <x v="273"/>
    <n v="43"/>
    <n v="21202"/>
    <n v="3"/>
    <n v="983"/>
    <m/>
    <m/>
    <m/>
    <m/>
    <m/>
    <m/>
    <m/>
  </r>
  <r>
    <x v="17"/>
    <x v="273"/>
    <n v="351"/>
    <n v="7817"/>
    <n v="2"/>
    <n v="173"/>
    <m/>
    <m/>
    <m/>
    <m/>
    <m/>
    <m/>
    <m/>
  </r>
  <r>
    <x v="18"/>
    <x v="273"/>
    <n v="253"/>
    <n v="14708"/>
    <n v="3"/>
    <n v="215"/>
    <m/>
    <m/>
    <m/>
    <m/>
    <m/>
    <m/>
    <m/>
  </r>
  <r>
    <x v="19"/>
    <x v="273"/>
    <n v="315"/>
    <n v="16241"/>
    <n v="6"/>
    <n v="280"/>
    <m/>
    <m/>
    <m/>
    <m/>
    <m/>
    <m/>
    <m/>
  </r>
  <r>
    <x v="20"/>
    <x v="273"/>
    <n v="1355"/>
    <n v="148975"/>
    <n v="9"/>
    <n v="2288"/>
    <m/>
    <m/>
    <m/>
    <m/>
    <m/>
    <m/>
    <m/>
  </r>
  <r>
    <x v="21"/>
    <x v="273"/>
    <n v="71"/>
    <n v="15714"/>
    <n v="1"/>
    <n v="190"/>
    <m/>
    <m/>
    <m/>
    <m/>
    <m/>
    <m/>
    <m/>
  </r>
  <r>
    <x v="22"/>
    <x v="273"/>
    <n v="79"/>
    <n v="16260"/>
    <n v="2"/>
    <n v="235"/>
    <m/>
    <m/>
    <m/>
    <m/>
    <m/>
    <m/>
    <m/>
  </r>
  <r>
    <x v="23"/>
    <x v="273"/>
    <n v="302"/>
    <n v="66235"/>
    <n v="26"/>
    <n v="1210"/>
    <m/>
    <m/>
    <m/>
    <m/>
    <m/>
    <m/>
    <m/>
  </r>
  <r>
    <x v="0"/>
    <x v="274"/>
    <n v="1924"/>
    <n v="622778"/>
    <n v="82"/>
    <n v="20840"/>
    <m/>
    <m/>
    <m/>
    <m/>
    <m/>
    <m/>
    <m/>
  </r>
  <r>
    <x v="4"/>
    <x v="274"/>
    <n v="306"/>
    <n v="159509"/>
    <n v="12"/>
    <n v="5272"/>
    <m/>
    <m/>
    <m/>
    <m/>
    <m/>
    <m/>
    <m/>
  </r>
  <r>
    <x v="1"/>
    <x v="274"/>
    <n v="8"/>
    <n v="1891"/>
    <n v="1"/>
    <n v="16"/>
    <m/>
    <m/>
    <m/>
    <m/>
    <m/>
    <m/>
    <m/>
  </r>
  <r>
    <x v="2"/>
    <x v="274"/>
    <n v="198"/>
    <n v="19793"/>
    <n v="6"/>
    <n v="572"/>
    <m/>
    <m/>
    <m/>
    <m/>
    <m/>
    <m/>
    <m/>
  </r>
  <r>
    <x v="3"/>
    <x v="274"/>
    <n v="256"/>
    <n v="23545"/>
    <n v="8"/>
    <n v="389"/>
    <m/>
    <m/>
    <m/>
    <m/>
    <m/>
    <m/>
    <m/>
  </r>
  <r>
    <x v="5"/>
    <x v="274"/>
    <n v="790"/>
    <n v="115712"/>
    <n v="22"/>
    <n v="2030"/>
    <m/>
    <m/>
    <m/>
    <m/>
    <m/>
    <m/>
    <m/>
  </r>
  <r>
    <x v="6"/>
    <x v="274"/>
    <n v="211"/>
    <n v="7502"/>
    <m/>
    <n v="88"/>
    <m/>
    <m/>
    <m/>
    <m/>
    <m/>
    <m/>
    <m/>
  </r>
  <r>
    <x v="7"/>
    <x v="274"/>
    <n v="296"/>
    <n v="23800"/>
    <n v="4"/>
    <n v="475"/>
    <m/>
    <m/>
    <m/>
    <m/>
    <m/>
    <m/>
    <m/>
  </r>
  <r>
    <x v="8"/>
    <x v="274"/>
    <n v="4"/>
    <n v="187"/>
    <m/>
    <n v="3"/>
    <m/>
    <m/>
    <m/>
    <m/>
    <m/>
    <m/>
    <m/>
  </r>
  <r>
    <x v="9"/>
    <x v="274"/>
    <n v="6"/>
    <n v="18403"/>
    <m/>
    <n v="850"/>
    <m/>
    <m/>
    <m/>
    <m/>
    <m/>
    <m/>
    <m/>
  </r>
  <r>
    <x v="10"/>
    <x v="274"/>
    <n v="104"/>
    <n v="5977"/>
    <m/>
    <n v="85"/>
    <m/>
    <m/>
    <m/>
    <m/>
    <m/>
    <m/>
    <m/>
  </r>
  <r>
    <x v="11"/>
    <x v="274"/>
    <n v="33"/>
    <n v="8768"/>
    <n v="1"/>
    <n v="317"/>
    <m/>
    <m/>
    <m/>
    <m/>
    <m/>
    <m/>
    <m/>
  </r>
  <r>
    <x v="12"/>
    <x v="274"/>
    <n v="214"/>
    <n v="57023"/>
    <n v="2"/>
    <n v="1112"/>
    <m/>
    <m/>
    <m/>
    <m/>
    <m/>
    <m/>
    <m/>
  </r>
  <r>
    <x v="13"/>
    <x v="274"/>
    <n v="14"/>
    <n v="533"/>
    <m/>
    <n v="9"/>
    <m/>
    <m/>
    <m/>
    <m/>
    <m/>
    <m/>
    <m/>
  </r>
  <r>
    <x v="14"/>
    <x v="274"/>
    <n v="389"/>
    <n v="32801"/>
    <n v="23"/>
    <n v="642"/>
    <m/>
    <m/>
    <m/>
    <m/>
    <m/>
    <m/>
    <m/>
  </r>
  <r>
    <x v="15"/>
    <x v="274"/>
    <n v="258"/>
    <n v="32207"/>
    <n v="3"/>
    <n v="794"/>
    <m/>
    <m/>
    <m/>
    <m/>
    <m/>
    <m/>
    <m/>
  </r>
  <r>
    <x v="16"/>
    <x v="274"/>
    <n v="49"/>
    <n v="21251"/>
    <n v="1"/>
    <n v="984"/>
    <m/>
    <m/>
    <m/>
    <m/>
    <m/>
    <m/>
    <m/>
  </r>
  <r>
    <x v="17"/>
    <x v="274"/>
    <n v="250"/>
    <n v="8067"/>
    <m/>
    <n v="173"/>
    <m/>
    <m/>
    <m/>
    <m/>
    <m/>
    <m/>
    <m/>
  </r>
  <r>
    <x v="18"/>
    <x v="274"/>
    <n v="101"/>
    <n v="14809"/>
    <n v="5"/>
    <n v="220"/>
    <m/>
    <m/>
    <m/>
    <m/>
    <m/>
    <m/>
    <m/>
  </r>
  <r>
    <x v="19"/>
    <x v="274"/>
    <n v="237"/>
    <n v="16478"/>
    <n v="4"/>
    <n v="284"/>
    <m/>
    <m/>
    <m/>
    <m/>
    <m/>
    <m/>
    <m/>
  </r>
  <r>
    <x v="20"/>
    <x v="274"/>
    <n v="1377"/>
    <n v="150352"/>
    <n v="41"/>
    <n v="2329"/>
    <m/>
    <m/>
    <m/>
    <m/>
    <m/>
    <m/>
    <m/>
  </r>
  <r>
    <x v="21"/>
    <x v="274"/>
    <n v="129"/>
    <n v="15843"/>
    <n v="1"/>
    <n v="191"/>
    <m/>
    <m/>
    <m/>
    <m/>
    <m/>
    <m/>
    <m/>
  </r>
  <r>
    <x v="22"/>
    <x v="274"/>
    <n v="128"/>
    <n v="16388"/>
    <m/>
    <n v="235"/>
    <m/>
    <m/>
    <m/>
    <m/>
    <m/>
    <m/>
    <m/>
  </r>
  <r>
    <x v="23"/>
    <x v="274"/>
    <n v="251"/>
    <n v="66486"/>
    <n v="12"/>
    <n v="1222"/>
    <m/>
    <m/>
    <m/>
    <m/>
    <m/>
    <m/>
    <m/>
  </r>
  <r>
    <x v="0"/>
    <x v="275"/>
    <n v="1816"/>
    <n v="624594"/>
    <n v="39"/>
    <n v="20879"/>
    <m/>
    <m/>
    <m/>
    <m/>
    <m/>
    <m/>
    <m/>
  </r>
  <r>
    <x v="4"/>
    <x v="275"/>
    <n v="372"/>
    <n v="159881"/>
    <n v="5"/>
    <n v="5277"/>
    <m/>
    <m/>
    <m/>
    <m/>
    <m/>
    <m/>
    <m/>
  </r>
  <r>
    <x v="1"/>
    <x v="275"/>
    <n v="17"/>
    <n v="1908"/>
    <n v="1"/>
    <n v="17"/>
    <m/>
    <m/>
    <m/>
    <m/>
    <m/>
    <m/>
    <m/>
  </r>
  <r>
    <x v="2"/>
    <x v="275"/>
    <n v="335"/>
    <n v="20128"/>
    <n v="4"/>
    <n v="576"/>
    <m/>
    <m/>
    <m/>
    <m/>
    <m/>
    <m/>
    <m/>
  </r>
  <r>
    <x v="3"/>
    <x v="275"/>
    <n v="316"/>
    <n v="23861"/>
    <n v="9"/>
    <n v="398"/>
    <m/>
    <m/>
    <m/>
    <m/>
    <m/>
    <m/>
    <m/>
  </r>
  <r>
    <x v="5"/>
    <x v="275"/>
    <n v="532"/>
    <n v="116244"/>
    <n v="8"/>
    <n v="2038"/>
    <m/>
    <m/>
    <m/>
    <m/>
    <m/>
    <m/>
    <m/>
  </r>
  <r>
    <x v="6"/>
    <x v="275"/>
    <n v="374"/>
    <n v="7876"/>
    <m/>
    <n v="88"/>
    <m/>
    <m/>
    <m/>
    <m/>
    <m/>
    <m/>
    <m/>
  </r>
  <r>
    <x v="7"/>
    <x v="275"/>
    <n v="184"/>
    <n v="23984"/>
    <n v="3"/>
    <n v="478"/>
    <m/>
    <m/>
    <m/>
    <m/>
    <m/>
    <m/>
    <m/>
  </r>
  <r>
    <x v="8"/>
    <x v="275"/>
    <n v="2"/>
    <n v="189"/>
    <m/>
    <n v="3"/>
    <m/>
    <m/>
    <m/>
    <m/>
    <m/>
    <m/>
    <m/>
  </r>
  <r>
    <x v="9"/>
    <x v="275"/>
    <n v="7"/>
    <n v="18410"/>
    <m/>
    <n v="850"/>
    <m/>
    <m/>
    <m/>
    <m/>
    <m/>
    <m/>
    <m/>
  </r>
  <r>
    <x v="10"/>
    <x v="275"/>
    <n v="97"/>
    <n v="6074"/>
    <n v="2"/>
    <n v="87"/>
    <m/>
    <m/>
    <m/>
    <m/>
    <m/>
    <m/>
    <m/>
  </r>
  <r>
    <x v="11"/>
    <x v="275"/>
    <n v="32"/>
    <n v="8800"/>
    <n v="3"/>
    <n v="320"/>
    <m/>
    <m/>
    <m/>
    <m/>
    <m/>
    <m/>
    <m/>
  </r>
  <r>
    <x v="12"/>
    <x v="275"/>
    <n v="242"/>
    <n v="57265"/>
    <n v="8"/>
    <n v="1120"/>
    <m/>
    <m/>
    <m/>
    <m/>
    <m/>
    <m/>
    <m/>
  </r>
  <r>
    <x v="13"/>
    <x v="275"/>
    <n v="9"/>
    <n v="542"/>
    <m/>
    <n v="9"/>
    <m/>
    <m/>
    <m/>
    <m/>
    <m/>
    <m/>
    <m/>
  </r>
  <r>
    <x v="14"/>
    <x v="275"/>
    <n v="554"/>
    <n v="33355"/>
    <m/>
    <n v="642"/>
    <m/>
    <m/>
    <m/>
    <m/>
    <m/>
    <m/>
    <m/>
  </r>
  <r>
    <x v="15"/>
    <x v="275"/>
    <n v="209"/>
    <n v="32416"/>
    <n v="2"/>
    <n v="796"/>
    <m/>
    <m/>
    <m/>
    <m/>
    <m/>
    <m/>
    <m/>
  </r>
  <r>
    <x v="16"/>
    <x v="275"/>
    <n v="81"/>
    <n v="21332"/>
    <n v="2"/>
    <n v="986"/>
    <m/>
    <m/>
    <m/>
    <m/>
    <m/>
    <m/>
    <m/>
  </r>
  <r>
    <x v="17"/>
    <x v="275"/>
    <n v="168"/>
    <n v="8235"/>
    <m/>
    <n v="173"/>
    <m/>
    <m/>
    <m/>
    <m/>
    <m/>
    <m/>
    <m/>
  </r>
  <r>
    <x v="18"/>
    <x v="275"/>
    <n v="149"/>
    <n v="14958"/>
    <n v="8"/>
    <n v="228"/>
    <m/>
    <m/>
    <m/>
    <m/>
    <m/>
    <m/>
    <m/>
  </r>
  <r>
    <x v="19"/>
    <x v="275"/>
    <n v="218"/>
    <n v="16696"/>
    <n v="6"/>
    <n v="290"/>
    <m/>
    <m/>
    <m/>
    <m/>
    <m/>
    <m/>
    <m/>
  </r>
  <r>
    <x v="20"/>
    <x v="275"/>
    <n v="1332"/>
    <n v="151684"/>
    <n v="38"/>
    <n v="2367"/>
    <m/>
    <m/>
    <m/>
    <m/>
    <m/>
    <m/>
    <m/>
  </r>
  <r>
    <x v="21"/>
    <x v="275"/>
    <n v="99"/>
    <n v="15942"/>
    <n v="4"/>
    <n v="195"/>
    <m/>
    <m/>
    <m/>
    <m/>
    <m/>
    <m/>
    <m/>
  </r>
  <r>
    <x v="22"/>
    <x v="275"/>
    <n v="93"/>
    <n v="16481"/>
    <n v="1"/>
    <n v="236"/>
    <m/>
    <m/>
    <m/>
    <m/>
    <m/>
    <m/>
    <m/>
  </r>
  <r>
    <x v="23"/>
    <x v="275"/>
    <n v="391"/>
    <n v="66877"/>
    <n v="6"/>
    <n v="1228"/>
    <m/>
    <m/>
    <m/>
    <m/>
    <m/>
    <m/>
    <m/>
  </r>
  <r>
    <x v="0"/>
    <x v="276"/>
    <n v="1790"/>
    <n v="626384"/>
    <n v="84"/>
    <n v="20963"/>
    <m/>
    <m/>
    <m/>
    <m/>
    <m/>
    <m/>
    <m/>
  </r>
  <r>
    <x v="4"/>
    <x v="276"/>
    <n v="313"/>
    <n v="160194"/>
    <n v="6"/>
    <n v="5283"/>
    <m/>
    <m/>
    <m/>
    <m/>
    <m/>
    <m/>
    <m/>
  </r>
  <r>
    <x v="1"/>
    <x v="276"/>
    <n v="33"/>
    <n v="1941"/>
    <m/>
    <n v="17"/>
    <m/>
    <m/>
    <m/>
    <m/>
    <m/>
    <m/>
    <m/>
  </r>
  <r>
    <x v="2"/>
    <x v="276"/>
    <n v="205"/>
    <n v="20333"/>
    <n v="5"/>
    <n v="581"/>
    <m/>
    <m/>
    <m/>
    <m/>
    <m/>
    <m/>
    <m/>
  </r>
  <r>
    <x v="3"/>
    <x v="276"/>
    <n v="336"/>
    <n v="24197"/>
    <n v="2"/>
    <n v="400"/>
    <m/>
    <m/>
    <m/>
    <m/>
    <m/>
    <m/>
    <m/>
  </r>
  <r>
    <x v="5"/>
    <x v="276"/>
    <n v="555"/>
    <n v="116799"/>
    <n v="10"/>
    <n v="2048"/>
    <m/>
    <m/>
    <m/>
    <m/>
    <m/>
    <m/>
    <m/>
  </r>
  <r>
    <x v="6"/>
    <x v="276"/>
    <n v="522"/>
    <n v="8398"/>
    <m/>
    <n v="88"/>
    <m/>
    <m/>
    <m/>
    <m/>
    <m/>
    <m/>
    <m/>
  </r>
  <r>
    <x v="7"/>
    <x v="276"/>
    <n v="197"/>
    <n v="24181"/>
    <n v="7"/>
    <n v="485"/>
    <m/>
    <m/>
    <m/>
    <m/>
    <m/>
    <m/>
    <m/>
  </r>
  <r>
    <x v="8"/>
    <x v="276"/>
    <n v="0"/>
    <n v="189"/>
    <m/>
    <n v="3"/>
    <m/>
    <m/>
    <m/>
    <m/>
    <m/>
    <m/>
    <m/>
  </r>
  <r>
    <x v="9"/>
    <x v="276"/>
    <n v="2"/>
    <n v="18412"/>
    <m/>
    <n v="850"/>
    <m/>
    <m/>
    <m/>
    <m/>
    <m/>
    <m/>
    <m/>
  </r>
  <r>
    <x v="10"/>
    <x v="276"/>
    <n v="77"/>
    <n v="6151"/>
    <n v="1"/>
    <n v="88"/>
    <m/>
    <m/>
    <m/>
    <m/>
    <m/>
    <m/>
    <m/>
  </r>
  <r>
    <x v="11"/>
    <x v="276"/>
    <n v="12"/>
    <n v="8812"/>
    <m/>
    <n v="320"/>
    <m/>
    <m/>
    <m/>
    <m/>
    <m/>
    <m/>
    <m/>
  </r>
  <r>
    <x v="12"/>
    <x v="276"/>
    <n v="162"/>
    <n v="57427"/>
    <n v="19"/>
    <n v="1139"/>
    <m/>
    <m/>
    <m/>
    <m/>
    <m/>
    <m/>
    <m/>
  </r>
  <r>
    <x v="13"/>
    <x v="276"/>
    <n v="21"/>
    <n v="563"/>
    <m/>
    <n v="9"/>
    <m/>
    <m/>
    <m/>
    <m/>
    <m/>
    <m/>
    <m/>
  </r>
  <r>
    <x v="14"/>
    <x v="276"/>
    <n v="600"/>
    <n v="33955"/>
    <n v="6"/>
    <n v="648"/>
    <m/>
    <m/>
    <m/>
    <m/>
    <m/>
    <m/>
    <m/>
  </r>
  <r>
    <x v="15"/>
    <x v="276"/>
    <n v="201"/>
    <n v="32617"/>
    <m/>
    <n v="796"/>
    <m/>
    <m/>
    <m/>
    <m/>
    <m/>
    <m/>
    <m/>
  </r>
  <r>
    <x v="16"/>
    <x v="276"/>
    <n v="48"/>
    <n v="21380"/>
    <n v="4"/>
    <n v="990"/>
    <m/>
    <m/>
    <m/>
    <m/>
    <m/>
    <m/>
    <m/>
  </r>
  <r>
    <x v="17"/>
    <x v="276"/>
    <n v="159"/>
    <n v="8394"/>
    <m/>
    <n v="173"/>
    <m/>
    <m/>
    <m/>
    <m/>
    <m/>
    <m/>
    <m/>
  </r>
  <r>
    <x v="18"/>
    <x v="276"/>
    <n v="72"/>
    <n v="15030"/>
    <n v="7"/>
    <n v="235"/>
    <m/>
    <m/>
    <m/>
    <m/>
    <m/>
    <m/>
    <m/>
  </r>
  <r>
    <x v="19"/>
    <x v="276"/>
    <n v="242"/>
    <n v="16938"/>
    <n v="6"/>
    <n v="296"/>
    <m/>
    <m/>
    <m/>
    <m/>
    <m/>
    <m/>
    <m/>
  </r>
  <r>
    <x v="20"/>
    <x v="276"/>
    <n v="991"/>
    <n v="152675"/>
    <n v="14"/>
    <n v="2381"/>
    <m/>
    <m/>
    <m/>
    <m/>
    <m/>
    <m/>
    <m/>
  </r>
  <r>
    <x v="21"/>
    <x v="276"/>
    <n v="82"/>
    <n v="16024"/>
    <n v="3"/>
    <n v="198"/>
    <m/>
    <m/>
    <m/>
    <m/>
    <m/>
    <m/>
    <m/>
  </r>
  <r>
    <x v="22"/>
    <x v="276"/>
    <n v="107"/>
    <n v="16588"/>
    <n v="1"/>
    <n v="237"/>
    <m/>
    <m/>
    <m/>
    <m/>
    <m/>
    <m/>
    <m/>
  </r>
  <r>
    <x v="23"/>
    <x v="276"/>
    <n v="172"/>
    <n v="67049"/>
    <n v="12"/>
    <n v="1240"/>
    <m/>
    <m/>
    <m/>
    <m/>
    <m/>
    <m/>
    <m/>
  </r>
  <r>
    <x v="0"/>
    <x v="277"/>
    <n v="1374"/>
    <n v="627758"/>
    <n v="25"/>
    <n v="20988"/>
    <m/>
    <m/>
    <m/>
    <m/>
    <m/>
    <m/>
    <m/>
  </r>
  <r>
    <x v="4"/>
    <x v="277"/>
    <n v="253"/>
    <n v="160447"/>
    <n v="9"/>
    <n v="5292"/>
    <m/>
    <m/>
    <m/>
    <m/>
    <m/>
    <m/>
    <m/>
  </r>
  <r>
    <x v="1"/>
    <x v="277"/>
    <n v="3"/>
    <n v="1944"/>
    <m/>
    <n v="17"/>
    <m/>
    <m/>
    <m/>
    <m/>
    <m/>
    <m/>
    <m/>
  </r>
  <r>
    <x v="2"/>
    <x v="277"/>
    <n v="263"/>
    <n v="20596"/>
    <n v="6"/>
    <n v="587"/>
    <m/>
    <m/>
    <m/>
    <m/>
    <m/>
    <m/>
    <m/>
  </r>
  <r>
    <x v="3"/>
    <x v="277"/>
    <n v="214"/>
    <n v="24411"/>
    <m/>
    <n v="400"/>
    <m/>
    <m/>
    <m/>
    <m/>
    <m/>
    <m/>
    <m/>
  </r>
  <r>
    <x v="5"/>
    <x v="277"/>
    <n v="451"/>
    <n v="117250"/>
    <n v="25"/>
    <n v="2073"/>
    <m/>
    <m/>
    <m/>
    <m/>
    <m/>
    <m/>
    <m/>
  </r>
  <r>
    <x v="6"/>
    <x v="277"/>
    <n v="192"/>
    <n v="8590"/>
    <n v="7"/>
    <n v="95"/>
    <m/>
    <m/>
    <m/>
    <m/>
    <m/>
    <m/>
    <m/>
  </r>
  <r>
    <x v="7"/>
    <x v="277"/>
    <n v="212"/>
    <n v="24393"/>
    <n v="1"/>
    <n v="486"/>
    <m/>
    <m/>
    <m/>
    <m/>
    <m/>
    <m/>
    <m/>
  </r>
  <r>
    <x v="8"/>
    <x v="277"/>
    <n v="1"/>
    <n v="190"/>
    <m/>
    <n v="3"/>
    <m/>
    <m/>
    <m/>
    <m/>
    <m/>
    <m/>
    <m/>
  </r>
  <r>
    <x v="9"/>
    <x v="277"/>
    <n v="3"/>
    <n v="18415"/>
    <m/>
    <n v="850"/>
    <m/>
    <m/>
    <m/>
    <m/>
    <m/>
    <m/>
    <m/>
  </r>
  <r>
    <x v="10"/>
    <x v="277"/>
    <n v="68"/>
    <n v="6219"/>
    <m/>
    <n v="88"/>
    <m/>
    <m/>
    <m/>
    <m/>
    <m/>
    <m/>
    <m/>
  </r>
  <r>
    <x v="11"/>
    <x v="277"/>
    <n v="22"/>
    <n v="8834"/>
    <m/>
    <n v="320"/>
    <m/>
    <m/>
    <m/>
    <m/>
    <m/>
    <m/>
    <m/>
  </r>
  <r>
    <x v="12"/>
    <x v="277"/>
    <n v="100"/>
    <n v="57527"/>
    <n v="4"/>
    <n v="1143"/>
    <m/>
    <m/>
    <m/>
    <m/>
    <m/>
    <m/>
    <m/>
  </r>
  <r>
    <x v="13"/>
    <x v="277"/>
    <n v="5"/>
    <n v="568"/>
    <m/>
    <n v="9"/>
    <m/>
    <m/>
    <m/>
    <m/>
    <m/>
    <m/>
    <m/>
  </r>
  <r>
    <x v="14"/>
    <x v="277"/>
    <n v="289"/>
    <n v="34244"/>
    <m/>
    <n v="648"/>
    <m/>
    <m/>
    <m/>
    <m/>
    <m/>
    <m/>
    <m/>
  </r>
  <r>
    <x v="15"/>
    <x v="277"/>
    <n v="146"/>
    <n v="32763"/>
    <n v="5"/>
    <n v="801"/>
    <m/>
    <m/>
    <m/>
    <m/>
    <m/>
    <m/>
    <m/>
  </r>
  <r>
    <x v="16"/>
    <x v="277"/>
    <n v="24"/>
    <n v="21404"/>
    <n v="1"/>
    <n v="991"/>
    <m/>
    <m/>
    <m/>
    <m/>
    <m/>
    <m/>
    <m/>
  </r>
  <r>
    <x v="17"/>
    <x v="277"/>
    <n v="51"/>
    <n v="8445"/>
    <m/>
    <n v="173"/>
    <m/>
    <m/>
    <m/>
    <m/>
    <m/>
    <m/>
    <m/>
  </r>
  <r>
    <x v="18"/>
    <x v="277"/>
    <n v="54"/>
    <n v="15084"/>
    <n v="1"/>
    <n v="236"/>
    <m/>
    <m/>
    <m/>
    <m/>
    <m/>
    <m/>
    <m/>
  </r>
  <r>
    <x v="19"/>
    <x v="277"/>
    <n v="187"/>
    <n v="17125"/>
    <n v="4"/>
    <n v="300"/>
    <m/>
    <m/>
    <m/>
    <m/>
    <m/>
    <m/>
    <m/>
  </r>
  <r>
    <x v="20"/>
    <x v="277"/>
    <n v="976"/>
    <n v="153651"/>
    <n v="25"/>
    <n v="2406"/>
    <m/>
    <m/>
    <m/>
    <m/>
    <m/>
    <m/>
    <m/>
  </r>
  <r>
    <x v="21"/>
    <x v="277"/>
    <n v="83"/>
    <n v="16107"/>
    <n v="1"/>
    <n v="199"/>
    <m/>
    <m/>
    <m/>
    <m/>
    <m/>
    <m/>
    <m/>
  </r>
  <r>
    <x v="22"/>
    <x v="277"/>
    <n v="96"/>
    <n v="16684"/>
    <m/>
    <n v="237"/>
    <m/>
    <m/>
    <m/>
    <m/>
    <m/>
    <m/>
    <m/>
  </r>
  <r>
    <x v="23"/>
    <x v="277"/>
    <n v="134"/>
    <n v="67183"/>
    <n v="7"/>
    <n v="1247"/>
    <m/>
    <m/>
    <m/>
    <m/>
    <m/>
    <m/>
    <m/>
  </r>
  <r>
    <x v="0"/>
    <x v="278"/>
    <n v="719"/>
    <n v="628477"/>
    <n v="87"/>
    <n v="21075"/>
    <m/>
    <m/>
    <m/>
    <m/>
    <m/>
    <m/>
    <m/>
  </r>
  <r>
    <x v="4"/>
    <x v="278"/>
    <n v="226"/>
    <n v="160673"/>
    <n v="3"/>
    <n v="5295"/>
    <m/>
    <m/>
    <m/>
    <m/>
    <m/>
    <m/>
    <m/>
  </r>
  <r>
    <x v="1"/>
    <x v="278"/>
    <n v="41"/>
    <n v="1985"/>
    <m/>
    <n v="17"/>
    <m/>
    <m/>
    <m/>
    <m/>
    <m/>
    <m/>
    <m/>
  </r>
  <r>
    <x v="2"/>
    <x v="278"/>
    <n v="134"/>
    <n v="20730"/>
    <n v="6"/>
    <n v="593"/>
    <m/>
    <m/>
    <m/>
    <m/>
    <m/>
    <m/>
    <m/>
  </r>
  <r>
    <x v="3"/>
    <x v="278"/>
    <n v="77"/>
    <n v="24488"/>
    <m/>
    <n v="400"/>
    <m/>
    <m/>
    <m/>
    <m/>
    <m/>
    <m/>
    <m/>
  </r>
  <r>
    <x v="5"/>
    <x v="278"/>
    <n v="262"/>
    <n v="117512"/>
    <n v="16"/>
    <n v="2089"/>
    <m/>
    <m/>
    <m/>
    <m/>
    <m/>
    <m/>
    <m/>
  </r>
  <r>
    <x v="6"/>
    <x v="278"/>
    <n v="87"/>
    <n v="8677"/>
    <n v="9"/>
    <n v="104"/>
    <m/>
    <m/>
    <m/>
    <m/>
    <m/>
    <m/>
    <m/>
  </r>
  <r>
    <x v="7"/>
    <x v="278"/>
    <n v="127"/>
    <n v="24520"/>
    <n v="1"/>
    <n v="487"/>
    <m/>
    <m/>
    <m/>
    <m/>
    <m/>
    <m/>
    <m/>
  </r>
  <r>
    <x v="8"/>
    <x v="278"/>
    <n v="-1"/>
    <n v="189"/>
    <m/>
    <n v="3"/>
    <m/>
    <m/>
    <m/>
    <m/>
    <m/>
    <m/>
    <m/>
  </r>
  <r>
    <x v="9"/>
    <x v="278"/>
    <n v="0"/>
    <n v="18415"/>
    <n v="1"/>
    <n v="851"/>
    <m/>
    <m/>
    <m/>
    <m/>
    <m/>
    <m/>
    <m/>
  </r>
  <r>
    <x v="10"/>
    <x v="278"/>
    <n v="61"/>
    <n v="6280"/>
    <m/>
    <n v="88"/>
    <m/>
    <m/>
    <m/>
    <m/>
    <m/>
    <m/>
    <m/>
  </r>
  <r>
    <x v="11"/>
    <x v="278"/>
    <n v="5"/>
    <n v="8839"/>
    <n v="1"/>
    <n v="321"/>
    <m/>
    <m/>
    <m/>
    <m/>
    <m/>
    <m/>
    <m/>
  </r>
  <r>
    <x v="12"/>
    <x v="278"/>
    <n v="41"/>
    <n v="57568"/>
    <m/>
    <n v="1143"/>
    <m/>
    <m/>
    <m/>
    <m/>
    <m/>
    <m/>
    <m/>
  </r>
  <r>
    <x v="13"/>
    <x v="278"/>
    <n v="5"/>
    <n v="573"/>
    <m/>
    <n v="9"/>
    <m/>
    <m/>
    <m/>
    <m/>
    <m/>
    <m/>
    <m/>
  </r>
  <r>
    <x v="14"/>
    <x v="278"/>
    <n v="395"/>
    <n v="34639"/>
    <n v="7"/>
    <n v="655"/>
    <m/>
    <m/>
    <m/>
    <m/>
    <m/>
    <m/>
    <m/>
  </r>
  <r>
    <x v="15"/>
    <x v="278"/>
    <n v="115"/>
    <n v="32878"/>
    <m/>
    <n v="801"/>
    <m/>
    <m/>
    <m/>
    <m/>
    <m/>
    <m/>
    <m/>
  </r>
  <r>
    <x v="16"/>
    <x v="278"/>
    <n v="14"/>
    <n v="21418"/>
    <m/>
    <n v="991"/>
    <m/>
    <m/>
    <m/>
    <m/>
    <m/>
    <m/>
    <m/>
  </r>
  <r>
    <x v="17"/>
    <x v="278"/>
    <n v="19"/>
    <n v="8464"/>
    <m/>
    <n v="173"/>
    <m/>
    <m/>
    <m/>
    <m/>
    <m/>
    <m/>
    <m/>
  </r>
  <r>
    <x v="18"/>
    <x v="278"/>
    <n v="17"/>
    <n v="15101"/>
    <m/>
    <n v="236"/>
    <m/>
    <m/>
    <m/>
    <m/>
    <m/>
    <m/>
    <m/>
  </r>
  <r>
    <x v="19"/>
    <x v="278"/>
    <n v="172"/>
    <n v="17297"/>
    <n v="1"/>
    <n v="301"/>
    <m/>
    <m/>
    <m/>
    <m/>
    <m/>
    <m/>
    <m/>
  </r>
  <r>
    <x v="20"/>
    <x v="278"/>
    <n v="568"/>
    <n v="154219"/>
    <n v="4"/>
    <n v="2410"/>
    <m/>
    <m/>
    <m/>
    <m/>
    <m/>
    <m/>
    <m/>
  </r>
  <r>
    <x v="21"/>
    <x v="278"/>
    <n v="52"/>
    <n v="16159"/>
    <n v="1"/>
    <n v="200"/>
    <m/>
    <m/>
    <m/>
    <m/>
    <m/>
    <m/>
    <m/>
  </r>
  <r>
    <x v="22"/>
    <x v="278"/>
    <n v="61"/>
    <n v="16745"/>
    <n v="1"/>
    <n v="238"/>
    <m/>
    <m/>
    <m/>
    <m/>
    <m/>
    <m/>
    <m/>
  </r>
  <r>
    <x v="23"/>
    <x v="278"/>
    <n v="81"/>
    <n v="67264"/>
    <m/>
    <n v="1247"/>
    <m/>
    <m/>
    <m/>
    <m/>
    <m/>
    <m/>
    <m/>
  </r>
  <r>
    <x v="0"/>
    <x v="279"/>
    <n v="693"/>
    <n v="629170"/>
    <n v="53"/>
    <n v="21128"/>
    <m/>
    <m/>
    <m/>
    <m/>
    <m/>
    <m/>
    <m/>
  </r>
  <r>
    <x v="4"/>
    <x v="279"/>
    <n v="164"/>
    <n v="160837"/>
    <n v="8"/>
    <n v="5303"/>
    <m/>
    <m/>
    <m/>
    <m/>
    <m/>
    <m/>
    <m/>
  </r>
  <r>
    <x v="1"/>
    <x v="279"/>
    <n v="30"/>
    <n v="2015"/>
    <m/>
    <n v="17"/>
    <m/>
    <m/>
    <m/>
    <m/>
    <m/>
    <m/>
    <m/>
  </r>
  <r>
    <x v="2"/>
    <x v="279"/>
    <n v="96"/>
    <n v="20826"/>
    <m/>
    <n v="593"/>
    <m/>
    <m/>
    <m/>
    <m/>
    <m/>
    <m/>
    <m/>
  </r>
  <r>
    <x v="3"/>
    <x v="279"/>
    <n v="161"/>
    <n v="24649"/>
    <n v="7"/>
    <n v="407"/>
    <m/>
    <m/>
    <m/>
    <m/>
    <m/>
    <m/>
    <m/>
  </r>
  <r>
    <x v="5"/>
    <x v="279"/>
    <n v="95"/>
    <n v="117607"/>
    <n v="9"/>
    <n v="2098"/>
    <m/>
    <m/>
    <m/>
    <m/>
    <m/>
    <m/>
    <m/>
  </r>
  <r>
    <x v="6"/>
    <x v="279"/>
    <n v="185"/>
    <n v="8862"/>
    <n v="7"/>
    <n v="111"/>
    <m/>
    <m/>
    <m/>
    <m/>
    <m/>
    <m/>
    <m/>
  </r>
  <r>
    <x v="7"/>
    <x v="279"/>
    <n v="55"/>
    <n v="24575"/>
    <n v="5"/>
    <n v="492"/>
    <m/>
    <m/>
    <m/>
    <m/>
    <m/>
    <m/>
    <m/>
  </r>
  <r>
    <x v="8"/>
    <x v="279"/>
    <n v="0"/>
    <n v="189"/>
    <m/>
    <n v="3"/>
    <m/>
    <m/>
    <m/>
    <m/>
    <m/>
    <m/>
    <m/>
  </r>
  <r>
    <x v="9"/>
    <x v="279"/>
    <n v="1"/>
    <n v="18416"/>
    <n v="1"/>
    <n v="852"/>
    <m/>
    <m/>
    <m/>
    <m/>
    <m/>
    <m/>
    <m/>
  </r>
  <r>
    <x v="10"/>
    <x v="279"/>
    <n v="58"/>
    <n v="6338"/>
    <n v="7"/>
    <n v="95"/>
    <m/>
    <m/>
    <m/>
    <m/>
    <m/>
    <m/>
    <m/>
  </r>
  <r>
    <x v="11"/>
    <x v="279"/>
    <n v="19"/>
    <n v="8858"/>
    <m/>
    <n v="321"/>
    <m/>
    <m/>
    <m/>
    <m/>
    <m/>
    <m/>
    <m/>
  </r>
  <r>
    <x v="12"/>
    <x v="279"/>
    <n v="32"/>
    <n v="57600"/>
    <n v="1"/>
    <n v="1144"/>
    <m/>
    <m/>
    <m/>
    <m/>
    <m/>
    <m/>
    <m/>
  </r>
  <r>
    <x v="13"/>
    <x v="279"/>
    <n v="6"/>
    <n v="579"/>
    <m/>
    <n v="9"/>
    <m/>
    <m/>
    <m/>
    <m/>
    <m/>
    <m/>
    <m/>
  </r>
  <r>
    <x v="14"/>
    <x v="279"/>
    <n v="473"/>
    <n v="35112"/>
    <n v="1"/>
    <n v="656"/>
    <m/>
    <m/>
    <m/>
    <m/>
    <m/>
    <m/>
    <m/>
  </r>
  <r>
    <x v="15"/>
    <x v="279"/>
    <n v="93"/>
    <n v="32971"/>
    <m/>
    <n v="801"/>
    <m/>
    <m/>
    <m/>
    <m/>
    <m/>
    <m/>
    <m/>
  </r>
  <r>
    <x v="16"/>
    <x v="279"/>
    <n v="13"/>
    <n v="21431"/>
    <m/>
    <n v="991"/>
    <m/>
    <m/>
    <m/>
    <m/>
    <m/>
    <m/>
    <m/>
  </r>
  <r>
    <x v="17"/>
    <x v="279"/>
    <n v="35"/>
    <n v="8499"/>
    <m/>
    <n v="173"/>
    <m/>
    <m/>
    <m/>
    <m/>
    <m/>
    <m/>
    <m/>
  </r>
  <r>
    <x v="18"/>
    <x v="279"/>
    <n v="43"/>
    <n v="15144"/>
    <m/>
    <n v="236"/>
    <m/>
    <m/>
    <m/>
    <m/>
    <m/>
    <m/>
    <m/>
  </r>
  <r>
    <x v="19"/>
    <x v="279"/>
    <n v="119"/>
    <n v="17416"/>
    <n v="5"/>
    <n v="306"/>
    <m/>
    <m/>
    <m/>
    <m/>
    <m/>
    <m/>
    <m/>
  </r>
  <r>
    <x v="20"/>
    <x v="279"/>
    <n v="576"/>
    <n v="154795"/>
    <n v="14"/>
    <n v="2424"/>
    <m/>
    <m/>
    <m/>
    <m/>
    <m/>
    <m/>
    <m/>
  </r>
  <r>
    <x v="21"/>
    <x v="279"/>
    <n v="57"/>
    <n v="16216"/>
    <m/>
    <n v="200"/>
    <m/>
    <m/>
    <m/>
    <m/>
    <m/>
    <m/>
    <m/>
  </r>
  <r>
    <x v="22"/>
    <x v="279"/>
    <n v="109"/>
    <n v="16854"/>
    <m/>
    <n v="238"/>
    <m/>
    <m/>
    <m/>
    <m/>
    <m/>
    <m/>
    <m/>
  </r>
  <r>
    <x v="23"/>
    <x v="279"/>
    <n v="86"/>
    <n v="67350"/>
    <m/>
    <n v="1247"/>
    <m/>
    <m/>
    <m/>
    <m/>
    <m/>
    <m/>
    <m/>
  </r>
  <r>
    <x v="0"/>
    <x v="280"/>
    <n v="836"/>
    <n v="630006"/>
    <n v="39"/>
    <n v="21167"/>
    <m/>
    <m/>
    <m/>
    <m/>
    <m/>
    <m/>
    <m/>
  </r>
  <r>
    <x v="4"/>
    <x v="280"/>
    <n v="159"/>
    <n v="160996"/>
    <n v="3"/>
    <n v="5306"/>
    <m/>
    <m/>
    <m/>
    <m/>
    <m/>
    <m/>
    <m/>
  </r>
  <r>
    <x v="1"/>
    <x v="280"/>
    <n v="12"/>
    <n v="2027"/>
    <m/>
    <n v="17"/>
    <m/>
    <m/>
    <m/>
    <m/>
    <m/>
    <m/>
    <m/>
  </r>
  <r>
    <x v="2"/>
    <x v="280"/>
    <n v="59"/>
    <n v="20885"/>
    <n v="10"/>
    <n v="603"/>
    <m/>
    <m/>
    <m/>
    <m/>
    <m/>
    <m/>
    <m/>
  </r>
  <r>
    <x v="3"/>
    <x v="280"/>
    <n v="121"/>
    <n v="24770"/>
    <n v="4"/>
    <n v="411"/>
    <m/>
    <m/>
    <m/>
    <m/>
    <m/>
    <m/>
    <m/>
  </r>
  <r>
    <x v="5"/>
    <x v="280"/>
    <n v="241"/>
    <n v="117848"/>
    <n v="19"/>
    <n v="2117"/>
    <m/>
    <m/>
    <m/>
    <m/>
    <m/>
    <m/>
    <m/>
  </r>
  <r>
    <x v="6"/>
    <x v="280"/>
    <n v="127"/>
    <n v="8989"/>
    <n v="9"/>
    <n v="120"/>
    <m/>
    <m/>
    <m/>
    <m/>
    <m/>
    <m/>
    <m/>
  </r>
  <r>
    <x v="7"/>
    <x v="280"/>
    <n v="137"/>
    <n v="24712"/>
    <n v="6"/>
    <n v="498"/>
    <m/>
    <m/>
    <m/>
    <m/>
    <m/>
    <m/>
    <m/>
  </r>
  <r>
    <x v="8"/>
    <x v="280"/>
    <n v="4"/>
    <n v="193"/>
    <m/>
    <n v="3"/>
    <m/>
    <m/>
    <m/>
    <m/>
    <m/>
    <m/>
    <m/>
  </r>
  <r>
    <x v="9"/>
    <x v="280"/>
    <n v="9"/>
    <n v="18425"/>
    <m/>
    <n v="852"/>
    <m/>
    <m/>
    <m/>
    <m/>
    <m/>
    <m/>
    <m/>
  </r>
  <r>
    <x v="10"/>
    <x v="280"/>
    <n v="62"/>
    <n v="6400"/>
    <m/>
    <n v="95"/>
    <m/>
    <m/>
    <m/>
    <m/>
    <m/>
    <m/>
    <m/>
  </r>
  <r>
    <x v="11"/>
    <x v="280"/>
    <n v="7"/>
    <n v="8865"/>
    <n v="1"/>
    <n v="322"/>
    <m/>
    <m/>
    <m/>
    <m/>
    <m/>
    <m/>
    <m/>
  </r>
  <r>
    <x v="12"/>
    <x v="280"/>
    <n v="32"/>
    <n v="57632"/>
    <n v="2"/>
    <n v="1146"/>
    <m/>
    <m/>
    <m/>
    <m/>
    <m/>
    <m/>
    <m/>
  </r>
  <r>
    <x v="13"/>
    <x v="280"/>
    <n v="11"/>
    <n v="590"/>
    <m/>
    <n v="9"/>
    <m/>
    <m/>
    <m/>
    <m/>
    <m/>
    <m/>
    <m/>
  </r>
  <r>
    <x v="14"/>
    <x v="280"/>
    <n v="477"/>
    <n v="35589"/>
    <m/>
    <n v="656"/>
    <m/>
    <m/>
    <m/>
    <m/>
    <m/>
    <m/>
    <m/>
  </r>
  <r>
    <x v="15"/>
    <x v="280"/>
    <n v="137"/>
    <n v="33108"/>
    <n v="2"/>
    <n v="803"/>
    <m/>
    <m/>
    <m/>
    <m/>
    <m/>
    <m/>
    <m/>
  </r>
  <r>
    <x v="16"/>
    <x v="280"/>
    <n v="7"/>
    <n v="21438"/>
    <m/>
    <n v="991"/>
    <m/>
    <m/>
    <m/>
    <m/>
    <m/>
    <m/>
    <m/>
  </r>
  <r>
    <x v="17"/>
    <x v="280"/>
    <n v="107"/>
    <n v="8606"/>
    <m/>
    <n v="173"/>
    <m/>
    <m/>
    <m/>
    <m/>
    <m/>
    <m/>
    <m/>
  </r>
  <r>
    <x v="18"/>
    <x v="280"/>
    <n v="87"/>
    <n v="15231"/>
    <m/>
    <n v="236"/>
    <m/>
    <m/>
    <m/>
    <m/>
    <m/>
    <m/>
    <m/>
  </r>
  <r>
    <x v="19"/>
    <x v="280"/>
    <n v="238"/>
    <n v="17654"/>
    <n v="2"/>
    <n v="308"/>
    <m/>
    <m/>
    <m/>
    <m/>
    <m/>
    <m/>
    <m/>
  </r>
  <r>
    <x v="20"/>
    <x v="280"/>
    <n v="559"/>
    <n v="155354"/>
    <n v="21"/>
    <n v="2445"/>
    <m/>
    <m/>
    <m/>
    <m/>
    <m/>
    <m/>
    <m/>
  </r>
  <r>
    <x v="21"/>
    <x v="280"/>
    <n v="23"/>
    <n v="16239"/>
    <n v="1"/>
    <n v="201"/>
    <m/>
    <m/>
    <m/>
    <m/>
    <m/>
    <m/>
    <m/>
  </r>
  <r>
    <x v="22"/>
    <x v="280"/>
    <n v="65"/>
    <n v="16919"/>
    <n v="1"/>
    <n v="239"/>
    <m/>
    <m/>
    <m/>
    <m/>
    <m/>
    <m/>
    <m/>
  </r>
  <r>
    <x v="23"/>
    <x v="280"/>
    <n v="93"/>
    <n v="67443"/>
    <m/>
    <n v="1247"/>
    <m/>
    <m/>
    <m/>
    <m/>
    <m/>
    <m/>
    <m/>
  </r>
  <r>
    <x v="0"/>
    <x v="281"/>
    <n v="1460"/>
    <n v="631466"/>
    <n v="67"/>
    <n v="21234"/>
    <m/>
    <m/>
    <m/>
    <m/>
    <m/>
    <m/>
    <m/>
  </r>
  <r>
    <x v="4"/>
    <x v="281"/>
    <n v="334"/>
    <n v="161330"/>
    <n v="16"/>
    <n v="5322"/>
    <m/>
    <m/>
    <m/>
    <m/>
    <m/>
    <m/>
    <m/>
  </r>
  <r>
    <x v="1"/>
    <x v="281"/>
    <n v="3"/>
    <n v="2030"/>
    <m/>
    <n v="17"/>
    <m/>
    <m/>
    <m/>
    <m/>
    <m/>
    <m/>
    <m/>
  </r>
  <r>
    <x v="2"/>
    <x v="281"/>
    <n v="151"/>
    <n v="21036"/>
    <n v="4"/>
    <n v="607"/>
    <m/>
    <m/>
    <m/>
    <m/>
    <m/>
    <m/>
    <m/>
  </r>
  <r>
    <x v="3"/>
    <x v="281"/>
    <n v="266"/>
    <n v="25036"/>
    <m/>
    <n v="411"/>
    <m/>
    <m/>
    <m/>
    <m/>
    <m/>
    <m/>
    <m/>
  </r>
  <r>
    <x v="5"/>
    <x v="281"/>
    <n v="251"/>
    <n v="118099"/>
    <n v="24"/>
    <n v="2141"/>
    <m/>
    <m/>
    <m/>
    <m/>
    <m/>
    <m/>
    <m/>
  </r>
  <r>
    <x v="6"/>
    <x v="281"/>
    <n v="61"/>
    <n v="9050"/>
    <n v="10"/>
    <n v="130"/>
    <m/>
    <m/>
    <m/>
    <m/>
    <m/>
    <m/>
    <m/>
  </r>
  <r>
    <x v="7"/>
    <x v="281"/>
    <n v="103"/>
    <n v="24815"/>
    <n v="7"/>
    <n v="505"/>
    <m/>
    <m/>
    <m/>
    <m/>
    <m/>
    <m/>
    <m/>
  </r>
  <r>
    <x v="8"/>
    <x v="281"/>
    <n v="4"/>
    <n v="197"/>
    <m/>
    <n v="3"/>
    <m/>
    <m/>
    <m/>
    <m/>
    <m/>
    <m/>
    <m/>
  </r>
  <r>
    <x v="9"/>
    <x v="281"/>
    <n v="4"/>
    <n v="18429"/>
    <m/>
    <n v="852"/>
    <m/>
    <m/>
    <m/>
    <m/>
    <m/>
    <m/>
    <m/>
  </r>
  <r>
    <x v="10"/>
    <x v="281"/>
    <n v="123"/>
    <n v="6523"/>
    <m/>
    <n v="95"/>
    <m/>
    <m/>
    <m/>
    <m/>
    <m/>
    <m/>
    <m/>
  </r>
  <r>
    <x v="11"/>
    <x v="281"/>
    <n v="28"/>
    <n v="8893"/>
    <m/>
    <n v="322"/>
    <m/>
    <m/>
    <m/>
    <m/>
    <m/>
    <m/>
    <m/>
  </r>
  <r>
    <x v="12"/>
    <x v="281"/>
    <n v="108"/>
    <n v="57740"/>
    <n v="18"/>
    <n v="1164"/>
    <m/>
    <m/>
    <m/>
    <m/>
    <m/>
    <m/>
    <m/>
  </r>
  <r>
    <x v="13"/>
    <x v="281"/>
    <n v="18"/>
    <n v="608"/>
    <m/>
    <n v="9"/>
    <m/>
    <m/>
    <m/>
    <m/>
    <m/>
    <m/>
    <m/>
  </r>
  <r>
    <x v="14"/>
    <x v="281"/>
    <n v="550"/>
    <n v="36139"/>
    <n v="1"/>
    <n v="657"/>
    <m/>
    <m/>
    <m/>
    <m/>
    <m/>
    <m/>
    <m/>
  </r>
  <r>
    <x v="15"/>
    <x v="281"/>
    <n v="128"/>
    <n v="33236"/>
    <n v="5"/>
    <n v="808"/>
    <m/>
    <m/>
    <m/>
    <m/>
    <m/>
    <m/>
    <m/>
  </r>
  <r>
    <x v="16"/>
    <x v="281"/>
    <n v="15"/>
    <n v="21453"/>
    <n v="1"/>
    <n v="992"/>
    <m/>
    <m/>
    <m/>
    <m/>
    <m/>
    <m/>
    <m/>
  </r>
  <r>
    <x v="17"/>
    <x v="281"/>
    <n v="197"/>
    <n v="8803"/>
    <n v="1"/>
    <n v="174"/>
    <m/>
    <m/>
    <m/>
    <m/>
    <m/>
    <m/>
    <m/>
  </r>
  <r>
    <x v="18"/>
    <x v="281"/>
    <n v="56"/>
    <n v="15287"/>
    <n v="3"/>
    <n v="239"/>
    <m/>
    <m/>
    <m/>
    <m/>
    <m/>
    <m/>
    <m/>
  </r>
  <r>
    <x v="19"/>
    <x v="281"/>
    <n v="135"/>
    <n v="17789"/>
    <n v="4"/>
    <n v="312"/>
    <m/>
    <m/>
    <m/>
    <m/>
    <m/>
    <m/>
    <m/>
  </r>
  <r>
    <x v="20"/>
    <x v="281"/>
    <n v="996"/>
    <n v="156350"/>
    <n v="37"/>
    <n v="2482"/>
    <m/>
    <m/>
    <m/>
    <m/>
    <m/>
    <m/>
    <m/>
  </r>
  <r>
    <x v="21"/>
    <x v="281"/>
    <n v="56"/>
    <n v="16295"/>
    <n v="1"/>
    <n v="202"/>
    <m/>
    <m/>
    <m/>
    <m/>
    <m/>
    <m/>
    <m/>
  </r>
  <r>
    <x v="22"/>
    <x v="281"/>
    <n v="89"/>
    <n v="17008"/>
    <n v="2"/>
    <n v="241"/>
    <m/>
    <m/>
    <m/>
    <m/>
    <m/>
    <m/>
    <m/>
  </r>
  <r>
    <x v="23"/>
    <x v="281"/>
    <n v="167"/>
    <n v="67610"/>
    <n v="10"/>
    <n v="1257"/>
    <m/>
    <m/>
    <m/>
    <m/>
    <m/>
    <m/>
    <m/>
  </r>
  <r>
    <x v="0"/>
    <x v="282"/>
    <n v="1906"/>
    <n v="633372"/>
    <n v="56"/>
    <n v="21290"/>
    <m/>
    <m/>
    <m/>
    <m/>
    <m/>
    <m/>
    <m/>
  </r>
  <r>
    <x v="4"/>
    <x v="282"/>
    <n v="402"/>
    <n v="161732"/>
    <n v="3"/>
    <n v="5325"/>
    <m/>
    <m/>
    <m/>
    <m/>
    <m/>
    <m/>
    <m/>
  </r>
  <r>
    <x v="1"/>
    <x v="282"/>
    <n v="27"/>
    <n v="2057"/>
    <m/>
    <n v="17"/>
    <m/>
    <m/>
    <m/>
    <m/>
    <m/>
    <m/>
    <m/>
  </r>
  <r>
    <x v="2"/>
    <x v="282"/>
    <n v="155"/>
    <n v="21191"/>
    <n v="2"/>
    <n v="609"/>
    <m/>
    <m/>
    <m/>
    <m/>
    <m/>
    <m/>
    <m/>
  </r>
  <r>
    <x v="3"/>
    <x v="282"/>
    <n v="337"/>
    <n v="25373"/>
    <n v="15"/>
    <n v="426"/>
    <m/>
    <m/>
    <m/>
    <m/>
    <m/>
    <m/>
    <m/>
  </r>
  <r>
    <x v="5"/>
    <x v="282"/>
    <n v="610"/>
    <n v="118709"/>
    <n v="26"/>
    <n v="2167"/>
    <m/>
    <m/>
    <m/>
    <m/>
    <m/>
    <m/>
    <m/>
  </r>
  <r>
    <x v="6"/>
    <x v="282"/>
    <n v="221"/>
    <n v="9271"/>
    <m/>
    <n v="130"/>
    <m/>
    <m/>
    <m/>
    <m/>
    <m/>
    <m/>
    <m/>
  </r>
  <r>
    <x v="7"/>
    <x v="282"/>
    <n v="174"/>
    <n v="24989"/>
    <n v="3"/>
    <n v="508"/>
    <m/>
    <m/>
    <m/>
    <m/>
    <m/>
    <m/>
    <m/>
  </r>
  <r>
    <x v="8"/>
    <x v="282"/>
    <n v="-2"/>
    <n v="195"/>
    <m/>
    <n v="3"/>
    <m/>
    <m/>
    <m/>
    <m/>
    <m/>
    <m/>
    <m/>
  </r>
  <r>
    <x v="9"/>
    <x v="282"/>
    <n v="2"/>
    <n v="18431"/>
    <n v="1"/>
    <n v="853"/>
    <m/>
    <m/>
    <m/>
    <m/>
    <m/>
    <m/>
    <m/>
  </r>
  <r>
    <x v="10"/>
    <x v="282"/>
    <n v="102"/>
    <n v="6625"/>
    <n v="1"/>
    <n v="96"/>
    <m/>
    <m/>
    <m/>
    <m/>
    <m/>
    <m/>
    <m/>
  </r>
  <r>
    <x v="11"/>
    <x v="282"/>
    <n v="9"/>
    <n v="8902"/>
    <m/>
    <n v="322"/>
    <m/>
    <m/>
    <m/>
    <m/>
    <m/>
    <m/>
    <m/>
  </r>
  <r>
    <x v="12"/>
    <x v="282"/>
    <n v="163"/>
    <n v="57903"/>
    <n v="8"/>
    <n v="1172"/>
    <m/>
    <m/>
    <m/>
    <m/>
    <m/>
    <m/>
    <m/>
  </r>
  <r>
    <x v="13"/>
    <x v="282"/>
    <n v="8"/>
    <n v="616"/>
    <m/>
    <n v="9"/>
    <m/>
    <m/>
    <m/>
    <m/>
    <m/>
    <m/>
    <m/>
  </r>
  <r>
    <x v="14"/>
    <x v="282"/>
    <n v="368"/>
    <n v="36507"/>
    <n v="4"/>
    <n v="661"/>
    <m/>
    <m/>
    <m/>
    <m/>
    <m/>
    <m/>
    <m/>
  </r>
  <r>
    <x v="15"/>
    <x v="282"/>
    <n v="406"/>
    <n v="33642"/>
    <n v="11"/>
    <n v="819"/>
    <m/>
    <m/>
    <m/>
    <m/>
    <m/>
    <m/>
    <m/>
  </r>
  <r>
    <x v="16"/>
    <x v="282"/>
    <n v="40"/>
    <n v="21493"/>
    <n v="2"/>
    <n v="994"/>
    <m/>
    <m/>
    <m/>
    <m/>
    <m/>
    <m/>
    <m/>
  </r>
  <r>
    <x v="17"/>
    <x v="282"/>
    <n v="239"/>
    <n v="9042"/>
    <m/>
    <n v="174"/>
    <m/>
    <m/>
    <m/>
    <m/>
    <m/>
    <m/>
    <m/>
  </r>
  <r>
    <x v="18"/>
    <x v="282"/>
    <n v="76"/>
    <n v="15363"/>
    <n v="9"/>
    <n v="248"/>
    <m/>
    <m/>
    <m/>
    <m/>
    <m/>
    <m/>
    <m/>
  </r>
  <r>
    <x v="19"/>
    <x v="282"/>
    <n v="320"/>
    <n v="18109"/>
    <n v="5"/>
    <n v="317"/>
    <m/>
    <m/>
    <m/>
    <m/>
    <m/>
    <m/>
    <m/>
  </r>
  <r>
    <x v="20"/>
    <x v="282"/>
    <n v="1000"/>
    <n v="157350"/>
    <n v="34"/>
    <n v="2516"/>
    <m/>
    <m/>
    <m/>
    <m/>
    <m/>
    <m/>
    <m/>
  </r>
  <r>
    <x v="21"/>
    <x v="282"/>
    <n v="44"/>
    <n v="16339"/>
    <n v="3"/>
    <n v="205"/>
    <m/>
    <m/>
    <m/>
    <m/>
    <m/>
    <m/>
    <m/>
  </r>
  <r>
    <x v="22"/>
    <x v="282"/>
    <n v="152"/>
    <n v="17160"/>
    <n v="1"/>
    <n v="242"/>
    <m/>
    <m/>
    <m/>
    <m/>
    <m/>
    <m/>
    <m/>
  </r>
  <r>
    <x v="23"/>
    <x v="282"/>
    <n v="235"/>
    <n v="67845"/>
    <n v="25"/>
    <n v="1282"/>
    <m/>
    <m/>
    <m/>
    <m/>
    <m/>
    <m/>
    <m/>
  </r>
  <r>
    <x v="0"/>
    <x v="283"/>
    <n v="2101"/>
    <n v="635473"/>
    <n v="31"/>
    <n v="21321"/>
    <m/>
    <m/>
    <m/>
    <m/>
    <m/>
    <m/>
    <m/>
  </r>
  <r>
    <x v="4"/>
    <x v="283"/>
    <n v="445"/>
    <n v="162177"/>
    <n v="10"/>
    <n v="5335"/>
    <m/>
    <m/>
    <m/>
    <m/>
    <m/>
    <m/>
    <m/>
  </r>
  <r>
    <x v="1"/>
    <x v="283"/>
    <n v="3"/>
    <n v="2060"/>
    <m/>
    <n v="17"/>
    <m/>
    <m/>
    <m/>
    <m/>
    <m/>
    <m/>
    <m/>
  </r>
  <r>
    <x v="2"/>
    <x v="283"/>
    <n v="202"/>
    <n v="21393"/>
    <n v="6"/>
    <n v="615"/>
    <m/>
    <m/>
    <m/>
    <m/>
    <m/>
    <m/>
    <m/>
  </r>
  <r>
    <x v="3"/>
    <x v="283"/>
    <n v="342"/>
    <n v="25715"/>
    <n v="10"/>
    <n v="436"/>
    <m/>
    <m/>
    <m/>
    <m/>
    <m/>
    <m/>
    <m/>
  </r>
  <r>
    <x v="5"/>
    <x v="283"/>
    <n v="532"/>
    <n v="119241"/>
    <n v="36"/>
    <n v="2203"/>
    <m/>
    <m/>
    <m/>
    <m/>
    <m/>
    <m/>
    <m/>
  </r>
  <r>
    <x v="6"/>
    <x v="283"/>
    <n v="171"/>
    <n v="9442"/>
    <n v="3"/>
    <n v="133"/>
    <m/>
    <m/>
    <m/>
    <m/>
    <m/>
    <m/>
    <m/>
  </r>
  <r>
    <x v="7"/>
    <x v="283"/>
    <n v="350"/>
    <n v="25339"/>
    <n v="9"/>
    <n v="517"/>
    <m/>
    <m/>
    <m/>
    <m/>
    <m/>
    <m/>
    <m/>
  </r>
  <r>
    <x v="8"/>
    <x v="283"/>
    <n v="1"/>
    <n v="196"/>
    <m/>
    <n v="3"/>
    <m/>
    <m/>
    <m/>
    <m/>
    <m/>
    <m/>
    <m/>
  </r>
  <r>
    <x v="9"/>
    <x v="283"/>
    <n v="8"/>
    <n v="18439"/>
    <m/>
    <n v="853"/>
    <m/>
    <m/>
    <m/>
    <m/>
    <m/>
    <m/>
    <m/>
  </r>
  <r>
    <x v="10"/>
    <x v="283"/>
    <n v="134"/>
    <n v="6759"/>
    <n v="3"/>
    <n v="99"/>
    <m/>
    <m/>
    <m/>
    <m/>
    <m/>
    <m/>
    <m/>
  </r>
  <r>
    <x v="11"/>
    <x v="283"/>
    <n v="3"/>
    <n v="8905"/>
    <n v="1"/>
    <n v="323"/>
    <m/>
    <m/>
    <m/>
    <m/>
    <m/>
    <m/>
    <m/>
  </r>
  <r>
    <x v="12"/>
    <x v="283"/>
    <n v="124"/>
    <n v="58027"/>
    <n v="1"/>
    <n v="1173"/>
    <m/>
    <m/>
    <m/>
    <m/>
    <m/>
    <m/>
    <m/>
  </r>
  <r>
    <x v="13"/>
    <x v="283"/>
    <n v="20"/>
    <n v="636"/>
    <m/>
    <n v="9"/>
    <m/>
    <m/>
    <m/>
    <m/>
    <m/>
    <m/>
    <m/>
  </r>
  <r>
    <x v="14"/>
    <x v="283"/>
    <n v="183"/>
    <n v="36690"/>
    <n v="12"/>
    <n v="673"/>
    <m/>
    <m/>
    <m/>
    <m/>
    <m/>
    <m/>
    <m/>
  </r>
  <r>
    <x v="15"/>
    <x v="283"/>
    <n v="218"/>
    <n v="33860"/>
    <n v="16"/>
    <n v="835"/>
    <m/>
    <m/>
    <m/>
    <m/>
    <m/>
    <m/>
    <m/>
  </r>
  <r>
    <x v="16"/>
    <x v="283"/>
    <n v="28"/>
    <n v="21521"/>
    <n v="2"/>
    <n v="996"/>
    <m/>
    <m/>
    <m/>
    <m/>
    <m/>
    <m/>
    <m/>
  </r>
  <r>
    <x v="17"/>
    <x v="283"/>
    <n v="132"/>
    <n v="9174"/>
    <m/>
    <n v="174"/>
    <m/>
    <m/>
    <m/>
    <m/>
    <m/>
    <m/>
    <m/>
  </r>
  <r>
    <x v="18"/>
    <x v="283"/>
    <n v="76"/>
    <n v="15439"/>
    <n v="1"/>
    <n v="249"/>
    <m/>
    <m/>
    <m/>
    <m/>
    <m/>
    <m/>
    <m/>
  </r>
  <r>
    <x v="19"/>
    <x v="283"/>
    <n v="296"/>
    <n v="18405"/>
    <n v="5"/>
    <n v="322"/>
    <m/>
    <m/>
    <m/>
    <m/>
    <m/>
    <m/>
    <m/>
  </r>
  <r>
    <x v="20"/>
    <x v="283"/>
    <n v="1205"/>
    <n v="158555"/>
    <n v="20"/>
    <n v="2536"/>
    <m/>
    <m/>
    <m/>
    <m/>
    <m/>
    <m/>
    <m/>
  </r>
  <r>
    <x v="21"/>
    <x v="283"/>
    <n v="62"/>
    <n v="16401"/>
    <n v="1"/>
    <n v="206"/>
    <m/>
    <m/>
    <m/>
    <m/>
    <m/>
    <m/>
    <m/>
  </r>
  <r>
    <x v="22"/>
    <x v="283"/>
    <n v="177"/>
    <n v="17337"/>
    <m/>
    <n v="242"/>
    <m/>
    <m/>
    <m/>
    <m/>
    <m/>
    <m/>
    <m/>
  </r>
  <r>
    <x v="23"/>
    <x v="283"/>
    <n v="299"/>
    <n v="68144"/>
    <n v="10"/>
    <n v="1292"/>
    <m/>
    <m/>
    <m/>
    <m/>
    <m/>
    <m/>
    <m/>
  </r>
  <r>
    <x v="0"/>
    <x v="284"/>
    <n v="1686"/>
    <n v="637159"/>
    <n v="14"/>
    <n v="21335"/>
    <m/>
    <m/>
    <m/>
    <m/>
    <m/>
    <m/>
    <m/>
  </r>
  <r>
    <x v="4"/>
    <x v="284"/>
    <n v="386"/>
    <n v="162563"/>
    <n v="4"/>
    <n v="5339"/>
    <m/>
    <m/>
    <m/>
    <m/>
    <m/>
    <m/>
    <m/>
  </r>
  <r>
    <x v="1"/>
    <x v="284"/>
    <n v="55"/>
    <n v="2115"/>
    <m/>
    <n v="17"/>
    <m/>
    <m/>
    <m/>
    <m/>
    <m/>
    <m/>
    <m/>
  </r>
  <r>
    <x v="2"/>
    <x v="284"/>
    <n v="200"/>
    <n v="21593"/>
    <m/>
    <n v="615"/>
    <m/>
    <m/>
    <m/>
    <m/>
    <m/>
    <m/>
    <m/>
  </r>
  <r>
    <x v="3"/>
    <x v="284"/>
    <n v="229"/>
    <n v="25944"/>
    <m/>
    <n v="436"/>
    <m/>
    <m/>
    <m/>
    <m/>
    <m/>
    <m/>
    <m/>
  </r>
  <r>
    <x v="5"/>
    <x v="284"/>
    <n v="291"/>
    <n v="119532"/>
    <n v="23"/>
    <n v="2226"/>
    <m/>
    <m/>
    <m/>
    <m/>
    <m/>
    <m/>
    <m/>
  </r>
  <r>
    <x v="6"/>
    <x v="284"/>
    <n v="64"/>
    <n v="9506"/>
    <m/>
    <n v="133"/>
    <m/>
    <m/>
    <m/>
    <m/>
    <m/>
    <m/>
    <m/>
  </r>
  <r>
    <x v="7"/>
    <x v="284"/>
    <n v="246"/>
    <n v="25585"/>
    <n v="4"/>
    <n v="521"/>
    <m/>
    <m/>
    <m/>
    <m/>
    <m/>
    <m/>
    <m/>
  </r>
  <r>
    <x v="8"/>
    <x v="284"/>
    <n v="0"/>
    <n v="196"/>
    <m/>
    <n v="3"/>
    <m/>
    <m/>
    <m/>
    <m/>
    <m/>
    <m/>
    <m/>
  </r>
  <r>
    <x v="9"/>
    <x v="284"/>
    <n v="9"/>
    <n v="18448"/>
    <n v="1"/>
    <n v="854"/>
    <m/>
    <m/>
    <m/>
    <m/>
    <m/>
    <m/>
    <m/>
  </r>
  <r>
    <x v="10"/>
    <x v="284"/>
    <n v="91"/>
    <n v="6850"/>
    <m/>
    <n v="99"/>
    <m/>
    <m/>
    <m/>
    <m/>
    <m/>
    <m/>
    <m/>
  </r>
  <r>
    <x v="11"/>
    <x v="284"/>
    <n v="18"/>
    <n v="8923"/>
    <n v="1"/>
    <n v="324"/>
    <m/>
    <m/>
    <m/>
    <m/>
    <m/>
    <m/>
    <m/>
  </r>
  <r>
    <x v="12"/>
    <x v="284"/>
    <n v="111"/>
    <n v="58138"/>
    <n v="1"/>
    <n v="1174"/>
    <m/>
    <m/>
    <m/>
    <m/>
    <m/>
    <m/>
    <m/>
  </r>
  <r>
    <x v="13"/>
    <x v="284"/>
    <n v="19"/>
    <n v="655"/>
    <m/>
    <n v="9"/>
    <m/>
    <m/>
    <m/>
    <m/>
    <m/>
    <m/>
    <m/>
  </r>
  <r>
    <x v="14"/>
    <x v="284"/>
    <n v="126"/>
    <n v="36816"/>
    <m/>
    <n v="673"/>
    <m/>
    <m/>
    <m/>
    <m/>
    <m/>
    <m/>
    <m/>
  </r>
  <r>
    <x v="15"/>
    <x v="284"/>
    <n v="220"/>
    <n v="34080"/>
    <n v="4"/>
    <n v="839"/>
    <m/>
    <m/>
    <m/>
    <m/>
    <m/>
    <m/>
    <m/>
  </r>
  <r>
    <x v="16"/>
    <x v="284"/>
    <n v="29"/>
    <n v="21550"/>
    <n v="1"/>
    <n v="997"/>
    <m/>
    <m/>
    <m/>
    <m/>
    <m/>
    <m/>
    <m/>
  </r>
  <r>
    <x v="17"/>
    <x v="284"/>
    <n v="47"/>
    <n v="9221"/>
    <m/>
    <n v="174"/>
    <m/>
    <m/>
    <m/>
    <m/>
    <m/>
    <m/>
    <m/>
  </r>
  <r>
    <x v="18"/>
    <x v="284"/>
    <n v="19"/>
    <n v="15458"/>
    <n v="1"/>
    <n v="250"/>
    <m/>
    <m/>
    <m/>
    <m/>
    <m/>
    <m/>
    <m/>
  </r>
  <r>
    <x v="19"/>
    <x v="284"/>
    <n v="229"/>
    <n v="18634"/>
    <n v="5"/>
    <n v="327"/>
    <m/>
    <m/>
    <m/>
    <m/>
    <m/>
    <m/>
    <m/>
  </r>
  <r>
    <x v="20"/>
    <x v="284"/>
    <n v="893"/>
    <n v="159448"/>
    <n v="2"/>
    <n v="2538"/>
    <m/>
    <m/>
    <m/>
    <m/>
    <m/>
    <m/>
    <m/>
  </r>
  <r>
    <x v="21"/>
    <x v="284"/>
    <n v="42"/>
    <n v="16443"/>
    <m/>
    <n v="206"/>
    <m/>
    <m/>
    <m/>
    <m/>
    <m/>
    <m/>
    <m/>
  </r>
  <r>
    <x v="22"/>
    <x v="284"/>
    <n v="93"/>
    <n v="17430"/>
    <m/>
    <n v="242"/>
    <m/>
    <m/>
    <m/>
    <m/>
    <m/>
    <m/>
    <m/>
  </r>
  <r>
    <x v="23"/>
    <x v="284"/>
    <n v="171"/>
    <n v="68315"/>
    <m/>
    <n v="1292"/>
    <m/>
    <m/>
    <m/>
    <m/>
    <m/>
    <m/>
    <m/>
  </r>
  <r>
    <x v="0"/>
    <x v="285"/>
    <n v="870"/>
    <n v="638029"/>
    <n v="49"/>
    <n v="21384"/>
    <m/>
    <m/>
    <m/>
    <m/>
    <m/>
    <m/>
    <m/>
  </r>
  <r>
    <x v="4"/>
    <x v="285"/>
    <n v="246"/>
    <n v="162809"/>
    <n v="1"/>
    <n v="5340"/>
    <m/>
    <m/>
    <m/>
    <m/>
    <m/>
    <m/>
    <m/>
  </r>
  <r>
    <x v="1"/>
    <x v="285"/>
    <n v="22"/>
    <n v="2137"/>
    <m/>
    <n v="17"/>
    <m/>
    <m/>
    <m/>
    <m/>
    <m/>
    <m/>
    <m/>
  </r>
  <r>
    <x v="2"/>
    <x v="285"/>
    <n v="109"/>
    <n v="21702"/>
    <n v="4"/>
    <n v="619"/>
    <m/>
    <m/>
    <m/>
    <m/>
    <m/>
    <m/>
    <m/>
  </r>
  <r>
    <x v="3"/>
    <x v="285"/>
    <n v="125"/>
    <n v="26069"/>
    <m/>
    <n v="436"/>
    <m/>
    <m/>
    <m/>
    <m/>
    <m/>
    <m/>
    <m/>
  </r>
  <r>
    <x v="5"/>
    <x v="285"/>
    <n v="249"/>
    <n v="119781"/>
    <n v="30"/>
    <n v="2256"/>
    <m/>
    <m/>
    <m/>
    <m/>
    <m/>
    <m/>
    <m/>
  </r>
  <r>
    <x v="6"/>
    <x v="285"/>
    <n v="42"/>
    <n v="9548"/>
    <n v="2"/>
    <n v="135"/>
    <m/>
    <m/>
    <m/>
    <m/>
    <m/>
    <m/>
    <m/>
  </r>
  <r>
    <x v="7"/>
    <x v="285"/>
    <n v="134"/>
    <n v="25719"/>
    <m/>
    <n v="521"/>
    <m/>
    <m/>
    <m/>
    <m/>
    <m/>
    <m/>
    <m/>
  </r>
  <r>
    <x v="8"/>
    <x v="285"/>
    <n v="1"/>
    <n v="197"/>
    <m/>
    <n v="3"/>
    <m/>
    <m/>
    <m/>
    <m/>
    <m/>
    <m/>
    <m/>
  </r>
  <r>
    <x v="9"/>
    <x v="285"/>
    <n v="1"/>
    <n v="18449"/>
    <m/>
    <n v="854"/>
    <m/>
    <m/>
    <m/>
    <m/>
    <m/>
    <m/>
    <m/>
  </r>
  <r>
    <x v="10"/>
    <x v="285"/>
    <n v="120"/>
    <n v="6970"/>
    <m/>
    <n v="99"/>
    <m/>
    <m/>
    <m/>
    <m/>
    <m/>
    <m/>
    <m/>
  </r>
  <r>
    <x v="11"/>
    <x v="285"/>
    <n v="11"/>
    <n v="8934"/>
    <n v="1"/>
    <n v="325"/>
    <m/>
    <m/>
    <m/>
    <m/>
    <m/>
    <m/>
    <m/>
  </r>
  <r>
    <x v="12"/>
    <x v="285"/>
    <n v="120"/>
    <n v="58258"/>
    <m/>
    <n v="1174"/>
    <m/>
    <m/>
    <m/>
    <m/>
    <m/>
    <m/>
    <m/>
  </r>
  <r>
    <x v="13"/>
    <x v="285"/>
    <n v="28"/>
    <n v="683"/>
    <m/>
    <n v="9"/>
    <m/>
    <m/>
    <m/>
    <m/>
    <m/>
    <m/>
    <m/>
  </r>
  <r>
    <x v="14"/>
    <x v="285"/>
    <n v="104"/>
    <n v="36920"/>
    <m/>
    <n v="673"/>
    <m/>
    <m/>
    <m/>
    <m/>
    <m/>
    <m/>
    <m/>
  </r>
  <r>
    <x v="15"/>
    <x v="285"/>
    <n v="158"/>
    <n v="34238"/>
    <m/>
    <n v="839"/>
    <m/>
    <m/>
    <m/>
    <m/>
    <m/>
    <m/>
    <m/>
  </r>
  <r>
    <x v="16"/>
    <x v="285"/>
    <n v="28"/>
    <n v="21578"/>
    <m/>
    <n v="997"/>
    <m/>
    <m/>
    <m/>
    <m/>
    <m/>
    <m/>
    <m/>
  </r>
  <r>
    <x v="17"/>
    <x v="285"/>
    <n v="28"/>
    <n v="9249"/>
    <m/>
    <n v="174"/>
    <m/>
    <m/>
    <m/>
    <m/>
    <m/>
    <m/>
    <m/>
  </r>
  <r>
    <x v="18"/>
    <x v="285"/>
    <n v="27"/>
    <n v="15485"/>
    <m/>
    <n v="250"/>
    <m/>
    <m/>
    <m/>
    <m/>
    <m/>
    <m/>
    <m/>
  </r>
  <r>
    <x v="19"/>
    <x v="285"/>
    <n v="203"/>
    <n v="18837"/>
    <n v="2"/>
    <n v="329"/>
    <m/>
    <m/>
    <m/>
    <m/>
    <m/>
    <m/>
    <m/>
  </r>
  <r>
    <x v="20"/>
    <x v="285"/>
    <n v="632"/>
    <n v="160080"/>
    <n v="9"/>
    <n v="2547"/>
    <m/>
    <m/>
    <m/>
    <m/>
    <m/>
    <m/>
    <m/>
  </r>
  <r>
    <x v="21"/>
    <x v="285"/>
    <n v="45"/>
    <n v="16488"/>
    <m/>
    <n v="206"/>
    <m/>
    <m/>
    <m/>
    <m/>
    <m/>
    <m/>
    <m/>
  </r>
  <r>
    <x v="22"/>
    <x v="285"/>
    <n v="75"/>
    <n v="17505"/>
    <m/>
    <n v="242"/>
    <m/>
    <m/>
    <m/>
    <m/>
    <m/>
    <m/>
    <m/>
  </r>
  <r>
    <x v="23"/>
    <x v="285"/>
    <n v="80"/>
    <n v="68395"/>
    <m/>
    <n v="1292"/>
    <m/>
    <m/>
    <m/>
    <m/>
    <m/>
    <m/>
    <m/>
  </r>
  <r>
    <x v="0"/>
    <x v="286"/>
    <n v="1532"/>
    <n v="639561"/>
    <n v="121"/>
    <n v="21505"/>
    <m/>
    <m/>
    <m/>
    <m/>
    <m/>
    <m/>
    <m/>
  </r>
  <r>
    <x v="4"/>
    <x v="286"/>
    <n v="416"/>
    <n v="163225"/>
    <n v="7"/>
    <n v="5347"/>
    <m/>
    <m/>
    <m/>
    <m/>
    <m/>
    <m/>
    <m/>
  </r>
  <r>
    <x v="1"/>
    <x v="286"/>
    <n v="34"/>
    <n v="2171"/>
    <m/>
    <n v="17"/>
    <m/>
    <m/>
    <m/>
    <m/>
    <m/>
    <m/>
    <m/>
  </r>
  <r>
    <x v="2"/>
    <x v="286"/>
    <n v="166"/>
    <n v="21868"/>
    <n v="7"/>
    <n v="626"/>
    <m/>
    <m/>
    <m/>
    <m/>
    <m/>
    <m/>
    <m/>
  </r>
  <r>
    <x v="3"/>
    <x v="286"/>
    <n v="232"/>
    <n v="26301"/>
    <n v="13"/>
    <n v="449"/>
    <m/>
    <m/>
    <m/>
    <m/>
    <m/>
    <m/>
    <m/>
  </r>
  <r>
    <x v="5"/>
    <x v="286"/>
    <n v="234"/>
    <n v="120015"/>
    <n v="30"/>
    <n v="2286"/>
    <m/>
    <m/>
    <m/>
    <m/>
    <m/>
    <m/>
    <m/>
  </r>
  <r>
    <x v="6"/>
    <x v="286"/>
    <n v="92"/>
    <n v="9640"/>
    <n v="2"/>
    <n v="137"/>
    <m/>
    <m/>
    <m/>
    <m/>
    <m/>
    <m/>
    <m/>
  </r>
  <r>
    <x v="7"/>
    <x v="286"/>
    <n v="73"/>
    <n v="25792"/>
    <n v="8"/>
    <n v="529"/>
    <m/>
    <m/>
    <m/>
    <m/>
    <m/>
    <m/>
    <m/>
  </r>
  <r>
    <x v="8"/>
    <x v="286"/>
    <n v="1"/>
    <n v="198"/>
    <m/>
    <n v="3"/>
    <m/>
    <m/>
    <m/>
    <m/>
    <m/>
    <m/>
    <m/>
  </r>
  <r>
    <x v="9"/>
    <x v="286"/>
    <n v="6"/>
    <n v="18455"/>
    <m/>
    <n v="854"/>
    <m/>
    <m/>
    <m/>
    <m/>
    <m/>
    <m/>
    <m/>
  </r>
  <r>
    <x v="10"/>
    <x v="286"/>
    <n v="148"/>
    <n v="7118"/>
    <n v="5"/>
    <n v="104"/>
    <m/>
    <m/>
    <m/>
    <m/>
    <m/>
    <m/>
    <m/>
  </r>
  <r>
    <x v="11"/>
    <x v="286"/>
    <n v="7"/>
    <n v="8941"/>
    <m/>
    <n v="325"/>
    <m/>
    <m/>
    <m/>
    <m/>
    <m/>
    <m/>
    <m/>
  </r>
  <r>
    <x v="12"/>
    <x v="286"/>
    <n v="108"/>
    <n v="58366"/>
    <n v="4"/>
    <n v="1178"/>
    <m/>
    <m/>
    <m/>
    <m/>
    <m/>
    <m/>
    <m/>
  </r>
  <r>
    <x v="13"/>
    <x v="286"/>
    <n v="2"/>
    <n v="685"/>
    <n v="1"/>
    <n v="10"/>
    <m/>
    <m/>
    <m/>
    <m/>
    <m/>
    <m/>
    <m/>
  </r>
  <r>
    <x v="14"/>
    <x v="286"/>
    <n v="172"/>
    <n v="37092"/>
    <m/>
    <n v="673"/>
    <m/>
    <m/>
    <m/>
    <m/>
    <m/>
    <m/>
    <m/>
  </r>
  <r>
    <x v="15"/>
    <x v="286"/>
    <n v="133"/>
    <n v="34371"/>
    <n v="5"/>
    <n v="844"/>
    <m/>
    <m/>
    <m/>
    <m/>
    <m/>
    <m/>
    <m/>
  </r>
  <r>
    <x v="16"/>
    <x v="286"/>
    <n v="36"/>
    <n v="21614"/>
    <n v="2"/>
    <n v="999"/>
    <m/>
    <m/>
    <m/>
    <m/>
    <m/>
    <m/>
    <m/>
  </r>
  <r>
    <x v="17"/>
    <x v="286"/>
    <n v="232"/>
    <n v="9481"/>
    <n v="22"/>
    <n v="196"/>
    <m/>
    <m/>
    <m/>
    <m/>
    <m/>
    <m/>
    <m/>
  </r>
  <r>
    <x v="18"/>
    <x v="286"/>
    <n v="58"/>
    <n v="15543"/>
    <n v="3"/>
    <n v="253"/>
    <m/>
    <m/>
    <m/>
    <m/>
    <m/>
    <m/>
    <m/>
  </r>
  <r>
    <x v="19"/>
    <x v="286"/>
    <n v="177"/>
    <n v="19014"/>
    <n v="5"/>
    <n v="334"/>
    <m/>
    <m/>
    <m/>
    <m/>
    <m/>
    <m/>
    <m/>
  </r>
  <r>
    <x v="20"/>
    <x v="286"/>
    <n v="741"/>
    <n v="160821"/>
    <n v="29"/>
    <n v="2576"/>
    <m/>
    <m/>
    <m/>
    <m/>
    <m/>
    <m/>
    <m/>
  </r>
  <r>
    <x v="21"/>
    <x v="286"/>
    <n v="44"/>
    <n v="16532"/>
    <n v="2"/>
    <n v="208"/>
    <m/>
    <m/>
    <m/>
    <m/>
    <m/>
    <m/>
    <m/>
  </r>
  <r>
    <x v="22"/>
    <x v="286"/>
    <n v="172"/>
    <n v="17677"/>
    <m/>
    <n v="242"/>
    <m/>
    <m/>
    <m/>
    <m/>
    <m/>
    <m/>
    <m/>
  </r>
  <r>
    <x v="23"/>
    <x v="286"/>
    <n v="246"/>
    <n v="68641"/>
    <n v="9"/>
    <n v="1301"/>
    <m/>
    <m/>
    <m/>
    <m/>
    <m/>
    <m/>
    <m/>
  </r>
  <r>
    <x v="0"/>
    <x v="287"/>
    <n v="2226"/>
    <n v="641787"/>
    <n v="29"/>
    <n v="21534"/>
    <m/>
    <m/>
    <m/>
    <m/>
    <m/>
    <m/>
    <m/>
  </r>
  <r>
    <x v="4"/>
    <x v="287"/>
    <n v="483"/>
    <n v="163708"/>
    <n v="8"/>
    <n v="5355"/>
    <m/>
    <m/>
    <m/>
    <m/>
    <m/>
    <m/>
    <m/>
  </r>
  <r>
    <x v="1"/>
    <x v="287"/>
    <n v="19"/>
    <n v="2190"/>
    <m/>
    <n v="17"/>
    <m/>
    <m/>
    <m/>
    <m/>
    <m/>
    <m/>
    <m/>
  </r>
  <r>
    <x v="2"/>
    <x v="287"/>
    <n v="160"/>
    <n v="22028"/>
    <n v="7"/>
    <n v="633"/>
    <m/>
    <m/>
    <m/>
    <m/>
    <m/>
    <m/>
    <m/>
  </r>
  <r>
    <x v="3"/>
    <x v="287"/>
    <n v="358"/>
    <n v="26659"/>
    <n v="11"/>
    <n v="460"/>
    <m/>
    <m/>
    <m/>
    <m/>
    <m/>
    <m/>
    <m/>
  </r>
  <r>
    <x v="5"/>
    <x v="287"/>
    <n v="386"/>
    <n v="120401"/>
    <n v="33"/>
    <n v="2319"/>
    <m/>
    <m/>
    <m/>
    <m/>
    <m/>
    <m/>
    <m/>
  </r>
  <r>
    <x v="6"/>
    <x v="287"/>
    <n v="156"/>
    <n v="9796"/>
    <n v="1"/>
    <n v="138"/>
    <m/>
    <m/>
    <m/>
    <m/>
    <m/>
    <m/>
    <m/>
  </r>
  <r>
    <x v="7"/>
    <x v="287"/>
    <n v="135"/>
    <n v="25927"/>
    <n v="6"/>
    <n v="535"/>
    <m/>
    <m/>
    <m/>
    <m/>
    <m/>
    <m/>
    <m/>
  </r>
  <r>
    <x v="8"/>
    <x v="287"/>
    <n v="-1"/>
    <n v="197"/>
    <m/>
    <n v="3"/>
    <m/>
    <m/>
    <m/>
    <m/>
    <m/>
    <m/>
    <m/>
  </r>
  <r>
    <x v="9"/>
    <x v="287"/>
    <n v="4"/>
    <n v="18459"/>
    <m/>
    <n v="854"/>
    <m/>
    <m/>
    <m/>
    <m/>
    <m/>
    <m/>
    <m/>
  </r>
  <r>
    <x v="10"/>
    <x v="287"/>
    <n v="163"/>
    <n v="7281"/>
    <m/>
    <n v="104"/>
    <m/>
    <m/>
    <m/>
    <m/>
    <m/>
    <m/>
    <m/>
  </r>
  <r>
    <x v="11"/>
    <x v="287"/>
    <n v="9"/>
    <n v="8950"/>
    <m/>
    <n v="325"/>
    <m/>
    <m/>
    <m/>
    <m/>
    <m/>
    <m/>
    <m/>
  </r>
  <r>
    <x v="12"/>
    <x v="287"/>
    <n v="160"/>
    <n v="58526"/>
    <n v="6"/>
    <n v="1184"/>
    <m/>
    <m/>
    <m/>
    <m/>
    <m/>
    <m/>
    <m/>
  </r>
  <r>
    <x v="13"/>
    <x v="287"/>
    <n v="18"/>
    <n v="703"/>
    <n v="1"/>
    <n v="11"/>
    <m/>
    <m/>
    <m/>
    <m/>
    <m/>
    <m/>
    <m/>
  </r>
  <r>
    <x v="14"/>
    <x v="287"/>
    <n v="247"/>
    <n v="37339"/>
    <n v="7"/>
    <n v="680"/>
    <m/>
    <m/>
    <m/>
    <m/>
    <m/>
    <m/>
    <m/>
  </r>
  <r>
    <x v="15"/>
    <x v="287"/>
    <n v="286"/>
    <n v="34657"/>
    <n v="4"/>
    <n v="848"/>
    <m/>
    <m/>
    <m/>
    <m/>
    <m/>
    <m/>
    <m/>
  </r>
  <r>
    <x v="16"/>
    <x v="287"/>
    <n v="65"/>
    <n v="21679"/>
    <n v="1"/>
    <n v="1000"/>
    <m/>
    <m/>
    <m/>
    <m/>
    <m/>
    <m/>
    <m/>
  </r>
  <r>
    <x v="17"/>
    <x v="287"/>
    <n v="204"/>
    <n v="9685"/>
    <m/>
    <n v="196"/>
    <m/>
    <m/>
    <m/>
    <m/>
    <m/>
    <m/>
    <m/>
  </r>
  <r>
    <x v="18"/>
    <x v="287"/>
    <n v="101"/>
    <n v="15644"/>
    <n v="4"/>
    <n v="257"/>
    <m/>
    <m/>
    <m/>
    <m/>
    <m/>
    <m/>
    <m/>
  </r>
  <r>
    <x v="19"/>
    <x v="287"/>
    <n v="332"/>
    <n v="19346"/>
    <n v="6"/>
    <n v="340"/>
    <m/>
    <m/>
    <m/>
    <m/>
    <m/>
    <m/>
    <m/>
  </r>
  <r>
    <x v="20"/>
    <x v="287"/>
    <n v="1145"/>
    <n v="161966"/>
    <n v="22"/>
    <n v="2598"/>
    <m/>
    <m/>
    <m/>
    <m/>
    <m/>
    <m/>
    <m/>
  </r>
  <r>
    <x v="21"/>
    <x v="287"/>
    <n v="39"/>
    <n v="16571"/>
    <n v="2"/>
    <n v="210"/>
    <m/>
    <m/>
    <m/>
    <m/>
    <m/>
    <m/>
    <m/>
  </r>
  <r>
    <x v="22"/>
    <x v="287"/>
    <n v="72"/>
    <n v="17749"/>
    <m/>
    <n v="242"/>
    <m/>
    <m/>
    <m/>
    <m/>
    <m/>
    <m/>
    <m/>
  </r>
  <r>
    <x v="23"/>
    <x v="287"/>
    <n v="214"/>
    <n v="68855"/>
    <n v="8"/>
    <n v="1309"/>
    <m/>
    <m/>
    <m/>
    <m/>
    <m/>
    <m/>
    <m/>
  </r>
  <r>
    <x v="0"/>
    <x v="288"/>
    <n v="2321"/>
    <n v="644108"/>
    <n v="38"/>
    <n v="21572"/>
    <m/>
    <m/>
    <m/>
    <m/>
    <m/>
    <m/>
    <m/>
  </r>
  <r>
    <x v="4"/>
    <x v="288"/>
    <n v="394"/>
    <n v="164102"/>
    <n v="10"/>
    <n v="5365"/>
    <m/>
    <m/>
    <m/>
    <m/>
    <m/>
    <m/>
    <m/>
  </r>
  <r>
    <x v="1"/>
    <x v="288"/>
    <n v="20"/>
    <n v="2210"/>
    <m/>
    <n v="17"/>
    <m/>
    <m/>
    <m/>
    <m/>
    <m/>
    <m/>
    <m/>
  </r>
  <r>
    <x v="2"/>
    <x v="288"/>
    <n v="187"/>
    <n v="22215"/>
    <n v="2"/>
    <n v="635"/>
    <m/>
    <m/>
    <m/>
    <m/>
    <m/>
    <m/>
    <m/>
  </r>
  <r>
    <x v="3"/>
    <x v="288"/>
    <n v="384"/>
    <n v="27043"/>
    <n v="3"/>
    <n v="463"/>
    <m/>
    <m/>
    <m/>
    <m/>
    <m/>
    <m/>
    <m/>
  </r>
  <r>
    <x v="5"/>
    <x v="288"/>
    <n v="528"/>
    <n v="120929"/>
    <n v="21"/>
    <n v="2340"/>
    <m/>
    <m/>
    <m/>
    <m/>
    <m/>
    <m/>
    <m/>
  </r>
  <r>
    <x v="6"/>
    <x v="288"/>
    <n v="111"/>
    <n v="9907"/>
    <m/>
    <n v="138"/>
    <m/>
    <m/>
    <m/>
    <m/>
    <m/>
    <m/>
    <m/>
  </r>
  <r>
    <x v="7"/>
    <x v="288"/>
    <n v="242"/>
    <n v="26169"/>
    <n v="8"/>
    <n v="543"/>
    <m/>
    <m/>
    <m/>
    <m/>
    <m/>
    <m/>
    <m/>
  </r>
  <r>
    <x v="8"/>
    <x v="288"/>
    <n v="5"/>
    <n v="202"/>
    <m/>
    <n v="3"/>
    <m/>
    <m/>
    <m/>
    <m/>
    <m/>
    <m/>
    <m/>
  </r>
  <r>
    <x v="9"/>
    <x v="288"/>
    <n v="1"/>
    <n v="18460"/>
    <m/>
    <n v="854"/>
    <m/>
    <m/>
    <m/>
    <m/>
    <m/>
    <m/>
    <m/>
  </r>
  <r>
    <x v="10"/>
    <x v="288"/>
    <n v="213"/>
    <n v="7494"/>
    <m/>
    <n v="104"/>
    <m/>
    <m/>
    <m/>
    <m/>
    <m/>
    <m/>
    <m/>
  </r>
  <r>
    <x v="11"/>
    <x v="288"/>
    <n v="13"/>
    <n v="8963"/>
    <n v="4"/>
    <n v="329"/>
    <m/>
    <m/>
    <m/>
    <m/>
    <m/>
    <m/>
    <m/>
  </r>
  <r>
    <x v="12"/>
    <x v="288"/>
    <n v="148"/>
    <n v="58674"/>
    <n v="5"/>
    <n v="1189"/>
    <m/>
    <m/>
    <m/>
    <m/>
    <m/>
    <m/>
    <m/>
  </r>
  <r>
    <x v="13"/>
    <x v="288"/>
    <n v="45"/>
    <n v="748"/>
    <m/>
    <n v="11"/>
    <m/>
    <m/>
    <m/>
    <m/>
    <m/>
    <m/>
    <m/>
  </r>
  <r>
    <x v="14"/>
    <x v="288"/>
    <n v="-4"/>
    <n v="37335"/>
    <n v="1"/>
    <n v="681"/>
    <m/>
    <m/>
    <m/>
    <m/>
    <m/>
    <m/>
    <m/>
  </r>
  <r>
    <x v="15"/>
    <x v="288"/>
    <n v="224"/>
    <n v="34881"/>
    <n v="3"/>
    <n v="851"/>
    <m/>
    <m/>
    <m/>
    <m/>
    <m/>
    <m/>
    <m/>
  </r>
  <r>
    <x v="16"/>
    <x v="288"/>
    <n v="53"/>
    <n v="21732"/>
    <n v="5"/>
    <n v="1005"/>
    <m/>
    <m/>
    <m/>
    <m/>
    <m/>
    <m/>
    <m/>
  </r>
  <r>
    <x v="17"/>
    <x v="288"/>
    <n v="149"/>
    <n v="9834"/>
    <m/>
    <n v="196"/>
    <m/>
    <m/>
    <m/>
    <m/>
    <m/>
    <m/>
    <m/>
  </r>
  <r>
    <x v="18"/>
    <x v="288"/>
    <n v="84"/>
    <n v="15728"/>
    <n v="11"/>
    <n v="268"/>
    <m/>
    <m/>
    <m/>
    <m/>
    <m/>
    <m/>
    <m/>
  </r>
  <r>
    <x v="19"/>
    <x v="288"/>
    <n v="274"/>
    <n v="19620"/>
    <n v="4"/>
    <n v="344"/>
    <m/>
    <m/>
    <m/>
    <m/>
    <m/>
    <m/>
    <m/>
  </r>
  <r>
    <x v="20"/>
    <x v="288"/>
    <n v="1121"/>
    <n v="163087"/>
    <n v="43"/>
    <n v="2641"/>
    <m/>
    <m/>
    <m/>
    <m/>
    <m/>
    <m/>
    <m/>
  </r>
  <r>
    <x v="21"/>
    <x v="288"/>
    <n v="54"/>
    <n v="16625"/>
    <m/>
    <n v="210"/>
    <m/>
    <m/>
    <m/>
    <m/>
    <m/>
    <m/>
    <m/>
  </r>
  <r>
    <x v="22"/>
    <x v="288"/>
    <n v="48"/>
    <n v="17797"/>
    <m/>
    <n v="242"/>
    <m/>
    <m/>
    <m/>
    <m/>
    <m/>
    <m/>
    <m/>
  </r>
  <r>
    <x v="23"/>
    <x v="288"/>
    <n v="228"/>
    <n v="69083"/>
    <n v="4"/>
    <n v="1313"/>
    <m/>
    <m/>
    <m/>
    <m/>
    <m/>
    <m/>
    <m/>
  </r>
  <r>
    <x v="0"/>
    <x v="289"/>
    <n v="2250"/>
    <n v="646358"/>
    <n v="55"/>
    <n v="21627"/>
    <m/>
    <m/>
    <m/>
    <m/>
    <m/>
    <m/>
    <m/>
  </r>
  <r>
    <x v="4"/>
    <x v="289"/>
    <n v="508"/>
    <n v="164610"/>
    <n v="13"/>
    <n v="5378"/>
    <m/>
    <m/>
    <m/>
    <m/>
    <m/>
    <m/>
    <m/>
  </r>
  <r>
    <x v="1"/>
    <x v="289"/>
    <n v="17"/>
    <n v="2227"/>
    <m/>
    <n v="17"/>
    <m/>
    <m/>
    <m/>
    <m/>
    <m/>
    <m/>
    <m/>
  </r>
  <r>
    <x v="2"/>
    <x v="289"/>
    <n v="196"/>
    <n v="22411"/>
    <n v="1"/>
    <n v="636"/>
    <m/>
    <m/>
    <m/>
    <m/>
    <m/>
    <m/>
    <m/>
  </r>
  <r>
    <x v="3"/>
    <x v="289"/>
    <n v="417"/>
    <n v="27460"/>
    <n v="6"/>
    <n v="469"/>
    <m/>
    <m/>
    <m/>
    <m/>
    <m/>
    <m/>
    <m/>
  </r>
  <r>
    <x v="5"/>
    <x v="289"/>
    <n v="605"/>
    <n v="121534"/>
    <n v="25"/>
    <n v="2365"/>
    <m/>
    <m/>
    <m/>
    <m/>
    <m/>
    <m/>
    <m/>
  </r>
  <r>
    <x v="6"/>
    <x v="289"/>
    <n v="118"/>
    <n v="10025"/>
    <m/>
    <n v="138"/>
    <m/>
    <m/>
    <m/>
    <m/>
    <m/>
    <m/>
    <m/>
  </r>
  <r>
    <x v="7"/>
    <x v="289"/>
    <n v="252"/>
    <n v="26421"/>
    <n v="1"/>
    <n v="544"/>
    <m/>
    <m/>
    <m/>
    <m/>
    <m/>
    <m/>
    <m/>
  </r>
  <r>
    <x v="8"/>
    <x v="289"/>
    <n v="1"/>
    <n v="203"/>
    <m/>
    <n v="3"/>
    <m/>
    <m/>
    <m/>
    <m/>
    <m/>
    <m/>
    <m/>
  </r>
  <r>
    <x v="9"/>
    <x v="289"/>
    <n v="5"/>
    <n v="18465"/>
    <n v="1"/>
    <n v="855"/>
    <m/>
    <m/>
    <m/>
    <m/>
    <m/>
    <m/>
    <m/>
  </r>
  <r>
    <x v="10"/>
    <x v="289"/>
    <n v="211"/>
    <n v="7705"/>
    <m/>
    <n v="104"/>
    <m/>
    <m/>
    <m/>
    <m/>
    <m/>
    <m/>
    <m/>
  </r>
  <r>
    <x v="11"/>
    <x v="289"/>
    <n v="14"/>
    <n v="8977"/>
    <m/>
    <n v="329"/>
    <m/>
    <m/>
    <m/>
    <m/>
    <m/>
    <m/>
    <m/>
  </r>
  <r>
    <x v="12"/>
    <x v="289"/>
    <n v="103"/>
    <n v="58777"/>
    <n v="10"/>
    <n v="1199"/>
    <m/>
    <m/>
    <m/>
    <m/>
    <m/>
    <m/>
    <m/>
  </r>
  <r>
    <x v="13"/>
    <x v="289"/>
    <n v="40"/>
    <n v="788"/>
    <m/>
    <n v="11"/>
    <m/>
    <m/>
    <m/>
    <m/>
    <m/>
    <m/>
    <m/>
  </r>
  <r>
    <x v="14"/>
    <x v="289"/>
    <n v="184"/>
    <n v="37519"/>
    <m/>
    <n v="681"/>
    <m/>
    <m/>
    <m/>
    <m/>
    <m/>
    <m/>
    <m/>
  </r>
  <r>
    <x v="15"/>
    <x v="289"/>
    <n v="279"/>
    <n v="35160"/>
    <n v="6"/>
    <n v="857"/>
    <m/>
    <m/>
    <m/>
    <m/>
    <m/>
    <m/>
    <m/>
  </r>
  <r>
    <x v="16"/>
    <x v="289"/>
    <n v="52"/>
    <n v="21784"/>
    <n v="1"/>
    <n v="1006"/>
    <m/>
    <m/>
    <m/>
    <m/>
    <m/>
    <m/>
    <m/>
  </r>
  <r>
    <x v="17"/>
    <x v="289"/>
    <n v="228"/>
    <n v="10062"/>
    <m/>
    <n v="196"/>
    <m/>
    <m/>
    <m/>
    <m/>
    <m/>
    <m/>
    <m/>
  </r>
  <r>
    <x v="18"/>
    <x v="289"/>
    <n v="38"/>
    <n v="15766"/>
    <n v="6"/>
    <n v="274"/>
    <m/>
    <m/>
    <m/>
    <m/>
    <m/>
    <m/>
    <m/>
  </r>
  <r>
    <x v="19"/>
    <x v="289"/>
    <n v="315"/>
    <n v="19935"/>
    <n v="4"/>
    <n v="348"/>
    <m/>
    <m/>
    <m/>
    <m/>
    <m/>
    <m/>
    <m/>
  </r>
  <r>
    <x v="20"/>
    <x v="289"/>
    <n v="1109"/>
    <n v="164196"/>
    <n v="32"/>
    <n v="2673"/>
    <m/>
    <m/>
    <m/>
    <m/>
    <m/>
    <m/>
    <m/>
  </r>
  <r>
    <x v="21"/>
    <x v="289"/>
    <n v="66"/>
    <n v="16691"/>
    <n v="1"/>
    <n v="211"/>
    <m/>
    <m/>
    <m/>
    <m/>
    <m/>
    <m/>
    <m/>
  </r>
  <r>
    <x v="22"/>
    <x v="289"/>
    <n v="107"/>
    <n v="17904"/>
    <m/>
    <n v="242"/>
    <m/>
    <m/>
    <m/>
    <m/>
    <m/>
    <m/>
    <m/>
  </r>
  <r>
    <x v="23"/>
    <x v="289"/>
    <n v="211"/>
    <n v="69294"/>
    <n v="7"/>
    <n v="1320"/>
    <m/>
    <m/>
    <m/>
    <m/>
    <m/>
    <m/>
    <m/>
  </r>
  <r>
    <x v="0"/>
    <x v="290"/>
    <n v="2323"/>
    <n v="648681"/>
    <n v="49"/>
    <n v="21676"/>
    <m/>
    <m/>
    <m/>
    <m/>
    <m/>
    <m/>
    <m/>
  </r>
  <r>
    <x v="4"/>
    <x v="290"/>
    <n v="584"/>
    <n v="165194"/>
    <n v="1"/>
    <n v="5379"/>
    <m/>
    <m/>
    <m/>
    <m/>
    <m/>
    <m/>
    <m/>
  </r>
  <r>
    <x v="1"/>
    <x v="290"/>
    <n v="48"/>
    <n v="2275"/>
    <m/>
    <n v="17"/>
    <m/>
    <m/>
    <m/>
    <m/>
    <m/>
    <m/>
    <m/>
  </r>
  <r>
    <x v="2"/>
    <x v="290"/>
    <n v="186"/>
    <n v="22597"/>
    <n v="7"/>
    <n v="643"/>
    <m/>
    <m/>
    <m/>
    <m/>
    <m/>
    <m/>
    <m/>
  </r>
  <r>
    <x v="3"/>
    <x v="290"/>
    <n v="233"/>
    <n v="27693"/>
    <n v="4"/>
    <n v="473"/>
    <m/>
    <m/>
    <m/>
    <m/>
    <m/>
    <m/>
    <m/>
  </r>
  <r>
    <x v="5"/>
    <x v="290"/>
    <n v="442"/>
    <n v="121976"/>
    <n v="12"/>
    <n v="2377"/>
    <m/>
    <m/>
    <m/>
    <m/>
    <m/>
    <m/>
    <m/>
  </r>
  <r>
    <x v="6"/>
    <x v="290"/>
    <n v="175"/>
    <n v="10200"/>
    <n v="3"/>
    <n v="141"/>
    <m/>
    <m/>
    <m/>
    <m/>
    <m/>
    <m/>
    <m/>
  </r>
  <r>
    <x v="7"/>
    <x v="290"/>
    <n v="177"/>
    <n v="26598"/>
    <n v="7"/>
    <n v="551"/>
    <m/>
    <m/>
    <m/>
    <m/>
    <m/>
    <m/>
    <m/>
  </r>
  <r>
    <x v="8"/>
    <x v="290"/>
    <n v="-2"/>
    <n v="201"/>
    <m/>
    <n v="3"/>
    <m/>
    <m/>
    <m/>
    <m/>
    <m/>
    <m/>
    <m/>
  </r>
  <r>
    <x v="9"/>
    <x v="290"/>
    <n v="13"/>
    <n v="18478"/>
    <n v="1"/>
    <n v="856"/>
    <m/>
    <m/>
    <m/>
    <m/>
    <m/>
    <m/>
    <m/>
  </r>
  <r>
    <x v="10"/>
    <x v="290"/>
    <n v="193"/>
    <n v="7898"/>
    <n v="1"/>
    <n v="105"/>
    <m/>
    <m/>
    <m/>
    <m/>
    <m/>
    <m/>
    <m/>
  </r>
  <r>
    <x v="11"/>
    <x v="290"/>
    <n v="12"/>
    <n v="8989"/>
    <n v="10"/>
    <n v="339"/>
    <m/>
    <m/>
    <m/>
    <m/>
    <m/>
    <m/>
    <m/>
  </r>
  <r>
    <x v="12"/>
    <x v="290"/>
    <n v="95"/>
    <n v="58872"/>
    <m/>
    <n v="1199"/>
    <m/>
    <m/>
    <m/>
    <m/>
    <m/>
    <m/>
    <m/>
  </r>
  <r>
    <x v="13"/>
    <x v="290"/>
    <n v="34"/>
    <n v="822"/>
    <m/>
    <n v="11"/>
    <m/>
    <m/>
    <m/>
    <m/>
    <m/>
    <m/>
    <m/>
  </r>
  <r>
    <x v="14"/>
    <x v="290"/>
    <n v="176"/>
    <n v="37695"/>
    <m/>
    <n v="681"/>
    <m/>
    <m/>
    <m/>
    <m/>
    <m/>
    <m/>
    <m/>
  </r>
  <r>
    <x v="15"/>
    <x v="290"/>
    <n v="197"/>
    <n v="35357"/>
    <n v="5"/>
    <n v="862"/>
    <m/>
    <m/>
    <m/>
    <m/>
    <m/>
    <m/>
    <m/>
  </r>
  <r>
    <x v="16"/>
    <x v="290"/>
    <n v="73"/>
    <n v="21857"/>
    <n v="1"/>
    <n v="1007"/>
    <m/>
    <m/>
    <m/>
    <m/>
    <m/>
    <m/>
    <m/>
  </r>
  <r>
    <x v="17"/>
    <x v="290"/>
    <n v="195"/>
    <n v="10257"/>
    <m/>
    <n v="196"/>
    <m/>
    <m/>
    <m/>
    <m/>
    <m/>
    <m/>
    <m/>
  </r>
  <r>
    <x v="18"/>
    <x v="290"/>
    <n v="65"/>
    <n v="15831"/>
    <n v="3"/>
    <n v="277"/>
    <m/>
    <m/>
    <m/>
    <m/>
    <m/>
    <m/>
    <m/>
  </r>
  <r>
    <x v="19"/>
    <x v="290"/>
    <n v="318"/>
    <n v="20253"/>
    <n v="3"/>
    <n v="351"/>
    <m/>
    <m/>
    <m/>
    <m/>
    <m/>
    <m/>
    <m/>
  </r>
  <r>
    <x v="20"/>
    <x v="290"/>
    <n v="1073"/>
    <n v="165269"/>
    <n v="25"/>
    <n v="2698"/>
    <m/>
    <m/>
    <m/>
    <m/>
    <m/>
    <m/>
    <m/>
  </r>
  <r>
    <x v="21"/>
    <x v="290"/>
    <n v="75"/>
    <n v="16766"/>
    <n v="2"/>
    <n v="213"/>
    <m/>
    <m/>
    <m/>
    <m/>
    <m/>
    <m/>
    <m/>
  </r>
  <r>
    <x v="22"/>
    <x v="290"/>
    <n v="116"/>
    <n v="18020"/>
    <n v="2"/>
    <n v="244"/>
    <m/>
    <m/>
    <m/>
    <m/>
    <m/>
    <m/>
    <m/>
  </r>
  <r>
    <x v="23"/>
    <x v="290"/>
    <n v="201"/>
    <n v="69495"/>
    <n v="2"/>
    <n v="1322"/>
    <m/>
    <m/>
    <m/>
    <m/>
    <m/>
    <m/>
    <m/>
  </r>
  <r>
    <x v="0"/>
    <x v="291"/>
    <n v="2180"/>
    <n v="650861"/>
    <n v="33"/>
    <n v="21709"/>
    <m/>
    <m/>
    <m/>
    <m/>
    <m/>
    <m/>
    <m/>
  </r>
  <r>
    <x v="4"/>
    <x v="291"/>
    <n v="501"/>
    <n v="165695"/>
    <n v="3"/>
    <n v="5382"/>
    <m/>
    <m/>
    <m/>
    <m/>
    <m/>
    <m/>
    <m/>
  </r>
  <r>
    <x v="1"/>
    <x v="291"/>
    <n v="29"/>
    <n v="2304"/>
    <m/>
    <n v="17"/>
    <m/>
    <m/>
    <m/>
    <m/>
    <m/>
    <m/>
    <m/>
  </r>
  <r>
    <x v="2"/>
    <x v="291"/>
    <n v="138"/>
    <n v="22735"/>
    <n v="2"/>
    <n v="645"/>
    <m/>
    <m/>
    <m/>
    <m/>
    <m/>
    <m/>
    <m/>
  </r>
  <r>
    <x v="3"/>
    <x v="291"/>
    <n v="322"/>
    <n v="28015"/>
    <n v="11"/>
    <n v="484"/>
    <m/>
    <m/>
    <m/>
    <m/>
    <m/>
    <m/>
    <m/>
  </r>
  <r>
    <x v="5"/>
    <x v="291"/>
    <n v="262"/>
    <n v="122238"/>
    <n v="8"/>
    <n v="2385"/>
    <m/>
    <m/>
    <m/>
    <m/>
    <m/>
    <m/>
    <m/>
  </r>
  <r>
    <x v="6"/>
    <x v="291"/>
    <n v="100"/>
    <n v="10300"/>
    <n v="2"/>
    <n v="143"/>
    <m/>
    <m/>
    <m/>
    <m/>
    <m/>
    <m/>
    <m/>
  </r>
  <r>
    <x v="7"/>
    <x v="291"/>
    <n v="210"/>
    <n v="26808"/>
    <n v="2"/>
    <n v="553"/>
    <m/>
    <m/>
    <m/>
    <m/>
    <m/>
    <m/>
    <m/>
  </r>
  <r>
    <x v="8"/>
    <x v="291"/>
    <n v="0"/>
    <n v="201"/>
    <m/>
    <n v="3"/>
    <m/>
    <m/>
    <m/>
    <m/>
    <m/>
    <m/>
    <m/>
  </r>
  <r>
    <x v="9"/>
    <x v="291"/>
    <n v="4"/>
    <n v="18482"/>
    <n v="1"/>
    <n v="857"/>
    <m/>
    <m/>
    <m/>
    <m/>
    <m/>
    <m/>
    <m/>
  </r>
  <r>
    <x v="10"/>
    <x v="291"/>
    <n v="203"/>
    <n v="8101"/>
    <m/>
    <n v="105"/>
    <m/>
    <m/>
    <m/>
    <m/>
    <m/>
    <m/>
    <m/>
  </r>
  <r>
    <x v="11"/>
    <x v="291"/>
    <n v="5"/>
    <n v="8994"/>
    <n v="9"/>
    <n v="348"/>
    <m/>
    <m/>
    <m/>
    <m/>
    <m/>
    <m/>
    <m/>
  </r>
  <r>
    <x v="12"/>
    <x v="291"/>
    <n v="82"/>
    <n v="58954"/>
    <m/>
    <n v="1199"/>
    <m/>
    <m/>
    <m/>
    <m/>
    <m/>
    <m/>
    <m/>
  </r>
  <r>
    <x v="13"/>
    <x v="291"/>
    <n v="24"/>
    <n v="846"/>
    <m/>
    <n v="11"/>
    <m/>
    <m/>
    <m/>
    <m/>
    <m/>
    <m/>
    <m/>
  </r>
  <r>
    <x v="14"/>
    <x v="291"/>
    <n v="215"/>
    <n v="37910"/>
    <m/>
    <n v="681"/>
    <m/>
    <m/>
    <m/>
    <m/>
    <m/>
    <m/>
    <m/>
  </r>
  <r>
    <x v="15"/>
    <x v="291"/>
    <n v="204"/>
    <n v="35561"/>
    <n v="5"/>
    <n v="867"/>
    <m/>
    <m/>
    <m/>
    <m/>
    <m/>
    <m/>
    <m/>
  </r>
  <r>
    <x v="16"/>
    <x v="291"/>
    <n v="67"/>
    <n v="21924"/>
    <n v="1"/>
    <n v="1008"/>
    <m/>
    <m/>
    <m/>
    <m/>
    <m/>
    <m/>
    <m/>
  </r>
  <r>
    <x v="17"/>
    <x v="291"/>
    <n v="19"/>
    <n v="10276"/>
    <m/>
    <n v="196"/>
    <m/>
    <m/>
    <m/>
    <m/>
    <m/>
    <m/>
    <m/>
  </r>
  <r>
    <x v="18"/>
    <x v="291"/>
    <n v="31"/>
    <n v="15862"/>
    <m/>
    <n v="277"/>
    <m/>
    <m/>
    <m/>
    <m/>
    <m/>
    <m/>
    <m/>
  </r>
  <r>
    <x v="19"/>
    <x v="291"/>
    <n v="254"/>
    <n v="20507"/>
    <m/>
    <n v="351"/>
    <m/>
    <m/>
    <m/>
    <m/>
    <m/>
    <m/>
    <m/>
  </r>
  <r>
    <x v="20"/>
    <x v="291"/>
    <n v="742"/>
    <n v="166011"/>
    <n v="14"/>
    <n v="2712"/>
    <m/>
    <m/>
    <m/>
    <m/>
    <m/>
    <m/>
    <m/>
  </r>
  <r>
    <x v="21"/>
    <x v="291"/>
    <n v="28"/>
    <n v="16794"/>
    <m/>
    <n v="213"/>
    <m/>
    <m/>
    <m/>
    <m/>
    <m/>
    <m/>
    <m/>
  </r>
  <r>
    <x v="22"/>
    <x v="291"/>
    <n v="69"/>
    <n v="18089"/>
    <m/>
    <n v="244"/>
    <m/>
    <m/>
    <m/>
    <m/>
    <m/>
    <m/>
    <m/>
  </r>
  <r>
    <x v="23"/>
    <x v="291"/>
    <n v="106"/>
    <n v="69601"/>
    <m/>
    <n v="1322"/>
    <m/>
    <m/>
    <m/>
    <m/>
    <m/>
    <m/>
    <m/>
  </r>
  <r>
    <x v="0"/>
    <x v="292"/>
    <n v="1276"/>
    <n v="652137"/>
    <n v="9"/>
    <n v="21718"/>
    <m/>
    <m/>
    <m/>
    <m/>
    <m/>
    <m/>
    <m/>
  </r>
  <r>
    <x v="4"/>
    <x v="292"/>
    <n v="391"/>
    <n v="166086"/>
    <n v="7"/>
    <n v="5389"/>
    <m/>
    <m/>
    <m/>
    <m/>
    <m/>
    <m/>
    <m/>
  </r>
  <r>
    <x v="1"/>
    <x v="292"/>
    <n v="32"/>
    <n v="2336"/>
    <m/>
    <n v="17"/>
    <m/>
    <m/>
    <m/>
    <m/>
    <m/>
    <m/>
    <m/>
  </r>
  <r>
    <x v="2"/>
    <x v="292"/>
    <n v="137"/>
    <n v="22872"/>
    <n v="4"/>
    <n v="649"/>
    <m/>
    <m/>
    <m/>
    <m/>
    <m/>
    <m/>
    <m/>
  </r>
  <r>
    <x v="3"/>
    <x v="292"/>
    <n v="115"/>
    <n v="28130"/>
    <m/>
    <n v="484"/>
    <m/>
    <m/>
    <m/>
    <m/>
    <m/>
    <m/>
    <m/>
  </r>
  <r>
    <x v="5"/>
    <x v="292"/>
    <n v="295"/>
    <n v="122533"/>
    <n v="7"/>
    <n v="2392"/>
    <m/>
    <m/>
    <m/>
    <m/>
    <m/>
    <m/>
    <m/>
  </r>
  <r>
    <x v="6"/>
    <x v="292"/>
    <n v="149"/>
    <n v="10449"/>
    <m/>
    <n v="143"/>
    <m/>
    <m/>
    <m/>
    <m/>
    <m/>
    <m/>
    <m/>
  </r>
  <r>
    <x v="7"/>
    <x v="292"/>
    <n v="157"/>
    <n v="26965"/>
    <m/>
    <n v="553"/>
    <m/>
    <m/>
    <m/>
    <m/>
    <m/>
    <m/>
    <m/>
  </r>
  <r>
    <x v="8"/>
    <x v="292"/>
    <n v="3"/>
    <n v="204"/>
    <m/>
    <n v="3"/>
    <m/>
    <m/>
    <m/>
    <m/>
    <m/>
    <m/>
    <m/>
  </r>
  <r>
    <x v="9"/>
    <x v="292"/>
    <n v="0"/>
    <n v="18482"/>
    <m/>
    <n v="857"/>
    <m/>
    <m/>
    <m/>
    <m/>
    <m/>
    <m/>
    <m/>
  </r>
  <r>
    <x v="10"/>
    <x v="292"/>
    <n v="170"/>
    <n v="8271"/>
    <n v="1"/>
    <n v="106"/>
    <m/>
    <m/>
    <m/>
    <m/>
    <m/>
    <m/>
    <m/>
  </r>
  <r>
    <x v="11"/>
    <x v="292"/>
    <n v="6"/>
    <n v="9000"/>
    <m/>
    <n v="348"/>
    <m/>
    <m/>
    <m/>
    <m/>
    <m/>
    <m/>
    <m/>
  </r>
  <r>
    <x v="12"/>
    <x v="292"/>
    <n v="21"/>
    <n v="58975"/>
    <m/>
    <n v="1199"/>
    <m/>
    <m/>
    <m/>
    <m/>
    <m/>
    <m/>
    <m/>
  </r>
  <r>
    <x v="13"/>
    <x v="292"/>
    <n v="13"/>
    <n v="859"/>
    <m/>
    <n v="11"/>
    <m/>
    <m/>
    <m/>
    <m/>
    <m/>
    <m/>
    <m/>
  </r>
  <r>
    <x v="14"/>
    <x v="292"/>
    <n v="138"/>
    <n v="38048"/>
    <m/>
    <n v="681"/>
    <m/>
    <m/>
    <m/>
    <m/>
    <m/>
    <m/>
    <m/>
  </r>
  <r>
    <x v="15"/>
    <x v="292"/>
    <n v="137"/>
    <n v="35698"/>
    <m/>
    <n v="867"/>
    <m/>
    <m/>
    <m/>
    <m/>
    <m/>
    <m/>
    <m/>
  </r>
  <r>
    <x v="16"/>
    <x v="292"/>
    <n v="39"/>
    <n v="21963"/>
    <n v="2"/>
    <n v="1010"/>
    <m/>
    <m/>
    <m/>
    <m/>
    <m/>
    <m/>
    <m/>
  </r>
  <r>
    <x v="17"/>
    <x v="292"/>
    <n v="21"/>
    <n v="10297"/>
    <m/>
    <n v="196"/>
    <m/>
    <m/>
    <m/>
    <m/>
    <m/>
    <m/>
    <m/>
  </r>
  <r>
    <x v="18"/>
    <x v="292"/>
    <n v="34"/>
    <n v="15896"/>
    <n v="1"/>
    <n v="278"/>
    <m/>
    <m/>
    <m/>
    <m/>
    <m/>
    <m/>
    <m/>
  </r>
  <r>
    <x v="19"/>
    <x v="292"/>
    <n v="157"/>
    <n v="20664"/>
    <n v="2"/>
    <n v="353"/>
    <m/>
    <m/>
    <m/>
    <m/>
    <m/>
    <m/>
    <m/>
  </r>
  <r>
    <x v="20"/>
    <x v="292"/>
    <n v="680"/>
    <n v="166691"/>
    <n v="16"/>
    <n v="2728"/>
    <m/>
    <m/>
    <m/>
    <m/>
    <m/>
    <m/>
    <m/>
  </r>
  <r>
    <x v="21"/>
    <x v="292"/>
    <n v="44"/>
    <n v="16838"/>
    <n v="1"/>
    <n v="214"/>
    <m/>
    <m/>
    <m/>
    <m/>
    <m/>
    <m/>
    <m/>
  </r>
  <r>
    <x v="22"/>
    <x v="292"/>
    <n v="55"/>
    <n v="18144"/>
    <m/>
    <n v="244"/>
    <m/>
    <m/>
    <m/>
    <m/>
    <m/>
    <m/>
    <m/>
  </r>
  <r>
    <x v="23"/>
    <x v="292"/>
    <n v="46"/>
    <n v="69647"/>
    <m/>
    <n v="1322"/>
    <m/>
    <m/>
    <m/>
    <m/>
    <m/>
    <m/>
    <m/>
  </r>
  <r>
    <x v="0"/>
    <x v="293"/>
    <n v="2049"/>
    <n v="654186"/>
    <n v="48"/>
    <n v="21766"/>
    <m/>
    <m/>
    <m/>
    <m/>
    <m/>
    <m/>
    <m/>
  </r>
  <r>
    <x v="4"/>
    <x v="293"/>
    <n v="490"/>
    <n v="166576"/>
    <n v="21"/>
    <n v="5410"/>
    <m/>
    <m/>
    <m/>
    <m/>
    <m/>
    <m/>
    <m/>
  </r>
  <r>
    <x v="1"/>
    <x v="293"/>
    <n v="26"/>
    <n v="2362"/>
    <m/>
    <n v="17"/>
    <m/>
    <m/>
    <m/>
    <m/>
    <m/>
    <m/>
    <m/>
  </r>
  <r>
    <x v="2"/>
    <x v="293"/>
    <n v="149"/>
    <n v="23021"/>
    <n v="7"/>
    <n v="656"/>
    <m/>
    <m/>
    <m/>
    <m/>
    <m/>
    <m/>
    <m/>
  </r>
  <r>
    <x v="3"/>
    <x v="293"/>
    <n v="366"/>
    <n v="28496"/>
    <n v="1"/>
    <n v="485"/>
    <m/>
    <m/>
    <m/>
    <m/>
    <m/>
    <m/>
    <m/>
  </r>
  <r>
    <x v="5"/>
    <x v="293"/>
    <n v="183"/>
    <n v="122816"/>
    <n v="16"/>
    <n v="2408"/>
    <m/>
    <m/>
    <m/>
    <m/>
    <m/>
    <m/>
    <m/>
  </r>
  <r>
    <x v="6"/>
    <x v="293"/>
    <n v="262"/>
    <n v="10711"/>
    <n v="4"/>
    <n v="147"/>
    <m/>
    <m/>
    <m/>
    <m/>
    <m/>
    <m/>
    <m/>
  </r>
  <r>
    <x v="7"/>
    <x v="293"/>
    <n v="38"/>
    <n v="27003"/>
    <n v="7"/>
    <n v="560"/>
    <m/>
    <m/>
    <m/>
    <m/>
    <m/>
    <m/>
    <m/>
  </r>
  <r>
    <x v="8"/>
    <x v="293"/>
    <n v="-1"/>
    <n v="203"/>
    <m/>
    <n v="3"/>
    <m/>
    <m/>
    <m/>
    <m/>
    <m/>
    <m/>
    <m/>
  </r>
  <r>
    <x v="9"/>
    <x v="293"/>
    <n v="0"/>
    <n v="18482"/>
    <m/>
    <n v="857"/>
    <m/>
    <m/>
    <m/>
    <m/>
    <m/>
    <m/>
    <m/>
  </r>
  <r>
    <x v="10"/>
    <x v="293"/>
    <n v="161"/>
    <n v="8432"/>
    <n v="10"/>
    <n v="116"/>
    <m/>
    <m/>
    <m/>
    <m/>
    <m/>
    <m/>
    <m/>
  </r>
  <r>
    <x v="11"/>
    <x v="293"/>
    <n v="14"/>
    <n v="9014"/>
    <n v="10"/>
    <n v="358"/>
    <m/>
    <m/>
    <m/>
    <m/>
    <m/>
    <m/>
    <m/>
  </r>
  <r>
    <x v="12"/>
    <x v="293"/>
    <n v="76"/>
    <n v="59051"/>
    <m/>
    <n v="1199"/>
    <m/>
    <m/>
    <m/>
    <m/>
    <m/>
    <m/>
    <m/>
  </r>
  <r>
    <x v="13"/>
    <x v="293"/>
    <n v="5"/>
    <n v="864"/>
    <m/>
    <n v="11"/>
    <m/>
    <m/>
    <m/>
    <m/>
    <m/>
    <m/>
    <m/>
  </r>
  <r>
    <x v="14"/>
    <x v="293"/>
    <n v="268"/>
    <n v="38316"/>
    <m/>
    <n v="681"/>
    <m/>
    <m/>
    <m/>
    <m/>
    <m/>
    <m/>
    <m/>
  </r>
  <r>
    <x v="15"/>
    <x v="293"/>
    <n v="199"/>
    <n v="35897"/>
    <n v="4"/>
    <n v="871"/>
    <m/>
    <m/>
    <m/>
    <m/>
    <m/>
    <m/>
    <m/>
  </r>
  <r>
    <x v="16"/>
    <x v="293"/>
    <n v="8"/>
    <n v="21971"/>
    <n v="2"/>
    <n v="1012"/>
    <m/>
    <m/>
    <m/>
    <m/>
    <m/>
    <m/>
    <m/>
  </r>
  <r>
    <x v="17"/>
    <x v="293"/>
    <n v="215"/>
    <n v="10512"/>
    <m/>
    <n v="196"/>
    <m/>
    <m/>
    <m/>
    <m/>
    <m/>
    <m/>
    <m/>
  </r>
  <r>
    <x v="18"/>
    <x v="293"/>
    <n v="32"/>
    <n v="15928"/>
    <n v="9"/>
    <n v="287"/>
    <m/>
    <m/>
    <m/>
    <m/>
    <m/>
    <m/>
    <m/>
  </r>
  <r>
    <x v="19"/>
    <x v="293"/>
    <n v="179"/>
    <n v="20843"/>
    <n v="3"/>
    <n v="356"/>
    <m/>
    <m/>
    <m/>
    <m/>
    <m/>
    <m/>
    <m/>
  </r>
  <r>
    <x v="20"/>
    <x v="293"/>
    <n v="801"/>
    <n v="167492"/>
    <n v="24"/>
    <n v="2752"/>
    <m/>
    <m/>
    <m/>
    <m/>
    <m/>
    <m/>
    <m/>
  </r>
  <r>
    <x v="21"/>
    <x v="293"/>
    <n v="38"/>
    <n v="16876"/>
    <m/>
    <n v="214"/>
    <m/>
    <m/>
    <m/>
    <m/>
    <m/>
    <m/>
    <m/>
  </r>
  <r>
    <x v="22"/>
    <x v="293"/>
    <n v="59"/>
    <n v="18203"/>
    <n v="2"/>
    <n v="246"/>
    <m/>
    <m/>
    <m/>
    <m/>
    <m/>
    <m/>
    <m/>
  </r>
  <r>
    <x v="23"/>
    <x v="293"/>
    <n v="236"/>
    <n v="69883"/>
    <n v="6"/>
    <n v="1328"/>
    <m/>
    <m/>
    <m/>
    <m/>
    <m/>
    <m/>
    <m/>
  </r>
  <r>
    <x v="0"/>
    <x v="294"/>
    <n v="3019"/>
    <n v="657205"/>
    <n v="151"/>
    <n v="21917"/>
    <m/>
    <m/>
    <m/>
    <m/>
    <m/>
    <m/>
    <m/>
  </r>
  <r>
    <x v="4"/>
    <x v="294"/>
    <n v="712"/>
    <n v="167288"/>
    <n v="17"/>
    <n v="5427"/>
    <m/>
    <m/>
    <m/>
    <m/>
    <m/>
    <m/>
    <m/>
  </r>
  <r>
    <x v="1"/>
    <x v="294"/>
    <n v="37"/>
    <n v="2399"/>
    <m/>
    <n v="17"/>
    <m/>
    <m/>
    <m/>
    <m/>
    <m/>
    <m/>
    <m/>
  </r>
  <r>
    <x v="2"/>
    <x v="294"/>
    <n v="191"/>
    <n v="23212"/>
    <m/>
    <n v="656"/>
    <m/>
    <m/>
    <m/>
    <m/>
    <m/>
    <m/>
    <m/>
  </r>
  <r>
    <x v="3"/>
    <x v="294"/>
    <n v="409"/>
    <n v="28905"/>
    <n v="1"/>
    <n v="486"/>
    <m/>
    <m/>
    <m/>
    <m/>
    <m/>
    <m/>
    <m/>
  </r>
  <r>
    <x v="5"/>
    <x v="294"/>
    <n v="494"/>
    <n v="123310"/>
    <n v="10"/>
    <n v="2418"/>
    <m/>
    <m/>
    <m/>
    <m/>
    <m/>
    <m/>
    <m/>
  </r>
  <r>
    <x v="6"/>
    <x v="294"/>
    <n v="143"/>
    <n v="10854"/>
    <n v="3"/>
    <n v="150"/>
    <m/>
    <m/>
    <m/>
    <m/>
    <m/>
    <m/>
    <m/>
  </r>
  <r>
    <x v="7"/>
    <x v="294"/>
    <n v="140"/>
    <n v="27143"/>
    <n v="7"/>
    <n v="567"/>
    <m/>
    <m/>
    <m/>
    <m/>
    <m/>
    <m/>
    <m/>
  </r>
  <r>
    <x v="8"/>
    <x v="294"/>
    <n v="7"/>
    <n v="210"/>
    <m/>
    <n v="3"/>
    <m/>
    <m/>
    <m/>
    <m/>
    <m/>
    <m/>
    <m/>
  </r>
  <r>
    <x v="9"/>
    <x v="294"/>
    <n v="3"/>
    <n v="18485"/>
    <m/>
    <n v="857"/>
    <m/>
    <m/>
    <m/>
    <m/>
    <m/>
    <m/>
    <m/>
  </r>
  <r>
    <x v="10"/>
    <x v="294"/>
    <n v="247"/>
    <n v="8679"/>
    <m/>
    <n v="116"/>
    <m/>
    <m/>
    <m/>
    <m/>
    <m/>
    <m/>
    <m/>
  </r>
  <r>
    <x v="11"/>
    <x v="294"/>
    <n v="9"/>
    <n v="9023"/>
    <n v="3"/>
    <n v="361"/>
    <m/>
    <m/>
    <m/>
    <m/>
    <m/>
    <m/>
    <m/>
  </r>
  <r>
    <x v="12"/>
    <x v="294"/>
    <n v="138"/>
    <n v="59189"/>
    <n v="17"/>
    <n v="1216"/>
    <m/>
    <m/>
    <m/>
    <m/>
    <m/>
    <m/>
    <m/>
  </r>
  <r>
    <x v="13"/>
    <x v="294"/>
    <n v="24"/>
    <n v="888"/>
    <m/>
    <n v="11"/>
    <m/>
    <m/>
    <m/>
    <m/>
    <m/>
    <m/>
    <m/>
  </r>
  <r>
    <x v="14"/>
    <x v="294"/>
    <n v="327"/>
    <n v="38643"/>
    <m/>
    <n v="681"/>
    <m/>
    <m/>
    <m/>
    <m/>
    <m/>
    <m/>
    <m/>
  </r>
  <r>
    <x v="15"/>
    <x v="294"/>
    <n v="396"/>
    <n v="36293"/>
    <n v="4"/>
    <n v="875"/>
    <m/>
    <m/>
    <m/>
    <m/>
    <m/>
    <m/>
    <m/>
  </r>
  <r>
    <x v="16"/>
    <x v="294"/>
    <n v="45"/>
    <n v="22016"/>
    <m/>
    <n v="1012"/>
    <m/>
    <m/>
    <m/>
    <m/>
    <m/>
    <m/>
    <m/>
  </r>
  <r>
    <x v="17"/>
    <x v="294"/>
    <n v="153"/>
    <n v="10665"/>
    <m/>
    <n v="196"/>
    <m/>
    <m/>
    <m/>
    <m/>
    <m/>
    <m/>
    <m/>
  </r>
  <r>
    <x v="18"/>
    <x v="294"/>
    <n v="13"/>
    <n v="15941"/>
    <m/>
    <n v="287"/>
    <m/>
    <m/>
    <m/>
    <m/>
    <m/>
    <m/>
    <m/>
  </r>
  <r>
    <x v="19"/>
    <x v="294"/>
    <n v="312"/>
    <n v="21155"/>
    <n v="1"/>
    <n v="357"/>
    <m/>
    <m/>
    <m/>
    <m/>
    <m/>
    <m/>
    <m/>
  </r>
  <r>
    <x v="20"/>
    <x v="294"/>
    <n v="1180"/>
    <n v="168672"/>
    <n v="37"/>
    <n v="2789"/>
    <m/>
    <m/>
    <m/>
    <m/>
    <m/>
    <m/>
    <m/>
  </r>
  <r>
    <x v="21"/>
    <x v="294"/>
    <n v="-43"/>
    <n v="16833"/>
    <m/>
    <n v="214"/>
    <m/>
    <m/>
    <m/>
    <m/>
    <m/>
    <m/>
    <m/>
  </r>
  <r>
    <x v="22"/>
    <x v="294"/>
    <n v="51"/>
    <n v="18254"/>
    <m/>
    <n v="246"/>
    <m/>
    <m/>
    <m/>
    <m/>
    <m/>
    <m/>
    <m/>
  </r>
  <r>
    <x v="23"/>
    <x v="294"/>
    <n v="134"/>
    <n v="70017"/>
    <n v="5"/>
    <n v="1333"/>
    <m/>
    <m/>
    <m/>
    <m/>
    <m/>
    <m/>
    <m/>
  </r>
  <r>
    <x v="0"/>
    <x v="295"/>
    <n v="3467"/>
    <n v="660672"/>
    <n v="12"/>
    <n v="21929"/>
    <m/>
    <m/>
    <m/>
    <m/>
    <m/>
    <m/>
    <m/>
  </r>
  <r>
    <x v="4"/>
    <x v="295"/>
    <n v="690"/>
    <n v="167978"/>
    <n v="4"/>
    <n v="5431"/>
    <m/>
    <m/>
    <m/>
    <m/>
    <m/>
    <m/>
    <m/>
  </r>
  <r>
    <x v="1"/>
    <x v="295"/>
    <n v="18"/>
    <n v="2417"/>
    <m/>
    <n v="17"/>
    <m/>
    <m/>
    <m/>
    <m/>
    <m/>
    <m/>
    <m/>
  </r>
  <r>
    <x v="2"/>
    <x v="295"/>
    <n v="236"/>
    <n v="23448"/>
    <n v="3"/>
    <n v="659"/>
    <m/>
    <m/>
    <m/>
    <m/>
    <m/>
    <m/>
    <m/>
  </r>
  <r>
    <x v="3"/>
    <x v="295"/>
    <n v="308"/>
    <n v="29213"/>
    <m/>
    <n v="486"/>
    <m/>
    <m/>
    <m/>
    <m/>
    <m/>
    <m/>
    <m/>
  </r>
  <r>
    <x v="5"/>
    <x v="295"/>
    <n v="575"/>
    <n v="123885"/>
    <n v="12"/>
    <n v="2430"/>
    <m/>
    <m/>
    <m/>
    <m/>
    <m/>
    <m/>
    <m/>
  </r>
  <r>
    <x v="6"/>
    <x v="295"/>
    <n v="179"/>
    <n v="11033"/>
    <n v="2"/>
    <n v="152"/>
    <m/>
    <m/>
    <m/>
    <m/>
    <m/>
    <m/>
    <m/>
  </r>
  <r>
    <x v="7"/>
    <x v="295"/>
    <n v="278"/>
    <n v="27421"/>
    <n v="2"/>
    <n v="569"/>
    <m/>
    <m/>
    <m/>
    <m/>
    <m/>
    <m/>
    <m/>
  </r>
  <r>
    <x v="8"/>
    <x v="295"/>
    <n v="2"/>
    <n v="212"/>
    <m/>
    <n v="3"/>
    <m/>
    <m/>
    <m/>
    <m/>
    <m/>
    <m/>
    <m/>
  </r>
  <r>
    <x v="9"/>
    <x v="295"/>
    <n v="6"/>
    <n v="18491"/>
    <m/>
    <n v="857"/>
    <m/>
    <m/>
    <m/>
    <m/>
    <m/>
    <m/>
    <m/>
  </r>
  <r>
    <x v="10"/>
    <x v="295"/>
    <n v="240"/>
    <n v="8919"/>
    <m/>
    <n v="116"/>
    <m/>
    <m/>
    <m/>
    <m/>
    <m/>
    <m/>
    <m/>
  </r>
  <r>
    <x v="11"/>
    <x v="295"/>
    <n v="17"/>
    <n v="9040"/>
    <m/>
    <n v="361"/>
    <m/>
    <m/>
    <m/>
    <m/>
    <m/>
    <m/>
    <m/>
  </r>
  <r>
    <x v="12"/>
    <x v="295"/>
    <n v="183"/>
    <n v="59372"/>
    <n v="2"/>
    <n v="1218"/>
    <m/>
    <m/>
    <m/>
    <m/>
    <m/>
    <m/>
    <m/>
  </r>
  <r>
    <x v="13"/>
    <x v="295"/>
    <n v="8"/>
    <n v="896"/>
    <m/>
    <n v="11"/>
    <m/>
    <m/>
    <m/>
    <m/>
    <m/>
    <m/>
    <m/>
  </r>
  <r>
    <x v="14"/>
    <x v="295"/>
    <n v="234"/>
    <n v="38877"/>
    <n v="7"/>
    <n v="688"/>
    <m/>
    <m/>
    <m/>
    <m/>
    <m/>
    <m/>
    <m/>
  </r>
  <r>
    <x v="15"/>
    <x v="295"/>
    <n v="335"/>
    <n v="36628"/>
    <n v="2"/>
    <n v="877"/>
    <m/>
    <m/>
    <m/>
    <m/>
    <m/>
    <m/>
    <m/>
  </r>
  <r>
    <x v="16"/>
    <x v="295"/>
    <n v="51"/>
    <n v="22067"/>
    <m/>
    <n v="1012"/>
    <m/>
    <m/>
    <m/>
    <m/>
    <m/>
    <m/>
    <m/>
  </r>
  <r>
    <x v="17"/>
    <x v="295"/>
    <n v="147"/>
    <n v="10812"/>
    <m/>
    <n v="196"/>
    <m/>
    <m/>
    <m/>
    <m/>
    <m/>
    <m/>
    <m/>
  </r>
  <r>
    <x v="18"/>
    <x v="295"/>
    <n v="22"/>
    <n v="15963"/>
    <n v="5"/>
    <n v="292"/>
    <m/>
    <m/>
    <m/>
    <m/>
    <m/>
    <m/>
    <m/>
  </r>
  <r>
    <x v="19"/>
    <x v="295"/>
    <n v="301"/>
    <n v="21456"/>
    <n v="1"/>
    <n v="358"/>
    <m/>
    <m/>
    <m/>
    <m/>
    <m/>
    <m/>
    <m/>
  </r>
  <r>
    <x v="20"/>
    <x v="295"/>
    <n v="1003"/>
    <n v="169675"/>
    <n v="8"/>
    <n v="2797"/>
    <m/>
    <m/>
    <m/>
    <m/>
    <m/>
    <m/>
    <m/>
  </r>
  <r>
    <x v="21"/>
    <x v="295"/>
    <n v="49"/>
    <n v="16882"/>
    <m/>
    <n v="214"/>
    <m/>
    <m/>
    <m/>
    <m/>
    <m/>
    <m/>
    <m/>
  </r>
  <r>
    <x v="22"/>
    <x v="295"/>
    <n v="111"/>
    <n v="18365"/>
    <m/>
    <n v="246"/>
    <m/>
    <m/>
    <m/>
    <m/>
    <m/>
    <m/>
    <m/>
  </r>
  <r>
    <x v="23"/>
    <x v="295"/>
    <n v="126"/>
    <n v="70143"/>
    <m/>
    <n v="1333"/>
    <m/>
    <m/>
    <m/>
    <m/>
    <m/>
    <m/>
    <m/>
  </r>
  <r>
    <x v="0"/>
    <x v="296"/>
    <n v="2877"/>
    <n v="663549"/>
    <n v="17"/>
    <n v="21946"/>
    <m/>
    <m/>
    <m/>
    <m/>
    <m/>
    <m/>
    <m/>
  </r>
  <r>
    <x v="4"/>
    <x v="296"/>
    <n v="835"/>
    <n v="168813"/>
    <n v="5"/>
    <n v="5436"/>
    <m/>
    <m/>
    <m/>
    <m/>
    <m/>
    <m/>
    <m/>
  </r>
  <r>
    <x v="1"/>
    <x v="296"/>
    <n v="76"/>
    <n v="2493"/>
    <m/>
    <n v="17"/>
    <m/>
    <m/>
    <m/>
    <m/>
    <m/>
    <m/>
    <m/>
  </r>
  <r>
    <x v="2"/>
    <x v="296"/>
    <n v="176"/>
    <n v="23624"/>
    <n v="3"/>
    <n v="662"/>
    <m/>
    <m/>
    <m/>
    <m/>
    <m/>
    <m/>
    <m/>
  </r>
  <r>
    <x v="3"/>
    <x v="296"/>
    <n v="250"/>
    <n v="29463"/>
    <m/>
    <n v="486"/>
    <m/>
    <m/>
    <m/>
    <m/>
    <m/>
    <m/>
    <m/>
  </r>
  <r>
    <x v="5"/>
    <x v="296"/>
    <n v="660"/>
    <n v="124545"/>
    <n v="15"/>
    <n v="2445"/>
    <m/>
    <m/>
    <m/>
    <m/>
    <m/>
    <m/>
    <m/>
  </r>
  <r>
    <x v="6"/>
    <x v="296"/>
    <n v="56"/>
    <n v="11089"/>
    <n v="2"/>
    <n v="154"/>
    <m/>
    <m/>
    <m/>
    <m/>
    <m/>
    <m/>
    <m/>
  </r>
  <r>
    <x v="7"/>
    <x v="296"/>
    <n v="283"/>
    <n v="27704"/>
    <n v="2"/>
    <n v="571"/>
    <m/>
    <m/>
    <m/>
    <m/>
    <m/>
    <m/>
    <m/>
  </r>
  <r>
    <x v="8"/>
    <x v="296"/>
    <n v="1"/>
    <n v="213"/>
    <m/>
    <n v="3"/>
    <m/>
    <m/>
    <m/>
    <m/>
    <m/>
    <m/>
    <m/>
  </r>
  <r>
    <x v="9"/>
    <x v="296"/>
    <n v="3"/>
    <n v="18494"/>
    <m/>
    <n v="857"/>
    <m/>
    <m/>
    <m/>
    <m/>
    <m/>
    <m/>
    <m/>
  </r>
  <r>
    <x v="10"/>
    <x v="296"/>
    <n v="276"/>
    <n v="9195"/>
    <m/>
    <n v="116"/>
    <m/>
    <m/>
    <m/>
    <m/>
    <m/>
    <m/>
    <m/>
  </r>
  <r>
    <x v="11"/>
    <x v="296"/>
    <n v="10"/>
    <n v="9050"/>
    <n v="13"/>
    <n v="374"/>
    <m/>
    <m/>
    <m/>
    <m/>
    <m/>
    <m/>
    <m/>
  </r>
  <r>
    <x v="12"/>
    <x v="296"/>
    <n v="111"/>
    <n v="59483"/>
    <m/>
    <n v="1218"/>
    <m/>
    <m/>
    <m/>
    <m/>
    <m/>
    <m/>
    <m/>
  </r>
  <r>
    <x v="13"/>
    <x v="296"/>
    <n v="4"/>
    <n v="900"/>
    <m/>
    <n v="11"/>
    <m/>
    <m/>
    <m/>
    <m/>
    <m/>
    <m/>
    <m/>
  </r>
  <r>
    <x v="14"/>
    <x v="296"/>
    <n v="225"/>
    <n v="39102"/>
    <m/>
    <n v="688"/>
    <m/>
    <m/>
    <m/>
    <m/>
    <m/>
    <m/>
    <m/>
  </r>
  <r>
    <x v="15"/>
    <x v="296"/>
    <n v="234"/>
    <n v="36862"/>
    <n v="3"/>
    <n v="880"/>
    <m/>
    <m/>
    <m/>
    <m/>
    <m/>
    <m/>
    <m/>
  </r>
  <r>
    <x v="16"/>
    <x v="296"/>
    <n v="67"/>
    <n v="22134"/>
    <n v="1"/>
    <n v="1013"/>
    <m/>
    <m/>
    <m/>
    <m/>
    <m/>
    <m/>
    <m/>
  </r>
  <r>
    <x v="17"/>
    <x v="296"/>
    <n v="64"/>
    <n v="10876"/>
    <m/>
    <n v="196"/>
    <m/>
    <m/>
    <m/>
    <m/>
    <m/>
    <m/>
    <m/>
  </r>
  <r>
    <x v="18"/>
    <x v="296"/>
    <n v="22"/>
    <n v="15985"/>
    <n v="1"/>
    <n v="293"/>
    <m/>
    <m/>
    <m/>
    <m/>
    <m/>
    <m/>
    <m/>
  </r>
  <r>
    <x v="19"/>
    <x v="296"/>
    <n v="290"/>
    <n v="21746"/>
    <n v="2"/>
    <n v="360"/>
    <m/>
    <m/>
    <m/>
    <m/>
    <m/>
    <m/>
    <m/>
  </r>
  <r>
    <x v="20"/>
    <x v="296"/>
    <n v="1038"/>
    <n v="170713"/>
    <n v="13"/>
    <n v="2810"/>
    <m/>
    <m/>
    <m/>
    <m/>
    <m/>
    <m/>
    <m/>
  </r>
  <r>
    <x v="21"/>
    <x v="296"/>
    <n v="73"/>
    <n v="16955"/>
    <m/>
    <n v="214"/>
    <m/>
    <m/>
    <m/>
    <m/>
    <m/>
    <m/>
    <m/>
  </r>
  <r>
    <x v="22"/>
    <x v="296"/>
    <n v="71"/>
    <n v="18436"/>
    <m/>
    <n v="246"/>
    <m/>
    <m/>
    <m/>
    <m/>
    <m/>
    <m/>
    <m/>
  </r>
  <r>
    <x v="23"/>
    <x v="296"/>
    <n v="113"/>
    <n v="70256"/>
    <n v="1"/>
    <n v="1334"/>
    <m/>
    <m/>
    <m/>
    <m/>
    <m/>
    <m/>
    <m/>
  </r>
  <r>
    <x v="0"/>
    <x v="297"/>
    <n v="1102"/>
    <n v="664651"/>
    <n v="2"/>
    <n v="21948"/>
    <m/>
    <m/>
    <m/>
    <m/>
    <m/>
    <m/>
    <m/>
  </r>
  <r>
    <x v="4"/>
    <x v="297"/>
    <n v="411"/>
    <n v="169224"/>
    <n v="12"/>
    <n v="5448"/>
    <m/>
    <m/>
    <m/>
    <m/>
    <m/>
    <m/>
    <m/>
  </r>
  <r>
    <x v="1"/>
    <x v="297"/>
    <n v="14"/>
    <n v="2507"/>
    <m/>
    <n v="17"/>
    <m/>
    <m/>
    <m/>
    <m/>
    <m/>
    <m/>
    <m/>
  </r>
  <r>
    <x v="2"/>
    <x v="297"/>
    <n v="90"/>
    <n v="23714"/>
    <n v="7"/>
    <n v="669"/>
    <m/>
    <m/>
    <m/>
    <m/>
    <m/>
    <m/>
    <m/>
  </r>
  <r>
    <x v="3"/>
    <x v="297"/>
    <n v="48"/>
    <n v="29511"/>
    <m/>
    <n v="486"/>
    <m/>
    <m/>
    <m/>
    <m/>
    <m/>
    <m/>
    <m/>
  </r>
  <r>
    <x v="5"/>
    <x v="297"/>
    <n v="158"/>
    <n v="124703"/>
    <n v="3"/>
    <n v="2448"/>
    <m/>
    <m/>
    <m/>
    <m/>
    <m/>
    <m/>
    <m/>
  </r>
  <r>
    <x v="6"/>
    <x v="297"/>
    <n v="35"/>
    <n v="11124"/>
    <m/>
    <n v="154"/>
    <m/>
    <m/>
    <m/>
    <m/>
    <m/>
    <m/>
    <m/>
  </r>
  <r>
    <x v="7"/>
    <x v="297"/>
    <n v="134"/>
    <n v="27838"/>
    <m/>
    <n v="571"/>
    <m/>
    <m/>
    <m/>
    <m/>
    <m/>
    <m/>
    <m/>
  </r>
  <r>
    <x v="8"/>
    <x v="297"/>
    <n v="0"/>
    <n v="213"/>
    <m/>
    <n v="3"/>
    <m/>
    <m/>
    <m/>
    <m/>
    <m/>
    <m/>
    <m/>
  </r>
  <r>
    <x v="9"/>
    <x v="297"/>
    <n v="4"/>
    <n v="18498"/>
    <m/>
    <n v="857"/>
    <m/>
    <m/>
    <m/>
    <m/>
    <m/>
    <m/>
    <m/>
  </r>
  <r>
    <x v="10"/>
    <x v="297"/>
    <n v="140"/>
    <n v="9335"/>
    <m/>
    <n v="116"/>
    <m/>
    <m/>
    <m/>
    <m/>
    <m/>
    <m/>
    <m/>
  </r>
  <r>
    <x v="11"/>
    <x v="297"/>
    <n v="7"/>
    <n v="9057"/>
    <n v="5"/>
    <n v="379"/>
    <m/>
    <m/>
    <m/>
    <m/>
    <m/>
    <m/>
    <m/>
  </r>
  <r>
    <x v="12"/>
    <x v="297"/>
    <n v="22"/>
    <n v="59505"/>
    <m/>
    <n v="1218"/>
    <m/>
    <m/>
    <m/>
    <m/>
    <m/>
    <m/>
    <m/>
  </r>
  <r>
    <x v="13"/>
    <x v="297"/>
    <n v="45"/>
    <n v="945"/>
    <m/>
    <n v="11"/>
    <m/>
    <m/>
    <m/>
    <m/>
    <m/>
    <m/>
    <m/>
  </r>
  <r>
    <x v="14"/>
    <x v="297"/>
    <n v="79"/>
    <n v="39181"/>
    <m/>
    <n v="688"/>
    <m/>
    <m/>
    <m/>
    <m/>
    <m/>
    <m/>
    <m/>
  </r>
  <r>
    <x v="15"/>
    <x v="297"/>
    <n v="89"/>
    <n v="36951"/>
    <n v="1"/>
    <n v="881"/>
    <m/>
    <m/>
    <m/>
    <m/>
    <m/>
    <m/>
    <m/>
  </r>
  <r>
    <x v="16"/>
    <x v="297"/>
    <n v="12"/>
    <n v="22146"/>
    <m/>
    <n v="1013"/>
    <m/>
    <m/>
    <m/>
    <m/>
    <m/>
    <m/>
    <m/>
  </r>
  <r>
    <x v="17"/>
    <x v="297"/>
    <n v="2"/>
    <n v="10878"/>
    <m/>
    <n v="196"/>
    <m/>
    <m/>
    <m/>
    <m/>
    <m/>
    <m/>
    <m/>
  </r>
  <r>
    <x v="18"/>
    <x v="297"/>
    <n v="3"/>
    <n v="15988"/>
    <m/>
    <n v="293"/>
    <m/>
    <m/>
    <m/>
    <m/>
    <m/>
    <m/>
    <m/>
  </r>
  <r>
    <x v="19"/>
    <x v="297"/>
    <n v="92"/>
    <n v="21838"/>
    <m/>
    <n v="360"/>
    <m/>
    <m/>
    <m/>
    <m/>
    <m/>
    <m/>
    <m/>
  </r>
  <r>
    <x v="20"/>
    <x v="297"/>
    <n v="228"/>
    <n v="170941"/>
    <m/>
    <n v="2810"/>
    <m/>
    <m/>
    <m/>
    <m/>
    <m/>
    <m/>
    <m/>
  </r>
  <r>
    <x v="21"/>
    <x v="297"/>
    <n v="45"/>
    <n v="17000"/>
    <m/>
    <n v="214"/>
    <m/>
    <m/>
    <m/>
    <m/>
    <m/>
    <m/>
    <m/>
  </r>
  <r>
    <x v="22"/>
    <x v="297"/>
    <n v="91"/>
    <n v="18527"/>
    <m/>
    <n v="246"/>
    <m/>
    <m/>
    <m/>
    <m/>
    <m/>
    <m/>
    <m/>
  </r>
  <r>
    <x v="23"/>
    <x v="297"/>
    <n v="23"/>
    <n v="70279"/>
    <m/>
    <n v="1334"/>
    <m/>
    <m/>
    <m/>
    <m/>
    <m/>
    <m/>
    <m/>
  </r>
  <r>
    <x v="0"/>
    <x v="298"/>
    <n v="1343"/>
    <n v="665994"/>
    <n v="39"/>
    <n v="21987"/>
    <m/>
    <m/>
    <m/>
    <m/>
    <m/>
    <m/>
    <m/>
  </r>
  <r>
    <x v="4"/>
    <x v="298"/>
    <n v="375"/>
    <n v="169599"/>
    <n v="2"/>
    <n v="5450"/>
    <m/>
    <m/>
    <m/>
    <m/>
    <m/>
    <m/>
    <m/>
  </r>
  <r>
    <x v="1"/>
    <x v="298"/>
    <n v="23"/>
    <n v="2530"/>
    <m/>
    <n v="17"/>
    <m/>
    <m/>
    <m/>
    <m/>
    <m/>
    <m/>
    <m/>
  </r>
  <r>
    <x v="2"/>
    <x v="298"/>
    <n v="63"/>
    <n v="23777"/>
    <n v="4"/>
    <n v="673"/>
    <m/>
    <m/>
    <m/>
    <m/>
    <m/>
    <m/>
    <m/>
  </r>
  <r>
    <x v="3"/>
    <x v="298"/>
    <n v="215"/>
    <n v="29726"/>
    <m/>
    <n v="486"/>
    <m/>
    <m/>
    <m/>
    <m/>
    <m/>
    <m/>
    <m/>
  </r>
  <r>
    <x v="5"/>
    <x v="298"/>
    <n v="163"/>
    <n v="124866"/>
    <n v="4"/>
    <n v="2452"/>
    <m/>
    <m/>
    <m/>
    <m/>
    <m/>
    <m/>
    <m/>
  </r>
  <r>
    <x v="6"/>
    <x v="298"/>
    <n v="24"/>
    <n v="11148"/>
    <n v="3"/>
    <n v="157"/>
    <m/>
    <m/>
    <m/>
    <m/>
    <m/>
    <m/>
    <m/>
  </r>
  <r>
    <x v="7"/>
    <x v="298"/>
    <n v="85"/>
    <n v="27923"/>
    <m/>
    <n v="571"/>
    <m/>
    <m/>
    <m/>
    <m/>
    <m/>
    <m/>
    <m/>
  </r>
  <r>
    <x v="8"/>
    <x v="298"/>
    <n v="0"/>
    <n v="213"/>
    <m/>
    <n v="3"/>
    <m/>
    <m/>
    <m/>
    <m/>
    <m/>
    <m/>
    <m/>
  </r>
  <r>
    <x v="9"/>
    <x v="298"/>
    <n v="2"/>
    <n v="18500"/>
    <m/>
    <n v="857"/>
    <m/>
    <m/>
    <m/>
    <m/>
    <m/>
    <m/>
    <m/>
  </r>
  <r>
    <x v="10"/>
    <x v="298"/>
    <n v="182"/>
    <n v="9517"/>
    <m/>
    <n v="116"/>
    <m/>
    <m/>
    <m/>
    <m/>
    <m/>
    <m/>
    <m/>
  </r>
  <r>
    <x v="11"/>
    <x v="298"/>
    <n v="4"/>
    <n v="9061"/>
    <n v="6"/>
    <n v="385"/>
    <m/>
    <m/>
    <m/>
    <m/>
    <m/>
    <m/>
    <m/>
  </r>
  <r>
    <x v="12"/>
    <x v="298"/>
    <n v="53"/>
    <n v="59558"/>
    <n v="1"/>
    <n v="1219"/>
    <m/>
    <m/>
    <m/>
    <m/>
    <m/>
    <m/>
    <m/>
  </r>
  <r>
    <x v="13"/>
    <x v="298"/>
    <n v="43"/>
    <n v="988"/>
    <m/>
    <n v="11"/>
    <m/>
    <m/>
    <m/>
    <m/>
    <m/>
    <m/>
    <m/>
  </r>
  <r>
    <x v="14"/>
    <x v="298"/>
    <n v="102"/>
    <n v="39283"/>
    <m/>
    <n v="688"/>
    <m/>
    <m/>
    <m/>
    <m/>
    <m/>
    <m/>
    <m/>
  </r>
  <r>
    <x v="15"/>
    <x v="298"/>
    <n v="163"/>
    <n v="37114"/>
    <n v="2"/>
    <n v="883"/>
    <m/>
    <m/>
    <m/>
    <m/>
    <m/>
    <m/>
    <m/>
  </r>
  <r>
    <x v="16"/>
    <x v="298"/>
    <n v="25"/>
    <n v="22171"/>
    <m/>
    <n v="1013"/>
    <m/>
    <m/>
    <m/>
    <m/>
    <m/>
    <m/>
    <m/>
  </r>
  <r>
    <x v="17"/>
    <x v="298"/>
    <n v="12"/>
    <n v="10890"/>
    <m/>
    <n v="196"/>
    <m/>
    <m/>
    <m/>
    <m/>
    <m/>
    <m/>
    <m/>
  </r>
  <r>
    <x v="18"/>
    <x v="298"/>
    <n v="6"/>
    <n v="15994"/>
    <m/>
    <n v="293"/>
    <m/>
    <m/>
    <m/>
    <m/>
    <m/>
    <m/>
    <m/>
  </r>
  <r>
    <x v="19"/>
    <x v="298"/>
    <n v="159"/>
    <n v="21997"/>
    <n v="1"/>
    <n v="361"/>
    <m/>
    <m/>
    <m/>
    <m/>
    <m/>
    <m/>
    <m/>
  </r>
  <r>
    <x v="20"/>
    <x v="298"/>
    <n v="423"/>
    <n v="171364"/>
    <n v="17"/>
    <n v="2827"/>
    <m/>
    <m/>
    <m/>
    <m/>
    <m/>
    <m/>
    <m/>
  </r>
  <r>
    <x v="21"/>
    <x v="298"/>
    <n v="47"/>
    <n v="17047"/>
    <m/>
    <n v="214"/>
    <m/>
    <m/>
    <m/>
    <m/>
    <m/>
    <m/>
    <m/>
  </r>
  <r>
    <x v="22"/>
    <x v="298"/>
    <n v="124"/>
    <n v="18651"/>
    <m/>
    <n v="246"/>
    <m/>
    <m/>
    <m/>
    <m/>
    <m/>
    <m/>
    <m/>
  </r>
  <r>
    <x v="23"/>
    <x v="298"/>
    <n v="77"/>
    <n v="70356"/>
    <m/>
    <n v="1334"/>
    <m/>
    <m/>
    <m/>
    <m/>
    <m/>
    <m/>
    <m/>
  </r>
  <r>
    <x v="0"/>
    <x v="299"/>
    <n v="1996"/>
    <n v="667990"/>
    <n v="111"/>
    <n v="22098"/>
    <m/>
    <m/>
    <m/>
    <m/>
    <m/>
    <m/>
    <m/>
  </r>
  <r>
    <x v="4"/>
    <x v="299"/>
    <n v="728"/>
    <n v="170327"/>
    <n v="3"/>
    <n v="5453"/>
    <m/>
    <m/>
    <m/>
    <m/>
    <m/>
    <m/>
    <m/>
  </r>
  <r>
    <x v="1"/>
    <x v="299"/>
    <n v="46"/>
    <n v="2576"/>
    <m/>
    <n v="17"/>
    <m/>
    <m/>
    <m/>
    <m/>
    <m/>
    <m/>
    <m/>
  </r>
  <r>
    <x v="2"/>
    <x v="299"/>
    <n v="70"/>
    <n v="23847"/>
    <n v="1"/>
    <n v="674"/>
    <m/>
    <m/>
    <m/>
    <m/>
    <m/>
    <m/>
    <m/>
  </r>
  <r>
    <x v="3"/>
    <x v="299"/>
    <n v="155"/>
    <n v="29881"/>
    <n v="1"/>
    <n v="487"/>
    <m/>
    <m/>
    <m/>
    <m/>
    <m/>
    <m/>
    <m/>
  </r>
  <r>
    <x v="5"/>
    <x v="299"/>
    <n v="227"/>
    <n v="125093"/>
    <m/>
    <n v="2452"/>
    <m/>
    <m/>
    <m/>
    <m/>
    <m/>
    <m/>
    <m/>
  </r>
  <r>
    <x v="6"/>
    <x v="299"/>
    <n v="235"/>
    <n v="11383"/>
    <m/>
    <n v="157"/>
    <m/>
    <m/>
    <m/>
    <m/>
    <m/>
    <m/>
    <m/>
  </r>
  <r>
    <x v="7"/>
    <x v="299"/>
    <n v="155"/>
    <n v="28078"/>
    <n v="1"/>
    <n v="572"/>
    <m/>
    <m/>
    <m/>
    <m/>
    <m/>
    <m/>
    <m/>
  </r>
  <r>
    <x v="8"/>
    <x v="299"/>
    <n v="1"/>
    <n v="214"/>
    <m/>
    <n v="3"/>
    <m/>
    <m/>
    <m/>
    <m/>
    <m/>
    <m/>
    <m/>
  </r>
  <r>
    <x v="9"/>
    <x v="299"/>
    <n v="6"/>
    <n v="18506"/>
    <m/>
    <n v="857"/>
    <m/>
    <m/>
    <m/>
    <m/>
    <m/>
    <m/>
    <m/>
  </r>
  <r>
    <x v="10"/>
    <x v="299"/>
    <n v="189"/>
    <n v="9706"/>
    <m/>
    <n v="116"/>
    <m/>
    <m/>
    <m/>
    <m/>
    <m/>
    <m/>
    <m/>
  </r>
  <r>
    <x v="11"/>
    <x v="299"/>
    <n v="7"/>
    <n v="9068"/>
    <n v="3"/>
    <n v="388"/>
    <m/>
    <m/>
    <m/>
    <m/>
    <m/>
    <m/>
    <m/>
  </r>
  <r>
    <x v="12"/>
    <x v="299"/>
    <n v="51"/>
    <n v="59609"/>
    <m/>
    <n v="1219"/>
    <m/>
    <m/>
    <m/>
    <m/>
    <m/>
    <m/>
    <m/>
  </r>
  <r>
    <x v="13"/>
    <x v="299"/>
    <n v="23"/>
    <n v="1011"/>
    <m/>
    <n v="11"/>
    <m/>
    <m/>
    <m/>
    <m/>
    <m/>
    <m/>
    <m/>
  </r>
  <r>
    <x v="14"/>
    <x v="299"/>
    <n v="82"/>
    <n v="39365"/>
    <m/>
    <n v="688"/>
    <m/>
    <m/>
    <m/>
    <m/>
    <m/>
    <m/>
    <m/>
  </r>
  <r>
    <x v="15"/>
    <x v="299"/>
    <n v="163"/>
    <n v="37277"/>
    <n v="1"/>
    <n v="884"/>
    <m/>
    <m/>
    <m/>
    <m/>
    <m/>
    <m/>
    <m/>
  </r>
  <r>
    <x v="16"/>
    <x v="299"/>
    <n v="37"/>
    <n v="22208"/>
    <n v="1"/>
    <n v="1014"/>
    <m/>
    <m/>
    <m/>
    <m/>
    <m/>
    <m/>
    <m/>
  </r>
  <r>
    <x v="17"/>
    <x v="299"/>
    <n v="10"/>
    <n v="10900"/>
    <m/>
    <n v="196"/>
    <m/>
    <m/>
    <m/>
    <m/>
    <m/>
    <m/>
    <m/>
  </r>
  <r>
    <x v="18"/>
    <x v="299"/>
    <n v="38"/>
    <n v="16032"/>
    <n v="2"/>
    <n v="295"/>
    <m/>
    <m/>
    <m/>
    <m/>
    <m/>
    <m/>
    <m/>
  </r>
  <r>
    <x v="19"/>
    <x v="299"/>
    <n v="242"/>
    <n v="22239"/>
    <n v="3"/>
    <n v="364"/>
    <m/>
    <m/>
    <m/>
    <m/>
    <m/>
    <m/>
    <m/>
  </r>
  <r>
    <x v="20"/>
    <x v="299"/>
    <n v="406"/>
    <n v="171770"/>
    <n v="16"/>
    <n v="2843"/>
    <m/>
    <m/>
    <m/>
    <m/>
    <m/>
    <m/>
    <m/>
  </r>
  <r>
    <x v="21"/>
    <x v="299"/>
    <n v="24"/>
    <n v="17071"/>
    <n v="3"/>
    <n v="217"/>
    <m/>
    <m/>
    <m/>
    <m/>
    <m/>
    <m/>
    <m/>
  </r>
  <r>
    <x v="22"/>
    <x v="299"/>
    <n v="88"/>
    <n v="18739"/>
    <n v="2"/>
    <n v="248"/>
    <m/>
    <m/>
    <m/>
    <m/>
    <m/>
    <m/>
    <m/>
  </r>
  <r>
    <x v="23"/>
    <x v="299"/>
    <n v="51"/>
    <n v="70407"/>
    <n v="1"/>
    <n v="1335"/>
    <m/>
    <m/>
    <m/>
    <m/>
    <m/>
    <m/>
    <m/>
  </r>
  <r>
    <x v="0"/>
    <x v="300"/>
    <n v="2873"/>
    <n v="670863"/>
    <n v="90"/>
    <n v="22188"/>
    <m/>
    <m/>
    <m/>
    <m/>
    <m/>
    <m/>
    <m/>
  </r>
  <r>
    <x v="4"/>
    <x v="300"/>
    <n v="863"/>
    <n v="171190"/>
    <n v="20"/>
    <n v="5473"/>
    <m/>
    <m/>
    <m/>
    <m/>
    <m/>
    <m/>
    <m/>
  </r>
  <r>
    <x v="1"/>
    <x v="300"/>
    <n v="31"/>
    <n v="2607"/>
    <m/>
    <n v="17"/>
    <m/>
    <m/>
    <m/>
    <m/>
    <m/>
    <m/>
    <m/>
  </r>
  <r>
    <x v="2"/>
    <x v="300"/>
    <n v="121"/>
    <n v="23968"/>
    <n v="7"/>
    <n v="681"/>
    <m/>
    <m/>
    <m/>
    <m/>
    <m/>
    <m/>
    <m/>
  </r>
  <r>
    <x v="3"/>
    <x v="300"/>
    <n v="451"/>
    <n v="30332"/>
    <n v="4"/>
    <n v="491"/>
    <m/>
    <m/>
    <m/>
    <m/>
    <m/>
    <m/>
    <m/>
  </r>
  <r>
    <x v="5"/>
    <x v="300"/>
    <n v="286"/>
    <n v="125379"/>
    <n v="7"/>
    <n v="2459"/>
    <m/>
    <m/>
    <m/>
    <m/>
    <m/>
    <m/>
    <m/>
  </r>
  <r>
    <x v="6"/>
    <x v="300"/>
    <n v="183"/>
    <n v="11566"/>
    <n v="1"/>
    <n v="158"/>
    <m/>
    <m/>
    <m/>
    <m/>
    <m/>
    <m/>
    <m/>
  </r>
  <r>
    <x v="7"/>
    <x v="300"/>
    <n v="178"/>
    <n v="28256"/>
    <n v="2"/>
    <n v="574"/>
    <m/>
    <m/>
    <m/>
    <m/>
    <m/>
    <m/>
    <m/>
  </r>
  <r>
    <x v="8"/>
    <x v="300"/>
    <n v="7"/>
    <n v="221"/>
    <m/>
    <n v="3"/>
    <m/>
    <m/>
    <m/>
    <m/>
    <m/>
    <m/>
    <m/>
  </r>
  <r>
    <x v="9"/>
    <x v="300"/>
    <n v="3"/>
    <n v="18509"/>
    <n v="1"/>
    <n v="858"/>
    <m/>
    <m/>
    <m/>
    <m/>
    <m/>
    <m/>
    <m/>
  </r>
  <r>
    <x v="10"/>
    <x v="300"/>
    <n v="208"/>
    <n v="9914"/>
    <n v="8"/>
    <n v="124"/>
    <m/>
    <m/>
    <m/>
    <m/>
    <m/>
    <m/>
    <m/>
  </r>
  <r>
    <x v="11"/>
    <x v="300"/>
    <n v="4"/>
    <n v="9072"/>
    <m/>
    <n v="388"/>
    <m/>
    <m/>
    <m/>
    <m/>
    <m/>
    <m/>
    <m/>
  </r>
  <r>
    <x v="12"/>
    <x v="300"/>
    <n v="77"/>
    <n v="59686"/>
    <n v="3"/>
    <n v="1222"/>
    <m/>
    <m/>
    <m/>
    <m/>
    <m/>
    <m/>
    <m/>
  </r>
  <r>
    <x v="13"/>
    <x v="300"/>
    <n v="3"/>
    <n v="1014"/>
    <m/>
    <n v="11"/>
    <m/>
    <m/>
    <m/>
    <m/>
    <m/>
    <m/>
    <m/>
  </r>
  <r>
    <x v="14"/>
    <x v="300"/>
    <n v="206"/>
    <n v="39571"/>
    <m/>
    <n v="688"/>
    <m/>
    <m/>
    <m/>
    <m/>
    <m/>
    <m/>
    <m/>
  </r>
  <r>
    <x v="15"/>
    <x v="300"/>
    <n v="263"/>
    <n v="37540"/>
    <n v="6"/>
    <n v="890"/>
    <m/>
    <m/>
    <m/>
    <m/>
    <m/>
    <m/>
    <m/>
  </r>
  <r>
    <x v="16"/>
    <x v="300"/>
    <n v="8"/>
    <n v="22216"/>
    <n v="1"/>
    <n v="1015"/>
    <m/>
    <m/>
    <m/>
    <m/>
    <m/>
    <m/>
    <m/>
  </r>
  <r>
    <x v="17"/>
    <x v="300"/>
    <n v="150"/>
    <n v="11050"/>
    <n v="1"/>
    <n v="197"/>
    <m/>
    <m/>
    <m/>
    <m/>
    <m/>
    <m/>
    <m/>
  </r>
  <r>
    <x v="18"/>
    <x v="300"/>
    <n v="34"/>
    <n v="16066"/>
    <n v="1"/>
    <n v="296"/>
    <m/>
    <m/>
    <m/>
    <m/>
    <m/>
    <m/>
    <m/>
  </r>
  <r>
    <x v="19"/>
    <x v="300"/>
    <n v="265"/>
    <n v="22504"/>
    <n v="9"/>
    <n v="373"/>
    <m/>
    <m/>
    <m/>
    <m/>
    <m/>
    <m/>
    <m/>
  </r>
  <r>
    <x v="20"/>
    <x v="300"/>
    <n v="718"/>
    <n v="172488"/>
    <n v="55"/>
    <n v="2898"/>
    <m/>
    <m/>
    <m/>
    <m/>
    <m/>
    <m/>
    <m/>
  </r>
  <r>
    <x v="21"/>
    <x v="300"/>
    <n v="61"/>
    <n v="17132"/>
    <m/>
    <n v="217"/>
    <m/>
    <m/>
    <m/>
    <m/>
    <m/>
    <m/>
    <m/>
  </r>
  <r>
    <x v="22"/>
    <x v="300"/>
    <n v="63"/>
    <n v="18802"/>
    <m/>
    <n v="248"/>
    <m/>
    <m/>
    <m/>
    <m/>
    <m/>
    <m/>
    <m/>
  </r>
  <r>
    <x v="23"/>
    <x v="300"/>
    <n v="160"/>
    <n v="70567"/>
    <n v="1"/>
    <n v="1336"/>
    <m/>
    <m/>
    <m/>
    <m/>
    <m/>
    <m/>
    <m/>
  </r>
  <r>
    <x v="0"/>
    <x v="301"/>
    <n v="4417"/>
    <n v="675280"/>
    <n v="67"/>
    <n v="22255"/>
    <m/>
    <m/>
    <m/>
    <m/>
    <m/>
    <m/>
    <m/>
  </r>
  <r>
    <x v="4"/>
    <x v="301"/>
    <n v="996"/>
    <n v="172186"/>
    <n v="11"/>
    <n v="5484"/>
    <m/>
    <m/>
    <m/>
    <m/>
    <m/>
    <m/>
    <m/>
  </r>
  <r>
    <x v="1"/>
    <x v="301"/>
    <n v="16"/>
    <n v="2623"/>
    <m/>
    <n v="17"/>
    <m/>
    <m/>
    <m/>
    <m/>
    <m/>
    <m/>
    <m/>
  </r>
  <r>
    <x v="2"/>
    <x v="301"/>
    <n v="306"/>
    <n v="24274"/>
    <n v="5"/>
    <n v="686"/>
    <m/>
    <m/>
    <m/>
    <m/>
    <m/>
    <m/>
    <m/>
  </r>
  <r>
    <x v="3"/>
    <x v="301"/>
    <n v="606"/>
    <n v="30938"/>
    <n v="2"/>
    <n v="493"/>
    <m/>
    <m/>
    <m/>
    <m/>
    <m/>
    <m/>
    <m/>
  </r>
  <r>
    <x v="5"/>
    <x v="301"/>
    <n v="775"/>
    <n v="126154"/>
    <n v="2"/>
    <n v="2461"/>
    <m/>
    <m/>
    <m/>
    <m/>
    <m/>
    <m/>
    <m/>
  </r>
  <r>
    <x v="6"/>
    <x v="301"/>
    <n v="216"/>
    <n v="11782"/>
    <n v="5"/>
    <n v="163"/>
    <m/>
    <m/>
    <m/>
    <m/>
    <m/>
    <m/>
    <m/>
  </r>
  <r>
    <x v="7"/>
    <x v="301"/>
    <n v="327"/>
    <n v="28583"/>
    <n v="2"/>
    <n v="576"/>
    <m/>
    <m/>
    <m/>
    <m/>
    <m/>
    <m/>
    <m/>
  </r>
  <r>
    <x v="8"/>
    <x v="301"/>
    <n v="-9"/>
    <n v="212"/>
    <m/>
    <n v="3"/>
    <m/>
    <m/>
    <m/>
    <m/>
    <m/>
    <m/>
    <m/>
  </r>
  <r>
    <x v="9"/>
    <x v="301"/>
    <n v="14"/>
    <n v="18523"/>
    <m/>
    <n v="858"/>
    <m/>
    <m/>
    <m/>
    <m/>
    <m/>
    <m/>
    <m/>
  </r>
  <r>
    <x v="10"/>
    <x v="301"/>
    <n v="314"/>
    <n v="10228"/>
    <m/>
    <n v="124"/>
    <m/>
    <m/>
    <m/>
    <m/>
    <m/>
    <m/>
    <m/>
  </r>
  <r>
    <x v="11"/>
    <x v="301"/>
    <n v="3"/>
    <n v="9075"/>
    <m/>
    <n v="388"/>
    <m/>
    <m/>
    <m/>
    <m/>
    <m/>
    <m/>
    <m/>
  </r>
  <r>
    <x v="12"/>
    <x v="301"/>
    <n v="161"/>
    <n v="59847"/>
    <n v="7"/>
    <n v="1229"/>
    <m/>
    <m/>
    <m/>
    <m/>
    <m/>
    <m/>
    <m/>
  </r>
  <r>
    <x v="13"/>
    <x v="301"/>
    <n v="30"/>
    <n v="1044"/>
    <m/>
    <n v="11"/>
    <m/>
    <m/>
    <m/>
    <m/>
    <m/>
    <m/>
    <m/>
  </r>
  <r>
    <x v="14"/>
    <x v="301"/>
    <n v="558"/>
    <n v="40129"/>
    <m/>
    <n v="688"/>
    <m/>
    <m/>
    <m/>
    <m/>
    <m/>
    <m/>
    <m/>
  </r>
  <r>
    <x v="15"/>
    <x v="301"/>
    <n v="387"/>
    <n v="37927"/>
    <n v="3"/>
    <n v="893"/>
    <m/>
    <m/>
    <m/>
    <m/>
    <m/>
    <m/>
    <m/>
  </r>
  <r>
    <x v="16"/>
    <x v="301"/>
    <n v="40"/>
    <n v="22256"/>
    <n v="3"/>
    <n v="1018"/>
    <m/>
    <m/>
    <m/>
    <m/>
    <m/>
    <m/>
    <m/>
  </r>
  <r>
    <x v="17"/>
    <x v="301"/>
    <n v="305"/>
    <n v="11355"/>
    <n v="1"/>
    <n v="198"/>
    <m/>
    <m/>
    <m/>
    <m/>
    <m/>
    <m/>
    <m/>
  </r>
  <r>
    <x v="18"/>
    <x v="301"/>
    <n v="55"/>
    <n v="16121"/>
    <n v="4"/>
    <n v="300"/>
    <m/>
    <m/>
    <m/>
    <m/>
    <m/>
    <m/>
    <m/>
  </r>
  <r>
    <x v="19"/>
    <x v="301"/>
    <n v="397"/>
    <n v="22901"/>
    <n v="4"/>
    <n v="377"/>
    <m/>
    <m/>
    <m/>
    <m/>
    <m/>
    <m/>
    <m/>
  </r>
  <r>
    <x v="20"/>
    <x v="301"/>
    <n v="1226"/>
    <n v="173714"/>
    <n v="17"/>
    <n v="2915"/>
    <m/>
    <m/>
    <m/>
    <m/>
    <m/>
    <m/>
    <m/>
  </r>
  <r>
    <x v="21"/>
    <x v="301"/>
    <n v="75"/>
    <n v="17207"/>
    <n v="1"/>
    <n v="218"/>
    <m/>
    <m/>
    <m/>
    <m/>
    <m/>
    <m/>
    <m/>
  </r>
  <r>
    <x v="22"/>
    <x v="301"/>
    <n v="159"/>
    <n v="18961"/>
    <m/>
    <n v="248"/>
    <m/>
    <m/>
    <m/>
    <m/>
    <m/>
    <m/>
    <m/>
  </r>
  <r>
    <x v="23"/>
    <x v="301"/>
    <n v="276"/>
    <n v="70843"/>
    <n v="17"/>
    <n v="1353"/>
    <m/>
    <m/>
    <m/>
    <m/>
    <m/>
    <m/>
    <m/>
  </r>
  <r>
    <x v="0"/>
    <x v="302"/>
    <n v="4761"/>
    <n v="680041"/>
    <n v="36"/>
    <n v="22291"/>
    <m/>
    <m/>
    <m/>
    <m/>
    <m/>
    <m/>
    <m/>
  </r>
  <r>
    <x v="4"/>
    <x v="302"/>
    <n v="1076"/>
    <n v="173262"/>
    <n v="15"/>
    <n v="5499"/>
    <m/>
    <m/>
    <m/>
    <m/>
    <m/>
    <m/>
    <m/>
  </r>
  <r>
    <x v="1"/>
    <x v="302"/>
    <n v="62"/>
    <n v="2685"/>
    <m/>
    <n v="17"/>
    <m/>
    <m/>
    <m/>
    <m/>
    <m/>
    <m/>
    <m/>
  </r>
  <r>
    <x v="2"/>
    <x v="302"/>
    <n v="249"/>
    <n v="24523"/>
    <n v="6"/>
    <n v="692"/>
    <m/>
    <m/>
    <m/>
    <m/>
    <m/>
    <m/>
    <m/>
  </r>
  <r>
    <x v="3"/>
    <x v="302"/>
    <n v="538"/>
    <n v="31476"/>
    <m/>
    <n v="493"/>
    <m/>
    <m/>
    <m/>
    <m/>
    <m/>
    <m/>
    <m/>
  </r>
  <r>
    <x v="5"/>
    <x v="302"/>
    <n v="763"/>
    <n v="126917"/>
    <n v="3"/>
    <n v="2464"/>
    <m/>
    <m/>
    <m/>
    <m/>
    <m/>
    <m/>
    <m/>
  </r>
  <r>
    <x v="6"/>
    <x v="302"/>
    <n v="118"/>
    <n v="11900"/>
    <n v="6"/>
    <n v="169"/>
    <m/>
    <m/>
    <m/>
    <m/>
    <m/>
    <m/>
    <m/>
  </r>
  <r>
    <x v="7"/>
    <x v="302"/>
    <n v="419"/>
    <n v="29002"/>
    <n v="4"/>
    <n v="580"/>
    <m/>
    <m/>
    <m/>
    <m/>
    <m/>
    <m/>
    <m/>
  </r>
  <r>
    <x v="8"/>
    <x v="302"/>
    <n v="0"/>
    <n v="212"/>
    <m/>
    <n v="3"/>
    <m/>
    <m/>
    <m/>
    <m/>
    <m/>
    <m/>
    <m/>
  </r>
  <r>
    <x v="9"/>
    <x v="302"/>
    <n v="22"/>
    <n v="18545"/>
    <m/>
    <n v="858"/>
    <m/>
    <m/>
    <m/>
    <m/>
    <m/>
    <m/>
    <m/>
  </r>
  <r>
    <x v="10"/>
    <x v="302"/>
    <n v="321"/>
    <n v="10549"/>
    <m/>
    <n v="124"/>
    <m/>
    <m/>
    <m/>
    <m/>
    <m/>
    <m/>
    <m/>
  </r>
  <r>
    <x v="11"/>
    <x v="302"/>
    <n v="10"/>
    <n v="9085"/>
    <m/>
    <n v="388"/>
    <m/>
    <m/>
    <m/>
    <m/>
    <m/>
    <m/>
    <m/>
  </r>
  <r>
    <x v="12"/>
    <x v="302"/>
    <n v="169"/>
    <n v="60016"/>
    <n v="2"/>
    <n v="1231"/>
    <m/>
    <m/>
    <m/>
    <m/>
    <m/>
    <m/>
    <m/>
  </r>
  <r>
    <x v="13"/>
    <x v="302"/>
    <n v="32"/>
    <n v="1076"/>
    <m/>
    <n v="11"/>
    <m/>
    <m/>
    <m/>
    <m/>
    <m/>
    <m/>
    <m/>
  </r>
  <r>
    <x v="14"/>
    <x v="302"/>
    <n v="518"/>
    <n v="40647"/>
    <n v="23"/>
    <n v="711"/>
    <m/>
    <m/>
    <m/>
    <m/>
    <m/>
    <m/>
    <m/>
  </r>
  <r>
    <x v="15"/>
    <x v="302"/>
    <n v="387"/>
    <n v="38314"/>
    <n v="7"/>
    <n v="900"/>
    <m/>
    <m/>
    <m/>
    <m/>
    <m/>
    <m/>
    <m/>
  </r>
  <r>
    <x v="16"/>
    <x v="302"/>
    <n v="52"/>
    <n v="22308"/>
    <n v="1"/>
    <n v="1019"/>
    <m/>
    <m/>
    <m/>
    <m/>
    <m/>
    <m/>
    <m/>
  </r>
  <r>
    <x v="17"/>
    <x v="302"/>
    <n v="148"/>
    <n v="11503"/>
    <m/>
    <n v="198"/>
    <m/>
    <m/>
    <m/>
    <m/>
    <m/>
    <m/>
    <m/>
  </r>
  <r>
    <x v="18"/>
    <x v="302"/>
    <n v="38"/>
    <n v="16159"/>
    <m/>
    <n v="300"/>
    <m/>
    <m/>
    <m/>
    <m/>
    <m/>
    <m/>
    <m/>
  </r>
  <r>
    <x v="19"/>
    <x v="302"/>
    <n v="434"/>
    <n v="23335"/>
    <n v="1"/>
    <n v="378"/>
    <m/>
    <m/>
    <m/>
    <m/>
    <m/>
    <m/>
    <m/>
  </r>
  <r>
    <x v="20"/>
    <x v="302"/>
    <n v="1307"/>
    <n v="175021"/>
    <n v="25"/>
    <n v="2940"/>
    <m/>
    <m/>
    <m/>
    <m/>
    <m/>
    <m/>
    <m/>
  </r>
  <r>
    <x v="21"/>
    <x v="302"/>
    <n v="123"/>
    <n v="17330"/>
    <m/>
    <n v="218"/>
    <m/>
    <m/>
    <m/>
    <m/>
    <m/>
    <m/>
    <m/>
  </r>
  <r>
    <x v="22"/>
    <x v="302"/>
    <n v="67"/>
    <n v="19028"/>
    <n v="3"/>
    <n v="251"/>
    <m/>
    <m/>
    <m/>
    <m/>
    <m/>
    <m/>
    <m/>
  </r>
  <r>
    <x v="23"/>
    <x v="302"/>
    <n v="151"/>
    <n v="70994"/>
    <n v="13"/>
    <n v="1366"/>
    <m/>
    <m/>
    <m/>
    <m/>
    <m/>
    <m/>
    <m/>
  </r>
  <r>
    <x v="0"/>
    <x v="303"/>
    <n v="4724"/>
    <n v="684765"/>
    <n v="57"/>
    <n v="22348"/>
    <m/>
    <m/>
    <m/>
    <m/>
    <m/>
    <m/>
    <m/>
  </r>
  <r>
    <x v="4"/>
    <x v="303"/>
    <n v="1337"/>
    <n v="174599"/>
    <n v="5"/>
    <n v="5504"/>
    <m/>
    <m/>
    <m/>
    <m/>
    <m/>
    <m/>
    <m/>
  </r>
  <r>
    <x v="1"/>
    <x v="303"/>
    <n v="82"/>
    <n v="2767"/>
    <m/>
    <n v="17"/>
    <m/>
    <m/>
    <m/>
    <m/>
    <m/>
    <m/>
    <m/>
  </r>
  <r>
    <x v="2"/>
    <x v="303"/>
    <n v="259"/>
    <n v="24782"/>
    <n v="2"/>
    <n v="694"/>
    <m/>
    <m/>
    <m/>
    <m/>
    <m/>
    <m/>
    <m/>
  </r>
  <r>
    <x v="3"/>
    <x v="303"/>
    <n v="455"/>
    <n v="31931"/>
    <m/>
    <n v="493"/>
    <m/>
    <m/>
    <m/>
    <m/>
    <m/>
    <m/>
    <m/>
  </r>
  <r>
    <x v="5"/>
    <x v="303"/>
    <n v="780"/>
    <n v="127697"/>
    <n v="5"/>
    <n v="2469"/>
    <m/>
    <m/>
    <m/>
    <m/>
    <m/>
    <m/>
    <m/>
  </r>
  <r>
    <x v="6"/>
    <x v="303"/>
    <n v="75"/>
    <n v="11975"/>
    <m/>
    <n v="169"/>
    <m/>
    <m/>
    <m/>
    <m/>
    <m/>
    <m/>
    <m/>
  </r>
  <r>
    <x v="7"/>
    <x v="303"/>
    <n v="491"/>
    <n v="29493"/>
    <n v="3"/>
    <n v="583"/>
    <m/>
    <m/>
    <m/>
    <m/>
    <m/>
    <m/>
    <m/>
  </r>
  <r>
    <x v="8"/>
    <x v="303"/>
    <n v="6"/>
    <n v="218"/>
    <m/>
    <n v="3"/>
    <m/>
    <m/>
    <m/>
    <m/>
    <m/>
    <m/>
    <m/>
  </r>
  <r>
    <x v="9"/>
    <x v="303"/>
    <n v="6"/>
    <n v="18551"/>
    <m/>
    <n v="858"/>
    <m/>
    <m/>
    <m/>
    <m/>
    <m/>
    <m/>
    <m/>
  </r>
  <r>
    <x v="10"/>
    <x v="303"/>
    <n v="302"/>
    <n v="10851"/>
    <m/>
    <n v="124"/>
    <m/>
    <m/>
    <m/>
    <m/>
    <m/>
    <m/>
    <m/>
  </r>
  <r>
    <x v="11"/>
    <x v="303"/>
    <n v="9"/>
    <n v="9094"/>
    <m/>
    <n v="388"/>
    <m/>
    <m/>
    <m/>
    <m/>
    <m/>
    <m/>
    <m/>
  </r>
  <r>
    <x v="12"/>
    <x v="303"/>
    <n v="131"/>
    <n v="60147"/>
    <m/>
    <n v="1231"/>
    <m/>
    <m/>
    <m/>
    <m/>
    <m/>
    <m/>
    <m/>
  </r>
  <r>
    <x v="13"/>
    <x v="303"/>
    <n v="6"/>
    <n v="1082"/>
    <n v="1"/>
    <n v="12"/>
    <m/>
    <m/>
    <m/>
    <m/>
    <m/>
    <m/>
    <m/>
  </r>
  <r>
    <x v="14"/>
    <x v="303"/>
    <n v="403"/>
    <n v="41050"/>
    <m/>
    <n v="711"/>
    <m/>
    <m/>
    <m/>
    <m/>
    <m/>
    <m/>
    <m/>
  </r>
  <r>
    <x v="15"/>
    <x v="303"/>
    <n v="272"/>
    <n v="38586"/>
    <n v="1"/>
    <n v="901"/>
    <m/>
    <m/>
    <m/>
    <m/>
    <m/>
    <m/>
    <m/>
  </r>
  <r>
    <x v="16"/>
    <x v="303"/>
    <n v="71"/>
    <n v="22379"/>
    <n v="1"/>
    <n v="1020"/>
    <m/>
    <m/>
    <m/>
    <m/>
    <m/>
    <m/>
    <m/>
  </r>
  <r>
    <x v="17"/>
    <x v="303"/>
    <n v="45"/>
    <n v="11548"/>
    <m/>
    <n v="198"/>
    <m/>
    <m/>
    <m/>
    <m/>
    <m/>
    <m/>
    <m/>
  </r>
  <r>
    <x v="18"/>
    <x v="303"/>
    <n v="32"/>
    <n v="16191"/>
    <m/>
    <n v="300"/>
    <m/>
    <m/>
    <m/>
    <m/>
    <m/>
    <m/>
    <m/>
  </r>
  <r>
    <x v="19"/>
    <x v="303"/>
    <n v="420"/>
    <n v="23755"/>
    <n v="1"/>
    <n v="379"/>
    <m/>
    <m/>
    <m/>
    <m/>
    <m/>
    <m/>
    <m/>
  </r>
  <r>
    <x v="20"/>
    <x v="303"/>
    <n v="1354"/>
    <n v="176375"/>
    <n v="6"/>
    <n v="2946"/>
    <m/>
    <m/>
    <m/>
    <m/>
    <m/>
    <m/>
    <m/>
  </r>
  <r>
    <x v="21"/>
    <x v="303"/>
    <n v="100"/>
    <n v="17430"/>
    <m/>
    <n v="218"/>
    <m/>
    <m/>
    <m/>
    <m/>
    <m/>
    <m/>
    <m/>
  </r>
  <r>
    <x v="22"/>
    <x v="303"/>
    <n v="111"/>
    <n v="19139"/>
    <n v="1"/>
    <n v="252"/>
    <m/>
    <m/>
    <m/>
    <m/>
    <m/>
    <m/>
    <m/>
  </r>
  <r>
    <x v="23"/>
    <x v="303"/>
    <n v="116"/>
    <n v="71110"/>
    <m/>
    <n v="1366"/>
    <m/>
    <m/>
    <m/>
    <m/>
    <m/>
    <m/>
    <m/>
  </r>
  <r>
    <x v="0"/>
    <x v="304"/>
    <n v="1486"/>
    <n v="686251"/>
    <n v="64"/>
    <n v="22412"/>
    <m/>
    <m/>
    <m/>
    <m/>
    <m/>
    <m/>
    <m/>
  </r>
  <r>
    <x v="4"/>
    <x v="304"/>
    <n v="574"/>
    <n v="175173"/>
    <n v="6"/>
    <n v="5510"/>
    <m/>
    <m/>
    <m/>
    <m/>
    <m/>
    <m/>
    <m/>
  </r>
  <r>
    <x v="1"/>
    <x v="304"/>
    <n v="0"/>
    <n v="2767"/>
    <m/>
    <n v="17"/>
    <m/>
    <m/>
    <m/>
    <m/>
    <m/>
    <m/>
    <m/>
  </r>
  <r>
    <x v="2"/>
    <x v="304"/>
    <n v="101"/>
    <n v="24883"/>
    <n v="1"/>
    <n v="695"/>
    <m/>
    <m/>
    <m/>
    <m/>
    <m/>
    <m/>
    <m/>
  </r>
  <r>
    <x v="3"/>
    <x v="304"/>
    <n v="117"/>
    <n v="32048"/>
    <m/>
    <n v="493"/>
    <m/>
    <m/>
    <m/>
    <m/>
    <m/>
    <m/>
    <m/>
  </r>
  <r>
    <x v="5"/>
    <x v="304"/>
    <n v="244"/>
    <n v="127941"/>
    <m/>
    <n v="2469"/>
    <m/>
    <m/>
    <m/>
    <m/>
    <m/>
    <m/>
    <m/>
  </r>
  <r>
    <x v="6"/>
    <x v="304"/>
    <n v="40"/>
    <n v="12015"/>
    <m/>
    <n v="169"/>
    <m/>
    <m/>
    <m/>
    <m/>
    <m/>
    <m/>
    <m/>
  </r>
  <r>
    <x v="7"/>
    <x v="304"/>
    <n v="259"/>
    <n v="29752"/>
    <m/>
    <n v="583"/>
    <m/>
    <m/>
    <m/>
    <m/>
    <m/>
    <m/>
    <m/>
  </r>
  <r>
    <x v="8"/>
    <x v="304"/>
    <n v="1"/>
    <n v="219"/>
    <m/>
    <n v="3"/>
    <m/>
    <m/>
    <m/>
    <m/>
    <m/>
    <m/>
    <m/>
  </r>
  <r>
    <x v="9"/>
    <x v="304"/>
    <n v="12"/>
    <n v="18563"/>
    <m/>
    <n v="858"/>
    <m/>
    <m/>
    <m/>
    <m/>
    <m/>
    <m/>
    <m/>
  </r>
  <r>
    <x v="10"/>
    <x v="304"/>
    <n v="226"/>
    <n v="11077"/>
    <m/>
    <n v="124"/>
    <m/>
    <m/>
    <m/>
    <m/>
    <m/>
    <m/>
    <m/>
  </r>
  <r>
    <x v="11"/>
    <x v="304"/>
    <n v="18"/>
    <n v="9112"/>
    <m/>
    <n v="388"/>
    <m/>
    <m/>
    <m/>
    <m/>
    <m/>
    <m/>
    <m/>
  </r>
  <r>
    <x v="12"/>
    <x v="304"/>
    <n v="41"/>
    <n v="60188"/>
    <m/>
    <n v="1231"/>
    <m/>
    <m/>
    <m/>
    <m/>
    <m/>
    <m/>
    <m/>
  </r>
  <r>
    <x v="13"/>
    <x v="304"/>
    <n v="0"/>
    <n v="1082"/>
    <m/>
    <n v="12"/>
    <m/>
    <m/>
    <m/>
    <m/>
    <m/>
    <m/>
    <m/>
  </r>
  <r>
    <x v="14"/>
    <x v="304"/>
    <n v="199"/>
    <n v="41249"/>
    <m/>
    <n v="711"/>
    <m/>
    <m/>
    <m/>
    <m/>
    <m/>
    <m/>
    <m/>
  </r>
  <r>
    <x v="15"/>
    <x v="304"/>
    <n v="114"/>
    <n v="38700"/>
    <m/>
    <n v="901"/>
    <m/>
    <m/>
    <m/>
    <m/>
    <m/>
    <m/>
    <m/>
  </r>
  <r>
    <x v="16"/>
    <x v="304"/>
    <n v="14"/>
    <n v="22393"/>
    <m/>
    <n v="1020"/>
    <m/>
    <m/>
    <m/>
    <m/>
    <m/>
    <m/>
    <m/>
  </r>
  <r>
    <x v="17"/>
    <x v="304"/>
    <n v="13"/>
    <n v="11561"/>
    <m/>
    <n v="198"/>
    <m/>
    <m/>
    <m/>
    <m/>
    <m/>
    <m/>
    <m/>
  </r>
  <r>
    <x v="18"/>
    <x v="304"/>
    <n v="8"/>
    <n v="16199"/>
    <m/>
    <n v="300"/>
    <m/>
    <m/>
    <m/>
    <m/>
    <m/>
    <m/>
    <m/>
  </r>
  <r>
    <x v="19"/>
    <x v="304"/>
    <n v="134"/>
    <n v="23889"/>
    <n v="1"/>
    <n v="380"/>
    <m/>
    <m/>
    <m/>
    <m/>
    <m/>
    <m/>
    <m/>
  </r>
  <r>
    <x v="20"/>
    <x v="304"/>
    <n v="352"/>
    <n v="176727"/>
    <m/>
    <n v="2946"/>
    <m/>
    <m/>
    <m/>
    <m/>
    <m/>
    <m/>
    <m/>
  </r>
  <r>
    <x v="21"/>
    <x v="304"/>
    <n v="9"/>
    <n v="17439"/>
    <m/>
    <n v="218"/>
    <m/>
    <m/>
    <m/>
    <m/>
    <m/>
    <m/>
    <m/>
  </r>
  <r>
    <x v="22"/>
    <x v="304"/>
    <n v="82"/>
    <n v="19221"/>
    <m/>
    <n v="252"/>
    <m/>
    <m/>
    <m/>
    <m/>
    <m/>
    <m/>
    <m/>
  </r>
  <r>
    <x v="23"/>
    <x v="304"/>
    <n v="35"/>
    <n v="71145"/>
    <m/>
    <n v="1366"/>
    <m/>
    <m/>
    <m/>
    <m/>
    <m/>
    <m/>
    <m/>
  </r>
  <r>
    <x v="0"/>
    <x v="305"/>
    <n v="2098"/>
    <n v="688349"/>
    <n v="13"/>
    <n v="22425"/>
    <m/>
    <m/>
    <m/>
    <m/>
    <m/>
    <m/>
    <m/>
  </r>
  <r>
    <x v="4"/>
    <x v="305"/>
    <n v="495"/>
    <n v="175668"/>
    <n v="13"/>
    <n v="5523"/>
    <m/>
    <m/>
    <m/>
    <m/>
    <m/>
    <m/>
    <m/>
  </r>
  <r>
    <x v="1"/>
    <x v="305"/>
    <n v="51"/>
    <n v="2818"/>
    <m/>
    <n v="17"/>
    <m/>
    <m/>
    <m/>
    <m/>
    <m/>
    <m/>
    <m/>
  </r>
  <r>
    <x v="2"/>
    <x v="305"/>
    <n v="152"/>
    <n v="25035"/>
    <n v="4"/>
    <n v="699"/>
    <m/>
    <m/>
    <m/>
    <m/>
    <m/>
    <m/>
    <m/>
  </r>
  <r>
    <x v="3"/>
    <x v="305"/>
    <n v="204"/>
    <n v="32252"/>
    <n v="1"/>
    <n v="494"/>
    <m/>
    <m/>
    <m/>
    <m/>
    <m/>
    <m/>
    <m/>
  </r>
  <r>
    <x v="5"/>
    <x v="305"/>
    <n v="83"/>
    <n v="128024"/>
    <n v="2"/>
    <n v="2471"/>
    <m/>
    <m/>
    <m/>
    <m/>
    <m/>
    <m/>
    <m/>
  </r>
  <r>
    <x v="6"/>
    <x v="305"/>
    <n v="103"/>
    <n v="12118"/>
    <m/>
    <n v="169"/>
    <m/>
    <m/>
    <m/>
    <m/>
    <m/>
    <m/>
    <m/>
  </r>
  <r>
    <x v="7"/>
    <x v="305"/>
    <n v="143"/>
    <n v="29895"/>
    <n v="4"/>
    <n v="587"/>
    <m/>
    <m/>
    <m/>
    <m/>
    <m/>
    <m/>
    <m/>
  </r>
  <r>
    <x v="8"/>
    <x v="305"/>
    <n v="1"/>
    <n v="220"/>
    <m/>
    <n v="3"/>
    <m/>
    <m/>
    <m/>
    <m/>
    <m/>
    <m/>
    <m/>
  </r>
  <r>
    <x v="9"/>
    <x v="305"/>
    <n v="-1"/>
    <n v="18562"/>
    <m/>
    <n v="858"/>
    <m/>
    <m/>
    <m/>
    <m/>
    <m/>
    <m/>
    <m/>
  </r>
  <r>
    <x v="10"/>
    <x v="305"/>
    <n v="197"/>
    <n v="11274"/>
    <m/>
    <n v="124"/>
    <m/>
    <m/>
    <m/>
    <m/>
    <m/>
    <m/>
    <m/>
  </r>
  <r>
    <x v="11"/>
    <x v="305"/>
    <n v="9"/>
    <n v="9121"/>
    <m/>
    <n v="388"/>
    <m/>
    <m/>
    <m/>
    <m/>
    <m/>
    <m/>
    <m/>
  </r>
  <r>
    <x v="12"/>
    <x v="305"/>
    <n v="65"/>
    <n v="60253"/>
    <m/>
    <n v="1231"/>
    <m/>
    <m/>
    <m/>
    <m/>
    <m/>
    <m/>
    <m/>
  </r>
  <r>
    <x v="13"/>
    <x v="305"/>
    <n v="2"/>
    <n v="1084"/>
    <m/>
    <n v="12"/>
    <m/>
    <m/>
    <m/>
    <m/>
    <m/>
    <m/>
    <m/>
  </r>
  <r>
    <x v="14"/>
    <x v="305"/>
    <n v="305"/>
    <n v="41554"/>
    <m/>
    <n v="711"/>
    <m/>
    <m/>
    <m/>
    <m/>
    <m/>
    <m/>
    <m/>
  </r>
  <r>
    <x v="15"/>
    <x v="305"/>
    <n v="160"/>
    <n v="38860"/>
    <n v="3"/>
    <n v="904"/>
    <m/>
    <m/>
    <m/>
    <m/>
    <m/>
    <m/>
    <m/>
  </r>
  <r>
    <x v="16"/>
    <x v="305"/>
    <n v="12"/>
    <n v="22405"/>
    <m/>
    <n v="1020"/>
    <m/>
    <m/>
    <m/>
    <m/>
    <m/>
    <m/>
    <m/>
  </r>
  <r>
    <x v="17"/>
    <x v="305"/>
    <n v="4"/>
    <n v="11565"/>
    <m/>
    <n v="198"/>
    <m/>
    <m/>
    <m/>
    <m/>
    <m/>
    <m/>
    <m/>
  </r>
  <r>
    <x v="18"/>
    <x v="305"/>
    <n v="2"/>
    <n v="16201"/>
    <m/>
    <n v="300"/>
    <m/>
    <m/>
    <m/>
    <m/>
    <m/>
    <m/>
    <m/>
  </r>
  <r>
    <x v="19"/>
    <x v="305"/>
    <n v="305"/>
    <n v="24194"/>
    <n v="2"/>
    <n v="382"/>
    <m/>
    <m/>
    <m/>
    <m/>
    <m/>
    <m/>
    <m/>
  </r>
  <r>
    <x v="20"/>
    <x v="305"/>
    <n v="568"/>
    <n v="177295"/>
    <n v="14"/>
    <n v="2960"/>
    <m/>
    <m/>
    <m/>
    <m/>
    <m/>
    <m/>
    <m/>
  </r>
  <r>
    <x v="21"/>
    <x v="305"/>
    <n v="128"/>
    <n v="17567"/>
    <m/>
    <n v="218"/>
    <m/>
    <m/>
    <m/>
    <m/>
    <m/>
    <m/>
    <m/>
  </r>
  <r>
    <x v="22"/>
    <x v="305"/>
    <n v="108"/>
    <n v="19329"/>
    <n v="1"/>
    <n v="253"/>
    <m/>
    <m/>
    <m/>
    <m/>
    <m/>
    <m/>
    <m/>
  </r>
  <r>
    <x v="23"/>
    <x v="305"/>
    <n v="46"/>
    <n v="71191"/>
    <m/>
    <n v="1366"/>
    <m/>
    <m/>
    <m/>
    <m/>
    <m/>
    <m/>
    <m/>
  </r>
  <r>
    <x v="0"/>
    <x v="306"/>
    <n v="2034"/>
    <n v="690383"/>
    <n v="63"/>
    <n v="22488"/>
    <m/>
    <m/>
    <m/>
    <m/>
    <m/>
    <m/>
    <m/>
  </r>
  <r>
    <x v="4"/>
    <x v="306"/>
    <n v="827"/>
    <n v="176495"/>
    <n v="2"/>
    <n v="5525"/>
    <m/>
    <m/>
    <m/>
    <m/>
    <m/>
    <m/>
    <m/>
  </r>
  <r>
    <x v="1"/>
    <x v="306"/>
    <n v="33"/>
    <n v="2851"/>
    <m/>
    <n v="17"/>
    <m/>
    <m/>
    <m/>
    <m/>
    <m/>
    <m/>
    <m/>
  </r>
  <r>
    <x v="2"/>
    <x v="306"/>
    <n v="113"/>
    <n v="25148"/>
    <n v="2"/>
    <n v="701"/>
    <m/>
    <m/>
    <m/>
    <m/>
    <m/>
    <m/>
    <m/>
  </r>
  <r>
    <x v="3"/>
    <x v="306"/>
    <n v="202"/>
    <n v="32454"/>
    <m/>
    <n v="494"/>
    <m/>
    <m/>
    <m/>
    <m/>
    <m/>
    <m/>
    <m/>
  </r>
  <r>
    <x v="5"/>
    <x v="306"/>
    <n v="356"/>
    <n v="128380"/>
    <n v="6"/>
    <n v="2477"/>
    <m/>
    <m/>
    <m/>
    <m/>
    <m/>
    <m/>
    <m/>
  </r>
  <r>
    <x v="6"/>
    <x v="306"/>
    <n v="104"/>
    <n v="12222"/>
    <m/>
    <n v="169"/>
    <m/>
    <m/>
    <m/>
    <m/>
    <m/>
    <m/>
    <m/>
  </r>
  <r>
    <x v="7"/>
    <x v="306"/>
    <n v="264"/>
    <n v="30159"/>
    <m/>
    <n v="587"/>
    <m/>
    <m/>
    <m/>
    <m/>
    <m/>
    <m/>
    <m/>
  </r>
  <r>
    <x v="8"/>
    <x v="306"/>
    <n v="1"/>
    <n v="221"/>
    <m/>
    <n v="3"/>
    <m/>
    <m/>
    <m/>
    <m/>
    <m/>
    <m/>
    <m/>
  </r>
  <r>
    <x v="9"/>
    <x v="306"/>
    <n v="5"/>
    <n v="18567"/>
    <m/>
    <n v="858"/>
    <m/>
    <m/>
    <m/>
    <m/>
    <m/>
    <m/>
    <m/>
  </r>
  <r>
    <x v="10"/>
    <x v="306"/>
    <n v="194"/>
    <n v="11468"/>
    <m/>
    <n v="124"/>
    <m/>
    <m/>
    <m/>
    <m/>
    <m/>
    <m/>
    <m/>
  </r>
  <r>
    <x v="11"/>
    <x v="306"/>
    <n v="3"/>
    <n v="9124"/>
    <n v="9"/>
    <n v="397"/>
    <m/>
    <m/>
    <m/>
    <m/>
    <m/>
    <m/>
    <m/>
  </r>
  <r>
    <x v="12"/>
    <x v="306"/>
    <n v="77"/>
    <n v="60330"/>
    <n v="1"/>
    <n v="1232"/>
    <m/>
    <m/>
    <m/>
    <m/>
    <m/>
    <m/>
    <m/>
  </r>
  <r>
    <x v="13"/>
    <x v="306"/>
    <n v="40"/>
    <n v="1124"/>
    <m/>
    <n v="12"/>
    <m/>
    <m/>
    <m/>
    <m/>
    <m/>
    <m/>
    <m/>
  </r>
  <r>
    <x v="14"/>
    <x v="306"/>
    <n v="372"/>
    <n v="41926"/>
    <n v="2"/>
    <n v="713"/>
    <m/>
    <m/>
    <m/>
    <m/>
    <m/>
    <m/>
    <m/>
  </r>
  <r>
    <x v="15"/>
    <x v="306"/>
    <n v="212"/>
    <n v="39072"/>
    <n v="6"/>
    <n v="910"/>
    <m/>
    <m/>
    <m/>
    <m/>
    <m/>
    <m/>
    <m/>
  </r>
  <r>
    <x v="16"/>
    <x v="306"/>
    <n v="8"/>
    <n v="22413"/>
    <m/>
    <n v="1020"/>
    <m/>
    <m/>
    <m/>
    <m/>
    <m/>
    <m/>
    <m/>
  </r>
  <r>
    <x v="17"/>
    <x v="306"/>
    <n v="33"/>
    <n v="11598"/>
    <m/>
    <n v="198"/>
    <m/>
    <m/>
    <m/>
    <m/>
    <m/>
    <m/>
    <m/>
  </r>
  <r>
    <x v="18"/>
    <x v="306"/>
    <n v="24"/>
    <n v="16225"/>
    <m/>
    <n v="300"/>
    <m/>
    <m/>
    <m/>
    <m/>
    <m/>
    <m/>
    <m/>
  </r>
  <r>
    <x v="19"/>
    <x v="306"/>
    <n v="207"/>
    <n v="24401"/>
    <n v="6"/>
    <n v="388"/>
    <m/>
    <m/>
    <m/>
    <m/>
    <m/>
    <m/>
    <m/>
  </r>
  <r>
    <x v="20"/>
    <x v="306"/>
    <n v="516"/>
    <n v="177811"/>
    <n v="8"/>
    <n v="2968"/>
    <m/>
    <m/>
    <m/>
    <m/>
    <m/>
    <m/>
    <m/>
  </r>
  <r>
    <x v="21"/>
    <x v="306"/>
    <n v="50"/>
    <n v="17617"/>
    <n v="1"/>
    <n v="219"/>
    <m/>
    <m/>
    <m/>
    <m/>
    <m/>
    <m/>
    <m/>
  </r>
  <r>
    <x v="22"/>
    <x v="306"/>
    <n v="103"/>
    <n v="19432"/>
    <n v="1"/>
    <n v="254"/>
    <m/>
    <m/>
    <m/>
    <m/>
    <m/>
    <m/>
    <m/>
  </r>
  <r>
    <x v="23"/>
    <x v="306"/>
    <n v="106"/>
    <n v="71297"/>
    <m/>
    <n v="1366"/>
    <m/>
    <m/>
    <m/>
    <m/>
    <m/>
    <m/>
    <m/>
  </r>
  <r>
    <x v="0"/>
    <x v="307"/>
    <n v="2961"/>
    <n v="693344"/>
    <n v="46"/>
    <n v="22534"/>
    <m/>
    <m/>
    <m/>
    <m/>
    <m/>
    <m/>
    <m/>
  </r>
  <r>
    <x v="4"/>
    <x v="307"/>
    <n v="1075"/>
    <n v="177570"/>
    <n v="10"/>
    <n v="5535"/>
    <m/>
    <m/>
    <m/>
    <m/>
    <m/>
    <m/>
    <m/>
  </r>
  <r>
    <x v="1"/>
    <x v="307"/>
    <n v="18"/>
    <n v="2869"/>
    <m/>
    <n v="17"/>
    <m/>
    <m/>
    <m/>
    <m/>
    <m/>
    <m/>
    <m/>
  </r>
  <r>
    <x v="2"/>
    <x v="307"/>
    <n v="175"/>
    <n v="25323"/>
    <n v="9"/>
    <n v="710"/>
    <m/>
    <m/>
    <m/>
    <m/>
    <m/>
    <m/>
    <m/>
  </r>
  <r>
    <x v="3"/>
    <x v="307"/>
    <n v="315"/>
    <n v="32769"/>
    <n v="1"/>
    <n v="495"/>
    <m/>
    <m/>
    <m/>
    <m/>
    <m/>
    <m/>
    <m/>
  </r>
  <r>
    <x v="5"/>
    <x v="307"/>
    <n v="302"/>
    <n v="128682"/>
    <n v="12"/>
    <n v="2489"/>
    <m/>
    <m/>
    <m/>
    <m/>
    <m/>
    <m/>
    <m/>
  </r>
  <r>
    <x v="6"/>
    <x v="307"/>
    <n v="237"/>
    <n v="12459"/>
    <m/>
    <n v="169"/>
    <m/>
    <m/>
    <m/>
    <m/>
    <m/>
    <m/>
    <m/>
  </r>
  <r>
    <x v="7"/>
    <x v="307"/>
    <n v="258"/>
    <n v="30417"/>
    <n v="2"/>
    <n v="589"/>
    <m/>
    <m/>
    <m/>
    <m/>
    <m/>
    <m/>
    <m/>
  </r>
  <r>
    <x v="8"/>
    <x v="307"/>
    <n v="0"/>
    <n v="221"/>
    <m/>
    <n v="3"/>
    <m/>
    <m/>
    <m/>
    <m/>
    <m/>
    <m/>
    <m/>
  </r>
  <r>
    <x v="9"/>
    <x v="307"/>
    <n v="2"/>
    <n v="18569"/>
    <n v="1"/>
    <n v="859"/>
    <m/>
    <m/>
    <m/>
    <m/>
    <m/>
    <m/>
    <m/>
  </r>
  <r>
    <x v="10"/>
    <x v="307"/>
    <n v="171"/>
    <n v="11639"/>
    <n v="8"/>
    <n v="132"/>
    <m/>
    <m/>
    <m/>
    <m/>
    <m/>
    <m/>
    <m/>
  </r>
  <r>
    <x v="11"/>
    <x v="307"/>
    <n v="3"/>
    <n v="9127"/>
    <n v="1"/>
    <n v="398"/>
    <m/>
    <m/>
    <m/>
    <m/>
    <m/>
    <m/>
    <m/>
  </r>
  <r>
    <x v="12"/>
    <x v="307"/>
    <n v="69"/>
    <n v="60399"/>
    <m/>
    <n v="1232"/>
    <m/>
    <m/>
    <m/>
    <m/>
    <m/>
    <m/>
    <m/>
  </r>
  <r>
    <x v="13"/>
    <x v="307"/>
    <n v="33"/>
    <n v="1157"/>
    <m/>
    <n v="12"/>
    <m/>
    <m/>
    <m/>
    <m/>
    <m/>
    <m/>
    <m/>
  </r>
  <r>
    <x v="14"/>
    <x v="307"/>
    <n v="305"/>
    <n v="42231"/>
    <m/>
    <n v="713"/>
    <m/>
    <m/>
    <m/>
    <m/>
    <m/>
    <m/>
    <m/>
  </r>
  <r>
    <x v="15"/>
    <x v="307"/>
    <n v="290"/>
    <n v="39362"/>
    <n v="10"/>
    <n v="920"/>
    <m/>
    <m/>
    <m/>
    <m/>
    <m/>
    <m/>
    <m/>
  </r>
  <r>
    <x v="16"/>
    <x v="307"/>
    <n v="21"/>
    <n v="22434"/>
    <n v="2"/>
    <n v="1022"/>
    <m/>
    <m/>
    <m/>
    <m/>
    <m/>
    <m/>
    <m/>
  </r>
  <r>
    <x v="17"/>
    <x v="307"/>
    <n v="79"/>
    <n v="11677"/>
    <n v="4"/>
    <n v="202"/>
    <m/>
    <m/>
    <m/>
    <m/>
    <m/>
    <m/>
    <m/>
  </r>
  <r>
    <x v="18"/>
    <x v="307"/>
    <n v="48"/>
    <n v="16273"/>
    <n v="1"/>
    <n v="301"/>
    <m/>
    <m/>
    <m/>
    <m/>
    <m/>
    <m/>
    <m/>
  </r>
  <r>
    <x v="19"/>
    <x v="307"/>
    <n v="309"/>
    <n v="24710"/>
    <n v="11"/>
    <n v="399"/>
    <m/>
    <m/>
    <m/>
    <m/>
    <m/>
    <m/>
    <m/>
  </r>
  <r>
    <x v="20"/>
    <x v="307"/>
    <n v="1046"/>
    <n v="178857"/>
    <n v="32"/>
    <n v="3000"/>
    <m/>
    <m/>
    <m/>
    <m/>
    <m/>
    <m/>
    <m/>
  </r>
  <r>
    <x v="21"/>
    <x v="307"/>
    <n v="116"/>
    <n v="17733"/>
    <m/>
    <n v="219"/>
    <m/>
    <m/>
    <m/>
    <m/>
    <m/>
    <m/>
    <m/>
  </r>
  <r>
    <x v="22"/>
    <x v="307"/>
    <n v="100"/>
    <n v="19532"/>
    <m/>
    <n v="254"/>
    <m/>
    <m/>
    <m/>
    <m/>
    <m/>
    <m/>
    <m/>
  </r>
  <r>
    <x v="23"/>
    <x v="307"/>
    <n v="289"/>
    <n v="71586"/>
    <n v="2"/>
    <n v="1368"/>
    <m/>
    <m/>
    <m/>
    <m/>
    <m/>
    <m/>
    <m/>
  </r>
  <r>
    <x v="0"/>
    <x v="308"/>
    <n v="5419"/>
    <n v="698763"/>
    <n v="44"/>
    <n v="22578"/>
    <m/>
    <m/>
    <m/>
    <m/>
    <m/>
    <m/>
    <m/>
  </r>
  <r>
    <x v="4"/>
    <x v="308"/>
    <n v="1445"/>
    <n v="179015"/>
    <n v="10"/>
    <n v="5545"/>
    <m/>
    <m/>
    <m/>
    <m/>
    <m/>
    <m/>
    <m/>
  </r>
  <r>
    <x v="1"/>
    <x v="308"/>
    <n v="61"/>
    <n v="2930"/>
    <m/>
    <n v="17"/>
    <m/>
    <m/>
    <m/>
    <m/>
    <m/>
    <m/>
    <m/>
  </r>
  <r>
    <x v="2"/>
    <x v="308"/>
    <n v="300"/>
    <n v="25623"/>
    <n v="6"/>
    <n v="716"/>
    <m/>
    <m/>
    <m/>
    <m/>
    <m/>
    <m/>
    <m/>
  </r>
  <r>
    <x v="3"/>
    <x v="308"/>
    <n v="583"/>
    <n v="33352"/>
    <n v="1"/>
    <n v="496"/>
    <m/>
    <m/>
    <m/>
    <m/>
    <m/>
    <m/>
    <m/>
  </r>
  <r>
    <x v="5"/>
    <x v="308"/>
    <n v="907"/>
    <n v="129589"/>
    <n v="3"/>
    <n v="2492"/>
    <m/>
    <m/>
    <m/>
    <m/>
    <m/>
    <m/>
    <m/>
  </r>
  <r>
    <x v="6"/>
    <x v="308"/>
    <n v="176"/>
    <n v="12635"/>
    <m/>
    <n v="169"/>
    <m/>
    <m/>
    <m/>
    <m/>
    <m/>
    <m/>
    <m/>
  </r>
  <r>
    <x v="7"/>
    <x v="308"/>
    <n v="550"/>
    <n v="30967"/>
    <n v="4"/>
    <n v="593"/>
    <m/>
    <m/>
    <m/>
    <m/>
    <m/>
    <m/>
    <m/>
  </r>
  <r>
    <x v="8"/>
    <x v="308"/>
    <n v="5"/>
    <n v="226"/>
    <m/>
    <n v="3"/>
    <m/>
    <m/>
    <m/>
    <m/>
    <m/>
    <m/>
    <m/>
  </r>
  <r>
    <x v="9"/>
    <x v="308"/>
    <n v="19"/>
    <n v="18588"/>
    <m/>
    <n v="859"/>
    <m/>
    <m/>
    <m/>
    <m/>
    <m/>
    <m/>
    <m/>
  </r>
  <r>
    <x v="10"/>
    <x v="308"/>
    <n v="300"/>
    <n v="11939"/>
    <n v="5"/>
    <n v="137"/>
    <m/>
    <m/>
    <m/>
    <m/>
    <m/>
    <m/>
    <m/>
  </r>
  <r>
    <x v="11"/>
    <x v="308"/>
    <n v="10"/>
    <n v="9137"/>
    <m/>
    <n v="398"/>
    <m/>
    <m/>
    <m/>
    <m/>
    <m/>
    <m/>
    <m/>
  </r>
  <r>
    <x v="12"/>
    <x v="308"/>
    <n v="155"/>
    <n v="60554"/>
    <n v="4"/>
    <n v="1236"/>
    <m/>
    <m/>
    <m/>
    <m/>
    <m/>
    <m/>
    <m/>
  </r>
  <r>
    <x v="13"/>
    <x v="308"/>
    <n v="5"/>
    <n v="1162"/>
    <m/>
    <n v="12"/>
    <m/>
    <m/>
    <m/>
    <m/>
    <m/>
    <m/>
    <m/>
  </r>
  <r>
    <x v="14"/>
    <x v="308"/>
    <n v="673"/>
    <n v="42904"/>
    <n v="2"/>
    <n v="715"/>
    <m/>
    <m/>
    <m/>
    <m/>
    <m/>
    <m/>
    <m/>
  </r>
  <r>
    <x v="15"/>
    <x v="308"/>
    <n v="382"/>
    <n v="39744"/>
    <n v="10"/>
    <n v="930"/>
    <m/>
    <m/>
    <m/>
    <m/>
    <m/>
    <m/>
    <m/>
  </r>
  <r>
    <x v="16"/>
    <x v="308"/>
    <n v="25"/>
    <n v="22459"/>
    <m/>
    <n v="1022"/>
    <m/>
    <m/>
    <m/>
    <m/>
    <m/>
    <m/>
    <m/>
  </r>
  <r>
    <x v="17"/>
    <x v="308"/>
    <n v="210"/>
    <n v="11887"/>
    <n v="2"/>
    <n v="204"/>
    <m/>
    <m/>
    <m/>
    <m/>
    <m/>
    <m/>
    <m/>
  </r>
  <r>
    <x v="18"/>
    <x v="308"/>
    <n v="62"/>
    <n v="16335"/>
    <n v="7"/>
    <n v="308"/>
    <m/>
    <m/>
    <m/>
    <m/>
    <m/>
    <m/>
    <m/>
  </r>
  <r>
    <x v="19"/>
    <x v="308"/>
    <n v="528"/>
    <n v="25238"/>
    <n v="5"/>
    <n v="404"/>
    <m/>
    <m/>
    <m/>
    <m/>
    <m/>
    <m/>
    <m/>
  </r>
  <r>
    <x v="20"/>
    <x v="308"/>
    <n v="1477"/>
    <n v="180334"/>
    <n v="42"/>
    <n v="3042"/>
    <m/>
    <m/>
    <m/>
    <m/>
    <m/>
    <m/>
    <m/>
  </r>
  <r>
    <x v="21"/>
    <x v="308"/>
    <n v="118"/>
    <n v="17851"/>
    <m/>
    <n v="219"/>
    <m/>
    <m/>
    <m/>
    <m/>
    <m/>
    <m/>
    <m/>
  </r>
  <r>
    <x v="22"/>
    <x v="308"/>
    <n v="136"/>
    <n v="19668"/>
    <n v="1"/>
    <n v="255"/>
    <m/>
    <m/>
    <m/>
    <m/>
    <m/>
    <m/>
    <m/>
  </r>
  <r>
    <x v="23"/>
    <x v="308"/>
    <n v="244"/>
    <n v="71830"/>
    <n v="5"/>
    <n v="1373"/>
    <m/>
    <m/>
    <m/>
    <m/>
    <m/>
    <m/>
    <m/>
  </r>
  <r>
    <x v="0"/>
    <x v="309"/>
    <n v="5251"/>
    <n v="704014"/>
    <n v="111"/>
    <n v="22689"/>
    <m/>
    <m/>
    <m/>
    <m/>
    <m/>
    <m/>
    <m/>
  </r>
  <r>
    <x v="4"/>
    <x v="309"/>
    <n v="1418"/>
    <n v="180433"/>
    <n v="27"/>
    <n v="5572"/>
    <m/>
    <m/>
    <m/>
    <m/>
    <m/>
    <m/>
    <m/>
  </r>
  <r>
    <x v="1"/>
    <x v="309"/>
    <n v="39"/>
    <n v="2969"/>
    <m/>
    <n v="17"/>
    <m/>
    <m/>
    <m/>
    <m/>
    <m/>
    <m/>
    <m/>
  </r>
  <r>
    <x v="2"/>
    <x v="309"/>
    <n v="274"/>
    <n v="25897"/>
    <n v="3"/>
    <n v="719"/>
    <m/>
    <m/>
    <m/>
    <m/>
    <m/>
    <m/>
    <m/>
  </r>
  <r>
    <x v="3"/>
    <x v="309"/>
    <n v="486"/>
    <n v="33838"/>
    <m/>
    <n v="496"/>
    <m/>
    <m/>
    <m/>
    <m/>
    <m/>
    <m/>
    <m/>
  </r>
  <r>
    <x v="5"/>
    <x v="309"/>
    <n v="914"/>
    <n v="130503"/>
    <n v="5"/>
    <n v="2497"/>
    <m/>
    <m/>
    <m/>
    <m/>
    <m/>
    <m/>
    <m/>
  </r>
  <r>
    <x v="6"/>
    <x v="309"/>
    <n v="205"/>
    <n v="12840"/>
    <n v="1"/>
    <n v="170"/>
    <m/>
    <m/>
    <m/>
    <m/>
    <m/>
    <m/>
    <m/>
  </r>
  <r>
    <x v="7"/>
    <x v="309"/>
    <n v="534"/>
    <n v="31501"/>
    <n v="6"/>
    <n v="599"/>
    <m/>
    <m/>
    <m/>
    <m/>
    <m/>
    <m/>
    <m/>
  </r>
  <r>
    <x v="8"/>
    <x v="309"/>
    <n v="7"/>
    <n v="233"/>
    <m/>
    <n v="3"/>
    <m/>
    <m/>
    <m/>
    <m/>
    <m/>
    <m/>
    <m/>
  </r>
  <r>
    <x v="9"/>
    <x v="309"/>
    <n v="14"/>
    <n v="18602"/>
    <m/>
    <n v="859"/>
    <m/>
    <m/>
    <m/>
    <m/>
    <m/>
    <m/>
    <m/>
  </r>
  <r>
    <x v="10"/>
    <x v="309"/>
    <n v="402"/>
    <n v="12341"/>
    <m/>
    <n v="137"/>
    <m/>
    <m/>
    <m/>
    <m/>
    <m/>
    <m/>
    <m/>
  </r>
  <r>
    <x v="11"/>
    <x v="309"/>
    <n v="9"/>
    <n v="9146"/>
    <m/>
    <n v="398"/>
    <m/>
    <m/>
    <m/>
    <m/>
    <m/>
    <m/>
    <m/>
  </r>
  <r>
    <x v="12"/>
    <x v="309"/>
    <n v="157"/>
    <n v="60711"/>
    <n v="2"/>
    <n v="1238"/>
    <m/>
    <m/>
    <m/>
    <m/>
    <m/>
    <m/>
    <m/>
  </r>
  <r>
    <x v="13"/>
    <x v="309"/>
    <n v="4"/>
    <n v="1166"/>
    <m/>
    <n v="12"/>
    <m/>
    <m/>
    <m/>
    <m/>
    <m/>
    <m/>
    <m/>
  </r>
  <r>
    <x v="14"/>
    <x v="309"/>
    <n v="568"/>
    <n v="43472"/>
    <m/>
    <n v="715"/>
    <m/>
    <m/>
    <m/>
    <m/>
    <m/>
    <m/>
    <m/>
  </r>
  <r>
    <x v="15"/>
    <x v="309"/>
    <n v="381"/>
    <n v="40125"/>
    <n v="5"/>
    <n v="935"/>
    <m/>
    <m/>
    <m/>
    <m/>
    <m/>
    <m/>
    <m/>
  </r>
  <r>
    <x v="16"/>
    <x v="309"/>
    <n v="50"/>
    <n v="22509"/>
    <m/>
    <n v="1022"/>
    <m/>
    <m/>
    <m/>
    <m/>
    <m/>
    <m/>
    <m/>
  </r>
  <r>
    <x v="17"/>
    <x v="309"/>
    <n v="113"/>
    <n v="12000"/>
    <n v="2"/>
    <n v="206"/>
    <m/>
    <m/>
    <m/>
    <m/>
    <m/>
    <m/>
    <m/>
  </r>
  <r>
    <x v="18"/>
    <x v="309"/>
    <n v="62"/>
    <n v="16397"/>
    <m/>
    <n v="308"/>
    <m/>
    <m/>
    <m/>
    <m/>
    <m/>
    <m/>
    <m/>
  </r>
  <r>
    <x v="19"/>
    <x v="309"/>
    <n v="461"/>
    <n v="25699"/>
    <n v="7"/>
    <n v="411"/>
    <m/>
    <m/>
    <m/>
    <m/>
    <m/>
    <m/>
    <m/>
  </r>
  <r>
    <x v="20"/>
    <x v="309"/>
    <n v="1511"/>
    <n v="181845"/>
    <n v="18"/>
    <n v="3060"/>
    <m/>
    <m/>
    <m/>
    <m/>
    <m/>
    <m/>
    <m/>
  </r>
  <r>
    <x v="21"/>
    <x v="309"/>
    <n v="181"/>
    <n v="18032"/>
    <m/>
    <n v="219"/>
    <m/>
    <m/>
    <m/>
    <m/>
    <m/>
    <m/>
    <m/>
  </r>
  <r>
    <x v="22"/>
    <x v="309"/>
    <n v="171"/>
    <n v="19839"/>
    <n v="4"/>
    <n v="259"/>
    <m/>
    <m/>
    <m/>
    <m/>
    <m/>
    <m/>
    <m/>
  </r>
  <r>
    <x v="23"/>
    <x v="309"/>
    <n v="229"/>
    <n v="72059"/>
    <m/>
    <n v="1373"/>
    <m/>
    <m/>
    <m/>
    <m/>
    <m/>
    <m/>
    <m/>
  </r>
  <r>
    <x v="0"/>
    <x v="310"/>
    <n v="5319"/>
    <n v="709333"/>
    <n v="43"/>
    <n v="22732"/>
    <m/>
    <m/>
    <m/>
    <m/>
    <m/>
    <m/>
    <m/>
  </r>
  <r>
    <x v="4"/>
    <x v="310"/>
    <n v="1556"/>
    <n v="181989"/>
    <n v="5"/>
    <n v="5577"/>
    <m/>
    <m/>
    <m/>
    <m/>
    <m/>
    <m/>
    <m/>
  </r>
  <r>
    <x v="1"/>
    <x v="310"/>
    <n v="29"/>
    <n v="2998"/>
    <m/>
    <n v="17"/>
    <m/>
    <m/>
    <m/>
    <m/>
    <m/>
    <m/>
    <m/>
  </r>
  <r>
    <x v="2"/>
    <x v="310"/>
    <n v="318"/>
    <n v="26215"/>
    <n v="10"/>
    <n v="729"/>
    <m/>
    <m/>
    <m/>
    <m/>
    <m/>
    <m/>
    <m/>
  </r>
  <r>
    <x v="3"/>
    <x v="310"/>
    <n v="490"/>
    <n v="34328"/>
    <n v="27"/>
    <n v="523"/>
    <m/>
    <m/>
    <m/>
    <m/>
    <m/>
    <m/>
    <m/>
  </r>
  <r>
    <x v="5"/>
    <x v="310"/>
    <n v="956"/>
    <n v="131459"/>
    <n v="5"/>
    <n v="2502"/>
    <m/>
    <m/>
    <m/>
    <m/>
    <m/>
    <m/>
    <m/>
  </r>
  <r>
    <x v="6"/>
    <x v="310"/>
    <n v="210"/>
    <n v="13050"/>
    <m/>
    <n v="170"/>
    <m/>
    <m/>
    <m/>
    <m/>
    <m/>
    <m/>
    <m/>
  </r>
  <r>
    <x v="7"/>
    <x v="310"/>
    <n v="587"/>
    <n v="32088"/>
    <n v="3"/>
    <n v="602"/>
    <m/>
    <m/>
    <m/>
    <m/>
    <m/>
    <m/>
    <m/>
  </r>
  <r>
    <x v="8"/>
    <x v="310"/>
    <n v="5"/>
    <n v="238"/>
    <m/>
    <n v="3"/>
    <m/>
    <m/>
    <m/>
    <m/>
    <m/>
    <m/>
    <m/>
  </r>
  <r>
    <x v="9"/>
    <x v="310"/>
    <n v="15"/>
    <n v="18617"/>
    <m/>
    <n v="859"/>
    <m/>
    <m/>
    <m/>
    <m/>
    <m/>
    <m/>
    <m/>
  </r>
  <r>
    <x v="10"/>
    <x v="310"/>
    <n v="412"/>
    <n v="12753"/>
    <n v="1"/>
    <n v="138"/>
    <m/>
    <m/>
    <m/>
    <m/>
    <m/>
    <m/>
    <m/>
  </r>
  <r>
    <x v="11"/>
    <x v="310"/>
    <n v="21"/>
    <n v="9167"/>
    <n v="1"/>
    <n v="399"/>
    <m/>
    <m/>
    <m/>
    <m/>
    <m/>
    <m/>
    <m/>
  </r>
  <r>
    <x v="12"/>
    <x v="310"/>
    <n v="178"/>
    <n v="60889"/>
    <m/>
    <n v="1238"/>
    <m/>
    <m/>
    <m/>
    <m/>
    <m/>
    <m/>
    <m/>
  </r>
  <r>
    <x v="13"/>
    <x v="310"/>
    <n v="9"/>
    <n v="1175"/>
    <n v="3"/>
    <n v="15"/>
    <m/>
    <m/>
    <m/>
    <m/>
    <m/>
    <m/>
    <m/>
  </r>
  <r>
    <x v="14"/>
    <x v="310"/>
    <n v="592"/>
    <n v="44064"/>
    <m/>
    <n v="715"/>
    <m/>
    <m/>
    <m/>
    <m/>
    <m/>
    <m/>
    <m/>
  </r>
  <r>
    <x v="15"/>
    <x v="310"/>
    <n v="457"/>
    <n v="40582"/>
    <n v="8"/>
    <n v="943"/>
    <m/>
    <m/>
    <m/>
    <m/>
    <m/>
    <m/>
    <m/>
  </r>
  <r>
    <x v="16"/>
    <x v="310"/>
    <n v="69"/>
    <n v="22578"/>
    <m/>
    <n v="1022"/>
    <m/>
    <m/>
    <m/>
    <m/>
    <m/>
    <m/>
    <m/>
  </r>
  <r>
    <x v="17"/>
    <x v="310"/>
    <n v="142"/>
    <n v="12142"/>
    <n v="1"/>
    <n v="207"/>
    <m/>
    <m/>
    <m/>
    <m/>
    <m/>
    <m/>
    <m/>
  </r>
  <r>
    <x v="18"/>
    <x v="310"/>
    <n v="49"/>
    <n v="16446"/>
    <n v="7"/>
    <n v="315"/>
    <m/>
    <m/>
    <m/>
    <m/>
    <m/>
    <m/>
    <m/>
  </r>
  <r>
    <x v="19"/>
    <x v="310"/>
    <n v="461"/>
    <n v="26160"/>
    <n v="3"/>
    <n v="414"/>
    <m/>
    <m/>
    <m/>
    <m/>
    <m/>
    <m/>
    <m/>
  </r>
  <r>
    <x v="20"/>
    <x v="310"/>
    <n v="1446"/>
    <n v="183291"/>
    <n v="12"/>
    <n v="3072"/>
    <m/>
    <m/>
    <m/>
    <m/>
    <m/>
    <m/>
    <m/>
  </r>
  <r>
    <x v="21"/>
    <x v="310"/>
    <n v="167"/>
    <n v="18199"/>
    <n v="1"/>
    <n v="220"/>
    <m/>
    <m/>
    <m/>
    <m/>
    <m/>
    <m/>
    <m/>
  </r>
  <r>
    <x v="22"/>
    <x v="310"/>
    <n v="74"/>
    <n v="19913"/>
    <n v="6"/>
    <n v="265"/>
    <m/>
    <m/>
    <m/>
    <m/>
    <m/>
    <m/>
    <m/>
  </r>
  <r>
    <x v="23"/>
    <x v="310"/>
    <n v="273"/>
    <n v="72332"/>
    <n v="10"/>
    <n v="1383"/>
    <m/>
    <m/>
    <m/>
    <m/>
    <m/>
    <m/>
    <m/>
  </r>
  <r>
    <x v="0"/>
    <x v="311"/>
    <n v="4937"/>
    <n v="714270"/>
    <n v="60"/>
    <n v="22792"/>
    <m/>
    <m/>
    <m/>
    <m/>
    <m/>
    <m/>
    <m/>
  </r>
  <r>
    <x v="4"/>
    <x v="311"/>
    <n v="1451"/>
    <n v="183440"/>
    <n v="12"/>
    <n v="5589"/>
    <m/>
    <m/>
    <m/>
    <m/>
    <m/>
    <m/>
    <m/>
  </r>
  <r>
    <x v="1"/>
    <x v="311"/>
    <n v="55"/>
    <n v="3053"/>
    <m/>
    <n v="17"/>
    <m/>
    <m/>
    <m/>
    <m/>
    <m/>
    <m/>
    <m/>
  </r>
  <r>
    <x v="2"/>
    <x v="311"/>
    <n v="298"/>
    <n v="26513"/>
    <n v="2"/>
    <n v="731"/>
    <m/>
    <m/>
    <m/>
    <m/>
    <m/>
    <m/>
    <m/>
  </r>
  <r>
    <x v="3"/>
    <x v="311"/>
    <n v="468"/>
    <n v="34796"/>
    <n v="9"/>
    <n v="532"/>
    <m/>
    <m/>
    <m/>
    <m/>
    <m/>
    <m/>
    <m/>
  </r>
  <r>
    <x v="5"/>
    <x v="311"/>
    <n v="991"/>
    <n v="132450"/>
    <n v="5"/>
    <n v="2507"/>
    <m/>
    <m/>
    <m/>
    <m/>
    <m/>
    <m/>
    <m/>
  </r>
  <r>
    <x v="6"/>
    <x v="311"/>
    <n v="298"/>
    <n v="13348"/>
    <n v="4"/>
    <n v="174"/>
    <m/>
    <m/>
    <m/>
    <m/>
    <m/>
    <m/>
    <m/>
  </r>
  <r>
    <x v="7"/>
    <x v="311"/>
    <n v="587"/>
    <n v="32675"/>
    <n v="7"/>
    <n v="609"/>
    <m/>
    <m/>
    <m/>
    <m/>
    <m/>
    <m/>
    <m/>
  </r>
  <r>
    <x v="8"/>
    <x v="311"/>
    <n v="3"/>
    <n v="241"/>
    <m/>
    <n v="3"/>
    <m/>
    <m/>
    <m/>
    <m/>
    <m/>
    <m/>
    <m/>
  </r>
  <r>
    <x v="9"/>
    <x v="311"/>
    <n v="41"/>
    <n v="18658"/>
    <m/>
    <n v="859"/>
    <m/>
    <m/>
    <m/>
    <m/>
    <m/>
    <m/>
    <m/>
  </r>
  <r>
    <x v="10"/>
    <x v="311"/>
    <n v="330"/>
    <n v="13083"/>
    <n v="4"/>
    <n v="142"/>
    <m/>
    <m/>
    <m/>
    <m/>
    <m/>
    <m/>
    <m/>
  </r>
  <r>
    <x v="11"/>
    <x v="311"/>
    <n v="17"/>
    <n v="9184"/>
    <m/>
    <n v="399"/>
    <m/>
    <m/>
    <m/>
    <m/>
    <m/>
    <m/>
    <m/>
  </r>
  <r>
    <x v="12"/>
    <x v="311"/>
    <n v="180"/>
    <n v="61069"/>
    <n v="6"/>
    <n v="1244"/>
    <m/>
    <m/>
    <m/>
    <m/>
    <m/>
    <m/>
    <m/>
  </r>
  <r>
    <x v="13"/>
    <x v="311"/>
    <n v="4"/>
    <n v="1179"/>
    <m/>
    <n v="15"/>
    <m/>
    <m/>
    <m/>
    <m/>
    <m/>
    <m/>
    <m/>
  </r>
  <r>
    <x v="14"/>
    <x v="311"/>
    <n v="506"/>
    <n v="44570"/>
    <m/>
    <n v="715"/>
    <m/>
    <m/>
    <m/>
    <m/>
    <m/>
    <m/>
    <m/>
  </r>
  <r>
    <x v="15"/>
    <x v="311"/>
    <n v="464"/>
    <n v="41046"/>
    <n v="10"/>
    <n v="953"/>
    <m/>
    <m/>
    <m/>
    <m/>
    <m/>
    <m/>
    <m/>
  </r>
  <r>
    <x v="16"/>
    <x v="311"/>
    <n v="38"/>
    <n v="22616"/>
    <n v="1"/>
    <n v="1023"/>
    <m/>
    <m/>
    <m/>
    <m/>
    <m/>
    <m/>
    <m/>
  </r>
  <r>
    <x v="17"/>
    <x v="311"/>
    <n v="138"/>
    <n v="12280"/>
    <m/>
    <n v="207"/>
    <m/>
    <m/>
    <m/>
    <m/>
    <m/>
    <m/>
    <m/>
  </r>
  <r>
    <x v="18"/>
    <x v="311"/>
    <n v="74"/>
    <n v="16520"/>
    <n v="5"/>
    <n v="320"/>
    <m/>
    <m/>
    <m/>
    <m/>
    <m/>
    <m/>
    <m/>
  </r>
  <r>
    <x v="19"/>
    <x v="311"/>
    <n v="414"/>
    <n v="26574"/>
    <n v="4"/>
    <n v="418"/>
    <m/>
    <m/>
    <m/>
    <m/>
    <m/>
    <m/>
    <m/>
  </r>
  <r>
    <x v="20"/>
    <x v="311"/>
    <n v="1428"/>
    <n v="184719"/>
    <n v="11"/>
    <n v="3083"/>
    <m/>
    <m/>
    <m/>
    <m/>
    <m/>
    <m/>
    <m/>
  </r>
  <r>
    <x v="21"/>
    <x v="311"/>
    <n v="228"/>
    <n v="18427"/>
    <n v="2"/>
    <n v="222"/>
    <m/>
    <m/>
    <m/>
    <m/>
    <m/>
    <m/>
    <m/>
  </r>
  <r>
    <x v="22"/>
    <x v="311"/>
    <n v="127"/>
    <n v="20040"/>
    <n v="9"/>
    <n v="274"/>
    <m/>
    <m/>
    <m/>
    <m/>
    <m/>
    <m/>
    <m/>
  </r>
  <r>
    <x v="23"/>
    <x v="311"/>
    <n v="269"/>
    <n v="72601"/>
    <m/>
    <n v="1383"/>
    <m/>
    <m/>
    <m/>
    <m/>
    <m/>
    <m/>
    <m/>
  </r>
  <r>
    <x v="0"/>
    <x v="312"/>
    <n v="4389"/>
    <n v="718659"/>
    <n v="68"/>
    <n v="22860"/>
    <m/>
    <m/>
    <m/>
    <m/>
    <m/>
    <m/>
    <m/>
  </r>
  <r>
    <x v="4"/>
    <x v="312"/>
    <n v="1350"/>
    <n v="184790"/>
    <n v="4"/>
    <n v="5593"/>
    <m/>
    <m/>
    <m/>
    <m/>
    <m/>
    <m/>
    <m/>
  </r>
  <r>
    <x v="1"/>
    <x v="312"/>
    <n v="69"/>
    <n v="3122"/>
    <m/>
    <n v="17"/>
    <m/>
    <m/>
    <m/>
    <m/>
    <m/>
    <m/>
    <m/>
  </r>
  <r>
    <x v="2"/>
    <x v="312"/>
    <n v="225"/>
    <n v="26738"/>
    <n v="1"/>
    <n v="732"/>
    <m/>
    <m/>
    <m/>
    <m/>
    <m/>
    <m/>
    <m/>
  </r>
  <r>
    <x v="3"/>
    <x v="312"/>
    <n v="330"/>
    <n v="35126"/>
    <m/>
    <n v="532"/>
    <m/>
    <m/>
    <m/>
    <m/>
    <m/>
    <m/>
    <m/>
  </r>
  <r>
    <x v="5"/>
    <x v="312"/>
    <n v="628"/>
    <n v="133078"/>
    <n v="2"/>
    <n v="2509"/>
    <m/>
    <m/>
    <m/>
    <m/>
    <m/>
    <m/>
    <m/>
  </r>
  <r>
    <x v="6"/>
    <x v="312"/>
    <n v="298"/>
    <n v="13646"/>
    <m/>
    <n v="174"/>
    <m/>
    <m/>
    <m/>
    <m/>
    <m/>
    <m/>
    <m/>
  </r>
  <r>
    <x v="7"/>
    <x v="312"/>
    <n v="516"/>
    <n v="33191"/>
    <n v="1"/>
    <n v="610"/>
    <m/>
    <m/>
    <m/>
    <m/>
    <m/>
    <m/>
    <m/>
  </r>
  <r>
    <x v="8"/>
    <x v="312"/>
    <n v="18"/>
    <n v="259"/>
    <m/>
    <n v="3"/>
    <m/>
    <m/>
    <m/>
    <m/>
    <m/>
    <m/>
    <m/>
  </r>
  <r>
    <x v="9"/>
    <x v="312"/>
    <n v="8"/>
    <n v="18666"/>
    <m/>
    <n v="859"/>
    <m/>
    <m/>
    <m/>
    <m/>
    <m/>
    <m/>
    <m/>
  </r>
  <r>
    <x v="10"/>
    <x v="312"/>
    <n v="315"/>
    <n v="13398"/>
    <n v="12"/>
    <n v="154"/>
    <m/>
    <m/>
    <m/>
    <m/>
    <m/>
    <m/>
    <m/>
  </r>
  <r>
    <x v="11"/>
    <x v="312"/>
    <n v="15"/>
    <n v="9199"/>
    <n v="2"/>
    <n v="401"/>
    <m/>
    <m/>
    <m/>
    <m/>
    <m/>
    <m/>
    <m/>
  </r>
  <r>
    <x v="12"/>
    <x v="312"/>
    <n v="145"/>
    <n v="61214"/>
    <n v="1"/>
    <n v="1245"/>
    <m/>
    <m/>
    <m/>
    <m/>
    <m/>
    <m/>
    <m/>
  </r>
  <r>
    <x v="13"/>
    <x v="312"/>
    <n v="156"/>
    <n v="1335"/>
    <n v="1"/>
    <n v="16"/>
    <m/>
    <m/>
    <m/>
    <m/>
    <m/>
    <m/>
    <m/>
  </r>
  <r>
    <x v="14"/>
    <x v="312"/>
    <n v="351"/>
    <n v="44921"/>
    <n v="38"/>
    <n v="753"/>
    <m/>
    <m/>
    <m/>
    <m/>
    <m/>
    <m/>
    <m/>
  </r>
  <r>
    <x v="15"/>
    <x v="312"/>
    <n v="237"/>
    <n v="41283"/>
    <n v="3"/>
    <n v="956"/>
    <m/>
    <m/>
    <m/>
    <m/>
    <m/>
    <m/>
    <m/>
  </r>
  <r>
    <x v="16"/>
    <x v="312"/>
    <n v="73"/>
    <n v="22689"/>
    <m/>
    <n v="1023"/>
    <m/>
    <m/>
    <m/>
    <m/>
    <m/>
    <m/>
    <m/>
  </r>
  <r>
    <x v="17"/>
    <x v="312"/>
    <n v="79"/>
    <n v="12359"/>
    <m/>
    <n v="207"/>
    <m/>
    <m/>
    <m/>
    <m/>
    <m/>
    <m/>
    <m/>
  </r>
  <r>
    <x v="18"/>
    <x v="312"/>
    <n v="16"/>
    <n v="16536"/>
    <n v="1"/>
    <n v="321"/>
    <m/>
    <m/>
    <m/>
    <m/>
    <m/>
    <m/>
    <m/>
  </r>
  <r>
    <x v="19"/>
    <x v="312"/>
    <n v="365"/>
    <n v="26939"/>
    <n v="2"/>
    <n v="420"/>
    <m/>
    <m/>
    <m/>
    <m/>
    <m/>
    <m/>
    <m/>
  </r>
  <r>
    <x v="20"/>
    <x v="312"/>
    <n v="1171"/>
    <n v="185890"/>
    <n v="2"/>
    <n v="3085"/>
    <m/>
    <m/>
    <m/>
    <m/>
    <m/>
    <m/>
    <m/>
  </r>
  <r>
    <x v="21"/>
    <x v="312"/>
    <n v="125"/>
    <n v="18552"/>
    <n v="3"/>
    <n v="225"/>
    <m/>
    <m/>
    <m/>
    <m/>
    <m/>
    <m/>
    <m/>
  </r>
  <r>
    <x v="22"/>
    <x v="312"/>
    <n v="57"/>
    <n v="20097"/>
    <m/>
    <n v="274"/>
    <m/>
    <m/>
    <m/>
    <m/>
    <m/>
    <m/>
    <m/>
  </r>
  <r>
    <x v="23"/>
    <x v="312"/>
    <n v="121"/>
    <n v="72722"/>
    <m/>
    <n v="1383"/>
    <m/>
    <m/>
    <m/>
    <m/>
    <m/>
    <m/>
    <m/>
  </r>
  <r>
    <x v="0"/>
    <x v="313"/>
    <n v="3295"/>
    <n v="721954"/>
    <n v="49"/>
    <n v="22909"/>
    <m/>
    <m/>
    <m/>
    <m/>
    <m/>
    <m/>
    <m/>
  </r>
  <r>
    <x v="4"/>
    <x v="313"/>
    <n v="1247"/>
    <n v="186037"/>
    <n v="4"/>
    <n v="5597"/>
    <m/>
    <m/>
    <m/>
    <m/>
    <m/>
    <m/>
    <m/>
  </r>
  <r>
    <x v="1"/>
    <x v="313"/>
    <n v="51"/>
    <n v="3173"/>
    <m/>
    <n v="17"/>
    <m/>
    <m/>
    <m/>
    <m/>
    <m/>
    <m/>
    <m/>
  </r>
  <r>
    <x v="2"/>
    <x v="313"/>
    <n v="191"/>
    <n v="26929"/>
    <n v="2"/>
    <n v="734"/>
    <m/>
    <m/>
    <m/>
    <m/>
    <m/>
    <m/>
    <m/>
  </r>
  <r>
    <x v="3"/>
    <x v="313"/>
    <n v="194"/>
    <n v="35320"/>
    <n v="3"/>
    <n v="535"/>
    <m/>
    <m/>
    <m/>
    <m/>
    <m/>
    <m/>
    <m/>
  </r>
  <r>
    <x v="5"/>
    <x v="313"/>
    <n v="466"/>
    <n v="133544"/>
    <m/>
    <n v="2509"/>
    <m/>
    <m/>
    <m/>
    <m/>
    <m/>
    <m/>
    <m/>
  </r>
  <r>
    <x v="6"/>
    <x v="313"/>
    <n v="119"/>
    <n v="13765"/>
    <m/>
    <n v="174"/>
    <m/>
    <m/>
    <m/>
    <m/>
    <m/>
    <m/>
    <m/>
  </r>
  <r>
    <x v="7"/>
    <x v="313"/>
    <n v="350"/>
    <n v="33541"/>
    <n v="3"/>
    <n v="613"/>
    <m/>
    <m/>
    <m/>
    <m/>
    <m/>
    <m/>
    <m/>
  </r>
  <r>
    <x v="8"/>
    <x v="313"/>
    <n v="32"/>
    <n v="291"/>
    <m/>
    <n v="3"/>
    <m/>
    <m/>
    <m/>
    <m/>
    <m/>
    <m/>
    <m/>
  </r>
  <r>
    <x v="9"/>
    <x v="313"/>
    <n v="20"/>
    <n v="18686"/>
    <m/>
    <n v="859"/>
    <m/>
    <m/>
    <m/>
    <m/>
    <m/>
    <m/>
    <m/>
  </r>
  <r>
    <x v="10"/>
    <x v="313"/>
    <n v="102"/>
    <n v="13500"/>
    <n v="3"/>
    <n v="157"/>
    <m/>
    <m/>
    <m/>
    <m/>
    <m/>
    <m/>
    <m/>
  </r>
  <r>
    <x v="11"/>
    <x v="313"/>
    <n v="15"/>
    <n v="9214"/>
    <m/>
    <n v="401"/>
    <m/>
    <m/>
    <m/>
    <m/>
    <m/>
    <m/>
    <m/>
  </r>
  <r>
    <x v="12"/>
    <x v="313"/>
    <n v="76"/>
    <n v="61290"/>
    <m/>
    <n v="1245"/>
    <m/>
    <m/>
    <m/>
    <m/>
    <m/>
    <m/>
    <m/>
  </r>
  <r>
    <x v="13"/>
    <x v="313"/>
    <n v="110"/>
    <n v="1445"/>
    <m/>
    <n v="16"/>
    <m/>
    <m/>
    <m/>
    <m/>
    <m/>
    <m/>
    <m/>
  </r>
  <r>
    <x v="14"/>
    <x v="313"/>
    <n v="229"/>
    <n v="45150"/>
    <m/>
    <n v="753"/>
    <m/>
    <m/>
    <m/>
    <m/>
    <m/>
    <m/>
    <m/>
  </r>
  <r>
    <x v="15"/>
    <x v="313"/>
    <n v="201"/>
    <n v="41484"/>
    <n v="4"/>
    <n v="960"/>
    <m/>
    <m/>
    <m/>
    <m/>
    <m/>
    <m/>
    <m/>
  </r>
  <r>
    <x v="16"/>
    <x v="313"/>
    <n v="21"/>
    <n v="22710"/>
    <m/>
    <n v="1023"/>
    <m/>
    <m/>
    <m/>
    <m/>
    <m/>
    <m/>
    <m/>
  </r>
  <r>
    <x v="17"/>
    <x v="313"/>
    <n v="23"/>
    <n v="12382"/>
    <m/>
    <n v="207"/>
    <m/>
    <m/>
    <m/>
    <m/>
    <m/>
    <m/>
    <m/>
  </r>
  <r>
    <x v="18"/>
    <x v="313"/>
    <n v="8"/>
    <n v="16544"/>
    <m/>
    <n v="321"/>
    <m/>
    <m/>
    <m/>
    <m/>
    <m/>
    <m/>
    <m/>
  </r>
  <r>
    <x v="19"/>
    <x v="313"/>
    <n v="255"/>
    <n v="27194"/>
    <n v="4"/>
    <n v="424"/>
    <m/>
    <m/>
    <m/>
    <m/>
    <m/>
    <m/>
    <m/>
  </r>
  <r>
    <x v="20"/>
    <x v="313"/>
    <n v="548"/>
    <n v="186438"/>
    <n v="4"/>
    <n v="3089"/>
    <m/>
    <m/>
    <m/>
    <m/>
    <m/>
    <m/>
    <m/>
  </r>
  <r>
    <x v="21"/>
    <x v="313"/>
    <n v="65"/>
    <n v="18617"/>
    <n v="1"/>
    <n v="226"/>
    <m/>
    <m/>
    <m/>
    <m/>
    <m/>
    <m/>
    <m/>
  </r>
  <r>
    <x v="22"/>
    <x v="313"/>
    <n v="74"/>
    <n v="20171"/>
    <m/>
    <n v="274"/>
    <m/>
    <m/>
    <m/>
    <m/>
    <m/>
    <m/>
    <m/>
  </r>
  <r>
    <x v="23"/>
    <x v="313"/>
    <n v="116"/>
    <n v="72838"/>
    <n v="1"/>
    <n v="1384"/>
    <m/>
    <m/>
    <m/>
    <m/>
    <m/>
    <m/>
    <m/>
  </r>
  <r>
    <x v="0"/>
    <x v="314"/>
    <n v="3180"/>
    <n v="725134"/>
    <n v="91"/>
    <n v="23000"/>
    <n v="61"/>
    <n v="29"/>
    <m/>
    <m/>
    <m/>
    <m/>
    <m/>
  </r>
  <r>
    <x v="4"/>
    <x v="314"/>
    <n v="915"/>
    <n v="186952"/>
    <n v="7"/>
    <n v="5604"/>
    <n v="6"/>
    <n v="1"/>
    <m/>
    <m/>
    <m/>
    <m/>
    <m/>
  </r>
  <r>
    <x v="1"/>
    <x v="314"/>
    <n v="31"/>
    <n v="3204"/>
    <m/>
    <n v="17"/>
    <m/>
    <m/>
    <m/>
    <m/>
    <m/>
    <m/>
    <m/>
  </r>
  <r>
    <x v="2"/>
    <x v="314"/>
    <n v="154"/>
    <n v="27083"/>
    <n v="3"/>
    <n v="737"/>
    <n v="1"/>
    <n v="2"/>
    <m/>
    <m/>
    <m/>
    <m/>
    <m/>
  </r>
  <r>
    <x v="3"/>
    <x v="314"/>
    <n v="505"/>
    <n v="35825"/>
    <n v="7"/>
    <n v="542"/>
    <n v="5"/>
    <n v="2"/>
    <m/>
    <m/>
    <m/>
    <m/>
    <m/>
  </r>
  <r>
    <x v="5"/>
    <x v="314"/>
    <n v="297"/>
    <n v="133841"/>
    <n v="5"/>
    <n v="2514"/>
    <n v="2"/>
    <n v="3"/>
    <m/>
    <m/>
    <m/>
    <m/>
    <m/>
  </r>
  <r>
    <x v="6"/>
    <x v="314"/>
    <n v="169"/>
    <n v="13934"/>
    <n v="7"/>
    <n v="181"/>
    <n v="2"/>
    <n v="5"/>
    <m/>
    <m/>
    <m/>
    <m/>
    <m/>
  </r>
  <r>
    <x v="7"/>
    <x v="314"/>
    <n v="179"/>
    <n v="33720"/>
    <n v="1"/>
    <n v="614"/>
    <n v="1"/>
    <m/>
    <m/>
    <m/>
    <m/>
    <m/>
    <m/>
  </r>
  <r>
    <x v="8"/>
    <x v="314"/>
    <n v="21"/>
    <n v="312"/>
    <m/>
    <n v="3"/>
    <m/>
    <m/>
    <m/>
    <m/>
    <m/>
    <m/>
    <m/>
  </r>
  <r>
    <x v="9"/>
    <x v="314"/>
    <n v="17"/>
    <n v="18703"/>
    <m/>
    <n v="859"/>
    <m/>
    <m/>
    <m/>
    <m/>
    <m/>
    <m/>
    <m/>
  </r>
  <r>
    <x v="10"/>
    <x v="314"/>
    <n v="203"/>
    <n v="13703"/>
    <n v="1"/>
    <n v="158"/>
    <m/>
    <n v="1"/>
    <m/>
    <m/>
    <m/>
    <m/>
    <m/>
  </r>
  <r>
    <x v="11"/>
    <x v="314"/>
    <n v="13"/>
    <n v="9227"/>
    <m/>
    <n v="401"/>
    <m/>
    <m/>
    <m/>
    <m/>
    <m/>
    <m/>
    <m/>
  </r>
  <r>
    <x v="12"/>
    <x v="314"/>
    <n v="105"/>
    <n v="61395"/>
    <n v="3"/>
    <n v="1248"/>
    <n v="2"/>
    <n v="1"/>
    <m/>
    <m/>
    <m/>
    <m/>
    <m/>
  </r>
  <r>
    <x v="13"/>
    <x v="314"/>
    <n v="25"/>
    <n v="1470"/>
    <m/>
    <n v="16"/>
    <m/>
    <m/>
    <m/>
    <m/>
    <m/>
    <m/>
    <m/>
  </r>
  <r>
    <x v="14"/>
    <x v="314"/>
    <n v="405"/>
    <n v="45555"/>
    <n v="1"/>
    <n v="754"/>
    <m/>
    <n v="1"/>
    <m/>
    <m/>
    <m/>
    <m/>
    <m/>
  </r>
  <r>
    <x v="15"/>
    <x v="314"/>
    <n v="350"/>
    <n v="41834"/>
    <n v="11"/>
    <n v="971"/>
    <n v="6"/>
    <n v="5"/>
    <m/>
    <m/>
    <m/>
    <m/>
    <m/>
  </r>
  <r>
    <x v="16"/>
    <x v="314"/>
    <n v="49"/>
    <n v="22759"/>
    <n v="1"/>
    <n v="1024"/>
    <n v="1"/>
    <m/>
    <m/>
    <m/>
    <m/>
    <m/>
    <m/>
  </r>
  <r>
    <x v="17"/>
    <x v="314"/>
    <n v="86"/>
    <n v="12468"/>
    <n v="2"/>
    <n v="209"/>
    <n v="2"/>
    <m/>
    <m/>
    <m/>
    <m/>
    <m/>
    <m/>
  </r>
  <r>
    <x v="18"/>
    <x v="314"/>
    <n v="69"/>
    <n v="16613"/>
    <n v="4"/>
    <n v="325"/>
    <n v="1"/>
    <n v="3"/>
    <m/>
    <m/>
    <m/>
    <m/>
    <m/>
  </r>
  <r>
    <x v="19"/>
    <x v="314"/>
    <n v="342"/>
    <n v="27536"/>
    <n v="4"/>
    <n v="428"/>
    <n v="2"/>
    <n v="2"/>
    <m/>
    <m/>
    <m/>
    <m/>
    <m/>
  </r>
  <r>
    <x v="20"/>
    <x v="314"/>
    <n v="1072"/>
    <n v="187510"/>
    <n v="10"/>
    <n v="3099"/>
    <n v="9"/>
    <n v="1"/>
    <m/>
    <m/>
    <m/>
    <m/>
    <m/>
  </r>
  <r>
    <x v="21"/>
    <x v="314"/>
    <n v="171"/>
    <n v="18788"/>
    <m/>
    <n v="226"/>
    <m/>
    <m/>
    <m/>
    <m/>
    <m/>
    <m/>
    <m/>
  </r>
  <r>
    <x v="22"/>
    <x v="314"/>
    <n v="85"/>
    <n v="20256"/>
    <n v="3"/>
    <n v="277"/>
    <n v="2"/>
    <n v="1"/>
    <m/>
    <m/>
    <m/>
    <m/>
    <m/>
  </r>
  <r>
    <x v="23"/>
    <x v="314"/>
    <n v="261"/>
    <n v="73099"/>
    <m/>
    <n v="1384"/>
    <m/>
    <m/>
    <m/>
    <m/>
    <m/>
    <m/>
    <m/>
  </r>
  <r>
    <x v="0"/>
    <x v="315"/>
    <n v="5409"/>
    <n v="730543"/>
    <n v="76"/>
    <n v="23076"/>
    <n v="41"/>
    <n v="34"/>
    <m/>
    <m/>
    <m/>
    <m/>
    <m/>
  </r>
  <r>
    <x v="4"/>
    <x v="315"/>
    <n v="1558"/>
    <n v="188510"/>
    <n v="23"/>
    <n v="5627"/>
    <n v="10"/>
    <n v="12"/>
    <m/>
    <m/>
    <m/>
    <m/>
    <m/>
  </r>
  <r>
    <x v="1"/>
    <x v="315"/>
    <n v="82"/>
    <n v="3286"/>
    <m/>
    <n v="17"/>
    <m/>
    <m/>
    <m/>
    <m/>
    <m/>
    <m/>
    <m/>
  </r>
  <r>
    <x v="2"/>
    <x v="315"/>
    <n v="267"/>
    <n v="27350"/>
    <n v="6"/>
    <n v="743"/>
    <n v="3"/>
    <n v="3"/>
    <m/>
    <m/>
    <m/>
    <m/>
    <m/>
  </r>
  <r>
    <x v="3"/>
    <x v="315"/>
    <n v="602"/>
    <n v="36427"/>
    <n v="2"/>
    <n v="544"/>
    <m/>
    <n v="2"/>
    <m/>
    <m/>
    <m/>
    <m/>
    <m/>
  </r>
  <r>
    <x v="5"/>
    <x v="315"/>
    <n v="790"/>
    <n v="134631"/>
    <n v="7"/>
    <n v="2521"/>
    <n v="7"/>
    <m/>
    <m/>
    <m/>
    <m/>
    <m/>
    <m/>
  </r>
  <r>
    <x v="6"/>
    <x v="315"/>
    <n v="248"/>
    <n v="14182"/>
    <m/>
    <n v="181"/>
    <m/>
    <m/>
    <m/>
    <m/>
    <m/>
    <m/>
    <m/>
  </r>
  <r>
    <x v="7"/>
    <x v="315"/>
    <n v="485"/>
    <n v="34205"/>
    <n v="4"/>
    <n v="618"/>
    <m/>
    <n v="4"/>
    <m/>
    <m/>
    <m/>
    <m/>
    <m/>
  </r>
  <r>
    <x v="8"/>
    <x v="315"/>
    <n v="59"/>
    <n v="371"/>
    <m/>
    <n v="3"/>
    <m/>
    <m/>
    <m/>
    <m/>
    <m/>
    <m/>
    <m/>
  </r>
  <r>
    <x v="9"/>
    <x v="315"/>
    <n v="16"/>
    <n v="18719"/>
    <n v="1"/>
    <n v="860"/>
    <m/>
    <n v="1"/>
    <m/>
    <m/>
    <m/>
    <m/>
    <m/>
  </r>
  <r>
    <x v="10"/>
    <x v="315"/>
    <n v="352"/>
    <n v="14055"/>
    <n v="15"/>
    <n v="173"/>
    <n v="8"/>
    <n v="7"/>
    <m/>
    <m/>
    <m/>
    <m/>
    <m/>
  </r>
  <r>
    <x v="11"/>
    <x v="315"/>
    <n v="9"/>
    <n v="9236"/>
    <m/>
    <n v="401"/>
    <m/>
    <m/>
    <m/>
    <m/>
    <m/>
    <m/>
    <m/>
  </r>
  <r>
    <x v="12"/>
    <x v="315"/>
    <n v="196"/>
    <n v="61591"/>
    <n v="13"/>
    <n v="1261"/>
    <n v="8"/>
    <n v="5"/>
    <m/>
    <m/>
    <m/>
    <m/>
    <m/>
  </r>
  <r>
    <x v="13"/>
    <x v="315"/>
    <n v="50"/>
    <n v="1520"/>
    <n v="4"/>
    <n v="20"/>
    <n v="2"/>
    <n v="2"/>
    <m/>
    <m/>
    <m/>
    <m/>
    <m/>
  </r>
  <r>
    <x v="14"/>
    <x v="315"/>
    <n v="647"/>
    <n v="46202"/>
    <m/>
    <n v="754"/>
    <m/>
    <m/>
    <m/>
    <m/>
    <m/>
    <m/>
    <m/>
  </r>
  <r>
    <x v="15"/>
    <x v="315"/>
    <n v="413"/>
    <n v="42247"/>
    <n v="7"/>
    <n v="978"/>
    <n v="3"/>
    <n v="4"/>
    <m/>
    <m/>
    <m/>
    <m/>
    <m/>
  </r>
  <r>
    <x v="16"/>
    <x v="315"/>
    <n v="37"/>
    <n v="22796"/>
    <n v="1"/>
    <n v="1025"/>
    <n v="1"/>
    <m/>
    <m/>
    <m/>
    <m/>
    <m/>
    <m/>
  </r>
  <r>
    <x v="17"/>
    <x v="315"/>
    <n v="208"/>
    <n v="12676"/>
    <m/>
    <n v="209"/>
    <m/>
    <m/>
    <m/>
    <m/>
    <m/>
    <m/>
    <m/>
  </r>
  <r>
    <x v="18"/>
    <x v="315"/>
    <n v="51"/>
    <n v="16664"/>
    <m/>
    <n v="325"/>
    <m/>
    <m/>
    <m/>
    <m/>
    <m/>
    <m/>
    <m/>
  </r>
  <r>
    <x v="19"/>
    <x v="315"/>
    <n v="393"/>
    <n v="27929"/>
    <n v="3"/>
    <n v="431"/>
    <n v="1"/>
    <n v="2"/>
    <m/>
    <m/>
    <m/>
    <m/>
    <m/>
  </r>
  <r>
    <x v="20"/>
    <x v="315"/>
    <n v="1434"/>
    <n v="188944"/>
    <n v="12"/>
    <n v="3111"/>
    <n v="12"/>
    <n v="1"/>
    <m/>
    <m/>
    <m/>
    <m/>
    <m/>
  </r>
  <r>
    <x v="21"/>
    <x v="315"/>
    <n v="99"/>
    <n v="18887"/>
    <n v="1"/>
    <n v="227"/>
    <n v="1"/>
    <m/>
    <m/>
    <m/>
    <m/>
    <m/>
    <m/>
  </r>
  <r>
    <x v="22"/>
    <x v="315"/>
    <n v="141"/>
    <n v="20397"/>
    <n v="6"/>
    <n v="283"/>
    <n v="4"/>
    <n v="2"/>
    <m/>
    <m/>
    <m/>
    <m/>
    <m/>
  </r>
  <r>
    <x v="23"/>
    <x v="315"/>
    <n v="237"/>
    <n v="73336"/>
    <n v="12"/>
    <n v="1396"/>
    <n v="6"/>
    <n v="6"/>
    <m/>
    <m/>
    <m/>
    <m/>
    <m/>
  </r>
  <r>
    <x v="0"/>
    <x v="316"/>
    <n v="4859"/>
    <n v="735402"/>
    <n v="52"/>
    <n v="23128"/>
    <n v="35"/>
    <n v="18"/>
    <m/>
    <m/>
    <m/>
    <m/>
    <m/>
  </r>
  <r>
    <x v="4"/>
    <x v="316"/>
    <n v="1204"/>
    <n v="189714"/>
    <n v="8"/>
    <n v="5635"/>
    <n v="4"/>
    <n v="3"/>
    <m/>
    <m/>
    <m/>
    <m/>
    <m/>
  </r>
  <r>
    <x v="1"/>
    <x v="316"/>
    <n v="70"/>
    <n v="3356"/>
    <m/>
    <n v="17"/>
    <m/>
    <m/>
    <m/>
    <m/>
    <m/>
    <m/>
    <m/>
  </r>
  <r>
    <x v="2"/>
    <x v="316"/>
    <n v="288"/>
    <n v="27638"/>
    <n v="6"/>
    <n v="749"/>
    <n v="3"/>
    <n v="3"/>
    <m/>
    <m/>
    <m/>
    <m/>
    <m/>
  </r>
  <r>
    <x v="3"/>
    <x v="316"/>
    <n v="528"/>
    <n v="36955"/>
    <n v="3"/>
    <n v="547"/>
    <n v="2"/>
    <n v="1"/>
    <m/>
    <m/>
    <m/>
    <m/>
    <m/>
  </r>
  <r>
    <x v="5"/>
    <x v="316"/>
    <n v="818"/>
    <n v="135449"/>
    <n v="10"/>
    <n v="2531"/>
    <n v="5"/>
    <n v="5"/>
    <m/>
    <m/>
    <m/>
    <m/>
    <m/>
  </r>
  <r>
    <x v="6"/>
    <x v="316"/>
    <n v="395"/>
    <n v="14577"/>
    <m/>
    <n v="181"/>
    <m/>
    <m/>
    <m/>
    <m/>
    <m/>
    <m/>
    <m/>
  </r>
  <r>
    <x v="7"/>
    <x v="316"/>
    <n v="581"/>
    <n v="34786"/>
    <n v="6"/>
    <n v="624"/>
    <n v="1"/>
    <n v="6"/>
    <m/>
    <m/>
    <m/>
    <m/>
    <m/>
  </r>
  <r>
    <x v="8"/>
    <x v="316"/>
    <n v="54"/>
    <n v="425"/>
    <m/>
    <n v="3"/>
    <m/>
    <m/>
    <m/>
    <m/>
    <m/>
    <m/>
    <m/>
  </r>
  <r>
    <x v="9"/>
    <x v="316"/>
    <n v="17"/>
    <n v="18736"/>
    <m/>
    <n v="860"/>
    <m/>
    <m/>
    <m/>
    <m/>
    <m/>
    <m/>
    <m/>
  </r>
  <r>
    <x v="10"/>
    <x v="316"/>
    <n v="229"/>
    <n v="14284"/>
    <m/>
    <n v="173"/>
    <m/>
    <m/>
    <m/>
    <m/>
    <m/>
    <m/>
    <m/>
  </r>
  <r>
    <x v="11"/>
    <x v="316"/>
    <n v="11"/>
    <n v="9247"/>
    <m/>
    <n v="401"/>
    <m/>
    <m/>
    <m/>
    <m/>
    <m/>
    <m/>
    <m/>
  </r>
  <r>
    <x v="12"/>
    <x v="316"/>
    <n v="150"/>
    <n v="61741"/>
    <n v="6"/>
    <n v="1267"/>
    <n v="3"/>
    <n v="3"/>
    <m/>
    <m/>
    <m/>
    <m/>
    <m/>
  </r>
  <r>
    <x v="13"/>
    <x v="316"/>
    <n v="27"/>
    <n v="1547"/>
    <n v="6"/>
    <n v="26"/>
    <n v="4"/>
    <n v="2"/>
    <m/>
    <m/>
    <m/>
    <m/>
    <m/>
  </r>
  <r>
    <x v="14"/>
    <x v="316"/>
    <n v="463"/>
    <n v="46665"/>
    <m/>
    <n v="754"/>
    <m/>
    <m/>
    <m/>
    <m/>
    <m/>
    <m/>
    <m/>
  </r>
  <r>
    <x v="15"/>
    <x v="316"/>
    <n v="393"/>
    <n v="42640"/>
    <n v="5"/>
    <n v="983"/>
    <n v="4"/>
    <n v="1"/>
    <m/>
    <m/>
    <m/>
    <m/>
    <m/>
  </r>
  <r>
    <x v="16"/>
    <x v="316"/>
    <n v="67"/>
    <n v="22863"/>
    <m/>
    <n v="1025"/>
    <m/>
    <m/>
    <m/>
    <m/>
    <m/>
    <m/>
    <m/>
  </r>
  <r>
    <x v="17"/>
    <x v="316"/>
    <n v="163"/>
    <n v="12839"/>
    <n v="3"/>
    <n v="212"/>
    <m/>
    <n v="3"/>
    <m/>
    <m/>
    <m/>
    <m/>
    <m/>
  </r>
  <r>
    <x v="18"/>
    <x v="316"/>
    <n v="38"/>
    <n v="16702"/>
    <n v="1"/>
    <n v="326"/>
    <m/>
    <n v="1"/>
    <m/>
    <m/>
    <m/>
    <m/>
    <m/>
  </r>
  <r>
    <x v="19"/>
    <x v="316"/>
    <n v="323"/>
    <n v="28252"/>
    <n v="4"/>
    <n v="435"/>
    <n v="2"/>
    <n v="2"/>
    <m/>
    <m/>
    <m/>
    <m/>
    <m/>
  </r>
  <r>
    <x v="20"/>
    <x v="316"/>
    <n v="1502"/>
    <n v="190446"/>
    <n v="18"/>
    <n v="3129"/>
    <n v="10"/>
    <n v="8"/>
    <m/>
    <m/>
    <m/>
    <m/>
    <m/>
  </r>
  <r>
    <x v="21"/>
    <x v="316"/>
    <n v="165"/>
    <n v="19052"/>
    <n v="2"/>
    <n v="229"/>
    <n v="1"/>
    <n v="1"/>
    <m/>
    <m/>
    <m/>
    <m/>
    <m/>
  </r>
  <r>
    <x v="22"/>
    <x v="316"/>
    <n v="101"/>
    <n v="20498"/>
    <n v="1"/>
    <n v="284"/>
    <n v="1"/>
    <m/>
    <m/>
    <m/>
    <m/>
    <m/>
    <m/>
  </r>
  <r>
    <x v="23"/>
    <x v="316"/>
    <n v="279"/>
    <n v="73615"/>
    <n v="3"/>
    <n v="1399"/>
    <n v="1"/>
    <n v="2"/>
    <m/>
    <m/>
    <m/>
    <m/>
    <m/>
  </r>
  <r>
    <x v="0"/>
    <x v="317"/>
    <n v="5185"/>
    <n v="740587"/>
    <n v="53"/>
    <n v="23181"/>
    <n v="32"/>
    <n v="20"/>
    <m/>
    <m/>
    <m/>
    <m/>
    <m/>
  </r>
  <r>
    <x v="4"/>
    <x v="317"/>
    <n v="1367"/>
    <n v="191081"/>
    <n v="6"/>
    <n v="5641"/>
    <n v="4"/>
    <n v="2"/>
    <m/>
    <m/>
    <m/>
    <m/>
    <m/>
  </r>
  <r>
    <x v="1"/>
    <x v="317"/>
    <n v="78"/>
    <n v="3434"/>
    <m/>
    <n v="17"/>
    <m/>
    <m/>
    <m/>
    <m/>
    <m/>
    <m/>
    <m/>
  </r>
  <r>
    <x v="2"/>
    <x v="317"/>
    <n v="304"/>
    <n v="27942"/>
    <n v="3"/>
    <n v="752"/>
    <n v="1"/>
    <n v="2"/>
    <m/>
    <m/>
    <m/>
    <m/>
    <m/>
  </r>
  <r>
    <x v="3"/>
    <x v="317"/>
    <n v="543"/>
    <n v="37498"/>
    <n v="12"/>
    <n v="559"/>
    <n v="9"/>
    <n v="3"/>
    <m/>
    <m/>
    <m/>
    <m/>
    <m/>
  </r>
  <r>
    <x v="5"/>
    <x v="317"/>
    <n v="770"/>
    <n v="136219"/>
    <n v="15"/>
    <n v="2546"/>
    <n v="8"/>
    <n v="6"/>
    <m/>
    <m/>
    <m/>
    <m/>
    <m/>
  </r>
  <r>
    <x v="6"/>
    <x v="317"/>
    <n v="415"/>
    <n v="14992"/>
    <m/>
    <n v="181"/>
    <m/>
    <m/>
    <m/>
    <m/>
    <m/>
    <m/>
    <m/>
  </r>
  <r>
    <x v="7"/>
    <x v="317"/>
    <n v="539"/>
    <n v="35325"/>
    <n v="2"/>
    <n v="626"/>
    <m/>
    <n v="2"/>
    <m/>
    <m/>
    <m/>
    <m/>
    <m/>
  </r>
  <r>
    <x v="8"/>
    <x v="317"/>
    <n v="75"/>
    <n v="500"/>
    <m/>
    <n v="3"/>
    <m/>
    <m/>
    <m/>
    <m/>
    <m/>
    <m/>
    <m/>
  </r>
  <r>
    <x v="9"/>
    <x v="317"/>
    <n v="23"/>
    <n v="18759"/>
    <m/>
    <n v="860"/>
    <m/>
    <m/>
    <m/>
    <m/>
    <m/>
    <m/>
    <m/>
  </r>
  <r>
    <x v="10"/>
    <x v="317"/>
    <n v="255"/>
    <n v="14539"/>
    <m/>
    <n v="173"/>
    <m/>
    <m/>
    <m/>
    <m/>
    <m/>
    <m/>
    <m/>
  </r>
  <r>
    <x v="11"/>
    <x v="317"/>
    <n v="12"/>
    <n v="9259"/>
    <m/>
    <n v="401"/>
    <m/>
    <m/>
    <m/>
    <m/>
    <m/>
    <m/>
    <m/>
  </r>
  <r>
    <x v="12"/>
    <x v="317"/>
    <n v="162"/>
    <n v="61903"/>
    <n v="7"/>
    <n v="1274"/>
    <n v="2"/>
    <n v="4"/>
    <m/>
    <m/>
    <m/>
    <m/>
    <m/>
  </r>
  <r>
    <x v="13"/>
    <x v="317"/>
    <n v="215"/>
    <n v="1762"/>
    <n v="7"/>
    <n v="33"/>
    <n v="6"/>
    <n v="1"/>
    <m/>
    <m/>
    <m/>
    <m/>
    <m/>
  </r>
  <r>
    <x v="14"/>
    <x v="317"/>
    <n v="532"/>
    <n v="47197"/>
    <m/>
    <n v="754"/>
    <m/>
    <m/>
    <m/>
    <m/>
    <m/>
    <m/>
    <m/>
  </r>
  <r>
    <x v="15"/>
    <x v="317"/>
    <n v="437"/>
    <n v="43077"/>
    <n v="10"/>
    <n v="993"/>
    <n v="5"/>
    <n v="5"/>
    <m/>
    <m/>
    <m/>
    <m/>
    <m/>
  </r>
  <r>
    <x v="16"/>
    <x v="317"/>
    <n v="57"/>
    <n v="22920"/>
    <m/>
    <n v="1025"/>
    <m/>
    <m/>
    <m/>
    <m/>
    <m/>
    <m/>
    <m/>
  </r>
  <r>
    <x v="17"/>
    <x v="317"/>
    <n v="78"/>
    <n v="12917"/>
    <n v="1"/>
    <n v="213"/>
    <n v="1"/>
    <m/>
    <m/>
    <m/>
    <m/>
    <m/>
    <m/>
  </r>
  <r>
    <x v="18"/>
    <x v="317"/>
    <n v="58"/>
    <n v="16760"/>
    <n v="1"/>
    <n v="327"/>
    <n v="1"/>
    <m/>
    <m/>
    <m/>
    <m/>
    <m/>
    <m/>
  </r>
  <r>
    <x v="19"/>
    <x v="317"/>
    <n v="285"/>
    <n v="28537"/>
    <n v="3"/>
    <n v="438"/>
    <n v="1"/>
    <n v="2"/>
    <m/>
    <m/>
    <m/>
    <m/>
    <m/>
  </r>
  <r>
    <x v="20"/>
    <x v="317"/>
    <n v="1395"/>
    <n v="191841"/>
    <n v="19"/>
    <n v="3148"/>
    <n v="13"/>
    <n v="6"/>
    <m/>
    <m/>
    <m/>
    <m/>
    <m/>
  </r>
  <r>
    <x v="21"/>
    <x v="317"/>
    <n v="198"/>
    <n v="19250"/>
    <m/>
    <n v="229"/>
    <m/>
    <m/>
    <m/>
    <m/>
    <m/>
    <m/>
    <m/>
  </r>
  <r>
    <x v="22"/>
    <x v="317"/>
    <n v="72"/>
    <n v="20570"/>
    <n v="3"/>
    <n v="287"/>
    <n v="3"/>
    <m/>
    <m/>
    <m/>
    <m/>
    <m/>
    <m/>
  </r>
  <r>
    <x v="23"/>
    <x v="317"/>
    <n v="231"/>
    <n v="73846"/>
    <m/>
    <n v="1399"/>
    <m/>
    <m/>
    <m/>
    <m/>
    <m/>
    <m/>
    <m/>
  </r>
  <r>
    <x v="0"/>
    <x v="318"/>
    <n v="4742"/>
    <n v="745329"/>
    <n v="41"/>
    <n v="23222"/>
    <n v="23"/>
    <n v="18"/>
    <m/>
    <m/>
    <m/>
    <m/>
    <m/>
  </r>
  <r>
    <x v="4"/>
    <x v="318"/>
    <n v="1306"/>
    <n v="192387"/>
    <n v="6"/>
    <n v="5647"/>
    <n v="3"/>
    <n v="2"/>
    <m/>
    <m/>
    <m/>
    <m/>
    <m/>
  </r>
  <r>
    <x v="1"/>
    <x v="318"/>
    <n v="395"/>
    <n v="3829"/>
    <m/>
    <n v="17"/>
    <m/>
    <m/>
    <m/>
    <m/>
    <m/>
    <m/>
    <m/>
  </r>
  <r>
    <x v="2"/>
    <x v="318"/>
    <n v="226"/>
    <n v="28168"/>
    <n v="3"/>
    <n v="755"/>
    <n v="1"/>
    <n v="2"/>
    <m/>
    <m/>
    <m/>
    <m/>
    <m/>
  </r>
  <r>
    <x v="3"/>
    <x v="318"/>
    <n v="408"/>
    <n v="37906"/>
    <m/>
    <n v="559"/>
    <m/>
    <m/>
    <m/>
    <m/>
    <m/>
    <m/>
    <m/>
  </r>
  <r>
    <x v="5"/>
    <x v="318"/>
    <n v="649"/>
    <n v="136868"/>
    <m/>
    <n v="2546"/>
    <m/>
    <m/>
    <m/>
    <m/>
    <m/>
    <m/>
    <m/>
  </r>
  <r>
    <x v="6"/>
    <x v="318"/>
    <n v="235"/>
    <n v="15227"/>
    <m/>
    <n v="181"/>
    <m/>
    <m/>
    <m/>
    <m/>
    <m/>
    <m/>
    <m/>
  </r>
  <r>
    <x v="7"/>
    <x v="318"/>
    <n v="537"/>
    <n v="35862"/>
    <n v="1"/>
    <n v="627"/>
    <n v="1"/>
    <m/>
    <m/>
    <m/>
    <m/>
    <m/>
    <m/>
  </r>
  <r>
    <x v="8"/>
    <x v="318"/>
    <n v="58"/>
    <n v="558"/>
    <n v="1"/>
    <n v="4"/>
    <n v="1"/>
    <m/>
    <m/>
    <m/>
    <m/>
    <m/>
    <m/>
  </r>
  <r>
    <x v="9"/>
    <x v="318"/>
    <n v="21"/>
    <n v="18780"/>
    <n v="1"/>
    <n v="861"/>
    <n v="1"/>
    <m/>
    <m/>
    <m/>
    <m/>
    <m/>
    <m/>
  </r>
  <r>
    <x v="10"/>
    <x v="318"/>
    <n v="195"/>
    <n v="14734"/>
    <n v="10"/>
    <n v="183"/>
    <n v="5"/>
    <n v="5"/>
    <m/>
    <m/>
    <m/>
    <m/>
    <m/>
  </r>
  <r>
    <x v="11"/>
    <x v="318"/>
    <n v="13"/>
    <n v="9272"/>
    <m/>
    <n v="401"/>
    <m/>
    <m/>
    <m/>
    <m/>
    <m/>
    <m/>
    <m/>
  </r>
  <r>
    <x v="12"/>
    <x v="318"/>
    <n v="135"/>
    <n v="62038"/>
    <n v="4"/>
    <n v="1278"/>
    <n v="2"/>
    <n v="2"/>
    <m/>
    <m/>
    <m/>
    <m/>
    <m/>
  </r>
  <r>
    <x v="13"/>
    <x v="318"/>
    <n v="104"/>
    <n v="1866"/>
    <n v="3"/>
    <n v="36"/>
    <n v="2"/>
    <n v="1"/>
    <m/>
    <m/>
    <m/>
    <m/>
    <m/>
  </r>
  <r>
    <x v="14"/>
    <x v="318"/>
    <n v="515"/>
    <n v="47712"/>
    <n v="1"/>
    <n v="755"/>
    <m/>
    <n v="1"/>
    <m/>
    <m/>
    <m/>
    <m/>
    <m/>
  </r>
  <r>
    <x v="15"/>
    <x v="318"/>
    <n v="334"/>
    <n v="43411"/>
    <n v="4"/>
    <n v="997"/>
    <n v="3"/>
    <n v="1"/>
    <m/>
    <m/>
    <m/>
    <m/>
    <m/>
  </r>
  <r>
    <x v="16"/>
    <x v="318"/>
    <n v="59"/>
    <n v="22979"/>
    <m/>
    <n v="1025"/>
    <m/>
    <m/>
    <m/>
    <m/>
    <m/>
    <m/>
    <m/>
  </r>
  <r>
    <x v="17"/>
    <x v="318"/>
    <n v="111"/>
    <n v="13028"/>
    <n v="1"/>
    <n v="214"/>
    <n v="1"/>
    <m/>
    <m/>
    <m/>
    <m/>
    <m/>
    <m/>
  </r>
  <r>
    <x v="18"/>
    <x v="318"/>
    <n v="33"/>
    <n v="16793"/>
    <n v="1"/>
    <n v="328"/>
    <n v="1"/>
    <m/>
    <m/>
    <m/>
    <m/>
    <m/>
    <m/>
  </r>
  <r>
    <x v="19"/>
    <x v="318"/>
    <n v="332"/>
    <n v="28869"/>
    <n v="10"/>
    <n v="448"/>
    <n v="6"/>
    <n v="3"/>
    <m/>
    <m/>
    <m/>
    <m/>
    <m/>
  </r>
  <r>
    <x v="20"/>
    <x v="318"/>
    <n v="1488"/>
    <n v="193329"/>
    <n v="6"/>
    <n v="3154"/>
    <m/>
    <n v="6"/>
    <m/>
    <m/>
    <m/>
    <m/>
    <m/>
  </r>
  <r>
    <x v="21"/>
    <x v="318"/>
    <n v="92"/>
    <n v="19342"/>
    <m/>
    <n v="229"/>
    <m/>
    <m/>
    <m/>
    <m/>
    <m/>
    <m/>
    <m/>
  </r>
  <r>
    <x v="22"/>
    <x v="318"/>
    <n v="91"/>
    <n v="20661"/>
    <n v="9"/>
    <n v="296"/>
    <n v="2"/>
    <n v="7"/>
    <m/>
    <m/>
    <m/>
    <m/>
    <m/>
  </r>
  <r>
    <x v="23"/>
    <x v="318"/>
    <n v="253"/>
    <n v="74099"/>
    <n v="1"/>
    <n v="1400"/>
    <m/>
    <n v="1"/>
    <m/>
    <m/>
    <m/>
    <m/>
    <m/>
  </r>
  <r>
    <x v="0"/>
    <x v="319"/>
    <n v="3531"/>
    <n v="748860"/>
    <n v="21"/>
    <n v="23243"/>
    <n v="12"/>
    <n v="9"/>
    <m/>
    <m/>
    <m/>
    <m/>
    <m/>
  </r>
  <r>
    <x v="4"/>
    <x v="319"/>
    <n v="1144"/>
    <n v="193531"/>
    <n v="6"/>
    <n v="5653"/>
    <n v="2"/>
    <n v="4"/>
    <m/>
    <m/>
    <m/>
    <m/>
    <m/>
  </r>
  <r>
    <x v="1"/>
    <x v="319"/>
    <n v="235"/>
    <n v="4064"/>
    <m/>
    <n v="17"/>
    <m/>
    <m/>
    <m/>
    <m/>
    <m/>
    <m/>
    <m/>
  </r>
  <r>
    <x v="2"/>
    <x v="319"/>
    <n v="170"/>
    <n v="28338"/>
    <n v="1"/>
    <n v="756"/>
    <m/>
    <n v="1"/>
    <m/>
    <m/>
    <m/>
    <m/>
    <m/>
  </r>
  <r>
    <x v="3"/>
    <x v="319"/>
    <n v="181"/>
    <n v="38087"/>
    <n v="2"/>
    <n v="561"/>
    <m/>
    <n v="2"/>
    <m/>
    <m/>
    <m/>
    <m/>
    <m/>
  </r>
  <r>
    <x v="5"/>
    <x v="319"/>
    <n v="536"/>
    <n v="137404"/>
    <n v="4"/>
    <n v="2550"/>
    <n v="3"/>
    <n v="1"/>
    <m/>
    <m/>
    <m/>
    <m/>
    <m/>
  </r>
  <r>
    <x v="6"/>
    <x v="319"/>
    <n v="78"/>
    <n v="15305"/>
    <m/>
    <n v="181"/>
    <m/>
    <m/>
    <m/>
    <m/>
    <m/>
    <m/>
    <m/>
  </r>
  <r>
    <x v="7"/>
    <x v="319"/>
    <n v="314"/>
    <n v="36176"/>
    <n v="5"/>
    <n v="632"/>
    <n v="3"/>
    <n v="2"/>
    <m/>
    <m/>
    <m/>
    <m/>
    <m/>
  </r>
  <r>
    <x v="8"/>
    <x v="319"/>
    <n v="29"/>
    <n v="587"/>
    <m/>
    <n v="4"/>
    <m/>
    <m/>
    <m/>
    <m/>
    <m/>
    <m/>
    <m/>
  </r>
  <r>
    <x v="9"/>
    <x v="319"/>
    <n v="21"/>
    <n v="18801"/>
    <n v="2"/>
    <n v="863"/>
    <n v="1"/>
    <n v="1"/>
    <m/>
    <m/>
    <m/>
    <m/>
    <m/>
  </r>
  <r>
    <x v="10"/>
    <x v="319"/>
    <n v="110"/>
    <n v="14844"/>
    <n v="1"/>
    <n v="184"/>
    <m/>
    <n v="1"/>
    <m/>
    <m/>
    <m/>
    <m/>
    <m/>
  </r>
  <r>
    <x v="11"/>
    <x v="319"/>
    <n v="12"/>
    <n v="9284"/>
    <m/>
    <n v="401"/>
    <m/>
    <m/>
    <m/>
    <m/>
    <m/>
    <m/>
    <m/>
  </r>
  <r>
    <x v="12"/>
    <x v="319"/>
    <n v="135"/>
    <n v="62173"/>
    <n v="5"/>
    <n v="1283"/>
    <n v="5"/>
    <m/>
    <m/>
    <m/>
    <m/>
    <m/>
    <m/>
  </r>
  <r>
    <x v="13"/>
    <x v="319"/>
    <n v="144"/>
    <n v="2010"/>
    <n v="3"/>
    <n v="39"/>
    <n v="3"/>
    <m/>
    <m/>
    <m/>
    <m/>
    <m/>
    <m/>
  </r>
  <r>
    <x v="14"/>
    <x v="319"/>
    <n v="280"/>
    <n v="47992"/>
    <m/>
    <n v="755"/>
    <m/>
    <m/>
    <m/>
    <m/>
    <m/>
    <m/>
    <m/>
  </r>
  <r>
    <x v="15"/>
    <x v="319"/>
    <n v="296"/>
    <n v="43707"/>
    <n v="1"/>
    <n v="998"/>
    <n v="1"/>
    <m/>
    <m/>
    <m/>
    <m/>
    <m/>
    <m/>
  </r>
  <r>
    <x v="16"/>
    <x v="319"/>
    <n v="64"/>
    <n v="23043"/>
    <m/>
    <n v="1025"/>
    <m/>
    <m/>
    <m/>
    <m/>
    <m/>
    <m/>
    <m/>
  </r>
  <r>
    <x v="17"/>
    <x v="319"/>
    <n v="60"/>
    <n v="13088"/>
    <m/>
    <n v="214"/>
    <m/>
    <m/>
    <m/>
    <m/>
    <m/>
    <m/>
    <m/>
  </r>
  <r>
    <x v="18"/>
    <x v="319"/>
    <n v="24"/>
    <n v="16817"/>
    <m/>
    <n v="328"/>
    <m/>
    <m/>
    <m/>
    <m/>
    <m/>
    <m/>
    <m/>
  </r>
  <r>
    <x v="19"/>
    <x v="319"/>
    <n v="244"/>
    <n v="29113"/>
    <n v="2"/>
    <n v="450"/>
    <n v="1"/>
    <n v="1"/>
    <m/>
    <m/>
    <m/>
    <m/>
    <m/>
  </r>
  <r>
    <x v="20"/>
    <x v="319"/>
    <n v="1078"/>
    <n v="194407"/>
    <n v="12"/>
    <n v="3166"/>
    <n v="6"/>
    <n v="6"/>
    <m/>
    <m/>
    <m/>
    <m/>
    <m/>
  </r>
  <r>
    <x v="21"/>
    <x v="319"/>
    <n v="113"/>
    <n v="19455"/>
    <m/>
    <n v="229"/>
    <m/>
    <m/>
    <m/>
    <m/>
    <m/>
    <m/>
    <m/>
  </r>
  <r>
    <x v="22"/>
    <x v="319"/>
    <n v="39"/>
    <n v="20700"/>
    <n v="3"/>
    <n v="299"/>
    <n v="2"/>
    <n v="1"/>
    <m/>
    <m/>
    <m/>
    <m/>
    <m/>
  </r>
  <r>
    <x v="23"/>
    <x v="319"/>
    <n v="94"/>
    <n v="74193"/>
    <m/>
    <n v="1400"/>
    <m/>
    <m/>
    <m/>
    <m/>
    <m/>
    <m/>
    <m/>
  </r>
  <r>
    <x v="0"/>
    <x v="320"/>
    <n v="2598"/>
    <n v="751458"/>
    <n v="76"/>
    <n v="23319"/>
    <n v="35"/>
    <n v="40"/>
    <m/>
    <m/>
    <m/>
    <m/>
    <m/>
  </r>
  <r>
    <x v="4"/>
    <x v="320"/>
    <n v="1157"/>
    <n v="194688"/>
    <n v="8"/>
    <n v="5661"/>
    <n v="4"/>
    <n v="2"/>
    <m/>
    <m/>
    <m/>
    <m/>
    <m/>
  </r>
  <r>
    <x v="1"/>
    <x v="320"/>
    <n v="117"/>
    <n v="4181"/>
    <m/>
    <n v="17"/>
    <m/>
    <m/>
    <m/>
    <m/>
    <m/>
    <m/>
    <m/>
  </r>
  <r>
    <x v="2"/>
    <x v="320"/>
    <n v="173"/>
    <n v="28511"/>
    <n v="1"/>
    <n v="757"/>
    <n v="1"/>
    <m/>
    <m/>
    <m/>
    <m/>
    <m/>
    <m/>
  </r>
  <r>
    <x v="3"/>
    <x v="320"/>
    <n v="151"/>
    <n v="38238"/>
    <n v="1"/>
    <n v="562"/>
    <n v="1"/>
    <m/>
    <m/>
    <m/>
    <m/>
    <m/>
    <m/>
  </r>
  <r>
    <x v="5"/>
    <x v="320"/>
    <n v="336"/>
    <n v="137740"/>
    <n v="1"/>
    <n v="2551"/>
    <m/>
    <n v="1"/>
    <m/>
    <m/>
    <m/>
    <m/>
    <m/>
  </r>
  <r>
    <x v="6"/>
    <x v="320"/>
    <n v="162"/>
    <n v="15467"/>
    <n v="1"/>
    <n v="182"/>
    <m/>
    <n v="1"/>
    <m/>
    <m/>
    <m/>
    <m/>
    <m/>
  </r>
  <r>
    <x v="7"/>
    <x v="320"/>
    <n v="315"/>
    <n v="36491"/>
    <n v="3"/>
    <n v="635"/>
    <n v="2"/>
    <m/>
    <m/>
    <m/>
    <m/>
    <m/>
    <m/>
  </r>
  <r>
    <x v="8"/>
    <x v="320"/>
    <n v="76"/>
    <n v="663"/>
    <n v="2"/>
    <n v="6"/>
    <n v="1"/>
    <m/>
    <m/>
    <m/>
    <m/>
    <m/>
    <m/>
  </r>
  <r>
    <x v="9"/>
    <x v="320"/>
    <n v="60"/>
    <n v="18861"/>
    <m/>
    <n v="863"/>
    <m/>
    <m/>
    <m/>
    <m/>
    <m/>
    <m/>
    <m/>
  </r>
  <r>
    <x v="10"/>
    <x v="320"/>
    <n v="151"/>
    <n v="14995"/>
    <n v="3"/>
    <n v="187"/>
    <n v="2"/>
    <n v="1"/>
    <m/>
    <m/>
    <m/>
    <m/>
    <m/>
  </r>
  <r>
    <x v="11"/>
    <x v="320"/>
    <n v="24"/>
    <n v="9308"/>
    <m/>
    <n v="401"/>
    <m/>
    <m/>
    <m/>
    <m/>
    <m/>
    <m/>
    <m/>
  </r>
  <r>
    <x v="12"/>
    <x v="320"/>
    <n v="47"/>
    <n v="62220"/>
    <n v="3"/>
    <n v="1286"/>
    <n v="2"/>
    <n v="1"/>
    <m/>
    <m/>
    <m/>
    <m/>
    <m/>
  </r>
  <r>
    <x v="13"/>
    <x v="320"/>
    <n v="170"/>
    <n v="2180"/>
    <m/>
    <n v="39"/>
    <m/>
    <m/>
    <m/>
    <m/>
    <m/>
    <m/>
    <m/>
  </r>
  <r>
    <x v="14"/>
    <x v="320"/>
    <n v="218"/>
    <n v="48210"/>
    <m/>
    <n v="755"/>
    <m/>
    <m/>
    <m/>
    <m/>
    <m/>
    <m/>
    <m/>
  </r>
  <r>
    <x v="15"/>
    <x v="320"/>
    <n v="177"/>
    <n v="43884"/>
    <n v="4"/>
    <n v="1002"/>
    <n v="2"/>
    <n v="2"/>
    <m/>
    <m/>
    <m/>
    <m/>
    <m/>
  </r>
  <r>
    <x v="16"/>
    <x v="320"/>
    <n v="42"/>
    <n v="23085"/>
    <m/>
    <n v="1025"/>
    <m/>
    <m/>
    <m/>
    <m/>
    <m/>
    <m/>
    <m/>
  </r>
  <r>
    <x v="17"/>
    <x v="320"/>
    <n v="3"/>
    <n v="13091"/>
    <m/>
    <n v="214"/>
    <m/>
    <m/>
    <m/>
    <m/>
    <m/>
    <m/>
    <m/>
  </r>
  <r>
    <x v="18"/>
    <x v="320"/>
    <n v="58"/>
    <n v="16875"/>
    <m/>
    <n v="328"/>
    <m/>
    <m/>
    <m/>
    <m/>
    <m/>
    <m/>
    <m/>
  </r>
  <r>
    <x v="19"/>
    <x v="320"/>
    <n v="266"/>
    <n v="29379"/>
    <n v="1"/>
    <n v="451"/>
    <n v="1"/>
    <m/>
    <m/>
    <m/>
    <m/>
    <m/>
    <m/>
  </r>
  <r>
    <x v="20"/>
    <x v="320"/>
    <n v="655"/>
    <n v="195062"/>
    <n v="7"/>
    <n v="3173"/>
    <m/>
    <n v="6"/>
    <m/>
    <m/>
    <m/>
    <m/>
    <m/>
  </r>
  <r>
    <x v="21"/>
    <x v="320"/>
    <n v="144"/>
    <n v="19599"/>
    <m/>
    <n v="229"/>
    <m/>
    <m/>
    <m/>
    <m/>
    <m/>
    <m/>
    <m/>
  </r>
  <r>
    <x v="22"/>
    <x v="320"/>
    <n v="60"/>
    <n v="20760"/>
    <m/>
    <n v="299"/>
    <m/>
    <m/>
    <m/>
    <m/>
    <m/>
    <m/>
    <m/>
  </r>
  <r>
    <x v="23"/>
    <x v="320"/>
    <n v="104"/>
    <n v="74297"/>
    <n v="1"/>
    <n v="1401"/>
    <n v="1"/>
    <m/>
    <m/>
    <m/>
    <m/>
    <m/>
    <m/>
  </r>
  <r>
    <x v="0"/>
    <x v="321"/>
    <n v="2987"/>
    <n v="754445"/>
    <n v="248"/>
    <n v="23567"/>
    <n v="10"/>
    <n v="98"/>
    <m/>
    <m/>
    <m/>
    <m/>
    <m/>
  </r>
  <r>
    <x v="4"/>
    <x v="321"/>
    <n v="1210"/>
    <n v="195898"/>
    <n v="40"/>
    <n v="5701"/>
    <n v="4"/>
    <n v="13"/>
    <m/>
    <m/>
    <m/>
    <m/>
    <m/>
  </r>
  <r>
    <x v="1"/>
    <x v="321"/>
    <n v="59"/>
    <n v="4240"/>
    <m/>
    <n v="17"/>
    <m/>
    <m/>
    <m/>
    <m/>
    <m/>
    <m/>
    <m/>
  </r>
  <r>
    <x v="2"/>
    <x v="321"/>
    <n v="141"/>
    <n v="28652"/>
    <n v="8"/>
    <n v="765"/>
    <n v="2"/>
    <n v="6"/>
    <m/>
    <m/>
    <m/>
    <m/>
    <m/>
  </r>
  <r>
    <x v="3"/>
    <x v="321"/>
    <n v="183"/>
    <n v="38421"/>
    <n v="1"/>
    <n v="563"/>
    <n v="1"/>
    <m/>
    <m/>
    <m/>
    <m/>
    <m/>
    <m/>
  </r>
  <r>
    <x v="6"/>
    <x v="321"/>
    <n v="94"/>
    <n v="15561"/>
    <m/>
    <n v="2551"/>
    <m/>
    <m/>
    <m/>
    <m/>
    <m/>
    <m/>
    <m/>
  </r>
  <r>
    <x v="5"/>
    <x v="321"/>
    <n v="343"/>
    <n v="138083"/>
    <n v="11"/>
    <n v="193"/>
    <n v="3"/>
    <n v="8"/>
    <m/>
    <m/>
    <m/>
    <m/>
    <m/>
  </r>
  <r>
    <x v="7"/>
    <x v="321"/>
    <n v="241"/>
    <n v="36732"/>
    <n v="5"/>
    <n v="640"/>
    <n v="2"/>
    <n v="3"/>
    <m/>
    <m/>
    <m/>
    <m/>
    <m/>
  </r>
  <r>
    <x v="8"/>
    <x v="321"/>
    <n v="13"/>
    <n v="676"/>
    <m/>
    <n v="6"/>
    <m/>
    <m/>
    <m/>
    <m/>
    <m/>
    <m/>
    <m/>
  </r>
  <r>
    <x v="9"/>
    <x v="321"/>
    <n v="56"/>
    <n v="18917"/>
    <m/>
    <n v="863"/>
    <m/>
    <m/>
    <m/>
    <m/>
    <m/>
    <m/>
    <m/>
  </r>
  <r>
    <x v="10"/>
    <x v="321"/>
    <n v="133"/>
    <n v="15128"/>
    <n v="17"/>
    <n v="204"/>
    <n v="2"/>
    <n v="8"/>
    <m/>
    <m/>
    <m/>
    <m/>
    <m/>
  </r>
  <r>
    <x v="11"/>
    <x v="321"/>
    <n v="12"/>
    <n v="9320"/>
    <n v="1"/>
    <n v="402"/>
    <n v="1"/>
    <m/>
    <m/>
    <m/>
    <m/>
    <m/>
    <m/>
  </r>
  <r>
    <x v="12"/>
    <x v="321"/>
    <n v="71"/>
    <n v="62291"/>
    <n v="9"/>
    <n v="1295"/>
    <n v="1"/>
    <n v="6"/>
    <m/>
    <m/>
    <m/>
    <m/>
    <m/>
  </r>
  <r>
    <x v="13"/>
    <x v="321"/>
    <n v="148"/>
    <n v="2328"/>
    <n v="6"/>
    <n v="45"/>
    <n v="2"/>
    <n v="4"/>
    <m/>
    <m/>
    <m/>
    <m/>
    <m/>
  </r>
  <r>
    <x v="14"/>
    <x v="321"/>
    <n v="469"/>
    <n v="48679"/>
    <n v="1"/>
    <n v="756"/>
    <n v="1"/>
    <m/>
    <m/>
    <m/>
    <m/>
    <m/>
    <m/>
  </r>
  <r>
    <x v="15"/>
    <x v="321"/>
    <n v="276"/>
    <n v="44160"/>
    <n v="2"/>
    <n v="1004"/>
    <n v="1"/>
    <n v="1"/>
    <m/>
    <m/>
    <m/>
    <m/>
    <m/>
  </r>
  <r>
    <x v="16"/>
    <x v="321"/>
    <n v="22"/>
    <n v="23107"/>
    <n v="2"/>
    <n v="1027"/>
    <n v="2"/>
    <m/>
    <m/>
    <m/>
    <m/>
    <m/>
    <m/>
  </r>
  <r>
    <x v="17"/>
    <x v="321"/>
    <n v="78"/>
    <n v="13169"/>
    <n v="2"/>
    <n v="216"/>
    <n v="2"/>
    <m/>
    <m/>
    <m/>
    <m/>
    <m/>
    <m/>
  </r>
  <r>
    <x v="18"/>
    <x v="321"/>
    <n v="89"/>
    <n v="16964"/>
    <m/>
    <n v="328"/>
    <m/>
    <m/>
    <m/>
    <m/>
    <m/>
    <m/>
    <m/>
  </r>
  <r>
    <x v="19"/>
    <x v="321"/>
    <n v="299"/>
    <n v="29678"/>
    <n v="13"/>
    <n v="464"/>
    <n v="4"/>
    <n v="10"/>
    <m/>
    <m/>
    <m/>
    <m/>
    <m/>
  </r>
  <r>
    <x v="20"/>
    <x v="321"/>
    <n v="855"/>
    <n v="195917"/>
    <n v="37"/>
    <n v="3210"/>
    <n v="19"/>
    <n v="18"/>
    <m/>
    <m/>
    <m/>
    <m/>
    <m/>
  </r>
  <r>
    <x v="21"/>
    <x v="321"/>
    <n v="102"/>
    <n v="19701"/>
    <n v="9"/>
    <n v="238"/>
    <n v="4"/>
    <n v="5"/>
    <m/>
    <m/>
    <m/>
    <m/>
    <m/>
  </r>
  <r>
    <x v="22"/>
    <x v="321"/>
    <n v="125"/>
    <n v="20885"/>
    <n v="5"/>
    <n v="304"/>
    <n v="1"/>
    <n v="4"/>
    <m/>
    <m/>
    <m/>
    <m/>
    <m/>
  </r>
  <r>
    <x v="23"/>
    <x v="321"/>
    <n v="179"/>
    <n v="74476"/>
    <n v="5"/>
    <n v="1406"/>
    <n v="1"/>
    <n v="4"/>
    <m/>
    <m/>
    <m/>
    <m/>
    <m/>
  </r>
  <r>
    <x v="0"/>
    <x v="322"/>
    <n v="5123"/>
    <n v="759568"/>
    <n v="124"/>
    <n v="23691"/>
    <n v="70"/>
    <n v="56"/>
    <m/>
    <m/>
    <m/>
    <m/>
    <m/>
  </r>
  <r>
    <x v="4"/>
    <x v="322"/>
    <n v="1388"/>
    <n v="197286"/>
    <n v="9"/>
    <n v="5710"/>
    <n v="1"/>
    <n v="6"/>
    <m/>
    <m/>
    <m/>
    <m/>
    <m/>
  </r>
  <r>
    <x v="1"/>
    <x v="322"/>
    <n v="154"/>
    <n v="4394"/>
    <m/>
    <n v="17"/>
    <m/>
    <m/>
    <m/>
    <m/>
    <m/>
    <m/>
    <m/>
  </r>
  <r>
    <x v="2"/>
    <x v="322"/>
    <n v="212"/>
    <n v="28864"/>
    <n v="2"/>
    <n v="767"/>
    <n v="2"/>
    <m/>
    <m/>
    <m/>
    <m/>
    <m/>
    <m/>
  </r>
  <r>
    <x v="3"/>
    <x v="322"/>
    <n v="349"/>
    <n v="38770"/>
    <n v="5"/>
    <n v="568"/>
    <n v="4"/>
    <n v="1"/>
    <m/>
    <m/>
    <m/>
    <m/>
    <m/>
  </r>
  <r>
    <x v="6"/>
    <x v="322"/>
    <n v="90"/>
    <n v="15651"/>
    <n v="2"/>
    <n v="2553"/>
    <n v="2"/>
    <m/>
    <m/>
    <m/>
    <m/>
    <m/>
    <m/>
  </r>
  <r>
    <x v="5"/>
    <x v="322"/>
    <n v="668"/>
    <n v="138751"/>
    <n v="8"/>
    <n v="201"/>
    <n v="7"/>
    <n v="1"/>
    <m/>
    <m/>
    <m/>
    <m/>
    <m/>
  </r>
  <r>
    <x v="7"/>
    <x v="322"/>
    <n v="445"/>
    <n v="37177"/>
    <n v="7"/>
    <n v="647"/>
    <n v="6"/>
    <n v="1"/>
    <m/>
    <m/>
    <m/>
    <m/>
    <m/>
  </r>
  <r>
    <x v="8"/>
    <x v="322"/>
    <n v="8"/>
    <n v="684"/>
    <m/>
    <n v="6"/>
    <m/>
    <m/>
    <m/>
    <m/>
    <m/>
    <m/>
    <m/>
  </r>
  <r>
    <x v="9"/>
    <x v="322"/>
    <n v="25"/>
    <n v="18942"/>
    <n v="1"/>
    <n v="864"/>
    <m/>
    <n v="1"/>
    <m/>
    <m/>
    <m/>
    <m/>
    <m/>
  </r>
  <r>
    <x v="10"/>
    <x v="322"/>
    <n v="157"/>
    <n v="15285"/>
    <n v="1"/>
    <n v="205"/>
    <n v="1"/>
    <m/>
    <m/>
    <m/>
    <m/>
    <m/>
    <m/>
  </r>
  <r>
    <x v="11"/>
    <x v="322"/>
    <n v="9"/>
    <n v="9329"/>
    <m/>
    <n v="402"/>
    <m/>
    <m/>
    <m/>
    <m/>
    <m/>
    <m/>
    <m/>
  </r>
  <r>
    <x v="12"/>
    <x v="322"/>
    <n v="148"/>
    <n v="62439"/>
    <n v="3"/>
    <n v="1298"/>
    <n v="1"/>
    <n v="2"/>
    <m/>
    <m/>
    <m/>
    <m/>
    <m/>
  </r>
  <r>
    <x v="13"/>
    <x v="322"/>
    <n v="238"/>
    <n v="2566"/>
    <n v="4"/>
    <n v="49"/>
    <n v="4"/>
    <m/>
    <m/>
    <m/>
    <m/>
    <m/>
    <m/>
  </r>
  <r>
    <x v="14"/>
    <x v="322"/>
    <n v="417"/>
    <n v="49096"/>
    <n v="1"/>
    <n v="757"/>
    <m/>
    <n v="1"/>
    <m/>
    <m/>
    <m/>
    <m/>
    <m/>
  </r>
  <r>
    <x v="15"/>
    <x v="322"/>
    <n v="405"/>
    <n v="44565"/>
    <n v="4"/>
    <n v="1008"/>
    <n v="1"/>
    <n v="3"/>
    <m/>
    <m/>
    <m/>
    <m/>
    <m/>
  </r>
  <r>
    <x v="16"/>
    <x v="322"/>
    <n v="45"/>
    <n v="23152"/>
    <n v="3"/>
    <n v="1030"/>
    <n v="1"/>
    <n v="2"/>
    <m/>
    <m/>
    <m/>
    <m/>
    <m/>
  </r>
  <r>
    <x v="17"/>
    <x v="322"/>
    <n v="87"/>
    <n v="13256"/>
    <m/>
    <n v="216"/>
    <m/>
    <m/>
    <m/>
    <m/>
    <m/>
    <m/>
    <m/>
  </r>
  <r>
    <x v="18"/>
    <x v="322"/>
    <n v="94"/>
    <n v="17058"/>
    <n v="2"/>
    <n v="330"/>
    <n v="2"/>
    <m/>
    <m/>
    <m/>
    <m/>
    <m/>
    <m/>
  </r>
  <r>
    <x v="19"/>
    <x v="322"/>
    <n v="437"/>
    <n v="30115"/>
    <n v="5"/>
    <n v="469"/>
    <n v="4"/>
    <n v="1"/>
    <m/>
    <m/>
    <m/>
    <m/>
    <m/>
  </r>
  <r>
    <x v="20"/>
    <x v="322"/>
    <n v="1206"/>
    <n v="197123"/>
    <n v="46"/>
    <n v="3256"/>
    <n v="25"/>
    <n v="21"/>
    <m/>
    <m/>
    <m/>
    <m/>
    <m/>
  </r>
  <r>
    <x v="21"/>
    <x v="322"/>
    <n v="92"/>
    <n v="19793"/>
    <n v="1"/>
    <n v="239"/>
    <m/>
    <n v="1"/>
    <m/>
    <m/>
    <m/>
    <m/>
    <m/>
  </r>
  <r>
    <x v="22"/>
    <x v="322"/>
    <n v="140"/>
    <n v="21025"/>
    <n v="2"/>
    <n v="306"/>
    <n v="2"/>
    <m/>
    <m/>
    <m/>
    <m/>
    <m/>
    <m/>
  </r>
  <r>
    <x v="23"/>
    <x v="322"/>
    <n v="204"/>
    <n v="74680"/>
    <n v="5"/>
    <n v="1411"/>
    <n v="4"/>
    <n v="1"/>
    <m/>
    <m/>
    <m/>
    <m/>
    <m/>
  </r>
  <r>
    <x v="0"/>
    <x v="323"/>
    <n v="4898"/>
    <n v="764466"/>
    <n v="69"/>
    <n v="23760"/>
    <m/>
    <m/>
    <m/>
    <m/>
    <m/>
    <m/>
    <m/>
  </r>
  <r>
    <x v="4"/>
    <x v="323"/>
    <n v="1272"/>
    <n v="198558"/>
    <n v="22"/>
    <n v="5732"/>
    <m/>
    <m/>
    <m/>
    <m/>
    <m/>
    <m/>
    <m/>
  </r>
  <r>
    <x v="1"/>
    <x v="323"/>
    <n v="88"/>
    <n v="4482"/>
    <m/>
    <n v="17"/>
    <m/>
    <m/>
    <m/>
    <m/>
    <m/>
    <m/>
    <m/>
  </r>
  <r>
    <x v="2"/>
    <x v="323"/>
    <n v="178"/>
    <n v="29042"/>
    <n v="4"/>
    <n v="771"/>
    <m/>
    <m/>
    <m/>
    <m/>
    <m/>
    <m/>
    <m/>
  </r>
  <r>
    <x v="3"/>
    <x v="323"/>
    <n v="341"/>
    <n v="39111"/>
    <n v="2"/>
    <n v="570"/>
    <m/>
    <m/>
    <m/>
    <m/>
    <m/>
    <m/>
    <m/>
  </r>
  <r>
    <x v="6"/>
    <x v="323"/>
    <n v="123"/>
    <n v="15774"/>
    <n v="1"/>
    <n v="2554"/>
    <m/>
    <m/>
    <m/>
    <m/>
    <m/>
    <m/>
    <m/>
  </r>
  <r>
    <x v="5"/>
    <x v="323"/>
    <n v="694"/>
    <n v="139445"/>
    <n v="6"/>
    <n v="207"/>
    <m/>
    <m/>
    <m/>
    <m/>
    <m/>
    <m/>
    <m/>
  </r>
  <r>
    <x v="7"/>
    <x v="323"/>
    <n v="548"/>
    <n v="37725"/>
    <n v="6"/>
    <n v="653"/>
    <m/>
    <m/>
    <m/>
    <m/>
    <m/>
    <m/>
    <m/>
  </r>
  <r>
    <x v="8"/>
    <x v="323"/>
    <n v="16"/>
    <n v="700"/>
    <m/>
    <n v="6"/>
    <m/>
    <m/>
    <m/>
    <m/>
    <m/>
    <m/>
    <m/>
  </r>
  <r>
    <x v="9"/>
    <x v="323"/>
    <n v="39"/>
    <n v="18981"/>
    <m/>
    <n v="864"/>
    <m/>
    <m/>
    <m/>
    <m/>
    <m/>
    <m/>
    <m/>
  </r>
  <r>
    <x v="10"/>
    <x v="323"/>
    <n v="121"/>
    <n v="15406"/>
    <n v="4"/>
    <n v="209"/>
    <m/>
    <m/>
    <m/>
    <m/>
    <m/>
    <m/>
    <m/>
  </r>
  <r>
    <x v="11"/>
    <x v="323"/>
    <n v="30"/>
    <n v="9359"/>
    <m/>
    <n v="402"/>
    <m/>
    <m/>
    <m/>
    <m/>
    <m/>
    <m/>
    <m/>
  </r>
  <r>
    <x v="12"/>
    <x v="323"/>
    <n v="198"/>
    <n v="62637"/>
    <n v="4"/>
    <n v="1302"/>
    <m/>
    <m/>
    <m/>
    <m/>
    <m/>
    <m/>
    <m/>
  </r>
  <r>
    <x v="13"/>
    <x v="323"/>
    <n v="193"/>
    <n v="2759"/>
    <n v="4"/>
    <n v="53"/>
    <m/>
    <m/>
    <m/>
    <m/>
    <m/>
    <m/>
    <m/>
  </r>
  <r>
    <x v="14"/>
    <x v="323"/>
    <n v="533"/>
    <n v="49629"/>
    <m/>
    <n v="757"/>
    <m/>
    <m/>
    <m/>
    <m/>
    <m/>
    <m/>
    <m/>
  </r>
  <r>
    <x v="15"/>
    <x v="323"/>
    <n v="442"/>
    <n v="45007"/>
    <n v="2"/>
    <n v="1010"/>
    <m/>
    <m/>
    <m/>
    <m/>
    <m/>
    <m/>
    <m/>
  </r>
  <r>
    <x v="16"/>
    <x v="323"/>
    <n v="77"/>
    <n v="23229"/>
    <m/>
    <n v="1030"/>
    <m/>
    <m/>
    <m/>
    <m/>
    <m/>
    <m/>
    <m/>
  </r>
  <r>
    <x v="17"/>
    <x v="323"/>
    <n v="96"/>
    <n v="13352"/>
    <m/>
    <n v="216"/>
    <m/>
    <m/>
    <m/>
    <m/>
    <m/>
    <m/>
    <m/>
  </r>
  <r>
    <x v="18"/>
    <x v="323"/>
    <n v="104"/>
    <n v="17162"/>
    <n v="3"/>
    <n v="333"/>
    <m/>
    <m/>
    <m/>
    <m/>
    <m/>
    <m/>
    <m/>
  </r>
  <r>
    <x v="19"/>
    <x v="323"/>
    <n v="494"/>
    <n v="30609"/>
    <n v="4"/>
    <n v="473"/>
    <m/>
    <m/>
    <m/>
    <m/>
    <m/>
    <m/>
    <m/>
  </r>
  <r>
    <x v="20"/>
    <x v="323"/>
    <n v="1222"/>
    <n v="198345"/>
    <n v="13"/>
    <n v="3269"/>
    <m/>
    <m/>
    <m/>
    <m/>
    <m/>
    <m/>
    <m/>
  </r>
  <r>
    <x v="21"/>
    <x v="323"/>
    <n v="166"/>
    <n v="19959"/>
    <m/>
    <n v="239"/>
    <m/>
    <m/>
    <m/>
    <m/>
    <m/>
    <m/>
    <m/>
  </r>
  <r>
    <x v="22"/>
    <x v="323"/>
    <n v="91"/>
    <n v="21116"/>
    <n v="1"/>
    <n v="307"/>
    <m/>
    <m/>
    <m/>
    <m/>
    <m/>
    <m/>
    <m/>
  </r>
  <r>
    <x v="23"/>
    <x v="323"/>
    <n v="148"/>
    <n v="74828"/>
    <n v="4"/>
    <n v="1415"/>
    <m/>
    <m/>
    <m/>
    <m/>
    <m/>
    <m/>
    <m/>
  </r>
  <r>
    <x v="0"/>
    <x v="324"/>
    <n v="4630"/>
    <n v="769096"/>
    <n v="45"/>
    <n v="23805"/>
    <m/>
    <m/>
    <m/>
    <m/>
    <m/>
    <m/>
    <m/>
  </r>
  <r>
    <x v="4"/>
    <x v="324"/>
    <n v="1265"/>
    <n v="199823"/>
    <n v="25"/>
    <n v="5757"/>
    <m/>
    <m/>
    <m/>
    <m/>
    <m/>
    <m/>
    <m/>
  </r>
  <r>
    <x v="1"/>
    <x v="324"/>
    <n v="95"/>
    <n v="4577"/>
    <m/>
    <n v="17"/>
    <m/>
    <m/>
    <m/>
    <m/>
    <m/>
    <m/>
    <m/>
  </r>
  <r>
    <x v="2"/>
    <x v="324"/>
    <n v="281"/>
    <n v="29323"/>
    <m/>
    <n v="771"/>
    <m/>
    <m/>
    <m/>
    <m/>
    <m/>
    <m/>
    <m/>
  </r>
  <r>
    <x v="3"/>
    <x v="324"/>
    <n v="381"/>
    <n v="39492"/>
    <n v="8"/>
    <n v="578"/>
    <m/>
    <m/>
    <m/>
    <m/>
    <m/>
    <m/>
    <m/>
  </r>
  <r>
    <x v="6"/>
    <x v="324"/>
    <n v="135"/>
    <n v="15909"/>
    <n v="4"/>
    <n v="2558"/>
    <m/>
    <m/>
    <m/>
    <m/>
    <m/>
    <m/>
    <m/>
  </r>
  <r>
    <x v="5"/>
    <x v="324"/>
    <n v="649"/>
    <n v="140094"/>
    <n v="7"/>
    <n v="214"/>
    <m/>
    <m/>
    <m/>
    <m/>
    <m/>
    <m/>
    <m/>
  </r>
  <r>
    <x v="7"/>
    <x v="324"/>
    <n v="445"/>
    <n v="38170"/>
    <n v="6"/>
    <n v="659"/>
    <m/>
    <m/>
    <m/>
    <m/>
    <m/>
    <m/>
    <m/>
  </r>
  <r>
    <x v="8"/>
    <x v="324"/>
    <n v="59"/>
    <n v="759"/>
    <m/>
    <n v="6"/>
    <m/>
    <m/>
    <m/>
    <m/>
    <m/>
    <m/>
    <m/>
  </r>
  <r>
    <x v="9"/>
    <x v="324"/>
    <n v="45"/>
    <n v="19026"/>
    <m/>
    <n v="864"/>
    <m/>
    <m/>
    <m/>
    <m/>
    <m/>
    <m/>
    <m/>
  </r>
  <r>
    <x v="10"/>
    <x v="324"/>
    <n v="139"/>
    <n v="15545"/>
    <m/>
    <n v="209"/>
    <m/>
    <m/>
    <m/>
    <m/>
    <m/>
    <m/>
    <m/>
  </r>
  <r>
    <x v="11"/>
    <x v="324"/>
    <n v="19"/>
    <n v="9378"/>
    <m/>
    <n v="402"/>
    <m/>
    <m/>
    <m/>
    <m/>
    <m/>
    <m/>
    <m/>
  </r>
  <r>
    <x v="12"/>
    <x v="324"/>
    <n v="172"/>
    <n v="62809"/>
    <n v="9"/>
    <n v="1311"/>
    <m/>
    <m/>
    <m/>
    <m/>
    <m/>
    <m/>
    <m/>
  </r>
  <r>
    <x v="13"/>
    <x v="324"/>
    <n v="175"/>
    <n v="2934"/>
    <n v="7"/>
    <n v="60"/>
    <m/>
    <m/>
    <m/>
    <m/>
    <m/>
    <m/>
    <m/>
  </r>
  <r>
    <x v="14"/>
    <x v="324"/>
    <n v="524"/>
    <n v="50153"/>
    <n v="1"/>
    <n v="758"/>
    <m/>
    <m/>
    <m/>
    <m/>
    <m/>
    <m/>
    <m/>
  </r>
  <r>
    <x v="15"/>
    <x v="324"/>
    <n v="265"/>
    <n v="45272"/>
    <n v="6"/>
    <n v="1016"/>
    <m/>
    <m/>
    <m/>
    <m/>
    <m/>
    <m/>
    <m/>
  </r>
  <r>
    <x v="16"/>
    <x v="324"/>
    <n v="75"/>
    <n v="23304"/>
    <m/>
    <n v="1030"/>
    <m/>
    <m/>
    <m/>
    <m/>
    <m/>
    <m/>
    <m/>
  </r>
  <r>
    <x v="17"/>
    <x v="324"/>
    <n v="81"/>
    <n v="13433"/>
    <m/>
    <n v="216"/>
    <m/>
    <m/>
    <m/>
    <m/>
    <m/>
    <m/>
    <m/>
  </r>
  <r>
    <x v="18"/>
    <x v="324"/>
    <n v="202"/>
    <n v="17364"/>
    <n v="2"/>
    <n v="335"/>
    <m/>
    <m/>
    <m/>
    <m/>
    <m/>
    <m/>
    <m/>
  </r>
  <r>
    <x v="19"/>
    <x v="324"/>
    <n v="314"/>
    <n v="30923"/>
    <n v="3"/>
    <n v="476"/>
    <m/>
    <m/>
    <m/>
    <m/>
    <m/>
    <m/>
    <m/>
  </r>
  <r>
    <x v="20"/>
    <x v="324"/>
    <n v="1101"/>
    <n v="199446"/>
    <n v="13"/>
    <n v="3282"/>
    <m/>
    <m/>
    <m/>
    <m/>
    <m/>
    <m/>
    <m/>
  </r>
  <r>
    <x v="21"/>
    <x v="324"/>
    <n v="100"/>
    <n v="20059"/>
    <n v="1"/>
    <n v="240"/>
    <m/>
    <m/>
    <m/>
    <m/>
    <m/>
    <m/>
    <m/>
  </r>
  <r>
    <x v="22"/>
    <x v="324"/>
    <n v="106"/>
    <n v="21222"/>
    <n v="4"/>
    <n v="311"/>
    <m/>
    <m/>
    <m/>
    <m/>
    <m/>
    <m/>
    <m/>
  </r>
  <r>
    <x v="23"/>
    <x v="324"/>
    <n v="138"/>
    <n v="74966"/>
    <n v="1"/>
    <n v="1416"/>
    <m/>
    <m/>
    <m/>
    <m/>
    <m/>
    <m/>
    <m/>
  </r>
  <r>
    <x v="0"/>
    <x v="325"/>
    <n v="4177"/>
    <n v="773273"/>
    <n v="117"/>
    <n v="23922"/>
    <n v="336.36922478418023"/>
    <n v="1.1891211028033617"/>
    <m/>
    <m/>
    <m/>
    <m/>
    <m/>
  </r>
  <r>
    <x v="4"/>
    <x v="325"/>
    <n v="1160"/>
    <n v="200983"/>
    <n v="14"/>
    <n v="5771"/>
    <n v="570.3842379779727"/>
    <n v="1.2340320765334833"/>
    <m/>
    <m/>
    <m/>
    <m/>
    <m/>
  </r>
  <r>
    <x v="1"/>
    <x v="325"/>
    <n v="52"/>
    <n v="4629"/>
    <m/>
    <n v="17"/>
    <n v="379.35865279536301"/>
    <n v="2.8864468864468864"/>
    <m/>
    <m/>
    <m/>
    <m/>
    <m/>
  </r>
  <r>
    <x v="2"/>
    <x v="325"/>
    <n v="182"/>
    <n v="29505"/>
    <n v="5"/>
    <n v="776"/>
    <n v="248.39337141699616"/>
    <n v="1.0689531975705608"/>
    <m/>
    <m/>
    <m/>
    <m/>
    <m/>
  </r>
  <r>
    <x v="3"/>
    <x v="325"/>
    <n v="457"/>
    <n v="39949"/>
    <n v="14"/>
    <n v="592"/>
    <n v="832.47979786556891"/>
    <n v="0.97502365184484385"/>
    <m/>
    <m/>
    <m/>
    <m/>
    <m/>
  </r>
  <r>
    <x v="6"/>
    <x v="325"/>
    <n v="168"/>
    <n v="16077"/>
    <n v="6"/>
    <n v="2564"/>
    <n v="156.89611615631108"/>
    <n v="0.76158512972763648"/>
    <m/>
    <m/>
    <m/>
    <m/>
    <m/>
  </r>
  <r>
    <x v="5"/>
    <x v="325"/>
    <n v="582"/>
    <n v="140676"/>
    <n v="8"/>
    <n v="222"/>
    <n v="451.01672821491059"/>
    <n v="2.2729316546762588"/>
    <m/>
    <m/>
    <m/>
    <m/>
    <m/>
  </r>
  <r>
    <x v="7"/>
    <x v="325"/>
    <n v="382"/>
    <n v="38552"/>
    <n v="6"/>
    <n v="665"/>
    <n v="424.037905828519"/>
    <n v="1.2150093032871614"/>
    <m/>
    <m/>
    <m/>
    <m/>
    <m/>
  </r>
  <r>
    <x v="8"/>
    <x v="325"/>
    <n v="38"/>
    <n v="797"/>
    <m/>
    <n v="6"/>
    <n v="91.871518672555695"/>
    <n v="19.857142857142858"/>
    <m/>
    <m/>
    <m/>
    <m/>
    <m/>
  </r>
  <r>
    <x v="9"/>
    <x v="325"/>
    <n v="30"/>
    <n v="19056"/>
    <n v="1"/>
    <n v="865"/>
    <n v="51.629239791874497"/>
    <n v="2.4874999999999998"/>
    <m/>
    <m/>
    <m/>
    <m/>
    <m/>
  </r>
  <r>
    <x v="10"/>
    <x v="325"/>
    <n v="99"/>
    <n v="15644"/>
    <m/>
    <n v="209"/>
    <n v="714.50891113417481"/>
    <n v="0.68329775880469579"/>
    <m/>
    <m/>
    <m/>
    <m/>
    <m/>
  </r>
  <r>
    <x v="11"/>
    <x v="325"/>
    <n v="11"/>
    <n v="9389"/>
    <n v="2"/>
    <n v="404"/>
    <n v="52.092465396626949"/>
    <n v="1.6141732283464567"/>
    <m/>
    <m/>
    <m/>
    <m/>
    <m/>
  </r>
  <r>
    <x v="12"/>
    <x v="325"/>
    <n v="182"/>
    <n v="62991"/>
    <n v="2"/>
    <n v="1313"/>
    <n v="96.566512823450097"/>
    <n v="1.2289002557544757"/>
    <m/>
    <m/>
    <m/>
    <m/>
    <m/>
  </r>
  <r>
    <x v="13"/>
    <x v="325"/>
    <n v="160"/>
    <n v="3094"/>
    <n v="3"/>
    <n v="63"/>
    <n v="151.82820183081819"/>
    <n v="8.1837606837606831"/>
    <m/>
    <m/>
    <m/>
    <m/>
    <m/>
  </r>
  <r>
    <x v="14"/>
    <x v="325"/>
    <n v="442"/>
    <n v="50595"/>
    <n v="2"/>
    <n v="760"/>
    <n v="907.3016322394011"/>
    <n v="1.1180181851920579"/>
    <m/>
    <m/>
    <m/>
    <m/>
    <m/>
  </r>
  <r>
    <x v="15"/>
    <x v="325"/>
    <n v="312"/>
    <n v="45584"/>
    <n v="7"/>
    <n v="1023"/>
    <n v="607.00097644493781"/>
    <n v="1.1081807081807082"/>
    <m/>
    <m/>
    <m/>
    <m/>
    <m/>
  </r>
  <r>
    <x v="16"/>
    <x v="325"/>
    <n v="53"/>
    <n v="23357"/>
    <n v="1"/>
    <n v="1031"/>
    <n v="52.022013525723516"/>
    <n v="1.5765957446808512"/>
    <m/>
    <m/>
    <m/>
    <m/>
    <m/>
  </r>
  <r>
    <x v="17"/>
    <x v="325"/>
    <n v="71"/>
    <n v="13504"/>
    <m/>
    <n v="216"/>
    <n v="156.67861810482873"/>
    <n v="0.87303851640513552"/>
    <m/>
    <m/>
    <m/>
    <m/>
    <m/>
  </r>
  <r>
    <x v="18"/>
    <x v="325"/>
    <n v="562"/>
    <n v="17926"/>
    <m/>
    <n v="335"/>
    <n v="276.5930658944618"/>
    <n v="2.6428571428571428"/>
    <m/>
    <m/>
    <m/>
    <m/>
    <m/>
  </r>
  <r>
    <x v="19"/>
    <x v="325"/>
    <n v="245"/>
    <n v="31168"/>
    <n v="1"/>
    <n v="477"/>
    <n v="1256.2278163949488"/>
    <n v="0.97001689189189189"/>
    <m/>
    <m/>
    <m/>
    <m/>
    <m/>
  </r>
  <r>
    <x v="20"/>
    <x v="325"/>
    <n v="1043"/>
    <n v="200489"/>
    <n v="17"/>
    <n v="3299"/>
    <n v="445.93144814894617"/>
    <n v="1.1445783132530121"/>
    <m/>
    <m/>
    <m/>
    <m/>
    <m/>
  </r>
  <r>
    <x v="21"/>
    <x v="325"/>
    <n v="99"/>
    <n v="20158"/>
    <n v="3"/>
    <n v="243"/>
    <n v="176.93723787785709"/>
    <n v="1.2130343377715487"/>
    <m/>
    <m/>
    <m/>
    <m/>
    <m/>
  </r>
  <r>
    <x v="22"/>
    <x v="325"/>
    <n v="48"/>
    <n v="21270"/>
    <n v="9"/>
    <n v="320"/>
    <n v="695.58332862070915"/>
    <n v="0.81295439524124258"/>
    <m/>
    <m/>
    <m/>
    <m/>
    <m/>
  </r>
  <r>
    <x v="23"/>
    <x v="325"/>
    <n v="198"/>
    <n v="75164"/>
    <n v="2"/>
    <n v="1418"/>
    <n v="151.24013369084935"/>
    <n v="1.1037898363479759"/>
    <m/>
    <m/>
    <m/>
    <m/>
    <m/>
  </r>
  <r>
    <x v="0"/>
    <x v="326"/>
    <n v="3265"/>
    <n v="776538"/>
    <n v="109"/>
    <n v="24031"/>
    <n v="329.9614318133581"/>
    <n v="1.0990031330105383"/>
    <m/>
    <m/>
    <m/>
    <m/>
    <m/>
  </r>
  <r>
    <x v="4"/>
    <x v="326"/>
    <n v="924"/>
    <n v="201907"/>
    <n v="11"/>
    <n v="5782"/>
    <n v="556.53348922470275"/>
    <n v="1.1267855967349087"/>
    <m/>
    <m/>
    <m/>
    <m/>
    <m/>
  </r>
  <r>
    <x v="1"/>
    <x v="326"/>
    <n v="53"/>
    <n v="4682"/>
    <m/>
    <n v="17"/>
    <n v="375.50729591419179"/>
    <n v="2.6351351351351351"/>
    <m/>
    <m/>
    <m/>
    <m/>
    <m/>
  </r>
  <r>
    <x v="2"/>
    <x v="326"/>
    <n v="172"/>
    <n v="29677"/>
    <m/>
    <n v="776"/>
    <n v="243.9933551452379"/>
    <n v="0.99257007767646066"/>
    <m/>
    <m/>
    <m/>
    <m/>
    <m/>
  </r>
  <r>
    <x v="3"/>
    <x v="326"/>
    <n v="199"/>
    <n v="40148"/>
    <n v="2"/>
    <n v="594"/>
    <n v="811.31642633046533"/>
    <n v="0.93"/>
    <m/>
    <m/>
    <m/>
    <m/>
    <m/>
  </r>
  <r>
    <x v="6"/>
    <x v="326"/>
    <n v="162"/>
    <n v="16239"/>
    <n v="1"/>
    <n v="2565"/>
    <n v="144.50398223616855"/>
    <n v="0.66171456405260598"/>
    <m/>
    <m/>
    <m/>
    <m/>
    <m/>
  </r>
  <r>
    <x v="5"/>
    <x v="326"/>
    <n v="544"/>
    <n v="141220"/>
    <n v="17"/>
    <n v="239"/>
    <n v="472.96531676898934"/>
    <n v="2.1220976781425138"/>
    <m/>
    <m/>
    <m/>
    <m/>
    <m/>
  </r>
  <r>
    <x v="7"/>
    <x v="326"/>
    <n v="302"/>
    <n v="38854"/>
    <n v="1"/>
    <n v="666"/>
    <n v="408.5973559140553"/>
    <n v="1.0749810174639332"/>
    <m/>
    <m/>
    <m/>
    <m/>
    <m/>
  </r>
  <r>
    <x v="8"/>
    <x v="326"/>
    <n v="3"/>
    <n v="800"/>
    <m/>
    <n v="6"/>
    <n v="89.392970506929188"/>
    <n v="11.760869565217391"/>
    <m/>
    <m/>
    <m/>
    <m/>
    <m/>
  </r>
  <r>
    <x v="9"/>
    <x v="326"/>
    <n v="8"/>
    <n v="19064"/>
    <n v="1"/>
    <n v="866"/>
    <n v="51.629239791874497"/>
    <n v="2.3975903614457832"/>
    <m/>
    <m/>
    <m/>
    <m/>
    <m/>
  </r>
  <r>
    <x v="10"/>
    <x v="326"/>
    <n v="106"/>
    <n v="15750"/>
    <m/>
    <n v="209"/>
    <n v="656.19873447386919"/>
    <n v="0.60602937387271327"/>
    <m/>
    <m/>
    <m/>
    <m/>
    <m/>
  </r>
  <r>
    <x v="11"/>
    <x v="326"/>
    <n v="13"/>
    <n v="9402"/>
    <m/>
    <n v="404"/>
    <n v="51.584246222025719"/>
    <n v="1.4710144927536233"/>
    <m/>
    <m/>
    <m/>
    <m/>
    <m/>
  </r>
  <r>
    <x v="12"/>
    <x v="326"/>
    <n v="101"/>
    <n v="63092"/>
    <n v="2"/>
    <n v="1315"/>
    <n v="94.355833029364859"/>
    <n v="1.1340579710144927"/>
    <m/>
    <m/>
    <m/>
    <m/>
    <m/>
  </r>
  <r>
    <x v="13"/>
    <x v="326"/>
    <n v="214"/>
    <n v="3308"/>
    <m/>
    <n v="63"/>
    <n v="156.42665389671242"/>
    <n v="5.6858789625360231"/>
    <m/>
    <m/>
    <m/>
    <m/>
    <m/>
  </r>
  <r>
    <x v="14"/>
    <x v="326"/>
    <n v="241"/>
    <n v="50836"/>
    <n v="1"/>
    <n v="761"/>
    <n v="890.73678916117149"/>
    <n v="1.0491308974813764"/>
    <m/>
    <m/>
    <m/>
    <m/>
    <m/>
  </r>
  <r>
    <x v="15"/>
    <x v="326"/>
    <n v="286"/>
    <n v="45870"/>
    <n v="3"/>
    <n v="1026"/>
    <n v="613.55519589090568"/>
    <n v="1.1002638522427441"/>
    <m/>
    <m/>
    <m/>
    <m/>
    <m/>
  </r>
  <r>
    <x v="16"/>
    <x v="326"/>
    <n v="59"/>
    <n v="23416"/>
    <n v="2"/>
    <n v="1033"/>
    <n v="51.039141475304987"/>
    <n v="1.4034749034749034"/>
    <m/>
    <m/>
    <m/>
    <m/>
    <m/>
  </r>
  <r>
    <x v="17"/>
    <x v="326"/>
    <n v="32"/>
    <n v="13536"/>
    <m/>
    <n v="216"/>
    <n v="150.66236397825443"/>
    <n v="0.80122532334921714"/>
    <m/>
    <m/>
    <m/>
    <m/>
    <m/>
  </r>
  <r>
    <x v="18"/>
    <x v="326"/>
    <n v="475"/>
    <n v="18401"/>
    <n v="1"/>
    <n v="336"/>
    <n v="366.88909522985159"/>
    <n v="3.4409594095940959"/>
    <m/>
    <m/>
    <m/>
    <m/>
    <m/>
  </r>
  <r>
    <x v="19"/>
    <x v="326"/>
    <n v="179"/>
    <n v="31347"/>
    <n v="4"/>
    <n v="481"/>
    <n v="1205.3661764625456"/>
    <n v="0.89194658033184948"/>
    <m/>
    <m/>
    <m/>
    <m/>
    <m/>
  </r>
  <r>
    <x v="20"/>
    <x v="326"/>
    <n v="698"/>
    <n v="201187"/>
    <n v="5"/>
    <n v="3304"/>
    <n v="432.55633242450415"/>
    <n v="1.0530772408095828"/>
    <m/>
    <m/>
    <m/>
    <m/>
    <m/>
  </r>
  <r>
    <x v="21"/>
    <x v="326"/>
    <n v="170"/>
    <n v="20328"/>
    <n v="1"/>
    <n v="244"/>
    <n v="181.53699276203014"/>
    <n v="1.1800664451827243"/>
    <m/>
    <m/>
    <m/>
    <m/>
    <m/>
  </r>
  <r>
    <x v="22"/>
    <x v="326"/>
    <n v="74"/>
    <n v="21344"/>
    <n v="1"/>
    <n v="321"/>
    <n v="705.1970819431092"/>
    <n v="0.86237897648686035"/>
    <m/>
    <m/>
    <m/>
    <m/>
    <m/>
  </r>
  <r>
    <x v="23"/>
    <x v="326"/>
    <n v="82"/>
    <n v="75246"/>
    <m/>
    <n v="1418"/>
    <n v="148.93878167604515"/>
    <n v="1.0667793744716823"/>
    <m/>
    <m/>
    <m/>
    <m/>
    <m/>
  </r>
  <r>
    <x v="0"/>
    <x v="327"/>
    <n v="2091"/>
    <n v="778629"/>
    <n v="44"/>
    <n v="24075"/>
    <n v="323.09756816845606"/>
    <n v="1.0502371951671485"/>
    <m/>
    <m/>
    <m/>
    <m/>
    <m/>
  </r>
  <r>
    <x v="4"/>
    <x v="327"/>
    <n v="706"/>
    <n v="202613"/>
    <n v="21"/>
    <n v="5803"/>
    <n v="538.94368857794427"/>
    <n v="1.0551241247612986"/>
    <m/>
    <m/>
    <m/>
    <m/>
    <m/>
  </r>
  <r>
    <x v="1"/>
    <x v="327"/>
    <n v="49"/>
    <n v="4731"/>
    <m/>
    <n v="17"/>
    <n v="375.02587630404537"/>
    <n v="2.6097152428810722"/>
    <m/>
    <m/>
    <m/>
    <m/>
    <m/>
  </r>
  <r>
    <x v="2"/>
    <x v="327"/>
    <n v="137"/>
    <n v="29814"/>
    <m/>
    <n v="776"/>
    <n v="239.51031969854077"/>
    <n v="0.93608046722907201"/>
    <m/>
    <m/>
    <m/>
    <m/>
    <m/>
  </r>
  <r>
    <x v="3"/>
    <x v="327"/>
    <n v="108"/>
    <n v="40256"/>
    <m/>
    <n v="594"/>
    <n v="797.42291524635129"/>
    <n v="0.90751976466262185"/>
    <m/>
    <m/>
    <m/>
    <m/>
    <m/>
  </r>
  <r>
    <x v="6"/>
    <x v="327"/>
    <n v="64"/>
    <n v="16303"/>
    <m/>
    <n v="2565"/>
    <n v="133.81377228789106"/>
    <n v="0.5954324931960715"/>
    <m/>
    <m/>
    <m/>
    <m/>
    <m/>
  </r>
  <r>
    <x v="5"/>
    <x v="327"/>
    <n v="264"/>
    <n v="141484"/>
    <n v="4"/>
    <n v="243"/>
    <n v="485.90249294923899"/>
    <n v="2.2863140218303948"/>
    <m/>
    <m/>
    <m/>
    <m/>
    <m/>
  </r>
  <r>
    <x v="7"/>
    <x v="327"/>
    <n v="219"/>
    <n v="39073"/>
    <n v="4"/>
    <n v="670"/>
    <n v="399.14543049912658"/>
    <n v="1.0126304228445908"/>
    <m/>
    <m/>
    <m/>
    <m/>
    <m/>
  </r>
  <r>
    <x v="8"/>
    <x v="327"/>
    <n v="6"/>
    <n v="806"/>
    <m/>
    <n v="6"/>
    <n v="85.096820353176582"/>
    <n v="6.6883116883116882"/>
    <m/>
    <m/>
    <m/>
    <m/>
    <m/>
  </r>
  <r>
    <x v="9"/>
    <x v="327"/>
    <n v="29"/>
    <n v="19093"/>
    <m/>
    <n v="866"/>
    <n v="52.796735164052556"/>
    <n v="2.2611111111111111"/>
    <m/>
    <m/>
    <m/>
    <m/>
    <m/>
  </r>
  <r>
    <x v="10"/>
    <x v="327"/>
    <n v="43"/>
    <n v="15793"/>
    <n v="1"/>
    <n v="210"/>
    <n v="639.73796689990741"/>
    <n v="0.60437532946758044"/>
    <m/>
    <m/>
    <m/>
    <m/>
    <m/>
  </r>
  <r>
    <x v="11"/>
    <x v="327"/>
    <n v="36"/>
    <n v="9438"/>
    <m/>
    <n v="404"/>
    <n v="56.920547555338715"/>
    <n v="1.5342465753424657"/>
    <m/>
    <m/>
    <m/>
    <m/>
    <m/>
  </r>
  <r>
    <x v="12"/>
    <x v="327"/>
    <n v="63"/>
    <n v="63155"/>
    <n v="2"/>
    <n v="1317"/>
    <n v="93.702677635657864"/>
    <n v="1.1094586555621653"/>
    <m/>
    <m/>
    <m/>
    <m/>
    <m/>
  </r>
  <r>
    <x v="13"/>
    <x v="327"/>
    <n v="159"/>
    <n v="3467"/>
    <n v="1"/>
    <n v="64"/>
    <n v="160.31155305582996"/>
    <n v="4.6589861751152073"/>
    <m/>
    <m/>
    <m/>
    <m/>
    <m/>
  </r>
  <r>
    <x v="14"/>
    <x v="327"/>
    <n v="149"/>
    <n v="50985"/>
    <m/>
    <n v="761"/>
    <n v="878.6896305588225"/>
    <n v="1.0086430423509076"/>
    <m/>
    <m/>
    <m/>
    <m/>
    <m/>
  </r>
  <r>
    <x v="15"/>
    <x v="327"/>
    <n v="108"/>
    <n v="45978"/>
    <n v="7"/>
    <n v="1033"/>
    <n v="601.11555490161982"/>
    <n v="1.0682196339434276"/>
    <m/>
    <m/>
    <m/>
    <m/>
    <m/>
  </r>
  <r>
    <x v="16"/>
    <x v="327"/>
    <n v="26"/>
    <n v="23442"/>
    <m/>
    <n v="1033"/>
    <n v="51.390167207597322"/>
    <n v="1.4581673306772909"/>
    <m/>
    <m/>
    <m/>
    <m/>
    <m/>
  </r>
  <r>
    <x v="17"/>
    <x v="327"/>
    <n v="9"/>
    <n v="13545"/>
    <n v="1"/>
    <n v="217"/>
    <n v="148.87028828097698"/>
    <n v="0.78475033738191635"/>
    <m/>
    <m/>
    <m/>
    <m/>
    <m/>
  </r>
  <r>
    <x v="18"/>
    <x v="327"/>
    <n v="52"/>
    <n v="18453"/>
    <m/>
    <n v="336"/>
    <n v="375.54492375001968"/>
    <n v="3.728515625"/>
    <m/>
    <m/>
    <m/>
    <m/>
    <m/>
  </r>
  <r>
    <x v="19"/>
    <x v="327"/>
    <n v="131"/>
    <n v="31478"/>
    <m/>
    <n v="481"/>
    <n v="1171.4584165076101"/>
    <n v="0.8645812310797174"/>
    <m/>
    <m/>
    <m/>
    <m/>
    <m/>
  </r>
  <r>
    <x v="20"/>
    <x v="327"/>
    <n v="438"/>
    <n v="201625"/>
    <n v="2"/>
    <n v="3306"/>
    <n v="429.44584039556406"/>
    <n v="1.0353831469866375"/>
    <m/>
    <m/>
    <m/>
    <m/>
    <m/>
  </r>
  <r>
    <x v="21"/>
    <x v="327"/>
    <n v="60"/>
    <n v="20388"/>
    <n v="2"/>
    <n v="246"/>
    <n v="181.02590888601091"/>
    <n v="1.1455368693402328"/>
    <m/>
    <m/>
    <m/>
    <m/>
    <m/>
  </r>
  <r>
    <x v="22"/>
    <x v="327"/>
    <n v="46"/>
    <n v="21390"/>
    <n v="1"/>
    <n v="322"/>
    <n v="689.36266470621501"/>
    <n v="0.85125698324022347"/>
    <m/>
    <m/>
    <m/>
    <m/>
    <m/>
  </r>
  <r>
    <x v="23"/>
    <x v="327"/>
    <n v="38"/>
    <n v="75284"/>
    <m/>
    <n v="1418"/>
    <n v="144.33607764643679"/>
    <n v="1.0061703002879474"/>
    <m/>
    <m/>
    <m/>
    <m/>
    <m/>
  </r>
  <r>
    <x v="0"/>
    <x v="328"/>
    <n v="2749"/>
    <n v="781378"/>
    <n v="81"/>
    <n v="24156"/>
    <n v="320.64048741185081"/>
    <n v="1.036354590849625"/>
    <m/>
    <m/>
    <m/>
    <m/>
    <m/>
  </r>
  <r>
    <x v="4"/>
    <x v="328"/>
    <n v="1094"/>
    <n v="203707"/>
    <n v="26"/>
    <n v="5829"/>
    <n v="544.7636041338958"/>
    <n v="1.0629996193376474"/>
    <m/>
    <m/>
    <m/>
    <m/>
    <m/>
  </r>
  <r>
    <x v="1"/>
    <x v="328"/>
    <n v="30"/>
    <n v="4761"/>
    <m/>
    <n v="17"/>
    <n v="374.78516649897216"/>
    <n v="2.608040201005025"/>
    <m/>
    <m/>
    <m/>
    <m/>
    <m/>
  </r>
  <r>
    <x v="2"/>
    <x v="328"/>
    <n v="76"/>
    <n v="29890"/>
    <n v="5"/>
    <n v="781"/>
    <n v="233.03482405331158"/>
    <n v="0.90112359550561794"/>
    <m/>
    <m/>
    <m/>
    <m/>
    <m/>
  </r>
  <r>
    <x v="3"/>
    <x v="328"/>
    <n v="304"/>
    <n v="40560"/>
    <n v="11"/>
    <n v="605"/>
    <n v="764.95087189859669"/>
    <n v="0.86200618969597664"/>
    <m/>
    <m/>
    <m/>
    <m/>
    <m/>
  </r>
  <r>
    <x v="6"/>
    <x v="328"/>
    <n v="160"/>
    <n v="16463"/>
    <n v="1"/>
    <n v="2566"/>
    <n v="130.17059128561741"/>
    <n v="0.57846844717560864"/>
    <m/>
    <m/>
    <m/>
    <m/>
    <m/>
  </r>
  <r>
    <x v="5"/>
    <x v="328"/>
    <n v="340"/>
    <n v="141824"/>
    <n v="9"/>
    <n v="252"/>
    <n v="501.15943865146443"/>
    <n v="2.3720439189189189"/>
    <m/>
    <m/>
    <m/>
    <m/>
    <m/>
  </r>
  <r>
    <x v="7"/>
    <x v="328"/>
    <n v="302"/>
    <n v="39375"/>
    <n v="10"/>
    <n v="680"/>
    <n v="408.02013909482298"/>
    <n v="1.0349560761346999"/>
    <m/>
    <m/>
    <m/>
    <m/>
    <m/>
  </r>
  <r>
    <x v="8"/>
    <x v="328"/>
    <n v="1"/>
    <n v="807"/>
    <m/>
    <n v="6"/>
    <n v="81.792089465674593"/>
    <n v="5.4395604395604398"/>
    <m/>
    <m/>
    <m/>
    <m/>
    <m/>
  </r>
  <r>
    <x v="9"/>
    <x v="328"/>
    <n v="7"/>
    <n v="19100"/>
    <m/>
    <n v="866"/>
    <n v="51.499518083854703"/>
    <n v="2.0463917525773194"/>
    <m/>
    <m/>
    <m/>
    <m/>
    <m/>
  </r>
  <r>
    <x v="10"/>
    <x v="328"/>
    <n v="101"/>
    <n v="15894"/>
    <n v="12"/>
    <n v="222"/>
    <n v="611.28036872119367"/>
    <n v="0.57825283716020059"/>
    <m/>
    <m/>
    <m/>
    <m/>
    <m/>
  </r>
  <r>
    <x v="11"/>
    <x v="328"/>
    <n v="3"/>
    <n v="9441"/>
    <n v="1"/>
    <n v="405"/>
    <n v="54.379451682332522"/>
    <n v="1.3806451612903226"/>
    <m/>
    <m/>
    <m/>
    <m/>
    <m/>
  </r>
  <r>
    <x v="12"/>
    <x v="328"/>
    <n v="55"/>
    <n v="63210"/>
    <n v="3"/>
    <n v="1320"/>
    <n v="91.190541506015563"/>
    <n v="1.0620245757753073"/>
    <m/>
    <m/>
    <m/>
    <m/>
    <m/>
  </r>
  <r>
    <x v="13"/>
    <x v="328"/>
    <n v="145"/>
    <n v="3612"/>
    <m/>
    <n v="64"/>
    <n v="169.82559181285251"/>
    <n v="4.6973684210526319"/>
    <m/>
    <m/>
    <m/>
    <m/>
    <m/>
  </r>
  <r>
    <x v="14"/>
    <x v="328"/>
    <n v="552"/>
    <n v="51537"/>
    <n v="2"/>
    <n v="763"/>
    <n v="900.82628449063861"/>
    <n v="0.99966577540106949"/>
    <m/>
    <m/>
    <m/>
    <m/>
    <m/>
  </r>
  <r>
    <x v="15"/>
    <x v="328"/>
    <n v="255"/>
    <n v="46233"/>
    <n v="4"/>
    <n v="1037"/>
    <n v="588.40839475127416"/>
    <n v="1.0244527247321844"/>
    <m/>
    <m/>
    <m/>
    <m/>
    <m/>
  </r>
  <r>
    <x v="16"/>
    <x v="328"/>
    <n v="22"/>
    <n v="23464"/>
    <n v="1"/>
    <n v="1034"/>
    <n v="49.494628253218735"/>
    <n v="1.298342541436464"/>
    <m/>
    <m/>
    <m/>
    <m/>
    <m/>
  </r>
  <r>
    <x v="17"/>
    <x v="328"/>
    <n v="80"/>
    <n v="13625"/>
    <m/>
    <n v="217"/>
    <n v="148.10225583928664"/>
    <n v="0.81593794076163606"/>
    <m/>
    <m/>
    <m/>
    <m/>
    <m/>
  </r>
  <r>
    <x v="18"/>
    <x v="328"/>
    <n v="300"/>
    <n v="18753"/>
    <n v="7"/>
    <n v="343"/>
    <n v="420.98802348090214"/>
    <n v="3.9122486288848264"/>
    <m/>
    <m/>
    <m/>
    <m/>
    <m/>
  </r>
  <r>
    <x v="19"/>
    <x v="328"/>
    <n v="167"/>
    <n v="31645"/>
    <n v="1"/>
    <n v="482"/>
    <n v="1123.6047230228221"/>
    <n v="0.81657392686804453"/>
    <m/>
    <m/>
    <m/>
    <m/>
    <m/>
  </r>
  <r>
    <x v="20"/>
    <x v="328"/>
    <n v="482"/>
    <n v="202107"/>
    <n v="32"/>
    <n v="3338"/>
    <n v="412.76229224034034"/>
    <n v="0.97170816136333382"/>
    <m/>
    <m/>
    <m/>
    <m/>
    <m/>
  </r>
  <r>
    <x v="21"/>
    <x v="328"/>
    <n v="84"/>
    <n v="20472"/>
    <m/>
    <n v="246"/>
    <n v="172.13304944327632"/>
    <n v="1.0169082125603865"/>
    <m/>
    <m/>
    <m/>
    <m/>
    <m/>
  </r>
  <r>
    <x v="22"/>
    <x v="328"/>
    <n v="130"/>
    <n v="21520"/>
    <n v="2"/>
    <n v="324"/>
    <n v="714.81083526550924"/>
    <n v="0.86932599724896842"/>
    <m/>
    <m/>
    <m/>
    <m/>
    <m/>
  </r>
  <r>
    <x v="23"/>
    <x v="328"/>
    <n v="139"/>
    <n v="75423"/>
    <m/>
    <n v="1418"/>
    <n v="137.13697647192114"/>
    <n v="0.91785150078988942"/>
    <m/>
    <m/>
    <m/>
    <m/>
    <m/>
  </r>
  <r>
    <x v="0"/>
    <x v="329"/>
    <n v="4574"/>
    <n v="785952"/>
    <n v="74"/>
    <n v="24230"/>
    <n v="315.88024975114217"/>
    <n v="1.0026419123102257"/>
    <m/>
    <m/>
    <m/>
    <m/>
    <m/>
  </r>
  <r>
    <x v="4"/>
    <x v="329"/>
    <n v="1290"/>
    <n v="204997"/>
    <n v="16"/>
    <n v="5845"/>
    <n v="536.04998754733151"/>
    <n v="1.0099852977211468"/>
    <m/>
    <m/>
    <m/>
    <m/>
    <m/>
  </r>
  <r>
    <x v="1"/>
    <x v="329"/>
    <n v="77"/>
    <n v="4838"/>
    <m/>
    <n v="17"/>
    <n v="373.58161747360617"/>
    <n v="2.3408748114630469"/>
    <m/>
    <m/>
    <m/>
    <m/>
    <m/>
  </r>
  <r>
    <x v="2"/>
    <x v="329"/>
    <n v="177"/>
    <n v="30067"/>
    <n v="6"/>
    <n v="787"/>
    <n v="225.56309830881639"/>
    <n v="0.88328998699609884"/>
    <m/>
    <m/>
    <m/>
    <m/>
    <m/>
  </r>
  <r>
    <x v="3"/>
    <x v="329"/>
    <n v="320"/>
    <n v="40880"/>
    <n v="11"/>
    <n v="616"/>
    <n v="719.39307973906045"/>
    <n v="0.81125888139916191"/>
    <m/>
    <m/>
    <m/>
    <m/>
    <m/>
  </r>
  <r>
    <x v="6"/>
    <x v="329"/>
    <n v="167"/>
    <n v="16630"/>
    <n v="3"/>
    <n v="2569"/>
    <n v="113.60342512199337"/>
    <n v="1.1401120896717374"/>
    <m/>
    <m/>
    <m/>
    <m/>
    <m/>
  </r>
  <r>
    <x v="5"/>
    <x v="329"/>
    <n v="662"/>
    <n v="142486"/>
    <n v="7"/>
    <n v="259"/>
    <n v="538.09730719369452"/>
    <n v="0.84586255259467036"/>
    <m/>
    <m/>
    <m/>
    <m/>
    <m/>
  </r>
  <r>
    <x v="7"/>
    <x v="329"/>
    <n v="332"/>
    <n v="39707"/>
    <n v="14"/>
    <n v="694"/>
    <n v="396.98086742700553"/>
    <n v="0.97865528281750269"/>
    <m/>
    <m/>
    <m/>
    <m/>
    <m/>
  </r>
  <r>
    <x v="8"/>
    <x v="329"/>
    <n v="7"/>
    <n v="814"/>
    <m/>
    <n v="6"/>
    <n v="73.199789158169381"/>
    <n v="2.7861635220125787"/>
    <m/>
    <m/>
    <m/>
    <m/>
    <m/>
  </r>
  <r>
    <x v="9"/>
    <x v="329"/>
    <n v="57"/>
    <n v="19157"/>
    <m/>
    <n v="866"/>
    <n v="56.818108112665897"/>
    <n v="2.2346938775510203"/>
    <m/>
    <m/>
    <m/>
    <m/>
    <m/>
  </r>
  <r>
    <x v="10"/>
    <x v="329"/>
    <n v="96"/>
    <n v="15990"/>
    <n v="15"/>
    <n v="237"/>
    <n v="539.85737721383373"/>
    <n v="0.5056179775280899"/>
    <m/>
    <m/>
    <m/>
    <m/>
    <m/>
  </r>
  <r>
    <x v="11"/>
    <x v="329"/>
    <n v="11"/>
    <n v="9452"/>
    <m/>
    <n v="405"/>
    <n v="54.887670856933767"/>
    <n v="1.3416149068322982"/>
    <m/>
    <m/>
    <m/>
    <m/>
    <m/>
  </r>
  <r>
    <x v="12"/>
    <x v="329"/>
    <n v="112"/>
    <n v="63322"/>
    <n v="5"/>
    <n v="1325"/>
    <n v="86.970152808216497"/>
    <n v="0.99254587155963303"/>
    <m/>
    <m/>
    <m/>
    <m/>
    <m/>
  </r>
  <r>
    <x v="13"/>
    <x v="329"/>
    <n v="169"/>
    <n v="3781"/>
    <n v="5"/>
    <n v="69"/>
    <n v="179.26034691356654"/>
    <n v="4.75"/>
    <m/>
    <m/>
    <m/>
    <m/>
    <m/>
  </r>
  <r>
    <x v="14"/>
    <x v="329"/>
    <n v="506"/>
    <n v="52043"/>
    <n v="3"/>
    <n v="766"/>
    <n v="879.5931674539986"/>
    <n v="0.96179812283879462"/>
    <m/>
    <m/>
    <m/>
    <m/>
    <m/>
  </r>
  <r>
    <x v="15"/>
    <x v="329"/>
    <n v="393"/>
    <n v="46626"/>
    <n v="4"/>
    <n v="1041"/>
    <n v="585.73320314067496"/>
    <n v="1.0136574074074074"/>
    <m/>
    <m/>
    <m/>
    <m/>
    <m/>
  </r>
  <r>
    <x v="16"/>
    <x v="329"/>
    <n v="66"/>
    <n v="23530"/>
    <n v="2"/>
    <n v="1036"/>
    <n v="51.530577500514248"/>
    <n v="1.3592592592592592"/>
    <m/>
    <m/>
    <m/>
    <m/>
    <m/>
  </r>
  <r>
    <x v="17"/>
    <x v="329"/>
    <n v="78"/>
    <n v="13703"/>
    <m/>
    <n v="217"/>
    <n v="131.46155293599602"/>
    <n v="0.77744133232399693"/>
    <m/>
    <m/>
    <m/>
    <m/>
    <m/>
  </r>
  <r>
    <x v="18"/>
    <x v="329"/>
    <n v="45"/>
    <n v="18798"/>
    <n v="1"/>
    <n v="344"/>
    <n v="419.80768322815192"/>
    <n v="3.9300184162062615"/>
    <m/>
    <m/>
    <m/>
    <m/>
    <m/>
  </r>
  <r>
    <x v="19"/>
    <x v="329"/>
    <n v="181"/>
    <n v="31826"/>
    <n v="6"/>
    <n v="488"/>
    <n v="1065.6333914869647"/>
    <n v="0.77505966587112174"/>
    <m/>
    <m/>
    <m/>
    <m/>
    <m/>
  </r>
  <r>
    <x v="20"/>
    <x v="329"/>
    <n v="770"/>
    <n v="202877"/>
    <n v="43"/>
    <n v="3381"/>
    <n v="393.98623126564786"/>
    <n v="0.91483913328956012"/>
    <m/>
    <m/>
    <m/>
    <m/>
    <m/>
  </r>
  <r>
    <x v="21"/>
    <x v="329"/>
    <n v="79"/>
    <n v="20551"/>
    <n v="1"/>
    <n v="247"/>
    <n v="170.08871393919941"/>
    <n v="0.99047619047619051"/>
    <m/>
    <m/>
    <m/>
    <m/>
    <m/>
  </r>
  <r>
    <x v="22"/>
    <x v="329"/>
    <n v="52"/>
    <n v="21572"/>
    <m/>
    <n v="324"/>
    <n v="664.48000904823834"/>
    <n v="0.81824512534818938"/>
    <m/>
    <m/>
    <m/>
    <m/>
    <m/>
  </r>
  <r>
    <x v="23"/>
    <x v="329"/>
    <n v="188"/>
    <n v="75611"/>
    <n v="3"/>
    <n v="1421"/>
    <n v="134.24553419691077"/>
    <n v="0.91255515443241075"/>
    <m/>
    <m/>
    <m/>
    <m/>
    <m/>
  </r>
  <r>
    <x v="0"/>
    <x v="330"/>
    <n v="4445"/>
    <n v="790397"/>
    <n v="44"/>
    <n v="24274"/>
    <n v="313.52008401277891"/>
    <n v="0.99338884774480229"/>
    <m/>
    <m/>
    <m/>
    <m/>
    <m/>
  </r>
  <r>
    <x v="4"/>
    <x v="330"/>
    <n v="1247"/>
    <n v="206244"/>
    <n v="25"/>
    <n v="5870"/>
    <n v="537.44806782054889"/>
    <n v="1.0047410649161197"/>
    <m/>
    <m/>
    <m/>
    <m/>
    <m/>
  </r>
  <r>
    <x v="1"/>
    <x v="330"/>
    <n v="116"/>
    <n v="4954"/>
    <m/>
    <n v="17"/>
    <n v="384.65426850697338"/>
    <n v="2.3815201192250375"/>
    <m/>
    <m/>
    <m/>
    <m/>
    <m/>
  </r>
  <r>
    <x v="2"/>
    <x v="330"/>
    <n v="146"/>
    <n v="30213"/>
    <n v="3"/>
    <n v="790"/>
    <n v="213.77437546750176"/>
    <n v="0.826645264847512"/>
    <m/>
    <m/>
    <m/>
    <m/>
    <m/>
  </r>
  <r>
    <x v="3"/>
    <x v="330"/>
    <n v="395"/>
    <n v="41275"/>
    <n v="28"/>
    <n v="644"/>
    <n v="697.90660329502384"/>
    <n v="0.78846504836649023"/>
    <m/>
    <m/>
    <m/>
    <m/>
    <m/>
  </r>
  <r>
    <x v="6"/>
    <x v="330"/>
    <n v="224"/>
    <n v="16854"/>
    <n v="3"/>
    <n v="2572"/>
    <n v="97.807443258120699"/>
    <n v="0.4310829817158931"/>
    <m/>
    <m/>
    <m/>
    <m/>
    <m/>
  </r>
  <r>
    <x v="5"/>
    <x v="330"/>
    <n v="687"/>
    <n v="143173"/>
    <n v="11"/>
    <n v="270"/>
    <n v="564.15010336357659"/>
    <n v="2.361972357116175"/>
    <m/>
    <m/>
    <m/>
    <m/>
    <m/>
  </r>
  <r>
    <x v="7"/>
    <x v="330"/>
    <n v="293"/>
    <n v="40000"/>
    <n v="8"/>
    <n v="702"/>
    <n v="376.20106193464318"/>
    <n v="0.90145228215767637"/>
    <m/>
    <m/>
    <m/>
    <m/>
    <m/>
  </r>
  <r>
    <x v="8"/>
    <x v="330"/>
    <n v="14"/>
    <n v="828"/>
    <m/>
    <n v="6"/>
    <n v="66.590327383165373"/>
    <n v="1.892018779342723"/>
    <m/>
    <m/>
    <m/>
    <m/>
    <m/>
  </r>
  <r>
    <x v="9"/>
    <x v="330"/>
    <n v="49"/>
    <n v="19206"/>
    <m/>
    <n v="866"/>
    <n v="60.969202769299024"/>
    <n v="2.4607329842931938"/>
    <m/>
    <m/>
    <m/>
    <m/>
    <m/>
  </r>
  <r>
    <x v="10"/>
    <x v="330"/>
    <n v="130"/>
    <n v="16120"/>
    <m/>
    <n v="237"/>
    <n v="512.23676721684694"/>
    <n v="0.49156626506024098"/>
    <m/>
    <m/>
    <m/>
    <m/>
    <m/>
  </r>
  <r>
    <x v="11"/>
    <x v="330"/>
    <n v="36"/>
    <n v="9488"/>
    <m/>
    <n v="405"/>
    <n v="61.240410539449236"/>
    <n v="1.4876543209876543"/>
    <m/>
    <m/>
    <m/>
    <m/>
    <m/>
  </r>
  <r>
    <x v="12"/>
    <x v="330"/>
    <n v="149"/>
    <n v="63471"/>
    <n v="11"/>
    <n v="1336"/>
    <n v="86.919910085623656"/>
    <n v="1.0028985507246377"/>
    <m/>
    <m/>
    <m/>
    <m/>
    <m/>
  </r>
  <r>
    <x v="13"/>
    <x v="330"/>
    <n v="241"/>
    <n v="4022"/>
    <n v="5"/>
    <n v="74"/>
    <n v="196.22704936359008"/>
    <n v="5.2547770700636942"/>
    <m/>
    <m/>
    <m/>
    <m/>
    <m/>
  </r>
  <r>
    <x v="14"/>
    <x v="330"/>
    <n v="538"/>
    <n v="52581"/>
    <m/>
    <n v="766"/>
    <n v="890.88737864370069"/>
    <n v="0.98305084745762716"/>
    <m/>
    <m/>
    <m/>
    <m/>
    <m/>
  </r>
  <r>
    <x v="15"/>
    <x v="330"/>
    <n v="365"/>
    <n v="46991"/>
    <n v="10"/>
    <n v="1051"/>
    <n v="581.98793488583624"/>
    <n v="1.0057790106333795"/>
    <m/>
    <m/>
    <m/>
    <m/>
    <m/>
  </r>
  <r>
    <x v="16"/>
    <x v="330"/>
    <n v="65"/>
    <n v="23595"/>
    <m/>
    <n v="1036"/>
    <n v="51.390167207597322"/>
    <n v="1.318918918918919"/>
    <m/>
    <m/>
    <m/>
    <m/>
    <m/>
  </r>
  <r>
    <x v="17"/>
    <x v="330"/>
    <n v="58"/>
    <n v="13761"/>
    <m/>
    <n v="217"/>
    <n v="118.02098520641512"/>
    <n v="0.69011976047904189"/>
    <m/>
    <m/>
    <m/>
    <m/>
    <m/>
  </r>
  <r>
    <x v="18"/>
    <x v="330"/>
    <n v="81"/>
    <n v="18879"/>
    <m/>
    <n v="344"/>
    <n v="428.26678837286158"/>
    <n v="4.0092081031307547"/>
    <m/>
    <m/>
    <m/>
    <m/>
    <m/>
  </r>
  <r>
    <x v="19"/>
    <x v="330"/>
    <n v="167"/>
    <n v="31993"/>
    <n v="2"/>
    <n v="490"/>
    <n v="1022.9752418662393"/>
    <n v="0.76082977425259302"/>
    <m/>
    <m/>
    <m/>
    <m/>
    <m/>
  </r>
  <r>
    <x v="20"/>
    <x v="330"/>
    <n v="924"/>
    <n v="203801"/>
    <n v="29"/>
    <n v="3410"/>
    <n v="377.64200951358123"/>
    <n v="0.86580226904376012"/>
    <m/>
    <m/>
    <m/>
    <m/>
    <m/>
  </r>
  <r>
    <x v="21"/>
    <x v="330"/>
    <n v="101"/>
    <n v="20652"/>
    <n v="2"/>
    <n v="249"/>
    <n v="163.54684032615327"/>
    <n v="0.92915214866434381"/>
    <m/>
    <m/>
    <m/>
    <m/>
    <m/>
  </r>
  <r>
    <x v="22"/>
    <x v="330"/>
    <n v="85"/>
    <n v="21657"/>
    <n v="1"/>
    <n v="325"/>
    <n v="655.43177062715597"/>
    <n v="0.78843537414965992"/>
    <m/>
    <m/>
    <m/>
    <m/>
    <m/>
  </r>
  <r>
    <x v="23"/>
    <x v="330"/>
    <n v="287"/>
    <n v="75898"/>
    <m/>
    <n v="1421"/>
    <n v="134.71760640507571"/>
    <n v="0.87104158718046543"/>
    <m/>
    <m/>
    <m/>
    <m/>
    <m/>
  </r>
  <r>
    <x v="0"/>
    <x v="331"/>
    <n v="4175"/>
    <n v="794572"/>
    <n v="91"/>
    <n v="24365"/>
    <n v="307.76219175252055"/>
    <n v="0.96709182759485512"/>
    <m/>
    <m/>
    <m/>
    <m/>
    <m/>
  </r>
  <r>
    <x v="4"/>
    <x v="331"/>
    <n v="1101"/>
    <n v="207345"/>
    <n v="9"/>
    <n v="5879"/>
    <n v="528.79947822343661"/>
    <n v="0.98677344982405046"/>
    <m/>
    <m/>
    <m/>
    <m/>
    <m/>
  </r>
  <r>
    <x v="1"/>
    <x v="331"/>
    <n v="86"/>
    <n v="5040"/>
    <m/>
    <n v="17"/>
    <n v="386.57994694755894"/>
    <n v="2.4077961019490255"/>
    <m/>
    <m/>
    <m/>
    <m/>
    <m/>
  </r>
  <r>
    <x v="2"/>
    <x v="331"/>
    <n v="137"/>
    <n v="30350"/>
    <n v="3"/>
    <n v="793"/>
    <n v="199.91017325271619"/>
    <n v="0.76202531645569616"/>
    <m/>
    <m/>
    <m/>
    <m/>
    <m/>
  </r>
  <r>
    <x v="3"/>
    <x v="331"/>
    <n v="316"/>
    <n v="41591"/>
    <n v="8"/>
    <n v="652"/>
    <n v="661.23419613114186"/>
    <n v="0.73522543560265852"/>
    <m/>
    <m/>
    <m/>
    <m/>
    <m/>
  </r>
  <r>
    <x v="6"/>
    <x v="331"/>
    <n v="108"/>
    <n v="16962"/>
    <n v="2"/>
    <n v="2574"/>
    <n v="80.203167174141399"/>
    <n v="0.35390753344285381"/>
    <m/>
    <m/>
    <m/>
    <m/>
    <m/>
  </r>
  <r>
    <x v="5"/>
    <x v="331"/>
    <n v="678"/>
    <n v="143851"/>
    <n v="6"/>
    <n v="276"/>
    <n v="587.61546429740872"/>
    <n v="2.1829632084852504"/>
    <m/>
    <m/>
    <m/>
    <m/>
    <m/>
  </r>
  <r>
    <x v="7"/>
    <x v="331"/>
    <n v="316"/>
    <n v="40316"/>
    <n v="3"/>
    <n v="705"/>
    <n v="360.11114309854321"/>
    <n v="0.85579561042524011"/>
    <m/>
    <m/>
    <m/>
    <m/>
    <m/>
  </r>
  <r>
    <x v="8"/>
    <x v="331"/>
    <n v="5"/>
    <n v="833"/>
    <m/>
    <n v="6"/>
    <n v="55.023769276908361"/>
    <n v="1.1808510638297873"/>
    <m/>
    <m/>
    <m/>
    <m/>
    <m/>
  </r>
  <r>
    <x v="9"/>
    <x v="331"/>
    <n v="40"/>
    <n v="19246"/>
    <m/>
    <n v="866"/>
    <n v="63.17447180563537"/>
    <n v="2.3413461538461537"/>
    <m/>
    <m/>
    <m/>
    <m/>
    <m/>
  </r>
  <r>
    <x v="10"/>
    <x v="331"/>
    <n v="118"/>
    <n v="16238"/>
    <m/>
    <n v="237"/>
    <n v="474.01430691798629"/>
    <n v="0.46068329718004336"/>
    <m/>
    <m/>
    <m/>
    <m/>
    <m/>
  </r>
  <r>
    <x v="11"/>
    <x v="331"/>
    <n v="10"/>
    <n v="9498"/>
    <n v="1"/>
    <n v="406"/>
    <n v="60.732191364848006"/>
    <n v="1.4484848484848485"/>
    <m/>
    <m/>
    <m/>
    <m/>
    <m/>
  </r>
  <r>
    <x v="12"/>
    <x v="331"/>
    <n v="101"/>
    <n v="63572"/>
    <n v="3"/>
    <n v="1339"/>
    <n v="83.855104007460042"/>
    <n v="0.95045558086560367"/>
    <m/>
    <m/>
    <m/>
    <m/>
    <m/>
  </r>
  <r>
    <x v="13"/>
    <x v="331"/>
    <n v="130"/>
    <n v="4152"/>
    <n v="5"/>
    <n v="79"/>
    <n v="189.48793857736578"/>
    <n v="3.5147058823529411"/>
    <m/>
    <m/>
    <m/>
    <m/>
    <m/>
  </r>
  <r>
    <x v="14"/>
    <x v="331"/>
    <n v="463"/>
    <n v="53044"/>
    <m/>
    <n v="766"/>
    <n v="880.49670434917482"/>
    <n v="0.95119570522205954"/>
    <m/>
    <m/>
    <m/>
    <m/>
    <m/>
  </r>
  <r>
    <x v="15"/>
    <x v="331"/>
    <n v="311"/>
    <n v="47302"/>
    <n v="5"/>
    <n v="1056"/>
    <n v="565.13422773906188"/>
    <n v="0.94077042974838565"/>
    <m/>
    <m/>
    <m/>
    <m/>
    <m/>
  </r>
  <r>
    <x v="16"/>
    <x v="331"/>
    <n v="85"/>
    <n v="23680"/>
    <m/>
    <n v="1036"/>
    <n v="53.355911308434372"/>
    <n v="1.4048059149722736"/>
    <m/>
    <m/>
    <m/>
    <m/>
    <m/>
  </r>
  <r>
    <x v="17"/>
    <x v="331"/>
    <n v="74"/>
    <n v="13835"/>
    <n v="2"/>
    <n v="219"/>
    <n v="117.50896357862156"/>
    <n v="0.67056245434623818"/>
    <m/>
    <m/>
    <m/>
    <m/>
    <m/>
  </r>
  <r>
    <x v="18"/>
    <x v="331"/>
    <n v="68"/>
    <n v="18947"/>
    <n v="4"/>
    <n v="348"/>
    <n v="430.23402212744526"/>
    <n v="3.8435852372583481"/>
    <m/>
    <m/>
    <m/>
    <m/>
    <m/>
  </r>
  <r>
    <x v="19"/>
    <x v="331"/>
    <n v="147"/>
    <n v="32140"/>
    <n v="1"/>
    <n v="491"/>
    <n v="985.23918643252091"/>
    <n v="0.75345043914680054"/>
    <m/>
    <m/>
    <m/>
    <m/>
    <m/>
  </r>
  <r>
    <x v="20"/>
    <x v="331"/>
    <n v="662"/>
    <n v="204463"/>
    <n v="19"/>
    <n v="3429"/>
    <n v="356.91482172073546"/>
    <n v="0.81611276348118456"/>
    <m/>
    <m/>
    <m/>
    <m/>
    <m/>
  </r>
  <r>
    <x v="21"/>
    <x v="331"/>
    <n v="71"/>
    <n v="20723"/>
    <m/>
    <n v="249"/>
    <n v="150.56530987526486"/>
    <n v="0.80934065934065935"/>
    <m/>
    <m/>
    <m/>
    <m/>
    <m/>
  </r>
  <r>
    <x v="22"/>
    <x v="331"/>
    <n v="37"/>
    <n v="21694"/>
    <n v="4"/>
    <n v="329"/>
    <n v="635.63874908103821"/>
    <n v="0.78546470999301188"/>
    <m/>
    <m/>
    <m/>
    <m/>
    <m/>
  </r>
  <r>
    <x v="23"/>
    <x v="331"/>
    <n v="232"/>
    <n v="76130"/>
    <m/>
    <n v="1421"/>
    <n v="134.77661543109633"/>
    <n v="0.83479532163742687"/>
    <m/>
    <m/>
    <m/>
    <m/>
    <m/>
  </r>
  <r>
    <x v="0"/>
    <x v="332"/>
    <n v="4483"/>
    <n v="799055"/>
    <n v="79"/>
    <n v="24351"/>
    <n v="306.28566294518697"/>
    <n v="0.90940790141846373"/>
    <m/>
    <m/>
    <m/>
    <m/>
    <m/>
  </r>
  <r>
    <x v="4"/>
    <x v="332"/>
    <n v="1195"/>
    <n v="208540"/>
    <n v="9"/>
    <n v="6039"/>
    <n v="525.19048030885222"/>
    <n v="0.938364122226095"/>
    <m/>
    <m/>
    <m/>
    <m/>
    <m/>
  </r>
  <r>
    <x v="1"/>
    <x v="332"/>
    <n v="115"/>
    <n v="5155"/>
    <m/>
    <n v="17"/>
    <n v="319.18120152706297"/>
    <n v="1.2485875706214689"/>
    <m/>
    <m/>
    <m/>
    <m/>
    <m/>
  </r>
  <r>
    <x v="2"/>
    <x v="332"/>
    <n v="202"/>
    <n v="30552"/>
    <n v="2"/>
    <n v="788"/>
    <n v="197.91771305418411"/>
    <n v="0.72572298325722984"/>
    <m/>
    <m/>
    <m/>
    <m/>
    <m/>
  </r>
  <r>
    <x v="3"/>
    <x v="332"/>
    <n v="392"/>
    <n v="41983"/>
    <n v="6"/>
    <n v="610"/>
    <n v="658.64935685967873"/>
    <n v="0.69597132127005801"/>
    <m/>
    <m/>
    <m/>
    <m/>
    <m/>
  </r>
  <r>
    <x v="6"/>
    <x v="332"/>
    <n v="178"/>
    <n v="17140"/>
    <m/>
    <n v="2694"/>
    <n v="67.678070443696896"/>
    <n v="0.28509017587095331"/>
    <m/>
    <m/>
    <m/>
    <m/>
    <m/>
  </r>
  <r>
    <x v="5"/>
    <x v="332"/>
    <n v="606"/>
    <n v="144457"/>
    <n v="11"/>
    <n v="199"/>
    <n v="620.71679093790954"/>
    <n v="2.1659402241594021"/>
    <m/>
    <m/>
    <m/>
    <m/>
    <m/>
  </r>
  <r>
    <x v="7"/>
    <x v="332"/>
    <n v="306"/>
    <n v="40622"/>
    <n v="7"/>
    <n v="714"/>
    <n v="343.44400744321086"/>
    <n v="0.77905073649754497"/>
    <m/>
    <m/>
    <m/>
    <m/>
    <m/>
  </r>
  <r>
    <x v="8"/>
    <x v="332"/>
    <n v="8"/>
    <n v="841"/>
    <m/>
    <n v="5"/>
    <n v="46.761942058153345"/>
    <n v="0.83480825958702065"/>
    <m/>
    <m/>
    <m/>
    <m/>
    <m/>
  </r>
  <r>
    <x v="9"/>
    <x v="332"/>
    <n v="29"/>
    <n v="19275"/>
    <n v="1"/>
    <n v="872"/>
    <n v="64.212245469793643"/>
    <n v="2.2811059907834101"/>
    <m/>
    <m/>
    <m/>
    <m/>
    <m/>
  </r>
  <r>
    <x v="10"/>
    <x v="332"/>
    <n v="82"/>
    <n v="16320"/>
    <m/>
    <n v="237"/>
    <n v="442.48775207294074"/>
    <n v="0.43368881596937381"/>
    <m/>
    <m/>
    <m/>
    <m/>
    <m/>
  </r>
  <r>
    <x v="11"/>
    <x v="332"/>
    <n v="17"/>
    <n v="9515"/>
    <m/>
    <n v="411"/>
    <n v="61.74862971405048"/>
    <n v="1.51875"/>
    <m/>
    <m/>
    <m/>
    <m/>
    <m/>
  </r>
  <r>
    <x v="12"/>
    <x v="332"/>
    <n v="118"/>
    <n v="63690"/>
    <n v="8"/>
    <n v="1359"/>
    <n v="83.000977723381652"/>
    <n v="0.89297297297297296"/>
    <m/>
    <m/>
    <m/>
    <m/>
    <m/>
  </r>
  <r>
    <x v="13"/>
    <x v="332"/>
    <n v="217"/>
    <n v="4369"/>
    <n v="3"/>
    <n v="82"/>
    <n v="198.4469917402287"/>
    <n v="3.1926020408163267"/>
    <m/>
    <m/>
    <m/>
    <m/>
    <m/>
  </r>
  <r>
    <x v="14"/>
    <x v="332"/>
    <n v="485"/>
    <n v="53529"/>
    <m/>
    <n v="768"/>
    <n v="875.97901987329396"/>
    <n v="0.90004641807210273"/>
    <m/>
    <m/>
    <m/>
    <m/>
    <m/>
  </r>
  <r>
    <x v="15"/>
    <x v="332"/>
    <n v="330"/>
    <n v="47632"/>
    <n v="9"/>
    <n v="1072"/>
    <n v="564.59918941694207"/>
    <n v="0.89598811292719172"/>
    <m/>
    <m/>
    <m/>
    <m/>
    <m/>
  </r>
  <r>
    <x v="16"/>
    <x v="332"/>
    <n v="44"/>
    <n v="23724"/>
    <n v="3"/>
    <n v="1043"/>
    <n v="52.302834111557388"/>
    <n v="1.2713310580204777"/>
    <m/>
    <m/>
    <m/>
    <m/>
    <m/>
  </r>
  <r>
    <x v="17"/>
    <x v="332"/>
    <n v="71"/>
    <n v="13906"/>
    <m/>
    <n v="198"/>
    <n v="112.38874730068599"/>
    <n v="0.59850034083162917"/>
    <m/>
    <m/>
    <m/>
    <m/>
    <m/>
  </r>
  <r>
    <x v="18"/>
    <x v="332"/>
    <n v="14"/>
    <n v="18961"/>
    <m/>
    <n v="330"/>
    <n v="426.49627799373638"/>
    <n v="3.6498316498316496"/>
    <m/>
    <m/>
    <m/>
    <m/>
    <m/>
  </r>
  <r>
    <x v="19"/>
    <x v="332"/>
    <n v="164"/>
    <n v="32304"/>
    <n v="2"/>
    <n v="489"/>
    <n v="939.29964068712445"/>
    <n v="0.68975903614457834"/>
    <m/>
    <m/>
    <m/>
    <m/>
    <m/>
  </r>
  <r>
    <x v="20"/>
    <x v="332"/>
    <n v="631"/>
    <n v="205094"/>
    <n v="27"/>
    <n v="3494"/>
    <n v="332.68126109526645"/>
    <n v="0.70864956029394044"/>
    <m/>
    <m/>
    <m/>
    <m/>
    <m/>
  </r>
  <r>
    <x v="21"/>
    <x v="332"/>
    <n v="-53"/>
    <n v="20670"/>
    <n v="1"/>
    <n v="242"/>
    <n v="135.74387747070722"/>
    <n v="0.69784550709406201"/>
    <m/>
    <m/>
    <m/>
    <m/>
    <m/>
  </r>
  <r>
    <x v="22"/>
    <x v="332"/>
    <n v="66"/>
    <n v="21760"/>
    <m/>
    <n v="332"/>
    <n v="621.50087654809704"/>
    <n v="0.7631944444444444"/>
    <m/>
    <m/>
    <m/>
    <m/>
    <m/>
  </r>
  <r>
    <x v="23"/>
    <x v="332"/>
    <n v="138"/>
    <n v="76268"/>
    <n v="6"/>
    <n v="1427"/>
    <n v="127.99057743872503"/>
    <n v="0.73425863236289779"/>
    <m/>
    <m/>
    <m/>
    <m/>
    <m/>
  </r>
  <r>
    <x v="0"/>
    <x v="333"/>
    <n v="3066"/>
    <n v="802121"/>
    <n v="120"/>
    <n v="24471"/>
    <n v="303.63475215209775"/>
    <n v="0.88018707342466662"/>
    <m/>
    <m/>
    <m/>
    <m/>
    <m/>
  </r>
  <r>
    <x v="4"/>
    <x v="333"/>
    <n v="951"/>
    <n v="209491"/>
    <n v="5"/>
    <n v="6044"/>
    <n v="518.91537582673698"/>
    <n v="0.89346694284274752"/>
    <m/>
    <m/>
    <m/>
    <m/>
    <m/>
  </r>
  <r>
    <x v="1"/>
    <x v="333"/>
    <n v="86"/>
    <n v="5241"/>
    <m/>
    <n v="17"/>
    <n v="283.31544057115622"/>
    <n v="0.9446227929373997"/>
    <m/>
    <m/>
    <m/>
    <m/>
    <m/>
  </r>
  <r>
    <x v="2"/>
    <x v="333"/>
    <n v="116"/>
    <n v="30668"/>
    <m/>
    <n v="788"/>
    <n v="193.434677607487"/>
    <n v="0.70541931577353922"/>
    <m/>
    <m/>
    <m/>
    <m/>
    <m/>
  </r>
  <r>
    <x v="3"/>
    <x v="333"/>
    <n v="233"/>
    <n v="42216"/>
    <n v="7"/>
    <n v="617"/>
    <n v="667.05008449193372"/>
    <n v="0.70762639245929737"/>
    <m/>
    <m/>
    <m/>
    <m/>
    <m/>
  </r>
  <r>
    <x v="6"/>
    <x v="333"/>
    <n v="192"/>
    <n v="17332"/>
    <m/>
    <n v="204"/>
    <n v="58.530229094922156"/>
    <n v="0.23464818763326226"/>
    <m/>
    <m/>
    <m/>
    <m/>
    <m/>
  </r>
  <r>
    <x v="5"/>
    <x v="333"/>
    <n v="239"/>
    <n v="144696"/>
    <n v="5"/>
    <n v="2694"/>
    <n v="635.08151759322129"/>
    <n v="2.2334483840602446"/>
    <m/>
    <m/>
    <m/>
    <m/>
    <m/>
  </r>
  <r>
    <x v="7"/>
    <x v="333"/>
    <n v="240"/>
    <n v="40862"/>
    <n v="5"/>
    <n v="719"/>
    <n v="338.10475186531221"/>
    <n v="0.74605954465849389"/>
    <m/>
    <m/>
    <m/>
    <m/>
    <m/>
  </r>
  <r>
    <x v="8"/>
    <x v="333"/>
    <n v="2"/>
    <n v="843"/>
    <m/>
    <n v="5"/>
    <n v="42.300555360025648"/>
    <n v="0.6975476839237057"/>
    <m/>
    <m/>
    <m/>
    <m/>
    <m/>
  </r>
  <r>
    <x v="9"/>
    <x v="333"/>
    <n v="17"/>
    <n v="19292"/>
    <m/>
    <n v="872"/>
    <n v="63.69335863771451"/>
    <n v="2.0543933054393304"/>
    <m/>
    <m/>
    <m/>
    <m/>
    <m/>
  </r>
  <r>
    <x v="10"/>
    <x v="333"/>
    <n v="70"/>
    <n v="16390"/>
    <m/>
    <n v="237"/>
    <n v="431.32790964991574"/>
    <n v="0.43305322128851542"/>
    <m/>
    <m/>
    <m/>
    <m/>
    <m/>
  </r>
  <r>
    <x v="11"/>
    <x v="333"/>
    <n v="17"/>
    <n v="9532"/>
    <m/>
    <n v="411"/>
    <n v="63.019177650553573"/>
    <n v="1.5214723926380369"/>
    <m/>
    <m/>
    <m/>
    <m/>
    <m/>
  </r>
  <r>
    <x v="12"/>
    <x v="333"/>
    <n v="78"/>
    <n v="63768"/>
    <m/>
    <n v="1359"/>
    <n v="80.137142535589433"/>
    <n v="0.83072916666666663"/>
    <m/>
    <m/>
    <m/>
    <m/>
    <m/>
  </r>
  <r>
    <x v="13"/>
    <x v="333"/>
    <n v="208"/>
    <n v="4577"/>
    <n v="2"/>
    <n v="84"/>
    <n v="203.52114574397405"/>
    <n v="2.7721382289416847"/>
    <m/>
    <m/>
    <m/>
    <m/>
    <m/>
  </r>
  <r>
    <x v="14"/>
    <x v="333"/>
    <n v="275"/>
    <n v="53804"/>
    <m/>
    <n v="768"/>
    <n v="875.22607246064717"/>
    <n v="0.9027648337993166"/>
    <m/>
    <m/>
    <m/>
    <m/>
    <m/>
  </r>
  <r>
    <x v="15"/>
    <x v="333"/>
    <n v="182"/>
    <n v="47814"/>
    <n v="2"/>
    <n v="1074"/>
    <n v="549.35059723652705"/>
    <n v="0.84732824427480913"/>
    <m/>
    <m/>
    <m/>
    <m/>
    <m/>
  </r>
  <r>
    <x v="16"/>
    <x v="333"/>
    <n v="54"/>
    <n v="23778"/>
    <m/>
    <n v="1043"/>
    <n v="51.600782646972718"/>
    <n v="1.152037617554859"/>
    <m/>
    <m/>
    <m/>
    <m/>
    <m/>
  </r>
  <r>
    <x v="17"/>
    <x v="333"/>
    <n v="33"/>
    <n v="13939"/>
    <m/>
    <n v="198"/>
    <n v="108.93260131307947"/>
    <n v="0.5587655942219304"/>
    <m/>
    <m/>
    <m/>
    <m/>
    <m/>
  </r>
  <r>
    <x v="18"/>
    <x v="333"/>
    <n v="27"/>
    <n v="18988"/>
    <m/>
    <n v="330"/>
    <n v="427.08644812011147"/>
    <n v="3.5243506493506493"/>
    <m/>
    <m/>
    <m/>
    <m/>
    <m/>
  </r>
  <r>
    <x v="19"/>
    <x v="333"/>
    <n v="137"/>
    <n v="32441"/>
    <n v="4"/>
    <n v="493"/>
    <n v="910.04052524213967"/>
    <n v="0.67656027647895911"/>
    <m/>
    <m/>
    <m/>
    <m/>
    <m/>
  </r>
  <r>
    <x v="20"/>
    <x v="333"/>
    <n v="515"/>
    <n v="205609"/>
    <n v="6"/>
    <n v="3500"/>
    <n v="316.76119734714615"/>
    <n v="0.65462833099579243"/>
    <m/>
    <m/>
    <m/>
    <m/>
    <m/>
  </r>
  <r>
    <x v="21"/>
    <x v="333"/>
    <n v="92"/>
    <n v="20762"/>
    <m/>
    <n v="242"/>
    <n v="133.59732519142648"/>
    <n v="0.69226694915254239"/>
    <m/>
    <m/>
    <m/>
    <m/>
    <m/>
  </r>
  <r>
    <x v="22"/>
    <x v="333"/>
    <n v="15"/>
    <n v="21775"/>
    <m/>
    <n v="332"/>
    <n v="607.92851891647342"/>
    <n v="0.78409919766593728"/>
    <m/>
    <m/>
    <m/>
    <m/>
    <m/>
  </r>
  <r>
    <x v="23"/>
    <x v="333"/>
    <n v="57"/>
    <n v="76325"/>
    <m/>
    <n v="1427"/>
    <n v="125.8072434759621"/>
    <n v="0.71019320453031309"/>
    <m/>
    <m/>
    <m/>
    <m/>
    <m/>
  </r>
  <r>
    <x v="0"/>
    <x v="334"/>
    <n v="2227"/>
    <n v="804348"/>
    <n v="13"/>
    <n v="24484"/>
    <n v="301.51972440105237"/>
    <n v="0.86598444535407282"/>
    <m/>
    <m/>
    <m/>
    <m/>
    <m/>
  </r>
  <r>
    <x v="4"/>
    <x v="334"/>
    <n v="757"/>
    <n v="210248"/>
    <n v="2"/>
    <n v="6046"/>
    <n v="505.90997793634244"/>
    <n v="0.85527400648601115"/>
    <m/>
    <m/>
    <m/>
    <m/>
    <m/>
  </r>
  <r>
    <x v="1"/>
    <x v="334"/>
    <n v="142"/>
    <n v="5383"/>
    <m/>
    <n v="17"/>
    <n v="289.33318569798621"/>
    <n v="0.90375939849624065"/>
    <m/>
    <m/>
    <m/>
    <m/>
    <m/>
  </r>
  <r>
    <x v="2"/>
    <x v="334"/>
    <n v="86"/>
    <n v="30754"/>
    <m/>
    <n v="788"/>
    <n v="186.21200938780828"/>
    <n v="0.66696402022004164"/>
    <m/>
    <m/>
    <m/>
    <m/>
    <m/>
  </r>
  <r>
    <x v="3"/>
    <x v="334"/>
    <n v="90"/>
    <n v="42306"/>
    <m/>
    <n v="617"/>
    <n v="657.19538476948082"/>
    <n v="0.70331950207468885"/>
    <m/>
    <m/>
    <m/>
    <m/>
    <m/>
  </r>
  <r>
    <x v="6"/>
    <x v="334"/>
    <n v="41"/>
    <n v="17373"/>
    <m/>
    <n v="204"/>
    <n v="50.685423287106602"/>
    <n v="0.20363247863247863"/>
    <m/>
    <m/>
    <m/>
    <m/>
    <m/>
  </r>
  <r>
    <x v="5"/>
    <x v="334"/>
    <n v="344"/>
    <n v="145040"/>
    <n v="1"/>
    <n v="2695"/>
    <n v="651.31990424705191"/>
    <n v="2.2496147919876734"/>
    <m/>
    <m/>
    <m/>
    <m/>
    <m/>
  </r>
  <r>
    <x v="7"/>
    <x v="334"/>
    <n v="127"/>
    <n v="40989"/>
    <n v="5"/>
    <n v="724"/>
    <n v="324.54015661335347"/>
    <n v="0.7103600758054327"/>
    <m/>
    <m/>
    <m/>
    <m/>
    <m/>
  </r>
  <r>
    <x v="8"/>
    <x v="334"/>
    <n v="0"/>
    <n v="843"/>
    <m/>
    <n v="5"/>
    <n v="29.742577987518033"/>
    <n v="0.40723981900452488"/>
    <m/>
    <m/>
    <m/>
    <m/>
    <m/>
  </r>
  <r>
    <x v="9"/>
    <x v="334"/>
    <n v="17"/>
    <n v="19309"/>
    <n v="1"/>
    <n v="873"/>
    <n v="58.11532519286375"/>
    <n v="1.5238095238095237"/>
    <m/>
    <m/>
    <m/>
    <m/>
    <m/>
  </r>
  <r>
    <x v="10"/>
    <x v="334"/>
    <n v="49"/>
    <n v="16439"/>
    <n v="1"/>
    <n v="238"/>
    <n v="402.870311471202"/>
    <n v="0.40941309895094979"/>
    <m/>
    <m/>
    <m/>
    <m/>
    <m/>
  </r>
  <r>
    <x v="11"/>
    <x v="334"/>
    <n v="16"/>
    <n v="9548"/>
    <m/>
    <n v="411"/>
    <n v="60.986300952148625"/>
    <n v="1.3043478260869565"/>
    <m/>
    <m/>
    <m/>
    <m/>
    <m/>
  </r>
  <r>
    <x v="12"/>
    <x v="334"/>
    <n v="45"/>
    <n v="63813"/>
    <n v="3"/>
    <n v="1362"/>
    <n v="80.036657090403736"/>
    <n v="0.84285714285714286"/>
    <m/>
    <m/>
    <m/>
    <m/>
    <m/>
  </r>
  <r>
    <x v="13"/>
    <x v="334"/>
    <n v="132"/>
    <n v="4709"/>
    <m/>
    <n v="84"/>
    <n v="200.50836680425024"/>
    <n v="2.3948863636363638"/>
    <m/>
    <m/>
    <m/>
    <m/>
    <m/>
  </r>
  <r>
    <x v="14"/>
    <x v="334"/>
    <n v="253"/>
    <n v="54057"/>
    <n v="2"/>
    <n v="770"/>
    <n v="880.49670434917482"/>
    <n v="0.93045830681094843"/>
    <m/>
    <m/>
    <m/>
    <m/>
    <m/>
  </r>
  <r>
    <x v="15"/>
    <x v="334"/>
    <n v="74"/>
    <n v="47888"/>
    <n v="1"/>
    <n v="1075"/>
    <n v="535.57336044194165"/>
    <n v="0.83208645054031583"/>
    <m/>
    <m/>
    <m/>
    <m/>
    <m/>
  </r>
  <r>
    <x v="16"/>
    <x v="334"/>
    <n v="28"/>
    <n v="23806"/>
    <n v="3"/>
    <n v="1046"/>
    <n v="50.617910596554196"/>
    <n v="1.0729166666666667"/>
    <m/>
    <m/>
    <m/>
    <m/>
    <m/>
  </r>
  <r>
    <x v="17"/>
    <x v="334"/>
    <n v="11"/>
    <n v="13950"/>
    <m/>
    <n v="198"/>
    <n v="109.95664456866658"/>
    <n v="0.57535164099129266"/>
    <m/>
    <m/>
    <m/>
    <m/>
    <m/>
  </r>
  <r>
    <x v="18"/>
    <x v="334"/>
    <n v="22"/>
    <n v="19010"/>
    <m/>
    <n v="330"/>
    <n v="420.00440660361028"/>
    <n v="3.2846153846153845"/>
    <m/>
    <m/>
    <m/>
    <m/>
    <m/>
  </r>
  <r>
    <x v="19"/>
    <x v="334"/>
    <n v="97"/>
    <n v="32538"/>
    <m/>
    <n v="493"/>
    <n v="863.82752981968724"/>
    <n v="0.63459220570510244"/>
    <m/>
    <m/>
    <m/>
    <m/>
    <m/>
  </r>
  <r>
    <x v="20"/>
    <x v="334"/>
    <n v="217"/>
    <n v="205826"/>
    <n v="8"/>
    <n v="3508"/>
    <n v="304.37578363191227"/>
    <n v="0.62396382818387341"/>
    <m/>
    <m/>
    <m/>
    <m/>
    <m/>
  </r>
  <r>
    <x v="21"/>
    <x v="334"/>
    <n v="88"/>
    <n v="20850"/>
    <n v="1"/>
    <n v="243"/>
    <n v="127.87318578001111"/>
    <n v="0.63118062563067612"/>
    <m/>
    <m/>
    <m/>
    <m/>
    <m/>
  </r>
  <r>
    <x v="22"/>
    <x v="334"/>
    <n v="41"/>
    <n v="21816"/>
    <n v="2"/>
    <n v="334"/>
    <n v="597.18373579143815"/>
    <n v="0.79518072289156627"/>
    <m/>
    <m/>
    <m/>
    <m/>
    <m/>
  </r>
  <r>
    <x v="23"/>
    <x v="334"/>
    <n v="71"/>
    <n v="76396"/>
    <m/>
    <n v="1427"/>
    <n v="123.85994561728162"/>
    <n v="0.69966666666666666"/>
    <m/>
    <m/>
    <m/>
    <m/>
    <m/>
  </r>
  <r>
    <x v="0"/>
    <x v="335"/>
    <n v="2566"/>
    <n v="806914"/>
    <n v="144"/>
    <n v="24628"/>
    <n v="299.11965247870705"/>
    <n v="0.85872571643671958"/>
    <m/>
    <m/>
    <m/>
    <m/>
    <m/>
  </r>
  <r>
    <x v="4"/>
    <x v="335"/>
    <n v="868"/>
    <n v="211116"/>
    <n v="28"/>
    <n v="6074"/>
    <n v="494.79036274005523"/>
    <n v="0.83031427324312523"/>
    <m/>
    <m/>
    <m/>
    <m/>
    <m/>
  </r>
  <r>
    <x v="1"/>
    <x v="335"/>
    <n v="160"/>
    <n v="5543"/>
    <m/>
    <n v="17"/>
    <n v="313.64487601037939"/>
    <n v="0.95040116703136401"/>
    <m/>
    <m/>
    <m/>
    <m/>
    <m/>
  </r>
  <r>
    <x v="2"/>
    <x v="335"/>
    <n v="93"/>
    <n v="30847"/>
    <n v="8"/>
    <n v="796"/>
    <n v="182.22708899074419"/>
    <n v="0.65935716431360769"/>
    <m/>
    <m/>
    <m/>
    <m/>
    <m/>
  </r>
  <r>
    <x v="3"/>
    <x v="335"/>
    <n v="216"/>
    <n v="42522"/>
    <n v="19"/>
    <n v="636"/>
    <n v="662.52661576687331"/>
    <n v="0.72558386411889597"/>
    <m/>
    <m/>
    <m/>
    <m/>
    <m/>
  </r>
  <r>
    <x v="6"/>
    <x v="335"/>
    <n v="190"/>
    <n v="17563"/>
    <n v="2"/>
    <n v="206"/>
    <n v="53.238309244904201"/>
    <n v="0.21875"/>
    <m/>
    <m/>
    <m/>
    <m/>
    <m/>
  </r>
  <r>
    <x v="5"/>
    <x v="335"/>
    <n v="298"/>
    <n v="145338"/>
    <n v="4"/>
    <n v="2699"/>
    <n v="647.30491853593992"/>
    <n v="2.1650253655625185"/>
    <m/>
    <m/>
    <m/>
    <m/>
    <m/>
  </r>
  <r>
    <x v="7"/>
    <x v="335"/>
    <n v="179"/>
    <n v="41168"/>
    <n v="5"/>
    <n v="729"/>
    <n v="320.06672626430327"/>
    <n v="0.7024544734758511"/>
    <m/>
    <m/>
    <m/>
    <m/>
    <m/>
  </r>
  <r>
    <x v="8"/>
    <x v="335"/>
    <n v="4"/>
    <n v="847"/>
    <m/>
    <n v="5"/>
    <n v="28.255449088142129"/>
    <n v="0.37582417582417582"/>
    <m/>
    <m/>
    <m/>
    <m/>
    <m/>
  </r>
  <r>
    <x v="9"/>
    <x v="335"/>
    <n v="40"/>
    <n v="19349"/>
    <m/>
    <n v="873"/>
    <n v="56.03977786454719"/>
    <n v="1.2413793103448276"/>
    <m/>
    <m/>
    <m/>
    <m/>
    <m/>
  </r>
  <r>
    <x v="10"/>
    <x v="335"/>
    <n v="74"/>
    <n v="16513"/>
    <n v="1"/>
    <n v="239"/>
    <n v="386.40954389724016"/>
    <n v="0.39696188019489825"/>
    <m/>
    <m/>
    <m/>
    <m/>
    <m/>
  </r>
  <r>
    <x v="11"/>
    <x v="335"/>
    <n v="11"/>
    <n v="9559"/>
    <n v="3"/>
    <n v="414"/>
    <n v="60.732191364848006"/>
    <n v="1.2383419689119171"/>
    <m/>
    <m/>
    <m/>
    <m/>
    <m/>
  </r>
  <r>
    <x v="12"/>
    <x v="335"/>
    <n v="82"/>
    <n v="63895"/>
    <n v="6"/>
    <n v="1368"/>
    <n v="80.589327038925049"/>
    <n v="0.84778012684989434"/>
    <m/>
    <m/>
    <m/>
    <m/>
    <m/>
  </r>
  <r>
    <x v="13"/>
    <x v="335"/>
    <n v="150"/>
    <n v="4859"/>
    <n v="5"/>
    <n v="89"/>
    <n v="200.66693411686728"/>
    <n v="2.161400512382579"/>
    <m/>
    <m/>
    <m/>
    <m/>
    <m/>
  </r>
  <r>
    <x v="14"/>
    <x v="335"/>
    <n v="373"/>
    <n v="54430"/>
    <n v="4"/>
    <n v="774"/>
    <n v="866.04011402635615"/>
    <n v="0.89190446650124067"/>
    <m/>
    <m/>
    <m/>
    <m/>
    <m/>
  </r>
  <r>
    <x v="15"/>
    <x v="335"/>
    <n v="298"/>
    <n v="48186"/>
    <n v="6"/>
    <n v="1081"/>
    <n v="538.51607121360064"/>
    <n v="0.83909962484368483"/>
    <m/>
    <m/>
    <m/>
    <m/>
    <m/>
  </r>
  <r>
    <x v="16"/>
    <x v="335"/>
    <n v="20"/>
    <n v="23826"/>
    <m/>
    <n v="1046"/>
    <n v="50.477500303637257"/>
    <n v="1.0683506686478454"/>
    <m/>
    <m/>
    <m/>
    <m/>
    <m/>
  </r>
  <r>
    <x v="17"/>
    <x v="335"/>
    <n v="47"/>
    <n v="13997"/>
    <n v="2"/>
    <n v="200"/>
    <n v="105.98847695326651"/>
    <n v="0.55495978552278824"/>
    <m/>
    <m/>
    <m/>
    <m/>
    <m/>
  </r>
  <r>
    <x v="18"/>
    <x v="335"/>
    <n v="6"/>
    <n v="19016"/>
    <m/>
    <n v="330"/>
    <n v="403.67636644056597"/>
    <n v="2.9696092619392185"/>
    <m/>
    <m/>
    <m/>
    <m/>
    <m/>
  </r>
  <r>
    <x v="19"/>
    <x v="335"/>
    <n v="140"/>
    <n v="32678"/>
    <n v="12"/>
    <n v="505"/>
    <n v="820.34903116779412"/>
    <n v="0.60386473429951693"/>
    <m/>
    <m/>
    <m/>
    <m/>
    <m/>
  </r>
  <r>
    <x v="20"/>
    <x v="335"/>
    <n v="523"/>
    <n v="206349"/>
    <n v="22"/>
    <n v="3530"/>
    <n v="294.98775314456606"/>
    <n v="0.61148886283704573"/>
    <m/>
    <m/>
    <m/>
    <m/>
    <m/>
  </r>
  <r>
    <x v="21"/>
    <x v="335"/>
    <n v="104"/>
    <n v="20954"/>
    <n v="1"/>
    <n v="244"/>
    <n v="128.0776193304188"/>
    <n v="0.63668699186991873"/>
    <m/>
    <m/>
    <m/>
    <m/>
    <m/>
  </r>
  <r>
    <x v="22"/>
    <x v="335"/>
    <n v="36"/>
    <n v="21852"/>
    <m/>
    <n v="334"/>
    <n v="546.85290957416726"/>
    <n v="0.71470805617147082"/>
    <m/>
    <m/>
    <m/>
    <m/>
    <m/>
  </r>
  <r>
    <x v="23"/>
    <x v="335"/>
    <n v="136"/>
    <n v="76532"/>
    <n v="2"/>
    <n v="1429"/>
    <n v="121.32255749839496"/>
    <n v="0.71141868512110729"/>
    <m/>
    <m/>
    <m/>
    <m/>
    <m/>
  </r>
  <r>
    <x v="0"/>
    <x v="336"/>
    <n v="4243"/>
    <n v="811157"/>
    <n v="42"/>
    <n v="24670"/>
    <n v="294.10287506382849"/>
    <n v="0.8484335169805115"/>
    <m/>
    <m/>
    <m/>
    <m/>
    <m/>
  </r>
  <r>
    <x v="4"/>
    <x v="336"/>
    <n v="1270"/>
    <n v="212386"/>
    <n v="15"/>
    <n v="6089"/>
    <n v="490.95377036238892"/>
    <n v="0.82644628099173556"/>
    <m/>
    <m/>
    <m/>
    <m/>
    <m/>
  </r>
  <r>
    <x v="1"/>
    <x v="336"/>
    <n v="135"/>
    <n v="5678"/>
    <m/>
    <n v="17"/>
    <n v="309.07138971398859"/>
    <n v="0.87704918032786883"/>
    <m/>
    <m/>
    <m/>
    <m/>
    <m/>
  </r>
  <r>
    <x v="2"/>
    <x v="336"/>
    <n v="161"/>
    <n v="31008"/>
    <n v="2"/>
    <n v="798"/>
    <n v="177.99311106886358"/>
    <n v="0.66152422091946927"/>
    <m/>
    <m/>
    <m/>
    <m/>
    <m/>
  </r>
  <r>
    <x v="3"/>
    <x v="336"/>
    <n v="327"/>
    <n v="42849"/>
    <n v="21"/>
    <n v="657"/>
    <n v="658.97246176861165"/>
    <n v="0.75286083425618311"/>
    <m/>
    <m/>
    <m/>
    <m/>
    <m/>
  </r>
  <r>
    <x v="6"/>
    <x v="336"/>
    <n v="175"/>
    <n v="17738"/>
    <m/>
    <n v="206"/>
    <n v="55.498677020037498"/>
    <n v="0.2503899220155969"/>
    <m/>
    <m/>
    <m/>
    <m/>
    <m/>
  </r>
  <r>
    <x v="5"/>
    <x v="336"/>
    <n v="571"/>
    <n v="145909"/>
    <n v="5"/>
    <n v="2704"/>
    <n v="638.65039378087636"/>
    <n v="1.8626073380171742"/>
    <m/>
    <m/>
    <m/>
    <m/>
    <m/>
  </r>
  <r>
    <x v="7"/>
    <x v="336"/>
    <n v="284"/>
    <n v="41452"/>
    <n v="12"/>
    <n v="741"/>
    <n v="308.45023777725351"/>
    <n v="0.68840579710144922"/>
    <m/>
    <m/>
    <m/>
    <m/>
    <m/>
  </r>
  <r>
    <x v="8"/>
    <x v="336"/>
    <n v="4"/>
    <n v="851"/>
    <m/>
    <n v="5"/>
    <n v="27.594502910641729"/>
    <n v="0.36462882096069871"/>
    <m/>
    <m/>
    <m/>
    <m/>
    <m/>
  </r>
  <r>
    <x v="9"/>
    <x v="336"/>
    <n v="22"/>
    <n v="19371"/>
    <m/>
    <n v="873"/>
    <n v="55.65061274048783"/>
    <n v="1.2118644067796611"/>
    <m/>
    <m/>
    <m/>
    <m/>
    <m/>
  </r>
  <r>
    <x v="10"/>
    <x v="336"/>
    <n v="88"/>
    <n v="16601"/>
    <n v="11"/>
    <n v="250"/>
    <n v="367.15881571752209"/>
    <n v="0.39330543933054396"/>
    <m/>
    <m/>
    <m/>
    <m/>
    <m/>
  </r>
  <r>
    <x v="11"/>
    <x v="336"/>
    <n v="6"/>
    <n v="9565"/>
    <m/>
    <n v="414"/>
    <n v="59.969862602946144"/>
    <n v="1.2291666666666667"/>
    <m/>
    <m/>
    <m/>
    <m/>
    <m/>
  </r>
  <r>
    <x v="12"/>
    <x v="336"/>
    <n v="146"/>
    <n v="64041"/>
    <n v="3"/>
    <n v="1371"/>
    <n v="80.488841593739366"/>
    <n v="0.84986737400530499"/>
    <m/>
    <m/>
    <m/>
    <m/>
    <m/>
  </r>
  <r>
    <x v="13"/>
    <x v="336"/>
    <n v="284"/>
    <n v="5143"/>
    <n v="3"/>
    <n v="92"/>
    <n v="204.31398230705923"/>
    <n v="1.8354700854700854"/>
    <m/>
    <m/>
    <m/>
    <m/>
    <m/>
  </r>
  <r>
    <x v="14"/>
    <x v="336"/>
    <n v="499"/>
    <n v="54929"/>
    <n v="2"/>
    <n v="776"/>
    <n v="878.38845159376388"/>
    <n v="0.94202196382428938"/>
    <m/>
    <m/>
    <m/>
    <m/>
    <m/>
  </r>
  <r>
    <x v="15"/>
    <x v="336"/>
    <n v="294"/>
    <n v="48480"/>
    <n v="4"/>
    <n v="1085"/>
    <n v="523.6687577747756"/>
    <n v="0.81207218419415061"/>
    <m/>
    <m/>
    <m/>
    <m/>
    <m/>
  </r>
  <r>
    <x v="16"/>
    <x v="336"/>
    <n v="57"/>
    <n v="23883"/>
    <m/>
    <n v="1046"/>
    <n v="51.319962061138853"/>
    <n v="1.0548340548340549"/>
    <m/>
    <m/>
    <m/>
    <m/>
    <m/>
  </r>
  <r>
    <x v="17"/>
    <x v="336"/>
    <n v="83"/>
    <n v="14080"/>
    <n v="1"/>
    <n v="201"/>
    <n v="105.47645532547295"/>
    <n v="0.60189919649379109"/>
    <m/>
    <m/>
    <m/>
    <m/>
    <m/>
  </r>
  <r>
    <x v="18"/>
    <x v="336"/>
    <n v="63"/>
    <n v="19079"/>
    <n v="2"/>
    <n v="332"/>
    <n v="397.57794180135659"/>
    <n v="2.7952973720608574"/>
    <m/>
    <m/>
    <m/>
    <m/>
    <m/>
  </r>
  <r>
    <x v="19"/>
    <x v="336"/>
    <n v="158"/>
    <n v="32836"/>
    <n v="2"/>
    <n v="507"/>
    <n v="744.05657126918925"/>
    <n v="0.55792495386508101"/>
    <m/>
    <m/>
    <m/>
    <m/>
    <m/>
  </r>
  <r>
    <x v="20"/>
    <x v="336"/>
    <n v="515"/>
    <n v="206864"/>
    <n v="47"/>
    <n v="3577"/>
    <n v="275.4482077627701"/>
    <n v="0.58020132229435939"/>
    <m/>
    <m/>
    <m/>
    <m/>
    <m/>
  </r>
  <r>
    <x v="21"/>
    <x v="336"/>
    <n v="69"/>
    <n v="21023"/>
    <n v="2"/>
    <n v="246"/>
    <n v="125.72663350073033"/>
    <n v="0.6333676622039135"/>
    <m/>
    <m/>
    <m/>
    <m/>
    <m/>
  </r>
  <r>
    <x v="22"/>
    <x v="336"/>
    <n v="58"/>
    <n v="21910"/>
    <n v="2"/>
    <n v="336"/>
    <n v="500.48068766611999"/>
    <n v="0.65217391304347827"/>
    <m/>
    <m/>
    <m/>
    <m/>
    <m/>
  </r>
  <r>
    <x v="23"/>
    <x v="336"/>
    <n v="183"/>
    <n v="76715"/>
    <m/>
    <n v="1429"/>
    <n v="120.08336795196193"/>
    <n v="0.71403508771929824"/>
    <m/>
    <m/>
    <m/>
    <m/>
    <m/>
  </r>
  <r>
    <x v="0"/>
    <x v="337"/>
    <n v="3688"/>
    <n v="814845"/>
    <n v="35"/>
    <n v="24705"/>
    <n v="287.20480611837053"/>
    <n v="0.83337193144974531"/>
    <m/>
    <m/>
    <m/>
    <m/>
    <m/>
  </r>
  <r>
    <x v="4"/>
    <x v="337"/>
    <n v="1071"/>
    <n v="213457"/>
    <n v="7"/>
    <n v="6096"/>
    <n v="484.41855792246571"/>
    <n v="0.82201379310344824"/>
    <m/>
    <m/>
    <m/>
    <m/>
    <m/>
  </r>
  <r>
    <x v="1"/>
    <x v="337"/>
    <n v="139"/>
    <n v="5817"/>
    <m/>
    <n v="17"/>
    <n v="321.34758977272179"/>
    <n v="0.88235294117647056"/>
    <m/>
    <m/>
    <m/>
    <m/>
    <m/>
  </r>
  <r>
    <x v="2"/>
    <x v="337"/>
    <n v="117"/>
    <n v="31125"/>
    <m/>
    <n v="798"/>
    <n v="172.9289413975946"/>
    <n v="0.66232114467408587"/>
    <m/>
    <m/>
    <m/>
    <m/>
    <m/>
  </r>
  <r>
    <x v="3"/>
    <x v="337"/>
    <n v="299"/>
    <n v="43148"/>
    <n v="4"/>
    <n v="661"/>
    <n v="652.18725868102115"/>
    <n v="0.76559833112080411"/>
    <m/>
    <m/>
    <m/>
    <m/>
    <m/>
  </r>
  <r>
    <x v="6"/>
    <x v="337"/>
    <n v="232"/>
    <n v="17970"/>
    <m/>
    <n v="206"/>
    <n v="58.397266284620194"/>
    <n v="0.29109225874867445"/>
    <m/>
    <m/>
    <m/>
    <m/>
    <m/>
  </r>
  <r>
    <x v="5"/>
    <x v="337"/>
    <n v="603"/>
    <n v="146512"/>
    <n v="6"/>
    <n v="2710"/>
    <n v="630.53120045396099"/>
    <n v="1.6313481071098799"/>
    <m/>
    <m/>
    <m/>
    <m/>
    <m/>
  </r>
  <r>
    <x v="7"/>
    <x v="337"/>
    <n v="265"/>
    <n v="41717"/>
    <n v="4"/>
    <n v="745"/>
    <n v="288.03119279691128"/>
    <n v="0.6413881748071979"/>
    <m/>
    <m/>
    <m/>
    <m/>
    <m/>
  </r>
  <r>
    <x v="8"/>
    <x v="337"/>
    <n v="4"/>
    <n v="855"/>
    <n v="2"/>
    <n v="7"/>
    <n v="25.611664378140528"/>
    <n v="0.33190578158458245"/>
    <m/>
    <m/>
    <m/>
    <m/>
    <m/>
  </r>
  <r>
    <x v="9"/>
    <x v="337"/>
    <n v="34"/>
    <n v="19405"/>
    <n v="1"/>
    <n v="874"/>
    <n v="55.00200420038891"/>
    <n v="1.1187335092348285"/>
    <m/>
    <m/>
    <m/>
    <m/>
    <m/>
  </r>
  <r>
    <x v="10"/>
    <x v="337"/>
    <n v="100"/>
    <n v="16701"/>
    <n v="2"/>
    <n v="252"/>
    <n v="361.29989844543394"/>
    <n v="0.42251223491027734"/>
    <m/>
    <m/>
    <m/>
    <m/>
    <m/>
  </r>
  <r>
    <x v="11"/>
    <x v="337"/>
    <n v="20"/>
    <n v="9585"/>
    <m/>
    <n v="414"/>
    <n v="57.428766729939959"/>
    <n v="1.0610328638497653"/>
    <m/>
    <m/>
    <m/>
    <m/>
    <m/>
  </r>
  <r>
    <x v="12"/>
    <x v="337"/>
    <n v="158"/>
    <n v="64199"/>
    <n v="4"/>
    <n v="1375"/>
    <n v="78.479132690025509"/>
    <n v="0.81100726895119424"/>
    <m/>
    <m/>
    <m/>
    <m/>
    <m/>
  </r>
  <r>
    <x v="13"/>
    <x v="337"/>
    <n v="190"/>
    <n v="5333"/>
    <n v="5"/>
    <n v="97"/>
    <n v="204.07613133813368"/>
    <n v="1.615819209039548"/>
    <m/>
    <m/>
    <m/>
    <m/>
    <m/>
  </r>
  <r>
    <x v="14"/>
    <x v="337"/>
    <n v="456"/>
    <n v="55385"/>
    <n v="8"/>
    <n v="784"/>
    <n v="866.79306143900294"/>
    <n v="0.93487087867467922"/>
    <m/>
    <m/>
    <m/>
    <m/>
    <m/>
  </r>
  <r>
    <x v="15"/>
    <x v="337"/>
    <n v="280"/>
    <n v="48760"/>
    <n v="8"/>
    <n v="1093"/>
    <n v="501.99970572892278"/>
    <n v="0.76874231872183529"/>
    <m/>
    <m/>
    <m/>
    <m/>
    <m/>
  </r>
  <r>
    <x v="16"/>
    <x v="337"/>
    <n v="90"/>
    <n v="23973"/>
    <n v="1"/>
    <n v="1047"/>
    <n v="52.232628965098911"/>
    <n v="1.0333333333333334"/>
    <m/>
    <m/>
    <m/>
    <m/>
    <m/>
  </r>
  <r>
    <x v="17"/>
    <x v="337"/>
    <n v="59"/>
    <n v="14139"/>
    <n v="1"/>
    <n v="202"/>
    <n v="100.74025526838253"/>
    <n v="0.58210059171597628"/>
    <m/>
    <m/>
    <m/>
    <m/>
    <m/>
  </r>
  <r>
    <x v="18"/>
    <x v="337"/>
    <n v="9"/>
    <n v="19088"/>
    <n v="2"/>
    <n v="334"/>
    <n v="378.88922113281188"/>
    <n v="2.5176470588235293"/>
    <m/>
    <m/>
    <m/>
    <m/>
    <m/>
  </r>
  <r>
    <x v="19"/>
    <x v="337"/>
    <n v="421"/>
    <n v="33257"/>
    <n v="1"/>
    <n v="508"/>
    <n v="724.09474484410634"/>
    <n v="0.53930753564154787"/>
    <m/>
    <m/>
    <m/>
    <m/>
    <m/>
  </r>
  <r>
    <x v="20"/>
    <x v="337"/>
    <n v="688"/>
    <n v="207552"/>
    <n v="16"/>
    <n v="3593"/>
    <n v="260.34818282227951"/>
    <n v="0.55800000000000005"/>
    <m/>
    <m/>
    <m/>
    <m/>
    <m/>
  </r>
  <r>
    <x v="21"/>
    <x v="337"/>
    <n v="91"/>
    <n v="21114"/>
    <m/>
    <n v="246"/>
    <n v="118.0603753604419"/>
    <n v="0.59937727036844834"/>
    <m/>
    <m/>
    <m/>
    <m/>
    <m/>
  </r>
  <r>
    <x v="22"/>
    <x v="337"/>
    <n v="57"/>
    <n v="21967"/>
    <m/>
    <n v="336"/>
    <n v="481.25318102131985"/>
    <n v="0.66640563821456533"/>
    <m/>
    <m/>
    <m/>
    <m/>
    <m/>
  </r>
  <r>
    <x v="23"/>
    <x v="337"/>
    <n v="125"/>
    <n v="76840"/>
    <n v="6"/>
    <n v="1435"/>
    <n v="118.72616035348766"/>
    <n v="0.72661610689779699"/>
    <m/>
    <m/>
    <m/>
    <m/>
    <m/>
  </r>
  <r>
    <x v="0"/>
    <x v="338"/>
    <n v="3709"/>
    <n v="818554"/>
    <n v="41"/>
    <n v="24746"/>
    <n v="281.95429248302605"/>
    <n v="0.82756889714371773"/>
    <m/>
    <m/>
    <m/>
    <m/>
    <m/>
  </r>
  <r>
    <x v="4"/>
    <x v="338"/>
    <n v="1214"/>
    <n v="214671"/>
    <n v="3"/>
    <n v="6099"/>
    <n v="482.76036969144042"/>
    <n v="0.83256700684086571"/>
    <m/>
    <m/>
    <m/>
    <m/>
    <m/>
  </r>
  <r>
    <x v="1"/>
    <x v="338"/>
    <n v="124"/>
    <n v="5941"/>
    <m/>
    <n v="17"/>
    <n v="328.32817411984456"/>
    <n v="0.86383787207093099"/>
    <m/>
    <m/>
    <m/>
    <m/>
    <m/>
  </r>
  <r>
    <x v="2"/>
    <x v="338"/>
    <n v="133"/>
    <n v="31258"/>
    <n v="4"/>
    <n v="802"/>
    <n v="160.64210350664692"/>
    <n v="0.62258687258687262"/>
    <m/>
    <m/>
    <m/>
    <m/>
    <m/>
  </r>
  <r>
    <x v="3"/>
    <x v="338"/>
    <n v="274"/>
    <n v="43422"/>
    <n v="4"/>
    <n v="665"/>
    <n v="634.90114605311203"/>
    <n v="0.7610379550735864"/>
    <m/>
    <m/>
    <m/>
    <m/>
    <m/>
  </r>
  <r>
    <x v="6"/>
    <x v="338"/>
    <n v="196"/>
    <n v="18166"/>
    <m/>
    <n v="206"/>
    <n v="60.019412570304084"/>
    <n v="0.33571322326342407"/>
    <m/>
    <m/>
    <m/>
    <m/>
    <m/>
  </r>
  <r>
    <x v="5"/>
    <x v="338"/>
    <n v="532"/>
    <n v="147044"/>
    <n v="7"/>
    <n v="2717"/>
    <n v="620.09223760506995"/>
    <n v="1.4567176692517292"/>
    <m/>
    <m/>
    <m/>
    <m/>
    <m/>
  </r>
  <r>
    <x v="7"/>
    <x v="338"/>
    <n v="218"/>
    <n v="41935"/>
    <n v="11"/>
    <n v="756"/>
    <n v="271.65266555119513"/>
    <n v="0.6190397895429135"/>
    <m/>
    <m/>
    <m/>
    <m/>
    <m/>
  </r>
  <r>
    <x v="8"/>
    <x v="338"/>
    <n v="3"/>
    <n v="858"/>
    <m/>
    <n v="7"/>
    <n v="16.358417893134916"/>
    <n v="0.19001919385796545"/>
    <m/>
    <m/>
    <m/>
    <m/>
    <m/>
  </r>
  <r>
    <x v="9"/>
    <x v="338"/>
    <n v="28"/>
    <n v="19433"/>
    <n v="2"/>
    <n v="876"/>
    <n v="52.796735164052556"/>
    <n v="0.99511002444987773"/>
    <m/>
    <m/>
    <m/>
    <m/>
    <m/>
  </r>
  <r>
    <x v="10"/>
    <x v="338"/>
    <n v="174"/>
    <n v="16875"/>
    <n v="4"/>
    <n v="256"/>
    <n v="371.0647605655808"/>
    <n v="0.47636103151862463"/>
    <m/>
    <m/>
    <m/>
    <m/>
    <m/>
  </r>
  <r>
    <x v="11"/>
    <x v="338"/>
    <n v="13"/>
    <n v="9598"/>
    <m/>
    <n v="414"/>
    <n v="55.904109206136233"/>
    <n v="1.0426540284360191"/>
    <m/>
    <m/>
    <m/>
    <m/>
    <m/>
  </r>
  <r>
    <x v="12"/>
    <x v="338"/>
    <n v="190"/>
    <n v="64389"/>
    <n v="5"/>
    <n v="1380"/>
    <n v="79.38350169669674"/>
    <n v="0.82291666666666663"/>
    <m/>
    <m/>
    <m/>
    <m/>
    <m/>
  </r>
  <r>
    <x v="13"/>
    <x v="338"/>
    <n v="200"/>
    <n v="5533"/>
    <n v="3"/>
    <n v="100"/>
    <n v="206.05822274584673"/>
    <n v="1.4775440591245026"/>
    <m/>
    <m/>
    <m/>
    <m/>
    <m/>
  </r>
  <r>
    <x v="14"/>
    <x v="338"/>
    <n v="489"/>
    <n v="55874"/>
    <n v="4"/>
    <n v="788"/>
    <n v="861.52242955047541"/>
    <n v="0.93956314665790774"/>
    <m/>
    <m/>
    <m/>
    <m/>
    <m/>
  </r>
  <r>
    <x v="15"/>
    <x v="338"/>
    <n v="189"/>
    <n v="48949"/>
    <n v="2"/>
    <n v="1095"/>
    <n v="491.83397760864625"/>
    <n v="0.78400852878464822"/>
    <m/>
    <m/>
    <m/>
    <m/>
    <m/>
  </r>
  <r>
    <x v="16"/>
    <x v="338"/>
    <n v="94"/>
    <n v="24067"/>
    <n v="2"/>
    <n v="1049"/>
    <n v="53.566526747809775"/>
    <n v="1.0509641873278237"/>
    <m/>
    <m/>
    <m/>
    <m/>
    <m/>
  </r>
  <r>
    <x v="17"/>
    <x v="338"/>
    <n v="84"/>
    <n v="14223"/>
    <m/>
    <n v="202"/>
    <n v="101.1242714892277"/>
    <n v="0.61192873741285825"/>
    <m/>
    <m/>
    <m/>
    <m/>
    <m/>
  </r>
  <r>
    <x v="18"/>
    <x v="338"/>
    <n v="4"/>
    <n v="19092"/>
    <n v="1"/>
    <n v="335"/>
    <n v="339.93799279205552"/>
    <n v="1.8823529411764706"/>
    <m/>
    <m/>
    <m/>
    <m/>
    <m/>
  </r>
  <r>
    <x v="19"/>
    <x v="338"/>
    <n v="181"/>
    <n v="33438"/>
    <n v="5"/>
    <n v="513"/>
    <n v="687.72593779566751"/>
    <n v="0.52802855343271049"/>
    <m/>
    <m/>
    <m/>
    <m/>
    <m/>
  </r>
  <r>
    <x v="20"/>
    <x v="338"/>
    <n v="570"/>
    <n v="208122"/>
    <n v="64"/>
    <n v="3657"/>
    <n v="245.33298948257814"/>
    <n v="0.53704735376044566"/>
    <m/>
    <m/>
    <m/>
    <m/>
    <m/>
  </r>
  <r>
    <x v="21"/>
    <x v="338"/>
    <n v="75"/>
    <n v="21189"/>
    <m/>
    <n v="246"/>
    <n v="115.50495598034576"/>
    <n v="0.60752688172043012"/>
    <m/>
    <m/>
    <m/>
    <m/>
    <m/>
  </r>
  <r>
    <x v="22"/>
    <x v="338"/>
    <n v="29"/>
    <n v="21996"/>
    <m/>
    <n v="336"/>
    <n v="437.70853361986093"/>
    <n v="0.59129106187929714"/>
    <m/>
    <m/>
    <m/>
    <m/>
    <m/>
  </r>
  <r>
    <x v="23"/>
    <x v="338"/>
    <n v="168"/>
    <n v="77008"/>
    <m/>
    <n v="1435"/>
    <n v="120.49643113410627"/>
    <n v="0.77524677296886868"/>
    <m/>
    <m/>
    <m/>
    <m/>
    <m/>
  </r>
  <r>
    <x v="0"/>
    <x v="339"/>
    <n v="3483"/>
    <n v="822037"/>
    <n v="158"/>
    <n v="24904"/>
    <n v="277.99787938538316"/>
    <n v="0.82646645085843096"/>
    <m/>
    <m/>
    <m/>
    <m/>
    <m/>
  </r>
  <r>
    <x v="4"/>
    <x v="339"/>
    <n v="1086"/>
    <n v="215757"/>
    <n v="27"/>
    <n v="6126"/>
    <n v="480.35437108171749"/>
    <n v="0.84215926580402445"/>
    <m/>
    <m/>
    <m/>
    <m/>
    <m/>
  </r>
  <r>
    <x v="1"/>
    <x v="339"/>
    <n v="110"/>
    <n v="6051"/>
    <m/>
    <n v="17"/>
    <n v="342.28934281409016"/>
    <n v="0.90228426395939088"/>
    <m/>
    <m/>
    <m/>
    <m/>
    <m/>
  </r>
  <r>
    <x v="2"/>
    <x v="339"/>
    <n v="159"/>
    <n v="31417"/>
    <n v="5"/>
    <n v="807"/>
    <n v="158.7326624830537"/>
    <n v="0.63903743315508021"/>
    <m/>
    <m/>
    <m/>
    <m/>
    <m/>
  </r>
  <r>
    <x v="3"/>
    <x v="339"/>
    <n v="273"/>
    <n v="43695"/>
    <n v="5"/>
    <n v="670"/>
    <n v="605.17549443128689"/>
    <n v="0.72695517174461477"/>
    <m/>
    <m/>
    <m/>
    <m/>
    <m/>
  </r>
  <r>
    <x v="6"/>
    <x v="339"/>
    <n v="256"/>
    <n v="18422"/>
    <m/>
    <n v="206"/>
    <n v="62.359558031618555"/>
    <n v="0.39745762711864407"/>
    <m/>
    <m/>
    <m/>
    <m/>
    <m/>
  </r>
  <r>
    <x v="5"/>
    <x v="339"/>
    <n v="549"/>
    <n v="147593"/>
    <n v="11"/>
    <n v="2728"/>
    <n v="617.14791475025459"/>
    <n v="1.3683481701285856"/>
    <m/>
    <m/>
    <m/>
    <m/>
    <m/>
  </r>
  <r>
    <x v="7"/>
    <x v="339"/>
    <n v="254"/>
    <n v="42189"/>
    <n v="2"/>
    <n v="758"/>
    <n v="262.41719644347859"/>
    <n v="0.61885315637229876"/>
    <m/>
    <m/>
    <m/>
    <m/>
    <m/>
  </r>
  <r>
    <x v="8"/>
    <x v="339"/>
    <n v="9"/>
    <n v="867"/>
    <n v="2"/>
    <n v="9"/>
    <n v="11.566558106257013"/>
    <n v="0.12589928057553956"/>
    <m/>
    <m/>
    <m/>
    <m/>
    <m/>
  </r>
  <r>
    <x v="9"/>
    <x v="339"/>
    <n v="43"/>
    <n v="19476"/>
    <n v="3"/>
    <n v="879"/>
    <n v="54.48311736830977"/>
    <n v="1.0552763819095476"/>
    <m/>
    <m/>
    <m/>
    <m/>
    <m/>
  </r>
  <r>
    <x v="10"/>
    <x v="339"/>
    <n v="90"/>
    <n v="16965"/>
    <n v="3"/>
    <n v="259"/>
    <n v="368.55379602040017"/>
    <n v="0.51581413510347518"/>
    <m/>
    <m/>
    <m/>
    <m/>
    <m/>
  </r>
  <r>
    <x v="11"/>
    <x v="339"/>
    <n v="24"/>
    <n v="9622"/>
    <m/>
    <n v="414"/>
    <n v="59.207533841044288"/>
    <n v="1.1365853658536584"/>
    <m/>
    <m/>
    <m/>
    <m/>
    <m/>
  </r>
  <r>
    <x v="12"/>
    <x v="339"/>
    <n v="180"/>
    <n v="64569"/>
    <n v="12"/>
    <n v="1392"/>
    <n v="79.283016251511057"/>
    <n v="0.82101977107180024"/>
    <m/>
    <m/>
    <m/>
    <m/>
    <m/>
  </r>
  <r>
    <x v="13"/>
    <x v="339"/>
    <n v="198"/>
    <n v="5731"/>
    <n v="2"/>
    <n v="102"/>
    <n v="209.07100168557051"/>
    <n v="1.3770234986945169"/>
    <m/>
    <m/>
    <m/>
    <m/>
    <m/>
  </r>
  <r>
    <x v="14"/>
    <x v="339"/>
    <n v="319"/>
    <n v="56193"/>
    <n v="3"/>
    <n v="791"/>
    <n v="842.99992319936382"/>
    <n v="0.9291286307053942"/>
    <m/>
    <m/>
    <m/>
    <m/>
    <m/>
  </r>
  <r>
    <x v="15"/>
    <x v="339"/>
    <n v="233"/>
    <n v="49182"/>
    <n v="2"/>
    <n v="1097"/>
    <n v="481.26697074677975"/>
    <n v="0.79286029087703835"/>
    <m/>
    <m/>
    <m/>
    <m/>
    <m/>
  </r>
  <r>
    <x v="16"/>
    <x v="339"/>
    <n v="90"/>
    <n v="24157"/>
    <n v="1"/>
    <n v="1050"/>
    <n v="56.164117166773025"/>
    <n v="1.0796221322537112"/>
    <m/>
    <m/>
    <m/>
    <m/>
    <m/>
  </r>
  <r>
    <x v="17"/>
    <x v="339"/>
    <n v="45"/>
    <n v="14268"/>
    <m/>
    <n v="202"/>
    <n v="97.796130908569566"/>
    <n v="0.62418300653594772"/>
    <m/>
    <m/>
    <m/>
    <m/>
    <m/>
  </r>
  <r>
    <x v="18"/>
    <x v="339"/>
    <n v="10"/>
    <n v="19102"/>
    <n v="2"/>
    <n v="337"/>
    <n v="231.34668953903778"/>
    <n v="0.83641536273115225"/>
    <m/>
    <m/>
    <m/>
    <m/>
    <m/>
  </r>
  <r>
    <x v="19"/>
    <x v="339"/>
    <n v="185"/>
    <n v="33623"/>
    <n v="1"/>
    <n v="514"/>
    <n v="671.31895717231157"/>
    <n v="0.53439268611232038"/>
    <m/>
    <m/>
    <m/>
    <m/>
    <m/>
  </r>
  <r>
    <x v="20"/>
    <x v="339"/>
    <n v="495"/>
    <n v="208617"/>
    <n v="39"/>
    <n v="3696"/>
    <n v="229.83708373840423"/>
    <n v="0.51540900443880788"/>
    <m/>
    <m/>
    <m/>
    <m/>
    <m/>
  </r>
  <r>
    <x v="21"/>
    <x v="339"/>
    <n v="90"/>
    <n v="21279"/>
    <n v="1"/>
    <n v="247"/>
    <n v="114.58500500351114"/>
    <n v="0.64760254188330446"/>
    <m/>
    <m/>
    <m/>
    <m/>
    <m/>
  </r>
  <r>
    <x v="22"/>
    <x v="339"/>
    <n v="49"/>
    <n v="22045"/>
    <n v="2"/>
    <n v="338"/>
    <n v="438.27404852117854"/>
    <n v="0.63008130081300817"/>
    <m/>
    <m/>
    <m/>
    <m/>
    <m/>
  </r>
  <r>
    <x v="23"/>
    <x v="339"/>
    <n v="144"/>
    <n v="77152"/>
    <n v="3"/>
    <n v="1438"/>
    <n v="117.30994372899279"/>
    <n v="0.77565353101833789"/>
    <m/>
    <m/>
    <m/>
    <m/>
    <m/>
  </r>
  <r>
    <x v="0"/>
    <x v="340"/>
    <n v="2946"/>
    <n v="824983"/>
    <n v="77"/>
    <n v="24981"/>
    <n v="276.17929757248976"/>
    <n v="0.83700478584633464"/>
    <m/>
    <m/>
    <m/>
    <m/>
    <m/>
  </r>
  <r>
    <x v="4"/>
    <x v="340"/>
    <n v="733"/>
    <n v="216490"/>
    <n v="18"/>
    <n v="6144"/>
    <n v="474.14429358905414"/>
    <n v="0.85196003972658763"/>
    <m/>
    <m/>
    <m/>
    <m/>
    <m/>
  </r>
  <r>
    <x v="1"/>
    <x v="340"/>
    <n v="77"/>
    <n v="6128"/>
    <m/>
    <n v="17"/>
    <n v="348.066378135847"/>
    <n v="0.92692307692307696"/>
    <m/>
    <m/>
    <m/>
    <m/>
    <m/>
  </r>
  <r>
    <x v="2"/>
    <x v="340"/>
    <n v="144"/>
    <n v="31561"/>
    <n v="2"/>
    <n v="809"/>
    <n v="156.40812558476631"/>
    <n v="0.64103436543041847"/>
    <m/>
    <m/>
    <m/>
    <m/>
    <m/>
  </r>
  <r>
    <x v="3"/>
    <x v="340"/>
    <n v="155"/>
    <n v="43850"/>
    <m/>
    <n v="670"/>
    <n v="598.06718643476347"/>
    <n v="0.73715651135005977"/>
    <m/>
    <m/>
    <m/>
    <m/>
    <m/>
  </r>
  <r>
    <x v="6"/>
    <x v="340"/>
    <n v="297"/>
    <n v="18719"/>
    <m/>
    <n v="206"/>
    <n v="65.949553909771438"/>
    <n v="0.45638571954361429"/>
    <m/>
    <m/>
    <m/>
    <m/>
    <m/>
  </r>
  <r>
    <x v="5"/>
    <x v="340"/>
    <n v="453"/>
    <n v="148046"/>
    <n v="5"/>
    <n v="2733"/>
    <n v="609.02872142333922"/>
    <n v="1.2876815695151858"/>
    <m/>
    <m/>
    <m/>
    <m/>
    <m/>
  </r>
  <r>
    <x v="7"/>
    <x v="340"/>
    <n v="228"/>
    <n v="42417"/>
    <n v="2"/>
    <n v="760"/>
    <n v="257.07794086557988"/>
    <n v="0.62917181705809644"/>
    <m/>
    <m/>
    <m/>
    <m/>
    <m/>
  </r>
  <r>
    <x v="8"/>
    <x v="340"/>
    <n v="1"/>
    <n v="868"/>
    <m/>
    <n v="9"/>
    <n v="11.236085017506813"/>
    <n v="0.1256931608133087"/>
    <m/>
    <m/>
    <m/>
    <m/>
    <m/>
  </r>
  <r>
    <x v="9"/>
    <x v="340"/>
    <n v="27"/>
    <n v="19503"/>
    <n v="3"/>
    <n v="882"/>
    <n v="56.947829820685691"/>
    <n v="1.1030150753768844"/>
    <m/>
    <m/>
    <m/>
    <m/>
    <m/>
  </r>
  <r>
    <x v="10"/>
    <x v="340"/>
    <n v="65"/>
    <n v="17030"/>
    <n v="1"/>
    <n v="260"/>
    <n v="357.11495753679958"/>
    <n v="0.54421768707482998"/>
    <m/>
    <m/>
    <m/>
    <m/>
    <m/>
  </r>
  <r>
    <x v="11"/>
    <x v="340"/>
    <n v="31"/>
    <n v="9653"/>
    <m/>
    <n v="414"/>
    <n v="63.781506412455428"/>
    <n v="1.2364532019704433"/>
    <m/>
    <m/>
    <m/>
    <m/>
    <m/>
  </r>
  <r>
    <x v="12"/>
    <x v="340"/>
    <n v="121"/>
    <n v="64690"/>
    <n v="3"/>
    <n v="1395"/>
    <n v="80.287870703367972"/>
    <n v="0.85090521831735888"/>
    <m/>
    <m/>
    <m/>
    <m/>
    <m/>
  </r>
  <r>
    <x v="13"/>
    <x v="340"/>
    <n v="127"/>
    <n v="5858"/>
    <n v="1"/>
    <n v="103"/>
    <n v="202.17332358672917"/>
    <n v="1.2924480486568677"/>
    <m/>
    <m/>
    <m/>
    <m/>
    <m/>
  </r>
  <r>
    <x v="14"/>
    <x v="340"/>
    <n v="300"/>
    <n v="56493"/>
    <n v="2"/>
    <n v="793"/>
    <n v="851.88470266859622"/>
    <n v="0.95638207945900255"/>
    <m/>
    <m/>
    <m/>
    <m/>
    <m/>
  </r>
  <r>
    <x v="15"/>
    <x v="340"/>
    <n v="136"/>
    <n v="49318"/>
    <n v="1"/>
    <n v="1098"/>
    <n v="461.20303366728643"/>
    <n v="0.75168955744495314"/>
    <m/>
    <m/>
    <m/>
    <m/>
    <m/>
  </r>
  <r>
    <x v="16"/>
    <x v="340"/>
    <n v="92"/>
    <n v="24249"/>
    <n v="2"/>
    <n v="1052"/>
    <n v="58.48088699990241"/>
    <n v="1.1458046767537826"/>
    <m/>
    <m/>
    <m/>
    <m/>
    <m/>
  </r>
  <r>
    <x v="17"/>
    <x v="340"/>
    <n v="12"/>
    <n v="14280"/>
    <m/>
    <n v="202"/>
    <n v="95.236022769601789"/>
    <n v="0.63211554800339842"/>
    <m/>
    <m/>
    <m/>
    <m/>
    <m/>
  </r>
  <r>
    <x v="18"/>
    <x v="340"/>
    <n v="3"/>
    <n v="19105"/>
    <n v="1"/>
    <n v="338"/>
    <n v="138.49325632268929"/>
    <n v="0.3774798927613941"/>
    <m/>
    <m/>
    <m/>
    <m/>
    <m/>
  </r>
  <r>
    <x v="19"/>
    <x v="340"/>
    <n v="122"/>
    <n v="33745"/>
    <n v="1"/>
    <n v="515"/>
    <n v="655.73232558012342"/>
    <n v="0.54401088929219599"/>
    <m/>
    <m/>
    <m/>
    <m/>
    <m/>
  </r>
  <r>
    <x v="20"/>
    <x v="340"/>
    <n v="431"/>
    <n v="209048"/>
    <n v="6"/>
    <n v="3702"/>
    <n v="222.28707126815891"/>
    <n v="0.51389161273452311"/>
    <m/>
    <m/>
    <m/>
    <m/>
    <m/>
  </r>
  <r>
    <x v="21"/>
    <x v="340"/>
    <n v="70"/>
    <n v="21349"/>
    <m/>
    <n v="247"/>
    <n v="104.36332748312655"/>
    <n v="0.57488738738738743"/>
    <m/>
    <m/>
    <m/>
    <m/>
    <m/>
  </r>
  <r>
    <x v="22"/>
    <x v="340"/>
    <n v="17"/>
    <n v="22062"/>
    <m/>
    <n v="338"/>
    <n v="406.03969914607251"/>
    <n v="0.57578187650360868"/>
    <m/>
    <m/>
    <m/>
    <m/>
    <m/>
  </r>
  <r>
    <x v="23"/>
    <x v="340"/>
    <n v="92"/>
    <n v="77244"/>
    <m/>
    <n v="1438"/>
    <n v="117.90003398919899"/>
    <n v="0.79160063391442159"/>
    <m/>
    <m/>
    <m/>
    <m/>
    <m/>
  </r>
  <r>
    <x v="0"/>
    <x v="341"/>
    <n v="1498"/>
    <n v="826481"/>
    <n v="14"/>
    <n v="24995"/>
    <n v="272.79867370087271"/>
    <n v="0.84432289369210412"/>
    <m/>
    <m/>
    <m/>
    <m/>
    <m/>
  </r>
  <r>
    <x v="4"/>
    <x v="341"/>
    <n v="577"/>
    <n v="217067"/>
    <n v="26"/>
    <n v="6170"/>
    <n v="469.95005276940191"/>
    <n v="0.87198359073359077"/>
    <m/>
    <m/>
    <m/>
    <m/>
    <m/>
  </r>
  <r>
    <x v="1"/>
    <x v="341"/>
    <n v="63"/>
    <n v="6191"/>
    <m/>
    <n v="17"/>
    <n v="351.43631540687176"/>
    <n v="0.93709884467265725"/>
    <m/>
    <m/>
    <m/>
    <m/>
    <m/>
  </r>
  <r>
    <x v="2"/>
    <x v="341"/>
    <n v="105"/>
    <n v="31666"/>
    <m/>
    <n v="809"/>
    <n v="153.75151198672356"/>
    <n v="0.64194107452339688"/>
    <m/>
    <m/>
    <m/>
    <m/>
    <m/>
  </r>
  <r>
    <x v="3"/>
    <x v="341"/>
    <n v="62"/>
    <n v="43912"/>
    <n v="1"/>
    <n v="671"/>
    <n v="590.63577352930724"/>
    <n v="0.74068071312803885"/>
    <m/>
    <m/>
    <m/>
    <m/>
    <m/>
  </r>
  <r>
    <x v="6"/>
    <x v="341"/>
    <n v="14"/>
    <n v="18733"/>
    <m/>
    <n v="206"/>
    <n v="64.619925806751851"/>
    <n v="0.48290937996820349"/>
    <m/>
    <m/>
    <m/>
    <m/>
    <m/>
  </r>
  <r>
    <x v="5"/>
    <x v="341"/>
    <n v="225"/>
    <n v="148271"/>
    <n v="3"/>
    <n v="2736"/>
    <n v="605.54906714037543"/>
    <n v="1.2462357693720161"/>
    <m/>
    <m/>
    <m/>
    <m/>
    <m/>
  </r>
  <r>
    <x v="7"/>
    <x v="341"/>
    <n v="105"/>
    <n v="42522"/>
    <n v="1"/>
    <n v="761"/>
    <n v="248.8526011915198"/>
    <n v="0.62346348517715111"/>
    <m/>
    <m/>
    <m/>
    <m/>
    <m/>
  </r>
  <r>
    <x v="8"/>
    <x v="341"/>
    <n v="10"/>
    <n v="878"/>
    <m/>
    <n v="9"/>
    <n v="11.897031195007214"/>
    <n v="0.13980582524271845"/>
    <m/>
    <m/>
    <m/>
    <m/>
    <m/>
  </r>
  <r>
    <x v="9"/>
    <x v="341"/>
    <n v="17"/>
    <n v="19520"/>
    <n v="3"/>
    <n v="885"/>
    <n v="55.391169324448256"/>
    <n v="1.0491400491400491"/>
    <m/>
    <m/>
    <m/>
    <m/>
    <m/>
  </r>
  <r>
    <x v="10"/>
    <x v="341"/>
    <n v="58"/>
    <n v="17088"/>
    <m/>
    <n v="260"/>
    <n v="361.29989844543394"/>
    <n v="0.56476232010466643"/>
    <m/>
    <m/>
    <m/>
    <m/>
    <m/>
  </r>
  <r>
    <x v="11"/>
    <x v="341"/>
    <n v="32"/>
    <n v="9685"/>
    <m/>
    <n v="414"/>
    <n v="62.765068063252961"/>
    <n v="1.1026785714285714"/>
    <m/>
    <m/>
    <m/>
    <m/>
    <m/>
  </r>
  <r>
    <x v="12"/>
    <x v="341"/>
    <n v="38"/>
    <n v="64728"/>
    <n v="3"/>
    <n v="1398"/>
    <n v="79.031802638546822"/>
    <n v="0.84343163538874"/>
    <m/>
    <m/>
    <m/>
    <m/>
    <m/>
  </r>
  <r>
    <x v="13"/>
    <x v="341"/>
    <n v="204"/>
    <n v="6062"/>
    <n v="2"/>
    <n v="105"/>
    <n v="205.74108812061263"/>
    <n v="1.2833827893175074"/>
    <m/>
    <m/>
    <m/>
    <m/>
    <m/>
  </r>
  <r>
    <x v="14"/>
    <x v="341"/>
    <n v="162"/>
    <n v="56655"/>
    <n v="1"/>
    <n v="794"/>
    <n v="853.84236594147796"/>
    <n v="0.97172236503856046"/>
    <m/>
    <m/>
    <m/>
    <m/>
    <m/>
  </r>
  <r>
    <x v="15"/>
    <x v="341"/>
    <n v="59"/>
    <n v="49377"/>
    <m/>
    <n v="1098"/>
    <n v="454.64881422131862"/>
    <n v="0.75634178905206939"/>
    <m/>
    <m/>
    <m/>
    <m/>
    <m/>
  </r>
  <r>
    <x v="16"/>
    <x v="341"/>
    <n v="43"/>
    <n v="24292"/>
    <n v="1"/>
    <n v="1053"/>
    <n v="59.674374489696341"/>
    <n v="1.1612021857923498"/>
    <m/>
    <m/>
    <m/>
    <m/>
    <m/>
  </r>
  <r>
    <x v="17"/>
    <x v="341"/>
    <n v="9"/>
    <n v="14289"/>
    <m/>
    <n v="202"/>
    <n v="95.236022769601789"/>
    <n v="0.63972484952708508"/>
    <m/>
    <m/>
    <m/>
    <m/>
    <m/>
  </r>
  <r>
    <x v="18"/>
    <x v="341"/>
    <n v="1"/>
    <n v="19106"/>
    <m/>
    <n v="338"/>
    <n v="128.46036417431264"/>
    <n v="0.34206390780513357"/>
    <m/>
    <m/>
    <m/>
    <m/>
    <m/>
  </r>
  <r>
    <x v="19"/>
    <x v="341"/>
    <n v="49"/>
    <n v="33794"/>
    <n v="1"/>
    <n v="516"/>
    <n v="633.30945206153717"/>
    <n v="0.54061624649859941"/>
    <m/>
    <m/>
    <m/>
    <m/>
    <m/>
  </r>
  <r>
    <x v="20"/>
    <x v="341"/>
    <n v="157"/>
    <n v="209205"/>
    <n v="3"/>
    <n v="3705"/>
    <n v="214.34117799423029"/>
    <n v="0.49911108184631592"/>
    <m/>
    <m/>
    <m/>
    <m/>
    <m/>
  </r>
  <r>
    <x v="21"/>
    <x v="341"/>
    <n v="84"/>
    <n v="21433"/>
    <m/>
    <n v="247"/>
    <n v="106.81653008801887"/>
    <n v="0.59006211180124224"/>
    <m/>
    <m/>
    <m/>
    <m/>
    <m/>
  </r>
  <r>
    <x v="22"/>
    <x v="341"/>
    <n v="20"/>
    <n v="22082"/>
    <n v="2"/>
    <n v="340"/>
    <n v="391.33631171181361"/>
    <n v="0.5676784249384742"/>
    <m/>
    <m/>
    <m/>
    <m/>
    <m/>
  </r>
  <r>
    <x v="23"/>
    <x v="341"/>
    <n v="66"/>
    <n v="77310"/>
    <m/>
    <n v="1438"/>
    <n v="119.55228671777635"/>
    <n v="0.8282910874897792"/>
    <m/>
    <m/>
    <m/>
    <m/>
    <m/>
  </r>
  <r>
    <x v="0"/>
    <x v="342"/>
    <n v="2095"/>
    <n v="828576"/>
    <n v="112"/>
    <n v="25107"/>
    <n v="269.07029594026983"/>
    <n v="0.83916506649598177"/>
    <m/>
    <m/>
    <m/>
    <m/>
    <m/>
  </r>
  <r>
    <x v="4"/>
    <x v="342"/>
    <n v="699"/>
    <n v="217766"/>
    <n v="29"/>
    <n v="6199"/>
    <n v="457.10722235263745"/>
    <n v="0.83909280811698006"/>
    <m/>
    <m/>
    <m/>
    <m/>
    <m/>
  </r>
  <r>
    <x v="1"/>
    <x v="342"/>
    <n v="133"/>
    <n v="6324"/>
    <m/>
    <n v="17"/>
    <n v="376.22942532941136"/>
    <n v="1.0038535645472062"/>
    <m/>
    <m/>
    <m/>
    <m/>
    <m/>
  </r>
  <r>
    <x v="2"/>
    <x v="342"/>
    <n v="64"/>
    <n v="31730"/>
    <n v="12"/>
    <n v="821"/>
    <n v="152.75528188745756"/>
    <n v="0.65550409690060563"/>
    <m/>
    <m/>
    <m/>
    <m/>
    <m/>
  </r>
  <r>
    <x v="3"/>
    <x v="342"/>
    <n v="238"/>
    <n v="44150"/>
    <n v="4"/>
    <n v="675"/>
    <n v="579.97331153452217"/>
    <n v="0.7581837381203802"/>
    <m/>
    <m/>
    <m/>
    <m/>
    <m/>
  </r>
  <r>
    <x v="6"/>
    <x v="342"/>
    <n v="82"/>
    <n v="18815"/>
    <n v="2"/>
    <n v="208"/>
    <n v="62.545705966041297"/>
    <n v="0.48049029622063327"/>
    <m/>
    <m/>
    <m/>
    <m/>
    <m/>
  </r>
  <r>
    <x v="5"/>
    <x v="342"/>
    <n v="198"/>
    <n v="148469"/>
    <n v="4"/>
    <n v="2740"/>
    <n v="592.87955667419999"/>
    <n v="1.1830158447569876"/>
    <m/>
    <m/>
    <m/>
    <m/>
    <m/>
  </r>
  <r>
    <x v="7"/>
    <x v="342"/>
    <n v="70"/>
    <n v="42592"/>
    <n v="8"/>
    <n v="769"/>
    <n v="232.1133134337835"/>
    <n v="0.56887709991158264"/>
    <m/>
    <m/>
    <m/>
    <m/>
    <m/>
  </r>
  <r>
    <x v="8"/>
    <x v="342"/>
    <n v="7"/>
    <n v="885"/>
    <m/>
    <n v="9"/>
    <n v="12.888450461257813"/>
    <n v="0.15757575757575756"/>
    <m/>
    <m/>
    <m/>
    <m/>
    <m/>
  </r>
  <r>
    <x v="9"/>
    <x v="342"/>
    <n v="27"/>
    <n v="19547"/>
    <m/>
    <n v="885"/>
    <n v="57.985603484843971"/>
    <n v="1.1259445843828715"/>
    <m/>
    <m/>
    <m/>
    <m/>
    <m/>
  </r>
  <r>
    <x v="10"/>
    <x v="342"/>
    <n v="103"/>
    <n v="17191"/>
    <n v="5"/>
    <n v="265"/>
    <n v="361.85789056658518"/>
    <n v="0.59196713829301684"/>
    <m/>
    <m/>
    <m/>
    <m/>
    <m/>
  </r>
  <r>
    <x v="11"/>
    <x v="342"/>
    <n v="10"/>
    <n v="9695"/>
    <n v="1"/>
    <n v="415"/>
    <n v="64.543835174357298"/>
    <n v="1.1869158878504673"/>
    <m/>
    <m/>
    <m/>
    <m/>
    <m/>
  </r>
  <r>
    <x v="12"/>
    <x v="342"/>
    <n v="118"/>
    <n v="64846"/>
    <n v="3"/>
    <n v="1401"/>
    <n v="82.197094161896118"/>
    <n v="0.90137741046831954"/>
    <m/>
    <m/>
    <m/>
    <m/>
    <m/>
  </r>
  <r>
    <x v="13"/>
    <x v="342"/>
    <n v="56"/>
    <n v="6118"/>
    <n v="2"/>
    <n v="107"/>
    <n v="198.68484270915425"/>
    <n v="1.1699346405228759"/>
    <m/>
    <m/>
    <m/>
    <m/>
    <m/>
  </r>
  <r>
    <x v="14"/>
    <x v="342"/>
    <n v="272"/>
    <n v="56927"/>
    <n v="1"/>
    <n v="795"/>
    <n v="811.6773108332568"/>
    <n v="0.90103644266131733"/>
    <m/>
    <m/>
    <m/>
    <m/>
    <m/>
  </r>
  <r>
    <x v="15"/>
    <x v="342"/>
    <n v="213"/>
    <n v="49590"/>
    <n v="4"/>
    <n v="1102"/>
    <n v="449.03091183906054"/>
    <n v="0.76312798363264378"/>
    <m/>
    <m/>
    <m/>
    <m/>
    <m/>
  </r>
  <r>
    <x v="16"/>
    <x v="342"/>
    <n v="26"/>
    <n v="24318"/>
    <m/>
    <n v="1053"/>
    <n v="59.955195075530213"/>
    <n v="1.2113475177304964"/>
    <m/>
    <m/>
    <m/>
    <m/>
    <m/>
  </r>
  <r>
    <x v="17"/>
    <x v="342"/>
    <n v="48"/>
    <n v="14337"/>
    <m/>
    <n v="202"/>
    <n v="91.139849747253322"/>
    <n v="0.61538461538461542"/>
    <m/>
    <m/>
    <m/>
    <m/>
    <m/>
  </r>
  <r>
    <x v="18"/>
    <x v="342"/>
    <n v="6"/>
    <n v="19112"/>
    <m/>
    <n v="338"/>
    <n v="70.623691789553206"/>
    <n v="0.16775700934579441"/>
    <m/>
    <m/>
    <m/>
    <m/>
    <m/>
  </r>
  <r>
    <x v="19"/>
    <x v="342"/>
    <n v="133"/>
    <n v="33927"/>
    <n v="1"/>
    <n v="517"/>
    <n v="624.0121630416354"/>
    <n v="0.55536626916524701"/>
    <m/>
    <m/>
    <m/>
    <m/>
    <m/>
  </r>
  <r>
    <x v="20"/>
    <x v="342"/>
    <n v="297"/>
    <n v="209502"/>
    <n v="32"/>
    <n v="3737"/>
    <n v="209.10989594555849"/>
    <n v="0.5066109474549565"/>
    <m/>
    <m/>
    <m/>
    <m/>
    <m/>
  </r>
  <r>
    <x v="21"/>
    <x v="342"/>
    <n v="59"/>
    <n v="21492"/>
    <n v="4"/>
    <n v="251"/>
    <n v="104.26111070792271"/>
    <n v="0.60570071258907365"/>
    <m/>
    <m/>
    <m/>
    <m/>
    <m/>
  </r>
  <r>
    <x v="22"/>
    <x v="342"/>
    <n v="93"/>
    <n v="22175"/>
    <n v="2"/>
    <n v="342"/>
    <n v="370.41226036306057"/>
    <n v="0.51819620253164556"/>
    <m/>
    <m/>
    <m/>
    <m/>
    <m/>
  </r>
  <r>
    <x v="23"/>
    <x v="342"/>
    <n v="107"/>
    <n v="77417"/>
    <m/>
    <n v="1438"/>
    <n v="117.6639978851165"/>
    <n v="0.85800344234079173"/>
    <m/>
    <m/>
    <m/>
    <m/>
    <m/>
  </r>
  <r>
    <x v="0"/>
    <x v="343"/>
    <n v="3363"/>
    <n v="831939"/>
    <n v="97"/>
    <n v="25204"/>
    <n v="262.16652611138579"/>
    <n v="0.82995542240430253"/>
    <m/>
    <m/>
    <m/>
    <m/>
    <m/>
  </r>
  <r>
    <x v="4"/>
    <x v="343"/>
    <n v="986"/>
    <n v="218752"/>
    <n v="3"/>
    <n v="6202"/>
    <n v="447.2231199559377"/>
    <n v="0.83429368593437259"/>
    <m/>
    <m/>
    <m/>
    <m/>
    <m/>
  </r>
  <r>
    <x v="1"/>
    <x v="343"/>
    <n v="83"/>
    <n v="6407"/>
    <m/>
    <n v="17"/>
    <n v="377.67368415985061"/>
    <n v="1.0109536082474226"/>
    <m/>
    <m/>
    <m/>
    <m/>
    <m/>
  </r>
  <r>
    <x v="2"/>
    <x v="343"/>
    <n v="161"/>
    <n v="31891"/>
    <n v="2"/>
    <n v="823"/>
    <n v="151.42697508843617"/>
    <n v="0.67132867132867136"/>
    <m/>
    <m/>
    <m/>
    <m/>
    <m/>
  </r>
  <r>
    <x v="3"/>
    <x v="343"/>
    <n v="251"/>
    <n v="44401"/>
    <n v="2"/>
    <n v="677"/>
    <n v="568.82619217633771"/>
    <n v="0.79070289692342244"/>
    <m/>
    <m/>
    <m/>
    <m/>
    <m/>
  </r>
  <r>
    <x v="6"/>
    <x v="343"/>
    <n v="159"/>
    <n v="18974"/>
    <m/>
    <n v="208"/>
    <n v="62.332965469558168"/>
    <n v="0.54868913857677903"/>
    <m/>
    <m/>
    <m/>
    <m/>
    <m/>
  </r>
  <r>
    <x v="5"/>
    <x v="343"/>
    <n v="680"/>
    <n v="149149"/>
    <n v="5"/>
    <n v="2745"/>
    <n v="594.48555095864469"/>
    <n v="1.1047919084728901"/>
    <m/>
    <m/>
    <m/>
    <m/>
    <m/>
  </r>
  <r>
    <x v="7"/>
    <x v="343"/>
    <n v="200"/>
    <n v="42792"/>
    <n v="3"/>
    <n v="772"/>
    <n v="222.58923591645072"/>
    <n v="0.56070519810977826"/>
    <m/>
    <m/>
    <m/>
    <m/>
    <m/>
  </r>
  <r>
    <x v="8"/>
    <x v="343"/>
    <n v="3"/>
    <n v="888"/>
    <m/>
    <n v="9"/>
    <n v="12.227504283757412"/>
    <n v="0.1670428893905192"/>
    <m/>
    <m/>
    <m/>
    <m/>
    <m/>
  </r>
  <r>
    <x v="9"/>
    <x v="343"/>
    <n v="45"/>
    <n v="19592"/>
    <n v="2"/>
    <n v="887"/>
    <n v="56.428942988606536"/>
    <n v="0.99315068493150682"/>
    <m/>
    <m/>
    <m/>
    <m/>
    <m/>
  </r>
  <r>
    <x v="10"/>
    <x v="343"/>
    <n v="99"/>
    <n v="17290"/>
    <m/>
    <n v="265"/>
    <n v="362.69487874831208"/>
    <n v="0.67183462532299743"/>
    <m/>
    <m/>
    <m/>
    <m/>
    <m/>
  </r>
  <r>
    <x v="11"/>
    <x v="343"/>
    <n v="9"/>
    <n v="9704"/>
    <m/>
    <n v="415"/>
    <n v="64.035615999756061"/>
    <n v="1.1666666666666667"/>
    <m/>
    <m/>
    <m/>
    <m/>
    <m/>
  </r>
  <r>
    <x v="12"/>
    <x v="343"/>
    <n v="194"/>
    <n v="65040"/>
    <n v="3"/>
    <n v="1404"/>
    <n v="86.316997414509501"/>
    <n v="0.9924898902368573"/>
    <m/>
    <m/>
    <m/>
    <m/>
    <m/>
  </r>
  <r>
    <x v="13"/>
    <x v="343"/>
    <n v="97"/>
    <n v="6215"/>
    <n v="2"/>
    <n v="109"/>
    <n v="192.97641945494073"/>
    <n v="1.076514816452897"/>
    <m/>
    <m/>
    <m/>
    <m/>
    <m/>
  </r>
  <r>
    <x v="14"/>
    <x v="343"/>
    <n v="309"/>
    <n v="57236"/>
    <n v="7"/>
    <n v="802"/>
    <n v="782.01118277497255"/>
    <n v="0.88906009244992301"/>
    <m/>
    <m/>
    <m/>
    <m/>
    <m/>
  </r>
  <r>
    <x v="15"/>
    <x v="343"/>
    <n v="206"/>
    <n v="49796"/>
    <n v="3"/>
    <n v="1105"/>
    <n v="424.01787027995886"/>
    <n v="0.72390956839461063"/>
    <m/>
    <m/>
    <m/>
    <m/>
    <m/>
  </r>
  <r>
    <x v="16"/>
    <x v="343"/>
    <n v="95"/>
    <n v="24413"/>
    <m/>
    <n v="1053"/>
    <n v="61.991144322825726"/>
    <n v="1.2029972752043596"/>
    <m/>
    <m/>
    <m/>
    <m/>
    <m/>
  </r>
  <r>
    <x v="17"/>
    <x v="343"/>
    <n v="68"/>
    <n v="14405"/>
    <n v="1"/>
    <n v="203"/>
    <n v="89.859795677769426"/>
    <n v="0.68354430379746833"/>
    <m/>
    <m/>
    <m/>
    <m/>
    <m/>
  </r>
  <r>
    <x v="18"/>
    <x v="343"/>
    <n v="7"/>
    <n v="19119"/>
    <m/>
    <n v="338"/>
    <n v="63.148203522135312"/>
    <n v="0.15042174320524837"/>
    <m/>
    <m/>
    <m/>
    <m/>
    <m/>
  </r>
  <r>
    <x v="19"/>
    <x v="343"/>
    <n v="123"/>
    <n v="34050"/>
    <n v="3"/>
    <n v="520"/>
    <n v="608.15208177239151"/>
    <n v="0.57069540672312036"/>
    <m/>
    <m/>
    <m/>
    <m/>
    <m/>
  </r>
  <r>
    <x v="20"/>
    <x v="343"/>
    <n v="479"/>
    <n v="209981"/>
    <n v="22"/>
    <n v="3759"/>
    <n v="200.881230668999"/>
    <n v="0.50986865714490781"/>
    <m/>
    <m/>
    <m/>
    <m/>
    <m/>
  </r>
  <r>
    <x v="21"/>
    <x v="343"/>
    <n v="50"/>
    <n v="21542"/>
    <n v="2"/>
    <n v="253"/>
    <n v="101.29682422701119"/>
    <n v="0.59555288461538458"/>
    <m/>
    <m/>
    <m/>
    <m/>
    <m/>
  </r>
  <r>
    <x v="22"/>
    <x v="343"/>
    <n v="33"/>
    <n v="22208"/>
    <m/>
    <n v="342"/>
    <n v="359.66747723802524"/>
    <n v="0.5412765957446809"/>
    <m/>
    <m/>
    <m/>
    <m/>
    <m/>
  </r>
  <r>
    <x v="23"/>
    <x v="343"/>
    <n v="94"/>
    <n v="77511"/>
    <n v="11"/>
    <n v="1449"/>
    <n v="112.11714943917821"/>
    <n v="0.8351648351648352"/>
    <m/>
    <m/>
    <m/>
    <m/>
    <m/>
  </r>
  <r>
    <x v="0"/>
    <x v="344"/>
    <n v="3265"/>
    <n v="835204"/>
    <n v="26"/>
    <n v="25230"/>
    <n v="255.43948366870774"/>
    <n v="0.8147467951631967"/>
    <m/>
    <m/>
    <m/>
    <m/>
    <m/>
  </r>
  <r>
    <x v="4"/>
    <x v="344"/>
    <n v="915"/>
    <n v="219667"/>
    <n v="30"/>
    <n v="6232"/>
    <n v="436.42863970691036"/>
    <n v="0.81203871748336354"/>
    <m/>
    <m/>
    <m/>
    <m/>
    <m/>
  </r>
  <r>
    <x v="1"/>
    <x v="344"/>
    <n v="54"/>
    <n v="6461"/>
    <m/>
    <n v="17"/>
    <n v="362.74967624531217"/>
    <n v="0.94305381727158943"/>
    <m/>
    <m/>
    <m/>
    <m/>
    <m/>
  </r>
  <r>
    <x v="2"/>
    <x v="344"/>
    <n v="143"/>
    <n v="32034"/>
    <n v="4"/>
    <n v="827"/>
    <n v="151.17791756361967"/>
    <n v="0.70718446601941742"/>
    <m/>
    <m/>
    <m/>
    <m/>
    <m/>
  </r>
  <r>
    <x v="3"/>
    <x v="344"/>
    <n v="164"/>
    <n v="44565"/>
    <n v="2"/>
    <n v="679"/>
    <n v="531.50757519459"/>
    <n v="0.76157407407407407"/>
    <m/>
    <m/>
    <m/>
    <m/>
    <m/>
  </r>
  <r>
    <x v="6"/>
    <x v="344"/>
    <n v="109"/>
    <n v="19083"/>
    <n v="3"/>
    <n v="211"/>
    <n v="59.274820832613123"/>
    <n v="0.60603588907014683"/>
    <m/>
    <m/>
    <m/>
    <m/>
    <m/>
  </r>
  <r>
    <x v="5"/>
    <x v="344"/>
    <n v="759"/>
    <n v="149908"/>
    <n v="12"/>
    <n v="2757"/>
    <n v="600.90952809642386"/>
    <n v="1.0651589435394591"/>
    <m/>
    <m/>
    <m/>
    <m/>
    <m/>
  </r>
  <r>
    <x v="7"/>
    <x v="344"/>
    <n v="195"/>
    <n v="42987"/>
    <n v="6"/>
    <n v="778"/>
    <n v="215.51832988085522"/>
    <n v="0.57288070579209815"/>
    <m/>
    <m/>
    <m/>
    <m/>
    <m/>
  </r>
  <r>
    <x v="8"/>
    <x v="344"/>
    <n v="5"/>
    <n v="893"/>
    <m/>
    <n v="9"/>
    <n v="10.740375384381512"/>
    <n v="0.16129032258064516"/>
    <m/>
    <m/>
    <m/>
    <m/>
    <m/>
  </r>
  <r>
    <x v="9"/>
    <x v="344"/>
    <n v="41"/>
    <n v="19633"/>
    <m/>
    <n v="887"/>
    <n v="55.391169324448256"/>
    <n v="0.90851063829787237"/>
    <m/>
    <m/>
    <m/>
    <m/>
    <m/>
  </r>
  <r>
    <x v="10"/>
    <x v="344"/>
    <n v="63"/>
    <n v="17353"/>
    <m/>
    <n v="265"/>
    <n v="344.00214268974526"/>
    <n v="0.67156862745098034"/>
    <m/>
    <m/>
    <m/>
    <m/>
    <m/>
  </r>
  <r>
    <x v="11"/>
    <x v="344"/>
    <n v="28"/>
    <n v="9732"/>
    <m/>
    <n v="415"/>
    <n v="62.002739301351106"/>
    <n v="1.0124481327800829"/>
    <m/>
    <m/>
    <m/>
    <m/>
    <m/>
  </r>
  <r>
    <x v="12"/>
    <x v="344"/>
    <n v="187"/>
    <n v="65227"/>
    <n v="4"/>
    <n v="1408"/>
    <n v="88.226220873037647"/>
    <n v="1.0150289017341041"/>
    <m/>
    <m/>
    <m/>
    <m/>
    <m/>
  </r>
  <r>
    <x v="13"/>
    <x v="344"/>
    <n v="78"/>
    <n v="6293"/>
    <n v="3"/>
    <n v="112"/>
    <n v="180.05318347665175"/>
    <n v="0.9175757575757576"/>
    <m/>
    <m/>
    <m/>
    <m/>
    <m/>
  </r>
  <r>
    <x v="14"/>
    <x v="344"/>
    <n v="386"/>
    <n v="57622"/>
    <n v="4"/>
    <n v="806"/>
    <n v="759.12158143050976"/>
    <n v="0.85209601081812036"/>
    <m/>
    <m/>
    <m/>
    <m/>
    <m/>
  </r>
  <r>
    <x v="15"/>
    <x v="344"/>
    <n v="221"/>
    <n v="50017"/>
    <n v="3"/>
    <n v="1108"/>
    <n v="404.75649068364521"/>
    <n v="0.6954723052171915"/>
    <m/>
    <m/>
    <m/>
    <m/>
    <m/>
  </r>
  <r>
    <x v="16"/>
    <x v="344"/>
    <n v="100"/>
    <n v="24513"/>
    <n v="2"/>
    <n v="1055"/>
    <n v="64.448324448872043"/>
    <n v="1.2540983606557377"/>
    <m/>
    <m/>
    <m/>
    <m/>
    <m/>
  </r>
  <r>
    <x v="17"/>
    <x v="344"/>
    <n v="52"/>
    <n v="14457"/>
    <m/>
    <n v="203"/>
    <n v="89.091763236079089"/>
    <n v="0.75488069414316705"/>
    <m/>
    <m/>
    <m/>
    <m/>
    <m/>
  </r>
  <r>
    <x v="18"/>
    <x v="344"/>
    <n v="5"/>
    <n v="19124"/>
    <m/>
    <n v="338"/>
    <n v="48.197226987299537"/>
    <n v="0.11254019292604502"/>
    <m/>
    <m/>
    <m/>
    <m/>
    <m/>
  </r>
  <r>
    <x v="19"/>
    <x v="344"/>
    <n v="127"/>
    <n v="34177"/>
    <n v="3"/>
    <n v="523"/>
    <n v="597.21409469015418"/>
    <n v="0.58380112269446671"/>
    <m/>
    <m/>
    <m/>
    <m/>
    <m/>
  </r>
  <r>
    <x v="20"/>
    <x v="344"/>
    <n v="533"/>
    <n v="210514"/>
    <n v="3"/>
    <n v="3762"/>
    <n v="189.82484536613035"/>
    <n v="0.50265818045675781"/>
    <m/>
    <m/>
    <m/>
    <m/>
    <m/>
  </r>
  <r>
    <x v="21"/>
    <x v="344"/>
    <n v="91"/>
    <n v="21633"/>
    <n v="2"/>
    <n v="255"/>
    <n v="100.27465647497273"/>
    <n v="0.61312500000000003"/>
    <m/>
    <m/>
    <m/>
    <m/>
    <m/>
  </r>
  <r>
    <x v="22"/>
    <x v="344"/>
    <n v="110"/>
    <n v="22318"/>
    <m/>
    <n v="342"/>
    <n v="373.80534977096647"/>
    <n v="0.5703192407247627"/>
    <m/>
    <m/>
    <m/>
    <m/>
    <m/>
  </r>
  <r>
    <x v="23"/>
    <x v="344"/>
    <n v="108"/>
    <n v="77619"/>
    <n v="2"/>
    <n v="1451"/>
    <n v="101.55453378148721"/>
    <n v="0.75383267630310991"/>
    <m/>
    <m/>
    <m/>
    <m/>
    <m/>
  </r>
  <r>
    <x v="0"/>
    <x v="345"/>
    <n v="3150"/>
    <n v="838354"/>
    <n v="99"/>
    <n v="25329"/>
    <n v="249.59607815705945"/>
    <n v="0.81100305640455683"/>
    <m/>
    <m/>
    <m/>
    <m/>
    <m/>
  </r>
  <r>
    <x v="4"/>
    <x v="345"/>
    <n v="766"/>
    <n v="220433"/>
    <n v="8"/>
    <n v="6240"/>
    <n v="425.53661897370506"/>
    <n v="0.80472208558780123"/>
    <m/>
    <m/>
    <m/>
    <m/>
    <m/>
  </r>
  <r>
    <x v="1"/>
    <x v="345"/>
    <n v="100"/>
    <n v="6561"/>
    <m/>
    <n v="17"/>
    <n v="366.11961351633698"/>
    <n v="0.94707347447073476"/>
    <m/>
    <m/>
    <m/>
    <m/>
    <m/>
  </r>
  <r>
    <x v="2"/>
    <x v="345"/>
    <n v="138"/>
    <n v="32172"/>
    <n v="3"/>
    <n v="830"/>
    <n v="151.26093673855851"/>
    <n v="0.75664451827242529"/>
    <m/>
    <m/>
    <m/>
    <m/>
    <m/>
  </r>
  <r>
    <x v="3"/>
    <x v="345"/>
    <n v="240"/>
    <n v="44805"/>
    <n v="5"/>
    <n v="684"/>
    <n v="519.22958865514045"/>
    <n v="0.78524309797214753"/>
    <m/>
    <m/>
    <m/>
    <m/>
    <m/>
  </r>
  <r>
    <x v="6"/>
    <x v="345"/>
    <n v="69"/>
    <n v="19152"/>
    <n v="7"/>
    <n v="218"/>
    <n v="58.237710912257839"/>
    <n v="0.72612732095490717"/>
    <m/>
    <m/>
    <m/>
    <m/>
    <m/>
  </r>
  <r>
    <x v="5"/>
    <x v="345"/>
    <n v="656"/>
    <n v="150564"/>
    <n v="8"/>
    <n v="2765"/>
    <n v="598.94664619321361"/>
    <n v="1.0192833282720923"/>
    <m/>
    <m/>
    <m/>
    <m/>
    <m/>
  </r>
  <r>
    <x v="7"/>
    <x v="345"/>
    <n v="165"/>
    <n v="43152"/>
    <n v="6"/>
    <n v="784"/>
    <n v="204.62336241784581"/>
    <n v="0.56822280104187539"/>
    <m/>
    <m/>
    <m/>
    <m/>
    <m/>
  </r>
  <r>
    <x v="8"/>
    <x v="345"/>
    <n v="19"/>
    <n v="912"/>
    <m/>
    <n v="9"/>
    <n v="13.053687005632915"/>
    <n v="0.23723723723723725"/>
    <m/>
    <m/>
    <m/>
    <m/>
    <m/>
  </r>
  <r>
    <x v="9"/>
    <x v="345"/>
    <n v="27"/>
    <n v="19660"/>
    <n v="1"/>
    <n v="888"/>
    <n v="53.704787120191057"/>
    <n v="0.85010266940451751"/>
    <m/>
    <m/>
    <m/>
    <m/>
    <m/>
  </r>
  <r>
    <x v="10"/>
    <x v="345"/>
    <n v="122"/>
    <n v="17475"/>
    <n v="3"/>
    <n v="268"/>
    <n v="345.11812693204774"/>
    <n v="0.72807533843437311"/>
    <m/>
    <m/>
    <m/>
    <m/>
    <m/>
  </r>
  <r>
    <x v="11"/>
    <x v="345"/>
    <n v="23"/>
    <n v="9755"/>
    <m/>
    <n v="415"/>
    <n v="65.306163936259154"/>
    <n v="1.0753138075313808"/>
    <m/>
    <m/>
    <m/>
    <m/>
    <m/>
  </r>
  <r>
    <x v="12"/>
    <x v="345"/>
    <n v="148"/>
    <n v="65375"/>
    <n v="3"/>
    <n v="1411"/>
    <n v="90.587628834901409"/>
    <n v="1.0802875973636907"/>
    <m/>
    <m/>
    <m/>
    <m/>
    <m/>
  </r>
  <r>
    <x v="13"/>
    <x v="345"/>
    <n v="122"/>
    <n v="6415"/>
    <n v="3"/>
    <n v="115"/>
    <n v="179.41891422618357"/>
    <n v="0.94686192468619246"/>
    <m/>
    <m/>
    <m/>
    <m/>
    <m/>
  </r>
  <r>
    <x v="14"/>
    <x v="345"/>
    <n v="316"/>
    <n v="57938"/>
    <n v="10"/>
    <n v="816"/>
    <n v="736.98492749869365"/>
    <n v="0.83701043270053022"/>
    <m/>
    <m/>
    <m/>
    <m/>
    <m/>
  </r>
  <r>
    <x v="15"/>
    <x v="345"/>
    <n v="223"/>
    <n v="50240"/>
    <n v="3"/>
    <n v="1111"/>
    <n v="392.98564759700912"/>
    <n v="0.69538461538461538"/>
    <m/>
    <m/>
    <m/>
    <m/>
    <m/>
  </r>
  <r>
    <x v="16"/>
    <x v="345"/>
    <n v="96"/>
    <n v="24609"/>
    <n v="4"/>
    <n v="1059"/>
    <n v="65.220581059915176"/>
    <n v="1.2223684210526315"/>
    <m/>
    <m/>
    <m/>
    <m/>
    <m/>
  </r>
  <r>
    <x v="17"/>
    <x v="345"/>
    <n v="80"/>
    <n v="14537"/>
    <m/>
    <n v="203"/>
    <n v="89.859795677769426"/>
    <n v="0.76470588235294112"/>
    <m/>
    <m/>
    <m/>
    <m/>
    <m/>
  </r>
  <r>
    <x v="18"/>
    <x v="345"/>
    <n v="21"/>
    <n v="19145"/>
    <n v="6"/>
    <n v="344"/>
    <n v="38.951228340756366"/>
    <n v="9.0534979423868317E-2"/>
    <m/>
    <m/>
    <m/>
    <m/>
    <m/>
  </r>
  <r>
    <x v="19"/>
    <x v="345"/>
    <n v="114"/>
    <n v="34291"/>
    <n v="3"/>
    <n v="526"/>
    <n v="588.19025534730849"/>
    <n v="0.59700249791840132"/>
    <m/>
    <m/>
    <m/>
    <m/>
    <m/>
  </r>
  <r>
    <x v="20"/>
    <x v="345"/>
    <n v="456"/>
    <n v="210970"/>
    <n v="21"/>
    <n v="3783"/>
    <n v="183.99974211193359"/>
    <n v="0.51552844240215501"/>
    <m/>
    <m/>
    <m/>
    <m/>
    <m/>
  </r>
  <r>
    <x v="21"/>
    <x v="345"/>
    <n v="89"/>
    <n v="21722"/>
    <n v="1"/>
    <n v="256"/>
    <n v="102.11455842864196"/>
    <n v="0.67820773930753564"/>
    <m/>
    <m/>
    <m/>
    <m/>
    <m/>
  </r>
  <r>
    <x v="22"/>
    <x v="345"/>
    <n v="48"/>
    <n v="22366"/>
    <n v="1"/>
    <n v="343"/>
    <n v="380.02601368546061"/>
    <n v="0.59786476868327398"/>
    <m/>
    <m/>
    <m/>
    <m/>
    <m/>
  </r>
  <r>
    <x v="23"/>
    <x v="345"/>
    <n v="123"/>
    <n v="77742"/>
    <n v="1"/>
    <n v="1452"/>
    <n v="95.122549945239626"/>
    <n v="0.70577933450087571"/>
    <m/>
    <m/>
    <m/>
    <m/>
    <m/>
  </r>
  <r>
    <x v="0"/>
    <x v="346"/>
    <n v="3207"/>
    <n v="841561"/>
    <n v="82"/>
    <n v="25411"/>
    <n v="242.32175090548557"/>
    <n v="0.79116256561069132"/>
    <m/>
    <m/>
    <m/>
    <m/>
    <m/>
  </r>
  <r>
    <x v="4"/>
    <x v="346"/>
    <n v="812"/>
    <n v="221245"/>
    <n v="12"/>
    <n v="6252"/>
    <n v="413.08395049365237"/>
    <n v="0.78654119977713122"/>
    <m/>
    <m/>
    <m/>
    <m/>
    <m/>
  </r>
  <r>
    <x v="1"/>
    <x v="346"/>
    <n v="122"/>
    <n v="6683"/>
    <m/>
    <n v="17"/>
    <n v="367.80458215184939"/>
    <n v="1.1523378582202111"/>
    <m/>
    <m/>
    <m/>
    <m/>
    <m/>
  </r>
  <r>
    <x v="2"/>
    <x v="346"/>
    <n v="119"/>
    <n v="32291"/>
    <n v="1"/>
    <n v="831"/>
    <n v="144.37034521863515"/>
    <n v="0.72944630872483218"/>
    <m/>
    <m/>
    <m/>
    <m/>
    <m/>
  </r>
  <r>
    <x v="3"/>
    <x v="346"/>
    <n v="232"/>
    <n v="45037"/>
    <m/>
    <n v="684"/>
    <n v="493.38119594050994"/>
    <n v="0.74908020603384839"/>
    <m/>
    <m/>
    <m/>
    <m/>
    <m/>
  </r>
  <r>
    <x v="6"/>
    <x v="346"/>
    <n v="56"/>
    <n v="19208"/>
    <n v="2"/>
    <n v="220"/>
    <n v="54.993418340890052"/>
    <n v="0.81257367387033397"/>
    <m/>
    <m/>
    <m/>
    <m/>
    <m/>
  </r>
  <r>
    <x v="5"/>
    <x v="346"/>
    <n v="649"/>
    <n v="151213"/>
    <n v="5"/>
    <n v="2770"/>
    <n v="602.78318809494283"/>
    <n v="0.97110823630875376"/>
    <m/>
    <m/>
    <m/>
    <m/>
    <m/>
  </r>
  <r>
    <x v="7"/>
    <x v="346"/>
    <n v="169"/>
    <n v="43321"/>
    <n v="5"/>
    <n v="789"/>
    <n v="194.73852438849289"/>
    <n v="0.56701680672268906"/>
    <m/>
    <m/>
    <m/>
    <m/>
    <m/>
  </r>
  <r>
    <x v="8"/>
    <x v="346"/>
    <n v="25"/>
    <n v="937"/>
    <m/>
    <n v="9"/>
    <n v="15.862708260009617"/>
    <n v="0.33922261484098942"/>
    <m/>
    <m/>
    <m/>
    <m/>
    <m/>
  </r>
  <r>
    <x v="9"/>
    <x v="346"/>
    <n v="35"/>
    <n v="19695"/>
    <n v="1"/>
    <n v="889"/>
    <n v="54.48311736830977"/>
    <n v="0.84848484848484851"/>
    <m/>
    <m/>
    <m/>
    <m/>
    <m/>
  </r>
  <r>
    <x v="10"/>
    <x v="346"/>
    <n v="71"/>
    <n v="17546"/>
    <m/>
    <n v="268"/>
    <n v="342.04917026571587"/>
    <n v="0.77301387137452715"/>
    <m/>
    <m/>
    <m/>
    <m/>
    <m/>
  </r>
  <r>
    <x v="11"/>
    <x v="346"/>
    <n v="29"/>
    <n v="9784"/>
    <m/>
    <n v="415"/>
    <n v="68.355478983866576"/>
    <n v="1.1069958847736625"/>
    <m/>
    <m/>
    <m/>
    <m/>
    <m/>
  </r>
  <r>
    <x v="12"/>
    <x v="346"/>
    <n v="144"/>
    <n v="65519"/>
    <n v="2"/>
    <n v="1413"/>
    <n v="91.893939622315401"/>
    <n v="1.1071428571428572"/>
    <m/>
    <m/>
    <m/>
    <m/>
    <m/>
  </r>
  <r>
    <x v="13"/>
    <x v="346"/>
    <n v="105"/>
    <n v="6520"/>
    <n v="2"/>
    <n v="117"/>
    <n v="170.53914471962921"/>
    <n v="0.85936875749101083"/>
    <m/>
    <m/>
    <m/>
    <m/>
    <m/>
  </r>
  <r>
    <x v="14"/>
    <x v="346"/>
    <n v="310"/>
    <n v="58248"/>
    <n v="8"/>
    <n v="824"/>
    <n v="710.63176805605542"/>
    <n v="0.81124290871583293"/>
    <m/>
    <m/>
    <m/>
    <m/>
    <m/>
  </r>
  <r>
    <x v="15"/>
    <x v="346"/>
    <n v="155"/>
    <n v="50395"/>
    <n v="2"/>
    <n v="1113"/>
    <n v="369.57772100426695"/>
    <n v="0.65458422174840081"/>
    <m/>
    <m/>
    <m/>
    <m/>
    <m/>
  </r>
  <r>
    <x v="16"/>
    <x v="346"/>
    <n v="91"/>
    <n v="24700"/>
    <m/>
    <n v="1059"/>
    <n v="68.520222943463096"/>
    <n v="1.3100671140939597"/>
    <m/>
    <m/>
    <m/>
    <m/>
    <m/>
  </r>
  <r>
    <x v="17"/>
    <x v="346"/>
    <n v="61"/>
    <n v="14598"/>
    <m/>
    <n v="203"/>
    <n v="88.579741608285531"/>
    <n v="0.78815489749430523"/>
    <m/>
    <m/>
    <m/>
    <m/>
    <m/>
  </r>
  <r>
    <x v="18"/>
    <x v="346"/>
    <n v="10"/>
    <n v="19155"/>
    <n v="1"/>
    <n v="345"/>
    <n v="38.164334838922898"/>
    <n v="8.9483394833948335E-2"/>
    <m/>
    <m/>
    <m/>
    <m/>
    <m/>
  </r>
  <r>
    <x v="19"/>
    <x v="346"/>
    <n v="121"/>
    <n v="34412"/>
    <n v="9"/>
    <n v="535"/>
    <n v="576.43191923390339"/>
    <n v="0.61368267831149925"/>
    <m/>
    <m/>
    <m/>
    <m/>
    <m/>
  </r>
  <r>
    <x v="20"/>
    <x v="346"/>
    <n v="330"/>
    <n v="211300"/>
    <n v="23"/>
    <n v="3806"/>
    <n v="175.48830483274318"/>
    <n v="0.5274968125796855"/>
    <m/>
    <m/>
    <m/>
    <m/>
    <m/>
  </r>
  <r>
    <x v="21"/>
    <x v="346"/>
    <n v="52"/>
    <n v="21774"/>
    <n v="1"/>
    <n v="257"/>
    <n v="112.84731982504577"/>
    <n v="0.83132530120481929"/>
    <m/>
    <m/>
    <m/>
    <m/>
    <m/>
  </r>
  <r>
    <x v="22"/>
    <x v="346"/>
    <n v="47"/>
    <n v="22413"/>
    <n v="1"/>
    <n v="344"/>
    <n v="369.28123056042529"/>
    <n v="0.59417652411282984"/>
    <m/>
    <m/>
    <m/>
    <m/>
    <m/>
  </r>
  <r>
    <x v="23"/>
    <x v="346"/>
    <n v="199"/>
    <n v="77941"/>
    <n v="1"/>
    <n v="1453"/>
    <n v="98.72210053249745"/>
    <n v="0.77132319041032738"/>
    <m/>
    <m/>
    <m/>
    <m/>
    <m/>
  </r>
  <r>
    <x v="0"/>
    <x v="347"/>
    <n v="2448"/>
    <n v="844009"/>
    <n v="54"/>
    <n v="25465"/>
    <n v="238.79860494821861"/>
    <n v="0.7864666453878072"/>
    <m/>
    <m/>
    <m/>
    <m/>
    <m/>
  </r>
  <r>
    <x v="4"/>
    <x v="347"/>
    <n v="541"/>
    <n v="221786"/>
    <n v="35"/>
    <n v="6287"/>
    <n v="399.75341765599813"/>
    <n v="0.77036340852130325"/>
    <m/>
    <m/>
    <m/>
    <m/>
    <m/>
  </r>
  <r>
    <x v="1"/>
    <x v="347"/>
    <n v="78"/>
    <n v="6761"/>
    <m/>
    <n v="17"/>
    <n v="365.87890371126377"/>
    <n v="1.2914188615123194"/>
    <m/>
    <m/>
    <m/>
    <m/>
    <m/>
  </r>
  <r>
    <x v="2"/>
    <x v="347"/>
    <n v="75"/>
    <n v="32366"/>
    <n v="1"/>
    <n v="832"/>
    <n v="140.96655904614289"/>
    <n v="0.72875536480686698"/>
    <m/>
    <m/>
    <m/>
    <m/>
    <m/>
  </r>
  <r>
    <x v="3"/>
    <x v="347"/>
    <n v="112"/>
    <n v="45149"/>
    <n v="3"/>
    <n v="687"/>
    <n v="473.83334895007062"/>
    <n v="0.71034148704286748"/>
    <m/>
    <m/>
    <m/>
    <m/>
    <m/>
  </r>
  <r>
    <x v="6"/>
    <x v="347"/>
    <n v="53"/>
    <n v="19261"/>
    <n v="36"/>
    <n v="256"/>
    <n v="51.297052214495601"/>
    <n v="0.8764198091776465"/>
    <m/>
    <m/>
    <m/>
    <m/>
    <m/>
  </r>
  <r>
    <x v="5"/>
    <x v="347"/>
    <n v="554"/>
    <n v="151767"/>
    <n v="2"/>
    <n v="2772"/>
    <n v="630.88808807272653"/>
    <n v="0.99339702163529087"/>
    <m/>
    <m/>
    <m/>
    <m/>
    <m/>
  </r>
  <r>
    <x v="7"/>
    <x v="347"/>
    <n v="110"/>
    <n v="43431"/>
    <n v="2"/>
    <n v="791"/>
    <n v="185.35875107596823"/>
    <n v="0.54822876653862573"/>
    <m/>
    <m/>
    <m/>
    <m/>
    <m/>
  </r>
  <r>
    <x v="8"/>
    <x v="347"/>
    <n v="21"/>
    <n v="958"/>
    <m/>
    <n v="9"/>
    <n v="19.002202603136521"/>
    <n v="0.44921875"/>
    <m/>
    <m/>
    <m/>
    <m/>
    <m/>
  </r>
  <r>
    <x v="9"/>
    <x v="347"/>
    <n v="25"/>
    <n v="19720"/>
    <n v="1"/>
    <n v="890"/>
    <n v="55.52089103246805"/>
    <n v="0.8716904276985743"/>
    <m/>
    <m/>
    <m/>
    <m/>
    <m/>
  </r>
  <r>
    <x v="10"/>
    <x v="347"/>
    <n v="122"/>
    <n v="17668"/>
    <m/>
    <n v="268"/>
    <n v="356.55696541564834"/>
    <n v="0.82664941785252266"/>
    <m/>
    <m/>
    <m/>
    <m/>
    <m/>
  </r>
  <r>
    <x v="11"/>
    <x v="347"/>
    <n v="32"/>
    <n v="9816"/>
    <m/>
    <n v="415"/>
    <n v="72.167122793375867"/>
    <n v="1.1451612903225807"/>
    <m/>
    <m/>
    <m/>
    <m/>
    <m/>
  </r>
  <r>
    <x v="12"/>
    <x v="347"/>
    <n v="101"/>
    <n v="65620"/>
    <m/>
    <n v="1413"/>
    <n v="93.049522241950868"/>
    <n v="1.161128526645768"/>
    <m/>
    <m/>
    <m/>
    <m/>
    <m/>
  </r>
  <r>
    <x v="13"/>
    <x v="347"/>
    <n v="99"/>
    <n v="6619"/>
    <n v="2"/>
    <n v="119"/>
    <n v="161.8972261820004"/>
    <n v="0.79548110634982472"/>
    <m/>
    <m/>
    <m/>
    <m/>
    <m/>
  </r>
  <r>
    <x v="14"/>
    <x v="347"/>
    <n v="183"/>
    <n v="58431"/>
    <n v="17"/>
    <n v="841"/>
    <n v="696.77753566335423"/>
    <n v="0.79611149346180321"/>
    <m/>
    <m/>
    <m/>
    <m/>
    <m/>
  </r>
  <r>
    <x v="15"/>
    <x v="347"/>
    <n v="115"/>
    <n v="50510"/>
    <n v="2"/>
    <n v="1115"/>
    <n v="360.61582910875995"/>
    <n v="0.65644022400779156"/>
    <m/>
    <m/>
    <m/>
    <m/>
    <m/>
  </r>
  <r>
    <x v="16"/>
    <x v="347"/>
    <n v="103"/>
    <n v="24803"/>
    <n v="2"/>
    <n v="1061"/>
    <n v="71.960275119927942"/>
    <n v="1.3945578231292517"/>
    <m/>
    <m/>
    <m/>
    <m/>
    <m/>
  </r>
  <r>
    <x v="17"/>
    <x v="347"/>
    <n v="6"/>
    <n v="14604"/>
    <m/>
    <n v="203"/>
    <n v="85.123595620679012"/>
    <n v="0.78143360752056401"/>
    <m/>
    <m/>
    <m/>
    <m/>
    <m/>
  </r>
  <r>
    <x v="18"/>
    <x v="347"/>
    <n v="627"/>
    <n v="19782"/>
    <m/>
    <n v="345"/>
    <n v="156.19836011394219"/>
    <n v="0.3657300783049286"/>
    <m/>
    <m/>
    <m/>
    <m/>
    <m/>
  </r>
  <r>
    <x v="19"/>
    <x v="347"/>
    <n v="65"/>
    <n v="34477"/>
    <n v="1"/>
    <n v="536"/>
    <n v="556.74354248587633"/>
    <n v="0.61177884615384615"/>
    <m/>
    <m/>
    <m/>
    <m/>
    <m/>
  </r>
  <r>
    <x v="20"/>
    <x v="347"/>
    <n v="424"/>
    <n v="211724"/>
    <n v="1"/>
    <n v="3807"/>
    <n v="172.9150796088019"/>
    <n v="0.54588466345295483"/>
    <m/>
    <m/>
    <m/>
    <m/>
    <m/>
  </r>
  <r>
    <x v="21"/>
    <x v="347"/>
    <n v="59"/>
    <n v="21833"/>
    <m/>
    <n v="257"/>
    <n v="109.47416624331886"/>
    <n v="0.81943381790359604"/>
    <m/>
    <m/>
    <m/>
    <m/>
    <m/>
  </r>
  <r>
    <x v="22"/>
    <x v="347"/>
    <n v="14"/>
    <n v="22427"/>
    <m/>
    <n v="344"/>
    <n v="368.71571565910762"/>
    <n v="0.60651162790697677"/>
    <m/>
    <m/>
    <m/>
    <m/>
    <m/>
  </r>
  <r>
    <x v="23"/>
    <x v="347"/>
    <n v="90"/>
    <n v="78031"/>
    <m/>
    <n v="1453"/>
    <n v="100.66939839117792"/>
    <n v="0.80018761726078802"/>
    <m/>
    <m/>
    <m/>
    <m/>
    <m/>
  </r>
  <r>
    <x v="0"/>
    <x v="348"/>
    <n v="1590"/>
    <n v="845599"/>
    <n v="3"/>
    <n v="25468"/>
    <n v="235.16714220585766"/>
    <n v="0.77993949706938925"/>
    <m/>
    <m/>
    <m/>
    <m/>
    <m/>
  </r>
  <r>
    <x v="4"/>
    <x v="348"/>
    <n v="657"/>
    <n v="222443"/>
    <n v="7"/>
    <n v="6294"/>
    <n v="396.5020681833995"/>
    <n v="0.78374035989717228"/>
    <m/>
    <m/>
    <m/>
    <m/>
    <m/>
  </r>
  <r>
    <x v="1"/>
    <x v="348"/>
    <n v="32"/>
    <n v="6793"/>
    <m/>
    <n v="17"/>
    <n v="339.40082515321183"/>
    <n v="1.1730449251247921"/>
    <m/>
    <m/>
    <m/>
    <m/>
    <m/>
  </r>
  <r>
    <x v="2"/>
    <x v="348"/>
    <n v="80"/>
    <n v="32446"/>
    <n v="1"/>
    <n v="833"/>
    <n v="140.46844399650988"/>
    <n v="0.75434685688809633"/>
    <m/>
    <m/>
    <m/>
    <m/>
    <m/>
  </r>
  <r>
    <x v="3"/>
    <x v="348"/>
    <n v="82"/>
    <n v="45231"/>
    <m/>
    <n v="687"/>
    <n v="472.54092931433905"/>
    <n v="0.71902654867256632"/>
    <m/>
    <m/>
    <m/>
    <m/>
    <m/>
  </r>
  <r>
    <x v="6"/>
    <x v="348"/>
    <n v="88"/>
    <n v="19349"/>
    <n v="29"/>
    <n v="285"/>
    <n v="52.546902631334014"/>
    <n v="1.036726128016789"/>
    <m/>
    <m/>
    <m/>
    <m/>
    <m/>
  </r>
  <r>
    <x v="5"/>
    <x v="348"/>
    <n v="278"/>
    <n v="152045"/>
    <n v="2"/>
    <n v="2774"/>
    <n v="624.99944236309568"/>
    <n v="0.95958904109589038"/>
    <m/>
    <m/>
    <m/>
    <m/>
    <m/>
  </r>
  <r>
    <x v="7"/>
    <x v="348"/>
    <n v="115"/>
    <n v="43546"/>
    <n v="1"/>
    <n v="792"/>
    <n v="184.49292584711981"/>
    <n v="0.56847487772343264"/>
    <m/>
    <m/>
    <m/>
    <m/>
    <m/>
  </r>
  <r>
    <x v="8"/>
    <x v="348"/>
    <n v="10"/>
    <n v="968"/>
    <m/>
    <n v="9"/>
    <n v="20.654568046887523"/>
    <n v="0.69444444444444442"/>
    <m/>
    <m/>
    <m/>
    <m/>
    <m/>
  </r>
  <r>
    <x v="9"/>
    <x v="348"/>
    <n v="49"/>
    <n v="19769"/>
    <n v="1"/>
    <n v="891"/>
    <n v="59.67198568910117"/>
    <n v="1.0267857142857142"/>
    <m/>
    <m/>
    <m/>
    <m/>
    <m/>
  </r>
  <r>
    <x v="10"/>
    <x v="348"/>
    <n v="46"/>
    <n v="17714"/>
    <m/>
    <n v="268"/>
    <n v="355.7199772339215"/>
    <n v="0.88296398891966754"/>
    <m/>
    <m/>
    <m/>
    <m/>
    <m/>
  </r>
  <r>
    <x v="11"/>
    <x v="348"/>
    <n v="31"/>
    <n v="9847"/>
    <m/>
    <n v="415"/>
    <n v="75.978766602885159"/>
    <n v="1.2458333333333333"/>
    <m/>
    <m/>
    <m/>
    <m/>
    <m/>
  </r>
  <r>
    <x v="12"/>
    <x v="348"/>
    <n v="43"/>
    <n v="65663"/>
    <m/>
    <n v="1413"/>
    <n v="92.949036796765171"/>
    <n v="1.1613308223477714"/>
    <m/>
    <m/>
    <m/>
    <m/>
    <m/>
  </r>
  <r>
    <x v="13"/>
    <x v="348"/>
    <n v="117"/>
    <n v="6736"/>
    <m/>
    <n v="119"/>
    <n v="160.70797133737258"/>
    <n v="0.80150257018584425"/>
    <m/>
    <m/>
    <m/>
    <m/>
    <m/>
  </r>
  <r>
    <x v="14"/>
    <x v="348"/>
    <n v="232"/>
    <n v="58663"/>
    <n v="1"/>
    <n v="842"/>
    <n v="693.61515653023764"/>
    <n v="0.78775440396784679"/>
    <m/>
    <m/>
    <m/>
    <m/>
    <m/>
  </r>
  <r>
    <x v="15"/>
    <x v="348"/>
    <n v="87"/>
    <n v="50597"/>
    <m/>
    <n v="1115"/>
    <n v="362.35470365564936"/>
    <n v="0.67657342657342656"/>
    <m/>
    <m/>
    <m/>
    <m/>
    <m/>
  </r>
  <r>
    <x v="16"/>
    <x v="348"/>
    <n v="34"/>
    <n v="24837"/>
    <n v="2"/>
    <n v="1063"/>
    <n v="72.381505998678733"/>
    <n v="1.4299583911234397"/>
    <m/>
    <m/>
    <m/>
    <m/>
    <m/>
  </r>
  <r>
    <x v="17"/>
    <x v="348"/>
    <n v="7"/>
    <n v="14611"/>
    <m/>
    <n v="203"/>
    <n v="84.611573992885454"/>
    <n v="0.76949941792782306"/>
    <m/>
    <m/>
    <m/>
    <m/>
    <m/>
  </r>
  <r>
    <x v="18"/>
    <x v="348"/>
    <n v="293"/>
    <n v="20075"/>
    <m/>
    <n v="345"/>
    <n v="209.51039486315921"/>
    <n v="0.49882903981264637"/>
    <m/>
    <m/>
    <m/>
    <m/>
    <m/>
  </r>
  <r>
    <x v="19"/>
    <x v="348"/>
    <n v="60"/>
    <n v="34537"/>
    <m/>
    <n v="536"/>
    <n v="546.6259044348069"/>
    <n v="0.63279518835074389"/>
    <m/>
    <m/>
    <m/>
    <m/>
    <m/>
  </r>
  <r>
    <x v="20"/>
    <x v="348"/>
    <n v="193"/>
    <n v="211917"/>
    <m/>
    <n v="3807"/>
    <n v="172.2364268024877"/>
    <n v="0.56586770717205503"/>
    <m/>
    <m/>
    <m/>
    <m/>
    <m/>
  </r>
  <r>
    <x v="21"/>
    <x v="348"/>
    <n v="29"/>
    <n v="21862"/>
    <m/>
    <n v="257"/>
    <n v="103.44337650629194"/>
    <n v="0.80895283772981619"/>
    <m/>
    <m/>
    <m/>
    <m/>
    <m/>
  </r>
  <r>
    <x v="22"/>
    <x v="348"/>
    <n v="27"/>
    <n v="22454"/>
    <m/>
    <n v="344"/>
    <n v="360.79850704066052"/>
    <n v="0.60416666666666663"/>
    <m/>
    <m/>
    <m/>
    <m/>
    <m/>
  </r>
  <r>
    <x v="23"/>
    <x v="348"/>
    <n v="65"/>
    <n v="78096"/>
    <m/>
    <n v="1453"/>
    <n v="100.3153442350542"/>
    <n v="0.80990948070509772"/>
    <m/>
    <m/>
    <m/>
    <m/>
    <m/>
  </r>
  <r>
    <x v="0"/>
    <x v="349"/>
    <n v="1369"/>
    <n v="846968"/>
    <n v="63"/>
    <n v="25531"/>
    <n v="228.34318474493762"/>
    <n v="0.76338409346471248"/>
    <m/>
    <m/>
    <m/>
    <m/>
    <m/>
  </r>
  <r>
    <x v="4"/>
    <x v="349"/>
    <n v="491"/>
    <n v="222934"/>
    <n v="9"/>
    <n v="6303"/>
    <n v="384.24448067170277"/>
    <n v="0.7765803653568143"/>
    <m/>
    <m/>
    <m/>
    <m/>
    <m/>
  </r>
  <r>
    <x v="1"/>
    <x v="349"/>
    <n v="85"/>
    <n v="6878"/>
    <m/>
    <n v="17"/>
    <n v="321.34758977272179"/>
    <n v="1.0245587106676899"/>
    <m/>
    <m/>
    <m/>
    <m/>
    <m/>
  </r>
  <r>
    <x v="2"/>
    <x v="349"/>
    <n v="63"/>
    <n v="32509"/>
    <n v="1"/>
    <n v="834"/>
    <n v="137.9778687483448"/>
    <n v="0.75717539863325745"/>
    <m/>
    <m/>
    <m/>
    <m/>
    <m/>
  </r>
  <r>
    <x v="3"/>
    <x v="349"/>
    <n v="61"/>
    <n v="45292"/>
    <m/>
    <n v="687"/>
    <n v="447.50029887204073"/>
    <n v="0.67544501341136309"/>
    <m/>
    <m/>
    <m/>
    <m/>
    <m/>
  </r>
  <r>
    <x v="6"/>
    <x v="349"/>
    <n v="297"/>
    <n v="19646"/>
    <m/>
    <n v="285"/>
    <n v="55.39230677179593"/>
    <n v="1.0404595404595405"/>
    <m/>
    <m/>
    <m/>
    <m/>
    <m/>
  </r>
  <r>
    <x v="5"/>
    <x v="349"/>
    <n v="125"/>
    <n v="152170"/>
    <n v="1"/>
    <n v="2775"/>
    <n v="609.56405285148742"/>
    <n v="0.9416953824948312"/>
    <m/>
    <m/>
    <m/>
    <m/>
    <m/>
  </r>
  <r>
    <x v="7"/>
    <x v="349"/>
    <n v="33"/>
    <n v="43579"/>
    <m/>
    <n v="792"/>
    <n v="173.95871889613056"/>
    <n v="0.54350766456266908"/>
    <m/>
    <m/>
    <m/>
    <m/>
    <m/>
  </r>
  <r>
    <x v="8"/>
    <x v="349"/>
    <n v="6"/>
    <n v="974"/>
    <m/>
    <n v="9"/>
    <n v="20.985041135637722"/>
    <n v="0.74269005847953218"/>
    <m/>
    <m/>
    <m/>
    <m/>
    <m/>
  </r>
  <r>
    <x v="9"/>
    <x v="349"/>
    <n v="29"/>
    <n v="19798"/>
    <m/>
    <n v="891"/>
    <n v="58.24504690088353"/>
    <n v="1.0393518518518519"/>
    <m/>
    <m/>
    <m/>
    <m/>
    <m/>
  </r>
  <r>
    <x v="10"/>
    <x v="349"/>
    <n v="31"/>
    <n v="17745"/>
    <m/>
    <n v="268"/>
    <n v="343.72314662916961"/>
    <n v="0.8895306859205776"/>
    <m/>
    <m/>
    <m/>
    <m/>
    <m/>
  </r>
  <r>
    <x v="11"/>
    <x v="349"/>
    <n v="14"/>
    <n v="9861"/>
    <n v="1"/>
    <n v="416"/>
    <n v="76.741095364787014"/>
    <n v="1.2635983263598327"/>
    <m/>
    <m/>
    <m/>
    <m/>
    <m/>
  </r>
  <r>
    <x v="12"/>
    <x v="349"/>
    <n v="21"/>
    <n v="65684"/>
    <n v="1"/>
    <n v="1414"/>
    <n v="89.884230718601557"/>
    <n v="1.1153366583541147"/>
    <m/>
    <m/>
    <m/>
    <m/>
    <m/>
  </r>
  <r>
    <x v="13"/>
    <x v="349"/>
    <n v="113"/>
    <n v="6849"/>
    <m/>
    <n v="119"/>
    <n v="157.77447605395727"/>
    <n v="0.78625049387593837"/>
    <m/>
    <m/>
    <m/>
    <m/>
    <m/>
  </r>
  <r>
    <x v="14"/>
    <x v="349"/>
    <n v="148"/>
    <n v="58811"/>
    <n v="9"/>
    <n v="851"/>
    <n v="659.73252296113139"/>
    <n v="0.76178055990262561"/>
    <m/>
    <m/>
    <m/>
    <m/>
    <m/>
  </r>
  <r>
    <x v="15"/>
    <x v="349"/>
    <n v="87"/>
    <n v="50684"/>
    <n v="1"/>
    <n v="1116"/>
    <n v="334.13143216382872"/>
    <n v="0.62046696472925977"/>
    <m/>
    <m/>
    <m/>
    <m/>
    <m/>
  </r>
  <r>
    <x v="16"/>
    <x v="349"/>
    <n v="18"/>
    <n v="24855"/>
    <n v="1"/>
    <n v="1064"/>
    <n v="72.241095705761808"/>
    <n v="1.4311543810848402"/>
    <m/>
    <m/>
    <m/>
    <m/>
    <m/>
  </r>
  <r>
    <x v="17"/>
    <x v="349"/>
    <n v="5"/>
    <n v="14616"/>
    <m/>
    <n v="203"/>
    <n v="79.235346901053106"/>
    <n v="0.74758454106280192"/>
    <m/>
    <m/>
    <m/>
    <m/>
    <m/>
  </r>
  <r>
    <x v="18"/>
    <x v="349"/>
    <n v="8"/>
    <n v="20083"/>
    <n v="1"/>
    <n v="346"/>
    <n v="209.90384161407596"/>
    <n v="0.5199805068226121"/>
    <m/>
    <m/>
    <m/>
    <m/>
    <m/>
  </r>
  <r>
    <x v="19"/>
    <x v="349"/>
    <n v="44"/>
    <n v="34581"/>
    <n v="1"/>
    <n v="537"/>
    <n v="520.37473543743738"/>
    <n v="0.6343333333333333"/>
    <m/>
    <m/>
    <m/>
    <m/>
    <m/>
  </r>
  <r>
    <x v="20"/>
    <x v="349"/>
    <n v="150"/>
    <n v="212067"/>
    <m/>
    <n v="3807"/>
    <n v="161.68903110435474"/>
    <n v="0.54812116564417179"/>
    <m/>
    <m/>
    <m/>
    <m/>
    <m/>
  </r>
  <r>
    <x v="21"/>
    <x v="349"/>
    <n v="23"/>
    <n v="21885"/>
    <n v="2"/>
    <n v="259"/>
    <n v="95.16381771478045"/>
    <n v="0.74301675977653636"/>
    <m/>
    <m/>
    <m/>
    <m/>
    <m/>
  </r>
  <r>
    <x v="22"/>
    <x v="349"/>
    <n v="7"/>
    <n v="22461"/>
    <m/>
    <n v="344"/>
    <n v="344.39857490244867"/>
    <n v="0.62978283350568764"/>
    <m/>
    <m/>
    <m/>
    <m/>
    <m/>
  </r>
  <r>
    <x v="23"/>
    <x v="349"/>
    <n v="31"/>
    <n v="78127"/>
    <m/>
    <n v="1453"/>
    <n v="94.119396502889074"/>
    <n v="0.77577821011673154"/>
    <m/>
    <m/>
    <m/>
    <m/>
    <m/>
  </r>
  <r>
    <x v="0"/>
    <x v="350"/>
    <n v="1486"/>
    <n v="848454"/>
    <n v="38"/>
    <n v="25569"/>
    <n v="212.6258491394602"/>
    <n v="0.72296419779410337"/>
    <m/>
    <m/>
    <m/>
    <m/>
    <m/>
  </r>
  <r>
    <x v="4"/>
    <x v="350"/>
    <n v="439"/>
    <n v="223373"/>
    <n v="9"/>
    <n v="6312"/>
    <n v="357.22576655440838"/>
    <n v="0.72761589403973514"/>
    <m/>
    <m/>
    <m/>
    <m/>
    <m/>
  </r>
  <r>
    <x v="1"/>
    <x v="350"/>
    <n v="4"/>
    <n v="6882"/>
    <m/>
    <n v="17"/>
    <n v="289.81460530813263"/>
    <n v="0.93769470404984423"/>
    <m/>
    <m/>
    <m/>
    <m/>
    <m/>
  </r>
  <r>
    <x v="2"/>
    <x v="350"/>
    <n v="71"/>
    <n v="32580"/>
    <n v="2"/>
    <n v="836"/>
    <n v="130.50614300384962"/>
    <n v="0.73320895522388063"/>
    <m/>
    <m/>
    <m/>
    <m/>
    <m/>
  </r>
  <r>
    <x v="3"/>
    <x v="350"/>
    <n v="41"/>
    <n v="45333"/>
    <m/>
    <n v="687"/>
    <n v="401.29629689463866"/>
    <n v="0.60897278744790395"/>
    <m/>
    <m/>
    <m/>
    <m/>
    <m/>
  </r>
  <r>
    <x v="6"/>
    <x v="350"/>
    <n v="486"/>
    <n v="20132"/>
    <m/>
    <n v="285"/>
    <n v="63.662593572577748"/>
    <n v="1.1471011020603736"/>
    <m/>
    <m/>
    <m/>
    <m/>
    <m/>
  </r>
  <r>
    <x v="5"/>
    <x v="350"/>
    <n v="303"/>
    <n v="152473"/>
    <n v="5"/>
    <n v="2780"/>
    <n v="585.65258239419848"/>
    <n v="0.91701592623637884"/>
    <m/>
    <m/>
    <m/>
    <m/>
    <m/>
  </r>
  <r>
    <x v="7"/>
    <x v="350"/>
    <n v="103"/>
    <n v="43682"/>
    <m/>
    <n v="792"/>
    <n v="160.89918836100006"/>
    <n v="0.52163742690058479"/>
    <m/>
    <m/>
    <m/>
    <m/>
    <m/>
  </r>
  <r>
    <x v="8"/>
    <x v="350"/>
    <n v="4"/>
    <n v="978"/>
    <n v="7"/>
    <n v="16"/>
    <n v="20.985041135637722"/>
    <n v="0.76047904191616766"/>
    <m/>
    <m/>
    <m/>
    <m/>
    <m/>
  </r>
  <r>
    <x v="9"/>
    <x v="350"/>
    <n v="29"/>
    <n v="19827"/>
    <n v="2"/>
    <n v="893"/>
    <n v="59.15309885702203"/>
    <n v="1.0629370629370629"/>
    <m/>
    <m/>
    <m/>
    <m/>
    <m/>
  </r>
  <r>
    <x v="10"/>
    <x v="350"/>
    <n v="53"/>
    <n v="17798"/>
    <n v="2"/>
    <n v="270"/>
    <n v="333.95828450902275"/>
    <n v="0.90957446808510634"/>
    <m/>
    <m/>
    <m/>
    <m/>
    <m/>
  </r>
  <r>
    <x v="11"/>
    <x v="350"/>
    <n v="20"/>
    <n v="9881"/>
    <n v="1"/>
    <n v="417"/>
    <n v="80.298629586995688"/>
    <n v="1.3389830508474576"/>
    <m/>
    <m/>
    <m/>
    <m/>
    <m/>
  </r>
  <r>
    <x v="12"/>
    <x v="350"/>
    <n v="46"/>
    <n v="65730"/>
    <m/>
    <n v="1414"/>
    <n v="84.859958459316957"/>
    <n v="1.0543071161048689"/>
    <m/>
    <m/>
    <m/>
    <m/>
    <m/>
  </r>
  <r>
    <x v="13"/>
    <x v="350"/>
    <n v="115"/>
    <n v="6964"/>
    <n v="1"/>
    <n v="120"/>
    <n v="144.37553813781719"/>
    <n v="0.70663562281722936"/>
    <m/>
    <m/>
    <m/>
    <m/>
    <m/>
  </r>
  <r>
    <x v="14"/>
    <x v="350"/>
    <n v="112"/>
    <n v="58923"/>
    <n v="15"/>
    <n v="866"/>
    <n v="601.45439322226855"/>
    <n v="0.68472484141950973"/>
    <m/>
    <m/>
    <m/>
    <m/>
    <m/>
  </r>
  <r>
    <x v="15"/>
    <x v="350"/>
    <n v="113"/>
    <n v="50797"/>
    <n v="3"/>
    <n v="1119"/>
    <n v="309.92094808790677"/>
    <n v="0.59182630906768841"/>
    <m/>
    <m/>
    <m/>
    <m/>
    <m/>
  </r>
  <r>
    <x v="16"/>
    <x v="350"/>
    <n v="46"/>
    <n v="24901"/>
    <n v="5"/>
    <n v="1069"/>
    <n v="71.468839094718675"/>
    <n v="1.3926128590971272"/>
    <m/>
    <m/>
    <m/>
    <m/>
    <m/>
  </r>
  <r>
    <x v="17"/>
    <x v="350"/>
    <n v="44"/>
    <n v="14660"/>
    <m/>
    <n v="203"/>
    <n v="74.243136030065912"/>
    <n v="0.70388349514563109"/>
    <m/>
    <m/>
    <m/>
    <m/>
    <m/>
  </r>
  <r>
    <x v="18"/>
    <x v="350"/>
    <n v="138"/>
    <n v="20221"/>
    <n v="1"/>
    <n v="347"/>
    <n v="224.65809477345334"/>
    <n v="0.56506679861454723"/>
    <m/>
    <m/>
    <m/>
    <m/>
    <m/>
  </r>
  <r>
    <x v="19"/>
    <x v="350"/>
    <n v="52"/>
    <n v="34633"/>
    <n v="3"/>
    <n v="540"/>
    <n v="491.38906966950867"/>
    <n v="0.66041896361631758"/>
    <m/>
    <m/>
    <m/>
    <m/>
    <m/>
  </r>
  <r>
    <x v="20"/>
    <x v="350"/>
    <n v="180"/>
    <n v="212247"/>
    <n v="5"/>
    <n v="3812"/>
    <n v="152.21616901621923"/>
    <n v="0.55261266810389076"/>
    <m/>
    <m/>
    <m/>
    <m/>
    <m/>
  </r>
  <r>
    <x v="21"/>
    <x v="350"/>
    <n v="29"/>
    <n v="21914"/>
    <m/>
    <n v="259"/>
    <n v="91.075146706626612"/>
    <n v="0.724390243902439"/>
    <m/>
    <m/>
    <m/>
    <m/>
    <m/>
  </r>
  <r>
    <x v="22"/>
    <x v="350"/>
    <n v="22"/>
    <n v="22483"/>
    <m/>
    <n v="344"/>
    <n v="324.0400384550133"/>
    <n v="0.64745762711864407"/>
    <m/>
    <m/>
    <m/>
    <m/>
    <m/>
  </r>
  <r>
    <x v="23"/>
    <x v="350"/>
    <n v="67"/>
    <n v="78194"/>
    <n v="6"/>
    <n v="1459"/>
    <n v="87.274349484497151"/>
    <n v="0.72678132678132679"/>
    <m/>
    <m/>
    <m/>
    <m/>
    <m/>
  </r>
  <r>
    <x v="0"/>
    <x v="351"/>
    <n v="2602"/>
    <n v="851056"/>
    <n v="67"/>
    <n v="25636"/>
    <n v="206.43468973882599"/>
    <n v="0.7187717104349034"/>
    <m/>
    <m/>
    <m/>
    <m/>
    <m/>
  </r>
  <r>
    <x v="4"/>
    <x v="351"/>
    <n v="764"/>
    <n v="224137"/>
    <n v="7"/>
    <n v="6319"/>
    <n v="347.24412367353068"/>
    <n v="0.71682663265991009"/>
    <m/>
    <m/>
    <m/>
    <m/>
    <m/>
  </r>
  <r>
    <x v="1"/>
    <x v="351"/>
    <n v="81"/>
    <n v="6963"/>
    <m/>
    <n v="17"/>
    <n v="275.85343661388703"/>
    <n v="0.85842696629213489"/>
    <m/>
    <m/>
    <m/>
    <m/>
    <m/>
  </r>
  <r>
    <x v="2"/>
    <x v="351"/>
    <n v="104"/>
    <n v="32684"/>
    <n v="11"/>
    <n v="847"/>
    <n v="129.42689372964475"/>
    <n v="0.74843975036005761"/>
    <m/>
    <m/>
    <m/>
    <m/>
    <m/>
  </r>
  <r>
    <x v="3"/>
    <x v="351"/>
    <n v="175"/>
    <n v="45508"/>
    <n v="7"/>
    <n v="694"/>
    <n v="381.26379254080007"/>
    <n v="0.58459251919742383"/>
    <m/>
    <m/>
    <m/>
    <m/>
    <m/>
  </r>
  <r>
    <x v="6"/>
    <x v="351"/>
    <n v="289"/>
    <n v="20421"/>
    <n v="1"/>
    <n v="286"/>
    <n v="65.178369610020084"/>
    <n v="1.1161202185792349"/>
    <m/>
    <m/>
    <m/>
    <m/>
    <m/>
  </r>
  <r>
    <x v="5"/>
    <x v="351"/>
    <n v="438"/>
    <n v="152911"/>
    <n v="5"/>
    <n v="2785"/>
    <n v="570.93096812012129"/>
    <n v="0.90547615678505733"/>
    <m/>
    <m/>
    <m/>
    <m/>
    <m/>
  </r>
  <r>
    <x v="7"/>
    <x v="351"/>
    <n v="85"/>
    <n v="43767"/>
    <n v="4"/>
    <n v="796"/>
    <n v="147.91180992827358"/>
    <n v="0.51352705410821642"/>
    <m/>
    <m/>
    <m/>
    <m/>
    <m/>
  </r>
  <r>
    <x v="8"/>
    <x v="351"/>
    <n v="10"/>
    <n v="988"/>
    <n v="2"/>
    <n v="18"/>
    <n v="21.976460401888321"/>
    <n v="0.85806451612903223"/>
    <m/>
    <m/>
    <m/>
    <m/>
    <m/>
  </r>
  <r>
    <x v="9"/>
    <x v="351"/>
    <n v="51"/>
    <n v="19878"/>
    <n v="1"/>
    <n v="894"/>
    <n v="61.358367893358377"/>
    <n v="1.1155660377358489"/>
    <m/>
    <m/>
    <m/>
    <m/>
    <m/>
  </r>
  <r>
    <x v="10"/>
    <x v="351"/>
    <n v="43"/>
    <n v="17841"/>
    <n v="8"/>
    <n v="278"/>
    <n v="318.05550905621214"/>
    <n v="0.88030888030888033"/>
    <m/>
    <m/>
    <m/>
    <m/>
    <m/>
  </r>
  <r>
    <x v="11"/>
    <x v="351"/>
    <n v="35"/>
    <n v="9916"/>
    <n v="13"/>
    <n v="430"/>
    <n v="84.110273396504979"/>
    <n v="1.4646017699115044"/>
    <m/>
    <m/>
    <m/>
    <m/>
    <m/>
  </r>
  <r>
    <x v="12"/>
    <x v="351"/>
    <n v="134"/>
    <n v="65864"/>
    <n v="1"/>
    <n v="1415"/>
    <n v="83.654133117088648"/>
    <n v="1.0659411011523687"/>
    <m/>
    <m/>
    <m/>
    <m/>
    <m/>
  </r>
  <r>
    <x v="13"/>
    <x v="351"/>
    <n v="95"/>
    <n v="7059"/>
    <n v="2"/>
    <n v="122"/>
    <n v="136.84359078850767"/>
    <n v="0.67055167055167053"/>
    <m/>
    <m/>
    <m/>
    <m/>
    <m/>
  </r>
  <r>
    <x v="14"/>
    <x v="351"/>
    <n v="225"/>
    <n v="59148"/>
    <n v="4"/>
    <n v="870"/>
    <n v="566.66822275798609"/>
    <n v="0.65375260597637253"/>
    <m/>
    <m/>
    <m/>
    <m/>
    <m/>
  </r>
  <r>
    <x v="15"/>
    <x v="351"/>
    <n v="151"/>
    <n v="50948"/>
    <n v="10"/>
    <n v="1129"/>
    <n v="292.66596219954255"/>
    <n v="0.58300026645350389"/>
    <m/>
    <m/>
    <m/>
    <m/>
    <m/>
  </r>
  <r>
    <x v="16"/>
    <x v="351"/>
    <n v="34"/>
    <n v="24935"/>
    <n v="2"/>
    <n v="1071"/>
    <n v="67.537350893044575"/>
    <n v="1.293010752688172"/>
    <m/>
    <m/>
    <m/>
    <m/>
    <m/>
  </r>
  <r>
    <x v="17"/>
    <x v="351"/>
    <n v="82"/>
    <n v="14742"/>
    <n v="1"/>
    <n v="204"/>
    <n v="77.187260389878873"/>
    <n v="0.76620076238881829"/>
    <m/>
    <m/>
    <m/>
    <m/>
    <m/>
  </r>
  <r>
    <x v="18"/>
    <x v="351"/>
    <n v="6"/>
    <n v="20227"/>
    <n v="1"/>
    <n v="348"/>
    <n v="224.06792464707829"/>
    <n v="0.59138110072689509"/>
    <m/>
    <m/>
    <m/>
    <m/>
    <m/>
  </r>
  <r>
    <x v="19"/>
    <x v="351"/>
    <n v="117"/>
    <n v="34750"/>
    <n v="15"/>
    <n v="555"/>
    <n v="408.26036784450559"/>
    <n v="0.56382175226586106"/>
    <m/>
    <m/>
    <m/>
    <m/>
    <m/>
  </r>
  <r>
    <x v="20"/>
    <x v="351"/>
    <n v="320"/>
    <n v="212567"/>
    <n v="18"/>
    <n v="3830"/>
    <n v="141.81015931940172"/>
    <n v="0.54469425437167374"/>
    <m/>
    <m/>
    <m/>
    <m/>
    <m/>
  </r>
  <r>
    <x v="21"/>
    <x v="351"/>
    <n v="48"/>
    <n v="21962"/>
    <n v="2"/>
    <n v="261"/>
    <n v="86.679825372861245"/>
    <n v="0.73419913419913418"/>
    <m/>
    <m/>
    <m/>
    <m/>
    <m/>
  </r>
  <r>
    <x v="22"/>
    <x v="351"/>
    <n v="46"/>
    <n v="22529"/>
    <n v="1"/>
    <n v="345"/>
    <n v="317.81937454051911"/>
    <n v="0.66039952996474738"/>
    <m/>
    <m/>
    <m/>
    <m/>
    <m/>
  </r>
  <r>
    <x v="23"/>
    <x v="351"/>
    <n v="129"/>
    <n v="78323"/>
    <m/>
    <n v="1459"/>
    <n v="87.510385588579624"/>
    <n v="0.73707753479125249"/>
    <m/>
    <m/>
    <m/>
    <m/>
    <m/>
  </r>
  <r>
    <x v="0"/>
    <x v="352"/>
    <n v="3254"/>
    <n v="854310"/>
    <n v="154"/>
    <n v="25790"/>
    <n v="203.84078777999676"/>
    <n v="0.7229568522787011"/>
    <m/>
    <m/>
    <m/>
    <m/>
    <m/>
  </r>
  <r>
    <x v="4"/>
    <x v="352"/>
    <n v="794"/>
    <n v="224931"/>
    <n v="36"/>
    <n v="6355"/>
    <n v="333.58845588861658"/>
    <n v="0.69100215517241381"/>
    <m/>
    <m/>
    <m/>
    <m/>
    <m/>
  </r>
  <r>
    <x v="1"/>
    <x v="352"/>
    <n v="68"/>
    <n v="7031"/>
    <m/>
    <n v="17"/>
    <n v="262.37368752978784"/>
    <n v="0.79912023460410553"/>
    <m/>
    <m/>
    <m/>
    <m/>
    <m/>
  </r>
  <r>
    <x v="2"/>
    <x v="352"/>
    <n v="100"/>
    <n v="32784"/>
    <n v="3"/>
    <n v="850"/>
    <n v="126.68726095666317"/>
    <n v="0.78863049095607241"/>
    <m/>
    <m/>
    <m/>
    <m/>
    <m/>
  </r>
  <r>
    <x v="3"/>
    <x v="352"/>
    <n v="314"/>
    <n v="45822"/>
    <n v="3"/>
    <n v="697"/>
    <n v="387.72589071945771"/>
    <n v="0.61068702290076338"/>
    <m/>
    <m/>
    <m/>
    <m/>
    <m/>
  </r>
  <r>
    <x v="6"/>
    <x v="352"/>
    <n v="147"/>
    <n v="20568"/>
    <m/>
    <n v="286"/>
    <n v="63.875334069060877"/>
    <n v="1.0642445724412937"/>
    <m/>
    <m/>
    <m/>
    <m/>
    <m/>
  </r>
  <r>
    <x v="5"/>
    <x v="352"/>
    <n v="848"/>
    <n v="153759"/>
    <n v="5"/>
    <n v="2790"/>
    <n v="599.12509000259638"/>
    <n v="0.9661870503597122"/>
    <m/>
    <m/>
    <m/>
    <m/>
    <m/>
  </r>
  <r>
    <x v="7"/>
    <x v="352"/>
    <n v="193"/>
    <n v="43960"/>
    <n v="7"/>
    <n v="803"/>
    <n v="146.10800736817271"/>
    <n v="0.53784860557768921"/>
    <m/>
    <m/>
    <m/>
    <m/>
    <m/>
  </r>
  <r>
    <x v="8"/>
    <x v="352"/>
    <n v="52"/>
    <n v="1040"/>
    <m/>
    <n v="18"/>
    <n v="30.073051076268236"/>
    <n v="1.8383838383838385"/>
    <m/>
    <m/>
    <m/>
    <m/>
    <m/>
  </r>
  <r>
    <x v="9"/>
    <x v="352"/>
    <n v="45"/>
    <n v="19923"/>
    <m/>
    <n v="894"/>
    <n v="63.563636929694724"/>
    <n v="1.203931203931204"/>
    <m/>
    <m/>
    <m/>
    <m/>
    <m/>
  </r>
  <r>
    <x v="10"/>
    <x v="352"/>
    <n v="100"/>
    <n v="17941"/>
    <n v="1"/>
    <n v="279"/>
    <n v="297.40980057361588"/>
    <n v="0.80150375939849627"/>
    <m/>
    <m/>
    <m/>
    <m/>
    <m/>
  </r>
  <r>
    <x v="11"/>
    <x v="352"/>
    <n v="29"/>
    <n v="9945"/>
    <n v="4"/>
    <n v="434"/>
    <n v="88.17602679331489"/>
    <n v="1.5772727272727274"/>
    <m/>
    <m/>
    <m/>
    <m/>
    <m/>
  </r>
  <r>
    <x v="12"/>
    <x v="352"/>
    <n v="164"/>
    <n v="66028"/>
    <m/>
    <n v="1415"/>
    <n v="82.347822329674656"/>
    <n v="1.0373417721518987"/>
    <m/>
    <m/>
    <m/>
    <m/>
    <m/>
  </r>
  <r>
    <x v="13"/>
    <x v="352"/>
    <n v="102"/>
    <n v="7161"/>
    <n v="2"/>
    <n v="124"/>
    <n v="129.07379247027259"/>
    <n v="0.62639476721816079"/>
    <m/>
    <m/>
    <m/>
    <m/>
    <m/>
  </r>
  <r>
    <x v="14"/>
    <x v="352"/>
    <n v="294"/>
    <n v="59442"/>
    <n v="5"/>
    <n v="875"/>
    <n v="537.3032736647607"/>
    <n v="0.6236671910505156"/>
    <m/>
    <m/>
    <m/>
    <m/>
    <m/>
  </r>
  <r>
    <x v="15"/>
    <x v="352"/>
    <n v="221"/>
    <n v="51169"/>
    <n v="8"/>
    <n v="1137"/>
    <n v="296.94626877650114"/>
    <n v="0.60375305955942349"/>
    <m/>
    <m/>
    <m/>
    <m/>
    <m/>
  </r>
  <r>
    <x v="16"/>
    <x v="352"/>
    <n v="89"/>
    <n v="25024"/>
    <m/>
    <n v="1071"/>
    <n v="67.186325160752233"/>
    <n v="1.254259501965924"/>
    <m/>
    <m/>
    <m/>
    <m/>
    <m/>
  </r>
  <r>
    <x v="17"/>
    <x v="352"/>
    <n v="79"/>
    <n v="14821"/>
    <m/>
    <n v="204"/>
    <n v="76.547233355136925"/>
    <n v="0.75696202531645573"/>
    <m/>
    <m/>
    <m/>
    <m/>
    <m/>
  </r>
  <r>
    <x v="18"/>
    <x v="352"/>
    <n v="17"/>
    <n v="20244"/>
    <n v="4"/>
    <n v="352"/>
    <n v="226.62532852803702"/>
    <n v="0.66666666666666663"/>
    <m/>
    <m/>
    <m/>
    <m/>
    <m/>
  </r>
  <r>
    <x v="19"/>
    <x v="352"/>
    <n v="114"/>
    <n v="34864"/>
    <n v="3"/>
    <n v="558"/>
    <n v="389.93923948175814"/>
    <n v="0.56699801192842947"/>
    <m/>
    <m/>
    <m/>
    <m/>
    <m/>
  </r>
  <r>
    <x v="20"/>
    <x v="352"/>
    <n v="402"/>
    <n v="212969"/>
    <n v="3"/>
    <n v="3833"/>
    <n v="137.05958967520243"/>
    <n v="0.55866758875057632"/>
    <m/>
    <m/>
    <m/>
    <m/>
    <m/>
  </r>
  <r>
    <x v="21"/>
    <x v="352"/>
    <n v="70"/>
    <n v="22032"/>
    <m/>
    <n v="261"/>
    <n v="86.168741496842017"/>
    <n v="0.74601769911504423"/>
    <m/>
    <m/>
    <m/>
    <m/>
    <m/>
  </r>
  <r>
    <x v="22"/>
    <x v="352"/>
    <n v="55"/>
    <n v="22584"/>
    <n v="1"/>
    <n v="346"/>
    <n v="332.52276197477806"/>
    <n v="0.75968992248062017"/>
    <m/>
    <m/>
    <m/>
    <m/>
    <m/>
  </r>
  <r>
    <x v="23"/>
    <x v="352"/>
    <n v="120"/>
    <n v="78443"/>
    <n v="3"/>
    <n v="1462"/>
    <n v="84.677952339589865"/>
    <n v="0.70274240940254651"/>
    <m/>
    <m/>
    <m/>
    <m/>
    <m/>
  </r>
  <r>
    <x v="0"/>
    <x v="353"/>
    <n v="3549"/>
    <n v="857859"/>
    <n v="32"/>
    <n v="25822"/>
    <n v="204.21704608611265"/>
    <n v="0.73459929456156181"/>
    <m/>
    <m/>
    <m/>
    <m/>
    <m/>
  </r>
  <r>
    <x v="4"/>
    <x v="353"/>
    <n v="847"/>
    <n v="225778"/>
    <n v="12"/>
    <n v="6367"/>
    <n v="325.8177306491059"/>
    <n v="0.67828617842155137"/>
    <m/>
    <m/>
    <m/>
    <m/>
    <m/>
  </r>
  <r>
    <x v="1"/>
    <x v="353"/>
    <n v="98"/>
    <n v="7129"/>
    <m/>
    <n v="17"/>
    <n v="259.48516986890945"/>
    <n v="0.7580872011251758"/>
    <m/>
    <m/>
    <m/>
    <m/>
    <m/>
  </r>
  <r>
    <x v="2"/>
    <x v="353"/>
    <n v="165"/>
    <n v="32949"/>
    <n v="2"/>
    <n v="852"/>
    <n v="127.18537600629617"/>
    <n v="0.80125523012552302"/>
    <m/>
    <m/>
    <m/>
    <m/>
    <m/>
  </r>
  <r>
    <x v="3"/>
    <x v="353"/>
    <n v="177"/>
    <n v="45999"/>
    <n v="50"/>
    <n v="747"/>
    <n v="372.21685509067936"/>
    <n v="0.61505605979711697"/>
    <m/>
    <m/>
    <m/>
    <m/>
    <m/>
  </r>
  <r>
    <x v="6"/>
    <x v="353"/>
    <n v="121"/>
    <n v="20689"/>
    <n v="6"/>
    <n v="292"/>
    <n v="60.285338190908007"/>
    <n v="0.96673773987206824"/>
    <m/>
    <m/>
    <m/>
    <m/>
    <m/>
  </r>
  <r>
    <x v="5"/>
    <x v="353"/>
    <n v="825"/>
    <n v="154584"/>
    <n v="6"/>
    <n v="2796"/>
    <n v="623.7503356974164"/>
    <n v="1.0106982796009831"/>
    <m/>
    <m/>
    <m/>
    <m/>
    <m/>
  </r>
  <r>
    <x v="7"/>
    <x v="353"/>
    <n v="155"/>
    <n v="44115"/>
    <n v="3"/>
    <n v="806"/>
    <n v="138.96494923017315"/>
    <n v="0.52955732746769313"/>
    <m/>
    <m/>
    <m/>
    <m/>
    <m/>
  </r>
  <r>
    <x v="8"/>
    <x v="353"/>
    <n v="17"/>
    <n v="1057"/>
    <m/>
    <n v="18"/>
    <n v="31.394943431269034"/>
    <n v="2.7142857142857144"/>
    <m/>
    <m/>
    <m/>
    <m/>
    <m/>
  </r>
  <r>
    <x v="9"/>
    <x v="353"/>
    <n v="51"/>
    <n v="19974"/>
    <n v="1"/>
    <n v="895"/>
    <n v="64.601410593853004"/>
    <n v="1.1857142857142857"/>
    <m/>
    <m/>
    <m/>
    <m/>
    <m/>
  </r>
  <r>
    <x v="10"/>
    <x v="353"/>
    <n v="70"/>
    <n v="18011"/>
    <n v="3"/>
    <n v="282"/>
    <n v="291.82987936210338"/>
    <n v="0.79182437547312645"/>
    <m/>
    <m/>
    <m/>
    <m/>
    <m/>
  </r>
  <r>
    <x v="11"/>
    <x v="353"/>
    <n v="33"/>
    <n v="9978"/>
    <m/>
    <n v="434"/>
    <n v="90.463013079020456"/>
    <n v="1.5278969957081545"/>
    <m/>
    <m/>
    <m/>
    <m/>
    <m/>
  </r>
  <r>
    <x v="12"/>
    <x v="353"/>
    <n v="139"/>
    <n v="66167"/>
    <n v="5"/>
    <n v="1420"/>
    <n v="80.287870703367972"/>
    <n v="1.0126742712294043"/>
    <m/>
    <m/>
    <m/>
    <m/>
    <m/>
  </r>
  <r>
    <x v="13"/>
    <x v="353"/>
    <n v="104"/>
    <n v="7265"/>
    <n v="1"/>
    <n v="125"/>
    <n v="121.62112877727161"/>
    <n v="0.58172165339400839"/>
    <m/>
    <m/>
    <m/>
    <m/>
    <m/>
  </r>
  <r>
    <x v="14"/>
    <x v="353"/>
    <n v="262"/>
    <n v="59704"/>
    <n v="4"/>
    <n v="879"/>
    <n v="528.71967316058715"/>
    <n v="0.62718828152911754"/>
    <m/>
    <m/>
    <m/>
    <m/>
    <m/>
  </r>
  <r>
    <x v="15"/>
    <x v="353"/>
    <n v="137"/>
    <n v="51306"/>
    <n v="6"/>
    <n v="1143"/>
    <n v="284.10534904562536"/>
    <n v="0.59032795997776544"/>
    <m/>
    <m/>
    <m/>
    <m/>
    <m/>
  </r>
  <r>
    <x v="16"/>
    <x v="353"/>
    <n v="152"/>
    <n v="25176"/>
    <n v="2"/>
    <n v="1073"/>
    <n v="71.539044241177152"/>
    <n v="1.2737499999999999"/>
    <m/>
    <m/>
    <m/>
    <m/>
    <m/>
  </r>
  <r>
    <x v="17"/>
    <x v="353"/>
    <n v="69"/>
    <n v="14890"/>
    <n v="2"/>
    <n v="206"/>
    <n v="79.619363121898274"/>
    <n v="0.81413612565445026"/>
    <m/>
    <m/>
    <m/>
    <m/>
    <m/>
  </r>
  <r>
    <x v="18"/>
    <x v="353"/>
    <n v="9"/>
    <n v="20253"/>
    <m/>
    <n v="352"/>
    <n v="226.42860515257865"/>
    <n v="0.9787414965986394"/>
    <m/>
    <m/>
    <m/>
    <m/>
    <m/>
  </r>
  <r>
    <x v="19"/>
    <x v="353"/>
    <n v="138"/>
    <n v="35002"/>
    <n v="2"/>
    <n v="560"/>
    <n v="377.0871046601294"/>
    <n v="0.56171079429735238"/>
    <m/>
    <m/>
    <m/>
    <m/>
    <m/>
  </r>
  <r>
    <x v="20"/>
    <x v="353"/>
    <n v="507"/>
    <n v="213476"/>
    <n v="3"/>
    <n v="3836"/>
    <n v="137.39891607835952"/>
    <n v="0.59781003937007871"/>
    <m/>
    <m/>
    <m/>
    <m/>
    <m/>
  </r>
  <r>
    <x v="21"/>
    <x v="353"/>
    <n v="54"/>
    <n v="22086"/>
    <n v="1"/>
    <n v="262"/>
    <n v="82.488937589503564"/>
    <n v="0.71989295272078502"/>
    <m/>
    <m/>
    <m/>
    <m/>
    <m/>
  </r>
  <r>
    <x v="22"/>
    <x v="353"/>
    <n v="49"/>
    <n v="22633"/>
    <m/>
    <n v="346"/>
    <n v="332.52276197477806"/>
    <n v="0.7587096774193548"/>
    <m/>
    <m/>
    <m/>
    <m/>
    <m/>
  </r>
  <r>
    <x v="23"/>
    <x v="353"/>
    <n v="158"/>
    <n v="78601"/>
    <n v="2"/>
    <n v="1464"/>
    <n v="85.504078703878548"/>
    <n v="0.72887323943661975"/>
    <m/>
    <m/>
    <m/>
    <m/>
    <m/>
  </r>
  <r>
    <x v="0"/>
    <x v="354"/>
    <n v="2510"/>
    <n v="860369"/>
    <n v="65"/>
    <n v="25887"/>
    <n v="201.73146091237737"/>
    <n v="0.73043657756218394"/>
    <m/>
    <m/>
    <m/>
    <m/>
    <m/>
  </r>
  <r>
    <x v="4"/>
    <x v="354"/>
    <n v="596"/>
    <n v="226374"/>
    <n v="33"/>
    <n v="6400"/>
    <n v="321.36338187164586"/>
    <n v="0.67777549201124598"/>
    <m/>
    <m/>
    <m/>
    <m/>
    <m/>
  </r>
  <r>
    <x v="1"/>
    <x v="354"/>
    <n v="52"/>
    <n v="7181"/>
    <m/>
    <n v="17"/>
    <n v="253.46742474207946"/>
    <n v="0.72821576763485474"/>
    <m/>
    <m/>
    <m/>
    <m/>
    <m/>
  </r>
  <r>
    <x v="2"/>
    <x v="354"/>
    <n v="176"/>
    <n v="33125"/>
    <m/>
    <n v="852"/>
    <n v="129.84198960433892"/>
    <n v="0.83014861995753719"/>
    <m/>
    <m/>
    <m/>
    <m/>
    <m/>
  </r>
  <r>
    <x v="3"/>
    <x v="354"/>
    <n v="56"/>
    <n v="46055"/>
    <m/>
    <n v="747"/>
    <n v="356.22316209850175"/>
    <n v="0.59562398703403563"/>
    <m/>
    <m/>
    <m/>
    <m/>
    <m/>
  </r>
  <r>
    <x v="6"/>
    <x v="354"/>
    <n v="125"/>
    <n v="20814"/>
    <m/>
    <n v="292"/>
    <n v="55.711417516520626"/>
    <n v="0.844758064516129"/>
    <m/>
    <m/>
    <m/>
    <m/>
    <m/>
  </r>
  <r>
    <x v="5"/>
    <x v="354"/>
    <n v="591"/>
    <n v="155175"/>
    <n v="3"/>
    <n v="2799"/>
    <n v="636.06295854482642"/>
    <n v="1.0443891004980954"/>
    <m/>
    <m/>
    <m/>
    <m/>
    <m/>
  </r>
  <r>
    <x v="7"/>
    <x v="354"/>
    <n v="116"/>
    <n v="44231"/>
    <n v="2"/>
    <n v="808"/>
    <n v="130.8839137609211"/>
    <n v="0.50912152680325573"/>
    <m/>
    <m/>
    <m/>
    <m/>
    <m/>
  </r>
  <r>
    <x v="8"/>
    <x v="354"/>
    <n v="13"/>
    <n v="1070"/>
    <m/>
    <n v="18"/>
    <n v="33.377781963770232"/>
    <n v="2.9705882352941178"/>
    <m/>
    <m/>
    <m/>
    <m/>
    <m/>
  </r>
  <r>
    <x v="9"/>
    <x v="354"/>
    <n v="68"/>
    <n v="20042"/>
    <n v="2"/>
    <n v="897"/>
    <n v="69.920000622664205"/>
    <n v="1.2277904328018223"/>
    <m/>
    <m/>
    <m/>
    <m/>
    <m/>
  </r>
  <r>
    <x v="10"/>
    <x v="354"/>
    <n v="60"/>
    <n v="18071"/>
    <m/>
    <n v="282"/>
    <n v="290.4348990592253"/>
    <n v="0.81328124999999996"/>
    <m/>
    <m/>
    <m/>
    <m/>
    <m/>
  </r>
  <r>
    <x v="11"/>
    <x v="354"/>
    <n v="16"/>
    <n v="9994"/>
    <n v="1"/>
    <n v="435"/>
    <n v="86.651369269511179"/>
    <n v="1.3585657370517927"/>
    <m/>
    <m/>
    <m/>
    <m/>
    <m/>
  </r>
  <r>
    <x v="12"/>
    <x v="354"/>
    <n v="127"/>
    <n v="66294"/>
    <n v="3"/>
    <n v="1423"/>
    <n v="80.589327038925049"/>
    <n v="1.0037546933667083"/>
    <m/>
    <m/>
    <m/>
    <m/>
    <m/>
  </r>
  <r>
    <x v="13"/>
    <x v="354"/>
    <n v="100"/>
    <n v="7365"/>
    <n v="1"/>
    <n v="126"/>
    <n v="119.48047005694153"/>
    <n v="0.59098039215686271"/>
    <m/>
    <m/>
    <m/>
    <m/>
    <m/>
  </r>
  <r>
    <x v="14"/>
    <x v="354"/>
    <n v="162"/>
    <n v="59866"/>
    <n v="3"/>
    <n v="882"/>
    <n v="507.93832457153525"/>
    <n v="0.59625243061693478"/>
    <m/>
    <m/>
    <m/>
    <m/>
    <m/>
  </r>
  <r>
    <x v="15"/>
    <x v="354"/>
    <n v="79"/>
    <n v="51385"/>
    <n v="3"/>
    <n v="1146"/>
    <n v="276.48105295541797"/>
    <n v="0.59947795823665895"/>
    <m/>
    <m/>
    <m/>
    <m/>
    <m/>
  </r>
  <r>
    <x v="16"/>
    <x v="354"/>
    <n v="146"/>
    <n v="25322"/>
    <n v="3"/>
    <n v="1076"/>
    <n v="75.330122149934326"/>
    <n v="1.2881152460984393"/>
    <m/>
    <m/>
    <m/>
    <m/>
    <m/>
  </r>
  <r>
    <x v="17"/>
    <x v="354"/>
    <n v="26"/>
    <n v="14916"/>
    <m/>
    <n v="206"/>
    <n v="81.411438819175714"/>
    <n v="0.85483870967741937"/>
    <m/>
    <m/>
    <m/>
    <m/>
    <m/>
  </r>
  <r>
    <x v="18"/>
    <x v="354"/>
    <n v="264"/>
    <n v="20517"/>
    <n v="1"/>
    <n v="353"/>
    <n v="277.77340614721203"/>
    <n v="2.0056818181818183"/>
    <m/>
    <m/>
    <m/>
    <m/>
    <m/>
  </r>
  <r>
    <x v="19"/>
    <x v="354"/>
    <n v="106"/>
    <n v="35108"/>
    <n v="1"/>
    <n v="561"/>
    <n v="372.71190982723448"/>
    <n v="0.56839032527105926"/>
    <m/>
    <m/>
    <m/>
    <m/>
    <m/>
  </r>
  <r>
    <x v="20"/>
    <x v="354"/>
    <n v="376"/>
    <n v="213852"/>
    <m/>
    <n v="3836"/>
    <n v="135.8436700638895"/>
    <n v="0.61111817834881055"/>
    <m/>
    <m/>
    <m/>
    <m/>
    <m/>
  </r>
  <r>
    <x v="21"/>
    <x v="354"/>
    <n v="54"/>
    <n v="22140"/>
    <m/>
    <n v="262"/>
    <n v="80.853469186242023"/>
    <n v="0.77473065621939274"/>
    <m/>
    <m/>
    <m/>
    <m/>
    <m/>
  </r>
  <r>
    <x v="22"/>
    <x v="354"/>
    <n v="33"/>
    <n v="22666"/>
    <n v="1"/>
    <n v="347"/>
    <n v="341.57100039586044"/>
    <n v="0.84122562674094703"/>
    <m/>
    <m/>
    <m/>
    <m/>
    <m/>
  </r>
  <r>
    <x v="23"/>
    <x v="354"/>
    <n v="92"/>
    <n v="78693"/>
    <m/>
    <n v="1464"/>
    <n v="85.504078703878548"/>
    <n v="0.72522522522522526"/>
    <m/>
    <m/>
    <m/>
    <m/>
    <m/>
  </r>
  <r>
    <x v="0"/>
    <x v="355"/>
    <n v="1503"/>
    <n v="861872"/>
    <n v="51"/>
    <n v="25938"/>
    <n v="201.75996532950737"/>
    <n v="0.7395929114770543"/>
    <m/>
    <m/>
    <m/>
    <m/>
    <m/>
  </r>
  <r>
    <x v="4"/>
    <x v="355"/>
    <n v="351"/>
    <n v="226725"/>
    <n v="8"/>
    <n v="6408"/>
    <n v="314.015332063573"/>
    <n v="0.66818873668188739"/>
    <m/>
    <m/>
    <m/>
    <m/>
    <m/>
  </r>
  <r>
    <x v="1"/>
    <x v="355"/>
    <n v="110"/>
    <n v="7291"/>
    <m/>
    <n v="17"/>
    <n v="264.78078558051982"/>
    <n v="0.75342465753424659"/>
    <m/>
    <m/>
    <m/>
    <m/>
    <m/>
  </r>
  <r>
    <x v="2"/>
    <x v="355"/>
    <n v="81"/>
    <n v="33206"/>
    <m/>
    <n v="852"/>
    <n v="127.84952940580686"/>
    <n v="0.83153347732181426"/>
    <m/>
    <m/>
    <m/>
    <m/>
    <m/>
  </r>
  <r>
    <x v="3"/>
    <x v="355"/>
    <n v="36"/>
    <n v="46091"/>
    <m/>
    <n v="747"/>
    <n v="352.02279828237431"/>
    <n v="0.59600656455142231"/>
    <m/>
    <m/>
    <m/>
    <m/>
    <m/>
  </r>
  <r>
    <x v="6"/>
    <x v="355"/>
    <n v="146"/>
    <n v="20960"/>
    <m/>
    <n v="292"/>
    <n v="59.221635708492336"/>
    <n v="0.91646090534979419"/>
    <m/>
    <m/>
    <m/>
    <m/>
    <m/>
  </r>
  <r>
    <x v="5"/>
    <x v="355"/>
    <n v="399"/>
    <n v="155574"/>
    <m/>
    <n v="2799"/>
    <n v="651.58756996112606"/>
    <n v="1.076027700014734"/>
    <m/>
    <m/>
    <m/>
    <m/>
    <m/>
  </r>
  <r>
    <x v="7"/>
    <x v="355"/>
    <n v="87"/>
    <n v="44318"/>
    <n v="1"/>
    <n v="809"/>
    <n v="129.58517591764846"/>
    <n v="0.52073064656422152"/>
    <m/>
    <m/>
    <m/>
    <m/>
    <m/>
  </r>
  <r>
    <x v="8"/>
    <x v="355"/>
    <n v="9"/>
    <n v="1079"/>
    <m/>
    <n v="18"/>
    <n v="33.212545419395134"/>
    <n v="2.7916666666666665"/>
    <m/>
    <m/>
    <m/>
    <m/>
    <m/>
  </r>
  <r>
    <x v="9"/>
    <x v="355"/>
    <n v="73"/>
    <n v="20115"/>
    <m/>
    <n v="897"/>
    <n v="77.184416271772179"/>
    <n v="1.3934426229508197"/>
    <m/>
    <m/>
    <m/>
    <m/>
    <m/>
  </r>
  <r>
    <x v="10"/>
    <x v="355"/>
    <n v="19"/>
    <n v="18090"/>
    <m/>
    <n v="282"/>
    <n v="279.55405269677595"/>
    <n v="0.77374517374517371"/>
    <m/>
    <m/>
    <m/>
    <m/>
    <m/>
  </r>
  <r>
    <x v="11"/>
    <x v="355"/>
    <n v="25"/>
    <n v="10019"/>
    <m/>
    <n v="435"/>
    <n v="84.872602158406835"/>
    <n v="1.3522267206477734"/>
    <m/>
    <m/>
    <m/>
    <m/>
    <m/>
  </r>
  <r>
    <x v="12"/>
    <x v="355"/>
    <n v="39"/>
    <n v="66333"/>
    <m/>
    <n v="1423"/>
    <n v="80.63956976151789"/>
    <n v="1.0203432930705658"/>
    <m/>
    <m/>
    <m/>
    <m/>
    <m/>
  </r>
  <r>
    <x v="13"/>
    <x v="355"/>
    <n v="117"/>
    <n v="7482"/>
    <m/>
    <n v="126"/>
    <n v="112.58279195810016"/>
    <n v="0.54720616570327552"/>
    <m/>
    <m/>
    <m/>
    <m/>
    <m/>
  </r>
  <r>
    <x v="14"/>
    <x v="355"/>
    <n v="116"/>
    <n v="59982"/>
    <n v="5"/>
    <n v="887"/>
    <n v="501.01120837518465"/>
    <n v="0.58677248677248672"/>
    <m/>
    <m/>
    <m/>
    <m/>
    <m/>
  </r>
  <r>
    <x v="15"/>
    <x v="355"/>
    <n v="69"/>
    <n v="51454"/>
    <n v="1"/>
    <n v="1147"/>
    <n v="277.81864876071751"/>
    <n v="0.61106207708149451"/>
    <m/>
    <m/>
    <m/>
    <m/>
    <m/>
  </r>
  <r>
    <x v="16"/>
    <x v="355"/>
    <n v="83"/>
    <n v="25405"/>
    <n v="4"/>
    <n v="1080"/>
    <n v="78.138328008272978"/>
    <n v="1.3094117647058823"/>
    <m/>
    <m/>
    <m/>
    <m/>
    <m/>
  </r>
  <r>
    <x v="17"/>
    <x v="355"/>
    <n v="3"/>
    <n v="14919"/>
    <m/>
    <n v="206"/>
    <n v="80.643406377485391"/>
    <n v="0.84677419354838712"/>
    <m/>
    <m/>
    <m/>
    <m/>
    <m/>
  </r>
  <r>
    <x v="18"/>
    <x v="355"/>
    <n v="2"/>
    <n v="20519"/>
    <m/>
    <n v="353"/>
    <n v="277.97012952267039"/>
    <n v="2.1638591117917305"/>
    <m/>
    <m/>
    <m/>
    <m/>
    <m/>
  </r>
  <r>
    <x v="19"/>
    <x v="355"/>
    <n v="81"/>
    <n v="35189"/>
    <n v="1"/>
    <n v="562"/>
    <n v="381.46229949302432"/>
    <n v="0.60233160621761661"/>
    <m/>
    <m/>
    <m/>
    <m/>
    <m/>
  </r>
  <r>
    <x v="20"/>
    <x v="355"/>
    <n v="206"/>
    <n v="214058"/>
    <n v="6"/>
    <n v="3842"/>
    <n v="137.22925287678098"/>
    <n v="0.64023746701846962"/>
    <m/>
    <m/>
    <m/>
    <m/>
    <m/>
  </r>
  <r>
    <x v="21"/>
    <x v="355"/>
    <n v="41"/>
    <n v="22181"/>
    <m/>
    <n v="262"/>
    <n v="76.458147852476671"/>
    <n v="0.71578947368421053"/>
    <m/>
    <m/>
    <m/>
    <m/>
    <m/>
  </r>
  <r>
    <x v="22"/>
    <x v="355"/>
    <n v="40"/>
    <n v="22706"/>
    <m/>
    <n v="347"/>
    <n v="352.88129842221343"/>
    <n v="0.90173410404624277"/>
    <m/>
    <m/>
    <m/>
    <m/>
    <m/>
  </r>
  <r>
    <x v="23"/>
    <x v="355"/>
    <n v="73"/>
    <n v="78766"/>
    <m/>
    <n v="1464"/>
    <n v="85.91714188602289"/>
    <n v="0.71865745310957552"/>
    <m/>
    <m/>
    <m/>
    <m/>
    <m/>
  </r>
  <r>
    <x v="0"/>
    <x v="356"/>
    <n v="1999"/>
    <n v="863871"/>
    <n v="76"/>
    <n v="26014"/>
    <n v="201.21268052061151"/>
    <n v="0.74780711047078263"/>
    <m/>
    <m/>
    <m/>
    <m/>
    <m/>
  </r>
  <r>
    <x v="4"/>
    <x v="356"/>
    <n v="825"/>
    <n v="227550"/>
    <n v="22"/>
    <n v="6430"/>
    <n v="318.11203239904722"/>
    <n v="0.69592431894160323"/>
    <m/>
    <m/>
    <m/>
    <m/>
    <m/>
  </r>
  <r>
    <x v="1"/>
    <x v="356"/>
    <n v="85"/>
    <n v="7376"/>
    <m/>
    <n v="17"/>
    <n v="253.22671493700622"/>
    <n v="0.67306461932181705"/>
    <m/>
    <m/>
    <m/>
    <m/>
    <m/>
  </r>
  <r>
    <x v="2"/>
    <x v="356"/>
    <n v="124"/>
    <n v="33330"/>
    <n v="3"/>
    <n v="855"/>
    <n v="132.83067990213698"/>
    <n v="0.86956521739130432"/>
    <m/>
    <m/>
    <m/>
    <m/>
    <m/>
  </r>
  <r>
    <x v="3"/>
    <x v="356"/>
    <n v="141"/>
    <n v="46232"/>
    <n v="6"/>
    <n v="753"/>
    <n v="336.35221019912956"/>
    <n v="0.57994428969359335"/>
    <m/>
    <m/>
    <m/>
    <m/>
    <m/>
  </r>
  <r>
    <x v="6"/>
    <x v="356"/>
    <n v="142"/>
    <n v="21102"/>
    <m/>
    <n v="292"/>
    <n v="60.817189432115839"/>
    <n v="0.97236394557823125"/>
    <m/>
    <m/>
    <m/>
    <m/>
    <m/>
  </r>
  <r>
    <x v="5"/>
    <x v="356"/>
    <n v="402"/>
    <n v="155976"/>
    <n v="4"/>
    <n v="2803"/>
    <n v="669.78883851816693"/>
    <n v="1.1297215951843491"/>
    <m/>
    <m/>
    <m/>
    <m/>
    <m/>
  </r>
  <r>
    <x v="7"/>
    <x v="356"/>
    <n v="110"/>
    <n v="44428"/>
    <n v="10"/>
    <n v="819"/>
    <n v="132.47126001380991"/>
    <n v="0.57071806030463168"/>
    <m/>
    <m/>
    <m/>
    <m/>
    <m/>
  </r>
  <r>
    <x v="8"/>
    <x v="356"/>
    <n v="57"/>
    <n v="1136"/>
    <m/>
    <n v="18"/>
    <n v="41.474372638150143"/>
    <n v="3.2179487179487181"/>
    <m/>
    <m/>
    <m/>
    <m/>
    <m/>
  </r>
  <r>
    <x v="9"/>
    <x v="356"/>
    <n v="48"/>
    <n v="20163"/>
    <n v="1"/>
    <n v="898"/>
    <n v="79.908572140187658"/>
    <n v="1.378076062639821"/>
    <m/>
    <m/>
    <m/>
    <m/>
    <m/>
  </r>
  <r>
    <x v="10"/>
    <x v="356"/>
    <n v="71"/>
    <n v="18161"/>
    <n v="2"/>
    <n v="284"/>
    <n v="270.62617875835593"/>
    <n v="0.74787972243639167"/>
    <m/>
    <m/>
    <m/>
    <m/>
    <m/>
  </r>
  <r>
    <x v="11"/>
    <x v="356"/>
    <n v="28"/>
    <n v="10047"/>
    <m/>
    <n v="435"/>
    <n v="89.446574729817982"/>
    <n v="1.3858267716535433"/>
    <m/>
    <m/>
    <m/>
    <m/>
    <m/>
  </r>
  <r>
    <x v="12"/>
    <x v="356"/>
    <n v="78"/>
    <n v="66411"/>
    <n v="2"/>
    <n v="1425"/>
    <n v="78.629860857804061"/>
    <n v="0.95660146699266502"/>
    <m/>
    <m/>
    <m/>
    <m/>
    <m/>
  </r>
  <r>
    <x v="13"/>
    <x v="356"/>
    <n v="127"/>
    <n v="7609"/>
    <n v="5"/>
    <n v="131"/>
    <n v="118.21193155600517"/>
    <n v="0.5949720670391061"/>
    <m/>
    <m/>
    <m/>
    <m/>
    <m/>
  </r>
  <r>
    <x v="14"/>
    <x v="356"/>
    <n v="210"/>
    <n v="60192"/>
    <n v="4"/>
    <n v="891"/>
    <n v="491.67466045836426"/>
    <n v="0.60575139146567714"/>
    <m/>
    <m/>
    <m/>
    <m/>
    <m/>
  </r>
  <r>
    <x v="15"/>
    <x v="356"/>
    <n v="119"/>
    <n v="51573"/>
    <n v="10"/>
    <n v="1157"/>
    <n v="265.24524819090163"/>
    <n v="0.5907059874888293"/>
    <m/>
    <m/>
    <m/>
    <m/>
    <m/>
  </r>
  <r>
    <x v="16"/>
    <x v="356"/>
    <n v="74"/>
    <n v="25479"/>
    <m/>
    <n v="1080"/>
    <n v="81.508175038279362"/>
    <n v="1.3594847775175645"/>
    <m/>
    <m/>
    <m/>
    <m/>
    <m/>
  </r>
  <r>
    <x v="17"/>
    <x v="356"/>
    <n v="71"/>
    <n v="14990"/>
    <m/>
    <n v="206"/>
    <n v="83.587530737298337"/>
    <n v="0.9171348314606742"/>
    <m/>
    <m/>
    <m/>
    <m/>
    <m/>
  </r>
  <r>
    <x v="18"/>
    <x v="356"/>
    <n v="23"/>
    <n v="20542"/>
    <m/>
    <n v="353"/>
    <n v="281.31442690546265"/>
    <n v="3.9832869080779942"/>
    <m/>
    <m/>
    <m/>
    <m/>
    <m/>
  </r>
  <r>
    <x v="19"/>
    <x v="356"/>
    <n v="124"/>
    <n v="35313"/>
    <n v="5"/>
    <n v="567"/>
    <n v="379.00125239952092"/>
    <n v="0.6073619631901841"/>
    <m/>
    <m/>
    <m/>
    <m/>
    <m/>
  </r>
  <r>
    <x v="20"/>
    <x v="356"/>
    <n v="330"/>
    <n v="214388"/>
    <n v="9"/>
    <n v="3851"/>
    <n v="138.16240048546297"/>
    <n v="0.66071670047329278"/>
    <m/>
    <m/>
    <m/>
    <m/>
    <m/>
  </r>
  <r>
    <x v="21"/>
    <x v="356"/>
    <n v="36"/>
    <n v="22217"/>
    <n v="2"/>
    <n v="264"/>
    <n v="74.107162022788216"/>
    <n v="0.71078431372549022"/>
    <m/>
    <m/>
    <m/>
    <m/>
    <m/>
  </r>
  <r>
    <x v="22"/>
    <x v="356"/>
    <n v="42"/>
    <n v="22748"/>
    <n v="2"/>
    <n v="349"/>
    <n v="324.0400384550133"/>
    <n v="0.8748091603053435"/>
    <m/>
    <m/>
    <m/>
    <m/>
    <m/>
  </r>
  <r>
    <x v="23"/>
    <x v="356"/>
    <n v="151"/>
    <n v="78917"/>
    <m/>
    <n v="1464"/>
    <n v="88.513539030930175"/>
    <n v="0.75225677031093274"/>
    <m/>
    <m/>
    <m/>
    <m/>
    <m/>
  </r>
  <r>
    <x v="0"/>
    <x v="357"/>
    <n v="3403"/>
    <n v="867274"/>
    <n v="54"/>
    <n v="26068"/>
    <n v="201.44071585765144"/>
    <n v="0.76836932176484662"/>
    <m/>
    <m/>
    <m/>
    <m/>
    <m/>
  </r>
  <r>
    <x v="4"/>
    <x v="357"/>
    <n v="828"/>
    <n v="228378"/>
    <n v="31"/>
    <n v="6461"/>
    <n v="312.97490023234144"/>
    <n v="0.69981824790985092"/>
    <m/>
    <m/>
    <m/>
    <m/>
    <m/>
  </r>
  <r>
    <x v="1"/>
    <x v="357"/>
    <n v="62"/>
    <n v="7438"/>
    <m/>
    <n v="17"/>
    <n v="248.17180903046903"/>
    <n v="0.65710643722116002"/>
    <m/>
    <m/>
    <m/>
    <m/>
    <m/>
  </r>
  <r>
    <x v="2"/>
    <x v="357"/>
    <n v="191"/>
    <n v="33521"/>
    <n v="3"/>
    <n v="858"/>
    <n v="135.32125515030208"/>
    <n v="0.89364035087719296"/>
    <m/>
    <m/>
    <m/>
    <m/>
    <m/>
  </r>
  <r>
    <x v="3"/>
    <x v="357"/>
    <n v="174"/>
    <n v="46406"/>
    <n v="4"/>
    <n v="757"/>
    <n v="323.9126712052136"/>
    <n v="0.56944049985799494"/>
    <m/>
    <m/>
    <m/>
    <m/>
    <m/>
  </r>
  <r>
    <x v="6"/>
    <x v="357"/>
    <n v="79"/>
    <n v="21181"/>
    <n v="1"/>
    <n v="293"/>
    <n v="58.689784467284497"/>
    <n v="0.94155290102389078"/>
    <m/>
    <m/>
    <m/>
    <m/>
    <m/>
  </r>
  <r>
    <x v="5"/>
    <x v="357"/>
    <n v="827"/>
    <n v="156803"/>
    <n v="6"/>
    <n v="2809"/>
    <n v="682.90445850779929"/>
    <n v="1.1487318024913702"/>
    <m/>
    <m/>
    <m/>
    <m/>
    <m/>
  </r>
  <r>
    <x v="7"/>
    <x v="357"/>
    <n v="144"/>
    <n v="44572"/>
    <n v="6"/>
    <n v="825"/>
    <n v="128.4307422791839"/>
    <n v="0.57698541329011344"/>
    <m/>
    <m/>
    <m/>
    <m/>
    <m/>
  </r>
  <r>
    <x v="8"/>
    <x v="357"/>
    <n v="32"/>
    <n v="1168"/>
    <m/>
    <n v="18"/>
    <n v="46.266232425028051"/>
    <n v="3.7837837837837838"/>
    <m/>
    <m/>
    <m/>
    <m/>
    <m/>
  </r>
  <r>
    <x v="9"/>
    <x v="357"/>
    <n v="119"/>
    <n v="20282"/>
    <n v="3"/>
    <n v="901"/>
    <n v="89.507978533651766"/>
    <n v="1.5862068965517242"/>
    <m/>
    <m/>
    <m/>
    <m/>
    <m/>
  </r>
  <r>
    <x v="10"/>
    <x v="357"/>
    <n v="63"/>
    <n v="18224"/>
    <m/>
    <n v="284"/>
    <n v="260.58232057763342"/>
    <n v="0.71846153846153848"/>
    <m/>
    <m/>
    <m/>
    <m/>
    <m/>
  </r>
  <r>
    <x v="11"/>
    <x v="357"/>
    <n v="23"/>
    <n v="10070"/>
    <m/>
    <n v="435"/>
    <n v="93.004108952026641"/>
    <n v="1.4523809523809523"/>
    <m/>
    <m/>
    <m/>
    <m/>
    <m/>
  </r>
  <r>
    <x v="12"/>
    <x v="357"/>
    <n v="131"/>
    <n v="66542"/>
    <n v="6"/>
    <n v="1431"/>
    <n v="75.464569334454751"/>
    <n v="0.8742724097788126"/>
    <m/>
    <m/>
    <m/>
    <m/>
    <m/>
  </r>
  <r>
    <x v="13"/>
    <x v="357"/>
    <n v="110"/>
    <n v="7719"/>
    <n v="1"/>
    <n v="132"/>
    <n v="119.24261908801597"/>
    <n v="0.61791290057518489"/>
    <m/>
    <m/>
    <m/>
    <m/>
    <m/>
  </r>
  <r>
    <x v="14"/>
    <x v="357"/>
    <n v="187"/>
    <n v="60379"/>
    <n v="2"/>
    <n v="893"/>
    <n v="473.30274358978221"/>
    <n v="0.60523782014249949"/>
    <m/>
    <m/>
    <m/>
    <m/>
    <m/>
  </r>
  <r>
    <x v="15"/>
    <x v="357"/>
    <n v="170"/>
    <n v="51743"/>
    <n v="9"/>
    <n v="1166"/>
    <n v="260.42990329182328"/>
    <n v="0.61419558359621451"/>
    <m/>
    <m/>
    <m/>
    <m/>
    <m/>
  </r>
  <r>
    <x v="16"/>
    <x v="357"/>
    <n v="98"/>
    <n v="25577"/>
    <n v="5"/>
    <n v="1085"/>
    <n v="81.71879047765475"/>
    <n v="1.318233295583239"/>
    <m/>
    <m/>
    <m/>
    <m/>
    <m/>
  </r>
  <r>
    <x v="17"/>
    <x v="357"/>
    <n v="71"/>
    <n v="15061"/>
    <n v="1"/>
    <n v="207"/>
    <n v="83.97154695814352"/>
    <n v="0.93447293447293445"/>
    <m/>
    <m/>
    <m/>
    <m/>
    <m/>
  </r>
  <r>
    <x v="18"/>
    <x v="357"/>
    <n v="11"/>
    <n v="20553"/>
    <m/>
    <n v="353"/>
    <n v="282.10132040729604"/>
    <n v="4.4672897196261685"/>
    <m/>
    <m/>
    <m/>
    <m/>
    <m/>
  </r>
  <r>
    <x v="19"/>
    <x v="357"/>
    <n v="117"/>
    <n v="35430"/>
    <n v="2"/>
    <n v="569"/>
    <n v="377.36055433718531"/>
    <n v="0.62050359712230219"/>
    <m/>
    <m/>
    <m/>
    <m/>
    <m/>
  </r>
  <r>
    <x v="20"/>
    <x v="357"/>
    <n v="394"/>
    <n v="214782"/>
    <n v="17"/>
    <n v="3868"/>
    <n v="135.75883846310023"/>
    <n v="0.67581644144144148"/>
    <m/>
    <m/>
    <m/>
    <m/>
    <m/>
  </r>
  <r>
    <x v="21"/>
    <x v="357"/>
    <n v="58"/>
    <n v="22275"/>
    <n v="1"/>
    <n v="265"/>
    <n v="74.924896224418973"/>
    <n v="0.73965691220988905"/>
    <m/>
    <m/>
    <m/>
    <m/>
    <m/>
  </r>
  <r>
    <x v="22"/>
    <x v="357"/>
    <n v="47"/>
    <n v="22795"/>
    <m/>
    <n v="349"/>
    <n v="331.95724707346039"/>
    <n v="0.92295597484276726"/>
    <m/>
    <m/>
    <m/>
    <m/>
    <m/>
  </r>
  <r>
    <x v="23"/>
    <x v="357"/>
    <n v="138"/>
    <n v="79055"/>
    <n v="2"/>
    <n v="1466"/>
    <n v="91.109936175837447"/>
    <n v="0.81263157894736837"/>
    <m/>
    <m/>
    <m/>
    <m/>
    <m/>
  </r>
  <r>
    <x v="0"/>
    <x v="358"/>
    <n v="3500"/>
    <n v="870774"/>
    <n v="70"/>
    <n v="26138"/>
    <n v="202.78042346276106"/>
    <n v="0.79384917535206556"/>
    <m/>
    <m/>
    <m/>
    <m/>
    <m/>
  </r>
  <r>
    <x v="4"/>
    <x v="358"/>
    <n v="1003"/>
    <n v="229381"/>
    <n v="11"/>
    <n v="6472"/>
    <n v="315.8360877682282"/>
    <n v="0.72368323027639125"/>
    <m/>
    <m/>
    <m/>
    <m/>
    <m/>
  </r>
  <r>
    <x v="1"/>
    <x v="358"/>
    <n v="74"/>
    <n v="7512"/>
    <m/>
    <n v="17"/>
    <n v="252.98600513193304"/>
    <n v="0.69741207697412078"/>
    <m/>
    <m/>
    <m/>
    <m/>
    <m/>
  </r>
  <r>
    <x v="2"/>
    <x v="358"/>
    <n v="156"/>
    <n v="33677"/>
    <n v="3"/>
    <n v="861"/>
    <n v="136.40050442450695"/>
    <n v="0.9022515101592532"/>
    <m/>
    <m/>
    <m/>
    <m/>
    <m/>
  </r>
  <r>
    <x v="3"/>
    <x v="358"/>
    <n v="186"/>
    <n v="46592"/>
    <n v="3"/>
    <n v="760"/>
    <n v="327.46682520347531"/>
    <n v="0.61610942249240119"/>
    <m/>
    <m/>
    <m/>
    <m/>
    <m/>
  </r>
  <r>
    <x v="6"/>
    <x v="358"/>
    <n v="127"/>
    <n v="21308"/>
    <n v="3"/>
    <n v="296"/>
    <n v="59.168450584371556"/>
    <n v="0.9982054733064154"/>
    <m/>
    <m/>
    <m/>
    <m/>
    <m/>
  </r>
  <r>
    <x v="5"/>
    <x v="358"/>
    <n v="716"/>
    <n v="157519"/>
    <n v="5"/>
    <n v="2814"/>
    <n v="679.06791660607018"/>
    <n v="1.1300668151447661"/>
    <m/>
    <m/>
    <m/>
    <m/>
    <m/>
  </r>
  <r>
    <x v="7"/>
    <x v="358"/>
    <n v="179"/>
    <n v="44751"/>
    <n v="3"/>
    <n v="828"/>
    <n v="127.27630864071934"/>
    <n v="0.59055908938734514"/>
    <m/>
    <m/>
    <m/>
    <m/>
    <m/>
  </r>
  <r>
    <x v="8"/>
    <x v="358"/>
    <n v="7"/>
    <n v="1175"/>
    <n v="1"/>
    <n v="19"/>
    <n v="46.596705513778247"/>
    <n v="4.3384615384615381"/>
    <m/>
    <m/>
    <m/>
    <m/>
    <m/>
  </r>
  <r>
    <x v="9"/>
    <x v="358"/>
    <n v="103"/>
    <n v="20385"/>
    <n v="3"/>
    <n v="904"/>
    <n v="97.550724430878432"/>
    <n v="1.7611241217798594"/>
    <m/>
    <m/>
    <m/>
    <m/>
    <m/>
  </r>
  <r>
    <x v="10"/>
    <x v="358"/>
    <n v="91"/>
    <n v="18315"/>
    <m/>
    <n v="284"/>
    <n v="268.39421027375096"/>
    <n v="0.78021086780210869"/>
    <m/>
    <m/>
    <m/>
    <m/>
    <m/>
  </r>
  <r>
    <x v="11"/>
    <x v="358"/>
    <n v="55"/>
    <n v="10125"/>
    <m/>
    <n v="435"/>
    <n v="99.865067809143369"/>
    <n v="1.610655737704918"/>
    <m/>
    <m/>
    <m/>
    <m/>
    <m/>
  </r>
  <r>
    <x v="12"/>
    <x v="358"/>
    <n v="165"/>
    <n v="66707"/>
    <n v="4"/>
    <n v="1435"/>
    <n v="74.359229437412139"/>
    <n v="0.84282460136674264"/>
    <m/>
    <m/>
    <m/>
    <m/>
    <m/>
  </r>
  <r>
    <x v="13"/>
    <x v="358"/>
    <n v="114"/>
    <n v="7833"/>
    <n v="2"/>
    <n v="134"/>
    <n v="122.09683071512272"/>
    <n v="0.67811536767943636"/>
    <m/>
    <m/>
    <m/>
    <m/>
    <m/>
  </r>
  <r>
    <x v="14"/>
    <x v="358"/>
    <n v="261"/>
    <n v="60640"/>
    <m/>
    <n v="893"/>
    <n v="454.47905827361205"/>
    <n v="0.59869073596508626"/>
    <m/>
    <m/>
    <m/>
    <m/>
    <m/>
  </r>
  <r>
    <x v="15"/>
    <x v="358"/>
    <n v="166"/>
    <n v="51909"/>
    <n v="4"/>
    <n v="1170"/>
    <n v="253.07312636267571"/>
    <n v="0.62524785194976862"/>
    <m/>
    <m/>
    <m/>
    <m/>
    <m/>
  </r>
  <r>
    <x v="16"/>
    <x v="358"/>
    <n v="163"/>
    <n v="25740"/>
    <n v="3"/>
    <n v="1088"/>
    <n v="86.141714704538131"/>
    <n v="1.3366013071895424"/>
    <m/>
    <m/>
    <m/>
    <m/>
    <m/>
  </r>
  <r>
    <x v="17"/>
    <x v="358"/>
    <n v="80"/>
    <n v="15141"/>
    <m/>
    <n v="207"/>
    <n v="87.555698352698414"/>
    <n v="0.98275862068965514"/>
    <m/>
    <m/>
    <m/>
    <m/>
    <m/>
  </r>
  <r>
    <x v="18"/>
    <x v="358"/>
    <n v="32"/>
    <n v="20585"/>
    <m/>
    <n v="353"/>
    <n v="287.41285154467192"/>
    <n v="5.963265306122449"/>
    <m/>
    <m/>
    <m/>
    <m/>
    <m/>
  </r>
  <r>
    <x v="19"/>
    <x v="358"/>
    <n v="201"/>
    <n v="35631"/>
    <n v="1"/>
    <n v="570"/>
    <n v="397.59583043932423"/>
    <n v="0.66575091575091572"/>
    <m/>
    <m/>
    <m/>
    <m/>
    <m/>
  </r>
  <r>
    <x v="20"/>
    <x v="358"/>
    <n v="482"/>
    <n v="215264"/>
    <n v="19"/>
    <n v="3887"/>
    <n v="134.31670124968261"/>
    <n v="0.70758230299419034"/>
    <m/>
    <m/>
    <m/>
    <m/>
    <m/>
  </r>
  <r>
    <x v="21"/>
    <x v="358"/>
    <n v="65"/>
    <n v="22340"/>
    <m/>
    <n v="265"/>
    <n v="72.26726006911899"/>
    <n v="0.72069317023445467"/>
    <m/>
    <m/>
    <m/>
    <m/>
    <m/>
  </r>
  <r>
    <x v="22"/>
    <x v="358"/>
    <n v="38"/>
    <n v="22833"/>
    <n v="1"/>
    <n v="350"/>
    <n v="291.2401741785896"/>
    <n v="0.77912254160363081"/>
    <m/>
    <m/>
    <m/>
    <m/>
    <m/>
  </r>
  <r>
    <x v="23"/>
    <x v="358"/>
    <n v="219"/>
    <n v="79274"/>
    <n v="5"/>
    <n v="1471"/>
    <n v="97.659938064126294"/>
    <n v="0.96165020337013363"/>
    <m/>
    <m/>
    <m/>
    <m/>
    <m/>
  </r>
  <r>
    <x v="0"/>
    <x v="359"/>
    <n v="3254"/>
    <n v="874028"/>
    <n v="32"/>
    <n v="26170"/>
    <n v="203.3733153390649"/>
    <n v="0.81480973916221278"/>
    <m/>
    <m/>
    <m/>
    <m/>
    <m/>
  </r>
  <r>
    <x v="4"/>
    <x v="359"/>
    <n v="884"/>
    <n v="230265"/>
    <n v="12"/>
    <n v="6484"/>
    <n v="319.67268014589456"/>
    <n v="0.7512224938875306"/>
    <m/>
    <m/>
    <m/>
    <m/>
    <m/>
  </r>
  <r>
    <x v="1"/>
    <x v="359"/>
    <n v="127"/>
    <n v="7639"/>
    <m/>
    <n v="17"/>
    <n v="259.48516986890945"/>
    <n v="0.70874424720578566"/>
    <m/>
    <m/>
    <m/>
    <m/>
    <m/>
  </r>
  <r>
    <x v="2"/>
    <x v="359"/>
    <n v="174"/>
    <n v="33851"/>
    <n v="1"/>
    <n v="862"/>
    <n v="139.38919472230501"/>
    <n v="0.92151481888035125"/>
    <m/>
    <m/>
    <m/>
    <m/>
    <m/>
  </r>
  <r>
    <x v="3"/>
    <x v="359"/>
    <n v="142"/>
    <n v="46734"/>
    <n v="8"/>
    <n v="768"/>
    <n v="311.63468466576415"/>
    <n v="0.60018668326073432"/>
    <m/>
    <m/>
    <m/>
    <m/>
    <m/>
  </r>
  <r>
    <x v="6"/>
    <x v="359"/>
    <n v="95"/>
    <n v="21403"/>
    <m/>
    <n v="296"/>
    <n v="59.859857197941736"/>
    <n v="1.0278538812785387"/>
    <m/>
    <m/>
    <m/>
    <m/>
    <m/>
  </r>
  <r>
    <x v="5"/>
    <x v="359"/>
    <n v="1076"/>
    <n v="158595"/>
    <n v="10"/>
    <n v="2824"/>
    <n v="716.54111657644842"/>
    <n v="1.1963354684939669"/>
    <m/>
    <m/>
    <m/>
    <m/>
    <m/>
  </r>
  <r>
    <x v="7"/>
    <x v="359"/>
    <n v="160"/>
    <n v="44911"/>
    <n v="6"/>
    <n v="834"/>
    <n v="126.91554812869914"/>
    <n v="0.62023977433004229"/>
    <m/>
    <m/>
    <m/>
    <m/>
    <m/>
  </r>
  <r>
    <x v="8"/>
    <x v="359"/>
    <n v="10"/>
    <n v="1185"/>
    <m/>
    <n v="19"/>
    <n v="45.10957661440235"/>
    <n v="3.4556962025316458"/>
    <m/>
    <m/>
    <m/>
    <m/>
    <m/>
  </r>
  <r>
    <x v="9"/>
    <x v="359"/>
    <n v="106"/>
    <n v="20491"/>
    <m/>
    <n v="904"/>
    <n v="107.79873936444147"/>
    <n v="2.0072463768115942"/>
    <m/>
    <m/>
    <m/>
    <m/>
    <m/>
  </r>
  <r>
    <x v="10"/>
    <x v="359"/>
    <n v="222"/>
    <n v="18537"/>
    <n v="1"/>
    <n v="285"/>
    <n v="296.29381633131339"/>
    <n v="0.85852869846402591"/>
    <m/>
    <m/>
    <m/>
    <m/>
    <m/>
  </r>
  <r>
    <x v="11"/>
    <x v="359"/>
    <n v="23"/>
    <n v="10148"/>
    <m/>
    <n v="435"/>
    <n v="99.865067809143369"/>
    <n v="1.5291828793774318"/>
    <m/>
    <m/>
    <m/>
    <m/>
    <m/>
  </r>
  <r>
    <x v="12"/>
    <x v="359"/>
    <n v="220"/>
    <n v="66927"/>
    <n v="11"/>
    <n v="1446"/>
    <n v="77.976705464097051"/>
    <n v="0.86078757626178592"/>
    <m/>
    <m/>
    <m/>
    <m/>
    <m/>
  </r>
  <r>
    <x v="13"/>
    <x v="359"/>
    <n v="127"/>
    <n v="7960"/>
    <n v="4"/>
    <n v="138"/>
    <n v="122.49324899666534"/>
    <n v="0.68272205037560763"/>
    <m/>
    <m/>
    <m/>
    <m/>
    <m/>
  </r>
  <r>
    <x v="14"/>
    <x v="359"/>
    <n v="201"/>
    <n v="60841"/>
    <n v="1"/>
    <n v="894"/>
    <n v="437.16126778273554"/>
    <n v="0.59317531671434409"/>
    <m/>
    <m/>
    <m/>
    <m/>
    <m/>
  </r>
  <r>
    <x v="15"/>
    <x v="359"/>
    <n v="130"/>
    <n v="52039"/>
    <n v="5"/>
    <n v="1175"/>
    <n v="240.63348537338987"/>
    <n v="0.6123213070115725"/>
    <m/>
    <m/>
    <m/>
    <m/>
    <m/>
  </r>
  <r>
    <x v="16"/>
    <x v="359"/>
    <n v="139"/>
    <n v="25879"/>
    <n v="4"/>
    <n v="1092"/>
    <n v="89.160536002252186"/>
    <n v="1.3670613562970937"/>
    <m/>
    <m/>
    <m/>
    <m/>
    <m/>
  </r>
  <r>
    <x v="17"/>
    <x v="359"/>
    <n v="51"/>
    <n v="15192"/>
    <m/>
    <n v="207"/>
    <n v="83.843541551195131"/>
    <n v="0.9330484330484331"/>
    <m/>
    <m/>
    <m/>
    <m/>
    <m/>
  </r>
  <r>
    <x v="18"/>
    <x v="359"/>
    <n v="168"/>
    <n v="20753"/>
    <m/>
    <n v="353"/>
    <n v="316.33118773705166"/>
    <n v="8.1212121212121211"/>
    <m/>
    <m/>
    <m/>
    <m/>
    <m/>
  </r>
  <r>
    <x v="19"/>
    <x v="359"/>
    <n v="136"/>
    <n v="35767"/>
    <n v="1"/>
    <n v="571"/>
    <n v="403.61172333455477"/>
    <n v="0.68619246861924688"/>
    <m/>
    <m/>
    <m/>
    <m/>
    <m/>
  </r>
  <r>
    <x v="20"/>
    <x v="359"/>
    <n v="438"/>
    <n v="215702"/>
    <n v="47"/>
    <n v="3934"/>
    <n v="133.80771164494695"/>
    <n v="0.72721684339941606"/>
    <m/>
    <m/>
    <m/>
    <m/>
    <m/>
  </r>
  <r>
    <x v="21"/>
    <x v="359"/>
    <n v="78"/>
    <n v="22418"/>
    <m/>
    <n v="265"/>
    <n v="71.142875541876677"/>
    <n v="0.69669669669669665"/>
    <m/>
    <m/>
    <m/>
    <m/>
    <m/>
  </r>
  <r>
    <x v="22"/>
    <x v="359"/>
    <n v="34"/>
    <n v="22867"/>
    <m/>
    <n v="350"/>
    <n v="283.32296556014251"/>
    <n v="0.7455357142857143"/>
    <m/>
    <m/>
    <m/>
    <m/>
    <m/>
  </r>
  <r>
    <x v="23"/>
    <x v="359"/>
    <n v="239"/>
    <n v="79513"/>
    <n v="2"/>
    <n v="1473"/>
    <n v="104.50498508251822"/>
    <n v="1.0986352357320099"/>
    <m/>
    <m/>
    <m/>
    <m/>
    <m/>
  </r>
  <r>
    <x v="0"/>
    <x v="360"/>
    <n v="2088"/>
    <n v="876116"/>
    <n v="30"/>
    <n v="26200"/>
    <n v="196.99402678537274"/>
    <n v="0.81294405495694722"/>
    <m/>
    <m/>
    <m/>
    <m/>
    <m/>
  </r>
  <r>
    <x v="4"/>
    <x v="360"/>
    <n v="607"/>
    <n v="230872"/>
    <n v="24"/>
    <n v="6508"/>
    <n v="313.00741372706739"/>
    <n v="0.75773317591499412"/>
    <m/>
    <m/>
    <m/>
    <m/>
    <m/>
  </r>
  <r>
    <x v="1"/>
    <x v="360"/>
    <n v="83"/>
    <n v="7722"/>
    <m/>
    <n v="17"/>
    <n v="250.09748747105465"/>
    <n v="0.67997382198952883"/>
    <m/>
    <m/>
    <m/>
    <m/>
    <m/>
  </r>
  <r>
    <x v="2"/>
    <x v="360"/>
    <n v="103"/>
    <n v="33954"/>
    <n v="1"/>
    <n v="863"/>
    <n v="138.06088792328364"/>
    <n v="0.95629672225416906"/>
    <m/>
    <m/>
    <m/>
    <m/>
    <m/>
  </r>
  <r>
    <x v="3"/>
    <x v="360"/>
    <n v="71"/>
    <n v="46805"/>
    <m/>
    <n v="768"/>
    <n v="285.62473949666719"/>
    <n v="0.57891290111329408"/>
    <m/>
    <m/>
    <m/>
    <m/>
    <m/>
  </r>
  <r>
    <x v="6"/>
    <x v="360"/>
    <n v="223"/>
    <n v="21626"/>
    <n v="4"/>
    <n v="300"/>
    <n v="64.300815062027155"/>
    <n v="1.1692456479690523"/>
    <m/>
    <m/>
    <m/>
    <m/>
    <m/>
  </r>
  <r>
    <x v="5"/>
    <x v="360"/>
    <n v="416"/>
    <n v="159011"/>
    <n v="4"/>
    <n v="2828"/>
    <n v="695.75241278335761"/>
    <n v="1.1542332741267023"/>
    <m/>
    <m/>
    <m/>
    <m/>
    <m/>
  </r>
  <r>
    <x v="7"/>
    <x v="360"/>
    <n v="92"/>
    <n v="45003"/>
    <n v="2"/>
    <n v="836"/>
    <n v="121.35983624358838"/>
    <n v="0.62319377547239718"/>
    <m/>
    <m/>
    <m/>
    <m/>
    <m/>
  </r>
  <r>
    <x v="8"/>
    <x v="360"/>
    <n v="23"/>
    <n v="1208"/>
    <m/>
    <n v="19"/>
    <n v="44.779103525652147"/>
    <n v="2.8229166666666665"/>
    <m/>
    <m/>
    <m/>
    <m/>
    <m/>
  </r>
  <r>
    <x v="9"/>
    <x v="360"/>
    <n v="83"/>
    <n v="20574"/>
    <m/>
    <n v="904"/>
    <n v="114.02538134939115"/>
    <n v="2.092857142857143"/>
    <m/>
    <m/>
    <m/>
    <m/>
    <m/>
  </r>
  <r>
    <x v="10"/>
    <x v="360"/>
    <n v="53"/>
    <n v="18590"/>
    <m/>
    <n v="285"/>
    <n v="291.2718872409522"/>
    <n v="0.85154975530179444"/>
    <m/>
    <m/>
    <m/>
    <m/>
    <m/>
  </r>
  <r>
    <x v="11"/>
    <x v="360"/>
    <n v="21"/>
    <n v="10169"/>
    <m/>
    <n v="435"/>
    <n v="97.832191110738407"/>
    <n v="1.4312267657992566"/>
    <m/>
    <m/>
    <m/>
    <m/>
    <m/>
  </r>
  <r>
    <x v="12"/>
    <x v="360"/>
    <n v="137"/>
    <n v="67064"/>
    <n v="1"/>
    <n v="1447"/>
    <n v="77.625006405947133"/>
    <n v="0.84472389283761617"/>
    <m/>
    <m/>
    <m/>
    <m/>
    <m/>
  </r>
  <r>
    <x v="13"/>
    <x v="360"/>
    <n v="116"/>
    <n v="8076"/>
    <n v="1"/>
    <n v="139"/>
    <n v="123.36536921605907"/>
    <n v="0.72338447233844727"/>
    <m/>
    <m/>
    <m/>
    <m/>
    <m/>
  </r>
  <r>
    <x v="14"/>
    <x v="360"/>
    <n v="173"/>
    <n v="61014"/>
    <n v="2"/>
    <n v="896"/>
    <n v="416.53050867621306"/>
    <n v="0.58614113159567705"/>
    <m/>
    <m/>
    <m/>
    <m/>
    <m/>
  </r>
  <r>
    <x v="15"/>
    <x v="360"/>
    <n v="146"/>
    <n v="52185"/>
    <n v="5"/>
    <n v="1180"/>
    <n v="239.42964914862026"/>
    <n v="0.64784654361201588"/>
    <m/>
    <m/>
    <m/>
    <m/>
    <m/>
  </r>
  <r>
    <x v="16"/>
    <x v="360"/>
    <n v="68"/>
    <n v="25947"/>
    <m/>
    <n v="1092"/>
    <n v="87.545817633707458"/>
    <n v="1.2776639344262295"/>
    <m/>
    <m/>
    <m/>
    <m/>
    <m/>
  </r>
  <r>
    <x v="17"/>
    <x v="360"/>
    <n v="35"/>
    <n v="15227"/>
    <n v="1"/>
    <n v="208"/>
    <n v="80.515400970537002"/>
    <n v="0.90895953757225434"/>
    <m/>
    <m/>
    <m/>
    <m/>
    <m/>
  </r>
  <r>
    <x v="18"/>
    <x v="360"/>
    <n v="3"/>
    <n v="20756"/>
    <m/>
    <n v="353"/>
    <n v="314.95412410884308"/>
    <n v="8.2525773195876297"/>
    <m/>
    <m/>
    <m/>
    <m/>
    <m/>
  </r>
  <r>
    <x v="19"/>
    <x v="360"/>
    <n v="60"/>
    <n v="35827"/>
    <n v="2"/>
    <n v="573"/>
    <n v="386.93129303414293"/>
    <n v="0.67125237191650855"/>
    <m/>
    <m/>
    <m/>
    <m/>
    <m/>
  </r>
  <r>
    <x v="20"/>
    <x v="360"/>
    <n v="261"/>
    <n v="215963"/>
    <n v="10"/>
    <n v="3944"/>
    <n v="131.85658482679366"/>
    <n v="0.75136964228166292"/>
    <m/>
    <m/>
    <m/>
    <m/>
    <m/>
  </r>
  <r>
    <x v="21"/>
    <x v="360"/>
    <n v="67"/>
    <n v="22485"/>
    <n v="2"/>
    <n v="267"/>
    <n v="72.676127169934375"/>
    <n v="0.64402173913043481"/>
    <m/>
    <m/>
    <m/>
    <m/>
    <m/>
  </r>
  <r>
    <x v="22"/>
    <x v="360"/>
    <n v="27"/>
    <n v="22894"/>
    <n v="3"/>
    <n v="353"/>
    <n v="272.01266753378951"/>
    <n v="0.73660030627871365"/>
    <m/>
    <m/>
    <m/>
    <m/>
    <m/>
  </r>
  <r>
    <x v="23"/>
    <x v="360"/>
    <n v="127"/>
    <n v="79640"/>
    <m/>
    <n v="1473"/>
    <n v="100.25633520903358"/>
    <n v="1.0155409444112373"/>
    <m/>
    <m/>
    <m/>
    <m/>
    <m/>
  </r>
  <r>
    <x v="0"/>
    <x v="361"/>
    <n v="2409"/>
    <n v="878525"/>
    <n v="12"/>
    <n v="26212"/>
    <n v="196.77169233175883"/>
    <n v="0.82400687547746376"/>
    <m/>
    <m/>
    <m/>
    <m/>
    <m/>
  </r>
  <r>
    <x v="4"/>
    <x v="361"/>
    <n v="583"/>
    <n v="231455"/>
    <n v="13"/>
    <n v="6521"/>
    <n v="314.37298050555881"/>
    <n v="0.78641724278161851"/>
    <m/>
    <m/>
    <m/>
    <m/>
    <m/>
  </r>
  <r>
    <x v="1"/>
    <x v="361"/>
    <n v="118"/>
    <n v="7840"/>
    <m/>
    <n v="17"/>
    <n v="259.7258796739826"/>
    <n v="0.70986842105263159"/>
    <m/>
    <m/>
    <m/>
    <m/>
    <m/>
  </r>
  <r>
    <x v="2"/>
    <x v="361"/>
    <n v="105"/>
    <n v="34059"/>
    <n v="2"/>
    <n v="865"/>
    <n v="140.55146317144869"/>
    <n v="0.99705535924617195"/>
    <m/>
    <m/>
    <m/>
    <m/>
    <m/>
  </r>
  <r>
    <x v="3"/>
    <x v="361"/>
    <n v="77"/>
    <n v="46882"/>
    <n v="2"/>
    <n v="770"/>
    <n v="279.97040359034173"/>
    <n v="0.59086259802250252"/>
    <m/>
    <m/>
    <m/>
    <m/>
    <m/>
  </r>
  <r>
    <x v="6"/>
    <x v="361"/>
    <n v="172"/>
    <n v="21798"/>
    <m/>
    <n v="300"/>
    <n v="67.46532994721376"/>
    <n v="1.3151892172109902"/>
    <m/>
    <m/>
    <m/>
    <m/>
    <m/>
  </r>
  <r>
    <x v="5"/>
    <x v="361"/>
    <n v="533"/>
    <n v="159544"/>
    <n v="4"/>
    <n v="2832"/>
    <n v="693.87875278483864"/>
    <n v="1.0998444350162637"/>
    <m/>
    <m/>
    <m/>
    <m/>
    <m/>
  </r>
  <r>
    <x v="7"/>
    <x v="361"/>
    <n v="112"/>
    <n v="45115"/>
    <n v="1"/>
    <n v="837"/>
    <n v="121.50414044839646"/>
    <n v="0.65550797975866093"/>
    <m/>
    <m/>
    <m/>
    <m/>
    <m/>
  </r>
  <r>
    <x v="8"/>
    <x v="361"/>
    <n v="12"/>
    <n v="1220"/>
    <m/>
    <n v="19"/>
    <n v="43.291974626276243"/>
    <n v="2.2782608695652176"/>
    <m/>
    <m/>
    <m/>
    <m/>
    <m/>
  </r>
  <r>
    <x v="9"/>
    <x v="361"/>
    <n v="93"/>
    <n v="20667"/>
    <m/>
    <n v="904"/>
    <n v="122.84645749473654"/>
    <n v="2.2126168224299065"/>
    <m/>
    <m/>
    <m/>
    <m/>
    <m/>
  </r>
  <r>
    <x v="10"/>
    <x v="361"/>
    <n v="53"/>
    <n v="18643"/>
    <m/>
    <n v="285"/>
    <n v="272.02115906123402"/>
    <n v="0.76291079812206575"/>
    <m/>
    <m/>
    <m/>
    <m/>
    <m/>
  </r>
  <r>
    <x v="11"/>
    <x v="361"/>
    <n v="5"/>
    <n v="10174"/>
    <m/>
    <n v="435"/>
    <n v="90.971232253621693"/>
    <n v="1.2605633802816902"/>
    <m/>
    <m/>
    <m/>
    <m/>
    <m/>
  </r>
  <r>
    <x v="12"/>
    <x v="361"/>
    <n v="121"/>
    <n v="67185"/>
    <m/>
    <n v="1447"/>
    <n v="78.629860857804061"/>
    <n v="0.84503239740820735"/>
    <m/>
    <m/>
    <m/>
    <m/>
    <m/>
  </r>
  <r>
    <x v="13"/>
    <x v="361"/>
    <n v="125"/>
    <n v="8201"/>
    <n v="1"/>
    <n v="140"/>
    <n v="125.42674428008061"/>
    <n v="0.77473065621939274"/>
    <m/>
    <m/>
    <m/>
    <m/>
    <m/>
  </r>
  <r>
    <x v="14"/>
    <x v="361"/>
    <n v="83"/>
    <n v="61097"/>
    <n v="4"/>
    <n v="900"/>
    <n v="401.47156042327691"/>
    <n v="0.57618327209855202"/>
    <m/>
    <m/>
    <m/>
    <m/>
    <m/>
  </r>
  <r>
    <x v="15"/>
    <x v="361"/>
    <n v="85"/>
    <n v="52270"/>
    <n v="2"/>
    <n v="1182"/>
    <n v="235.4168617327216"/>
    <n v="0.65281899109792285"/>
    <m/>
    <m/>
    <m/>
    <m/>
    <m/>
  </r>
  <r>
    <x v="16"/>
    <x v="361"/>
    <n v="112"/>
    <n v="26059"/>
    <n v="3"/>
    <n v="1095"/>
    <n v="88.177663951833651"/>
    <n v="1.2253658536585366"/>
    <m/>
    <m/>
    <m/>
    <m/>
    <m/>
  </r>
  <r>
    <x v="17"/>
    <x v="361"/>
    <n v="12"/>
    <n v="15239"/>
    <m/>
    <n v="208"/>
    <n v="81.283433412227339"/>
    <n v="0.95488721804511278"/>
    <m/>
    <m/>
    <m/>
    <m/>
    <m/>
  </r>
  <r>
    <x v="18"/>
    <x v="361"/>
    <n v="16"/>
    <n v="20772"/>
    <m/>
    <n v="353"/>
    <n v="194.75614170378182"/>
    <n v="1.2468513853904282"/>
    <m/>
    <m/>
    <m/>
    <m/>
    <m/>
  </r>
  <r>
    <x v="19"/>
    <x v="361"/>
    <n v="69"/>
    <n v="35896"/>
    <m/>
    <n v="573"/>
    <n v="388.02509174236667"/>
    <n v="0.69695481335952847"/>
    <m/>
    <m/>
    <m/>
    <m/>
    <m/>
  </r>
  <r>
    <x v="20"/>
    <x v="361"/>
    <n v="379"/>
    <n v="216342"/>
    <n v="14"/>
    <n v="3958"/>
    <n v="130.58411081495456"/>
    <n v="0.75519215044971377"/>
    <m/>
    <m/>
    <m/>
    <m/>
    <m/>
  </r>
  <r>
    <x v="21"/>
    <x v="361"/>
    <n v="83"/>
    <n v="22568"/>
    <n v="1"/>
    <n v="268"/>
    <n v="75.129329774826672"/>
    <n v="0.68627450980392157"/>
    <m/>
    <m/>
    <m/>
    <m/>
    <m/>
  </r>
  <r>
    <x v="22"/>
    <x v="361"/>
    <n v="39"/>
    <n v="22933"/>
    <m/>
    <n v="353"/>
    <n v="286.1505400667308"/>
    <n v="0.7760736196319018"/>
    <m/>
    <m/>
    <m/>
    <m/>
    <m/>
  </r>
  <r>
    <x v="23"/>
    <x v="361"/>
    <n v="73"/>
    <n v="79713"/>
    <m/>
    <n v="1473"/>
    <n v="99.253181766683042"/>
    <n v="0.98593200468933173"/>
    <m/>
    <m/>
    <m/>
    <m/>
    <m/>
  </r>
  <r>
    <x v="0"/>
    <x v="362"/>
    <n v="1282"/>
    <n v="879807"/>
    <n v="1"/>
    <n v="26213"/>
    <n v="195.01582023655132"/>
    <n v="0.82926474509708858"/>
    <m/>
    <m/>
    <m/>
    <m/>
    <m/>
  </r>
  <r>
    <x v="4"/>
    <x v="362"/>
    <n v="437"/>
    <n v="231892"/>
    <n v="1"/>
    <n v="6522"/>
    <n v="307.22001166584192"/>
    <n v="0.77482574825748263"/>
    <m/>
    <m/>
    <m/>
    <m/>
    <m/>
  </r>
  <r>
    <x v="1"/>
    <x v="362"/>
    <n v="44"/>
    <n v="7884"/>
    <m/>
    <n v="17"/>
    <n v="262.61439733486105"/>
    <n v="0.7737588652482269"/>
    <m/>
    <m/>
    <m/>
    <m/>
    <m/>
  </r>
  <r>
    <x v="2"/>
    <x v="362"/>
    <n v="84"/>
    <n v="34143"/>
    <m/>
    <n v="865"/>
    <n v="140.88353987120405"/>
    <n v="1.0029550827423168"/>
    <m/>
    <m/>
    <m/>
    <m/>
    <m/>
  </r>
  <r>
    <x v="3"/>
    <x v="362"/>
    <n v="9"/>
    <n v="46891"/>
    <m/>
    <n v="770"/>
    <n v="268.17707441429155"/>
    <n v="0.5675213675213675"/>
    <m/>
    <m/>
    <m/>
    <m/>
    <m/>
  </r>
  <r>
    <x v="6"/>
    <x v="362"/>
    <n v="58"/>
    <n v="21856"/>
    <m/>
    <n v="300"/>
    <n v="66.66755308540202"/>
    <n v="1.2687246963562753"/>
    <m/>
    <m/>
    <m/>
    <m/>
    <m/>
  </r>
  <r>
    <x v="5"/>
    <x v="362"/>
    <n v="334"/>
    <n v="159878"/>
    <n v="1"/>
    <n v="2833"/>
    <n v="698.87517944755575"/>
    <n v="1.1182012847965739"/>
    <m/>
    <m/>
    <m/>
    <m/>
    <m/>
  </r>
  <r>
    <x v="7"/>
    <x v="362"/>
    <n v="52"/>
    <n v="45167"/>
    <n v="4"/>
    <n v="841"/>
    <n v="116.9585579969422"/>
    <n v="0.63394603050449749"/>
    <m/>
    <m/>
    <m/>
    <m/>
    <m/>
  </r>
  <r>
    <x v="8"/>
    <x v="362"/>
    <n v="1"/>
    <n v="1221"/>
    <m/>
    <n v="19"/>
    <n v="41.804845726900346"/>
    <n v="2.024"/>
    <m/>
    <m/>
    <m/>
    <m/>
    <m/>
  </r>
  <r>
    <x v="9"/>
    <x v="362"/>
    <n v="85"/>
    <n v="20752"/>
    <n v="1"/>
    <n v="905"/>
    <n v="127.51643898344881"/>
    <n v="2.1369565217391306"/>
    <m/>
    <m/>
    <m/>
    <m/>
    <m/>
  </r>
  <r>
    <x v="10"/>
    <x v="362"/>
    <n v="47"/>
    <n v="18690"/>
    <m/>
    <n v="285"/>
    <n v="272.30015512180967"/>
    <n v="0.76549019607843138"/>
    <m/>
    <m/>
    <m/>
    <m/>
    <m/>
  </r>
  <r>
    <x v="11"/>
    <x v="362"/>
    <n v="50"/>
    <n v="10224"/>
    <n v="3"/>
    <n v="438"/>
    <n v="95.799314412333473"/>
    <n v="1.2608695652173914"/>
    <m/>
    <m/>
    <m/>
    <m/>
    <m/>
  </r>
  <r>
    <x v="12"/>
    <x v="362"/>
    <n v="51"/>
    <n v="67236"/>
    <n v="1"/>
    <n v="1448"/>
    <n v="79.031802638546822"/>
    <n v="0.85027027027027025"/>
    <m/>
    <m/>
    <m/>
    <m/>
    <m/>
  </r>
  <r>
    <x v="13"/>
    <x v="362"/>
    <n v="73"/>
    <n v="8274"/>
    <m/>
    <n v="140"/>
    <n v="121.93826340250568"/>
    <n v="0.75875678342377895"/>
    <m/>
    <m/>
    <m/>
    <m/>
    <m/>
  </r>
  <r>
    <x v="14"/>
    <x v="362"/>
    <n v="79"/>
    <n v="61176"/>
    <n v="2"/>
    <n v="902"/>
    <n v="378.43136959628464"/>
    <n v="0.54559270516717329"/>
    <m/>
    <m/>
    <m/>
    <m/>
    <m/>
  </r>
  <r>
    <x v="15"/>
    <x v="362"/>
    <n v="56"/>
    <n v="52326"/>
    <m/>
    <n v="1182"/>
    <n v="231.27031473629296"/>
    <n v="0.63824289405684753"/>
    <m/>
    <m/>
    <m/>
    <m/>
    <m/>
  </r>
  <r>
    <x v="16"/>
    <x v="362"/>
    <n v="82"/>
    <n v="26141"/>
    <m/>
    <n v="1095"/>
    <n v="91.547510981840034"/>
    <n v="1.2647914645974783"/>
    <m/>
    <m/>
    <m/>
    <m/>
    <m/>
  </r>
  <r>
    <x v="17"/>
    <x v="362"/>
    <n v="5"/>
    <n v="15244"/>
    <m/>
    <n v="208"/>
    <n v="81.02742259833056"/>
    <n v="0.95763993948562787"/>
    <m/>
    <m/>
    <m/>
    <m/>
    <m/>
  </r>
  <r>
    <x v="18"/>
    <x v="362"/>
    <n v="1"/>
    <n v="20773"/>
    <m/>
    <n v="353"/>
    <n v="137.31291606993909"/>
    <n v="0.65539906103286383"/>
    <m/>
    <m/>
    <m/>
    <m/>
    <m/>
  </r>
  <r>
    <x v="19"/>
    <x v="362"/>
    <n v="35"/>
    <n v="35931"/>
    <n v="5"/>
    <n v="578"/>
    <n v="381.18884981596835"/>
    <n v="0.69734867433716863"/>
    <m/>
    <m/>
    <m/>
    <m/>
    <m/>
  </r>
  <r>
    <x v="20"/>
    <x v="362"/>
    <n v="123"/>
    <n v="216465"/>
    <m/>
    <n v="3958"/>
    <n v="128.60470679653818"/>
    <n v="0.7466754227548843"/>
    <m/>
    <m/>
    <m/>
    <m/>
    <m/>
  </r>
  <r>
    <x v="21"/>
    <x v="362"/>
    <n v="90"/>
    <n v="22658"/>
    <m/>
    <n v="268"/>
    <n v="81.364553062261251"/>
    <n v="0.7865612648221344"/>
    <m/>
    <m/>
    <m/>
    <m/>
    <m/>
  </r>
  <r>
    <x v="22"/>
    <x v="362"/>
    <n v="6"/>
    <n v="22939"/>
    <m/>
    <n v="353"/>
    <n v="274.27472713906013"/>
    <n v="0.7601880877742947"/>
    <m/>
    <m/>
    <m/>
    <m/>
    <m/>
  </r>
  <r>
    <x v="23"/>
    <x v="362"/>
    <n v="84"/>
    <n v="79797"/>
    <m/>
    <n v="1473"/>
    <n v="100.37435326107482"/>
    <n v="1.0005882352941176"/>
    <m/>
    <m/>
    <m/>
    <m/>
    <m/>
  </r>
  <r>
    <x v="0"/>
    <x v="363"/>
    <n v="2004"/>
    <n v="881811"/>
    <n v="26"/>
    <n v="26239"/>
    <n v="198.63588121206027"/>
    <n v="0.86990063414390573"/>
    <m/>
    <m/>
    <m/>
    <m/>
    <m/>
  </r>
  <r>
    <x v="4"/>
    <x v="363"/>
    <n v="432"/>
    <n v="232324"/>
    <n v="6"/>
    <n v="6528"/>
    <n v="305.30171547700871"/>
    <n v="0.79455068539515994"/>
    <m/>
    <m/>
    <m/>
    <m/>
    <m/>
  </r>
  <r>
    <x v="1"/>
    <x v="363"/>
    <n v="154"/>
    <n v="8038"/>
    <m/>
    <n v="17"/>
    <n v="279.22337388491184"/>
    <n v="0.86891385767790263"/>
    <m/>
    <m/>
    <m/>
    <m/>
    <m/>
  </r>
  <r>
    <x v="2"/>
    <x v="363"/>
    <n v="74"/>
    <n v="34217"/>
    <n v="2"/>
    <n v="867"/>
    <n v="141.79675079553124"/>
    <n v="1.0276774969915765"/>
    <m/>
    <m/>
    <m/>
    <m/>
    <m/>
  </r>
  <r>
    <x v="3"/>
    <x v="363"/>
    <n v="117"/>
    <n v="47008"/>
    <n v="5"/>
    <n v="775"/>
    <n v="277.22401186441226"/>
    <n v="0.61949458483754516"/>
    <m/>
    <m/>
    <m/>
    <m/>
    <m/>
  </r>
  <r>
    <x v="6"/>
    <x v="363"/>
    <n v="93"/>
    <n v="21949"/>
    <m/>
    <n v="300"/>
    <n v="61.24267042508211"/>
    <n v="1.1056168987037926"/>
    <m/>
    <m/>
    <m/>
    <m/>
    <m/>
  </r>
  <r>
    <x v="5"/>
    <x v="363"/>
    <n v="393"/>
    <n v="160271"/>
    <n v="12"/>
    <n v="2845"/>
    <n v="722.78664990484492"/>
    <n v="1.1857435597189696"/>
    <m/>
    <m/>
    <m/>
    <m/>
    <m/>
  </r>
  <r>
    <x v="7"/>
    <x v="363"/>
    <n v="92"/>
    <n v="45259"/>
    <n v="12"/>
    <n v="853"/>
    <n v="121.21553203878032"/>
    <n v="0.69680630443799252"/>
    <m/>
    <m/>
    <m/>
    <m/>
    <m/>
  </r>
  <r>
    <x v="8"/>
    <x v="363"/>
    <n v="22"/>
    <n v="1243"/>
    <m/>
    <n v="19"/>
    <n v="44.448630436901951"/>
    <n v="2.1181102362204722"/>
    <m/>
    <m/>
    <m/>
    <m/>
    <m/>
  </r>
  <r>
    <x v="9"/>
    <x v="363"/>
    <n v="44"/>
    <n v="20796"/>
    <m/>
    <n v="905"/>
    <n v="129.46226460374558"/>
    <n v="2.22271714922049"/>
    <m/>
    <m/>
    <m/>
    <m/>
    <m/>
  </r>
  <r>
    <x v="10"/>
    <x v="363"/>
    <n v="75"/>
    <n v="18765"/>
    <n v="4"/>
    <n v="289"/>
    <n v="284.57598178713715"/>
    <n v="0.82792207792207795"/>
    <m/>
    <m/>
    <m/>
    <m/>
    <m/>
  </r>
  <r>
    <x v="11"/>
    <x v="363"/>
    <n v="17"/>
    <n v="10241"/>
    <n v="1"/>
    <n v="439"/>
    <n v="96.561643174235329"/>
    <n v="1.2582781456953642"/>
    <m/>
    <m/>
    <m/>
    <m/>
    <m/>
  </r>
  <r>
    <x v="12"/>
    <x v="363"/>
    <n v="98"/>
    <n v="67334"/>
    <n v="1"/>
    <n v="1449"/>
    <n v="82.900492278195955"/>
    <n v="0.92230296254890998"/>
    <m/>
    <m/>
    <m/>
    <m/>
    <m/>
  </r>
  <r>
    <x v="13"/>
    <x v="363"/>
    <n v="106"/>
    <n v="8380"/>
    <n v="3"/>
    <n v="143"/>
    <n v="121.38327780834602"/>
    <n v="0.76934673366834172"/>
    <m/>
    <m/>
    <m/>
    <m/>
    <m/>
  </r>
  <r>
    <x v="14"/>
    <x v="363"/>
    <n v="147"/>
    <n v="61323"/>
    <n v="4"/>
    <n v="906"/>
    <n v="378.28078011375533"/>
    <n v="0.57338507190139243"/>
    <m/>
    <m/>
    <m/>
    <m/>
    <m/>
  </r>
  <r>
    <x v="15"/>
    <x v="363"/>
    <n v="111"/>
    <n v="52437"/>
    <n v="6"/>
    <n v="1188"/>
    <n v="234.48054466901192"/>
    <n v="0.70176140912730189"/>
    <m/>
    <m/>
    <m/>
    <m/>
    <m/>
  </r>
  <r>
    <x v="16"/>
    <x v="363"/>
    <n v="56"/>
    <n v="26197"/>
    <n v="2"/>
    <n v="1097"/>
    <n v="94.215306547261747"/>
    <n v="1.3041788143828961"/>
    <m/>
    <m/>
    <m/>
    <m/>
    <m/>
  </r>
  <r>
    <x v="17"/>
    <x v="363"/>
    <n v="48"/>
    <n v="15292"/>
    <n v="3"/>
    <n v="211"/>
    <n v="86.531655097111297"/>
    <n v="1.0920840064620356"/>
    <m/>
    <m/>
    <m/>
    <m/>
    <m/>
  </r>
  <r>
    <x v="18"/>
    <x v="363"/>
    <n v="3"/>
    <n v="20776"/>
    <n v="2"/>
    <n v="355"/>
    <n v="136.32929919264728"/>
    <n v="0.64948453608247425"/>
    <m/>
    <m/>
    <m/>
    <m/>
    <m/>
  </r>
  <r>
    <x v="19"/>
    <x v="363"/>
    <n v="63"/>
    <n v="35994"/>
    <n v="6"/>
    <n v="584"/>
    <n v="386.38439368003105"/>
    <n v="0.74251182343667887"/>
    <m/>
    <m/>
    <m/>
    <m/>
    <m/>
  </r>
  <r>
    <x v="20"/>
    <x v="363"/>
    <n v="314"/>
    <n v="216779"/>
    <n v="11"/>
    <n v="3969"/>
    <n v="133.24216763968514"/>
    <n v="0.82406435816719137"/>
    <m/>
    <m/>
    <m/>
    <m/>
    <m/>
  </r>
  <r>
    <x v="21"/>
    <x v="363"/>
    <n v="34"/>
    <n v="22692"/>
    <n v="1"/>
    <n v="269"/>
    <n v="82.488937589503564"/>
    <n v="0.86680988184747587"/>
    <m/>
    <m/>
    <m/>
    <m/>
    <m/>
  </r>
  <r>
    <x v="22"/>
    <x v="363"/>
    <n v="32"/>
    <n v="22971"/>
    <n v="2"/>
    <n v="355"/>
    <n v="288.41259967200136"/>
    <n v="0.83743842364532017"/>
    <m/>
    <m/>
    <m/>
    <m/>
    <m/>
  </r>
  <r>
    <x v="23"/>
    <x v="363"/>
    <n v="129"/>
    <n v="79926"/>
    <n v="3"/>
    <n v="1476"/>
    <n v="106.1572378110956"/>
    <n v="1.1278996865203761"/>
    <m/>
    <m/>
    <m/>
    <m/>
    <m/>
  </r>
  <r>
    <x v="0"/>
    <x v="364"/>
    <n v="2926"/>
    <n v="884737"/>
    <n v="36"/>
    <n v="26275"/>
    <n v="206.84515334549786"/>
    <n v="0.97281282676890901"/>
    <m/>
    <m/>
    <m/>
    <m/>
    <m/>
  </r>
  <r>
    <x v="4"/>
    <x v="364"/>
    <n v="652"/>
    <n v="232976"/>
    <n v="9"/>
    <n v="6537"/>
    <n v="312.22708985364375"/>
    <n v="0.87403294802948939"/>
    <m/>
    <m/>
    <m/>
    <m/>
    <m/>
  </r>
  <r>
    <x v="1"/>
    <x v="364"/>
    <n v="93"/>
    <n v="8131"/>
    <m/>
    <n v="17"/>
    <n v="300.64654653642663"/>
    <n v="1.037375415282392"/>
    <m/>
    <m/>
    <m/>
    <m/>
    <m/>
  </r>
  <r>
    <x v="2"/>
    <x v="364"/>
    <n v="113"/>
    <n v="34330"/>
    <n v="2"/>
    <n v="869"/>
    <n v="145.28355614296234"/>
    <n v="1.11323155216285"/>
    <m/>
    <m/>
    <m/>
    <m/>
    <m/>
  </r>
  <r>
    <x v="3"/>
    <x v="364"/>
    <n v="131"/>
    <n v="47139"/>
    <m/>
    <n v="775"/>
    <n v="291.76373276639191"/>
    <n v="0.72705314009661837"/>
    <m/>
    <m/>
    <m/>
    <m/>
    <m/>
  </r>
  <r>
    <x v="6"/>
    <x v="364"/>
    <n v="111"/>
    <n v="22060"/>
    <m/>
    <n v="300"/>
    <n v="51.270459652435214"/>
    <n v="0.80534670008354214"/>
    <m/>
    <m/>
    <m/>
    <m/>
    <m/>
  </r>
  <r>
    <x v="5"/>
    <x v="364"/>
    <n v="778"/>
    <n v="161049"/>
    <n v="8"/>
    <n v="2853"/>
    <n v="765.16705463324888"/>
    <n v="1.3065204143814748"/>
    <m/>
    <m/>
    <m/>
    <m/>
    <m/>
  </r>
  <r>
    <x v="7"/>
    <x v="364"/>
    <n v="99"/>
    <n v="45358"/>
    <n v="13"/>
    <n v="866"/>
    <n v="120.92692362916416"/>
    <n v="0.75156950672645739"/>
    <m/>
    <m/>
    <m/>
    <m/>
    <m/>
  </r>
  <r>
    <x v="8"/>
    <x v="364"/>
    <n v="14"/>
    <n v="1257"/>
    <m/>
    <n v="19"/>
    <n v="46.100995880652945"/>
    <n v="2.1968503937007875"/>
    <m/>
    <m/>
    <m/>
    <m/>
    <m/>
  </r>
  <r>
    <x v="9"/>
    <x v="364"/>
    <n v="92"/>
    <n v="20888"/>
    <n v="4"/>
    <n v="909"/>
    <n v="137.63473220899203"/>
    <n v="2.3267543859649122"/>
    <m/>
    <m/>
    <m/>
    <m/>
    <m/>
  </r>
  <r>
    <x v="10"/>
    <x v="364"/>
    <n v="84"/>
    <n v="18849"/>
    <m/>
    <n v="289"/>
    <n v="293.22485966498152"/>
    <n v="0.87802840434419382"/>
    <m/>
    <m/>
    <m/>
    <m/>
    <m/>
  </r>
  <r>
    <x v="11"/>
    <x v="364"/>
    <n v="23"/>
    <n v="10264"/>
    <m/>
    <n v="439"/>
    <n v="97.323971936137184"/>
    <n v="1.2120253164556962"/>
    <m/>
    <m/>
    <m/>
    <m/>
    <m/>
  </r>
  <r>
    <x v="12"/>
    <x v="364"/>
    <n v="146"/>
    <n v="67480"/>
    <m/>
    <n v="1449"/>
    <n v="87.92476453748057"/>
    <n v="1.0361160449970397"/>
    <m/>
    <m/>
    <m/>
    <m/>
    <m/>
  </r>
  <r>
    <x v="13"/>
    <x v="364"/>
    <n v="154"/>
    <n v="8534"/>
    <n v="3"/>
    <n v="146"/>
    <n v="124.47534040437836"/>
    <n v="0.86216364634816034"/>
    <m/>
    <m/>
    <m/>
    <m/>
    <m/>
  </r>
  <r>
    <x v="14"/>
    <x v="364"/>
    <n v="176"/>
    <n v="61499"/>
    <n v="4"/>
    <n v="910"/>
    <n v="387.9185069956344"/>
    <n v="0.64496745117676513"/>
    <m/>
    <m/>
    <m/>
    <m/>
    <m/>
  </r>
  <r>
    <x v="15"/>
    <x v="364"/>
    <n v="120"/>
    <n v="52557"/>
    <n v="5"/>
    <n v="1193"/>
    <n v="235.4168617327216"/>
    <n v="0.7596029348295209"/>
    <m/>
    <m/>
    <m/>
    <m/>
    <m/>
  </r>
  <r>
    <x v="16"/>
    <x v="364"/>
    <n v="103"/>
    <n v="26300"/>
    <n v="5"/>
    <n v="1102"/>
    <n v="98.216999895394338"/>
    <n v="1.3742632612966601"/>
    <m/>
    <m/>
    <m/>
    <m/>
    <m/>
  </r>
  <r>
    <x v="17"/>
    <x v="364"/>
    <n v="51"/>
    <n v="15343"/>
    <n v="1"/>
    <n v="212"/>
    <n v="87.427692945750039"/>
    <n v="1.1775862068965517"/>
    <m/>
    <m/>
    <m/>
    <m/>
    <m/>
  </r>
  <r>
    <x v="18"/>
    <x v="364"/>
    <n v="6"/>
    <n v="20782"/>
    <n v="1"/>
    <n v="356"/>
    <n v="110.36181363214303"/>
    <n v="0.49124343257443082"/>
    <m/>
    <m/>
    <m/>
    <m/>
    <m/>
  </r>
  <r>
    <x v="19"/>
    <x v="364"/>
    <n v="104"/>
    <n v="36098"/>
    <n v="4"/>
    <n v="588"/>
    <n v="400.6037768869395"/>
    <n v="0.81524763494713415"/>
    <m/>
    <m/>
    <m/>
    <m/>
    <m/>
  </r>
  <r>
    <x v="20"/>
    <x v="364"/>
    <n v="409"/>
    <n v="217188"/>
    <n v="20"/>
    <n v="3989"/>
    <n v="139.71764649993298"/>
    <n v="0.91788965261006872"/>
    <m/>
    <m/>
    <m/>
    <m/>
    <m/>
  </r>
  <r>
    <x v="21"/>
    <x v="364"/>
    <n v="40"/>
    <n v="22732"/>
    <m/>
    <n v="269"/>
    <n v="83.613322116745863"/>
    <n v="0.91806958473625144"/>
    <m/>
    <m/>
    <m/>
    <m/>
    <m/>
  </r>
  <r>
    <x v="22"/>
    <x v="364"/>
    <n v="55"/>
    <n v="23026"/>
    <n v="1"/>
    <n v="356"/>
    <n v="307.07459141548378"/>
    <n v="0.94764397905759157"/>
    <m/>
    <m/>
    <m/>
    <m/>
    <m/>
  </r>
  <r>
    <x v="23"/>
    <x v="364"/>
    <n v="173"/>
    <n v="80099"/>
    <m/>
    <n v="1476"/>
    <n v="112.41219456928131"/>
    <n v="1.2880324543610548"/>
    <m/>
    <m/>
    <m/>
    <m/>
    <m/>
  </r>
  <r>
    <x v="0"/>
    <x v="365"/>
    <n v="3460"/>
    <n v="888197"/>
    <n v="169"/>
    <n v="26444"/>
    <n v="211.73651132500447"/>
    <n v="1.0256828035679766"/>
    <m/>
    <m/>
    <m/>
    <m/>
    <m/>
  </r>
  <r>
    <x v="4"/>
    <x v="365"/>
    <n v="859"/>
    <n v="233835"/>
    <n v="18"/>
    <n v="6555"/>
    <n v="315.31587185261242"/>
    <n v="0.90805243445692885"/>
    <m/>
    <m/>
    <m/>
    <m/>
    <m/>
  </r>
  <r>
    <x v="1"/>
    <x v="365"/>
    <n v="53"/>
    <n v="8184"/>
    <m/>
    <n v="17"/>
    <n v="293.90667199437701"/>
    <n v="1.0654450261780104"/>
    <m/>
    <m/>
    <m/>
    <m/>
    <m/>
  </r>
  <r>
    <x v="2"/>
    <x v="365"/>
    <n v="174"/>
    <n v="34504"/>
    <n v="1"/>
    <n v="870"/>
    <n v="151.09489838868083"/>
    <n v="1.1674150096215523"/>
    <m/>
    <m/>
    <m/>
    <m/>
    <m/>
  </r>
  <r>
    <x v="3"/>
    <x v="365"/>
    <n v="131"/>
    <n v="47270"/>
    <n v="2"/>
    <n v="777"/>
    <n v="284.65542476986855"/>
    <n v="0.74661016949152548"/>
    <m/>
    <m/>
    <m/>
    <m/>
    <m/>
  </r>
  <r>
    <x v="6"/>
    <x v="365"/>
    <n v="253"/>
    <n v="22313"/>
    <m/>
    <n v="300"/>
    <n v="50.313127418261118"/>
    <n v="0.77192982456140347"/>
    <m/>
    <m/>
    <m/>
    <m/>
    <m/>
  </r>
  <r>
    <x v="5"/>
    <x v="365"/>
    <n v="699"/>
    <n v="161748"/>
    <n v="9"/>
    <n v="2862"/>
    <n v="788.45397175769835"/>
    <n v="1.3809970307860604"/>
    <m/>
    <m/>
    <m/>
    <m/>
    <m/>
  </r>
  <r>
    <x v="7"/>
    <x v="365"/>
    <n v="161"/>
    <n v="45519"/>
    <n v="3"/>
    <n v="869"/>
    <n v="126.4104834118709"/>
    <n v="0.8546341463414634"/>
    <m/>
    <m/>
    <m/>
    <m/>
    <m/>
  </r>
  <r>
    <x v="8"/>
    <x v="365"/>
    <n v="29"/>
    <n v="1286"/>
    <m/>
    <n v="19"/>
    <n v="49.240490223779844"/>
    <n v="2.2406015037593985"/>
    <m/>
    <m/>
    <m/>
    <m/>
    <m/>
  </r>
  <r>
    <x v="9"/>
    <x v="365"/>
    <n v="94"/>
    <n v="20982"/>
    <n v="2"/>
    <n v="911"/>
    <n v="143.21276565384281"/>
    <n v="2.3340380549682873"/>
    <m/>
    <m/>
    <m/>
    <m/>
    <m/>
  </r>
  <r>
    <x v="10"/>
    <x v="365"/>
    <n v="104"/>
    <n v="18953"/>
    <m/>
    <n v="289"/>
    <n v="310.24361936009467"/>
    <n v="0.9754385964912281"/>
    <m/>
    <m/>
    <m/>
    <m/>
    <m/>
  </r>
  <r>
    <x v="11"/>
    <x v="365"/>
    <n v="23"/>
    <n v="10287"/>
    <m/>
    <n v="439"/>
    <n v="94.274656888529748"/>
    <n v="1.1208459214501512"/>
    <m/>
    <m/>
    <m/>
    <m/>
    <m/>
  </r>
  <r>
    <x v="12"/>
    <x v="365"/>
    <n v="207"/>
    <n v="67687"/>
    <n v="4"/>
    <n v="1453"/>
    <n v="91.592483286758338"/>
    <n v="1.0948948948948949"/>
    <m/>
    <m/>
    <m/>
    <m/>
    <m/>
  </r>
  <r>
    <x v="13"/>
    <x v="365"/>
    <n v="116"/>
    <n v="8650"/>
    <n v="2"/>
    <n v="148"/>
    <n v="126.14029718685731"/>
    <n v="0.921784472769409"/>
    <m/>
    <m/>
    <m/>
    <m/>
    <m/>
  </r>
  <r>
    <x v="14"/>
    <x v="365"/>
    <n v="176"/>
    <n v="61675"/>
    <n v="28"/>
    <n v="938"/>
    <n v="380.5396223516957"/>
    <n v="0.67153866595801226"/>
    <m/>
    <m/>
    <m/>
    <m/>
    <m/>
  </r>
  <r>
    <x v="15"/>
    <x v="365"/>
    <n v="185"/>
    <n v="52742"/>
    <n v="4"/>
    <n v="1197"/>
    <n v="239.96468747074007"/>
    <n v="0.81992687385740404"/>
    <m/>
    <m/>
    <m/>
    <m/>
    <m/>
  </r>
  <r>
    <x v="16"/>
    <x v="365"/>
    <n v="140"/>
    <n v="26440"/>
    <n v="3"/>
    <n v="1105"/>
    <n v="105.65874541999176"/>
    <n v="1.5644490644490645"/>
    <m/>
    <m/>
    <m/>
    <m/>
    <m/>
  </r>
  <r>
    <x v="17"/>
    <x v="365"/>
    <n v="61"/>
    <n v="15404"/>
    <m/>
    <n v="212"/>
    <n v="84.739579399833843"/>
    <n v="1.097844112769486"/>
    <m/>
    <m/>
    <m/>
    <m/>
    <m/>
  </r>
  <r>
    <x v="18"/>
    <x v="365"/>
    <n v="6"/>
    <n v="20788"/>
    <m/>
    <n v="356"/>
    <n v="110.36181363214303"/>
    <n v="0.4925373134328358"/>
    <m/>
    <m/>
    <m/>
    <m/>
    <m/>
  </r>
  <r>
    <x v="19"/>
    <x v="365"/>
    <n v="139"/>
    <n v="36237"/>
    <n v="5"/>
    <n v="593"/>
    <n v="406.61966978216998"/>
    <n v="0.99598124581379777"/>
    <m/>
    <m/>
    <m/>
    <m/>
    <m/>
  </r>
  <r>
    <x v="20"/>
    <x v="365"/>
    <n v="503"/>
    <n v="217691"/>
    <n v="10"/>
    <n v="3999"/>
    <n v="144.89237414807866"/>
    <n v="1.0217347956131606"/>
    <m/>
    <m/>
    <m/>
    <m/>
    <m/>
  </r>
  <r>
    <x v="21"/>
    <x v="365"/>
    <n v="55"/>
    <n v="22787"/>
    <m/>
    <n v="269"/>
    <n v="84.328839543172791"/>
    <n v="0.972877358490566"/>
    <m/>
    <m/>
    <m/>
    <m/>
    <m/>
  </r>
  <r>
    <x v="22"/>
    <x v="365"/>
    <n v="22"/>
    <n v="23048"/>
    <m/>
    <n v="356"/>
    <n v="293.50223378386022"/>
    <n v="0.92348754448398573"/>
    <m/>
    <m/>
    <m/>
    <m/>
    <m/>
  </r>
  <r>
    <x v="23"/>
    <x v="365"/>
    <n v="205"/>
    <n v="80304"/>
    <n v="2"/>
    <n v="1478"/>
    <n v="116.89688054684845"/>
    <n v="1.3358057990559675"/>
    <m/>
    <m/>
    <m/>
    <m/>
    <m/>
  </r>
  <r>
    <x v="0"/>
    <x v="366"/>
    <n v="3066"/>
    <n v="891263"/>
    <n v="113"/>
    <n v="26557"/>
    <n v="210.66474524091674"/>
    <n v="1.0334768989819891"/>
    <m/>
    <m/>
    <m/>
    <m/>
    <m/>
  </r>
  <r>
    <x v="4"/>
    <x v="366"/>
    <n v="668"/>
    <n v="234503"/>
    <n v="18"/>
    <n v="6573"/>
    <n v="311.21917151713819"/>
    <n v="0.93294346978557507"/>
    <m/>
    <m/>
    <m/>
    <m/>
    <m/>
  </r>
  <r>
    <x v="1"/>
    <x v="366"/>
    <n v="59"/>
    <n v="8243"/>
    <m/>
    <n v="17"/>
    <n v="291.74028374871824"/>
    <n v="1.1119266055045871"/>
    <m/>
    <m/>
    <m/>
    <m/>
    <m/>
  </r>
  <r>
    <x v="2"/>
    <x v="366"/>
    <n v="181"/>
    <n v="34685"/>
    <n v="1"/>
    <n v="871"/>
    <n v="157.81945155872651"/>
    <n v="1.245740498034076"/>
    <m/>
    <m/>
    <m/>
    <m/>
    <m/>
  </r>
  <r>
    <x v="3"/>
    <x v="366"/>
    <n v="83"/>
    <n v="47353"/>
    <m/>
    <n v="777"/>
    <n v="247.33680778812072"/>
    <n v="0.63791666666666669"/>
    <m/>
    <m/>
    <m/>
    <m/>
    <m/>
  </r>
  <r>
    <x v="6"/>
    <x v="366"/>
    <n v="396"/>
    <n v="22709"/>
    <m/>
    <n v="300"/>
    <n v="56.934675371298646"/>
    <n v="0.89134054954204833"/>
    <m/>
    <m/>
    <m/>
    <m/>
    <m/>
  </r>
  <r>
    <x v="5"/>
    <x v="366"/>
    <n v="696"/>
    <n v="162444"/>
    <n v="2"/>
    <n v="2864"/>
    <n v="774.89224224460895"/>
    <n v="1.2933730454207"/>
    <m/>
    <m/>
    <m/>
    <m/>
    <m/>
  </r>
  <r>
    <x v="7"/>
    <x v="366"/>
    <n v="197"/>
    <n v="45716"/>
    <n v="1"/>
    <n v="870"/>
    <n v="126.69909182148704"/>
    <n v="0.86716049382716054"/>
    <m/>
    <m/>
    <m/>
    <m/>
    <m/>
  </r>
  <r>
    <x v="8"/>
    <x v="366"/>
    <n v="23"/>
    <n v="1309"/>
    <n v="1"/>
    <n v="20"/>
    <n v="44.448630436901951"/>
    <n v="1.4780219780219781"/>
    <m/>
    <m/>
    <m/>
    <m/>
    <m/>
  </r>
  <r>
    <x v="9"/>
    <x v="366"/>
    <n v="87"/>
    <n v="21069"/>
    <m/>
    <n v="911"/>
    <n v="148.6610773906738"/>
    <n v="2.3387755102040817"/>
    <m/>
    <m/>
    <m/>
    <m/>
    <m/>
  </r>
  <r>
    <x v="10"/>
    <x v="366"/>
    <n v="101"/>
    <n v="19054"/>
    <m/>
    <n v="289"/>
    <n v="310.52261542067026"/>
    <n v="1.0440900562851783"/>
    <m/>
    <m/>
    <m/>
    <m/>
    <m/>
  </r>
  <r>
    <x v="11"/>
    <x v="366"/>
    <n v="19"/>
    <n v="10306"/>
    <m/>
    <n v="439"/>
    <n v="91.733561015523549"/>
    <n v="1.0403458213256485"/>
    <m/>
    <m/>
    <m/>
    <m/>
    <m/>
  </r>
  <r>
    <x v="12"/>
    <x v="366"/>
    <n v="199"/>
    <n v="67886"/>
    <n v="3"/>
    <n v="1456"/>
    <n v="93.350978577507945"/>
    <n v="1.1336180597925565"/>
    <m/>
    <m/>
    <m/>
    <m/>
    <m/>
  </r>
  <r>
    <x v="13"/>
    <x v="366"/>
    <n v="145"/>
    <n v="8795"/>
    <n v="3"/>
    <n v="151"/>
    <n v="129.54949440812371"/>
    <n v="1.0036855036855037"/>
    <m/>
    <m/>
    <m/>
    <m/>
    <m/>
  </r>
  <r>
    <x v="14"/>
    <x v="366"/>
    <n v="214"/>
    <n v="61889"/>
    <m/>
    <n v="938"/>
    <n v="368.49246374934683"/>
    <n v="0.68581838565022424"/>
    <m/>
    <m/>
    <m/>
    <m/>
    <m/>
  </r>
  <r>
    <x v="15"/>
    <x v="366"/>
    <n v="132"/>
    <n v="52874"/>
    <n v="7"/>
    <n v="1204"/>
    <n v="228.06008480357403"/>
    <n v="0.76801801801801806"/>
    <m/>
    <m/>
    <m/>
    <m/>
    <m/>
  </r>
  <r>
    <x v="16"/>
    <x v="366"/>
    <n v="169"/>
    <n v="26609"/>
    <n v="5"/>
    <n v="1110"/>
    <n v="111.27515713666907"/>
    <n v="1.6562173458725182"/>
    <m/>
    <m/>
    <m/>
    <m/>
    <m/>
  </r>
  <r>
    <x v="17"/>
    <x v="366"/>
    <n v="53"/>
    <n v="15457"/>
    <n v="2"/>
    <n v="214"/>
    <n v="81.411438819175714"/>
    <n v="1.0635451505016722"/>
    <m/>
    <m/>
    <m/>
    <m/>
    <m/>
  </r>
  <r>
    <x v="18"/>
    <x v="366"/>
    <n v="8"/>
    <n v="20796"/>
    <n v="2"/>
    <n v="358"/>
    <n v="108.59130325301773"/>
    <n v="0.47916666666666669"/>
    <m/>
    <m/>
    <m/>
    <m/>
    <m/>
  </r>
  <r>
    <x v="19"/>
    <x v="366"/>
    <n v="194"/>
    <n v="36431"/>
    <n v="3"/>
    <n v="596"/>
    <n v="428.49564394664452"/>
    <n v="1.0988779803646564"/>
    <m/>
    <m/>
    <m/>
    <m/>
    <m/>
  </r>
  <r>
    <x v="20"/>
    <x v="366"/>
    <n v="479"/>
    <n v="218170"/>
    <n v="30"/>
    <n v="4029"/>
    <n v="147.06971856833667"/>
    <n v="1.0730348669279968"/>
    <m/>
    <m/>
    <m/>
    <m/>
    <m/>
  </r>
  <r>
    <x v="21"/>
    <x v="366"/>
    <n v="80"/>
    <n v="22867"/>
    <m/>
    <n v="269"/>
    <n v="85.351007295211247"/>
    <n v="0.99051008303677346"/>
    <m/>
    <m/>
    <m/>
    <m/>
    <m/>
  </r>
  <r>
    <x v="22"/>
    <x v="366"/>
    <n v="33"/>
    <n v="23081"/>
    <m/>
    <n v="356"/>
    <n v="281.06090595487194"/>
    <n v="0.84523809523809523"/>
    <m/>
    <m/>
    <m/>
    <m/>
    <m/>
  </r>
  <r>
    <x v="23"/>
    <x v="366"/>
    <n v="150"/>
    <n v="80454"/>
    <m/>
    <n v="1478"/>
    <n v="118.66715132746704"/>
    <n v="1.4013937282229965"/>
    <m/>
    <m/>
    <m/>
    <m/>
    <m/>
  </r>
  <r>
    <x v="0"/>
    <x v="367"/>
    <n v="3494"/>
    <n v="894757"/>
    <n v="86"/>
    <n v="26643"/>
    <n v="210.35119665248686"/>
    <n v="1.0300374071799452"/>
    <m/>
    <m/>
    <m/>
    <m/>
    <m/>
  </r>
  <r>
    <x v="4"/>
    <x v="367"/>
    <n v="863"/>
    <n v="235366"/>
    <n v="7"/>
    <n v="6580"/>
    <n v="311.73938743275397"/>
    <n v="0.95679073944716098"/>
    <m/>
    <m/>
    <m/>
    <m/>
    <m/>
  </r>
  <r>
    <x v="1"/>
    <x v="367"/>
    <n v="117"/>
    <n v="8360"/>
    <m/>
    <n v="17"/>
    <n v="296.31377004510904"/>
    <n v="1.1419294990723563"/>
    <m/>
    <m/>
    <m/>
    <m/>
    <m/>
  </r>
  <r>
    <x v="2"/>
    <x v="367"/>
    <n v="172"/>
    <n v="34857"/>
    <n v="1"/>
    <n v="872"/>
    <n v="158.40058578329837"/>
    <n v="1.2454308093994777"/>
    <m/>
    <m/>
    <m/>
    <m/>
    <m/>
  </r>
  <r>
    <x v="3"/>
    <x v="367"/>
    <n v="108"/>
    <n v="47461"/>
    <m/>
    <n v="777"/>
    <n v="236.1896884299363"/>
    <n v="0.63454861111111116"/>
    <m/>
    <m/>
    <m/>
    <m/>
    <m/>
  </r>
  <r>
    <x v="6"/>
    <x v="367"/>
    <n v="155"/>
    <n v="22864"/>
    <m/>
    <n v="300"/>
    <n v="57.838822481351968"/>
    <n v="0.95941773268636965"/>
    <m/>
    <m/>
    <m/>
    <m/>
    <m/>
  </r>
  <r>
    <x v="5"/>
    <x v="367"/>
    <n v="728"/>
    <n v="163172"/>
    <n v="10"/>
    <n v="2874"/>
    <n v="766.2377174895455"/>
    <n v="1.2284365612930912"/>
    <m/>
    <m/>
    <m/>
    <m/>
    <m/>
  </r>
  <r>
    <x v="7"/>
    <x v="367"/>
    <n v="120"/>
    <n v="45836"/>
    <m/>
    <n v="870"/>
    <n v="124.17376823734578"/>
    <n v="0.89356178608515058"/>
    <m/>
    <m/>
    <m/>
    <m/>
    <m/>
  </r>
  <r>
    <x v="8"/>
    <x v="367"/>
    <n v="28"/>
    <n v="1337"/>
    <m/>
    <n v="20"/>
    <n v="46.266232425028051"/>
    <n v="1.4736842105263157"/>
    <m/>
    <m/>
    <m/>
    <m/>
    <m/>
  </r>
  <r>
    <x v="9"/>
    <x v="367"/>
    <n v="80"/>
    <n v="21149"/>
    <n v="1"/>
    <n v="912"/>
    <n v="152.42300692324756"/>
    <n v="2.3594377510040161"/>
    <m/>
    <m/>
    <m/>
    <m/>
    <m/>
  </r>
  <r>
    <x v="10"/>
    <x v="367"/>
    <n v="110"/>
    <n v="19164"/>
    <m/>
    <n v="289"/>
    <n v="321.68245784369526"/>
    <n v="1.1022944550669216"/>
    <m/>
    <m/>
    <m/>
    <m/>
    <m/>
  </r>
  <r>
    <x v="11"/>
    <x v="367"/>
    <n v="23"/>
    <n v="10329"/>
    <m/>
    <n v="439"/>
    <n v="89.192465142517364"/>
    <n v="0.9859550561797753"/>
    <m/>
    <m/>
    <m/>
    <m/>
    <m/>
  </r>
  <r>
    <x v="12"/>
    <x v="367"/>
    <n v="161"/>
    <n v="68047"/>
    <n v="3"/>
    <n v="1459"/>
    <n v="94.456318474550557"/>
    <n v="1.1764705882352942"/>
    <m/>
    <m/>
    <m/>
    <m/>
    <m/>
  </r>
  <r>
    <x v="13"/>
    <x v="367"/>
    <n v="110"/>
    <n v="8905"/>
    <m/>
    <n v="151"/>
    <n v="130.02519634597485"/>
    <n v="1.0691003911342893"/>
    <m/>
    <m/>
    <m/>
    <m/>
    <m/>
  </r>
  <r>
    <x v="14"/>
    <x v="367"/>
    <n v="182"/>
    <n v="62071"/>
    <m/>
    <n v="938"/>
    <n v="356.44530514699795"/>
    <n v="0.67416690401594992"/>
    <m/>
    <m/>
    <m/>
    <m/>
    <m/>
  </r>
  <r>
    <x v="15"/>
    <x v="367"/>
    <n v="157"/>
    <n v="53031"/>
    <n v="3"/>
    <n v="1207"/>
    <n v="230.73527641417317"/>
    <n v="0.81214689265536721"/>
    <m/>
    <m/>
    <m/>
    <m/>
    <m/>
  </r>
  <r>
    <x v="16"/>
    <x v="367"/>
    <n v="173"/>
    <n v="26782"/>
    <n v="2"/>
    <n v="1112"/>
    <n v="112.74946521229687"/>
    <n v="1.576054955839058"/>
    <m/>
    <m/>
    <m/>
    <m/>
    <m/>
  </r>
  <r>
    <x v="17"/>
    <x v="367"/>
    <n v="62"/>
    <n v="15519"/>
    <m/>
    <n v="214"/>
    <n v="80.515400970537002"/>
    <n v="1.0112540192926045"/>
    <m/>
    <m/>
    <m/>
    <m/>
    <m/>
  </r>
  <r>
    <x v="18"/>
    <x v="367"/>
    <n v="5"/>
    <n v="20801"/>
    <m/>
    <n v="358"/>
    <n v="107.80440975118428"/>
    <n v="0.47610773240660298"/>
    <m/>
    <m/>
    <m/>
    <m/>
    <m/>
  </r>
  <r>
    <x v="19"/>
    <x v="367"/>
    <n v="150"/>
    <n v="36581"/>
    <m/>
    <n v="596"/>
    <n v="431.77704007131564"/>
    <n v="1.145032632342277"/>
    <m/>
    <m/>
    <m/>
    <m/>
    <m/>
  </r>
  <r>
    <x v="20"/>
    <x v="367"/>
    <n v="527"/>
    <n v="218697"/>
    <n v="20"/>
    <n v="4049"/>
    <n v="147.63526257359848"/>
    <n v="1.0745009261164848"/>
    <m/>
    <m/>
    <m/>
    <m/>
    <m/>
  </r>
  <r>
    <x v="21"/>
    <x v="367"/>
    <n v="91"/>
    <n v="22958"/>
    <n v="2"/>
    <n v="271"/>
    <n v="89.133027977753542"/>
    <n v="1.080545229244114"/>
    <m/>
    <m/>
    <m/>
    <m/>
    <m/>
  </r>
  <r>
    <x v="22"/>
    <x v="367"/>
    <n v="48"/>
    <n v="23129"/>
    <m/>
    <n v="356"/>
    <n v="280.49539105355427"/>
    <n v="0.84353741496598644"/>
    <m/>
    <m/>
    <m/>
    <m/>
    <m/>
  </r>
  <r>
    <x v="23"/>
    <x v="367"/>
    <n v="227"/>
    <n v="80681"/>
    <n v="5"/>
    <n v="1483"/>
    <n v="122.73877412288982"/>
    <n v="1.435472739820566"/>
    <m/>
    <m/>
    <m/>
    <m/>
    <m/>
  </r>
  <r>
    <x v="0"/>
    <x v="368"/>
    <n v="2215"/>
    <n v="896972"/>
    <n v="65"/>
    <n v="26708"/>
    <n v="208.66943604181736"/>
    <n v="1.0343921324817724"/>
    <m/>
    <m/>
    <m/>
    <m/>
    <m/>
  </r>
  <r>
    <x v="4"/>
    <x v="368"/>
    <n v="651"/>
    <n v="236017"/>
    <n v="3"/>
    <n v="6583"/>
    <n v="313.52762964268322"/>
    <n v="0.97561715904492108"/>
    <m/>
    <m/>
    <m/>
    <m/>
    <m/>
  </r>
  <r>
    <x v="1"/>
    <x v="368"/>
    <n v="46"/>
    <n v="8406"/>
    <m/>
    <n v="17"/>
    <n v="294.86951121466979"/>
    <n v="1.1633428300094968"/>
    <m/>
    <m/>
    <m/>
    <m/>
    <m/>
  </r>
  <r>
    <x v="2"/>
    <x v="368"/>
    <n v="122"/>
    <n v="34979"/>
    <n v="1"/>
    <n v="873"/>
    <n v="153.91755033660127"/>
    <n v="1.1854219948849105"/>
    <m/>
    <m/>
    <m/>
    <m/>
    <m/>
  </r>
  <r>
    <x v="3"/>
    <x v="368"/>
    <n v="41"/>
    <n v="47502"/>
    <m/>
    <n v="777"/>
    <n v="233.76640161293969"/>
    <n v="0.65623582766439914"/>
    <m/>
    <m/>
    <m/>
    <m/>
    <m/>
  </r>
  <r>
    <x v="6"/>
    <x v="368"/>
    <n v="177"/>
    <n v="23041"/>
    <m/>
    <n v="300"/>
    <n v="59.221635708492336"/>
    <n v="1.0630071599045345"/>
    <m/>
    <m/>
    <m/>
    <m/>
    <m/>
  </r>
  <r>
    <x v="5"/>
    <x v="368"/>
    <n v="412"/>
    <n v="163584"/>
    <n v="2"/>
    <n v="2876"/>
    <n v="750.26699654978893"/>
    <n v="1.1795483237480713"/>
    <m/>
    <m/>
    <m/>
    <m/>
    <m/>
  </r>
  <r>
    <x v="7"/>
    <x v="368"/>
    <n v="101"/>
    <n v="45937"/>
    <n v="2"/>
    <n v="872"/>
    <n v="123.09148670128523"/>
    <n v="0.94046306504961408"/>
    <m/>
    <m/>
    <m/>
    <m/>
    <m/>
  </r>
  <r>
    <x v="8"/>
    <x v="368"/>
    <n v="3"/>
    <n v="1340"/>
    <m/>
    <n v="20"/>
    <n v="44.613866981277049"/>
    <n v="1.3366336633663367"/>
    <m/>
    <m/>
    <m/>
    <m/>
    <m/>
  </r>
  <r>
    <x v="9"/>
    <x v="368"/>
    <n v="56"/>
    <n v="21205"/>
    <m/>
    <n v="912"/>
    <n v="150.86634642701011"/>
    <n v="2.1576994434137293"/>
    <m/>
    <m/>
    <m/>
    <m/>
    <m/>
  </r>
  <r>
    <x v="10"/>
    <x v="368"/>
    <n v="34"/>
    <n v="19198"/>
    <m/>
    <n v="289"/>
    <n v="314.42856026872897"/>
    <n v="1.0826128722382324"/>
    <m/>
    <m/>
    <m/>
    <m/>
    <m/>
  </r>
  <r>
    <x v="11"/>
    <x v="368"/>
    <n v="22"/>
    <n v="10351"/>
    <n v="5"/>
    <n v="444"/>
    <n v="90.717122666321075"/>
    <n v="1.0469208211143695"/>
    <m/>
    <m/>
    <m/>
    <m/>
    <m/>
  </r>
  <r>
    <x v="12"/>
    <x v="368"/>
    <n v="124"/>
    <n v="68171"/>
    <m/>
    <n v="1459"/>
    <n v="94.305590306772018"/>
    <n v="1.1701995012468829"/>
    <m/>
    <m/>
    <m/>
    <m/>
    <m/>
  </r>
  <r>
    <x v="13"/>
    <x v="368"/>
    <n v="108"/>
    <n v="9013"/>
    <m/>
    <n v="151"/>
    <n v="130.65946559644303"/>
    <n v="1.0935633709356336"/>
    <m/>
    <m/>
    <m/>
    <m/>
    <m/>
  </r>
  <r>
    <x v="14"/>
    <x v="368"/>
    <n v="91"/>
    <n v="62162"/>
    <n v="1"/>
    <n v="939"/>
    <n v="345.75345188741329"/>
    <n v="0.68069967388081831"/>
    <m/>
    <m/>
    <m/>
    <m/>
    <m/>
  </r>
  <r>
    <x v="15"/>
    <x v="368"/>
    <n v="71"/>
    <n v="53102"/>
    <n v="3"/>
    <n v="1210"/>
    <n v="229.66519976993354"/>
    <n v="0.8306724721819061"/>
    <m/>
    <m/>
    <m/>
    <m/>
    <m/>
  </r>
  <r>
    <x v="16"/>
    <x v="368"/>
    <n v="62"/>
    <n v="26844"/>
    <n v="4"/>
    <n v="1116"/>
    <n v="106.85223290978567"/>
    <n v="1.418452935694315"/>
    <m/>
    <m/>
    <m/>
    <m/>
    <m/>
  </r>
  <r>
    <x v="17"/>
    <x v="368"/>
    <n v="5"/>
    <n v="15524"/>
    <m/>
    <n v="214"/>
    <n v="77.82728742462082"/>
    <n v="0.95597484276729561"/>
    <m/>
    <m/>
    <m/>
    <m/>
    <m/>
  </r>
  <r>
    <x v="18"/>
    <x v="368"/>
    <n v="1"/>
    <n v="20802"/>
    <m/>
    <n v="358"/>
    <n v="56.066162005634162"/>
    <n v="0.20184135977337112"/>
    <m/>
    <m/>
    <m/>
    <m/>
    <m/>
  </r>
  <r>
    <x v="19"/>
    <x v="368"/>
    <n v="31"/>
    <n v="36612"/>
    <m/>
    <n v="596"/>
    <n v="411.26831429212086"/>
    <n v="1.103448275862069"/>
    <m/>
    <m/>
    <m/>
    <m/>
    <m/>
  </r>
  <r>
    <x v="20"/>
    <x v="368"/>
    <n v="337"/>
    <n v="219034"/>
    <m/>
    <n v="4049"/>
    <n v="146.53245176333795"/>
    <n v="1.0786844296419651"/>
    <m/>
    <m/>
    <m/>
    <m/>
    <m/>
  </r>
  <r>
    <x v="21"/>
    <x v="368"/>
    <n v="54"/>
    <n v="23012"/>
    <m/>
    <n v="271"/>
    <n v="89.133027977753542"/>
    <n v="1.102402022756005"/>
    <m/>
    <m/>
    <m/>
    <m/>
    <m/>
  </r>
  <r>
    <x v="22"/>
    <x v="368"/>
    <n v="10"/>
    <n v="23139"/>
    <m/>
    <n v="356"/>
    <n v="267.48854832324832"/>
    <n v="0.7831125827814569"/>
    <m/>
    <m/>
    <m/>
    <m/>
    <m/>
  </r>
  <r>
    <x v="23"/>
    <x v="368"/>
    <n v="86"/>
    <n v="80767"/>
    <m/>
    <n v="1483"/>
    <n v="122.38471996676613"/>
    <n v="1.4313319530710835"/>
    <m/>
    <m/>
    <m/>
    <m/>
    <m/>
  </r>
  <r>
    <x v="0"/>
    <x v="369"/>
    <n v="990"/>
    <n v="897962"/>
    <n v="3"/>
    <n v="26711"/>
    <n v="205.7448828442802"/>
    <n v="1.0197507840976519"/>
    <m/>
    <m/>
    <m/>
    <m/>
    <m/>
  </r>
  <r>
    <x v="4"/>
    <x v="369"/>
    <n v="429"/>
    <n v="236446"/>
    <n v="1"/>
    <n v="6584"/>
    <n v="316.06368223131011"/>
    <n v="1.0065230896665975"/>
    <m/>
    <m/>
    <m/>
    <m/>
    <m/>
  </r>
  <r>
    <x v="1"/>
    <x v="369"/>
    <n v="46"/>
    <n v="8452"/>
    <m/>
    <n v="17"/>
    <n v="279.46408368998505"/>
    <n v="1.0554545454545454"/>
    <m/>
    <m/>
    <m/>
    <m/>
    <m/>
  </r>
  <r>
    <x v="2"/>
    <x v="369"/>
    <n v="84"/>
    <n v="35063"/>
    <m/>
    <n v="873"/>
    <n v="154.16660786141776"/>
    <n v="1.2058441558441559"/>
    <m/>
    <m/>
    <m/>
    <m/>
    <m/>
  </r>
  <r>
    <x v="3"/>
    <x v="369"/>
    <n v="42"/>
    <n v="47544"/>
    <m/>
    <n v="777"/>
    <n v="234.73571633973833"/>
    <n v="0.66681964203763189"/>
    <m/>
    <m/>
    <m/>
    <m/>
    <m/>
  </r>
  <r>
    <x v="6"/>
    <x v="369"/>
    <n v="139"/>
    <n v="23180"/>
    <m/>
    <n v="300"/>
    <n v="59.035487774069594"/>
    <n v="0.99685675797036377"/>
    <m/>
    <m/>
    <m/>
    <m/>
    <m/>
  </r>
  <r>
    <x v="5"/>
    <x v="369"/>
    <n v="256"/>
    <n v="163840"/>
    <m/>
    <n v="2876"/>
    <n v="737.5082641789221"/>
    <n v="1.1318636176913597"/>
    <m/>
    <m/>
    <m/>
    <m/>
    <m/>
  </r>
  <r>
    <x v="7"/>
    <x v="369"/>
    <n v="56"/>
    <n v="45993"/>
    <m/>
    <n v="872"/>
    <n v="120.85477152676013"/>
    <n v="0.93262806236080176"/>
    <m/>
    <m/>
    <m/>
    <m/>
    <m/>
  </r>
  <r>
    <x v="8"/>
    <x v="369"/>
    <n v="28"/>
    <n v="1368"/>
    <m/>
    <n v="20"/>
    <n v="47.753361324403954"/>
    <n v="1.4378109452736318"/>
    <m/>
    <m/>
    <m/>
    <m/>
    <m/>
  </r>
  <r>
    <x v="9"/>
    <x v="369"/>
    <n v="56"/>
    <n v="21261"/>
    <n v="1"/>
    <n v="913"/>
    <n v="148.6610773906738"/>
    <n v="1.9260504201680673"/>
    <m/>
    <m/>
    <m/>
    <m/>
    <m/>
  </r>
  <r>
    <x v="10"/>
    <x v="369"/>
    <n v="43"/>
    <n v="19241"/>
    <m/>
    <n v="289"/>
    <n v="321.12446572254402"/>
    <n v="1.1487025948103793"/>
    <m/>
    <m/>
    <m/>
    <m/>
    <m/>
  </r>
  <r>
    <x v="11"/>
    <x v="369"/>
    <n v="12"/>
    <n v="10363"/>
    <m/>
    <n v="444"/>
    <n v="87.413698031413034"/>
    <n v="1.0299401197604789"/>
    <m/>
    <m/>
    <m/>
    <m/>
    <m/>
  </r>
  <r>
    <x v="12"/>
    <x v="369"/>
    <n v="56"/>
    <n v="68227"/>
    <n v="2"/>
    <n v="1461"/>
    <n v="95.159716590850394"/>
    <n v="1.1800623052959502"/>
    <m/>
    <m/>
    <m/>
    <m/>
    <m/>
  </r>
  <r>
    <x v="13"/>
    <x v="369"/>
    <n v="109"/>
    <n v="9122"/>
    <m/>
    <n v="151"/>
    <n v="130.02519634597485"/>
    <n v="1.1549295774647887"/>
    <m/>
    <m/>
    <m/>
    <m/>
    <m/>
  </r>
  <r>
    <x v="14"/>
    <x v="369"/>
    <n v="133"/>
    <n v="62295"/>
    <n v="1"/>
    <n v="940"/>
    <n v="348.3134730904124"/>
    <n v="0.69522091974752032"/>
    <m/>
    <m/>
    <m/>
    <m/>
    <m/>
  </r>
  <r>
    <x v="15"/>
    <x v="369"/>
    <n v="14"/>
    <n v="53116"/>
    <m/>
    <n v="1210"/>
    <n v="222.30842284078597"/>
    <n v="0.80019258545979777"/>
    <m/>
    <m/>
    <m/>
    <m/>
    <m/>
  </r>
  <r>
    <x v="16"/>
    <x v="369"/>
    <n v="17"/>
    <n v="26861"/>
    <m/>
    <n v="1116"/>
    <n v="102.21869324352691"/>
    <n v="1.3081761006289307"/>
    <m/>
    <m/>
    <m/>
    <m/>
    <m/>
  </r>
  <r>
    <x v="17"/>
    <x v="369"/>
    <n v="10"/>
    <n v="15534"/>
    <m/>
    <n v="214"/>
    <n v="78.723325273259547"/>
    <n v="0.97619047619047616"/>
    <m/>
    <m/>
    <m/>
    <m/>
    <m/>
  </r>
  <r>
    <x v="18"/>
    <x v="369"/>
    <n v="0"/>
    <n v="20802"/>
    <m/>
    <n v="358"/>
    <n v="55.672715254717424"/>
    <n v="0.20028308563340411"/>
    <m/>
    <m/>
    <m/>
    <m/>
    <m/>
  </r>
  <r>
    <x v="19"/>
    <x v="369"/>
    <n v="51"/>
    <n v="36663"/>
    <n v="1"/>
    <n v="597"/>
    <n v="403.06482398044284"/>
    <n v="1.0566308243727598"/>
    <m/>
    <m/>
    <m/>
    <m/>
    <m/>
  </r>
  <r>
    <x v="20"/>
    <x v="369"/>
    <n v="229"/>
    <n v="219263"/>
    <n v="1"/>
    <n v="4050"/>
    <n v="147.18282736938903"/>
    <n v="1.0725324541520709"/>
    <m/>
    <m/>
    <m/>
    <m/>
    <m/>
  </r>
  <r>
    <x v="21"/>
    <x v="369"/>
    <n v="27"/>
    <n v="23039"/>
    <m/>
    <n v="271"/>
    <n v="87.701993124899701"/>
    <n v="1.1470588235294117"/>
    <m/>
    <m/>
    <m/>
    <m/>
    <m/>
  </r>
  <r>
    <x v="22"/>
    <x v="369"/>
    <n v="37"/>
    <n v="23176"/>
    <m/>
    <n v="356"/>
    <n v="265.79200361929537"/>
    <n v="0.75320512820512819"/>
    <m/>
    <m/>
    <m/>
    <m/>
    <m/>
  </r>
  <r>
    <x v="23"/>
    <x v="369"/>
    <n v="58"/>
    <n v="80825"/>
    <m/>
    <n v="1483"/>
    <n v="121.49958457645681"/>
    <n v="1.4141483516483517"/>
    <m/>
    <m/>
    <m/>
    <m/>
    <m/>
  </r>
  <r>
    <x v="0"/>
    <x v="370"/>
    <n v="1991"/>
    <n v="899953"/>
    <n v="130"/>
    <n v="26841"/>
    <n v="205.69927577687221"/>
    <n v="1.022297775888936"/>
    <m/>
    <m/>
    <m/>
    <m/>
    <m/>
  </r>
  <r>
    <x v="4"/>
    <x v="370"/>
    <n v="693"/>
    <n v="237139"/>
    <n v="28"/>
    <n v="6612"/>
    <n v="311.77190092747992"/>
    <n v="0.98006950122649228"/>
    <m/>
    <m/>
    <m/>
    <m/>
    <m/>
  </r>
  <r>
    <x v="1"/>
    <x v="370"/>
    <n v="75"/>
    <n v="8527"/>
    <m/>
    <n v="17"/>
    <n v="277.05698563925301"/>
    <n v="1.0941064638783271"/>
    <m/>
    <m/>
    <m/>
    <m/>
    <m/>
  </r>
  <r>
    <x v="2"/>
    <x v="370"/>
    <n v="119"/>
    <n v="35182"/>
    <n v="4"/>
    <n v="877"/>
    <n v="153.75151198672356"/>
    <n v="1.1575"/>
    <m/>
    <m/>
    <m/>
    <m/>
    <m/>
  </r>
  <r>
    <x v="3"/>
    <x v="370"/>
    <n v="69"/>
    <n v="47613"/>
    <n v="4"/>
    <n v="781"/>
    <n v="223.10393961815461"/>
    <n v="0.66330451488952935"/>
    <m/>
    <m/>
    <m/>
    <m/>
    <m/>
  </r>
  <r>
    <x v="6"/>
    <x v="370"/>
    <n v="198"/>
    <n v="23378"/>
    <n v="1"/>
    <n v="301"/>
    <n v="60.524671249451522"/>
    <n v="0.99519020550940096"/>
    <m/>
    <m/>
    <m/>
    <m/>
    <m/>
  </r>
  <r>
    <x v="5"/>
    <x v="370"/>
    <n v="492"/>
    <n v="164332"/>
    <n v="7"/>
    <n v="2883"/>
    <n v="745.53823560114597"/>
    <n v="1.1130944451844944"/>
    <m/>
    <m/>
    <m/>
    <m/>
    <m/>
  </r>
  <r>
    <x v="7"/>
    <x v="370"/>
    <n v="85"/>
    <n v="46078"/>
    <n v="15"/>
    <n v="887"/>
    <n v="119.05096896665923"/>
    <n v="0.89869281045751637"/>
    <m/>
    <m/>
    <m/>
    <m/>
    <m/>
  </r>
  <r>
    <x v="8"/>
    <x v="370"/>
    <n v="24"/>
    <n v="1392"/>
    <m/>
    <n v="20"/>
    <n v="42.300555360025648"/>
    <n v="1.0199203187250996"/>
    <m/>
    <m/>
    <m/>
    <m/>
    <m/>
  </r>
  <r>
    <x v="9"/>
    <x v="370"/>
    <n v="35"/>
    <n v="21296"/>
    <n v="2"/>
    <n v="915"/>
    <n v="146.9746951864166"/>
    <n v="1.8392857142857142"/>
    <m/>
    <m/>
    <m/>
    <m/>
    <m/>
  </r>
  <r>
    <x v="10"/>
    <x v="370"/>
    <n v="69"/>
    <n v="19310"/>
    <n v="2"/>
    <n v="291"/>
    <n v="320.56647360139272"/>
    <n v="1.1845360824742268"/>
    <m/>
    <m/>
    <m/>
    <m/>
    <m/>
  </r>
  <r>
    <x v="11"/>
    <x v="370"/>
    <n v="17"/>
    <n v="10380"/>
    <m/>
    <n v="444"/>
    <n v="84.618492571106216"/>
    <n v="0.94602272727272729"/>
    <m/>
    <m/>
    <m/>
    <m/>
    <m/>
  </r>
  <r>
    <x v="12"/>
    <x v="370"/>
    <n v="128"/>
    <n v="68355"/>
    <n v="3"/>
    <n v="1464"/>
    <n v="97.671852720492694"/>
    <n v="1.2421725239616614"/>
    <m/>
    <m/>
    <m/>
    <m/>
    <m/>
  </r>
  <r>
    <x v="13"/>
    <x v="370"/>
    <n v="109"/>
    <n v="9231"/>
    <n v="4"/>
    <n v="155"/>
    <n v="128.59809053242145"/>
    <n v="1.0878604963112006"/>
    <m/>
    <m/>
    <m/>
    <m/>
    <m/>
  </r>
  <r>
    <x v="14"/>
    <x v="370"/>
    <n v="128"/>
    <n v="62423"/>
    <m/>
    <n v="940"/>
    <n v="335.96513552300479"/>
    <n v="0.68330781010719754"/>
    <m/>
    <m/>
    <m/>
    <m/>
    <m/>
  </r>
  <r>
    <x v="15"/>
    <x v="370"/>
    <n v="111"/>
    <n v="53227"/>
    <n v="5"/>
    <n v="1215"/>
    <n v="221.23834619654633"/>
    <n v="0.83408976298537574"/>
    <m/>
    <m/>
    <m/>
    <m/>
    <m/>
  </r>
  <r>
    <x v="16"/>
    <x v="370"/>
    <n v="43"/>
    <n v="26904"/>
    <n v="8"/>
    <n v="1124"/>
    <n v="100.04233370331445"/>
    <n v="1.227390180878553"/>
    <m/>
    <m/>
    <m/>
    <m/>
    <m/>
  </r>
  <r>
    <x v="17"/>
    <x v="370"/>
    <n v="78"/>
    <n v="15612"/>
    <n v="1"/>
    <n v="215"/>
    <n v="79.619363121898274"/>
    <n v="0.95252679938744256"/>
    <m/>
    <m/>
    <m/>
    <m/>
    <m/>
  </r>
  <r>
    <x v="18"/>
    <x v="370"/>
    <n v="3"/>
    <n v="20805"/>
    <m/>
    <n v="358"/>
    <n v="51.738247745550119"/>
    <n v="0.18391608391608391"/>
    <m/>
    <m/>
    <m/>
    <m/>
    <m/>
  </r>
  <r>
    <x v="19"/>
    <x v="370"/>
    <n v="94"/>
    <n v="36757"/>
    <n v="1"/>
    <n v="598"/>
    <n v="394.86133366876493"/>
    <n v="1.0418470418470418"/>
    <m/>
    <m/>
    <m/>
    <m/>
    <m/>
  </r>
  <r>
    <x v="20"/>
    <x v="370"/>
    <n v="289"/>
    <n v="219552"/>
    <n v="24"/>
    <n v="4074"/>
    <n v="146.02346215860229"/>
    <n v="1.0568972574703235"/>
    <m/>
    <m/>
    <m/>
    <m/>
    <m/>
  </r>
  <r>
    <x v="21"/>
    <x v="370"/>
    <n v="44"/>
    <n v="23083"/>
    <m/>
    <n v="271"/>
    <n v="88.519727326530472"/>
    <n v="1.1944827586206896"/>
    <m/>
    <m/>
    <m/>
    <m/>
    <m/>
  </r>
  <r>
    <x v="22"/>
    <x v="370"/>
    <n v="34"/>
    <n v="23210"/>
    <n v="2"/>
    <n v="358"/>
    <n v="261.26788440875418"/>
    <n v="0.80628272251308897"/>
    <m/>
    <m/>
    <m/>
    <m/>
    <m/>
  </r>
  <r>
    <x v="23"/>
    <x v="370"/>
    <n v="130"/>
    <n v="80955"/>
    <m/>
    <n v="1483"/>
    <n v="120.2603950300238"/>
    <n v="1.3586666666666667"/>
    <m/>
    <m/>
    <m/>
    <m/>
    <m/>
  </r>
  <r>
    <x v="0"/>
    <x v="371"/>
    <n v="3146"/>
    <n v="903099"/>
    <n v="62"/>
    <n v="26903"/>
    <n v="204.23414873639061"/>
    <n v="1.013867270411773"/>
    <m/>
    <m/>
    <m/>
    <m/>
    <m/>
  </r>
  <r>
    <x v="4"/>
    <x v="371"/>
    <n v="877"/>
    <n v="238016"/>
    <n v="20"/>
    <n v="6632"/>
    <n v="313.36506216905326"/>
    <n v="1.0012466237274049"/>
    <m/>
    <m/>
    <m/>
    <m/>
    <m/>
  </r>
  <r>
    <x v="1"/>
    <x v="371"/>
    <n v="92"/>
    <n v="8619"/>
    <m/>
    <n v="17"/>
    <n v="284.27827979144905"/>
    <n v="1.1454898157129001"/>
    <m/>
    <m/>
    <m/>
    <m/>
    <m/>
  </r>
  <r>
    <x v="2"/>
    <x v="371"/>
    <n v="98"/>
    <n v="35280"/>
    <n v="1"/>
    <n v="878"/>
    <n v="146.03072871741185"/>
    <n v="1.0791411042944785"/>
    <m/>
    <m/>
    <m/>
    <m/>
    <m/>
  </r>
  <r>
    <x v="3"/>
    <x v="371"/>
    <n v="99"/>
    <n v="47712"/>
    <n v="1"/>
    <n v="782"/>
    <n v="210.98750553317154"/>
    <n v="0.65137157107231924"/>
    <m/>
    <m/>
    <m/>
    <m/>
    <m/>
  </r>
  <r>
    <x v="6"/>
    <x v="371"/>
    <n v="246"/>
    <n v="23624"/>
    <n v="1"/>
    <n v="302"/>
    <n v="64.965629113536949"/>
    <n v="1.1069324875396467"/>
    <m/>
    <m/>
    <m/>
    <m/>
    <m/>
  </r>
  <r>
    <x v="5"/>
    <x v="371"/>
    <n v="699"/>
    <n v="165031"/>
    <n v="7"/>
    <n v="2890"/>
    <n v="734.1178318006497"/>
    <n v="1.0749934674679906"/>
    <m/>
    <m/>
    <m/>
    <m/>
    <m/>
  </r>
  <r>
    <x v="7"/>
    <x v="371"/>
    <n v="159"/>
    <n v="46237"/>
    <n v="2"/>
    <n v="889"/>
    <n v="120.13325050271976"/>
    <n v="0.9353932584269663"/>
    <m/>
    <m/>
    <m/>
    <m/>
    <m/>
  </r>
  <r>
    <x v="8"/>
    <x v="371"/>
    <n v="28"/>
    <n v="1420"/>
    <m/>
    <n v="20"/>
    <n v="41.639609182525248"/>
    <n v="0.9"/>
    <m/>
    <m/>
    <m/>
    <m/>
    <m/>
  </r>
  <r>
    <x v="9"/>
    <x v="371"/>
    <n v="68"/>
    <n v="21364"/>
    <n v="2"/>
    <n v="917"/>
    <n v="140.35888807740753"/>
    <n v="1.5681159420289854"/>
    <m/>
    <m/>
    <m/>
    <m/>
    <m/>
  </r>
  <r>
    <x v="10"/>
    <x v="371"/>
    <n v="110"/>
    <n v="19420"/>
    <n v="7"/>
    <n v="298"/>
    <n v="333.6792884484471"/>
    <n v="1.2805139186295502"/>
    <m/>
    <m/>
    <m/>
    <m/>
    <m/>
  </r>
  <r>
    <x v="11"/>
    <x v="371"/>
    <n v="14"/>
    <n v="10394"/>
    <m/>
    <n v="444"/>
    <n v="82.331506285400636"/>
    <n v="0.88524590163934425"/>
    <m/>
    <m/>
    <m/>
    <m/>
    <m/>
  </r>
  <r>
    <x v="12"/>
    <x v="371"/>
    <n v="204"/>
    <n v="68559"/>
    <n v="2"/>
    <n v="1466"/>
    <n v="101.33957146977048"/>
    <n v="1.3428761651131824"/>
    <m/>
    <m/>
    <m/>
    <m/>
    <m/>
  </r>
  <r>
    <x v="13"/>
    <x v="371"/>
    <n v="123"/>
    <n v="9354"/>
    <n v="1"/>
    <n v="156"/>
    <n v="129.62877806443223"/>
    <n v="1.0871010638297873"/>
    <m/>
    <m/>
    <m/>
    <m/>
    <m/>
  </r>
  <r>
    <x v="14"/>
    <x v="371"/>
    <n v="156"/>
    <n v="62579"/>
    <n v="9"/>
    <n v="949"/>
    <n v="331.29686156459462"/>
    <n v="0.69996818326439703"/>
    <m/>
    <m/>
    <m/>
    <m/>
    <m/>
  </r>
  <r>
    <x v="15"/>
    <x v="371"/>
    <n v="140"/>
    <n v="53367"/>
    <n v="4"/>
    <n v="1219"/>
    <n v="217.22555878064767"/>
    <n v="0.8341037493579867"/>
    <m/>
    <m/>
    <m/>
    <m/>
    <m/>
  </r>
  <r>
    <x v="16"/>
    <x v="371"/>
    <n v="131"/>
    <n v="27035"/>
    <n v="3"/>
    <n v="1127"/>
    <n v="102.35910353644385"/>
    <n v="1.2525773195876289"/>
    <m/>
    <m/>
    <m/>
    <m/>
    <m/>
  </r>
  <r>
    <x v="17"/>
    <x v="371"/>
    <n v="64"/>
    <n v="15676"/>
    <m/>
    <n v="215"/>
    <n v="78.723325273259547"/>
    <n v="0.9375"/>
    <m/>
    <m/>
    <m/>
    <m/>
    <m/>
  </r>
  <r>
    <x v="18"/>
    <x v="371"/>
    <n v="6"/>
    <n v="20811"/>
    <m/>
    <n v="358"/>
    <n v="50.754630868258282"/>
    <n v="0.1799163179916318"/>
    <m/>
    <m/>
    <m/>
    <m/>
    <m/>
  </r>
  <r>
    <x v="19"/>
    <x v="371"/>
    <n v="68"/>
    <n v="36825"/>
    <n v="3"/>
    <n v="601"/>
    <n v="381.46229949302432"/>
    <n v="1.0108695652173914"/>
    <m/>
    <m/>
    <m/>
    <m/>
    <m/>
  </r>
  <r>
    <x v="20"/>
    <x v="371"/>
    <n v="514"/>
    <n v="220066"/>
    <n v="4"/>
    <n v="4078"/>
    <n v="149.41672619017322"/>
    <n v="1.1006040408248281"/>
    <m/>
    <m/>
    <m/>
    <m/>
    <m/>
  </r>
  <r>
    <x v="21"/>
    <x v="371"/>
    <n v="42"/>
    <n v="23125"/>
    <n v="1"/>
    <n v="272"/>
    <n v="86.884258923268931"/>
    <n v="1.159618008185539"/>
    <m/>
    <m/>
    <m/>
    <m/>
    <m/>
  </r>
  <r>
    <x v="22"/>
    <x v="371"/>
    <n v="31"/>
    <n v="23241"/>
    <m/>
    <n v="358"/>
    <n v="252.21964598767178"/>
    <n v="0.75979557069846682"/>
    <m/>
    <m/>
    <m/>
    <m/>
    <m/>
  </r>
  <r>
    <x v="23"/>
    <x v="371"/>
    <n v="192"/>
    <n v="81147"/>
    <n v="1"/>
    <n v="1484"/>
    <n v="123.44688243513728"/>
    <n v="1.354922279792746"/>
    <m/>
    <m/>
    <m/>
    <m/>
    <m/>
  </r>
  <r>
    <x v="0"/>
    <x v="372"/>
    <n v="3263"/>
    <n v="906362"/>
    <n v="29"/>
    <n v="26932"/>
    <n v="202.88303936442904"/>
    <n v="1.0005060444194547"/>
    <m/>
    <m/>
    <m/>
    <m/>
    <m/>
  </r>
  <r>
    <x v="4"/>
    <x v="372"/>
    <n v="934"/>
    <n v="238950"/>
    <n v="21"/>
    <n v="6653"/>
    <n v="311.12163103296024"/>
    <n v="0.98507309038501134"/>
    <m/>
    <m/>
    <m/>
    <m/>
    <m/>
  </r>
  <r>
    <x v="1"/>
    <x v="372"/>
    <n v="71"/>
    <n v="8690"/>
    <m/>
    <n v="17"/>
    <n v="283.55615037622943"/>
    <n v="1.1208372978116079"/>
    <m/>
    <m/>
    <m/>
    <m/>
    <m/>
  </r>
  <r>
    <x v="2"/>
    <x v="372"/>
    <n v="139"/>
    <n v="35419"/>
    <n v="1"/>
    <n v="879"/>
    <n v="144.61940274345164"/>
    <n v="1.0602556299452222"/>
    <m/>
    <m/>
    <m/>
    <m/>
    <m/>
  </r>
  <r>
    <x v="3"/>
    <x v="372"/>
    <n v="95"/>
    <n v="47807"/>
    <n v="1"/>
    <n v="783"/>
    <n v="196.28623217672543"/>
    <n v="0.59940799210656137"/>
    <m/>
    <m/>
    <m/>
    <m/>
    <m/>
  </r>
  <r>
    <x v="6"/>
    <x v="372"/>
    <n v="334"/>
    <n v="23958"/>
    <n v="4"/>
    <n v="306"/>
    <n v="70.470289460038032"/>
    <n v="1.1910112359550562"/>
    <m/>
    <m/>
    <m/>
    <m/>
    <m/>
  </r>
  <r>
    <x v="5"/>
    <x v="372"/>
    <n v="649"/>
    <n v="165680"/>
    <n v="7"/>
    <n v="2897"/>
    <n v="728.13996418632746"/>
    <n v="1.0722638286690316"/>
    <m/>
    <m/>
    <m/>
    <m/>
    <m/>
  </r>
  <r>
    <x v="7"/>
    <x v="372"/>
    <n v="173"/>
    <n v="46410"/>
    <n v="4"/>
    <n v="893"/>
    <n v="119.70033788829555"/>
    <n v="0.94047619047619047"/>
    <m/>
    <m/>
    <m/>
    <m/>
    <m/>
  </r>
  <r>
    <x v="8"/>
    <x v="372"/>
    <n v="8"/>
    <n v="1428"/>
    <m/>
    <n v="20"/>
    <n v="41.804845726900346"/>
    <n v="0.8971631205673759"/>
    <m/>
    <m/>
    <m/>
    <m/>
    <m/>
  </r>
  <r>
    <x v="9"/>
    <x v="372"/>
    <n v="81"/>
    <n v="21445"/>
    <n v="1"/>
    <n v="918"/>
    <n v="137.50501050097225"/>
    <n v="1.4095744680851063"/>
    <m/>
    <m/>
    <m/>
    <m/>
    <m/>
  </r>
  <r>
    <x v="10"/>
    <x v="372"/>
    <n v="87"/>
    <n v="19507"/>
    <m/>
    <n v="298"/>
    <n v="332.56330420614461"/>
    <n v="1.2390852390852392"/>
    <m/>
    <m/>
    <m/>
    <m/>
    <m/>
  </r>
  <r>
    <x v="11"/>
    <x v="372"/>
    <n v="27"/>
    <n v="10421"/>
    <m/>
    <n v="444"/>
    <n v="75.216437840983303"/>
    <n v="0.7531806615776081"/>
    <m/>
    <m/>
    <m/>
    <m/>
    <m/>
  </r>
  <r>
    <x v="12"/>
    <x v="372"/>
    <n v="248"/>
    <n v="68807"/>
    <n v="3"/>
    <n v="1469"/>
    <n v="105.50971744497667"/>
    <n v="1.4189189189189189"/>
    <m/>
    <m/>
    <m/>
    <m/>
    <m/>
  </r>
  <r>
    <x v="13"/>
    <x v="372"/>
    <n v="113"/>
    <n v="9467"/>
    <n v="5"/>
    <n v="161"/>
    <n v="129.54949440812371"/>
    <n v="1.061038961038961"/>
    <m/>
    <m/>
    <m/>
    <m/>
    <m/>
  </r>
  <r>
    <x v="14"/>
    <x v="372"/>
    <n v="157"/>
    <n v="62736"/>
    <n v="1"/>
    <n v="950"/>
    <n v="315.635555381541"/>
    <n v="0.69449966865473822"/>
    <m/>
    <m/>
    <m/>
    <m/>
    <m/>
  </r>
  <r>
    <x v="15"/>
    <x v="372"/>
    <n v="146"/>
    <n v="53513"/>
    <n v="8"/>
    <n v="1227"/>
    <n v="214.55036717004856"/>
    <n v="0.84778012684989434"/>
    <m/>
    <m/>
    <m/>
    <m/>
    <m/>
  </r>
  <r>
    <x v="16"/>
    <x v="372"/>
    <n v="176"/>
    <n v="27211"/>
    <n v="1"/>
    <n v="1128"/>
    <n v="103.27177044040391"/>
    <n v="1.1988590057049715"/>
    <m/>
    <m/>
    <m/>
    <m/>
    <m/>
  </r>
  <r>
    <x v="17"/>
    <x v="372"/>
    <n v="72"/>
    <n v="15748"/>
    <n v="1"/>
    <n v="216"/>
    <n v="77.699282017672431"/>
    <n v="0.88742690058479534"/>
    <m/>
    <m/>
    <m/>
    <m/>
    <m/>
  </r>
  <r>
    <x v="18"/>
    <x v="372"/>
    <n v="2"/>
    <n v="20813"/>
    <n v="1"/>
    <n v="359"/>
    <n v="44.852929604507324"/>
    <n v="0.15605749486652978"/>
    <m/>
    <m/>
    <m/>
    <m/>
    <m/>
  </r>
  <r>
    <x v="19"/>
    <x v="372"/>
    <n v="138"/>
    <n v="36963"/>
    <n v="3"/>
    <n v="604"/>
    <n v="364.2349698385006"/>
    <n v="0.91609353507565339"/>
    <m/>
    <m/>
    <m/>
    <m/>
    <m/>
  </r>
  <r>
    <x v="20"/>
    <x v="372"/>
    <n v="509"/>
    <n v="220575"/>
    <n v="12"/>
    <n v="4090"/>
    <n v="150.18021059727667"/>
    <n v="1.1181052631578947"/>
    <m/>
    <m/>
    <m/>
    <m/>
    <m/>
  </r>
  <r>
    <x v="21"/>
    <x v="372"/>
    <n v="51"/>
    <n v="23176"/>
    <m/>
    <n v="272"/>
    <n v="85.453224070415089"/>
    <n v="1.1824611032531824"/>
    <m/>
    <m/>
    <m/>
    <m/>
    <m/>
  </r>
  <r>
    <x v="22"/>
    <x v="372"/>
    <n v="15"/>
    <n v="23256"/>
    <m/>
    <n v="358"/>
    <n v="239.21280325736586"/>
    <n v="0.82135922330097089"/>
    <m/>
    <m/>
    <m/>
    <m/>
    <m/>
  </r>
  <r>
    <x v="23"/>
    <x v="372"/>
    <n v="205"/>
    <n v="81352"/>
    <n v="4"/>
    <n v="1488"/>
    <n v="122.62075607084859"/>
    <n v="1.2555891238670696"/>
    <m/>
    <m/>
    <m/>
    <m/>
    <m/>
  </r>
  <r>
    <x v="0"/>
    <x v="373"/>
    <n v="3450"/>
    <n v="909812"/>
    <n v="54"/>
    <n v="26986"/>
    <n v="204.00041251592469"/>
    <n v="1.0030834781633682"/>
    <m/>
    <m/>
    <m/>
    <m/>
    <m/>
  </r>
  <r>
    <x v="4"/>
    <x v="373"/>
    <n v="825"/>
    <n v="239775"/>
    <n v="8"/>
    <n v="6661"/>
    <n v="309.20333484412708"/>
    <n v="0.96724979658258747"/>
    <m/>
    <m/>
    <m/>
    <m/>
    <m/>
  </r>
  <r>
    <x v="1"/>
    <x v="373"/>
    <n v="80"/>
    <n v="8770"/>
    <m/>
    <n v="17"/>
    <n v="272.24278953778901"/>
    <n v="1.049165120593692"/>
    <m/>
    <m/>
    <m/>
    <m/>
    <m/>
  </r>
  <r>
    <x v="2"/>
    <x v="373"/>
    <n v="140"/>
    <n v="35559"/>
    <n v="7"/>
    <n v="886"/>
    <n v="141.79675079553124"/>
    <n v="1.0172721858248959"/>
    <m/>
    <m/>
    <m/>
    <m/>
    <m/>
  </r>
  <r>
    <x v="3"/>
    <x v="373"/>
    <n v="105"/>
    <n v="47912"/>
    <n v="24"/>
    <n v="807"/>
    <n v="190.30879136146714"/>
    <n v="0.61067910834629346"/>
    <m/>
    <m/>
    <m/>
    <m/>
    <m/>
  </r>
  <r>
    <x v="6"/>
    <x v="373"/>
    <n v="71"/>
    <n v="24029"/>
    <m/>
    <n v="306"/>
    <n v="234.29672171955593"/>
    <n v="1.1665926254997778"/>
    <m/>
    <m/>
    <m/>
    <m/>
    <m/>
  </r>
  <r>
    <x v="5"/>
    <x v="373"/>
    <n v="698"/>
    <n v="166378"/>
    <n v="10"/>
    <n v="2907"/>
    <n v="206.96991051602868"/>
    <n v="0.96911966131241445"/>
    <m/>
    <m/>
    <m/>
    <m/>
    <m/>
  </r>
  <r>
    <x v="7"/>
    <x v="373"/>
    <n v="141"/>
    <n v="46551"/>
    <n v="1"/>
    <n v="894"/>
    <n v="118.32944794261887"/>
    <n v="0.93234792495736218"/>
    <m/>
    <m/>
    <m/>
    <m/>
    <m/>
  </r>
  <r>
    <x v="8"/>
    <x v="373"/>
    <n v="49"/>
    <n v="1477"/>
    <m/>
    <n v="20"/>
    <n v="48.249070957529256"/>
    <n v="1.0695970695970696"/>
    <m/>
    <m/>
    <m/>
    <m/>
    <m/>
  </r>
  <r>
    <x v="9"/>
    <x v="373"/>
    <n v="67"/>
    <n v="21512"/>
    <m/>
    <n v="918"/>
    <n v="132.44586388820065"/>
    <n v="1.2286401925391095"/>
    <m/>
    <m/>
    <m/>
    <m/>
    <m/>
  </r>
  <r>
    <x v="10"/>
    <x v="373"/>
    <n v="101"/>
    <n v="19608"/>
    <n v="1"/>
    <n v="299"/>
    <n v="298.80478087649402"/>
    <n v="1.0084745762711864"/>
    <m/>
    <m/>
    <m/>
    <m/>
    <m/>
  </r>
  <r>
    <x v="11"/>
    <x v="373"/>
    <n v="31"/>
    <n v="10452"/>
    <m/>
    <n v="444"/>
    <n v="77.249314539388251"/>
    <n v="0.77353689567430028"/>
    <m/>
    <m/>
    <m/>
    <m/>
    <m/>
  </r>
  <r>
    <x v="12"/>
    <x v="373"/>
    <n v="198"/>
    <n v="69005"/>
    <n v="4"/>
    <n v="1473"/>
    <n v="104.40437754793406"/>
    <n v="1.3389175257731958"/>
    <m/>
    <m/>
    <m/>
    <m/>
    <m/>
  </r>
  <r>
    <x v="13"/>
    <x v="373"/>
    <n v="127"/>
    <n v="9594"/>
    <n v="3"/>
    <n v="164"/>
    <n v="129.54949440812371"/>
    <n v="1.0576051779935276"/>
    <m/>
    <m/>
    <m/>
    <m/>
    <m/>
  </r>
  <r>
    <x v="14"/>
    <x v="373"/>
    <n v="166"/>
    <n v="62902"/>
    <n v="3"/>
    <n v="953"/>
    <n v="310.36492349301341"/>
    <n v="0.70995521873923528"/>
    <m/>
    <m/>
    <m/>
    <m/>
    <m/>
  </r>
  <r>
    <x v="15"/>
    <x v="373"/>
    <n v="89"/>
    <n v="53602"/>
    <n v="3"/>
    <n v="1230"/>
    <n v="209.06622436832038"/>
    <n v="0.86881600889382993"/>
    <m/>
    <m/>
    <m/>
    <m/>
    <m/>
  </r>
  <r>
    <x v="16"/>
    <x v="373"/>
    <n v="141"/>
    <n v="27352"/>
    <n v="3"/>
    <n v="1131"/>
    <n v="103.41218073332084"/>
    <n v="1.1598425196850393"/>
    <m/>
    <m/>
    <m/>
    <m/>
    <m/>
  </r>
  <r>
    <x v="17"/>
    <x v="373"/>
    <n v="60"/>
    <n v="15808"/>
    <m/>
    <n v="216"/>
    <n v="78.851330680207937"/>
    <n v="0.94045801526717554"/>
    <m/>
    <m/>
    <m/>
    <m/>
    <m/>
  </r>
  <r>
    <x v="18"/>
    <x v="373"/>
    <n v="563"/>
    <n v="21376"/>
    <n v="2"/>
    <n v="361"/>
    <n v="122.55866291056168"/>
    <n v="0.38743781094527363"/>
    <m/>
    <m/>
    <m/>
    <m/>
    <m/>
  </r>
  <r>
    <x v="19"/>
    <x v="373"/>
    <n v="115"/>
    <n v="37078"/>
    <n v="2"/>
    <n v="606"/>
    <n v="358.49252662032603"/>
    <n v="0.88821138211382111"/>
    <m/>
    <m/>
    <m/>
    <m/>
    <m/>
  </r>
  <r>
    <x v="20"/>
    <x v="373"/>
    <n v="614"/>
    <n v="221189"/>
    <n v="8"/>
    <n v="4098"/>
    <n v="155.15699784358071"/>
    <n v="1.1595519864750634"/>
    <m/>
    <m/>
    <m/>
    <m/>
    <m/>
  </r>
  <r>
    <x v="21"/>
    <x v="373"/>
    <n v="67"/>
    <n v="23243"/>
    <m/>
    <n v="272"/>
    <n v="84.328839543172791"/>
    <n v="1.1853448275862069"/>
    <m/>
    <m/>
    <m/>
    <m/>
    <m/>
  </r>
  <r>
    <x v="22"/>
    <x v="373"/>
    <n v="36"/>
    <n v="23292"/>
    <m/>
    <n v="358"/>
    <n v="240.34383306000112"/>
    <n v="0.84830339321357284"/>
    <m/>
    <m/>
    <m/>
    <m/>
    <m/>
  </r>
  <r>
    <x v="23"/>
    <x v="373"/>
    <n v="270"/>
    <n v="81622"/>
    <m/>
    <n v="1488"/>
    <n v="124.45003587748782"/>
    <n v="1.1908526256352343"/>
    <m/>
    <m/>
    <m/>
    <m/>
    <m/>
  </r>
  <r>
    <x v="0"/>
    <x v="374"/>
    <n v="3257"/>
    <n v="913069"/>
    <n v="28"/>
    <n v="27014"/>
    <n v="210.66474524091674"/>
    <n v="1.0693966140934741"/>
    <m/>
    <m/>
    <m/>
    <m/>
    <m/>
  </r>
  <r>
    <x v="4"/>
    <x v="374"/>
    <n v="829"/>
    <n v="240604"/>
    <n v="10"/>
    <n v="6671"/>
    <n v="316.42133067329598"/>
    <n v="1.0109068245559365"/>
    <m/>
    <m/>
    <m/>
    <m/>
    <m/>
  </r>
  <r>
    <x v="1"/>
    <x v="374"/>
    <n v="101"/>
    <n v="8871"/>
    <n v="1"/>
    <n v="18"/>
    <n v="276.5755660291066"/>
    <n v="1.1058710298363812"/>
    <m/>
    <m/>
    <m/>
    <m/>
    <m/>
  </r>
  <r>
    <x v="2"/>
    <x v="374"/>
    <n v="156"/>
    <n v="35715"/>
    <n v="4"/>
    <n v="890"/>
    <n v="146.19676706728953"/>
    <n v="1.058929645219483"/>
    <m/>
    <m/>
    <m/>
    <m/>
    <m/>
  </r>
  <r>
    <x v="3"/>
    <x v="374"/>
    <n v="108"/>
    <n v="48020"/>
    <n v="1"/>
    <n v="808"/>
    <n v="196.28623217672543"/>
    <n v="0.68721719457013575"/>
    <m/>
    <m/>
    <m/>
    <m/>
    <m/>
  </r>
  <r>
    <x v="6"/>
    <x v="374"/>
    <n v="512"/>
    <n v="24541"/>
    <m/>
    <n v="306"/>
    <n v="260.08185217536385"/>
    <n v="1.2055417700578992"/>
    <m/>
    <m/>
    <m/>
    <m/>
    <m/>
  </r>
  <r>
    <x v="5"/>
    <x v="374"/>
    <n v="627"/>
    <n v="167005"/>
    <n v="4"/>
    <n v="2911"/>
    <n v="212.58094111077131"/>
    <n v="1.0251346499102334"/>
    <m/>
    <m/>
    <m/>
    <m/>
    <m/>
  </r>
  <r>
    <x v="7"/>
    <x v="374"/>
    <n v="151"/>
    <n v="46702"/>
    <n v="4"/>
    <n v="898"/>
    <n v="122.58642198445699"/>
    <n v="1.0101070154577882"/>
    <m/>
    <m/>
    <m/>
    <m/>
    <m/>
  </r>
  <r>
    <x v="8"/>
    <x v="374"/>
    <n v="26"/>
    <n v="1503"/>
    <m/>
    <n v="20"/>
    <n v="48.74478059065455"/>
    <n v="1.088560885608856"/>
    <m/>
    <m/>
    <m/>
    <m/>
    <m/>
  </r>
  <r>
    <x v="9"/>
    <x v="374"/>
    <n v="73"/>
    <n v="21585"/>
    <n v="2"/>
    <n v="920"/>
    <n v="131.14864680800278"/>
    <n v="1.1501706484641638"/>
    <m/>
    <m/>
    <m/>
    <m/>
    <m/>
  </r>
  <r>
    <x v="10"/>
    <x v="374"/>
    <n v="110"/>
    <n v="19718"/>
    <m/>
    <n v="299"/>
    <n v="314.70755632930462"/>
    <n v="1.0804597701149425"/>
    <m/>
    <m/>
    <m/>
    <m/>
    <m/>
  </r>
  <r>
    <x v="11"/>
    <x v="374"/>
    <n v="34"/>
    <n v="10486"/>
    <m/>
    <n v="444"/>
    <n v="80.552739174296306"/>
    <n v="0.82337662337662343"/>
    <m/>
    <m/>
    <m/>
    <m/>
    <m/>
  </r>
  <r>
    <x v="12"/>
    <x v="374"/>
    <n v="168"/>
    <n v="69173"/>
    <n v="2"/>
    <n v="1475"/>
    <n v="105.96190194831229"/>
    <n v="1.3650485436893205"/>
    <m/>
    <m/>
    <m/>
    <m/>
    <m/>
  </r>
  <r>
    <x v="13"/>
    <x v="374"/>
    <n v="135"/>
    <n v="9729"/>
    <n v="1"/>
    <n v="165"/>
    <n v="131.05588387798562"/>
    <n v="1.0623393316195373"/>
    <m/>
    <m/>
    <m/>
    <m/>
    <m/>
  </r>
  <r>
    <x v="14"/>
    <x v="374"/>
    <n v="155"/>
    <n v="63057"/>
    <n v="2"/>
    <n v="955"/>
    <n v="307.65431280748493"/>
    <n v="0.73861171366594358"/>
    <m/>
    <m/>
    <m/>
    <m/>
    <m/>
  </r>
  <r>
    <x v="15"/>
    <x v="374"/>
    <n v="112"/>
    <n v="53714"/>
    <n v="7"/>
    <n v="1237"/>
    <n v="204.51839863030187"/>
    <n v="0.85418994413407823"/>
    <m/>
    <m/>
    <m/>
    <m/>
    <m/>
  </r>
  <r>
    <x v="16"/>
    <x v="374"/>
    <n v="100"/>
    <n v="27452"/>
    <n v="7"/>
    <n v="1138"/>
    <n v="105.65874541999176"/>
    <n v="1.2068965517241379"/>
    <m/>
    <m/>
    <m/>
    <m/>
    <m/>
  </r>
  <r>
    <x v="17"/>
    <x v="374"/>
    <n v="51"/>
    <n v="15859"/>
    <n v="1"/>
    <n v="217"/>
    <n v="80.89941719138217"/>
    <n v="1.0047694753577106"/>
    <m/>
    <m/>
    <m/>
    <m/>
    <m/>
  </r>
  <r>
    <x v="18"/>
    <x v="374"/>
    <n v="139"/>
    <n v="21515"/>
    <m/>
    <n v="361"/>
    <n v="149.31304197289938"/>
    <n v="0.47407870081199249"/>
    <m/>
    <m/>
    <m/>
    <m/>
    <m/>
  </r>
  <r>
    <x v="19"/>
    <x v="374"/>
    <n v="147"/>
    <n v="37225"/>
    <n v="1"/>
    <n v="607"/>
    <n v="382.2826485241921"/>
    <n v="0.98798586572438163"/>
    <m/>
    <m/>
    <m/>
    <m/>
    <m/>
  </r>
  <r>
    <x v="20"/>
    <x v="374"/>
    <n v="464"/>
    <n v="221653"/>
    <n v="6"/>
    <n v="4104"/>
    <n v="160.8972694969882"/>
    <n v="1.2202444778039889"/>
    <m/>
    <m/>
    <m/>
    <m/>
    <m/>
  </r>
  <r>
    <x v="21"/>
    <x v="374"/>
    <n v="68"/>
    <n v="23311"/>
    <n v="2"/>
    <n v="274"/>
    <n v="84.431056318376633"/>
    <n v="1.1617440225035163"/>
    <m/>
    <m/>
    <m/>
    <m/>
    <m/>
  </r>
  <r>
    <x v="22"/>
    <x v="374"/>
    <n v="25"/>
    <n v="23317"/>
    <m/>
    <n v="358"/>
    <n v="239.21280325736586"/>
    <n v="0.87941787941787941"/>
    <m/>
    <m/>
    <m/>
    <m/>
    <m/>
  </r>
  <r>
    <x v="23"/>
    <x v="374"/>
    <n v="301"/>
    <n v="81923"/>
    <n v="3"/>
    <n v="1491"/>
    <n v="134.71760640507571"/>
    <n v="1.3437316068275456"/>
    <m/>
    <m/>
    <m/>
    <m/>
    <m/>
  </r>
  <r>
    <x v="0"/>
    <x v="375"/>
    <n v="2692"/>
    <n v="915761"/>
    <n v="21"/>
    <n v="27035"/>
    <n v="212.27809525047428"/>
    <n v="1.0788040329122726"/>
    <m/>
    <m/>
    <m/>
    <m/>
    <m/>
  </r>
  <r>
    <x v="4"/>
    <x v="375"/>
    <n v="796"/>
    <n v="241400"/>
    <n v="19"/>
    <n v="6690"/>
    <n v="323.34670504993096"/>
    <n v="1.0285448340055849"/>
    <m/>
    <m/>
    <m/>
    <m/>
    <m/>
  </r>
  <r>
    <x v="1"/>
    <x v="375"/>
    <n v="104"/>
    <n v="8975"/>
    <m/>
    <n v="18"/>
    <n v="273.20562875808184"/>
    <n v="1.051899907321594"/>
    <m/>
    <m/>
    <m/>
    <m/>
    <m/>
  </r>
  <r>
    <x v="2"/>
    <x v="375"/>
    <n v="140"/>
    <n v="35855"/>
    <n v="4"/>
    <n v="894"/>
    <n v="149.10243819014877"/>
    <n v="1.060838747784997"/>
    <m/>
    <m/>
    <m/>
    <m/>
    <m/>
  </r>
  <r>
    <x v="3"/>
    <x v="375"/>
    <n v="85"/>
    <n v="48105"/>
    <m/>
    <n v="808"/>
    <n v="197.578651812457"/>
    <n v="0.70571263704558573"/>
    <m/>
    <m/>
    <m/>
    <m/>
    <m/>
  </r>
  <r>
    <x v="6"/>
    <x v="375"/>
    <n v="298"/>
    <n v="24839"/>
    <m/>
    <n v="306"/>
    <n v="271.32381216647735"/>
    <n v="1.198659834450138"/>
    <m/>
    <m/>
    <m/>
    <m/>
    <m/>
  </r>
  <r>
    <x v="5"/>
    <x v="375"/>
    <n v="593"/>
    <n v="167598"/>
    <n v="5"/>
    <n v="2916"/>
    <n v="214.17649483439482"/>
    <n v="1.0356178474990356"/>
    <m/>
    <m/>
    <m/>
    <m/>
    <m/>
  </r>
  <r>
    <x v="7"/>
    <x v="375"/>
    <n v="108"/>
    <n v="46810"/>
    <m/>
    <n v="898"/>
    <n v="122.29781357484086"/>
    <n v="1.0065320665083135"/>
    <m/>
    <m/>
    <m/>
    <m/>
    <m/>
  </r>
  <r>
    <x v="8"/>
    <x v="375"/>
    <n v="19"/>
    <n v="1522"/>
    <m/>
    <n v="20"/>
    <n v="49.90143640128025"/>
    <n v="1.1526717557251909"/>
    <m/>
    <m/>
    <m/>
    <m/>
    <m/>
  </r>
  <r>
    <x v="9"/>
    <x v="375"/>
    <n v="27"/>
    <n v="21612"/>
    <n v="3"/>
    <n v="923"/>
    <n v="122.58701407869698"/>
    <n v="0.99788806758183735"/>
    <m/>
    <m/>
    <m/>
    <m/>
    <m/>
  </r>
  <r>
    <x v="10"/>
    <x v="375"/>
    <n v="95"/>
    <n v="19813"/>
    <m/>
    <n v="299"/>
    <n v="326.42539087348086"/>
    <n v="1.2"/>
    <m/>
    <m/>
    <m/>
    <m/>
    <m/>
  </r>
  <r>
    <x v="11"/>
    <x v="375"/>
    <n v="19"/>
    <n v="10505"/>
    <n v="1"/>
    <n v="445"/>
    <n v="84.110273396504979"/>
    <n v="0.92458100558659218"/>
    <m/>
    <m/>
    <m/>
    <m/>
    <m/>
  </r>
  <r>
    <x v="12"/>
    <x v="375"/>
    <n v="135"/>
    <n v="69308"/>
    <n v="2"/>
    <n v="1477"/>
    <n v="106.66530006461215"/>
    <n v="1.3565495207667733"/>
    <m/>
    <m/>
    <m/>
    <m/>
    <m/>
  </r>
  <r>
    <x v="13"/>
    <x v="375"/>
    <n v="119"/>
    <n v="9848"/>
    <n v="3"/>
    <n v="168"/>
    <n v="130.58018194013451"/>
    <n v="1.041087231352718"/>
    <m/>
    <m/>
    <m/>
    <m/>
    <m/>
  </r>
  <r>
    <x v="14"/>
    <x v="375"/>
    <n v="83"/>
    <n v="63140"/>
    <m/>
    <n v="955"/>
    <n v="307.65431280748493"/>
    <n v="0.76631657914478624"/>
    <m/>
    <m/>
    <m/>
    <m/>
    <m/>
  </r>
  <r>
    <x v="15"/>
    <x v="375"/>
    <n v="36"/>
    <n v="53750"/>
    <m/>
    <n v="1237"/>
    <n v="197.96417918433409"/>
    <n v="0.84090909090909094"/>
    <m/>
    <m/>
    <m/>
    <m/>
    <m/>
  </r>
  <r>
    <x v="16"/>
    <x v="375"/>
    <n v="140"/>
    <n v="27592"/>
    <n v="2"/>
    <n v="1140"/>
    <n v="107.62448952082882"/>
    <n v="1.2205414012738853"/>
    <m/>
    <m/>
    <m/>
    <m/>
    <m/>
  </r>
  <r>
    <x v="17"/>
    <x v="375"/>
    <n v="11"/>
    <n v="15870"/>
    <m/>
    <n v="217"/>
    <n v="80.771411784433781"/>
    <n v="0.99370078740157475"/>
    <m/>
    <m/>
    <m/>
    <m/>
    <m/>
  </r>
  <r>
    <x v="18"/>
    <x v="375"/>
    <n v="1"/>
    <n v="21516"/>
    <m/>
    <n v="361"/>
    <n v="146.3621913410239"/>
    <n v="0.75151515151515147"/>
    <m/>
    <m/>
    <m/>
    <m/>
    <m/>
  </r>
  <r>
    <x v="19"/>
    <x v="375"/>
    <n v="99"/>
    <n v="37324"/>
    <n v="3"/>
    <n v="610"/>
    <n v="390.48613883587001"/>
    <n v="1.0063424947145878"/>
    <m/>
    <m/>
    <m/>
    <m/>
    <m/>
  </r>
  <r>
    <x v="20"/>
    <x v="375"/>
    <n v="471"/>
    <n v="222124"/>
    <n v="1"/>
    <n v="4105"/>
    <n v="163.49877192119257"/>
    <n v="1.2520571676050238"/>
    <m/>
    <m/>
    <m/>
    <m/>
    <m/>
  </r>
  <r>
    <x v="21"/>
    <x v="375"/>
    <n v="71"/>
    <n v="23382"/>
    <n v="2"/>
    <n v="276"/>
    <n v="83.204455015930478"/>
    <n v="1.1074829931972789"/>
    <m/>
    <m/>
    <m/>
    <m/>
    <m/>
  </r>
  <r>
    <x v="22"/>
    <x v="375"/>
    <n v="12"/>
    <n v="23329"/>
    <m/>
    <n v="358"/>
    <n v="223.94390092178926"/>
    <n v="0.78260869565217395"/>
    <m/>
    <m/>
    <m/>
    <m/>
    <m/>
  </r>
  <r>
    <x v="23"/>
    <x v="375"/>
    <n v="124"/>
    <n v="82047"/>
    <m/>
    <n v="1491"/>
    <n v="137.72706673212735"/>
    <n v="1.3876337693222354"/>
    <m/>
    <m/>
    <m/>
    <m/>
    <m/>
  </r>
  <r>
    <x v="0"/>
    <x v="376"/>
    <n v="1539"/>
    <n v="917300"/>
    <n v="12"/>
    <n v="27047"/>
    <n v="213.74322229095588"/>
    <n v="1.0960301683816651"/>
    <m/>
    <m/>
    <m/>
    <m/>
    <m/>
  </r>
  <r>
    <x v="4"/>
    <x v="376"/>
    <n v="556"/>
    <n v="241956"/>
    <n v="3"/>
    <n v="6693"/>
    <n v="327.21581092232333"/>
    <n v="1.0650862525134934"/>
    <m/>
    <m/>
    <m/>
    <m/>
    <m/>
  </r>
  <r>
    <x v="1"/>
    <x v="376"/>
    <n v="53"/>
    <n v="9028"/>
    <m/>
    <n v="18"/>
    <n v="275.37201700374061"/>
    <n v="1.0485792850595783"/>
    <m/>
    <m/>
    <m/>
    <m/>
    <m/>
  </r>
  <r>
    <x v="2"/>
    <x v="376"/>
    <n v="87"/>
    <n v="35942"/>
    <m/>
    <n v="894"/>
    <n v="149.35149571496527"/>
    <n v="1.0601060695344726"/>
    <m/>
    <m/>
    <m/>
    <m/>
    <m/>
  </r>
  <r>
    <x v="3"/>
    <x v="376"/>
    <n v="23"/>
    <n v="48128"/>
    <m/>
    <n v="808"/>
    <n v="199.84038617498717"/>
    <n v="0.74518072289156623"/>
    <m/>
    <m/>
    <m/>
    <m/>
    <m/>
  </r>
  <r>
    <x v="6"/>
    <x v="376"/>
    <n v="121"/>
    <n v="24960"/>
    <m/>
    <n v="306"/>
    <n v="276.9447921620341"/>
    <n v="1.2381332269644993"/>
    <m/>
    <m/>
    <m/>
    <m/>
    <m/>
  </r>
  <r>
    <x v="5"/>
    <x v="376"/>
    <n v="281"/>
    <n v="167879"/>
    <n v="2"/>
    <n v="2918"/>
    <n v="212.76708904519404"/>
    <n v="1.0214477211796247"/>
    <m/>
    <m/>
    <m/>
    <m/>
    <m/>
  </r>
  <r>
    <x v="7"/>
    <x v="376"/>
    <n v="62"/>
    <n v="46872"/>
    <m/>
    <n v="898"/>
    <n v="123.01933459888122"/>
    <n v="1.0518198642813079"/>
    <m/>
    <m/>
    <m/>
    <m/>
    <m/>
  </r>
  <r>
    <x v="8"/>
    <x v="376"/>
    <n v="45"/>
    <n v="1567"/>
    <m/>
    <n v="20"/>
    <n v="57.171844353784657"/>
    <n v="1.3675889328063242"/>
    <m/>
    <m/>
    <m/>
    <m/>
    <m/>
  </r>
  <r>
    <x v="9"/>
    <x v="376"/>
    <n v="69"/>
    <n v="21681"/>
    <n v="4"/>
    <n v="927"/>
    <n v="120.51146675038042"/>
    <n v="0.94506612410986779"/>
    <m/>
    <m/>
    <m/>
    <m/>
    <m/>
  </r>
  <r>
    <x v="10"/>
    <x v="376"/>
    <n v="27"/>
    <n v="19840"/>
    <m/>
    <n v="299"/>
    <n v="320.84546966196837"/>
    <n v="1.1782786885245902"/>
    <m/>
    <m/>
    <m/>
    <m/>
    <m/>
  </r>
  <r>
    <x v="11"/>
    <x v="376"/>
    <n v="30"/>
    <n v="10535"/>
    <m/>
    <n v="445"/>
    <n v="79.028081650492595"/>
    <n v="0.82493368700265257"/>
    <m/>
    <m/>
    <m/>
    <m/>
    <m/>
  </r>
  <r>
    <x v="12"/>
    <x v="376"/>
    <n v="60"/>
    <n v="69368"/>
    <m/>
    <n v="1477"/>
    <n v="107.11748456794777"/>
    <n v="1.3553719008264462"/>
    <m/>
    <m/>
    <m/>
    <m/>
    <m/>
  </r>
  <r>
    <x v="13"/>
    <x v="376"/>
    <n v="122"/>
    <n v="9970"/>
    <m/>
    <n v="168"/>
    <n v="134.46508109925202"/>
    <n v="1.1027308192457737"/>
    <m/>
    <m/>
    <m/>
    <m/>
    <m/>
  </r>
  <r>
    <x v="14"/>
    <x v="376"/>
    <n v="72"/>
    <n v="63212"/>
    <m/>
    <n v="955"/>
    <n v="306.60018642977934"/>
    <n v="0.81018702745722249"/>
    <m/>
    <m/>
    <m/>
    <m/>
    <m/>
  </r>
  <r>
    <x v="15"/>
    <x v="376"/>
    <n v="37"/>
    <n v="53787"/>
    <m/>
    <n v="1237"/>
    <n v="195.42274715426493"/>
    <n v="0.84499710815500284"/>
    <m/>
    <m/>
    <m/>
    <m/>
    <m/>
  </r>
  <r>
    <x v="16"/>
    <x v="376"/>
    <n v="35"/>
    <n v="27627"/>
    <n v="2"/>
    <n v="1142"/>
    <n v="104.3248476372809"/>
    <n v="1.1395705521472392"/>
    <m/>
    <m/>
    <m/>
    <m/>
    <m/>
  </r>
  <r>
    <x v="17"/>
    <x v="376"/>
    <n v="4"/>
    <n v="15874"/>
    <m/>
    <n v="217"/>
    <n v="80.643406377485391"/>
    <n v="0.99526066350710896"/>
    <m/>
    <m/>
    <m/>
    <m/>
    <m/>
  </r>
  <r>
    <x v="18"/>
    <x v="376"/>
    <n v="2"/>
    <n v="21518"/>
    <m/>
    <n v="361"/>
    <n v="146.55891471648226"/>
    <n v="1.0673352435530086"/>
    <m/>
    <m/>
    <m/>
    <m/>
    <m/>
  </r>
  <r>
    <x v="19"/>
    <x v="376"/>
    <n v="61"/>
    <n v="37385"/>
    <n v="1"/>
    <n v="611"/>
    <n v="397.59583043932423"/>
    <n v="1.043041606886657"/>
    <m/>
    <m/>
    <m/>
    <m/>
    <m/>
  </r>
  <r>
    <x v="20"/>
    <x v="376"/>
    <n v="190"/>
    <n v="222314"/>
    <m/>
    <n v="4105"/>
    <n v="165.39334433881967"/>
    <n v="1.2860598065083553"/>
    <m/>
    <m/>
    <m/>
    <m/>
    <m/>
  </r>
  <r>
    <x v="21"/>
    <x v="376"/>
    <n v="78"/>
    <n v="23460"/>
    <m/>
    <n v="276"/>
    <n v="81.977853713484336"/>
    <n v="1.0075376884422111"/>
    <m/>
    <m/>
    <m/>
    <m/>
    <m/>
  </r>
  <r>
    <x v="22"/>
    <x v="376"/>
    <n v="34"/>
    <n v="23363"/>
    <m/>
    <n v="358"/>
    <n v="239.77831815868348"/>
    <n v="0.87422680412371134"/>
    <m/>
    <m/>
    <m/>
    <m/>
    <m/>
  </r>
  <r>
    <x v="23"/>
    <x v="376"/>
    <n v="109"/>
    <n v="82156"/>
    <m/>
    <n v="1491"/>
    <n v="139.20229238264284"/>
    <n v="1.3868312757201646"/>
    <m/>
    <m/>
    <m/>
    <m/>
    <m/>
  </r>
  <r>
    <x v="0"/>
    <x v="377"/>
    <n v="2610"/>
    <n v="919910"/>
    <n v="105"/>
    <n v="27152"/>
    <n v="217.19795764711088"/>
    <n v="1.0934477513417329"/>
    <m/>
    <m/>
    <m/>
    <m/>
    <m/>
  </r>
  <r>
    <x v="4"/>
    <x v="377"/>
    <n v="1086"/>
    <n v="243042"/>
    <n v="9"/>
    <n v="6702"/>
    <n v="348.47963647311815"/>
    <n v="1.1414270500532482"/>
    <m/>
    <m/>
    <m/>
    <m/>
    <m/>
  </r>
  <r>
    <x v="1"/>
    <x v="377"/>
    <n v="91"/>
    <n v="9119"/>
    <m/>
    <n v="18"/>
    <n v="260.20729928412902"/>
    <n v="0.93189655172413788"/>
    <m/>
    <m/>
    <m/>
    <m/>
    <m/>
  </r>
  <r>
    <x v="2"/>
    <x v="377"/>
    <n v="120"/>
    <n v="36062"/>
    <n v="1"/>
    <n v="895"/>
    <n v="153.17037776215173"/>
    <n v="1.0802107728337236"/>
    <m/>
    <m/>
    <m/>
    <m/>
    <m/>
  </r>
  <r>
    <x v="3"/>
    <x v="377"/>
    <n v="123"/>
    <n v="48251"/>
    <n v="3"/>
    <n v="811"/>
    <n v="200.80970090178579"/>
    <n v="0.72435897435897434"/>
    <m/>
    <m/>
    <m/>
    <m/>
    <m/>
  </r>
  <r>
    <x v="6"/>
    <x v="377"/>
    <n v="69"/>
    <n v="25029"/>
    <m/>
    <n v="306"/>
    <n v="274.80346644944109"/>
    <n v="1.337386018237082"/>
    <m/>
    <m/>
    <m/>
    <m/>
    <m/>
  </r>
  <r>
    <x v="5"/>
    <x v="377"/>
    <n v="383"/>
    <n v="168262"/>
    <n v="6"/>
    <n v="2924"/>
    <n v="212.50116342459015"/>
    <n v="0.98642142945315392"/>
    <m/>
    <m/>
    <m/>
    <m/>
    <m/>
  </r>
  <r>
    <x v="7"/>
    <x v="377"/>
    <n v="121"/>
    <n v="46993"/>
    <n v="7"/>
    <n v="905"/>
    <n v="125.11174556859827"/>
    <n v="1.0321428571428573"/>
    <m/>
    <m/>
    <m/>
    <m/>
    <m/>
  </r>
  <r>
    <x v="8"/>
    <x v="377"/>
    <n v="32"/>
    <n v="1599"/>
    <m/>
    <n v="20"/>
    <n v="58.824209797535666"/>
    <n v="1.3234200743494424"/>
    <m/>
    <m/>
    <m/>
    <m/>
    <m/>
  </r>
  <r>
    <x v="9"/>
    <x v="377"/>
    <n v="28"/>
    <n v="21709"/>
    <n v="4"/>
    <n v="931"/>
    <n v="118.43591942206386"/>
    <n v="0.91482965931863724"/>
    <m/>
    <m/>
    <m/>
    <m/>
    <m/>
  </r>
  <r>
    <x v="10"/>
    <x v="377"/>
    <n v="114"/>
    <n v="19954"/>
    <n v="6"/>
    <n v="305"/>
    <n v="331.72631602441771"/>
    <n v="1.165686274509804"/>
    <m/>
    <m/>
    <m/>
    <m/>
    <m/>
  </r>
  <r>
    <x v="11"/>
    <x v="377"/>
    <n v="14"/>
    <n v="10549"/>
    <m/>
    <n v="445"/>
    <n v="78.26575288859074"/>
    <n v="0.81052631578947365"/>
    <m/>
    <m/>
    <m/>
    <m/>
    <m/>
  </r>
  <r>
    <x v="12"/>
    <x v="377"/>
    <n v="125"/>
    <n v="69493"/>
    <n v="3"/>
    <n v="1480"/>
    <n v="108.4740380779546"/>
    <n v="1.3084848484848486"/>
    <m/>
    <m/>
    <m/>
    <m/>
    <m/>
  </r>
  <r>
    <x v="13"/>
    <x v="377"/>
    <n v="118"/>
    <n v="10088"/>
    <n v="1"/>
    <n v="169"/>
    <n v="135.4164849749543"/>
    <n v="1.1156107119529719"/>
    <m/>
    <m/>
    <m/>
    <m/>
    <m/>
  </r>
  <r>
    <x v="14"/>
    <x v="377"/>
    <n v="123"/>
    <n v="63335"/>
    <m/>
    <n v="955"/>
    <n v="302.9860388490747"/>
    <n v="0.80095541401273884"/>
    <m/>
    <m/>
    <m/>
    <m/>
    <m/>
  </r>
  <r>
    <x v="15"/>
    <x v="377"/>
    <n v="94"/>
    <n v="53881"/>
    <n v="3"/>
    <n v="1240"/>
    <n v="193.14883428525567"/>
    <n v="0.82373074729035933"/>
    <m/>
    <m/>
    <m/>
    <m/>
    <m/>
  </r>
  <r>
    <x v="16"/>
    <x v="377"/>
    <n v="63"/>
    <n v="27690"/>
    <n v="3"/>
    <n v="1145"/>
    <n v="104.81628366249015"/>
    <n v="1.1125186289120714"/>
    <m/>
    <m/>
    <m/>
    <m/>
    <m/>
  </r>
  <r>
    <x v="17"/>
    <x v="377"/>
    <n v="69"/>
    <n v="15943"/>
    <m/>
    <n v="217"/>
    <n v="83.331519923401558"/>
    <n v="0.96301775147928992"/>
    <m/>
    <m/>
    <m/>
    <m/>
    <m/>
  </r>
  <r>
    <x v="18"/>
    <x v="377"/>
    <n v="1"/>
    <n v="21519"/>
    <m/>
    <n v="361"/>
    <n v="146.16546796556554"/>
    <n v="1.0721500721500721"/>
    <m/>
    <m/>
    <m/>
    <m/>
    <m/>
  </r>
  <r>
    <x v="19"/>
    <x v="377"/>
    <n v="84"/>
    <n v="37469"/>
    <n v="1"/>
    <n v="612"/>
    <n v="403.3382736574988"/>
    <n v="1.0438782731776362"/>
    <m/>
    <m/>
    <m/>
    <m/>
    <m/>
  </r>
  <r>
    <x v="20"/>
    <x v="377"/>
    <n v="333"/>
    <n v="222647"/>
    <n v="14"/>
    <n v="4119"/>
    <n v="165.93061114381842"/>
    <n v="1.2453310696095077"/>
    <m/>
    <m/>
    <m/>
    <m/>
    <m/>
  </r>
  <r>
    <x v="21"/>
    <x v="377"/>
    <n v="71"/>
    <n v="23531"/>
    <m/>
    <n v="276"/>
    <n v="85.759874396026632"/>
    <n v="1.0396530359355638"/>
    <m/>
    <m/>
    <m/>
    <m/>
    <m/>
  </r>
  <r>
    <x v="22"/>
    <x v="377"/>
    <n v="35"/>
    <n v="23398"/>
    <m/>
    <n v="358"/>
    <n v="241.47486286263646"/>
    <n v="0.83725490196078434"/>
    <m/>
    <m/>
    <m/>
    <m/>
    <m/>
  </r>
  <r>
    <x v="23"/>
    <x v="377"/>
    <n v="257"/>
    <n v="82413"/>
    <m/>
    <n v="1491"/>
    <n v="146.75544771328222"/>
    <n v="1.3824346859366314"/>
    <m/>
    <m/>
    <m/>
    <m/>
    <m/>
  </r>
  <r>
    <x v="0"/>
    <x v="378"/>
    <n v="3762"/>
    <n v="923672"/>
    <n v="139"/>
    <n v="27291"/>
    <n v="221.96389619124551"/>
    <n v="1.0730920816911502"/>
    <m/>
    <m/>
    <m/>
    <m/>
    <m/>
  </r>
  <r>
    <x v="4"/>
    <x v="378"/>
    <n v="967"/>
    <n v="244009"/>
    <n v="7"/>
    <n v="6709"/>
    <n v="358.72138731180377"/>
    <n v="1.1489117983963344"/>
    <m/>
    <m/>
    <m/>
    <m/>
    <m/>
  </r>
  <r>
    <x v="1"/>
    <x v="378"/>
    <n v="127"/>
    <n v="9246"/>
    <m/>
    <n v="18"/>
    <n v="268.39143265661784"/>
    <n v="0.89271417133706965"/>
    <m/>
    <m/>
    <m/>
    <m/>
    <m/>
  </r>
  <r>
    <x v="2"/>
    <x v="378"/>
    <n v="124"/>
    <n v="36186"/>
    <n v="1"/>
    <n v="896"/>
    <n v="154.08358868647892"/>
    <n v="1.0605714285714285"/>
    <m/>
    <m/>
    <m/>
    <m/>
    <m/>
  </r>
  <r>
    <x v="3"/>
    <x v="378"/>
    <n v="100"/>
    <n v="48351"/>
    <n v="1"/>
    <n v="812"/>
    <n v="195.80157481332614"/>
    <n v="0.67109634551495012"/>
    <m/>
    <m/>
    <m/>
    <m/>
    <m/>
  </r>
  <r>
    <x v="6"/>
    <x v="378"/>
    <n v="168"/>
    <n v="25197"/>
    <m/>
    <n v="306"/>
    <n v="279.88911501684959"/>
    <n v="1.6270746887966805"/>
    <m/>
    <m/>
    <m/>
    <m/>
    <m/>
  </r>
  <r>
    <x v="5"/>
    <x v="378"/>
    <n v="809"/>
    <n v="169071"/>
    <n v="16"/>
    <n v="2940"/>
    <n v="213.3255328484623"/>
    <n v="0.93540111940298509"/>
    <m/>
    <m/>
    <m/>
    <m/>
    <m/>
  </r>
  <r>
    <x v="7"/>
    <x v="378"/>
    <n v="200"/>
    <n v="47193"/>
    <n v="3"/>
    <n v="908"/>
    <n v="132.39910791140588"/>
    <n v="1.0948687350835322"/>
    <m/>
    <m/>
    <m/>
    <m/>
    <m/>
  </r>
  <r>
    <x v="8"/>
    <x v="378"/>
    <n v="27"/>
    <n v="1626"/>
    <m/>
    <n v="20"/>
    <n v="60.972284874411962"/>
    <n v="1.3225806451612903"/>
    <m/>
    <m/>
    <m/>
    <m/>
    <m/>
  </r>
  <r>
    <x v="9"/>
    <x v="378"/>
    <n v="54"/>
    <n v="21763"/>
    <n v="1"/>
    <n v="932"/>
    <n v="113.50649451731202"/>
    <n v="0.82469368520263897"/>
    <m/>
    <m/>
    <m/>
    <m/>
    <m/>
  </r>
  <r>
    <x v="10"/>
    <x v="378"/>
    <n v="114"/>
    <n v="20068"/>
    <m/>
    <n v="305"/>
    <n v="340.09619784168643"/>
    <n v="1.159847764034253"/>
    <m/>
    <m/>
    <m/>
    <m/>
    <m/>
  </r>
  <r>
    <x v="11"/>
    <x v="378"/>
    <n v="17"/>
    <n v="10566"/>
    <n v="2"/>
    <n v="447"/>
    <n v="76.741095364787014"/>
    <n v="0.78851174934725854"/>
    <m/>
    <m/>
    <m/>
    <m/>
    <m/>
  </r>
  <r>
    <x v="12"/>
    <x v="378"/>
    <n v="165"/>
    <n v="69658"/>
    <n v="2"/>
    <n v="1482"/>
    <n v="109.42864980721866"/>
    <n v="1.2445714285714287"/>
    <m/>
    <m/>
    <m/>
    <m/>
    <m/>
  </r>
  <r>
    <x v="13"/>
    <x v="378"/>
    <n v="101"/>
    <n v="10189"/>
    <n v="3"/>
    <n v="172"/>
    <n v="131.21445119060266"/>
    <n v="1.0541401273885351"/>
    <m/>
    <m/>
    <m/>
    <m/>
    <m/>
  </r>
  <r>
    <x v="14"/>
    <x v="378"/>
    <n v="127"/>
    <n v="63462"/>
    <m/>
    <n v="955"/>
    <n v="295.607154205136"/>
    <n v="0.76203416149068326"/>
    <m/>
    <m/>
    <m/>
    <m/>
    <m/>
  </r>
  <r>
    <x v="15"/>
    <x v="378"/>
    <n v="115"/>
    <n v="53996"/>
    <n v="3"/>
    <n v="1243"/>
    <n v="192.4800363826059"/>
    <n v="0.81761363636363638"/>
    <m/>
    <m/>
    <m/>
    <m/>
    <m/>
  </r>
  <r>
    <x v="16"/>
    <x v="378"/>
    <n v="131"/>
    <n v="27821"/>
    <n v="5"/>
    <n v="1150"/>
    <n v="106.78202776332722"/>
    <n v="1.087205146533238"/>
    <m/>
    <m/>
    <m/>
    <m/>
    <m/>
  </r>
  <r>
    <x v="17"/>
    <x v="378"/>
    <n v="74"/>
    <n v="16017"/>
    <n v="1"/>
    <n v="218"/>
    <n v="86.275644283214518"/>
    <n v="0.98682284040995605"/>
    <m/>
    <m/>
    <m/>
    <m/>
    <m/>
  </r>
  <r>
    <x v="18"/>
    <x v="378"/>
    <n v="1"/>
    <n v="21520"/>
    <m/>
    <n v="361"/>
    <n v="145.1818510882737"/>
    <n v="1.3155080213903743"/>
    <m/>
    <m/>
    <m/>
    <m/>
    <m/>
  </r>
  <r>
    <x v="19"/>
    <x v="378"/>
    <n v="105"/>
    <n v="37574"/>
    <n v="1"/>
    <n v="613"/>
    <n v="403.61172333455477"/>
    <n v="1.0075085324232083"/>
    <m/>
    <m/>
    <m/>
    <m/>
    <m/>
  </r>
  <r>
    <x v="20"/>
    <x v="378"/>
    <n v="583"/>
    <n v="223230"/>
    <n v="17"/>
    <n v="4136"/>
    <n v="170.85084398959626"/>
    <n v="1.2228293867638129"/>
    <m/>
    <m/>
    <m/>
    <m/>
    <m/>
  </r>
  <r>
    <x v="21"/>
    <x v="378"/>
    <n v="76"/>
    <n v="23607"/>
    <m/>
    <n v="276"/>
    <n v="89.439678303365085"/>
    <n v="1.0696821515892421"/>
    <m/>
    <m/>
    <m/>
    <m/>
    <m/>
  </r>
  <r>
    <x v="22"/>
    <x v="378"/>
    <n v="18"/>
    <n v="23416"/>
    <m/>
    <n v="358"/>
    <n v="220.55081151388339"/>
    <n v="0.71823204419889508"/>
    <m/>
    <m/>
    <m/>
    <m/>
    <m/>
  </r>
  <r>
    <x v="23"/>
    <x v="378"/>
    <n v="270"/>
    <n v="82683"/>
    <m/>
    <n v="1491"/>
    <n v="152.47932323728236"/>
    <n v="1.3564304461942258"/>
    <m/>
    <m/>
    <m/>
    <m/>
    <m/>
  </r>
  <r>
    <x v="0"/>
    <x v="379"/>
    <n v="3596"/>
    <n v="927268"/>
    <n v="75"/>
    <n v="27366"/>
    <n v="222.73921633718126"/>
    <n v="1.0519641366683719"/>
    <m/>
    <m/>
    <m/>
    <m/>
    <m/>
  </r>
  <r>
    <x v="4"/>
    <x v="379"/>
    <n v="929"/>
    <n v="244938"/>
    <n v="12"/>
    <n v="6721"/>
    <n v="360.99733194262279"/>
    <n v="1.1448752320065994"/>
    <m/>
    <m/>
    <m/>
    <m/>
    <m/>
  </r>
  <r>
    <x v="1"/>
    <x v="379"/>
    <n v="112"/>
    <n v="9358"/>
    <m/>
    <n v="18"/>
    <n v="282.59331115593665"/>
    <n v="0.96150696150696147"/>
    <m/>
    <m/>
    <m/>
    <m/>
    <m/>
  </r>
  <r>
    <x v="2"/>
    <x v="379"/>
    <n v="139"/>
    <n v="36325"/>
    <n v="4"/>
    <n v="900"/>
    <n v="151.17791756361967"/>
    <n v="1.0005494505494505"/>
    <m/>
    <m/>
    <m/>
    <m/>
    <m/>
  </r>
  <r>
    <x v="3"/>
    <x v="379"/>
    <n v="126"/>
    <n v="48477"/>
    <m/>
    <n v="812"/>
    <n v="194.99381254099393"/>
    <n v="0.6850170261066969"/>
    <m/>
    <m/>
    <m/>
    <m/>
    <m/>
  </r>
  <r>
    <x v="6"/>
    <x v="379"/>
    <n v="264"/>
    <n v="25461"/>
    <m/>
    <n v="306"/>
    <n v="280.87055596845471"/>
    <n v="1.6638477801268499"/>
    <m/>
    <m/>
    <m/>
    <m/>
    <m/>
  </r>
  <r>
    <x v="5"/>
    <x v="379"/>
    <n v="781"/>
    <n v="169852"/>
    <n v="12"/>
    <n v="2952"/>
    <n v="215.5061229374144"/>
    <n v="0.91705329863075702"/>
    <m/>
    <m/>
    <m/>
    <m/>
    <m/>
  </r>
  <r>
    <x v="7"/>
    <x v="379"/>
    <n v="203"/>
    <n v="47396"/>
    <n v="10"/>
    <n v="918"/>
    <n v="135.42949621237537"/>
    <n v="1.0713470319634704"/>
    <m/>
    <m/>
    <m/>
    <m/>
    <m/>
  </r>
  <r>
    <x v="8"/>
    <x v="379"/>
    <n v="21"/>
    <n v="1647"/>
    <n v="3"/>
    <n v="23"/>
    <n v="59.650392519411163"/>
    <n v="1.2114093959731544"/>
    <m/>
    <m/>
    <m/>
    <m/>
    <m/>
  </r>
  <r>
    <x v="9"/>
    <x v="379"/>
    <n v="75"/>
    <n v="21838"/>
    <n v="5"/>
    <n v="937"/>
    <n v="111.0417820649361"/>
    <n v="0.77536231884057971"/>
    <m/>
    <m/>
    <m/>
    <m/>
    <m/>
  </r>
  <r>
    <x v="10"/>
    <x v="379"/>
    <n v="160"/>
    <n v="20228"/>
    <n v="3"/>
    <n v="308"/>
    <n v="355.7199772339215"/>
    <n v="1.1465827338129497"/>
    <m/>
    <m/>
    <m/>
    <m/>
    <m/>
  </r>
  <r>
    <x v="11"/>
    <x v="379"/>
    <n v="1"/>
    <n v="10567"/>
    <m/>
    <n v="447"/>
    <n v="71.150684444173393"/>
    <n v="0.75471698113207553"/>
    <m/>
    <m/>
    <m/>
    <m/>
    <m/>
  </r>
  <r>
    <x v="12"/>
    <x v="379"/>
    <n v="149"/>
    <n v="69807"/>
    <n v="2"/>
    <n v="1484"/>
    <n v="106.5145718968336"/>
    <n v="1.1629182665935272"/>
    <m/>
    <m/>
    <m/>
    <m/>
    <m/>
  </r>
  <r>
    <x v="13"/>
    <x v="379"/>
    <n v="141"/>
    <n v="10330"/>
    <n v="4"/>
    <n v="176"/>
    <n v="133.19654259831569"/>
    <n v="1.0559396605908233"/>
    <m/>
    <m/>
    <m/>
    <m/>
    <m/>
  </r>
  <r>
    <x v="14"/>
    <x v="379"/>
    <n v="131"/>
    <n v="63593"/>
    <n v="11"/>
    <n v="966"/>
    <n v="288.83062749131477"/>
    <n v="0.75900277008310246"/>
    <m/>
    <m/>
    <m/>
    <m/>
    <m/>
  </r>
  <r>
    <x v="15"/>
    <x v="379"/>
    <n v="110"/>
    <n v="54106"/>
    <n v="6"/>
    <n v="1249"/>
    <n v="182.44806784285925"/>
    <n v="0.76031215161649945"/>
    <m/>
    <m/>
    <m/>
    <m/>
    <m/>
  </r>
  <r>
    <x v="16"/>
    <x v="379"/>
    <n v="123"/>
    <n v="27944"/>
    <n v="2"/>
    <n v="1152"/>
    <n v="105.58854027353328"/>
    <n v="0.99933554817275749"/>
    <m/>
    <m/>
    <m/>
    <m/>
    <m/>
  </r>
  <r>
    <x v="17"/>
    <x v="379"/>
    <n v="74"/>
    <n v="16091"/>
    <n v="1"/>
    <n v="219"/>
    <n v="87.939714573543583"/>
    <n v="1.0377643504531722"/>
    <m/>
    <m/>
    <m/>
    <m/>
    <m/>
  </r>
  <r>
    <x v="18"/>
    <x v="379"/>
    <n v="4"/>
    <n v="21524"/>
    <n v="1"/>
    <n v="362"/>
    <n v="144.78840433735698"/>
    <n v="1.3119429590017826"/>
    <m/>
    <m/>
    <m/>
    <m/>
    <m/>
  </r>
  <r>
    <x v="19"/>
    <x v="379"/>
    <n v="142"/>
    <n v="37716"/>
    <m/>
    <n v="613"/>
    <n v="404.43207236572249"/>
    <n v="0.99462004034969742"/>
    <m/>
    <m/>
    <m/>
    <m/>
    <m/>
  </r>
  <r>
    <x v="20"/>
    <x v="379"/>
    <n v="596"/>
    <n v="223826"/>
    <n v="43"/>
    <n v="4179"/>
    <n v="173.48062361406372"/>
    <n v="1.1973067915690867"/>
    <m/>
    <m/>
    <m/>
    <m/>
    <m/>
  </r>
  <r>
    <x v="21"/>
    <x v="379"/>
    <n v="108"/>
    <n v="23715"/>
    <m/>
    <n v="276"/>
    <n v="94.857167389168907"/>
    <n v="1.1248484848484848"/>
    <m/>
    <m/>
    <m/>
    <m/>
    <m/>
  </r>
  <r>
    <x v="22"/>
    <x v="379"/>
    <n v="33"/>
    <n v="23449"/>
    <m/>
    <n v="358"/>
    <n v="226.77147542837753"/>
    <n v="0.77263969171483626"/>
    <m/>
    <m/>
    <m/>
    <m/>
    <m/>
  </r>
  <r>
    <x v="23"/>
    <x v="379"/>
    <n v="286"/>
    <n v="82969"/>
    <n v="1"/>
    <n v="1492"/>
    <n v="157.2590543449526"/>
    <n v="1.3452801615345784"/>
    <m/>
    <m/>
    <m/>
    <m/>
    <m/>
  </r>
  <r>
    <x v="0"/>
    <x v="380"/>
    <n v="3583"/>
    <n v="930851"/>
    <n v="75"/>
    <n v="27441"/>
    <n v="225.68657306842238"/>
    <n v="1.071306795118123"/>
    <m/>
    <m/>
    <m/>
    <m/>
    <m/>
  </r>
  <r>
    <x v="4"/>
    <x v="380"/>
    <n v="916"/>
    <n v="245854"/>
    <n v="32"/>
    <n v="6753"/>
    <n v="369.06067863466728"/>
    <n v="1.1858545758462182"/>
    <m/>
    <m/>
    <m/>
    <m/>
    <m/>
  </r>
  <r>
    <x v="1"/>
    <x v="380"/>
    <n v="101"/>
    <n v="9459"/>
    <m/>
    <n v="18"/>
    <n v="292.70312296901102"/>
    <n v="1.0033003300330032"/>
    <m/>
    <m/>
    <m/>
    <m/>
    <m/>
  </r>
  <r>
    <x v="2"/>
    <x v="380"/>
    <n v="181"/>
    <n v="36506"/>
    <n v="3"/>
    <n v="903"/>
    <n v="151.17791756361967"/>
    <n v="0.95791688584955281"/>
    <m/>
    <m/>
    <m/>
    <m/>
    <m/>
  </r>
  <r>
    <x v="3"/>
    <x v="380"/>
    <n v="91"/>
    <n v="48568"/>
    <n v="1"/>
    <n v="813"/>
    <n v="196.28623217672543"/>
    <n v="0.79359895493141741"/>
    <m/>
    <m/>
    <m/>
    <m/>
    <m/>
  </r>
  <r>
    <x v="6"/>
    <x v="380"/>
    <n v="318"/>
    <n v="25779"/>
    <n v="6"/>
    <n v="312"/>
    <n v="273.91124740252729"/>
    <n v="1.4339093881363849"/>
    <m/>
    <m/>
    <m/>
    <m/>
    <m/>
  </r>
  <r>
    <x v="5"/>
    <x v="380"/>
    <n v="709"/>
    <n v="170561"/>
    <n v="5"/>
    <n v="2957"/>
    <n v="215.85182624419951"/>
    <n v="0.93459988485895218"/>
    <m/>
    <m/>
    <m/>
    <m/>
    <m/>
  </r>
  <r>
    <x v="7"/>
    <x v="380"/>
    <n v="211"/>
    <n v="47607"/>
    <n v="2"/>
    <n v="920"/>
    <n v="136.43962564603189"/>
    <n v="1.076879271070615"/>
    <m/>
    <m/>
    <m/>
    <m/>
    <m/>
  </r>
  <r>
    <x v="8"/>
    <x v="380"/>
    <n v="13"/>
    <n v="1660"/>
    <m/>
    <n v="23"/>
    <n v="57.998027075660161"/>
    <n v="1.3048327137546469"/>
    <m/>
    <m/>
    <m/>
    <m/>
    <m/>
  </r>
  <r>
    <x v="9"/>
    <x v="380"/>
    <n v="52"/>
    <n v="21890"/>
    <m/>
    <n v="937"/>
    <n v="106.50152228424362"/>
    <n v="0.71640488656195467"/>
    <m/>
    <m/>
    <m/>
    <m/>
    <m/>
  </r>
  <r>
    <x v="10"/>
    <x v="380"/>
    <n v="83"/>
    <n v="20311"/>
    <m/>
    <n v="308"/>
    <n v="350.69804814356019"/>
    <n v="1.1293800539083558"/>
    <m/>
    <m/>
    <m/>
    <m/>
    <m/>
  </r>
  <r>
    <x v="11"/>
    <x v="380"/>
    <n v="53"/>
    <n v="10620"/>
    <m/>
    <n v="447"/>
    <n v="79.790410412394451"/>
    <n v="0.86980609418282551"/>
    <m/>
    <m/>
    <m/>
    <m/>
    <m/>
  </r>
  <r>
    <x v="12"/>
    <x v="380"/>
    <n v="218"/>
    <n v="70025"/>
    <n v="2"/>
    <n v="1486"/>
    <n v="107.46918362609767"/>
    <n v="1.1512378902045211"/>
    <m/>
    <m/>
    <m/>
    <m/>
    <m/>
  </r>
  <r>
    <x v="13"/>
    <x v="380"/>
    <n v="132"/>
    <n v="10462"/>
    <n v="2"/>
    <n v="178"/>
    <n v="132.16585506630494"/>
    <n v="1.0201958384332925"/>
    <m/>
    <m/>
    <m/>
    <m/>
    <m/>
  </r>
  <r>
    <x v="14"/>
    <x v="380"/>
    <n v="157"/>
    <n v="63750"/>
    <n v="1"/>
    <n v="967"/>
    <n v="280.24702698714117"/>
    <n v="0.76052308949734371"/>
    <m/>
    <m/>
    <m/>
    <m/>
    <m/>
  </r>
  <r>
    <x v="15"/>
    <x v="380"/>
    <n v="119"/>
    <n v="54225"/>
    <n v="1"/>
    <n v="1250"/>
    <n v="180.70919329596981"/>
    <n v="0.79237536656891494"/>
    <m/>
    <m/>
    <m/>
    <m/>
    <m/>
  </r>
  <r>
    <x v="16"/>
    <x v="380"/>
    <n v="145"/>
    <n v="28089"/>
    <n v="1"/>
    <n v="1153"/>
    <n v="103.90361675853011"/>
    <n v="0.93375394321766558"/>
    <m/>
    <m/>
    <m/>
    <m/>
    <m/>
  </r>
  <r>
    <x v="17"/>
    <x v="380"/>
    <n v="87"/>
    <n v="16178"/>
    <m/>
    <n v="219"/>
    <n v="92.291898409788828"/>
    <n v="1.1336477987421383"/>
    <m/>
    <m/>
    <m/>
    <m/>
    <m/>
  </r>
  <r>
    <x v="18"/>
    <x v="380"/>
    <n v="12"/>
    <n v="21536"/>
    <n v="4"/>
    <n v="366"/>
    <n v="145.57529783919045"/>
    <n v="1.3405797101449275"/>
    <m/>
    <m/>
    <m/>
    <m/>
    <m/>
  </r>
  <r>
    <x v="19"/>
    <x v="380"/>
    <n v="145"/>
    <n v="37861"/>
    <n v="5"/>
    <n v="618"/>
    <n v="391.03303818998194"/>
    <n v="0.91257179323548177"/>
    <m/>
    <m/>
    <m/>
    <m/>
    <m/>
  </r>
  <r>
    <x v="20"/>
    <x v="380"/>
    <n v="486"/>
    <n v="224312"/>
    <n v="15"/>
    <n v="4194"/>
    <n v="173.67856401590535"/>
    <n v="1.1809267448567584"/>
    <m/>
    <m/>
    <m/>
    <m/>
    <m/>
  </r>
  <r>
    <x v="21"/>
    <x v="380"/>
    <n v="110"/>
    <n v="23825"/>
    <m/>
    <n v="276"/>
    <n v="97.923670645284275"/>
    <n v="1.1473053892215568"/>
    <m/>
    <m/>
    <m/>
    <m/>
    <m/>
  </r>
  <r>
    <x v="22"/>
    <x v="380"/>
    <n v="50"/>
    <n v="23499"/>
    <m/>
    <n v="358"/>
    <n v="236.3852287507776"/>
    <n v="0.84104627766599593"/>
    <m/>
    <m/>
    <m/>
    <m/>
    <m/>
  </r>
  <r>
    <x v="23"/>
    <x v="380"/>
    <n v="356"/>
    <n v="83325"/>
    <m/>
    <n v="1492"/>
    <n v="169.41491370520035"/>
    <n v="1.4276479363500747"/>
    <m/>
    <m/>
    <m/>
    <m/>
    <m/>
  </r>
  <r>
    <x v="0"/>
    <x v="381"/>
    <n v="3542"/>
    <n v="934393"/>
    <n v="32"/>
    <n v="27473"/>
    <n v="225.96021547287032"/>
    <n v="1.0742045639330045"/>
    <m/>
    <m/>
    <m/>
    <m/>
    <m/>
  </r>
  <r>
    <x v="4"/>
    <x v="381"/>
    <n v="884"/>
    <n v="246738"/>
    <n v="8"/>
    <n v="6761"/>
    <n v="369.74346202391303"/>
    <n v="1.1860659157279934"/>
    <m/>
    <m/>
    <m/>
    <m/>
    <m/>
  </r>
  <r>
    <x v="1"/>
    <x v="381"/>
    <n v="116"/>
    <n v="9575"/>
    <m/>
    <n v="18"/>
    <n v="292.46241316393781"/>
    <n v="0.98700243704305446"/>
    <m/>
    <m/>
    <m/>
    <m/>
    <m/>
  </r>
  <r>
    <x v="2"/>
    <x v="381"/>
    <n v="166"/>
    <n v="36672"/>
    <n v="1"/>
    <n v="904"/>
    <n v="150.67980251398666"/>
    <n v="0.95125786163522008"/>
    <m/>
    <m/>
    <m/>
    <m/>
    <m/>
  </r>
  <r>
    <x v="3"/>
    <x v="381"/>
    <n v="127"/>
    <n v="48695"/>
    <n v="2"/>
    <n v="815"/>
    <n v="199.35572881158782"/>
    <n v="0.84404924760601918"/>
    <m/>
    <m/>
    <m/>
    <m/>
    <m/>
  </r>
  <r>
    <x v="6"/>
    <x v="381"/>
    <n v="357"/>
    <n v="26136"/>
    <n v="5"/>
    <n v="317"/>
    <n v="291.93407215018544"/>
    <n v="1.504367816091954"/>
    <m/>
    <m/>
    <m/>
    <m/>
    <m/>
  </r>
  <r>
    <x v="5"/>
    <x v="381"/>
    <n v="683"/>
    <n v="171244"/>
    <n v="9"/>
    <n v="2966"/>
    <n v="214.65516095148189"/>
    <n v="0.93991616208663253"/>
    <m/>
    <m/>
    <m/>
    <m/>
    <m/>
  </r>
  <r>
    <x v="7"/>
    <x v="381"/>
    <n v="241"/>
    <n v="47848"/>
    <n v="3"/>
    <n v="923"/>
    <n v="145.17003003692022"/>
    <n v="1.1690877396862289"/>
    <m/>
    <m/>
    <m/>
    <m/>
    <m/>
  </r>
  <r>
    <x v="8"/>
    <x v="381"/>
    <n v="25"/>
    <n v="1685"/>
    <n v="2"/>
    <n v="25"/>
    <n v="57.502317442534867"/>
    <n v="1.2428571428571429"/>
    <m/>
    <m/>
    <m/>
    <m/>
    <m/>
  </r>
  <r>
    <x v="9"/>
    <x v="381"/>
    <n v="51"/>
    <n v="21941"/>
    <n v="4"/>
    <n v="941"/>
    <n v="102.73959275166983"/>
    <n v="0.67404255319148931"/>
    <m/>
    <m/>
    <m/>
    <m/>
    <m/>
  </r>
  <r>
    <x v="10"/>
    <x v="381"/>
    <n v="68"/>
    <n v="20379"/>
    <n v="1"/>
    <n v="309"/>
    <n v="338.980213599384"/>
    <n v="1.0537727666955767"/>
    <m/>
    <m/>
    <m/>
    <m/>
    <m/>
  </r>
  <r>
    <x v="11"/>
    <x v="381"/>
    <n v="26"/>
    <n v="10646"/>
    <m/>
    <n v="447"/>
    <n v="80.552739174296306"/>
    <n v="0.90313390313390318"/>
    <m/>
    <m/>
    <m/>
    <m/>
    <m/>
  </r>
  <r>
    <x v="12"/>
    <x v="381"/>
    <n v="213"/>
    <n v="70238"/>
    <m/>
    <n v="1486"/>
    <n v="110.08180520092566"/>
    <n v="1.1654255319148936"/>
    <m/>
    <m/>
    <m/>
    <m/>
    <m/>
  </r>
  <r>
    <x v="13"/>
    <x v="381"/>
    <n v="119"/>
    <n v="10581"/>
    <n v="5"/>
    <n v="183"/>
    <n v="132.87940797308161"/>
    <n v="1.0219512195121951"/>
    <m/>
    <m/>
    <m/>
    <m/>
    <m/>
  </r>
  <r>
    <x v="14"/>
    <x v="381"/>
    <n v="159"/>
    <n v="63909"/>
    <n v="2"/>
    <n v="969"/>
    <n v="276.78346888896584"/>
    <n v="0.77651035065483731"/>
    <m/>
    <m/>
    <m/>
    <m/>
    <m/>
  </r>
  <r>
    <x v="15"/>
    <x v="381"/>
    <n v="70"/>
    <n v="54295"/>
    <n v="2"/>
    <n v="1252"/>
    <n v="169.0721097898637"/>
    <n v="0.73275362318840576"/>
    <m/>
    <m/>
    <m/>
    <m/>
    <m/>
  </r>
  <r>
    <x v="16"/>
    <x v="381"/>
    <n v="60"/>
    <n v="28149"/>
    <n v="7"/>
    <n v="1160"/>
    <n v="95.970435208723401"/>
    <n v="0.8511830635118306"/>
    <m/>
    <m/>
    <m/>
    <m/>
    <m/>
  </r>
  <r>
    <x v="17"/>
    <x v="381"/>
    <n v="92"/>
    <n v="16270"/>
    <n v="2"/>
    <n v="221"/>
    <n v="96.132060618240516"/>
    <n v="1.1939586645468998"/>
    <m/>
    <m/>
    <m/>
    <m/>
    <m/>
  </r>
  <r>
    <x v="18"/>
    <x v="381"/>
    <n v="15"/>
    <n v="21551"/>
    <n v="12"/>
    <n v="378"/>
    <n v="147.5425315937741"/>
    <n v="1.3686131386861313"/>
    <m/>
    <m/>
    <m/>
    <m/>
    <m/>
  </r>
  <r>
    <x v="19"/>
    <x v="381"/>
    <n v="133"/>
    <n v="37994"/>
    <n v="4"/>
    <n v="622"/>
    <n v="386.38439368003105"/>
    <n v="0.89487017099430022"/>
    <m/>
    <m/>
    <m/>
    <m/>
    <m/>
  </r>
  <r>
    <x v="20"/>
    <x v="381"/>
    <n v="522"/>
    <n v="224834"/>
    <n v="5"/>
    <n v="4199"/>
    <n v="173.53717801458993"/>
    <n v="1.1754453169890826"/>
    <m/>
    <m/>
    <m/>
    <m/>
    <m/>
  </r>
  <r>
    <x v="21"/>
    <x v="381"/>
    <n v="114"/>
    <n v="23939"/>
    <n v="1"/>
    <n v="277"/>
    <n v="100.27465647497273"/>
    <n v="1.125"/>
    <m/>
    <m/>
    <m/>
    <m/>
    <m/>
  </r>
  <r>
    <x v="22"/>
    <x v="381"/>
    <n v="38"/>
    <n v="23537"/>
    <m/>
    <n v="358"/>
    <n v="230.73007973760107"/>
    <n v="0.82258064516129037"/>
    <m/>
    <m/>
    <m/>
    <m/>
    <m/>
  </r>
  <r>
    <x v="23"/>
    <x v="381"/>
    <n v="339"/>
    <n v="83664"/>
    <n v="6"/>
    <n v="1498"/>
    <n v="176.02392461950978"/>
    <n v="1.4341346153846153"/>
    <m/>
    <m/>
    <m/>
    <m/>
    <m/>
  </r>
  <r>
    <x v="0"/>
    <x v="382"/>
    <n v="3182"/>
    <n v="937575"/>
    <n v="12"/>
    <n v="27485"/>
    <n v="231.4729697458107"/>
    <n v="1.1092806600551868"/>
    <m/>
    <m/>
    <m/>
    <m/>
    <m/>
  </r>
  <r>
    <x v="4"/>
    <x v="382"/>
    <n v="842"/>
    <n v="247580"/>
    <n v="1"/>
    <n v="6762"/>
    <n v="375.95353951657637"/>
    <n v="1.1991081613605725"/>
    <m/>
    <m/>
    <m/>
    <m/>
    <m/>
  </r>
  <r>
    <x v="1"/>
    <x v="382"/>
    <n v="73"/>
    <n v="9648"/>
    <m/>
    <n v="18"/>
    <n v="298.96157790091422"/>
    <n v="1.0138775510204081"/>
    <m/>
    <m/>
    <m/>
    <m/>
    <m/>
  </r>
  <r>
    <x v="2"/>
    <x v="382"/>
    <n v="170"/>
    <n v="36842"/>
    <n v="2"/>
    <n v="906"/>
    <n v="154.66472291105077"/>
    <n v="1.0048543689320388"/>
    <m/>
    <m/>
    <m/>
    <m/>
    <m/>
  </r>
  <r>
    <x v="3"/>
    <x v="382"/>
    <n v="35"/>
    <n v="48730"/>
    <n v="1"/>
    <n v="816"/>
    <n v="198.38641408478921"/>
    <n v="0.84865238424326195"/>
    <m/>
    <m/>
    <m/>
    <m/>
    <m/>
  </r>
  <r>
    <x v="6"/>
    <x v="382"/>
    <n v="235"/>
    <n v="26371"/>
    <m/>
    <n v="317"/>
    <n v="297.10894262228533"/>
    <n v="1.4952851369555455"/>
    <m/>
    <m/>
    <m/>
    <m/>
    <m/>
  </r>
  <r>
    <x v="5"/>
    <x v="382"/>
    <n v="550"/>
    <n v="171794"/>
    <n v="2"/>
    <n v="2968"/>
    <n v="218.32493451581593"/>
    <n v="0.97633487929599239"/>
    <m/>
    <m/>
    <m/>
    <m/>
    <m/>
  </r>
  <r>
    <x v="7"/>
    <x v="382"/>
    <n v="150"/>
    <n v="47998"/>
    <m/>
    <n v="923"/>
    <n v="148.705483054718"/>
    <n v="1.2080890973036342"/>
    <m/>
    <m/>
    <m/>
    <m/>
    <m/>
  </r>
  <r>
    <x v="8"/>
    <x v="382"/>
    <n v="4"/>
    <n v="1689"/>
    <m/>
    <n v="25"/>
    <n v="57.667553986909965"/>
    <n v="1.2925925925925925"/>
    <m/>
    <m/>
    <m/>
    <m/>
    <m/>
  </r>
  <r>
    <x v="9"/>
    <x v="382"/>
    <n v="32"/>
    <n v="21973"/>
    <n v="5"/>
    <n v="946"/>
    <n v="99.626271759194992"/>
    <n v="0.66036113499570082"/>
    <m/>
    <m/>
    <m/>
    <m/>
    <m/>
  </r>
  <r>
    <x v="10"/>
    <x v="382"/>
    <n v="64"/>
    <n v="20443"/>
    <m/>
    <n v="309"/>
    <n v="347.35009541665272"/>
    <n v="1.1047027506654836"/>
    <m/>
    <m/>
    <m/>
    <m/>
    <m/>
  </r>
  <r>
    <x v="11"/>
    <x v="382"/>
    <n v="27"/>
    <n v="10673"/>
    <m/>
    <n v="447"/>
    <n v="81.823287110799399"/>
    <n v="0.90196078431372551"/>
    <m/>
    <m/>
    <m/>
    <m/>
    <m/>
  </r>
  <r>
    <x v="12"/>
    <x v="382"/>
    <n v="140"/>
    <n v="70378"/>
    <m/>
    <n v="1486"/>
    <n v="110.88568876241121"/>
    <n v="1.1758124667021843"/>
    <m/>
    <m/>
    <m/>
    <m/>
    <m/>
  </r>
  <r>
    <x v="13"/>
    <x v="382"/>
    <n v="93"/>
    <n v="10674"/>
    <m/>
    <n v="183"/>
    <n v="131.6901531284538"/>
    <n v="1.0078883495145632"/>
    <m/>
    <m/>
    <m/>
    <m/>
    <m/>
  </r>
  <r>
    <x v="14"/>
    <x v="382"/>
    <n v="88"/>
    <n v="63997"/>
    <n v="1"/>
    <n v="970"/>
    <n v="276.33170044137779"/>
    <n v="0.79921602787456447"/>
    <m/>
    <m/>
    <m/>
    <m/>
    <m/>
  </r>
  <r>
    <x v="15"/>
    <x v="382"/>
    <n v="83"/>
    <n v="54378"/>
    <n v="2"/>
    <n v="1254"/>
    <n v="170.67722475622315"/>
    <n v="0.74315666860803731"/>
    <m/>
    <m/>
    <m/>
    <m/>
    <m/>
  </r>
  <r>
    <x v="16"/>
    <x v="382"/>
    <n v="115"/>
    <n v="28264"/>
    <n v="15"/>
    <n v="1175"/>
    <n v="99.691307971022113"/>
    <n v="0.9329829172141918"/>
    <m/>
    <m/>
    <m/>
    <m/>
    <m/>
  </r>
  <r>
    <x v="17"/>
    <x v="382"/>
    <n v="41"/>
    <n v="16311"/>
    <m/>
    <n v="221"/>
    <n v="100.74025526838253"/>
    <n v="1.294407894736842"/>
    <m/>
    <m/>
    <m/>
    <m/>
    <m/>
  </r>
  <r>
    <x v="18"/>
    <x v="382"/>
    <n v="1"/>
    <n v="21552"/>
    <m/>
    <n v="378"/>
    <n v="147.5425315937741"/>
    <n v="2.6315789473684212"/>
    <m/>
    <m/>
    <m/>
    <m/>
    <m/>
  </r>
  <r>
    <x v="19"/>
    <x v="382"/>
    <n v="150"/>
    <n v="38144"/>
    <n v="1"/>
    <n v="623"/>
    <n v="418.9249052496869"/>
    <n v="1.0186170212765957"/>
    <m/>
    <m/>
    <m/>
    <m/>
    <m/>
  </r>
  <r>
    <x v="20"/>
    <x v="382"/>
    <n v="402"/>
    <n v="225236"/>
    <m/>
    <n v="4199"/>
    <n v="175.37519603169082"/>
    <n v="1.1968351987649557"/>
    <m/>
    <m/>
    <m/>
    <m/>
    <m/>
  </r>
  <r>
    <x v="21"/>
    <x v="382"/>
    <n v="95"/>
    <n v="24034"/>
    <m/>
    <n v="277"/>
    <n v="104.4655442583304"/>
    <n v="1.1720183486238531"/>
    <m/>
    <m/>
    <m/>
    <m/>
    <m/>
  </r>
  <r>
    <x v="22"/>
    <x v="382"/>
    <n v="26"/>
    <n v="23563"/>
    <m/>
    <n v="358"/>
    <n v="239.77831815868348"/>
    <n v="0.89640591966173366"/>
    <m/>
    <m/>
    <m/>
    <m/>
    <m/>
  </r>
  <r>
    <x v="23"/>
    <x v="382"/>
    <n v="228"/>
    <n v="83892"/>
    <m/>
    <n v="1498"/>
    <n v="184.40320631443785"/>
    <n v="1.5067502410800386"/>
    <m/>
    <m/>
    <m/>
    <m/>
    <m/>
  </r>
  <r>
    <x v="0"/>
    <x v="383"/>
    <n v="1657"/>
    <n v="939232"/>
    <n v="12"/>
    <n v="27497"/>
    <n v="235.27545899095162"/>
    <n v="1.1435300637295649"/>
    <m/>
    <m/>
    <m/>
    <m/>
    <m/>
  </r>
  <r>
    <x v="4"/>
    <x v="383"/>
    <n v="623"/>
    <n v="248203"/>
    <n v="3"/>
    <n v="6765"/>
    <n v="382.26115749341761"/>
    <n v="1.2094434728937351"/>
    <m/>
    <m/>
    <m/>
    <m/>
    <m/>
  </r>
  <r>
    <x v="1"/>
    <x v="383"/>
    <n v="52"/>
    <n v="9700"/>
    <m/>
    <n v="18"/>
    <n v="300.40583673135342"/>
    <n v="1.0749354005167959"/>
    <m/>
    <m/>
    <m/>
    <m/>
    <m/>
  </r>
  <r>
    <x v="2"/>
    <x v="383"/>
    <n v="120"/>
    <n v="36962"/>
    <n v="1"/>
    <n v="907"/>
    <n v="157.65341320884886"/>
    <n v="1.0226171243941842"/>
    <m/>
    <m/>
    <m/>
    <m/>
    <m/>
  </r>
  <r>
    <x v="3"/>
    <x v="383"/>
    <n v="17"/>
    <n v="48747"/>
    <m/>
    <n v="816"/>
    <n v="194.34760272312818"/>
    <n v="0.82794218857536128"/>
    <m/>
    <m/>
    <m/>
    <m/>
    <m/>
  </r>
  <r>
    <x v="6"/>
    <x v="383"/>
    <n v="96"/>
    <n v="26467"/>
    <m/>
    <n v="317"/>
    <n v="293.27240072055611"/>
    <n v="1.4806306306306307"/>
    <m/>
    <m/>
    <m/>
    <m/>
    <m/>
  </r>
  <r>
    <x v="5"/>
    <x v="383"/>
    <n v="405"/>
    <n v="172199"/>
    <n v="1"/>
    <n v="2969"/>
    <n v="222.2872262628143"/>
    <n v="1.0112509073312363"/>
    <m/>
    <m/>
    <m/>
    <m/>
    <m/>
  </r>
  <r>
    <x v="7"/>
    <x v="383"/>
    <n v="127"/>
    <n v="48125"/>
    <n v="3"/>
    <n v="926"/>
    <n v="153.82828232540453"/>
    <n v="1.2728358208955224"/>
    <m/>
    <m/>
    <m/>
    <m/>
    <m/>
  </r>
  <r>
    <x v="8"/>
    <x v="383"/>
    <n v="6"/>
    <n v="1695"/>
    <m/>
    <n v="25"/>
    <n v="54.032350010657758"/>
    <n v="1.1314878892733564"/>
    <m/>
    <m/>
    <m/>
    <m/>
    <m/>
  </r>
  <r>
    <x v="9"/>
    <x v="383"/>
    <n v="51"/>
    <n v="22024"/>
    <m/>
    <n v="946"/>
    <n v="98.977663219096073"/>
    <n v="0.6657940663176265"/>
    <m/>
    <m/>
    <m/>
    <m/>
    <m/>
  </r>
  <r>
    <x v="10"/>
    <x v="383"/>
    <n v="46"/>
    <n v="20489"/>
    <m/>
    <n v="309"/>
    <n v="348.18708359837956"/>
    <n v="1.0842745438748913"/>
    <m/>
    <m/>
    <m/>
    <m/>
    <m/>
  </r>
  <r>
    <x v="11"/>
    <x v="383"/>
    <n v="21"/>
    <n v="10694"/>
    <m/>
    <n v="447"/>
    <n v="84.110273396504979"/>
    <n v="0.96220930232558144"/>
    <m/>
    <m/>
    <m/>
    <m/>
    <m/>
  </r>
  <r>
    <x v="12"/>
    <x v="383"/>
    <n v="73"/>
    <n v="70451"/>
    <m/>
    <n v="1486"/>
    <n v="111.73981504648958"/>
    <n v="1.174234424498416"/>
    <m/>
    <m/>
    <m/>
    <m/>
    <m/>
  </r>
  <r>
    <x v="13"/>
    <x v="383"/>
    <n v="121"/>
    <n v="10795"/>
    <m/>
    <n v="183"/>
    <n v="132.64155700415606"/>
    <n v="1.0201219512195121"/>
    <m/>
    <m/>
    <m/>
    <m/>
    <m/>
  </r>
  <r>
    <x v="14"/>
    <x v="383"/>
    <n v="60"/>
    <n v="64057"/>
    <n v="6"/>
    <n v="976"/>
    <n v="265.33866821673439"/>
    <n v="0.76178123648940765"/>
    <m/>
    <m/>
    <m/>
    <m/>
    <m/>
  </r>
  <r>
    <x v="15"/>
    <x v="383"/>
    <n v="23"/>
    <n v="54401"/>
    <n v="1"/>
    <n v="1255"/>
    <n v="171.88106098099277"/>
    <n v="0.77316486161251508"/>
    <m/>
    <m/>
    <m/>
    <m/>
    <m/>
  </r>
  <r>
    <x v="16"/>
    <x v="383"/>
    <n v="42"/>
    <n v="28306"/>
    <m/>
    <n v="1175"/>
    <n v="101.44643663248377"/>
    <n v="0.99244505494505497"/>
    <m/>
    <m/>
    <m/>
    <m/>
    <m/>
  </r>
  <r>
    <x v="17"/>
    <x v="383"/>
    <n v="4"/>
    <n v="16315"/>
    <m/>
    <n v="221"/>
    <n v="99.972222826692203"/>
    <n v="1.269918699186992"/>
    <m/>
    <m/>
    <m/>
    <m/>
    <m/>
  </r>
  <r>
    <x v="18"/>
    <x v="383"/>
    <n v="0"/>
    <n v="21552"/>
    <m/>
    <n v="378"/>
    <n v="147.5425315937741"/>
    <n v="2.6501766784452299"/>
    <m/>
    <m/>
    <m/>
    <m/>
    <m/>
  </r>
  <r>
    <x v="19"/>
    <x v="383"/>
    <n v="46"/>
    <n v="38190"/>
    <m/>
    <n v="623"/>
    <n v="417.55765686440725"/>
    <n v="1.0359565807327"/>
    <m/>
    <m/>
    <m/>
    <m/>
    <m/>
  </r>
  <r>
    <x v="20"/>
    <x v="383"/>
    <n v="243"/>
    <n v="225479"/>
    <n v="1"/>
    <n v="4200"/>
    <n v="175.77107683537412"/>
    <n v="1.1942363112391932"/>
    <m/>
    <m/>
    <m/>
    <m/>
    <m/>
  </r>
  <r>
    <x v="21"/>
    <x v="383"/>
    <n v="70"/>
    <n v="24104"/>
    <m/>
    <n v="277"/>
    <n v="108.86086559209578"/>
    <n v="1.2412587412587412"/>
    <m/>
    <m/>
    <m/>
    <m/>
    <m/>
  </r>
  <r>
    <x v="22"/>
    <x v="383"/>
    <n v="23"/>
    <n v="23586"/>
    <m/>
    <n v="358"/>
    <n v="231.86110954023638"/>
    <n v="0.87234042553191493"/>
    <m/>
    <m/>
    <m/>
    <m/>
    <m/>
  </r>
  <r>
    <x v="23"/>
    <x v="383"/>
    <n v="106"/>
    <n v="83998"/>
    <m/>
    <n v="1498"/>
    <n v="187.23563956342761"/>
    <n v="1.5410393394851869"/>
    <m/>
    <m/>
    <m/>
    <m/>
    <m/>
  </r>
  <r>
    <x v="0"/>
    <x v="384"/>
    <n v="2627"/>
    <n v="941859"/>
    <n v="35"/>
    <n v="27532"/>
    <n v="238.90122084988656"/>
    <n v="1.1614101213901669"/>
    <m/>
    <m/>
    <m/>
    <m/>
    <m/>
  </r>
  <r>
    <x v="4"/>
    <x v="384"/>
    <n v="895"/>
    <n v="249098"/>
    <n v="30"/>
    <n v="6795"/>
    <n v="388.82888342806683"/>
    <n v="1.2471582021065803"/>
    <m/>
    <m/>
    <m/>
    <m/>
    <m/>
  </r>
  <r>
    <x v="1"/>
    <x v="384"/>
    <n v="61"/>
    <n v="9761"/>
    <m/>
    <n v="18"/>
    <n v="297.03589946032861"/>
    <n v="1.0721112076455257"/>
    <m/>
    <m/>
    <m/>
    <m/>
    <m/>
  </r>
  <r>
    <x v="2"/>
    <x v="384"/>
    <n v="98"/>
    <n v="37060"/>
    <n v="3"/>
    <n v="910"/>
    <n v="155.9100105351333"/>
    <n v="1.0140388768898487"/>
    <m/>
    <m/>
    <m/>
    <m/>
    <m/>
  </r>
  <r>
    <x v="3"/>
    <x v="384"/>
    <n v="115"/>
    <n v="48862"/>
    <m/>
    <n v="816"/>
    <n v="201.77901562858443"/>
    <n v="0.90441708906589424"/>
    <m/>
    <m/>
    <m/>
    <m/>
    <m/>
  </r>
  <r>
    <x v="6"/>
    <x v="384"/>
    <n v="179"/>
    <n v="26646"/>
    <m/>
    <n v="317"/>
    <n v="291.57718453141996"/>
    <n v="1.4358523725834798"/>
    <m/>
    <m/>
    <m/>
    <m/>
    <m/>
  </r>
  <r>
    <x v="5"/>
    <x v="384"/>
    <n v="612"/>
    <n v="172811"/>
    <n v="7"/>
    <n v="2976"/>
    <n v="225.47833371006129"/>
    <n v="1.0147199617041647"/>
    <m/>
    <m/>
    <m/>
    <m/>
    <m/>
  </r>
  <r>
    <x v="7"/>
    <x v="384"/>
    <n v="173"/>
    <n v="48298"/>
    <n v="9"/>
    <n v="935"/>
    <n v="160.1776673369597"/>
    <n v="1.3454545454545455"/>
    <m/>
    <m/>
    <m/>
    <m/>
    <m/>
  </r>
  <r>
    <x v="8"/>
    <x v="384"/>
    <n v="22"/>
    <n v="1717"/>
    <n v="1"/>
    <n v="26"/>
    <n v="53.701876921907562"/>
    <n v="1.26953125"/>
    <m/>
    <m/>
    <m/>
    <m/>
    <m/>
  </r>
  <r>
    <x v="9"/>
    <x v="384"/>
    <n v="17"/>
    <n v="22041"/>
    <n v="2"/>
    <n v="948"/>
    <n v="96.642672474739939"/>
    <n v="0.6575463371579876"/>
    <m/>
    <m/>
    <m/>
    <m/>
    <m/>
  </r>
  <r>
    <x v="10"/>
    <x v="384"/>
    <n v="67"/>
    <n v="20556"/>
    <n v="1"/>
    <n v="310"/>
    <n v="347.62909147722837"/>
    <n v="1.0844212358572671"/>
    <m/>
    <m/>
    <m/>
    <m/>
    <m/>
  </r>
  <r>
    <x v="11"/>
    <x v="384"/>
    <n v="16"/>
    <n v="10710"/>
    <n v="1"/>
    <n v="448"/>
    <n v="83.856163809204361"/>
    <n v="0.99099099099099097"/>
    <m/>
    <m/>
    <m/>
    <m/>
    <m/>
  </r>
  <r>
    <x v="12"/>
    <x v="384"/>
    <n v="123"/>
    <n v="70574"/>
    <n v="2"/>
    <n v="1488"/>
    <n v="111.48860143352535"/>
    <n v="1.1414609053497942"/>
    <m/>
    <m/>
    <m/>
    <m/>
    <m/>
  </r>
  <r>
    <x v="13"/>
    <x v="384"/>
    <n v="107"/>
    <n v="10902"/>
    <n v="5"/>
    <n v="188"/>
    <n v="132.48298969153902"/>
    <n v="1.0302096177558571"/>
    <m/>
    <m/>
    <m/>
    <m/>
    <m/>
  </r>
  <r>
    <x v="14"/>
    <x v="384"/>
    <n v="138"/>
    <n v="64195"/>
    <n v="3"/>
    <n v="979"/>
    <n v="266.84456304202797"/>
    <n v="0.79426266248319144"/>
    <m/>
    <m/>
    <m/>
    <m/>
    <m/>
  </r>
  <r>
    <x v="15"/>
    <x v="384"/>
    <n v="100"/>
    <n v="54501"/>
    <n v="2"/>
    <n v="1257"/>
    <n v="170.40970559516325"/>
    <n v="0.77025392986698915"/>
    <m/>
    <m/>
    <m/>
    <m/>
    <m/>
  </r>
  <r>
    <x v="16"/>
    <x v="384"/>
    <n v="89"/>
    <n v="28395"/>
    <n v="11"/>
    <n v="1186"/>
    <n v="104.67587336957322"/>
    <n v="1.0463157894736843"/>
    <m/>
    <m/>
    <m/>
    <m/>
    <m/>
  </r>
  <r>
    <x v="17"/>
    <x v="384"/>
    <n v="76"/>
    <n v="16391"/>
    <n v="1"/>
    <n v="222"/>
    <n v="99.716212012795424"/>
    <n v="1.252411575562701"/>
    <m/>
    <m/>
    <m/>
    <m/>
    <m/>
  </r>
  <r>
    <x v="18"/>
    <x v="384"/>
    <n v="1"/>
    <n v="21553"/>
    <n v="4"/>
    <n v="382"/>
    <n v="147.14908484285738"/>
    <n v="2.8441064638783269"/>
    <m/>
    <m/>
    <m/>
    <m/>
    <m/>
  </r>
  <r>
    <x v="19"/>
    <x v="384"/>
    <n v="98"/>
    <n v="38288"/>
    <n v="1"/>
    <n v="624"/>
    <n v="418.65145557263094"/>
    <n v="1.0602493074792243"/>
    <m/>
    <m/>
    <m/>
    <m/>
    <m/>
  </r>
  <r>
    <x v="20"/>
    <x v="384"/>
    <n v="436"/>
    <n v="225915"/>
    <n v="5"/>
    <n v="4205"/>
    <n v="179.92782527404847"/>
    <n v="1.2321843532145624"/>
    <m/>
    <m/>
    <m/>
    <m/>
    <m/>
  </r>
  <r>
    <x v="21"/>
    <x v="384"/>
    <n v="78"/>
    <n v="24182"/>
    <n v="1"/>
    <n v="278"/>
    <n v="112.33623594902654"/>
    <n v="1.2690531177829099"/>
    <m/>
    <m/>
    <m/>
    <m/>
    <m/>
  </r>
  <r>
    <x v="22"/>
    <x v="384"/>
    <n v="34"/>
    <n v="23620"/>
    <m/>
    <n v="358"/>
    <n v="231.86110954023638"/>
    <n v="0.88744588744588748"/>
    <m/>
    <m/>
    <m/>
    <m/>
    <m/>
  </r>
  <r>
    <x v="23"/>
    <x v="384"/>
    <n v="239"/>
    <n v="84237"/>
    <m/>
    <n v="1498"/>
    <n v="193.66762339967522"/>
    <n v="1.6104023552502453"/>
    <m/>
    <m/>
    <m/>
    <m/>
    <m/>
  </r>
  <r>
    <x v="0"/>
    <x v="385"/>
    <n v="4377"/>
    <n v="946236"/>
    <n v="60"/>
    <n v="27592"/>
    <n v="245.91900834729051"/>
    <n v="1.2041032798325191"/>
    <m/>
    <m/>
    <m/>
    <m/>
    <m/>
  </r>
  <r>
    <x v="4"/>
    <x v="385"/>
    <n v="1180"/>
    <n v="250278"/>
    <n v="11"/>
    <n v="6806"/>
    <n v="398.68047233004057"/>
    <n v="1.2722556547001453"/>
    <m/>
    <m/>
    <m/>
    <m/>
    <m/>
  </r>
  <r>
    <x v="1"/>
    <x v="385"/>
    <n v="83"/>
    <n v="9844"/>
    <m/>
    <n v="18"/>
    <n v="294.86951121466979"/>
    <n v="1.0372565622353938"/>
    <m/>
    <m/>
    <m/>
    <m/>
    <m/>
  </r>
  <r>
    <x v="2"/>
    <x v="385"/>
    <n v="135"/>
    <n v="37195"/>
    <n v="2"/>
    <n v="912"/>
    <n v="158.98172000787022"/>
    <n v="1.0886867538374077"/>
    <m/>
    <m/>
    <m/>
    <m/>
    <m/>
  </r>
  <r>
    <x v="3"/>
    <x v="385"/>
    <n v="156"/>
    <n v="49018"/>
    <n v="29"/>
    <n v="845"/>
    <n v="210.98750553317154"/>
    <n v="1"/>
    <m/>
    <m/>
    <m/>
    <m/>
    <m/>
  </r>
  <r>
    <x v="6"/>
    <x v="385"/>
    <n v="104"/>
    <n v="26750"/>
    <n v="1"/>
    <n v="318"/>
    <n v="278.90767406524441"/>
    <n v="1.2795742939009416"/>
    <m/>
    <m/>
    <m/>
    <m/>
    <m/>
  </r>
  <r>
    <x v="5"/>
    <x v="385"/>
    <n v="817"/>
    <n v="173628"/>
    <n v="8"/>
    <n v="2984"/>
    <n v="228.61625603318751"/>
    <n v="1.0448468643655811"/>
    <m/>
    <m/>
    <m/>
    <m/>
    <m/>
  </r>
  <r>
    <x v="7"/>
    <x v="385"/>
    <n v="179"/>
    <n v="48477"/>
    <n v="2"/>
    <n v="937"/>
    <n v="161.62070938504041"/>
    <n v="1.3453453453453454"/>
    <m/>
    <m/>
    <m/>
    <m/>
    <m/>
  </r>
  <r>
    <x v="8"/>
    <x v="385"/>
    <n v="32"/>
    <n v="1749"/>
    <n v="1"/>
    <n v="27"/>
    <n v="54.362823099407954"/>
    <n v="1.3055555555555556"/>
    <m/>
    <m/>
    <m/>
    <m/>
    <m/>
  </r>
  <r>
    <x v="9"/>
    <x v="385"/>
    <n v="50"/>
    <n v="22091"/>
    <n v="4"/>
    <n v="952"/>
    <n v="94.307681730383806"/>
    <n v="0.67190388170055448"/>
    <m/>
    <m/>
    <m/>
    <m/>
    <m/>
  </r>
  <r>
    <x v="10"/>
    <x v="385"/>
    <n v="94"/>
    <n v="20650"/>
    <n v="2"/>
    <n v="312"/>
    <n v="343.16515450801836"/>
    <n v="1.028428093645485"/>
    <m/>
    <m/>
    <m/>
    <m/>
    <m/>
  </r>
  <r>
    <x v="11"/>
    <x v="385"/>
    <n v="25"/>
    <n v="10735"/>
    <m/>
    <n v="448"/>
    <n v="86.651369269511179"/>
    <n v="1.0524691358024691"/>
    <m/>
    <m/>
    <m/>
    <m/>
    <m/>
  </r>
  <r>
    <x v="12"/>
    <x v="385"/>
    <n v="252"/>
    <n v="70826"/>
    <n v="3"/>
    <n v="1491"/>
    <n v="113.90025211798196"/>
    <n v="1.1239464551313831"/>
    <m/>
    <m/>
    <m/>
    <m/>
    <m/>
  </r>
  <r>
    <x v="13"/>
    <x v="385"/>
    <n v="124"/>
    <n v="11026"/>
    <n v="2"/>
    <n v="190"/>
    <n v="132.56227334784754"/>
    <n v="1.0226299694189602"/>
    <m/>
    <m/>
    <m/>
    <m/>
    <m/>
  </r>
  <r>
    <x v="14"/>
    <x v="385"/>
    <n v="143"/>
    <n v="64338"/>
    <n v="3"/>
    <n v="982"/>
    <n v="264.88689976914634"/>
    <n v="0.79954545454545456"/>
    <m/>
    <m/>
    <m/>
    <m/>
    <m/>
  </r>
  <r>
    <x v="15"/>
    <x v="385"/>
    <n v="116"/>
    <n v="54617"/>
    <n v="7"/>
    <n v="1264"/>
    <n v="167.19947566244431"/>
    <n v="0.76970443349753692"/>
    <m/>
    <m/>
    <m/>
    <m/>
    <m/>
  </r>
  <r>
    <x v="16"/>
    <x v="385"/>
    <n v="132"/>
    <n v="28527"/>
    <n v="8"/>
    <n v="1194"/>
    <n v="104.7460785160317"/>
    <n v="1.0233196159122084"/>
    <m/>
    <m/>
    <m/>
    <m/>
    <m/>
  </r>
  <r>
    <x v="17"/>
    <x v="385"/>
    <n v="92"/>
    <n v="16483"/>
    <m/>
    <n v="222"/>
    <n v="103.30036340735033"/>
    <n v="1.3121951219512196"/>
    <m/>
    <m/>
    <m/>
    <m/>
    <m/>
  </r>
  <r>
    <x v="18"/>
    <x v="385"/>
    <n v="1"/>
    <n v="21554"/>
    <n v="1"/>
    <n v="383"/>
    <n v="146.16546796556554"/>
    <n v="2.8798449612403099"/>
    <m/>
    <m/>
    <m/>
    <m/>
    <m/>
  </r>
  <r>
    <x v="19"/>
    <x v="385"/>
    <n v="120"/>
    <n v="38408"/>
    <m/>
    <n v="624"/>
    <n v="432.87083877953944"/>
    <n v="1.1347670250896058"/>
    <m/>
    <m/>
    <m/>
    <m/>
    <m/>
  </r>
  <r>
    <x v="20"/>
    <x v="385"/>
    <n v="656"/>
    <n v="226571"/>
    <n v="2"/>
    <n v="4207"/>
    <n v="183.9431877114074"/>
    <n v="1.2310749432248296"/>
    <m/>
    <m/>
    <m/>
    <m/>
    <m/>
  </r>
  <r>
    <x v="21"/>
    <x v="385"/>
    <n v="54"/>
    <n v="24236"/>
    <n v="4"/>
    <n v="282"/>
    <n v="113.56283725147269"/>
    <n v="1.3070588235294118"/>
    <m/>
    <m/>
    <m/>
    <m/>
    <m/>
  </r>
  <r>
    <x v="22"/>
    <x v="385"/>
    <n v="42"/>
    <n v="23662"/>
    <n v="3"/>
    <n v="361"/>
    <n v="238.08177345473052"/>
    <n v="0.94394618834080712"/>
    <m/>
    <m/>
    <m/>
    <m/>
    <m/>
  </r>
  <r>
    <x v="23"/>
    <x v="385"/>
    <n v="441"/>
    <n v="84678"/>
    <m/>
    <n v="1498"/>
    <n v="208.36087087880961"/>
    <n v="1.6878585086042066"/>
    <m/>
    <m/>
    <m/>
    <m/>
    <m/>
  </r>
  <r>
    <x v="0"/>
    <x v="386"/>
    <n v="3902"/>
    <n v="950138"/>
    <n v="102"/>
    <n v="27694"/>
    <n v="249.56187285650344"/>
    <n v="1.2300775542317635"/>
    <m/>
    <m/>
    <m/>
    <m/>
    <m/>
  </r>
  <r>
    <x v="4"/>
    <x v="386"/>
    <n v="904"/>
    <n v="251182"/>
    <n v="3"/>
    <n v="6809"/>
    <n v="397.70506748826102"/>
    <n v="1.2782944926324591"/>
    <m/>
    <m/>
    <m/>
    <m/>
    <m/>
  </r>
  <r>
    <x v="1"/>
    <x v="386"/>
    <n v="70"/>
    <n v="9914"/>
    <m/>
    <n v="18"/>
    <n v="294.62880140959663"/>
    <n v="1.0390492359932089"/>
    <m/>
    <m/>
    <m/>
    <m/>
    <m/>
  </r>
  <r>
    <x v="2"/>
    <x v="386"/>
    <n v="180"/>
    <n v="37375"/>
    <n v="2"/>
    <n v="914"/>
    <n v="162.38550618036248"/>
    <n v="1.1228473019517795"/>
    <m/>
    <m/>
    <m/>
    <m/>
    <m/>
  </r>
  <r>
    <x v="3"/>
    <x v="386"/>
    <n v="101"/>
    <n v="49119"/>
    <m/>
    <n v="845"/>
    <n v="211.95682025997021"/>
    <n v="1.0798353909465022"/>
    <m/>
    <m/>
    <m/>
    <m/>
    <m/>
  </r>
  <r>
    <x v="6"/>
    <x v="386"/>
    <n v="344"/>
    <n v="27094"/>
    <n v="1"/>
    <n v="319"/>
    <n v="279.79989311215814"/>
    <n v="1.1833962264150943"/>
    <m/>
    <m/>
    <m/>
    <m/>
    <m/>
  </r>
  <r>
    <x v="5"/>
    <x v="386"/>
    <n v="769"/>
    <n v="174397"/>
    <n v="6"/>
    <n v="2990"/>
    <n v="231.80736348043453"/>
    <n v="1.0681289057713514"/>
    <m/>
    <m/>
    <m/>
    <m/>
    <m/>
  </r>
  <r>
    <x v="7"/>
    <x v="386"/>
    <n v="127"/>
    <n v="48604"/>
    <m/>
    <n v="937"/>
    <n v="158.30171267445476"/>
    <n v="1.3224834237492464"/>
    <m/>
    <m/>
    <m/>
    <m/>
    <m/>
  </r>
  <r>
    <x v="8"/>
    <x v="386"/>
    <n v="20"/>
    <n v="1769"/>
    <m/>
    <n v="27"/>
    <n v="56.345661631909159"/>
    <n v="1.3478260869565217"/>
    <m/>
    <m/>
    <m/>
    <m/>
    <m/>
  </r>
  <r>
    <x v="9"/>
    <x v="386"/>
    <n v="23"/>
    <n v="22114"/>
    <n v="2"/>
    <n v="954"/>
    <n v="86.783822665236272"/>
    <n v="0.63113207547169814"/>
    <m/>
    <m/>
    <m/>
    <m/>
    <m/>
  </r>
  <r>
    <x v="10"/>
    <x v="386"/>
    <n v="67"/>
    <n v="20717"/>
    <m/>
    <n v="312"/>
    <n v="337.58523329650586"/>
    <n v="1.0151006711409396"/>
    <m/>
    <m/>
    <m/>
    <m/>
    <m/>
  </r>
  <r>
    <x v="11"/>
    <x v="386"/>
    <n v="25"/>
    <n v="10760"/>
    <m/>
    <n v="448"/>
    <n v="86.143150094909927"/>
    <n v="1.1452702702702702"/>
    <m/>
    <m/>
    <m/>
    <m/>
    <m/>
  </r>
  <r>
    <x v="12"/>
    <x v="386"/>
    <n v="169"/>
    <n v="70995"/>
    <n v="1"/>
    <n v="1492"/>
    <n v="109.93107703314713"/>
    <n v="1.0419047619047619"/>
    <m/>
    <m/>
    <m/>
    <m/>
    <m/>
  </r>
  <r>
    <x v="13"/>
    <x v="386"/>
    <n v="138"/>
    <n v="11164"/>
    <m/>
    <n v="190"/>
    <n v="134.54436475556057"/>
    <n v="1.0385556915544676"/>
    <m/>
    <m/>
    <m/>
    <m/>
    <m/>
  </r>
  <r>
    <x v="14"/>
    <x v="386"/>
    <n v="132"/>
    <n v="64470"/>
    <m/>
    <n v="982"/>
    <n v="261.12216270591227"/>
    <n v="0.82729007633587781"/>
    <m/>
    <m/>
    <m/>
    <m/>
    <m/>
  </r>
  <r>
    <x v="15"/>
    <x v="386"/>
    <n v="85"/>
    <n v="54702"/>
    <n v="1"/>
    <n v="1265"/>
    <n v="159.04014125011705"/>
    <n v="0.74127182044887785"/>
    <m/>
    <m/>
    <m/>
    <m/>
    <m/>
  </r>
  <r>
    <x v="16"/>
    <x v="386"/>
    <n v="89"/>
    <n v="28616"/>
    <m/>
    <n v="1194"/>
    <n v="98.638230774145129"/>
    <n v="0.9551325628823929"/>
    <m/>
    <m/>
    <m/>
    <m/>
    <m/>
  </r>
  <r>
    <x v="17"/>
    <x v="386"/>
    <n v="39"/>
    <n v="16522"/>
    <m/>
    <n v="222"/>
    <n v="99.076184978053476"/>
    <n v="1.2751235584843492"/>
    <m/>
    <m/>
    <m/>
    <m/>
    <m/>
  </r>
  <r>
    <x v="18"/>
    <x v="386"/>
    <n v="1"/>
    <n v="21555"/>
    <m/>
    <n v="383"/>
    <n v="145.96874459010718"/>
    <n v="3.2543859649122808"/>
    <m/>
    <m/>
    <m/>
    <m/>
    <m/>
  </r>
  <r>
    <x v="19"/>
    <x v="386"/>
    <n v="117"/>
    <n v="38525"/>
    <n v="1"/>
    <n v="625"/>
    <n v="427.12839556136487"/>
    <n v="1.1726726726726726"/>
    <m/>
    <m/>
    <m/>
    <m/>
    <m/>
  </r>
  <r>
    <x v="20"/>
    <x v="386"/>
    <n v="570"/>
    <n v="227141"/>
    <n v="2"/>
    <n v="4209"/>
    <n v="185.66809692745599"/>
    <n v="1.2363020146864998"/>
    <m/>
    <m/>
    <m/>
    <m/>
    <m/>
  </r>
  <r>
    <x v="21"/>
    <x v="386"/>
    <n v="98"/>
    <n v="24334"/>
    <n v="1"/>
    <n v="283"/>
    <n v="118.36702568605344"/>
    <n v="1.3851674641148326"/>
    <m/>
    <m/>
    <m/>
    <m/>
    <m/>
  </r>
  <r>
    <x v="22"/>
    <x v="386"/>
    <n v="62"/>
    <n v="23724"/>
    <n v="1"/>
    <n v="362"/>
    <n v="264.66097381666009"/>
    <n v="1.1063829787234043"/>
    <m/>
    <m/>
    <m/>
    <m/>
    <m/>
  </r>
  <r>
    <x v="23"/>
    <x v="386"/>
    <n v="268"/>
    <n v="84946"/>
    <m/>
    <n v="1498"/>
    <n v="212.07843951810867"/>
    <n v="1.7295476419634264"/>
    <m/>
    <m/>
    <m/>
    <m/>
    <m/>
  </r>
  <r>
    <x v="0"/>
    <x v="387"/>
    <n v="3702"/>
    <n v="953840"/>
    <n v="64"/>
    <n v="27758"/>
    <n v="250.99849547985505"/>
    <n v="1.2303822937625755"/>
    <m/>
    <m/>
    <m/>
    <m/>
    <m/>
  </r>
  <r>
    <x v="4"/>
    <x v="387"/>
    <n v="1398"/>
    <n v="252580"/>
    <n v="4"/>
    <n v="6813"/>
    <n v="416.335299966251"/>
    <n v="1.3464773922187172"/>
    <m/>
    <m/>
    <m/>
    <m/>
    <m/>
  </r>
  <r>
    <x v="1"/>
    <x v="387"/>
    <n v="83"/>
    <n v="9997"/>
    <m/>
    <n v="18"/>
    <n v="295.3509308248162"/>
    <n v="1.0848806366047745"/>
    <m/>
    <m/>
    <m/>
    <m/>
    <m/>
  </r>
  <r>
    <x v="2"/>
    <x v="387"/>
    <n v="125"/>
    <n v="37500"/>
    <n v="1"/>
    <n v="915"/>
    <n v="161.14021855627993"/>
    <n v="1.1364168618266979"/>
    <m/>
    <m/>
    <m/>
    <m/>
    <m/>
  </r>
  <r>
    <x v="3"/>
    <x v="387"/>
    <n v="129"/>
    <n v="49248"/>
    <n v="9"/>
    <n v="854"/>
    <n v="215.83407916716479"/>
    <n v="1.134125636672326"/>
    <m/>
    <m/>
    <m/>
    <m/>
    <m/>
  </r>
  <r>
    <x v="6"/>
    <x v="387"/>
    <n v="28"/>
    <n v="27122"/>
    <n v="4"/>
    <n v="323"/>
    <n v="275.96335121042898"/>
    <n v="1.1778370144706778"/>
    <m/>
    <m/>
    <m/>
    <m/>
    <m/>
  </r>
  <r>
    <x v="5"/>
    <x v="387"/>
    <n v="723"/>
    <n v="175120"/>
    <n v="1"/>
    <n v="2991"/>
    <n v="232.47217753194434"/>
    <n v="1.1232172684054991"/>
    <m/>
    <m/>
    <m/>
    <m/>
    <m/>
  </r>
  <r>
    <x v="7"/>
    <x v="387"/>
    <n v="136"/>
    <n v="48740"/>
    <n v="1"/>
    <n v="938"/>
    <n v="157.9409521624346"/>
    <n v="1.3347560975609756"/>
    <m/>
    <m/>
    <m/>
    <m/>
    <m/>
  </r>
  <r>
    <x v="8"/>
    <x v="387"/>
    <n v="57"/>
    <n v="1826"/>
    <m/>
    <n v="27"/>
    <n v="57.667553986909965"/>
    <n v="1.1952054794520548"/>
    <m/>
    <m/>
    <m/>
    <m/>
    <m/>
  </r>
  <r>
    <x v="9"/>
    <x v="387"/>
    <n v="38"/>
    <n v="22152"/>
    <n v="1"/>
    <n v="955"/>
    <n v="83.021893132662498"/>
    <n v="0.62683643486777674"/>
    <m/>
    <m/>
    <m/>
    <m/>
    <m/>
  </r>
  <r>
    <x v="10"/>
    <x v="387"/>
    <n v="87"/>
    <n v="20804"/>
    <n v="2"/>
    <n v="314"/>
    <n v="333.6792884484471"/>
    <n v="1.1167133520074697"/>
    <m/>
    <m/>
    <m/>
    <m/>
    <m/>
  </r>
  <r>
    <x v="11"/>
    <x v="387"/>
    <n v="38"/>
    <n v="10798"/>
    <m/>
    <n v="448"/>
    <n v="87.921917206014271"/>
    <n v="1.138157894736842"/>
    <m/>
    <m/>
    <m/>
    <m/>
    <m/>
  </r>
  <r>
    <x v="12"/>
    <x v="387"/>
    <n v="187"/>
    <n v="71182"/>
    <n v="4"/>
    <n v="1496"/>
    <n v="109.37840708462583"/>
    <n v="1.0476419634263716"/>
    <m/>
    <m/>
    <m/>
    <m/>
    <m/>
  </r>
  <r>
    <x v="13"/>
    <x v="387"/>
    <n v="123"/>
    <n v="11287"/>
    <n v="3"/>
    <n v="193"/>
    <n v="134.22723013032646"/>
    <n v="1.0361077111383108"/>
    <m/>
    <m/>
    <m/>
    <m/>
    <m/>
  </r>
  <r>
    <x v="14"/>
    <x v="387"/>
    <n v="80"/>
    <n v="64550"/>
    <n v="15"/>
    <n v="997"/>
    <n v="248.17146720838724"/>
    <n v="0.79961183891314891"/>
    <m/>
    <m/>
    <m/>
    <m/>
    <m/>
  </r>
  <r>
    <x v="15"/>
    <x v="387"/>
    <n v="84"/>
    <n v="54786"/>
    <n v="4"/>
    <n v="1269"/>
    <n v="158.37134334746727"/>
    <n v="0.75751759436980171"/>
    <m/>
    <m/>
    <m/>
    <m/>
    <m/>
  </r>
  <r>
    <x v="16"/>
    <x v="387"/>
    <n v="70"/>
    <n v="28686"/>
    <n v="2"/>
    <n v="1196"/>
    <n v="93.653665375594016"/>
    <n v="0.90563475899524781"/>
    <m/>
    <m/>
    <m/>
    <m/>
    <m/>
  </r>
  <r>
    <x v="17"/>
    <x v="387"/>
    <n v="92"/>
    <n v="16614"/>
    <n v="1"/>
    <n v="223"/>
    <n v="103.17235800040194"/>
    <n v="1.3084415584415585"/>
    <m/>
    <m/>
    <m/>
    <m/>
    <m/>
  </r>
  <r>
    <x v="18"/>
    <x v="387"/>
    <n v="90"/>
    <n v="21645"/>
    <n v="2"/>
    <n v="385"/>
    <n v="52.91858799830031"/>
    <n v="0.4317817014446228"/>
    <m/>
    <m/>
    <m/>
    <m/>
    <m/>
  </r>
  <r>
    <x v="19"/>
    <x v="387"/>
    <n v="81"/>
    <n v="38606"/>
    <n v="1"/>
    <n v="626"/>
    <n v="417.83110654146316"/>
    <n v="1.1655225019069413"/>
    <m/>
    <m/>
    <m/>
    <m/>
    <m/>
  </r>
  <r>
    <x v="20"/>
    <x v="387"/>
    <n v="444"/>
    <n v="227585"/>
    <n v="20"/>
    <n v="4229"/>
    <n v="180.86097288273049"/>
    <n v="1.1656642974302898"/>
    <m/>
    <m/>
    <m/>
    <m/>
    <m/>
  </r>
  <r>
    <x v="21"/>
    <x v="387"/>
    <n v="134"/>
    <n v="24468"/>
    <n v="5"/>
    <n v="288"/>
    <n v="125.21554962471112"/>
    <n v="1.4848484848484849"/>
    <m/>
    <m/>
    <m/>
    <m/>
    <m/>
  </r>
  <r>
    <x v="22"/>
    <x v="387"/>
    <n v="45"/>
    <n v="23769"/>
    <n v="2"/>
    <n v="364"/>
    <n v="269.75060792851895"/>
    <n v="1.1223529411764706"/>
    <m/>
    <m/>
    <m/>
    <m/>
    <m/>
  </r>
  <r>
    <x v="23"/>
    <x v="387"/>
    <n v="264"/>
    <n v="85210"/>
    <m/>
    <n v="1498"/>
    <n v="211.72438536198496"/>
    <n v="1.701280227596017"/>
    <m/>
    <m/>
    <m/>
    <m/>
    <m/>
  </r>
  <r>
    <x v="0"/>
    <x v="388"/>
    <n v="5686"/>
    <n v="959526"/>
    <n v="66"/>
    <n v="27824"/>
    <n v="264.84594132160498"/>
    <n v="1.2571915676670364"/>
    <m/>
    <m/>
    <m/>
    <m/>
    <m/>
  </r>
  <r>
    <x v="4"/>
    <x v="388"/>
    <n v="1405"/>
    <n v="253985"/>
    <n v="8"/>
    <n v="6821"/>
    <n v="435.06307292841899"/>
    <n v="1.3749486230990546"/>
    <m/>
    <m/>
    <m/>
    <m/>
    <m/>
  </r>
  <r>
    <x v="1"/>
    <x v="388"/>
    <n v="98"/>
    <n v="10095"/>
    <m/>
    <n v="18"/>
    <n v="294.62880140959663"/>
    <n v="1.0652741514360313"/>
    <m/>
    <m/>
    <m/>
    <m/>
    <m/>
  </r>
  <r>
    <x v="2"/>
    <x v="388"/>
    <n v="159"/>
    <n v="37659"/>
    <n v="2"/>
    <n v="917"/>
    <n v="161.38927608109645"/>
    <n v="1.1039182282793867"/>
    <m/>
    <m/>
    <m/>
    <m/>
    <m/>
  </r>
  <r>
    <x v="3"/>
    <x v="388"/>
    <n v="155"/>
    <n v="49403"/>
    <m/>
    <n v="854"/>
    <n v="223.42704452708747"/>
    <n v="1.1382716049382715"/>
    <m/>
    <m/>
    <m/>
    <m/>
    <m/>
  </r>
  <r>
    <x v="6"/>
    <x v="388"/>
    <n v="771"/>
    <n v="27893"/>
    <n v="2"/>
    <n v="325"/>
    <n v="299.07182452549557"/>
    <n v="1.1499142367066895"/>
    <m/>
    <m/>
    <m/>
    <m/>
    <m/>
  </r>
  <r>
    <x v="5"/>
    <x v="388"/>
    <n v="1105"/>
    <n v="176225"/>
    <n v="13"/>
    <n v="3004"/>
    <n v="245.18342219681156"/>
    <n v="1.1533650237678259"/>
    <m/>
    <m/>
    <m/>
    <m/>
    <m/>
  </r>
  <r>
    <x v="7"/>
    <x v="388"/>
    <n v="228"/>
    <n v="48968"/>
    <n v="3"/>
    <n v="941"/>
    <n v="163.49666404754535"/>
    <n v="1.3337257210123603"/>
    <m/>
    <m/>
    <m/>
    <m/>
    <m/>
  </r>
  <r>
    <x v="8"/>
    <x v="388"/>
    <n v="89"/>
    <n v="1915"/>
    <n v="1"/>
    <n v="28"/>
    <n v="68.077456282541263"/>
    <n v="1.3966101694915254"/>
    <m/>
    <m/>
    <m/>
    <m/>
    <m/>
  </r>
  <r>
    <x v="9"/>
    <x v="388"/>
    <n v="56"/>
    <n v="22208"/>
    <m/>
    <n v="955"/>
    <n v="80.816624096326152"/>
    <n v="0.6162215628090999"/>
    <m/>
    <m/>
    <m/>
    <m/>
    <m/>
  </r>
  <r>
    <x v="10"/>
    <x v="388"/>
    <n v="100"/>
    <n v="20904"/>
    <n v="1"/>
    <n v="315"/>
    <n v="330.88932784269088"/>
    <n v="1.051418439716312"/>
    <m/>
    <m/>
    <m/>
    <m/>
    <m/>
  </r>
  <r>
    <x v="11"/>
    <x v="388"/>
    <n v="27"/>
    <n v="10825"/>
    <m/>
    <n v="448"/>
    <n v="86.143150094909927"/>
    <n v="1.0694006309148265"/>
    <m/>
    <m/>
    <m/>
    <m/>
    <m/>
  </r>
  <r>
    <x v="12"/>
    <x v="388"/>
    <n v="336"/>
    <n v="71518"/>
    <n v="2"/>
    <n v="1498"/>
    <n v="117.81918448022395"/>
    <n v="1.1119013750592699"/>
    <m/>
    <m/>
    <m/>
    <m/>
    <m/>
  </r>
  <r>
    <x v="13"/>
    <x v="388"/>
    <n v="150"/>
    <n v="11437"/>
    <n v="1"/>
    <n v="194"/>
    <n v="135.4164849749543"/>
    <n v="1.0332728372655777"/>
    <m/>
    <m/>
    <m/>
    <m/>
    <m/>
  </r>
  <r>
    <x v="14"/>
    <x v="388"/>
    <n v="148"/>
    <n v="64698"/>
    <n v="6"/>
    <n v="1003"/>
    <n v="247.11734083068168"/>
    <n v="0.80323054331864907"/>
    <m/>
    <m/>
    <m/>
    <m/>
    <m/>
  </r>
  <r>
    <x v="15"/>
    <x v="388"/>
    <n v="123"/>
    <n v="54909"/>
    <m/>
    <n v="1269"/>
    <n v="159.84269873329677"/>
    <n v="0.78155657292347935"/>
    <m/>
    <m/>
    <m/>
    <m/>
    <m/>
  </r>
  <r>
    <x v="16"/>
    <x v="388"/>
    <n v="136"/>
    <n v="28822"/>
    <n v="1"/>
    <n v="1197"/>
    <n v="96.181050648098818"/>
    <n v="0.9102990033222591"/>
    <m/>
    <m/>
    <m/>
    <m/>
    <m/>
  </r>
  <r>
    <x v="17"/>
    <x v="388"/>
    <n v="158"/>
    <n v="16772"/>
    <m/>
    <n v="223"/>
    <n v="116.86893654387961"/>
    <n v="1.4446202531645569"/>
    <m/>
    <m/>
    <m/>
    <m/>
    <m/>
  </r>
  <r>
    <x v="18"/>
    <x v="388"/>
    <n v="417"/>
    <n v="22062"/>
    <n v="17"/>
    <n v="402"/>
    <n v="107.6076863757259"/>
    <n v="0.72068511198945984"/>
    <m/>
    <m/>
    <m/>
    <m/>
    <m/>
  </r>
  <r>
    <x v="19"/>
    <x v="388"/>
    <n v="104"/>
    <n v="38710"/>
    <n v="10"/>
    <n v="636"/>
    <n v="406.07277042805811"/>
    <n v="1.0622317596566524"/>
    <m/>
    <m/>
    <m/>
    <m/>
    <m/>
  </r>
  <r>
    <x v="20"/>
    <x v="388"/>
    <n v="652"/>
    <n v="228237"/>
    <n v="8"/>
    <n v="4237"/>
    <n v="186.17708653219162"/>
    <n v="1.1571177504393673"/>
    <m/>
    <m/>
    <m/>
    <m/>
    <m/>
  </r>
  <r>
    <x v="21"/>
    <x v="388"/>
    <n v="104"/>
    <n v="24572"/>
    <m/>
    <n v="288"/>
    <n v="128.89535353204957"/>
    <n v="1.526634382566586"/>
    <m/>
    <m/>
    <m/>
    <m/>
    <m/>
  </r>
  <r>
    <x v="22"/>
    <x v="388"/>
    <n v="49"/>
    <n v="23818"/>
    <m/>
    <n v="364"/>
    <n v="283.32296556014251"/>
    <n v="1.1843971631205674"/>
    <m/>
    <m/>
    <m/>
    <m/>
    <m/>
  </r>
  <r>
    <x v="23"/>
    <x v="388"/>
    <n v="680"/>
    <n v="85890"/>
    <n v="2"/>
    <n v="1500"/>
    <n v="234.08880622380002"/>
    <n v="1.7376259307928166"/>
    <m/>
    <m/>
    <m/>
    <m/>
    <m/>
  </r>
  <r>
    <x v="0"/>
    <x v="389"/>
    <n v="5325"/>
    <n v="964851"/>
    <n v="83"/>
    <n v="27907"/>
    <n v="279.85636738225867"/>
    <n v="1.3183478354280804"/>
    <n v="368.94803616916636"/>
    <n v="3896.5714285714284"/>
    <n v="22.213899475361544"/>
    <m/>
    <m/>
  </r>
  <r>
    <x v="4"/>
    <x v="389"/>
    <n v="1476"/>
    <n v="255461"/>
    <n v="23"/>
    <n v="6844"/>
    <n v="457.17224934208946"/>
    <n v="1.4138763197586728"/>
    <n v="646.38501739558774"/>
    <n v="1125.8571428571429"/>
    <n v="36.6055502764994"/>
    <m/>
    <m/>
  </r>
  <r>
    <x v="1"/>
    <x v="389"/>
    <n v="51"/>
    <n v="10146"/>
    <m/>
    <n v="18"/>
    <n v="281.87118174071702"/>
    <n v="1.0317180616740087"/>
    <n v="290.81158926729478"/>
    <n v="71.142857142857139"/>
    <n v="17.124783275207648"/>
    <m/>
    <m/>
  </r>
  <r>
    <x v="2"/>
    <x v="389"/>
    <n v="229"/>
    <n v="37888"/>
    <m/>
    <n v="917"/>
    <n v="168.77798265065283"/>
    <n v="1.1319599109131404"/>
    <n v="191.04991020533254"/>
    <n v="149.42857142857142"/>
    <n v="12.405436712288864"/>
    <m/>
    <m/>
  </r>
  <r>
    <x v="3"/>
    <x v="389"/>
    <n v="89"/>
    <n v="49492"/>
    <m/>
    <n v="854"/>
    <n v="224.07325434495328"/>
    <n v="1.1340964840556009"/>
    <n v="254.12068992350791"/>
    <n v="108.85714285714286"/>
    <n v="17.586138614775404"/>
    <m/>
    <m/>
  </r>
  <r>
    <x v="6"/>
    <x v="389"/>
    <n v="18"/>
    <n v="27911"/>
    <m/>
    <n v="325"/>
    <n v="274.08969121191001"/>
    <n v="1.0101940151266031"/>
    <n v="276.88376567017019"/>
    <n v="220"/>
    <n v="19.628819032102935"/>
    <m/>
    <m/>
  </r>
  <r>
    <x v="5"/>
    <x v="389"/>
    <n v="803"/>
    <n v="177028"/>
    <n v="4"/>
    <n v="3008"/>
    <n v="250.76786022949381"/>
    <n v="1.1708467842066055"/>
    <n v="293.61074273207436"/>
    <n v="747.71428571428567"/>
    <n v="19.883638546298599"/>
    <m/>
    <m/>
  </r>
  <r>
    <x v="7"/>
    <x v="389"/>
    <n v="169"/>
    <n v="49137"/>
    <m/>
    <n v="941"/>
    <n v="167.89794229419152"/>
    <n v="1.3728613569321535"/>
    <n v="230.50059688412017"/>
    <n v="162.71428571428572"/>
    <n v="11.7401778054567"/>
    <m/>
    <m/>
  </r>
  <r>
    <x v="8"/>
    <x v="389"/>
    <n v="32"/>
    <n v="1947"/>
    <n v="2"/>
    <n v="30"/>
    <n v="70.225531359417573"/>
    <n v="1.4072847682119205"/>
    <n v="98.827320621696913"/>
    <n v="36.857142857142854"/>
    <n v="6.0901469212536918"/>
    <m/>
    <m/>
  </r>
  <r>
    <x v="9"/>
    <x v="389"/>
    <n v="41"/>
    <n v="22249"/>
    <n v="3"/>
    <n v="958"/>
    <n v="82.632728008603152"/>
    <n v="0.67407407407407405"/>
    <n v="55.700579620613972"/>
    <n v="39.428571428571431"/>
    <n v="5.114741630494386"/>
    <m/>
    <m/>
  </r>
  <r>
    <x v="10"/>
    <x v="389"/>
    <n v="106"/>
    <n v="21010"/>
    <m/>
    <n v="315"/>
    <n v="333.95828450902275"/>
    <n v="1.023076923076923"/>
    <n v="341.66501415153863"/>
    <n v="81"/>
    <n v="22.598680906625599"/>
    <m/>
    <m/>
  </r>
  <r>
    <x v="11"/>
    <x v="389"/>
    <n v="30"/>
    <n v="10855"/>
    <m/>
    <n v="448"/>
    <n v="88.938355555216745"/>
    <n v="1.0574018126888218"/>
    <n v="94.043578381649127"/>
    <n v="26"/>
    <n v="6.6068492698161005"/>
    <m/>
    <m/>
  </r>
  <r>
    <x v="12"/>
    <x v="389"/>
    <n v="208"/>
    <n v="71726"/>
    <m/>
    <n v="1498"/>
    <n v="121.48690322950173"/>
    <n v="1.138954309938766"/>
    <n v="138.3680320343548"/>
    <n v="192.57142857142858"/>
    <n v="9.6753128650223523"/>
    <m/>
    <m/>
  </r>
  <r>
    <x v="13"/>
    <x v="389"/>
    <n v="119"/>
    <n v="11556"/>
    <n v="2"/>
    <n v="196"/>
    <n v="135.4164849749543"/>
    <n v="1.037037037037037"/>
    <n v="140.43191034439704"/>
    <n v="126"/>
    <n v="9.989740694873678"/>
    <m/>
    <m/>
  </r>
  <r>
    <x v="14"/>
    <x v="389"/>
    <n v="101"/>
    <n v="64799"/>
    <m/>
    <n v="1003"/>
    <n v="249.82795151621022"/>
    <n v="0.8120411160058737"/>
    <n v="202.87056855868465"/>
    <n v="114.57142857142857"/>
    <n v="17.253252141221093"/>
    <m/>
    <m/>
  </r>
  <r>
    <x v="15"/>
    <x v="389"/>
    <n v="76"/>
    <n v="54985"/>
    <n v="3"/>
    <n v="1272"/>
    <n v="165.193081954495"/>
    <n v="0.83445945945945943"/>
    <n v="137.84692987419007"/>
    <n v="86.714285714285708"/>
    <n v="11.598866483097565"/>
    <m/>
    <m/>
  </r>
  <r>
    <x v="16"/>
    <x v="389"/>
    <n v="102"/>
    <n v="28924"/>
    <n v="1"/>
    <n v="1198"/>
    <n v="93.513255082677091"/>
    <n v="0.86888454011741678"/>
    <n v="81.25222163739457"/>
    <n v="94.285714285714292"/>
    <n v="6.6193423803696785"/>
    <m/>
    <m/>
  </r>
  <r>
    <x v="17"/>
    <x v="389"/>
    <n v="32"/>
    <n v="16804"/>
    <m/>
    <n v="223"/>
    <n v="119.55705008979578"/>
    <n v="1.4801901743264658"/>
    <n v="176.96717081437282"/>
    <n v="70.428571428571431"/>
    <n v="9.0152379465080035"/>
    <m/>
    <m/>
  </r>
  <r>
    <x v="18"/>
    <x v="389"/>
    <n v="84"/>
    <n v="22146"/>
    <m/>
    <n v="402"/>
    <n v="123.93572653877024"/>
    <n v="0.84677419354838712"/>
    <n v="104.94557489170062"/>
    <n v="84.857142857142861"/>
    <n v="16.693383574609872"/>
    <m/>
    <m/>
  </r>
  <r>
    <x v="19"/>
    <x v="389"/>
    <n v="144"/>
    <n v="38854"/>
    <n v="1"/>
    <n v="637"/>
    <n v="418.37800589557509"/>
    <n v="1.0714285714285714"/>
    <n v="448.26214917383044"/>
    <n v="101.42857142857143"/>
    <n v="27.73561010138733"/>
    <m/>
    <m/>
  </r>
  <r>
    <x v="20"/>
    <x v="389"/>
    <n v="686"/>
    <n v="228923"/>
    <n v="8"/>
    <n v="4245"/>
    <n v="192.2566845887562"/>
    <n v="1.1758906952611554"/>
    <n v="226.07284650967719"/>
    <n v="526.71428571428567"/>
    <n v="14.894005338573823"/>
    <m/>
    <m/>
  </r>
  <r>
    <x v="21"/>
    <x v="389"/>
    <n v="130"/>
    <n v="24702"/>
    <n v="1"/>
    <n v="289"/>
    <n v="134.92614326907645"/>
    <n v="1.6216216216216217"/>
    <n v="218.799151247151"/>
    <n v="95.428571428571431"/>
    <n v="9.7544008337384298"/>
    <m/>
    <m/>
  </r>
  <r>
    <x v="22"/>
    <x v="389"/>
    <n v="42"/>
    <n v="23860"/>
    <n v="1"/>
    <n v="365"/>
    <n v="300.28841259967197"/>
    <n v="1.3409090909090908"/>
    <n v="402.6594623495601"/>
    <n v="42.428571428571431"/>
    <n v="23.993989384477427"/>
    <m/>
    <m/>
  </r>
  <r>
    <x v="23"/>
    <x v="389"/>
    <n v="245"/>
    <n v="86135"/>
    <n v="1"/>
    <n v="1501"/>
    <n v="241.22889837229502"/>
    <n v="1.7514995715509853"/>
    <n v="422.51231214479094"/>
    <n v="320.42857142857144"/>
    <n v="18.908177909178704"/>
    <m/>
    <m/>
  </r>
  <r>
    <x v="0"/>
    <x v="390"/>
    <n v="3257"/>
    <n v="968108"/>
    <n v="72"/>
    <n v="27979"/>
    <n v="289.6504851081238"/>
    <n v="1.3551329581521885"/>
    <n v="392.51491871478822"/>
    <n v="4125.1428571428569"/>
    <n v="23.516958544161163"/>
    <m/>
    <m/>
  </r>
  <r>
    <x v="4"/>
    <x v="390"/>
    <n v="1044"/>
    <n v="256505"/>
    <m/>
    <n v="6844"/>
    <n v="473.03883476837058"/>
    <n v="1.4456478537360891"/>
    <n v="683.84757621671542"/>
    <n v="1186"/>
    <n v="38.561004745019417"/>
    <m/>
    <m/>
  </r>
  <r>
    <x v="1"/>
    <x v="390"/>
    <n v="80"/>
    <n v="10226"/>
    <m/>
    <n v="18"/>
    <n v="288.37034647769343"/>
    <n v="1.0472027972027973"/>
    <n v="301.98223346178037"/>
    <n v="75.142857142857139"/>
    <n v="18.087622495500444"/>
    <m/>
    <m/>
  </r>
  <r>
    <x v="2"/>
    <x v="390"/>
    <n v="95"/>
    <n v="37983"/>
    <n v="1"/>
    <n v="918"/>
    <n v="169.4421360501635"/>
    <n v="1.1345191773207337"/>
    <n v="192.23535279509932"/>
    <n v="145.85714285714286"/>
    <n v="12.108939658935883"/>
    <m/>
    <m/>
  </r>
  <r>
    <x v="3"/>
    <x v="390"/>
    <n v="70"/>
    <n v="49562"/>
    <m/>
    <n v="854"/>
    <n v="231.66621970487597"/>
    <n v="1.1592562651576395"/>
    <n v="268.56051661826365"/>
    <n v="116.42857142857143"/>
    <n v="18.809321484307024"/>
    <m/>
    <m/>
  </r>
  <r>
    <x v="6"/>
    <x v="390"/>
    <n v="476"/>
    <n v="28387"/>
    <m/>
    <n v="325"/>
    <n v="305.76346737734889"/>
    <n v="1.1040592783505154"/>
    <n v="337.58099313858719"/>
    <n v="274.28571428571428"/>
    <n v="24.472293858206257"/>
    <m/>
    <m/>
  </r>
  <r>
    <x v="5"/>
    <x v="390"/>
    <n v="443"/>
    <n v="177471"/>
    <n v="1"/>
    <n v="3009"/>
    <n v="255.07585528327729"/>
    <n v="1.1988501437320336"/>
    <n v="305.79772576892839"/>
    <n v="753.14285714285711"/>
    <n v="20.027998168912156"/>
    <m/>
    <m/>
  </r>
  <r>
    <x v="7"/>
    <x v="390"/>
    <n v="83"/>
    <n v="49220"/>
    <m/>
    <n v="941"/>
    <n v="169.4131364446763"/>
    <n v="1.3771260997067449"/>
    <n v="233.30325183114368"/>
    <n v="156.42857142857142"/>
    <n v="11.28665030463133"/>
    <m/>
    <m/>
  </r>
  <r>
    <x v="8"/>
    <x v="390"/>
    <n v="32"/>
    <n v="1979"/>
    <m/>
    <n v="30"/>
    <n v="68.077456282541263"/>
    <n v="1.1907514450867052"/>
    <n v="81.063329446262998"/>
    <n v="40.571428571428569"/>
    <n v="6.7038826575040638"/>
    <m/>
    <m/>
  </r>
  <r>
    <x v="9"/>
    <x v="390"/>
    <n v="47"/>
    <n v="22296"/>
    <n v="4"/>
    <n v="962"/>
    <n v="79.778850432167872"/>
    <n v="0.66200215285252961"/>
    <n v="52.813770738195096"/>
    <n v="38.857142857142854"/>
    <n v="5.040614940197365"/>
    <m/>
    <m/>
  </r>
  <r>
    <x v="10"/>
    <x v="390"/>
    <n v="46"/>
    <n v="21056"/>
    <m/>
    <n v="315"/>
    <n v="339.25920965995959"/>
    <n v="1.057391304347826"/>
    <n v="358.72973821435727"/>
    <n v="81"/>
    <n v="22.598680906625599"/>
    <m/>
    <m/>
  </r>
  <r>
    <x v="11"/>
    <x v="390"/>
    <n v="47"/>
    <n v="10902"/>
    <m/>
    <n v="448"/>
    <n v="93.258218539327274"/>
    <n v="1.180064308681672"/>
    <n v="110.05069518949553"/>
    <n v="29.714285714285715"/>
    <n v="7.5506848797898289"/>
    <m/>
    <m/>
  </r>
  <r>
    <x v="12"/>
    <x v="390"/>
    <n v="116"/>
    <n v="71842"/>
    <m/>
    <n v="1498"/>
    <n v="124.3004956947011"/>
    <n v="1.1604127579737336"/>
    <n v="144.2398810265903"/>
    <n v="198.71428571428572"/>
    <n v="9.9839467323784064"/>
    <m/>
    <m/>
  </r>
  <r>
    <x v="13"/>
    <x v="390"/>
    <n v="142"/>
    <n v="11698"/>
    <m/>
    <n v="196"/>
    <n v="137.00215810112473"/>
    <n v="1.0188679245283019"/>
    <n v="139.58710448039125"/>
    <n v="129"/>
    <n v="10.227591663799242"/>
    <m/>
    <m/>
  </r>
  <r>
    <x v="14"/>
    <x v="390"/>
    <n v="72"/>
    <n v="64871"/>
    <n v="1"/>
    <n v="1004"/>
    <n v="249.82795151621022"/>
    <n v="0.81483300589390961"/>
    <n v="203.56806069027149"/>
    <n v="116.28571428571429"/>
    <n v="17.511405539842858"/>
    <m/>
    <m/>
  </r>
  <r>
    <x v="15"/>
    <x v="390"/>
    <n v="45"/>
    <n v="55030"/>
    <n v="2"/>
    <n v="1274"/>
    <n v="166.26315859873463"/>
    <n v="0.85078713210130053"/>
    <n v="141.45455587832112"/>
    <n v="89.857142857142861"/>
    <n v="12.019253736191713"/>
    <m/>
    <m/>
  </r>
  <r>
    <x v="16"/>
    <x v="390"/>
    <n v="54"/>
    <n v="28978"/>
    <m/>
    <n v="1198"/>
    <n v="94.84715286538794"/>
    <n v="0.90915208613728127"/>
    <n v="86.230486891749067"/>
    <n v="96"/>
    <n v="6.7396940600127628"/>
    <m/>
    <m/>
  </r>
  <r>
    <x v="17"/>
    <x v="390"/>
    <n v="22"/>
    <n v="16826"/>
    <m/>
    <n v="223"/>
    <n v="121.86114741486681"/>
    <n v="1.5111111111111111"/>
    <n v="184.14573387135428"/>
    <n v="73"/>
    <n v="9.3443947072324338"/>
    <m/>
    <m/>
  </r>
  <r>
    <x v="18"/>
    <x v="390"/>
    <n v="203"/>
    <n v="22349"/>
    <m/>
    <n v="402"/>
    <n v="163.47712500590171"/>
    <n v="1.1154362416107382"/>
    <n v="182.34830990591183"/>
    <n v="113.85714285714286"/>
    <n v="22.398361462902468"/>
    <m/>
    <m/>
  </r>
  <r>
    <x v="19"/>
    <x v="390"/>
    <n v="100"/>
    <n v="38954"/>
    <m/>
    <n v="637"/>
    <n v="429.04254330075634"/>
    <n v="1.0790921595598348"/>
    <n v="462.97644459345713"/>
    <n v="109.14285714285714"/>
    <n v="29.845079038675941"/>
    <m/>
    <m/>
  </r>
  <r>
    <x v="20"/>
    <x v="390"/>
    <n v="234"/>
    <n v="229157"/>
    <m/>
    <n v="4245"/>
    <n v="193.50088140033219"/>
    <n v="1.1699435800991622"/>
    <n v="226.38511393784802"/>
    <n v="525.42857142857144"/>
    <n v="14.857648938235567"/>
    <m/>
    <m/>
  </r>
  <r>
    <x v="21"/>
    <x v="390"/>
    <n v="136"/>
    <n v="24838"/>
    <m/>
    <n v="289"/>
    <n v="140.85471623089953"/>
    <n v="1.7182044887780548"/>
    <n v="242.01720569349069"/>
    <n v="104.85714285714286"/>
    <n v="10.718158999946118"/>
    <m/>
    <m/>
  </r>
  <r>
    <x v="22"/>
    <x v="390"/>
    <n v="71"/>
    <n v="23931"/>
    <m/>
    <n v="365"/>
    <n v="321.21246394842507"/>
    <n v="1.3396226415094339"/>
    <n v="430.30348944034301"/>
    <n v="49.285714285714285"/>
    <n v="27.871805850655594"/>
    <m/>
    <m/>
  </r>
  <r>
    <x v="23"/>
    <x v="390"/>
    <n v="293"/>
    <n v="86428"/>
    <m/>
    <n v="1501"/>
    <n v="252.08655916008914"/>
    <n v="1.810936837643069"/>
    <n v="456.51283625769423"/>
    <n v="347.14285714285717"/>
    <n v="20.484561890015268"/>
    <m/>
    <m/>
  </r>
  <r>
    <x v="0"/>
    <x v="391"/>
    <n v="6456"/>
    <n v="974564"/>
    <n v="77"/>
    <n v="28056"/>
    <n v="311.57608276451344"/>
    <n v="1.4345258405732433"/>
    <n v="446.96394203028206"/>
    <n v="4672.1428571428569"/>
    <n v="26.635341778182259"/>
    <m/>
    <m/>
  </r>
  <r>
    <x v="4"/>
    <x v="391"/>
    <n v="2109"/>
    <n v="258614"/>
    <n v="9"/>
    <n v="6853"/>
    <n v="506.30013987305438"/>
    <n v="1.4528830005598059"/>
    <n v="735.59486640261264"/>
    <n v="1359.4285714285713"/>
    <n v="44.199773687497569"/>
    <m/>
    <m/>
  </r>
  <r>
    <x v="1"/>
    <x v="391"/>
    <n v="84"/>
    <n v="10310"/>
    <m/>
    <n v="18"/>
    <n v="286.68537784218103"/>
    <n v="1.1017576318223867"/>
    <n v="315.85780296950753"/>
    <n v="78.428571428571431"/>
    <n v="18.878526140740959"/>
    <m/>
    <m/>
  </r>
  <r>
    <x v="2"/>
    <x v="391"/>
    <n v="238"/>
    <n v="38221"/>
    <n v="5"/>
    <n v="923"/>
    <n v="179.23839869294611"/>
    <n v="1.1701897018970189"/>
    <n v="209.74292833499763"/>
    <n v="165.85714285714286"/>
    <n v="13.769323157712595"/>
    <m/>
    <m/>
  </r>
  <r>
    <x v="3"/>
    <x v="391"/>
    <n v="204"/>
    <n v="49766"/>
    <n v="10"/>
    <n v="864"/>
    <n v="244.75196851665766"/>
    <n v="1.2188254223652453"/>
    <n v="298.30992140204046"/>
    <n v="129.14285714285714"/>
    <n v="20.863345548237486"/>
    <m/>
    <m/>
  </r>
  <r>
    <x v="6"/>
    <x v="391"/>
    <n v="492"/>
    <n v="28879"/>
    <m/>
    <n v="325"/>
    <n v="343.50433306180133"/>
    <n v="1.25"/>
    <n v="429.38041632725168"/>
    <n v="319"/>
    <n v="28.461787596549254"/>
    <m/>
    <m/>
  </r>
  <r>
    <x v="5"/>
    <x v="391"/>
    <n v="1076"/>
    <n v="178547"/>
    <n v="7"/>
    <n v="3016"/>
    <n v="273.50450079112875"/>
    <n v="1.2870729570767112"/>
    <n v="352.02024660702779"/>
    <n v="819.42857142857144"/>
    <n v="21.790705139772406"/>
    <m/>
    <m/>
  </r>
  <r>
    <x v="7"/>
    <x v="391"/>
    <n v="215"/>
    <n v="49435"/>
    <n v="3"/>
    <n v="944"/>
    <n v="176.19543407065566"/>
    <n v="1.4083044982698962"/>
    <n v="248.13682237632131"/>
    <n v="162.42857142857142"/>
    <n v="11.719562919055544"/>
    <m/>
    <m/>
  </r>
  <r>
    <x v="8"/>
    <x v="391"/>
    <n v="75"/>
    <n v="2054"/>
    <m/>
    <n v="30"/>
    <n v="75.182627690670586"/>
    <n v="1.2780898876404494"/>
    <n v="96.090156177682914"/>
    <n v="48.142857142857146"/>
    <n v="7.9549593506298235"/>
    <m/>
    <m/>
  </r>
  <r>
    <x v="9"/>
    <x v="391"/>
    <n v="28"/>
    <n v="22324"/>
    <n v="2"/>
    <n v="964"/>
    <n v="79.778850432167872"/>
    <n v="0.67360350492880616"/>
    <n v="53.739313270299277"/>
    <n v="40.428571428571431"/>
    <n v="5.244463338514171"/>
    <m/>
    <m/>
  </r>
  <r>
    <x v="10"/>
    <x v="391"/>
    <n v="102"/>
    <n v="21158"/>
    <n v="3"/>
    <n v="318"/>
    <n v="335.91125693305213"/>
    <n v="1.0126156433978133"/>
    <n v="340.14899356383074"/>
    <n v="86"/>
    <n v="23.993661209503724"/>
    <m/>
    <m/>
  </r>
  <r>
    <x v="11"/>
    <x v="391"/>
    <n v="106"/>
    <n v="11008"/>
    <n v="1"/>
    <n v="449"/>
    <n v="116.63630057098425"/>
    <n v="1.4902597402597402"/>
    <n v="173.81838299377196"/>
    <n v="42.571428571428569"/>
    <n v="10.817808145083506"/>
    <m/>
    <m/>
  </r>
  <r>
    <x v="12"/>
    <x v="391"/>
    <n v="373"/>
    <n v="72215"/>
    <n v="8"/>
    <n v="1506"/>
    <n v="136.76069089772693"/>
    <n v="1.2607688744789254"/>
    <n v="172.42362233608739"/>
    <n v="234.42857142857142"/>
    <n v="11.778329682122907"/>
    <m/>
    <m/>
  </r>
  <r>
    <x v="13"/>
    <x v="391"/>
    <n v="126"/>
    <n v="11824"/>
    <n v="4"/>
    <n v="200"/>
    <n v="137.63642735159289"/>
    <n v="1.0163934426229508"/>
    <n v="139.89276222620916"/>
    <n v="131.71428571428572"/>
    <n v="10.4427901594938"/>
    <m/>
    <m/>
  </r>
  <r>
    <x v="14"/>
    <x v="391"/>
    <n v="121"/>
    <n v="64992"/>
    <n v="2"/>
    <n v="1006"/>
    <n v="249.52677255115148"/>
    <n v="0.82355864811133206"/>
    <n v="205.49993146981015"/>
    <n v="113.85714285714286"/>
    <n v="17.145688225128694"/>
    <m/>
    <m/>
  </r>
  <r>
    <x v="15"/>
    <x v="391"/>
    <n v="162"/>
    <n v="55192"/>
    <n v="1"/>
    <n v="1275"/>
    <n v="175.35881007477161"/>
    <n v="0.90789473684210531"/>
    <n v="159.20734072577949"/>
    <n v="98.714285714285708"/>
    <n v="13.203981449457032"/>
    <m/>
    <m/>
  </r>
  <r>
    <x v="16"/>
    <x v="391"/>
    <n v="147"/>
    <n v="29125"/>
    <n v="5"/>
    <n v="1203"/>
    <n v="100.74438516789913"/>
    <n v="0.9611520428667113"/>
    <n v="96.830671611477058"/>
    <n v="104.28571428571429"/>
    <n v="7.3213938449543408"/>
    <m/>
    <m/>
  </r>
  <r>
    <x v="17"/>
    <x v="391"/>
    <n v="158"/>
    <n v="16984"/>
    <m/>
    <n v="223"/>
    <n v="133.25362863327348"/>
    <n v="1.599078341013825"/>
    <n v="213.08299140896727"/>
    <n v="84.714285714285708"/>
    <n v="10.843886617199281"/>
    <m/>
    <m/>
  </r>
  <r>
    <x v="18"/>
    <x v="391"/>
    <n v="191"/>
    <n v="22540"/>
    <n v="6"/>
    <n v="408"/>
    <n v="200.85456634299112"/>
    <n v="1.3741588156123823"/>
    <n v="276.00607299622334"/>
    <n v="141"/>
    <n v="27.737995939629528"/>
    <m/>
    <m/>
  </r>
  <r>
    <x v="19"/>
    <x v="391"/>
    <n v="174"/>
    <n v="39128"/>
    <n v="2"/>
    <n v="639"/>
    <n v="453.65301423579018"/>
    <n v="1.1247457627118644"/>
    <n v="510.2443055031701"/>
    <n v="120"/>
    <n v="32.81396124671177"/>
    <m/>
    <m/>
  </r>
  <r>
    <x v="20"/>
    <x v="391"/>
    <n v="869"/>
    <n v="230026"/>
    <n v="13"/>
    <n v="4258"/>
    <n v="208.65746074134901"/>
    <n v="1.2574982958418541"/>
    <n v="262.38640129693499"/>
    <n v="587.28571428571433"/>
    <n v="16.60679575450963"/>
    <m/>
    <m/>
  </r>
  <r>
    <x v="21"/>
    <x v="391"/>
    <n v="93"/>
    <n v="24931"/>
    <n v="3"/>
    <n v="292"/>
    <n v="143.10348528538412"/>
    <n v="1.6686531585220501"/>
    <n v="238.79008271696995"/>
    <n v="107"/>
    <n v="10.9371949468115"/>
    <m/>
    <m/>
  </r>
  <r>
    <x v="22"/>
    <x v="391"/>
    <n v="54"/>
    <n v="23985"/>
    <n v="2"/>
    <n v="367"/>
    <n v="331.95724707346039"/>
    <n v="1.3747072599531616"/>
    <n v="456.34403754595138"/>
    <n v="52.142857142857146"/>
    <n v="29.487562711563168"/>
    <m/>
    <m/>
  </r>
  <r>
    <x v="23"/>
    <x v="391"/>
    <n v="361"/>
    <n v="86789"/>
    <m/>
    <n v="1501"/>
    <n v="258.22349786623363"/>
    <n v="1.7595496582227583"/>
    <n v="454.35706741561654"/>
    <n v="364.57142857142856"/>
    <n v="21.513004914946073"/>
    <m/>
    <m/>
  </r>
  <r>
    <x v="0"/>
    <x v="392"/>
    <n v="4940"/>
    <n v="979504"/>
    <n v="78"/>
    <n v="28134"/>
    <n v="318.29172344033947"/>
    <n v="1.4339797097726981"/>
    <n v="456.42387320202988"/>
    <n v="4752.5714285714284"/>
    <n v="27.093855688016127"/>
    <m/>
    <m/>
  </r>
  <r>
    <x v="4"/>
    <x v="392"/>
    <n v="1012"/>
    <n v="259626"/>
    <n v="5"/>
    <n v="6858"/>
    <n v="507.76324713572365"/>
    <n v="1.4154808302365631"/>
    <n v="718.72914261928724"/>
    <n v="1335.4285714285713"/>
    <n v="43.4194498140739"/>
    <m/>
    <m/>
  </r>
  <r>
    <x v="1"/>
    <x v="392"/>
    <n v="71"/>
    <n v="10381"/>
    <m/>
    <n v="18"/>
    <n v="273.20562875808184"/>
    <n v="1.0179372197309418"/>
    <n v="278.10617815284564"/>
    <n v="76.714285714285708"/>
    <n v="18.465880760615473"/>
    <m/>
    <m/>
  </r>
  <r>
    <x v="2"/>
    <x v="392"/>
    <n v="96"/>
    <n v="38317"/>
    <m/>
    <n v="923"/>
    <n v="176.91386179465871"/>
    <n v="1.1481681034482758"/>
    <n v="203.12685317048368"/>
    <n v="160.28571428571428"/>
    <n v="13.306787754481936"/>
    <m/>
    <m/>
  </r>
  <r>
    <x v="3"/>
    <x v="392"/>
    <n v="132"/>
    <n v="49898"/>
    <m/>
    <n v="864"/>
    <n v="249.92164705958376"/>
    <n v="1.2764026402640265"/>
    <n v="319.00065016598688"/>
    <n v="125.71428571428571"/>
    <n v="20.309451418638258"/>
    <m/>
    <m/>
  </r>
  <r>
    <x v="6"/>
    <x v="392"/>
    <n v="886"/>
    <n v="29765"/>
    <n v="3"/>
    <n v="328"/>
    <n v="407.56566063021"/>
    <n v="1.4561683136754862"/>
    <n v="593.48420075192837"/>
    <n v="430.71428571428572"/>
    <n v="38.429148949214508"/>
    <m/>
    <m/>
  </r>
  <r>
    <x v="5"/>
    <x v="392"/>
    <n v="826"/>
    <n v="179373"/>
    <n v="8"/>
    <n v="3024"/>
    <n v="273.95657434615538"/>
    <n v="1.2842183994016454"/>
    <n v="351.82007341237755"/>
    <n v="820.71428571428567"/>
    <n v="21.824895576707195"/>
    <m/>
    <m/>
  </r>
  <r>
    <x v="7"/>
    <x v="392"/>
    <n v="205"/>
    <n v="49640"/>
    <n v="2"/>
    <n v="946"/>
    <n v="176.55619458267583"/>
    <n v="1.3335149863760218"/>
    <n v="235.44033141351923"/>
    <n v="166.14285714285714"/>
    <n v="11.987556442270535"/>
    <m/>
    <m/>
  </r>
  <r>
    <x v="8"/>
    <x v="392"/>
    <n v="28"/>
    <n v="2082"/>
    <m/>
    <n v="30"/>
    <n v="75.347864235045677"/>
    <n v="1.2357723577235773"/>
    <n v="93.112807835178401"/>
    <n v="47.571428571428569"/>
    <n v="7.8605384681297652"/>
    <m/>
    <m/>
  </r>
  <r>
    <x v="9"/>
    <x v="392"/>
    <n v="49"/>
    <n v="22373"/>
    <m/>
    <n v="964"/>
    <n v="79.130241892068938"/>
    <n v="0.69714285714285718"/>
    <n v="55.165082919042348"/>
    <n v="40.285714285714285"/>
    <n v="5.2259316659399166"/>
    <m/>
    <m/>
  </r>
  <r>
    <x v="10"/>
    <x v="392"/>
    <n v="43"/>
    <n v="21201"/>
    <n v="2"/>
    <n v="320"/>
    <n v="316.10253663218276"/>
    <n v="0.92945036915504509"/>
    <n v="293.80161936362845"/>
    <n v="78.714285714285708"/>
    <n v="21.960975625309882"/>
    <m/>
    <m/>
  </r>
  <r>
    <x v="11"/>
    <x v="392"/>
    <n v="18"/>
    <n v="11026"/>
    <m/>
    <n v="449"/>
    <n v="116.89041015828487"/>
    <n v="1.5231788079470199"/>
    <n v="178.04499560533458"/>
    <n v="41.571428571428569"/>
    <n v="10.563698557782887"/>
    <m/>
    <m/>
  </r>
  <r>
    <x v="12"/>
    <x v="392"/>
    <n v="271"/>
    <n v="72486"/>
    <n v="1"/>
    <n v="1507"/>
    <n v="142.08641949256861"/>
    <n v="1.2984389348025711"/>
    <n v="184.49053917584206"/>
    <n v="237.14285714285714"/>
    <n v="11.91470278630349"/>
    <m/>
    <m/>
  </r>
  <r>
    <x v="13"/>
    <x v="392"/>
    <n v="114"/>
    <n v="11938"/>
    <n v="3"/>
    <n v="203"/>
    <n v="138.66711488360366"/>
    <n v="1.056797583081571"/>
    <n v="146.54307186188689"/>
    <n v="130.28571428571428"/>
    <n v="10.329527793338768"/>
    <m/>
    <m/>
  </r>
  <r>
    <x v="14"/>
    <x v="392"/>
    <n v="82"/>
    <n v="65074"/>
    <n v="3"/>
    <n v="1009"/>
    <n v="242.75024583733023"/>
    <n v="0.82119205298013243"/>
    <n v="199.34457274058906"/>
    <n v="105.14285714285714"/>
    <n v="15.833408448801404"/>
    <m/>
    <m/>
  </r>
  <r>
    <x v="15"/>
    <x v="392"/>
    <n v="83"/>
    <n v="55275"/>
    <n v="5"/>
    <n v="1280"/>
    <n v="171.07850349781302"/>
    <n v="0.88881167477414869"/>
    <n v="152.05657121174625"/>
    <n v="94"/>
    <n v="12.573400569815814"/>
    <m/>
    <m/>
  </r>
  <r>
    <x v="16"/>
    <x v="392"/>
    <n v="84"/>
    <n v="29209"/>
    <n v="1"/>
    <n v="1204"/>
    <n v="97.444743284351205"/>
    <n v="0.91255752794214329"/>
    <n v="88.923934042524309"/>
    <n v="97.428571428571431"/>
    <n v="6.8399871263820007"/>
    <m/>
    <m/>
  </r>
  <r>
    <x v="17"/>
    <x v="392"/>
    <n v="139"/>
    <n v="17123"/>
    <n v="1"/>
    <n v="224"/>
    <n v="141.57398008491879"/>
    <n v="1.6409495548961424"/>
    <n v="232.31575960522281"/>
    <n v="91.428571428571431"/>
    <n v="11.703351492424183"/>
    <m/>
    <m/>
  </r>
  <r>
    <x v="18"/>
    <x v="392"/>
    <n v="60"/>
    <n v="22600"/>
    <n v="3"/>
    <n v="411"/>
    <n v="212.46124549503472"/>
    <n v="1.4634146341463414"/>
    <n v="310.91889584639227"/>
    <n v="149.42857142857142"/>
    <n v="29.396092961350039"/>
    <m/>
    <m/>
  </r>
  <r>
    <x v="19"/>
    <x v="392"/>
    <n v="82"/>
    <n v="39210"/>
    <n v="1"/>
    <n v="640"/>
    <n v="447.36367166350374"/>
    <n v="1.10840108401084"/>
    <n v="495.85837861889706"/>
    <n v="114.57142857142857"/>
    <n v="31.329520142693855"/>
    <m/>
    <m/>
  </r>
  <r>
    <x v="20"/>
    <x v="392"/>
    <n v="548"/>
    <n v="230574"/>
    <n v="6"/>
    <n v="4264"/>
    <n v="207.66775873214084"/>
    <n v="1.2154915590863953"/>
    <n v="252.41840783330724"/>
    <n v="571.85714285714289"/>
    <n v="16.170518950450511"/>
    <m/>
    <m/>
  </r>
  <r>
    <x v="21"/>
    <x v="392"/>
    <n v="51"/>
    <n v="24982"/>
    <n v="2"/>
    <n v="294"/>
    <n v="140.54806590528798"/>
    <n v="1.5714285714285714"/>
    <n v="220.8612464225954"/>
    <n v="106.57142857142857"/>
    <n v="10.893387757438424"/>
    <m/>
    <m/>
  </r>
  <r>
    <x v="22"/>
    <x v="392"/>
    <n v="19"/>
    <n v="24004"/>
    <m/>
    <n v="367"/>
    <n v="332.52276197477806"/>
    <n v="1.5076923076923077"/>
    <n v="501.34201036197305"/>
    <n v="48.857142857142854"/>
    <n v="27.629442321519456"/>
    <m/>
    <m/>
  </r>
  <r>
    <x v="23"/>
    <x v="392"/>
    <n v="315"/>
    <n v="87104"/>
    <n v="1"/>
    <n v="1502"/>
    <n v="260.87890403716153"/>
    <n v="1.7109133126934986"/>
    <n v="446.34118991806935"/>
    <n v="346.57142857142856"/>
    <n v="20.45084244657491"/>
    <m/>
    <m/>
  </r>
  <r>
    <x v="0"/>
    <x v="393"/>
    <n v="8063"/>
    <n v="987567"/>
    <n v="69"/>
    <n v="28203"/>
    <n v="343.75756970427409"/>
    <n v="1.5433185738783242"/>
    <n v="530.52744223587888"/>
    <n v="5347"/>
    <n v="30.482623678813138"/>
    <m/>
    <m/>
  </r>
  <r>
    <x v="4"/>
    <x v="393"/>
    <n v="1707"/>
    <n v="261333"/>
    <n v="16"/>
    <n v="6874"/>
    <n v="533.05874603254085"/>
    <n v="1.4766279383950283"/>
    <n v="787.12943719746977"/>
    <n v="1450.1428571428571"/>
    <n v="47.149212137640582"/>
    <m/>
    <m/>
  </r>
  <r>
    <x v="1"/>
    <x v="393"/>
    <n v="79"/>
    <n v="10460"/>
    <m/>
    <n v="18"/>
    <n v="265.26220519066624"/>
    <n v="0.93867120954003402"/>
    <n v="248.99399499157937"/>
    <n v="78"/>
    <n v="18.775364795709589"/>
    <m/>
    <m/>
  </r>
  <r>
    <x v="2"/>
    <x v="393"/>
    <n v="175"/>
    <n v="38492"/>
    <n v="1"/>
    <n v="924"/>
    <n v="179.9025520924568"/>
    <n v="1.1900054914881932"/>
    <n v="214.08502492276435"/>
    <n v="159.57142857142858"/>
    <n v="13.247488343811343"/>
    <m/>
    <m/>
  </r>
  <r>
    <x v="3"/>
    <x v="393"/>
    <n v="215"/>
    <n v="50113"/>
    <m/>
    <n v="864"/>
    <n v="264.29981550709704"/>
    <n v="1.3554266777133388"/>
    <n v="358.23902085303291"/>
    <n v="142"/>
    <n v="22.94044853423458"/>
    <m/>
    <m/>
  </r>
  <r>
    <x v="6"/>
    <x v="393"/>
    <n v="291"/>
    <n v="30056"/>
    <m/>
    <n v="328"/>
    <n v="409.97465205687718"/>
    <n v="1.4596569250317661"/>
    <n v="598.42233996230959"/>
    <n v="423.14285714285717"/>
    <n v="37.753611670836939"/>
    <m/>
    <m/>
  </r>
  <r>
    <x v="5"/>
    <x v="393"/>
    <n v="1260"/>
    <n v="180633"/>
    <n v="6"/>
    <n v="3030"/>
    <n v="286.69441157308302"/>
    <n v="1.3303307008884502"/>
    <n v="381.39837748882132"/>
    <n v="890.85714285714289"/>
    <n v="23.690173858371814"/>
    <m/>
    <m/>
  </r>
  <r>
    <x v="7"/>
    <x v="393"/>
    <n v="299"/>
    <n v="49939"/>
    <m/>
    <n v="946"/>
    <n v="183.48279641346329"/>
    <n v="1.3548215237080448"/>
    <n v="248.58644181110131"/>
    <n v="190.71428571428572"/>
    <n v="13.760436672769703"/>
    <m/>
    <m/>
  </r>
  <r>
    <x v="8"/>
    <x v="393"/>
    <n v="175"/>
    <n v="2257"/>
    <m/>
    <n v="30"/>
    <n v="100.7942920688111"/>
    <n v="1.6897506925207757"/>
    <n v="170.31722482541488"/>
    <n v="69.714285714285708"/>
    <n v="11.519347665006983"/>
    <m/>
    <m/>
  </r>
  <r>
    <x v="9"/>
    <x v="393"/>
    <n v="76"/>
    <n v="22449"/>
    <n v="2"/>
    <n v="966"/>
    <n v="79.259963600088739"/>
    <n v="0.71378504672897192"/>
    <n v="56.574576822025954"/>
    <n v="47.857142857142854"/>
    <n v="6.2081103123754318"/>
    <m/>
    <m/>
  </r>
  <r>
    <x v="10"/>
    <x v="393"/>
    <n v="89"/>
    <n v="21290"/>
    <n v="1"/>
    <n v="321"/>
    <n v="296.29381633131339"/>
    <n v="0.83294117647058818"/>
    <n v="246.79531995596454"/>
    <n v="81.857142857142861"/>
    <n v="22.837820387118992"/>
    <m/>
    <m/>
  </r>
  <r>
    <x v="11"/>
    <x v="393"/>
    <n v="72"/>
    <n v="11098"/>
    <m/>
    <n v="449"/>
    <n v="134.93219085662884"/>
    <n v="1.8964285714285714"/>
    <n v="255.88926194596397"/>
    <n v="48.285714285714285"/>
    <n v="12.269862929658473"/>
    <m/>
    <m/>
  </r>
  <r>
    <x v="12"/>
    <x v="393"/>
    <n v="521"/>
    <n v="73007"/>
    <n v="4"/>
    <n v="1511"/>
    <n v="160.77671229710731"/>
    <n v="1.5094339622641511"/>
    <n v="242.68182988242614"/>
    <n v="287.42857142857144"/>
    <n v="14.441193979543749"/>
    <m/>
    <m/>
  </r>
  <r>
    <x v="13"/>
    <x v="393"/>
    <n v="134"/>
    <n v="12072"/>
    <n v="4"/>
    <n v="207"/>
    <n v="138.11212928944403"/>
    <n v="1.036904761904762"/>
    <n v="143.20912453703068"/>
    <n v="129.71428571428572"/>
    <n v="10.284222846876757"/>
    <m/>
    <m/>
  </r>
  <r>
    <x v="14"/>
    <x v="393"/>
    <n v="140"/>
    <n v="65214"/>
    <m/>
    <n v="1009"/>
    <n v="244.10555118009447"/>
    <n v="0.84515119916579773"/>
    <n v="206.30609930288486"/>
    <n v="106.28571428571429"/>
    <n v="16.005510714549246"/>
    <m/>
    <m/>
  </r>
  <r>
    <x v="15"/>
    <x v="393"/>
    <n v="150"/>
    <n v="55425"/>
    <n v="1"/>
    <n v="1281"/>
    <n v="176.42888671901125"/>
    <n v="0.96700879765395897"/>
    <n v="170.60828561757759"/>
    <n v="103.28571428571429"/>
    <n v="13.815453817593971"/>
    <m/>
    <m/>
  </r>
  <r>
    <x v="16"/>
    <x v="393"/>
    <n v="153"/>
    <n v="29362"/>
    <n v="1"/>
    <n v="1205"/>
    <n v="99.550897678105187"/>
    <n v="0.94281914893617025"/>
    <n v="93.858492624702905"/>
    <n v="106.57142857142857"/>
    <n v="7.4818627511451208"/>
    <m/>
    <m/>
  </r>
  <r>
    <x v="17"/>
    <x v="393"/>
    <n v="179"/>
    <n v="17302"/>
    <m/>
    <n v="224"/>
    <n v="155.01454781449968"/>
    <n v="1.7627365356622999"/>
    <n v="273.24980699178911"/>
    <n v="111.42857142857143"/>
    <n v="14.263459631391973"/>
    <m/>
    <m/>
  </r>
  <r>
    <x v="18"/>
    <x v="393"/>
    <n v="203"/>
    <n v="22803"/>
    <n v="5"/>
    <n v="416"/>
    <n v="251.60919721124944"/>
    <n v="1.7377717391304348"/>
    <n v="437.23935221900547"/>
    <n v="178.28571428571428"/>
    <n v="35.072967510291441"/>
    <m/>
    <m/>
  </r>
  <r>
    <x v="19"/>
    <x v="393"/>
    <n v="195"/>
    <n v="39405"/>
    <n v="2"/>
    <n v="642"/>
    <n v="461.85650454746809"/>
    <n v="1.1419878296146044"/>
    <n v="527.4345072215508"/>
    <n v="125.71428571428571"/>
    <n v="34.376530829888516"/>
    <m/>
    <m/>
  </r>
  <r>
    <x v="20"/>
    <x v="393"/>
    <n v="920"/>
    <n v="231494"/>
    <n v="9"/>
    <n v="4273"/>
    <n v="216.82957161738233"/>
    <n v="1.2498777506112468"/>
    <n v="271.0104572391341"/>
    <n v="621.85714285714289"/>
    <n v="17.584378963605062"/>
    <m/>
    <m/>
  </r>
  <r>
    <x v="21"/>
    <x v="393"/>
    <n v="128"/>
    <n v="25110"/>
    <n v="3"/>
    <n v="297"/>
    <n v="142.5924014093649"/>
    <n v="1.5032327586206897"/>
    <n v="214.34956892894832"/>
    <n v="110.85714285714286"/>
    <n v="11.331459651169192"/>
    <m/>
    <m/>
  </r>
  <r>
    <x v="22"/>
    <x v="393"/>
    <n v="84"/>
    <n v="24088"/>
    <m/>
    <n v="367"/>
    <n v="361.36402194197819"/>
    <n v="1.5935162094763091"/>
    <n v="575.83942648609491"/>
    <n v="52"/>
    <n v="29.406774868517783"/>
    <m/>
    <m/>
  </r>
  <r>
    <x v="23"/>
    <x v="393"/>
    <n v="748"/>
    <n v="87852"/>
    <m/>
    <n v="1502"/>
    <n v="288.14107405868799"/>
    <n v="1.8322701688555347"/>
    <n v="527.95229441972742"/>
    <n v="415.14285714285717"/>
    <n v="24.497175659417437"/>
    <m/>
    <m/>
  </r>
  <r>
    <x v="0"/>
    <x v="394"/>
    <n v="7087"/>
    <n v="994654"/>
    <n v="35"/>
    <n v="28238"/>
    <n v="363.73346522897231"/>
    <n v="1.6116752551278166"/>
    <n v="586.2202253714288"/>
    <n v="5830.5714285714284"/>
    <n v="33.239408021242333"/>
    <m/>
    <m/>
  </r>
  <r>
    <x v="4"/>
    <x v="394"/>
    <n v="1576"/>
    <n v="262909"/>
    <n v="10"/>
    <n v="6884"/>
    <n v="554.51765255169164"/>
    <n v="1.5025107920007048"/>
    <n v="833.1687573138139"/>
    <n v="1475.5714285714287"/>
    <n v="47.975983860672798"/>
    <m/>
    <m/>
  </r>
  <r>
    <x v="1"/>
    <x v="394"/>
    <n v="70"/>
    <n v="10530"/>
    <m/>
    <n v="18"/>
    <n v="257.80020123339705"/>
    <n v="0.88075657894736847"/>
    <n v="227.05922329026995"/>
    <n v="76.142857142857139"/>
    <n v="18.328332300573646"/>
    <m/>
    <m/>
  </r>
  <r>
    <x v="2"/>
    <x v="394"/>
    <n v="180"/>
    <n v="38672"/>
    <m/>
    <n v="924"/>
    <n v="179.81953291751796"/>
    <n v="1.1894563426688634"/>
    <n v="213.88748396449421"/>
    <n v="167.42857142857142"/>
    <n v="13.899781861187908"/>
    <m/>
    <m/>
  </r>
  <r>
    <x v="3"/>
    <x v="394"/>
    <n v="111"/>
    <n v="50224"/>
    <m/>
    <n v="864"/>
    <n v="267.53086459642583"/>
    <n v="1.3629629629629629"/>
    <n v="364.63465989438777"/>
    <n v="139.42857142857142"/>
    <n v="22.525027937035158"/>
    <m/>
    <m/>
  </r>
  <r>
    <x v="6"/>
    <x v="394"/>
    <n v="422"/>
    <n v="30478"/>
    <m/>
    <n v="328"/>
    <n v="419.25373014478038"/>
    <n v="1.5306188925081434"/>
    <n v="641.71768011411177"/>
    <n v="479.42857142857144"/>
    <n v="42.775530306323013"/>
    <m/>
    <m/>
  </r>
  <r>
    <x v="5"/>
    <x v="394"/>
    <n v="1194"/>
    <n v="181827"/>
    <n v="8"/>
    <n v="3038"/>
    <n v="299.59180417237297"/>
    <n v="1.3879512135025256"/>
    <n v="415.8188081564561"/>
    <n v="958.14285714285711"/>
    <n v="25.479473391292455"/>
    <m/>
    <m/>
  </r>
  <r>
    <x v="7"/>
    <x v="394"/>
    <n v="236"/>
    <n v="50175"/>
    <n v="2"/>
    <n v="948"/>
    <n v="185.2865989735642"/>
    <n v="1.3580116340560551"/>
    <n v="251.62135704077889"/>
    <n v="205"/>
    <n v="14.791180992827359"/>
    <m/>
    <m/>
  </r>
  <r>
    <x v="8"/>
    <x v="394"/>
    <n v="37"/>
    <n v="2294"/>
    <n v="6"/>
    <n v="36"/>
    <n v="104.75996913381351"/>
    <n v="1.8062678062678064"/>
    <n v="189.22455963201645"/>
    <n v="66.857142857142861"/>
    <n v="11.047243252506698"/>
    <m/>
    <m/>
  </r>
  <r>
    <x v="9"/>
    <x v="394"/>
    <n v="84"/>
    <n v="22533"/>
    <n v="5"/>
    <n v="971"/>
    <n v="83.411058256721859"/>
    <n v="0.7831912302070646"/>
    <n v="65.326809328955122"/>
    <n v="54.428571428571431"/>
    <n v="7.0605672507911645"/>
    <m/>
    <m/>
  </r>
  <r>
    <x v="10"/>
    <x v="394"/>
    <n v="95"/>
    <n v="21385"/>
    <m/>
    <n v="321"/>
    <n v="299.64176905822092"/>
    <n v="0.85441527446300713"/>
    <n v="256.01850435046083"/>
    <n v="83"/>
    <n v="23.156673027776847"/>
    <m/>
    <m/>
  </r>
  <r>
    <x v="11"/>
    <x v="394"/>
    <n v="55"/>
    <n v="11153"/>
    <m/>
    <n v="449"/>
    <n v="135.44041003123007"/>
    <n v="1.697452229299363"/>
    <n v="229.90362594473129"/>
    <n v="50.714285714285715"/>
    <n v="12.886986213102833"/>
    <m/>
    <m/>
  </r>
  <r>
    <x v="12"/>
    <x v="394"/>
    <n v="488"/>
    <n v="73495"/>
    <n v="2"/>
    <n v="1513"/>
    <n v="174.34224739717575"/>
    <n v="1.6222533894343152"/>
    <n v="282.82730176166427"/>
    <n v="330.42857142857144"/>
    <n v="16.601631051036126"/>
    <m/>
    <m/>
  </r>
  <r>
    <x v="13"/>
    <x v="394"/>
    <n v="82"/>
    <n v="12154"/>
    <m/>
    <n v="207"/>
    <n v="134.14794647401794"/>
    <n v="1.0149970005998801"/>
    <n v="136.15976330776147"/>
    <n v="123.85714285714286"/>
    <n v="9.8198471456411323"/>
    <m/>
    <m/>
  </r>
  <r>
    <x v="14"/>
    <x v="394"/>
    <n v="97"/>
    <n v="65311"/>
    <m/>
    <n v="1009"/>
    <n v="235.07018222833281"/>
    <n v="0.83879634605051046"/>
    <n v="197.17600991855321"/>
    <n v="108.71428571428571"/>
    <n v="16.371228029263406"/>
    <m/>
    <m/>
  </r>
  <r>
    <x v="15"/>
    <x v="394"/>
    <n v="128"/>
    <n v="55553"/>
    <n v="1"/>
    <n v="1282"/>
    <n v="177.63272294378083"/>
    <n v="0.98297557364914878"/>
    <n v="174.60862773452328"/>
    <n v="109.57142857142857"/>
    <n v="14.656228323782262"/>
    <m/>
    <m/>
  </r>
  <r>
    <x v="16"/>
    <x v="394"/>
    <n v="163"/>
    <n v="29525"/>
    <m/>
    <n v="1205"/>
    <n v="100.81459031435757"/>
    <n v="0.97027027027027024"/>
    <n v="97.817399791498289"/>
    <n v="119.85714285714286"/>
    <n v="8.4145882683790312"/>
    <m/>
    <m/>
  </r>
  <r>
    <x v="17"/>
    <x v="394"/>
    <n v="91"/>
    <n v="17393"/>
    <m/>
    <n v="224"/>
    <n v="155.52656944229324"/>
    <n v="1.6851595006934812"/>
    <n v="262.0870761059449"/>
    <n v="111.28571428571429"/>
    <n v="14.24517314468506"/>
    <m/>
    <m/>
  </r>
  <r>
    <x v="18"/>
    <x v="394"/>
    <n v="246"/>
    <n v="23049"/>
    <n v="14"/>
    <n v="430"/>
    <n v="297.64246706850696"/>
    <n v="2.0445945945945945"/>
    <n v="608.55817929006889"/>
    <n v="200.57142857142858"/>
    <n v="39.457088449077872"/>
    <m/>
    <m/>
  </r>
  <r>
    <x v="19"/>
    <x v="394"/>
    <n v="178"/>
    <n v="39583"/>
    <m/>
    <n v="642"/>
    <n v="470.8803438903139"/>
    <n v="1.2041958041958043"/>
    <n v="567.03213439099341"/>
    <n v="139.57142857142858"/>
    <n v="38.165762069092146"/>
    <m/>
    <m/>
  </r>
  <r>
    <x v="20"/>
    <x v="394"/>
    <n v="1022"/>
    <n v="232516"/>
    <m/>
    <n v="4273"/>
    <n v="231.98615095839915"/>
    <n v="1.3357212634321067"/>
    <n v="309.86883465690437"/>
    <n v="704.42857142857144"/>
    <n v="19.91926778532887"/>
    <m/>
    <m/>
  </r>
  <r>
    <x v="21"/>
    <x v="394"/>
    <n v="191"/>
    <n v="25301"/>
    <m/>
    <n v="297"/>
    <n v="150.8719602008764"/>
    <n v="1.5407098121085594"/>
    <n v="232.44990945354232"/>
    <n v="119"/>
    <n v="12.163796249257651"/>
    <m/>
    <m/>
  </r>
  <r>
    <x v="22"/>
    <x v="394"/>
    <n v="57"/>
    <n v="24145"/>
    <m/>
    <n v="367"/>
    <n v="365.32262625120171"/>
    <n v="1.5454545454545454"/>
    <n v="564.58951329731167"/>
    <n v="53.714285714285715"/>
    <n v="30.376228985062326"/>
    <m/>
    <m/>
  </r>
  <r>
    <x v="23"/>
    <x v="394"/>
    <n v="540"/>
    <n v="88392"/>
    <m/>
    <n v="1502"/>
    <n v="298.99873484648214"/>
    <n v="1.7648902821316614"/>
    <n v="527.69996150021768"/>
    <n v="454.57142857142856"/>
    <n v="26.823817256801885"/>
    <m/>
    <m/>
  </r>
  <r>
    <x v="0"/>
    <x v="395"/>
    <n v="5016"/>
    <n v="999670"/>
    <n v="56"/>
    <n v="28294"/>
    <n v="372.13656739889382"/>
    <n v="1.6469118982742961"/>
    <n v="612.87614063219269"/>
    <n v="5734.8571428571431"/>
    <n v="32.693752036182502"/>
    <m/>
    <m/>
  </r>
  <r>
    <x v="4"/>
    <x v="395"/>
    <n v="1699"/>
    <n v="264608"/>
    <n v="4"/>
    <n v="6888"/>
    <n v="581.0161507533702"/>
    <n v="1.5714034470629616"/>
    <n v="913.01078209309935"/>
    <n v="1517.5714285714287"/>
    <n v="49.341550639164211"/>
    <m/>
    <m/>
  </r>
  <r>
    <x v="1"/>
    <x v="395"/>
    <n v="94"/>
    <n v="10624"/>
    <m/>
    <n v="18"/>
    <n v="252.50458552178665"/>
    <n v="0.86337448559670782"/>
    <n v="218.00601663568247"/>
    <n v="75.571428571428569"/>
    <n v="18.190783840531815"/>
    <m/>
    <m/>
  </r>
  <r>
    <x v="2"/>
    <x v="395"/>
    <n v="189"/>
    <n v="38861"/>
    <n v="3"/>
    <n v="927"/>
    <n v="181.72897394111118"/>
    <n v="1.2060606060606061"/>
    <n v="219.17615645018864"/>
    <n v="171.71428571428572"/>
    <n v="14.255578325211488"/>
    <m/>
    <m/>
  </r>
  <r>
    <x v="3"/>
    <x v="395"/>
    <n v="48"/>
    <n v="50272"/>
    <n v="6"/>
    <n v="870"/>
    <n v="254.76822069357701"/>
    <n v="1.2779578606158832"/>
    <n v="325.58305027047885"/>
    <n v="124.14285714285714"/>
    <n v="20.055583275905281"/>
    <m/>
    <m/>
  </r>
  <r>
    <x v="6"/>
    <x v="395"/>
    <n v="194"/>
    <n v="30672"/>
    <m/>
    <n v="328"/>
    <n v="404.71055968008591"/>
    <n v="1.3863080684596576"/>
    <n v="561.05351427532685"/>
    <n v="397"/>
    <n v="35.421096162476658"/>
    <m/>
    <m/>
  </r>
  <r>
    <x v="5"/>
    <x v="395"/>
    <n v="697"/>
    <n v="182524"/>
    <n v="7"/>
    <n v="3045"/>
    <n v="299.96410004121844"/>
    <n v="1.3974231912784936"/>
    <n v="419.17678994858079"/>
    <n v="899.85714285714289"/>
    <n v="23.92950691691534"/>
    <m/>
    <m/>
  </r>
  <r>
    <x v="7"/>
    <x v="395"/>
    <n v="160"/>
    <n v="50335"/>
    <n v="1"/>
    <n v="949"/>
    <n v="179.44227867883728"/>
    <n v="1.2360834990059641"/>
    <n v="221.8056396989405"/>
    <n v="195.28571428571428"/>
    <n v="14.090274855188152"/>
    <m/>
    <m/>
  </r>
  <r>
    <x v="8"/>
    <x v="395"/>
    <n v="0"/>
    <n v="2294"/>
    <m/>
    <n v="36"/>
    <n v="100.629055524436"/>
    <n v="1.75"/>
    <n v="176.10084716776299"/>
    <n v="54.142857142857146"/>
    <n v="8.9463786168804251"/>
    <m/>
    <m/>
  </r>
  <r>
    <x v="9"/>
    <x v="395"/>
    <n v="52"/>
    <n v="22585"/>
    <n v="3"/>
    <n v="974"/>
    <n v="83.540779964741631"/>
    <n v="0.81313131313131315"/>
    <n v="67.929624112744463"/>
    <n v="53.857142857142854"/>
    <n v="6.9864405604941435"/>
    <m/>
    <m/>
  </r>
  <r>
    <x v="10"/>
    <x v="395"/>
    <n v="67"/>
    <n v="21452"/>
    <m/>
    <n v="321"/>
    <n v="299.36277299764527"/>
    <n v="0.88312757201646086"/>
    <n v="264.37551886952542"/>
    <n v="78.285714285714292"/>
    <n v="21.841405885063192"/>
    <m/>
    <m/>
  </r>
  <r>
    <x v="11"/>
    <x v="395"/>
    <n v="51"/>
    <n v="11204"/>
    <m/>
    <n v="449"/>
    <n v="141.79314971374555"/>
    <n v="1.7602523659305993"/>
    <n v="249.59172725637228"/>
    <n v="54.142857142857146"/>
    <n v="13.758219083847816"/>
    <m/>
    <m/>
  </r>
  <r>
    <x v="12"/>
    <x v="395"/>
    <n v="235"/>
    <n v="73730"/>
    <m/>
    <n v="1513"/>
    <n v="175.44758729421838"/>
    <n v="1.5937927886809675"/>
    <n v="279.6270994209998"/>
    <n v="316"/>
    <n v="15.876700339339349"/>
    <m/>
    <m/>
  </r>
  <r>
    <x v="13"/>
    <x v="395"/>
    <n v="89"/>
    <n v="12243"/>
    <m/>
    <n v="207"/>
    <n v="131.76943678476232"/>
    <n v="0.99164677804295942"/>
    <n v="130.66873743214498"/>
    <n v="115.14285714285714"/>
    <n v="9.1289467120954466"/>
    <m/>
    <m/>
  </r>
  <r>
    <x v="14"/>
    <x v="395"/>
    <n v="60"/>
    <n v="65371"/>
    <m/>
    <n v="1009"/>
    <n v="220.16182345792603"/>
    <n v="0.79542981501632204"/>
    <n v="175.12327850679426"/>
    <n v="96.142857142857139"/>
    <n v="14.478103106037153"/>
    <m/>
    <m/>
  </r>
  <r>
    <x v="15"/>
    <x v="395"/>
    <n v="36"/>
    <n v="55589"/>
    <n v="2"/>
    <n v="1284"/>
    <n v="173.08489720576236"/>
    <n v="1.0237341772151898"/>
    <n v="177.19292482931684"/>
    <n v="97.142857142857139"/>
    <n v="12.993787822909958"/>
    <m/>
    <m/>
  </r>
  <r>
    <x v="16"/>
    <x v="395"/>
    <n v="67"/>
    <n v="29592"/>
    <m/>
    <n v="1205"/>
    <n v="101.30602633956684"/>
    <n v="1.055596196049744"/>
    <n v="106.93825604096193"/>
    <n v="110"/>
    <n v="7.7225661104312913"/>
    <m/>
    <m/>
  </r>
  <r>
    <x v="17"/>
    <x v="395"/>
    <n v="43"/>
    <n v="17436"/>
    <m/>
    <n v="224"/>
    <n v="149.25430450182216"/>
    <n v="1.5525965379494009"/>
    <n v="231.73171644357475"/>
    <n v="94.857142857142861"/>
    <n v="12.14222717339009"/>
    <m/>
    <m/>
  </r>
  <r>
    <x v="18"/>
    <x v="395"/>
    <n v="141"/>
    <n v="23190"/>
    <m/>
    <n v="430"/>
    <n v="322.42961237626099"/>
    <n v="2.1853333333333333"/>
    <n v="704.61617957958902"/>
    <n v="161.14285714285714"/>
    <n v="31.700566788148034"/>
    <m/>
    <m/>
  </r>
  <r>
    <x v="19"/>
    <x v="395"/>
    <n v="58"/>
    <n v="39641"/>
    <m/>
    <n v="642"/>
    <n v="450.37161811111901"/>
    <n v="1.1656050955414012"/>
    <n v="524.9554529575463"/>
    <n v="133"/>
    <n v="36.368807048438875"/>
    <m/>
    <m/>
  </r>
  <r>
    <x v="20"/>
    <x v="395"/>
    <n v="469"/>
    <n v="232985"/>
    <m/>
    <n v="4273"/>
    <n v="230.48745934445532"/>
    <n v="1.3281733746130031"/>
    <n v="306.12730668350258"/>
    <n v="678.28571428571433"/>
    <n v="19.180020978450916"/>
    <m/>
    <m/>
  </r>
  <r>
    <x v="21"/>
    <x v="395"/>
    <n v="104"/>
    <n v="25405"/>
    <m/>
    <n v="297"/>
    <n v="149.84979244883795"/>
    <n v="1.4943934760448523"/>
    <n v="223.9345522222186"/>
    <n v="119"/>
    <n v="12.163796249257651"/>
    <m/>
    <m/>
  </r>
  <r>
    <x v="22"/>
    <x v="395"/>
    <n v="68"/>
    <n v="24213"/>
    <m/>
    <n v="367"/>
    <n v="382.28807329073118"/>
    <n v="1.6568627450980393"/>
    <n v="633.39886653072131"/>
    <n v="56.428571428571431"/>
    <n v="31.911198002924522"/>
    <m/>
    <m/>
  </r>
  <r>
    <x v="23"/>
    <x v="395"/>
    <n v="265"/>
    <n v="88657"/>
    <m/>
    <n v="1502"/>
    <n v="294.63206692095622"/>
    <n v="1.6738183037210861"/>
    <n v="493.16054647547247"/>
    <n v="395.28571428571428"/>
    <n v="23.32542499986512"/>
    <m/>
    <m/>
  </r>
  <r>
    <x v="0"/>
    <x v="396"/>
    <n v="5306"/>
    <n v="1004976"/>
    <n v="53"/>
    <n v="28347"/>
    <n v="384.24524379571432"/>
    <n v="1.6600004925744403"/>
    <n v="637.84729397027161"/>
    <n v="5732.1428571428569"/>
    <n v="32.678278209740498"/>
    <m/>
    <m/>
  </r>
  <r>
    <x v="4"/>
    <x v="396"/>
    <n v="1888"/>
    <n v="266496"/>
    <n v="8"/>
    <n v="6896"/>
    <n v="615.02526623675158"/>
    <n v="1.6359076364265328"/>
    <n v="1006.1245296319634"/>
    <n v="1576.4285714285713"/>
    <n v="51.255202043036526"/>
    <m/>
    <m/>
  </r>
  <r>
    <x v="1"/>
    <x v="396"/>
    <n v="83"/>
    <n v="10707"/>
    <m/>
    <n v="18"/>
    <n v="254.91168357251863"/>
    <n v="0.85265700483091789"/>
    <n v="217.35223261135042"/>
    <n v="80.142857142857139"/>
    <n v="19.291171520866445"/>
    <m/>
    <m/>
  </r>
  <r>
    <x v="2"/>
    <x v="396"/>
    <n v="84"/>
    <n v="38945"/>
    <n v="3"/>
    <n v="930"/>
    <n v="174.58932489637132"/>
    <n v="1.1288244766505635"/>
    <n v="197.08070330492157"/>
    <n v="151"/>
    <n v="12.535895415764179"/>
    <m/>
    <m/>
  </r>
  <r>
    <x v="3"/>
    <x v="396"/>
    <n v="41"/>
    <n v="50313"/>
    <m/>
    <n v="870"/>
    <n v="255.73753542037562"/>
    <n v="1.2890879478827362"/>
    <n v="329.66817473164059"/>
    <n v="117.28571428571429"/>
    <n v="18.947795016706834"/>
    <m/>
    <m/>
  </r>
  <r>
    <x v="6"/>
    <x v="396"/>
    <n v="193"/>
    <n v="30865"/>
    <m/>
    <n v="328"/>
    <n v="400.96323968304807"/>
    <n v="1.3495495495495495"/>
    <n v="541.11975950018564"/>
    <n v="422"/>
    <n v="37.651643779761081"/>
    <m/>
    <m/>
  </r>
  <r>
    <x v="5"/>
    <x v="396"/>
    <n v="585"/>
    <n v="183109"/>
    <n v="3"/>
    <n v="3048"/>
    <n v="300.8948397133322"/>
    <n v="1.3781973203410476"/>
    <n v="414.69246179736348"/>
    <n v="868.71428571428567"/>
    <n v="23.101338555605995"/>
    <m/>
    <m/>
  </r>
  <r>
    <x v="7"/>
    <x v="396"/>
    <n v="109"/>
    <n v="50444"/>
    <n v="1"/>
    <n v="950"/>
    <n v="176.48404248027182"/>
    <n v="1.1868025230470645"/>
    <n v="209.4517068931319"/>
    <n v="186.71428571428572"/>
    <n v="13.471828263153562"/>
    <m/>
    <m/>
  </r>
  <r>
    <x v="8"/>
    <x v="396"/>
    <n v="4"/>
    <n v="2298"/>
    <n v="5"/>
    <n v="41"/>
    <n v="100.629055524436"/>
    <n v="1.7449856733524356"/>
    <n v="175.59626021312758"/>
    <n v="50.142857142857146"/>
    <n v="8.2854324393800241"/>
    <m/>
    <m/>
  </r>
  <r>
    <x v="9"/>
    <x v="396"/>
    <n v="27"/>
    <n v="22612"/>
    <n v="2"/>
    <n v="976"/>
    <n v="82.892171424642711"/>
    <n v="0.83203125"/>
    <n v="68.968877005659749"/>
    <n v="51.857142857142854"/>
    <n v="6.7269971444545735"/>
    <m/>
    <m/>
  </r>
  <r>
    <x v="10"/>
    <x v="396"/>
    <n v="64"/>
    <n v="21516"/>
    <m/>
    <n v="321"/>
    <n v="299.36277299764527"/>
    <n v="0.86184738955823292"/>
    <n v="258.00502443893441"/>
    <n v="72.285714285714292"/>
    <n v="20.167429521609442"/>
    <m/>
    <m/>
  </r>
  <r>
    <x v="11"/>
    <x v="396"/>
    <n v="97"/>
    <n v="11301"/>
    <m/>
    <n v="449"/>
    <n v="159.5808208247889"/>
    <n v="1.9503105590062111"/>
    <n v="311.23215986946406"/>
    <n v="63.714285714285715"/>
    <n v="16.190410848010885"/>
    <m/>
    <m/>
  </r>
  <r>
    <x v="12"/>
    <x v="396"/>
    <n v="271"/>
    <n v="74001"/>
    <m/>
    <n v="1513"/>
    <n v="182.02938395388119"/>
    <n v="1.6415949252378794"/>
    <n v="298.81851294286884"/>
    <n v="325"/>
    <n v="16.328884842674963"/>
    <m/>
    <m/>
  </r>
  <r>
    <x v="13"/>
    <x v="396"/>
    <n v="63"/>
    <n v="12306"/>
    <n v="3"/>
    <n v="210"/>
    <n v="129.39092709550667"/>
    <n v="0.98254063816977721"/>
    <n v="127.13184408179823"/>
    <n v="107.14285714285714"/>
    <n v="8.4946774616272762"/>
    <m/>
    <m/>
  </r>
  <r>
    <x v="14"/>
    <x v="396"/>
    <n v="63"/>
    <n v="65434"/>
    <n v="4"/>
    <n v="1013"/>
    <n v="216.39708639469202"/>
    <n v="0.78310626702997277"/>
    <n v="169.46191452270978"/>
    <n v="90.714285714285708"/>
    <n v="13.660617343734906"/>
    <m/>
    <m/>
  </r>
  <r>
    <x v="15"/>
    <x v="396"/>
    <n v="111"/>
    <n v="55700"/>
    <m/>
    <n v="1284"/>
    <n v="176.83016546060111"/>
    <n v="1.0360501567398119"/>
    <n v="183.20492064178265"/>
    <n v="102.14285714285714"/>
    <n v="13.662585725559735"/>
    <m/>
    <m/>
  </r>
  <r>
    <x v="16"/>
    <x v="396"/>
    <n v="74"/>
    <n v="29666"/>
    <m/>
    <n v="1205"/>
    <n v="98.427615334769726"/>
    <n v="0.98732394366197185"/>
    <n v="97.179941337568422"/>
    <n v="106"/>
    <n v="7.441745524597426"/>
    <m/>
    <m/>
  </r>
  <r>
    <x v="17"/>
    <x v="396"/>
    <n v="14"/>
    <n v="17450"/>
    <m/>
    <n v="224"/>
    <n v="145.79815851421563"/>
    <n v="1.4472681067344346"/>
    <n v="211.00902483823583"/>
    <n v="92.285714285714292"/>
    <n v="11.813070412665661"/>
    <m/>
    <m/>
  </r>
  <r>
    <x v="18"/>
    <x v="396"/>
    <n v="243"/>
    <n v="23433"/>
    <m/>
    <n v="430"/>
    <n v="370.03666923718544"/>
    <n v="2.508"/>
    <n v="928.05196644686112"/>
    <n v="183.85714285714286"/>
    <n v="36.168997744988054"/>
    <m/>
    <m/>
  </r>
  <r>
    <x v="19"/>
    <x v="396"/>
    <n v="70"/>
    <n v="39711"/>
    <m/>
    <n v="642"/>
    <n v="428.49564394664452"/>
    <n v="1.0228459530026111"/>
    <n v="438.2850352900731"/>
    <n v="122.42857142857143"/>
    <n v="33.478053319561887"/>
    <m/>
    <m/>
  </r>
  <r>
    <x v="20"/>
    <x v="396"/>
    <n v="495"/>
    <n v="233480"/>
    <n v="1"/>
    <n v="4274"/>
    <n v="233.11723896892278"/>
    <n v="1.3292486294743631"/>
    <n v="309.87077040628816"/>
    <n v="651"/>
    <n v="18.408457371272288"/>
    <m/>
    <m/>
  </r>
  <r>
    <x v="21"/>
    <x v="396"/>
    <n v="142"/>
    <n v="25547"/>
    <m/>
    <n v="297"/>
    <n v="154.65398088341871"/>
    <n v="1.4804305283757337"/>
    <n v="228.95447463465018"/>
    <n v="120.71428571428571"/>
    <n v="12.339025006749958"/>
    <m/>
    <m/>
  </r>
  <r>
    <x v="22"/>
    <x v="396"/>
    <n v="18"/>
    <n v="24231"/>
    <m/>
    <n v="367"/>
    <n v="377.76395408018999"/>
    <n v="1.5754716981132075"/>
    <n v="595.15641822067664"/>
    <n v="53"/>
    <n v="29.972289769835434"/>
    <m/>
    <m/>
  </r>
  <r>
    <x v="23"/>
    <x v="396"/>
    <n v="339"/>
    <n v="88996"/>
    <m/>
    <n v="1502"/>
    <n v="301.1820688092451"/>
    <n v="1.6332800000000001"/>
    <n v="491.91464934476386"/>
    <n v="408.71428571428572"/>
    <n v="24.117831920713449"/>
    <m/>
    <m/>
  </r>
  <r>
    <x v="0"/>
    <x v="397"/>
    <n v="5274"/>
    <n v="1010250"/>
    <n v="76"/>
    <n v="28423"/>
    <n v="404.86533914755034"/>
    <n v="1.7208141507148049"/>
    <n v="696.69800473905332"/>
    <n v="6020.2857142857147"/>
    <n v="34.320947048346028"/>
    <m/>
    <m/>
  </r>
  <r>
    <x v="4"/>
    <x v="397"/>
    <n v="1944"/>
    <n v="268440"/>
    <n v="9"/>
    <n v="6905"/>
    <n v="657.97559276977904"/>
    <n v="1.7212724334439058"/>
    <n v="1132.5552497135341"/>
    <n v="1705"/>
    <n v="55.435508507806162"/>
    <m/>
    <m/>
  </r>
  <r>
    <x v="1"/>
    <x v="397"/>
    <n v="52"/>
    <n v="10759"/>
    <m/>
    <n v="18"/>
    <n v="254.91168357251863"/>
    <n v="0.84855769230769229"/>
    <n v="216.30726995456507"/>
    <n v="76.142857142857139"/>
    <n v="18.328332300573646"/>
    <m/>
    <m/>
  </r>
  <r>
    <x v="2"/>
    <x v="397"/>
    <n v="75"/>
    <n v="39020"/>
    <n v="1"/>
    <n v="931"/>
    <n v="170.8534620241237"/>
    <n v="1.0837282780410742"/>
    <n v="185.15872819675965"/>
    <n v="148.14285714285714"/>
    <n v="12.298697773081791"/>
    <m/>
    <m/>
  </r>
  <r>
    <x v="3"/>
    <x v="397"/>
    <n v="22"/>
    <n v="50335"/>
    <m/>
    <n v="870"/>
    <n v="256.54529769270783"/>
    <n v="1.3200332502078138"/>
    <n v="338.6483231388363"/>
    <n v="110.42857142857143"/>
    <n v="17.84000675750838"/>
    <m/>
    <m/>
  </r>
  <r>
    <x v="6"/>
    <x v="397"/>
    <n v="7"/>
    <n v="30872"/>
    <m/>
    <n v="328"/>
    <n v="393.02249016551553"/>
    <n v="1.3401277760876178"/>
    <n v="526.70035569792992"/>
    <n v="355"/>
    <n v="31.673776165438824"/>
    <m/>
    <m/>
  </r>
  <r>
    <x v="5"/>
    <x v="397"/>
    <n v="755"/>
    <n v="183864"/>
    <n v="5"/>
    <n v="3053"/>
    <n v="310.20223643446928"/>
    <n v="1.3955018542887905"/>
    <n v="432.88779614883168"/>
    <n v="913.28571428571433"/>
    <n v="24.286607036012029"/>
    <m/>
    <m/>
  </r>
  <r>
    <x v="7"/>
    <x v="397"/>
    <n v="156"/>
    <n v="50600"/>
    <m/>
    <n v="950"/>
    <n v="178.57645344998886"/>
    <n v="1.1608818011257036"/>
    <n v="207.30615491966344"/>
    <n v="197.14285714285714"/>
    <n v="14.224271616795647"/>
    <m/>
    <m/>
  </r>
  <r>
    <x v="8"/>
    <x v="397"/>
    <n v="21"/>
    <n v="2319"/>
    <m/>
    <n v="41"/>
    <n v="103.1076036900625"/>
    <n v="1.9082568807339451"/>
    <n v="196.75579419755047"/>
    <n v="48.571428571428569"/>
    <n v="8.0257750125048659"/>
    <m/>
    <m/>
  </r>
  <r>
    <x v="9"/>
    <x v="397"/>
    <n v="35"/>
    <n v="22647"/>
    <m/>
    <n v="976"/>
    <n v="80.816624096326152"/>
    <n v="0.8165137614678899"/>
    <n v="65.98788573002777"/>
    <n v="50.142857142857146"/>
    <n v="6.5046170735635132"/>
    <m/>
    <m/>
  </r>
  <r>
    <x v="10"/>
    <x v="397"/>
    <n v="86"/>
    <n v="21602"/>
    <m/>
    <n v="321"/>
    <n v="310.52261542067026"/>
    <n v="0.89182692307692313"/>
    <n v="276.93242865641508"/>
    <n v="78"/>
    <n v="21.761692724898722"/>
    <m/>
    <m/>
  </r>
  <r>
    <x v="11"/>
    <x v="397"/>
    <n v="60"/>
    <n v="11361"/>
    <m/>
    <n v="449"/>
    <n v="169.49109472951307"/>
    <n v="2.0151057401812689"/>
    <n v="341.542477899049"/>
    <n v="65.571428571428569"/>
    <n v="16.662328652997747"/>
    <m/>
    <m/>
  </r>
  <r>
    <x v="12"/>
    <x v="397"/>
    <n v="356"/>
    <n v="74357"/>
    <m/>
    <n v="1513"/>
    <n v="196.24807444765662"/>
    <n v="1.7562949640287771"/>
    <n v="344.66950485276385"/>
    <n v="359.28571428571428"/>
    <n v="18.051492474429683"/>
    <m/>
    <m/>
  </r>
  <r>
    <x v="13"/>
    <x v="397"/>
    <n v="3"/>
    <n v="12309"/>
    <m/>
    <n v="210"/>
    <n v="120.03545565110117"/>
    <n v="0.90496114763897195"/>
    <n v="108.62742370338744"/>
    <n v="87.285714285714292"/>
    <n v="6.9203305720723556"/>
    <m/>
    <m/>
  </r>
  <r>
    <x v="14"/>
    <x v="397"/>
    <n v="64"/>
    <n v="65498"/>
    <m/>
    <n v="1013"/>
    <n v="216.99944432480947"/>
    <n v="0.81782065834279227"/>
    <n v="177.46662841773579"/>
    <n v="89.571428571428569"/>
    <n v="13.488515077987067"/>
    <m/>
    <m/>
  </r>
  <r>
    <x v="15"/>
    <x v="397"/>
    <n v="31"/>
    <n v="55731"/>
    <m/>
    <n v="1284"/>
    <n v="177.90024210484074"/>
    <n v="1.0350194552529184"/>
    <n v="184.13021167271455"/>
    <n v="100.14285714285714"/>
    <n v="13.395066564499825"/>
    <m/>
    <m/>
  </r>
  <r>
    <x v="16"/>
    <x v="397"/>
    <n v="76"/>
    <n v="29742"/>
    <n v="1"/>
    <n v="1206"/>
    <n v="100.81459031435757"/>
    <n v="0.99377162629757787"/>
    <n v="100.18667937122316"/>
    <n v="109.14285714285714"/>
    <n v="7.6623902706097482"/>
    <m/>
    <m/>
  </r>
  <r>
    <x v="17"/>
    <x v="397"/>
    <n v="27"/>
    <n v="17477"/>
    <m/>
    <n v="224"/>
    <n v="148.7422828740286"/>
    <n v="1.4878361075544173"/>
    <n v="221.30413918005277"/>
    <n v="93"/>
    <n v="11.904502846200224"/>
    <m/>
    <m/>
  </r>
  <r>
    <x v="18"/>
    <x v="397"/>
    <n v="185"/>
    <n v="23618"/>
    <m/>
    <n v="430"/>
    <n v="406.43049369698304"/>
    <n v="2.7546666666666666"/>
    <n v="1119.5805333039559"/>
    <n v="181.28571428571428"/>
    <n v="35.663137636666534"/>
    <m/>
    <m/>
  </r>
  <r>
    <x v="19"/>
    <x v="397"/>
    <n v="77"/>
    <n v="39788"/>
    <n v="1"/>
    <n v="643"/>
    <n v="436.9725839353784"/>
    <n v="1.0464963981663393"/>
    <n v="457.29023518581187"/>
    <n v="119.14285714285714"/>
    <n v="32.579575809235251"/>
    <m/>
    <m/>
  </r>
  <r>
    <x v="20"/>
    <x v="397"/>
    <n v="318"/>
    <n v="233798"/>
    <m/>
    <n v="4274"/>
    <n v="235.23802898865461"/>
    <n v="1.3383204633204633"/>
    <n v="314.82386794668878"/>
    <n v="663"/>
    <n v="18.747783774429379"/>
    <m/>
    <m/>
  </r>
  <r>
    <x v="21"/>
    <x v="397"/>
    <n v="89"/>
    <n v="25636"/>
    <m/>
    <n v="297"/>
    <n v="156.59609961229177"/>
    <n v="1.4384976525821596"/>
    <n v="225.26312169580373"/>
    <n v="114"/>
    <n v="11.652712373238423"/>
    <m/>
    <m/>
  </r>
  <r>
    <x v="22"/>
    <x v="397"/>
    <n v="74"/>
    <n v="24305"/>
    <m/>
    <n v="367"/>
    <n v="406.60521404739012"/>
    <n v="1.7536585365853659"/>
    <n v="713.04670463432558"/>
    <n v="53.428571428571431"/>
    <n v="30.214653298971573"/>
    <m/>
    <m/>
  </r>
  <r>
    <x v="23"/>
    <x v="397"/>
    <n v="168"/>
    <n v="89164"/>
    <m/>
    <n v="1502"/>
    <n v="304.84062842252348"/>
    <n v="1.6281121966593131"/>
    <n v="496.31474517200013"/>
    <n v="390.85714285714283"/>
    <n v="23.064099313202377"/>
    <m/>
    <m/>
  </r>
  <r>
    <x v="0"/>
    <x v="398"/>
    <n v="6243"/>
    <n v="1016493"/>
    <n v="163"/>
    <n v="28586"/>
    <n v="425.4797336159603"/>
    <n v="1.7809860163222451"/>
    <n v="757.7734557985392"/>
    <n v="5989.8571428571431"/>
    <n v="34.147477309812075"/>
    <m/>
    <m/>
  </r>
  <r>
    <x v="4"/>
    <x v="398"/>
    <n v="2428"/>
    <n v="270868"/>
    <n v="41"/>
    <n v="6946"/>
    <n v="707.81878018471571"/>
    <n v="1.8203863199264152"/>
    <n v="1288.5036244352589"/>
    <n v="1750.5714285714287"/>
    <n v="56.917194910318962"/>
    <m/>
    <m/>
  </r>
  <r>
    <x v="1"/>
    <x v="398"/>
    <n v="110"/>
    <n v="10869"/>
    <m/>
    <n v="18"/>
    <n v="266.70646402110543"/>
    <n v="0.89789303079416527"/>
    <n v="239.47387531230535"/>
    <n v="79.857142857142861"/>
    <n v="19.222397290845532"/>
    <m/>
    <m/>
  </r>
  <r>
    <x v="2"/>
    <x v="398"/>
    <n v="90"/>
    <n v="39110"/>
    <n v="12"/>
    <n v="943"/>
    <n v="170.18930862461303"/>
    <n v="1.0915867944621938"/>
    <n v="185.77640185327832"/>
    <n v="127"/>
    <n v="10.543435217232124"/>
    <m/>
    <m/>
  </r>
  <r>
    <x v="3"/>
    <x v="398"/>
    <n v="154"/>
    <n v="50489"/>
    <m/>
    <n v="870"/>
    <n v="262.84584341689907"/>
    <n v="1.3026421136909527"/>
    <n v="342.39406504347062"/>
    <n v="103.28571428571429"/>
    <n v="16.686060654176664"/>
    <m/>
    <m/>
  </r>
  <r>
    <x v="6"/>
    <x v="398"/>
    <n v="60"/>
    <n v="30932"/>
    <n v="3"/>
    <n v="331"/>
    <n v="382.40508350724167"/>
    <n v="1.3115055079559363"/>
    <n v="501.52637329009724"/>
    <n v="293.28571428571428"/>
    <n v="26.167510047342418"/>
    <m/>
    <m/>
  </r>
  <r>
    <x v="5"/>
    <x v="398"/>
    <n v="1048"/>
    <n v="184912"/>
    <n v="7"/>
    <n v="3060"/>
    <n v="321.79659349280007"/>
    <n v="1.427173015685812"/>
    <n v="459.25941477254082"/>
    <n v="909.28571428571433"/>
    <n v="24.180236787770461"/>
    <m/>
    <m/>
  </r>
  <r>
    <x v="7"/>
    <x v="398"/>
    <n v="107"/>
    <n v="50707"/>
    <m/>
    <n v="950"/>
    <n v="173.8144146913225"/>
    <n v="1.085135135135135"/>
    <n v="188.61212837450265"/>
    <n v="181.71428571428572"/>
    <n v="13.11106775113338"/>
    <m/>
    <m/>
  </r>
  <r>
    <x v="8"/>
    <x v="398"/>
    <n v="30"/>
    <n v="2349"/>
    <m/>
    <n v="41"/>
    <n v="104.42949604506332"/>
    <n v="1.9446153846153846"/>
    <n v="203.07520461686158"/>
    <n v="42.142857142857146"/>
    <n v="6.9635400843792219"/>
    <m/>
    <m/>
  </r>
  <r>
    <x v="9"/>
    <x v="398"/>
    <n v="46"/>
    <n v="22693"/>
    <n v="1"/>
    <n v="977"/>
    <n v="84.578553628899925"/>
    <n v="0.87516778523489935"/>
    <n v="74.020425457775502"/>
    <n v="52.714285714285715"/>
    <n v="6.8381871799001024"/>
    <m/>
    <m/>
  </r>
  <r>
    <x v="10"/>
    <x v="398"/>
    <n v="138"/>
    <n v="21740"/>
    <m/>
    <n v="321"/>
    <n v="330.33133572153963"/>
    <n v="0.9502407704654896"/>
    <n v="313.89430296493015"/>
    <n v="83.142857142857139"/>
    <n v="23.196529607859077"/>
    <m/>
    <m/>
  </r>
  <r>
    <x v="11"/>
    <x v="398"/>
    <n v="43"/>
    <n v="11404"/>
    <m/>
    <n v="449"/>
    <n v="176.35205358662978"/>
    <n v="2.103030303030303"/>
    <n v="370.87371269430628"/>
    <n v="56.571428571428569"/>
    <n v="14.375342367292173"/>
    <m/>
    <m/>
  </r>
  <r>
    <x v="12"/>
    <x v="398"/>
    <n v="597"/>
    <n v="74954"/>
    <n v="6"/>
    <n v="1519"/>
    <n v="220.06312495666566"/>
    <n v="1.9738621000450653"/>
    <n v="434.37426196944369"/>
    <n v="391.28571428571428"/>
    <n v="19.659259597400759"/>
    <m/>
    <m/>
  </r>
  <r>
    <x v="13"/>
    <x v="398"/>
    <n v="87"/>
    <n v="12396"/>
    <n v="1"/>
    <n v="211"/>
    <n v="118.44978252493075"/>
    <n v="0.89407540394973073"/>
    <n v="105.90303715873522"/>
    <n v="81.714285714285708"/>
    <n v="6.4786073440677354"/>
    <m/>
    <m/>
  </r>
  <r>
    <x v="14"/>
    <x v="398"/>
    <n v="192"/>
    <n v="65690"/>
    <m/>
    <n v="1013"/>
    <n v="225.13127638139497"/>
    <n v="0.8436794582392777"/>
    <n v="189.93863329017239"/>
    <n v="99.714285714285708"/>
    <n v="15.015922686499158"/>
    <m/>
    <m/>
  </r>
  <r>
    <x v="15"/>
    <x v="398"/>
    <n v="147"/>
    <n v="55878"/>
    <n v="3"/>
    <n v="1287"/>
    <n v="184.18694238974868"/>
    <n v="1.0808477237048666"/>
    <n v="199.07803741811927"/>
    <n v="98"/>
    <n v="13.108438891935634"/>
    <m/>
    <m/>
  </r>
  <r>
    <x v="16"/>
    <x v="398"/>
    <n v="82"/>
    <n v="29824"/>
    <n v="8"/>
    <n v="1214"/>
    <n v="100.32315428914831"/>
    <n v="0.95841716968477531"/>
    <n v="96.151433587654552"/>
    <n v="99.857142857142861"/>
    <n v="7.0104853392097048"/>
    <m/>
    <m/>
  </r>
  <r>
    <x v="17"/>
    <x v="398"/>
    <n v="144"/>
    <n v="17621"/>
    <m/>
    <n v="224"/>
    <n v="157.44665054651909"/>
    <n v="1.5789473684210527"/>
    <n v="248.59997454713542"/>
    <n v="91"/>
    <n v="11.648492032303444"/>
    <m/>
    <m/>
  </r>
  <r>
    <x v="18"/>
    <x v="398"/>
    <n v="270"/>
    <n v="23888"/>
    <n v="8"/>
    <n v="438"/>
    <n v="459.34908169528342"/>
    <n v="3.1216577540106951"/>
    <n v="1433.9306226717738"/>
    <n v="192.57142857142858"/>
    <n v="37.88330144541095"/>
    <m/>
    <m/>
  </r>
  <r>
    <x v="19"/>
    <x v="398"/>
    <n v="187"/>
    <n v="39975"/>
    <n v="3"/>
    <n v="646"/>
    <n v="461.30960519335628"/>
    <n v="1.101894186806009"/>
    <n v="508.3143722803344"/>
    <n v="121"/>
    <n v="33.087410923767699"/>
    <m/>
    <m/>
  </r>
  <r>
    <x v="20"/>
    <x v="398"/>
    <n v="843"/>
    <n v="234641"/>
    <n v="11"/>
    <n v="4285"/>
    <n v="246.74684949573268"/>
    <n v="1.3713657079993713"/>
    <n v="338.38016795532974"/>
    <n v="659.28571428571433"/>
    <n v="18.642754173452186"/>
    <m/>
    <m/>
  </r>
  <r>
    <x v="21"/>
    <x v="398"/>
    <n v="122"/>
    <n v="25758"/>
    <n v="5"/>
    <n v="302"/>
    <n v="161.09363772126099"/>
    <n v="1.4340309372156506"/>
    <n v="231.01326028089838"/>
    <n v="118.14285714285714"/>
    <n v="12.076181870511496"/>
    <m/>
    <m/>
  </r>
  <r>
    <x v="22"/>
    <x v="398"/>
    <n v="59"/>
    <n v="24364"/>
    <m/>
    <n v="367"/>
    <n v="420.74308658033141"/>
    <n v="1.8146341463414635"/>
    <n v="763.49477174577214"/>
    <n v="54.142857142857146"/>
    <n v="30.618592514198465"/>
    <m/>
    <m/>
  </r>
  <r>
    <x v="23"/>
    <x v="398"/>
    <n v="440"/>
    <n v="89604"/>
    <m/>
    <n v="1502"/>
    <n v="316.70144265266816"/>
    <n v="1.6352833638025595"/>
    <n v="517.89660046217853"/>
    <n v="402.14285714285717"/>
    <n v="23.730058321149375"/>
    <m/>
    <m/>
  </r>
  <r>
    <x v="0"/>
    <x v="399"/>
    <n v="10402"/>
    <n v="1026895"/>
    <n v="82"/>
    <n v="28668"/>
    <n v="459.82755625760035"/>
    <n v="1.8698333217423557"/>
    <n v="859.80088694581877"/>
    <n v="6770.1428571428569"/>
    <n v="38.595795205926784"/>
    <m/>
    <m/>
  </r>
  <r>
    <x v="4"/>
    <x v="399"/>
    <n v="2281"/>
    <n v="273149"/>
    <n v="12"/>
    <n v="6958"/>
    <n v="743.61613787802628"/>
    <n v="1.8651932800521938"/>
    <n v="1386.9878233084603"/>
    <n v="1931.8571428571429"/>
    <n v="62.811427025644143"/>
    <m/>
    <m/>
  </r>
  <r>
    <x v="1"/>
    <x v="399"/>
    <n v="124"/>
    <n v="10993"/>
    <m/>
    <n v="18"/>
    <n v="276.5755660291066"/>
    <n v="0.93795918367346942"/>
    <n v="259.41659213668856"/>
    <n v="87.428571428571431"/>
    <n v="21.044914386399761"/>
    <m/>
    <m/>
  </r>
  <r>
    <x v="2"/>
    <x v="399"/>
    <n v="229"/>
    <n v="39339"/>
    <n v="4"/>
    <n v="947"/>
    <n v="177.99311106886358"/>
    <n v="1.1195822454308093"/>
    <n v="199.27792696169374"/>
    <n v="146"/>
    <n v="12.120799541070001"/>
    <m/>
    <m/>
  </r>
  <r>
    <x v="3"/>
    <x v="399"/>
    <n v="154"/>
    <n v="50643"/>
    <m/>
    <n v="870"/>
    <n v="262.52273850796615"/>
    <n v="1.2442572741194486"/>
    <n v="326.64582701029479"/>
    <n v="106.42857142857143"/>
    <n v="17.193796939642617"/>
    <m/>
    <m/>
  </r>
  <r>
    <x v="6"/>
    <x v="399"/>
    <n v="467"/>
    <n v="31399"/>
    <n v="4"/>
    <n v="335"/>
    <n v="414.79263491021152"/>
    <n v="1.4872040946896994"/>
    <n v="616.88130508559607"/>
    <n v="233.42857142857142"/>
    <n v="20.826941752244281"/>
    <m/>
    <m/>
  </r>
  <r>
    <x v="5"/>
    <x v="399"/>
    <n v="1843"/>
    <n v="186755"/>
    <n v="13"/>
    <n v="3073"/>
    <n v="349.08056216676198"/>
    <n v="1.5269279981388857"/>
    <n v="533.0208839784907"/>
    <n v="1054.5714285714287"/>
    <n v="28.04375616140166"/>
    <m/>
    <m/>
  </r>
  <r>
    <x v="7"/>
    <x v="399"/>
    <n v="415"/>
    <n v="51122"/>
    <n v="3"/>
    <n v="953"/>
    <n v="190.84231085867498"/>
    <n v="1.1808035714285714"/>
    <n v="225.34728224160506"/>
    <n v="211.71428571428572"/>
    <n v="15.27563082325446"/>
    <m/>
    <m/>
  </r>
  <r>
    <x v="8"/>
    <x v="399"/>
    <n v="89"/>
    <n v="2438"/>
    <m/>
    <n v="41"/>
    <n v="113.84797907444401"/>
    <n v="2.094224924012158"/>
    <n v="238.42327532611526"/>
    <n v="50.857142857142854"/>
    <n v="8.4034585425050938"/>
    <m/>
    <m/>
  </r>
  <r>
    <x v="9"/>
    <x v="399"/>
    <n v="81"/>
    <n v="22774"/>
    <m/>
    <n v="977"/>
    <n v="88.599926577513259"/>
    <n v="0.93947730398899587"/>
    <n v="83.237620154665137"/>
    <n v="57.285714285714285"/>
    <n v="7.4312007022762634"/>
    <m/>
    <m/>
  </r>
  <r>
    <x v="10"/>
    <x v="399"/>
    <n v="165"/>
    <n v="21905"/>
    <n v="5"/>
    <n v="326"/>
    <n v="350.140056022409"/>
    <n v="1.0203252032520325"/>
    <n v="357.25672382774252"/>
    <n v="100.57142857142857"/>
    <n v="28.059032377891395"/>
    <m/>
    <m/>
  </r>
  <r>
    <x v="11"/>
    <x v="399"/>
    <n v="75"/>
    <n v="11479"/>
    <m/>
    <n v="449"/>
    <n v="189.05753295166073"/>
    <n v="2.1818181818181817"/>
    <n v="412.4891628036234"/>
    <n v="64.714285714285708"/>
    <n v="16.4445204353115"/>
    <m/>
    <m/>
  </r>
  <r>
    <x v="12"/>
    <x v="399"/>
    <n v="785"/>
    <n v="75739"/>
    <n v="4"/>
    <n v="1523"/>
    <n v="246.84249609865259"/>
    <n v="2.1671812968681077"/>
    <n v="534.95244081723877"/>
    <n v="464.71428571428572"/>
    <n v="23.348510942075453"/>
    <m/>
    <m/>
  </r>
  <r>
    <x v="13"/>
    <x v="399"/>
    <n v="218"/>
    <n v="12614"/>
    <n v="3"/>
    <n v="214"/>
    <n v="125.90244621793175"/>
    <n v="0.94976076555023925"/>
    <n v="119.57720370459069"/>
    <n v="96.571428571428569"/>
    <n v="7.656535952080052"/>
    <m/>
    <m/>
  </r>
  <r>
    <x v="14"/>
    <x v="399"/>
    <n v="169"/>
    <n v="65859"/>
    <m/>
    <n v="1013"/>
    <n v="229.04660292715835"/>
    <n v="0.86469584991472426"/>
    <n v="198.05564698817955"/>
    <n v="112.14285714285714"/>
    <n v="16.887534826506933"/>
    <m/>
    <m/>
  </r>
  <r>
    <x v="15"/>
    <x v="399"/>
    <n v="214"/>
    <n v="56092"/>
    <n v="5"/>
    <n v="1292"/>
    <n v="197.29538128168429"/>
    <n v="1.18"/>
    <n v="232.80854991238743"/>
    <n v="116.71428571428571"/>
    <n v="15.611653898996229"/>
    <m/>
    <m/>
  </r>
  <r>
    <x v="16"/>
    <x v="399"/>
    <n v="246"/>
    <n v="30070"/>
    <n v="6"/>
    <n v="1220"/>
    <n v="108.32654098541347"/>
    <n v="1.0341823056300268"/>
    <n v="112.02939191722049"/>
    <n v="123"/>
    <n v="8.6352330143913534"/>
    <m/>
    <m/>
  </r>
  <r>
    <x v="17"/>
    <x v="399"/>
    <n v="251"/>
    <n v="17872"/>
    <n v="3"/>
    <n v="227"/>
    <n v="177.79951025131302"/>
    <n v="1.721189591078067"/>
    <n v="306.02666634333804"/>
    <n v="107"/>
    <n v="13.696578543477678"/>
    <m/>
    <m/>
  </r>
  <r>
    <x v="18"/>
    <x v="399"/>
    <n v="402"/>
    <n v="24290"/>
    <n v="2"/>
    <n v="440"/>
    <n v="538.23515525408789"/>
    <n v="3.6823687752355316"/>
    <n v="1981.9803294417018"/>
    <n v="241.42857142857142"/>
    <n v="47.494643503519654"/>
    <m/>
    <m/>
  </r>
  <r>
    <x v="19"/>
    <x v="399"/>
    <n v="162"/>
    <n v="40137"/>
    <n v="7"/>
    <n v="653"/>
    <n v="472.79449162970542"/>
    <n v="1.0922299431459255"/>
    <n v="516.40030071241983"/>
    <n v="132.42857142857142"/>
    <n v="36.212550090121198"/>
    <m/>
    <m/>
  </r>
  <r>
    <x v="20"/>
    <x v="399"/>
    <n v="1296"/>
    <n v="235937"/>
    <n v="10"/>
    <n v="4295"/>
    <n v="264.84425766411101"/>
    <n v="1.439815526518063"/>
    <n v="381.32687429393752"/>
    <n v="766.14285714285711"/>
    <n v="21.664375001565343"/>
    <m/>
    <m/>
  </r>
  <r>
    <x v="21"/>
    <x v="399"/>
    <n v="104"/>
    <n v="25862"/>
    <m/>
    <n v="302"/>
    <n v="166.20447648145327"/>
    <n v="1.4635463546354635"/>
    <n v="243.24795567852655"/>
    <n v="125.71428571428571"/>
    <n v="12.850108882769186"/>
    <m/>
    <m/>
  </r>
  <r>
    <x v="22"/>
    <x v="399"/>
    <n v="75"/>
    <n v="24439"/>
    <m/>
    <n v="367"/>
    <n v="439.40507832381383"/>
    <n v="1.845605700712589"/>
    <n v="810.96851747649248"/>
    <n v="62.142857142857146"/>
    <n v="35.142711724739662"/>
    <m/>
    <m/>
  </r>
  <r>
    <x v="23"/>
    <x v="399"/>
    <n v="623"/>
    <n v="90227"/>
    <m/>
    <n v="1502"/>
    <n v="327.44108538842102"/>
    <n v="1.5715094873973379"/>
    <n v="514.57677225158545"/>
    <n v="446.14285714285717"/>
    <n v="26.326455466056657"/>
    <m/>
    <m/>
  </r>
  <r>
    <x v="0"/>
    <x v="400"/>
    <n v="11059"/>
    <n v="1037954"/>
    <n v="116"/>
    <n v="28784"/>
    <n v="500.62877893747054"/>
    <n v="2.0060307017543861"/>
    <n v="1004.2767007303755"/>
    <n v="7198.1428571428569"/>
    <n v="41.035773312254072"/>
    <m/>
    <m/>
  </r>
  <r>
    <x v="4"/>
    <x v="400"/>
    <n v="2480"/>
    <n v="275629"/>
    <n v="38"/>
    <n v="6996"/>
    <n v="794.85740556618032"/>
    <n v="1.9986102027468935"/>
    <n v="1588.6101204934935"/>
    <n v="2042.2857142857142"/>
    <n v="66.401845800385161"/>
    <m/>
    <m/>
  </r>
  <r>
    <x v="1"/>
    <x v="400"/>
    <n v="123"/>
    <n v="11116"/>
    <m/>
    <n v="18"/>
    <n v="289.33318569798621"/>
    <n v="0.98202614379084963"/>
    <n v="284.13275262171521"/>
    <n v="93.714285714285708"/>
    <n v="22.55794744685987"/>
    <m/>
    <m/>
  </r>
  <r>
    <x v="2"/>
    <x v="400"/>
    <n v="185"/>
    <n v="39524"/>
    <n v="3"/>
    <n v="950"/>
    <n v="178.40820694355776"/>
    <n v="1.0986707566462168"/>
    <n v="196.01187971457344"/>
    <n v="147.42857142857142"/>
    <n v="12.239398362411196"/>
    <m/>
    <m/>
  </r>
  <r>
    <x v="3"/>
    <x v="400"/>
    <n v="193"/>
    <n v="50836"/>
    <m/>
    <n v="870"/>
    <n v="277.38556431887872"/>
    <n v="1.3086890243902438"/>
    <n v="363.01144354841063"/>
    <n v="103.28571428571429"/>
    <n v="16.686060654176664"/>
    <m/>
    <m/>
  </r>
  <r>
    <x v="6"/>
    <x v="400"/>
    <n v="433"/>
    <n v="31832"/>
    <n v="2"/>
    <n v="337"/>
    <n v="422.73338442774411"/>
    <n v="1.5108418367346939"/>
    <n v="638.68328297788639"/>
    <n v="253.71428571428572"/>
    <n v="22.636871818840788"/>
    <m/>
    <m/>
  </r>
  <r>
    <x v="5"/>
    <x v="400"/>
    <n v="2109"/>
    <n v="188864"/>
    <n v="9"/>
    <n v="3082"/>
    <n v="384.71459532768688"/>
    <n v="1.6596306068601583"/>
    <n v="638.48411731164924"/>
    <n v="1175.8571428571429"/>
    <n v="31.269054045583452"/>
    <m/>
    <m/>
  </r>
  <r>
    <x v="7"/>
    <x v="400"/>
    <n v="411"/>
    <n v="51533"/>
    <n v="1"/>
    <n v="954"/>
    <n v="211.33350794142115"/>
    <n v="1.3350045578851413"/>
    <n v="282.13119633565293"/>
    <n v="227.71428571428572"/>
    <n v="16.430064461719034"/>
    <m/>
    <m/>
  </r>
  <r>
    <x v="8"/>
    <x v="400"/>
    <n v="91"/>
    <n v="2529"/>
    <m/>
    <n v="41"/>
    <n v="125.57977372507614"/>
    <n v="2.2287390029325511"/>
    <n v="279.88453968052158"/>
    <n v="38.857142857142854"/>
    <n v="6.4206200100038915"/>
    <m/>
    <m/>
  </r>
  <r>
    <x v="9"/>
    <x v="400"/>
    <n v="48"/>
    <n v="22822"/>
    <n v="2"/>
    <n v="979"/>
    <n v="91.842969278007885"/>
    <n v="1.0582959641255605"/>
    <n v="97.19704372022359"/>
    <n v="53.285714285714285"/>
    <n v="6.9123138701971234"/>
    <m/>
    <m/>
  </r>
  <r>
    <x v="10"/>
    <x v="400"/>
    <n v="173"/>
    <n v="22078"/>
    <m/>
    <n v="326"/>
    <n v="379.71363844342517"/>
    <n v="1.1247933884297521"/>
    <n v="427.09939001776996"/>
    <n v="112.57142857142857"/>
    <n v="31.406985104798892"/>
    <m/>
    <m/>
  </r>
  <r>
    <x v="11"/>
    <x v="400"/>
    <n v="126"/>
    <n v="11605"/>
    <n v="2"/>
    <n v="451"/>
    <n v="214.7226012690233"/>
    <n v="2.4926253687315634"/>
    <n v="535.22300316319968"/>
    <n v="72.428571428571431"/>
    <n v="18.404794394487709"/>
    <m/>
    <m/>
  </r>
  <r>
    <x v="12"/>
    <x v="400"/>
    <n v="1005"/>
    <n v="76744"/>
    <n v="3"/>
    <n v="1526"/>
    <n v="288.84541218627186"/>
    <n v="2.6275137111517366"/>
    <n v="758.94528092270423"/>
    <n v="533.85714285714289"/>
    <n v="26.822436332780807"/>
    <m/>
    <m/>
  </r>
  <r>
    <x v="13"/>
    <x v="400"/>
    <n v="101"/>
    <n v="12715"/>
    <n v="2"/>
    <n v="216"/>
    <n v="122.96895093451646"/>
    <n v="0.91396582203889221"/>
    <n v="112.38941832612554"/>
    <n v="91.857142857142861"/>
    <n v="7.2827701437684516"/>
    <m/>
    <m/>
  </r>
  <r>
    <x v="14"/>
    <x v="400"/>
    <n v="183"/>
    <n v="66042"/>
    <n v="2"/>
    <n v="1015"/>
    <n v="236.72666653615579"/>
    <n v="0.90657439446366783"/>
    <n v="214.61033436841805"/>
    <n v="118.28571428571429"/>
    <n v="17.812584504901583"/>
    <m/>
    <m/>
  </r>
  <r>
    <x v="15"/>
    <x v="400"/>
    <n v="131"/>
    <n v="56223"/>
    <n v="2"/>
    <n v="1294"/>
    <n v="203.44832198606224"/>
    <n v="1.2792262405382675"/>
    <n v="260.25643207804933"/>
    <n v="114"/>
    <n v="15.248592180414924"/>
    <m/>
    <m/>
  </r>
  <r>
    <x v="16"/>
    <x v="400"/>
    <n v="193"/>
    <n v="30263"/>
    <n v="2"/>
    <n v="1222"/>
    <n v="115.62787621709398"/>
    <n v="1.1722419928825623"/>
    <n v="135.54385204950447"/>
    <n v="128.71428571428572"/>
    <n v="9.036405279868303"/>
    <m/>
    <m/>
  </r>
  <r>
    <x v="17"/>
    <x v="400"/>
    <n v="258"/>
    <n v="18130"/>
    <m/>
    <n v="227"/>
    <n v="205.83269437301033"/>
    <n v="2.0775193798449614"/>
    <n v="427.62141156563388"/>
    <n v="118.28571428571429"/>
    <n v="15.141210993323789"/>
    <m/>
    <m/>
  </r>
  <r>
    <x v="18"/>
    <x v="400"/>
    <n v="346"/>
    <n v="24636"/>
    <n v="1"/>
    <n v="441"/>
    <n v="606.10471978722398"/>
    <n v="4.1522911051212938"/>
    <n v="2516.7232367445245"/>
    <n v="261.85714285714283"/>
    <n v="51.513421030740545"/>
    <m/>
    <m/>
  </r>
  <r>
    <x v="19"/>
    <x v="400"/>
    <n v="188"/>
    <n v="40325"/>
    <n v="1"/>
    <n v="654"/>
    <n v="492.20941870067651"/>
    <n v="1.1523687580025608"/>
    <n v="567.20675650526096"/>
    <n v="131.42857142857142"/>
    <n v="35.939100413065269"/>
    <m/>
    <m/>
  </r>
  <r>
    <x v="20"/>
    <x v="400"/>
    <n v="1296"/>
    <n v="237233"/>
    <n v="10"/>
    <n v="4305"/>
    <n v="285.37350505511512"/>
    <n v="1.5370088333840999"/>
    <n v="438.62159808349401"/>
    <n v="819.85714285714289"/>
    <n v="23.183264615697095"/>
    <m/>
    <m/>
  </r>
  <r>
    <x v="21"/>
    <x v="400"/>
    <n v="176"/>
    <n v="26038"/>
    <m/>
    <n v="302"/>
    <n v="174.17738494735326"/>
    <n v="1.471502590673575"/>
    <n v="256.30247318677885"/>
    <n v="132.57142857142858"/>
    <n v="13.551023912738417"/>
    <m/>
    <m/>
  </r>
  <r>
    <x v="22"/>
    <x v="400"/>
    <n v="46"/>
    <n v="24485"/>
    <n v="3"/>
    <n v="370"/>
    <n v="430.35683990273145"/>
    <n v="1.6260683760683761"/>
    <n v="699.78964779055264"/>
    <n v="56.714285714285715"/>
    <n v="32.072773689015278"/>
    <m/>
    <m/>
  </r>
  <r>
    <x v="23"/>
    <x v="400"/>
    <n v="685"/>
    <n v="90912"/>
    <m/>
    <n v="1502"/>
    <n v="352.04784923901957"/>
    <n v="1.6599888703394547"/>
    <n v="584.39551156371476"/>
    <n v="437.14285714285717"/>
    <n v="25.795374231871079"/>
    <m/>
    <m/>
  </r>
  <r>
    <x v="0"/>
    <x v="401"/>
    <n v="12026"/>
    <n v="1049980"/>
    <n v="189"/>
    <n v="28973"/>
    <n v="548.08293257548075"/>
    <n v="2.1836104297265377"/>
    <n v="1196.7996079269265"/>
    <n v="7903.7142857142853"/>
    <n v="45.058153775254901"/>
    <m/>
    <m/>
  </r>
  <r>
    <x v="4"/>
    <x v="401"/>
    <n v="2364"/>
    <n v="277993"/>
    <n v="23"/>
    <n v="7019"/>
    <n v="826.26544147148275"/>
    <n v="1.9846153846153847"/>
    <n v="1639.8191069203274"/>
    <n v="2154.8571428571427"/>
    <n v="70.06193634953901"/>
    <m/>
    <m/>
  </r>
  <r>
    <x v="1"/>
    <x v="401"/>
    <n v="171"/>
    <n v="11287"/>
    <m/>
    <n v="18"/>
    <n v="310.51564854442779"/>
    <n v="1.0513447432762837"/>
    <n v="326.45899480221016"/>
    <n v="108.14285714285714"/>
    <n v="26.03104606291604"/>
    <m/>
    <m/>
  </r>
  <r>
    <x v="2"/>
    <x v="401"/>
    <n v="260"/>
    <n v="39784"/>
    <n v="7"/>
    <n v="957"/>
    <n v="189.61579556030057"/>
    <n v="1.1767130345182895"/>
    <n v="223.12337818636087"/>
    <n v="158.85714285714286"/>
    <n v="13.188188933140745"/>
    <m/>
    <m/>
  </r>
  <r>
    <x v="3"/>
    <x v="401"/>
    <n v="177"/>
    <n v="51013"/>
    <m/>
    <n v="870"/>
    <n v="285.14008213326787"/>
    <n v="1.3211077844311376"/>
    <n v="376.7007821595941"/>
    <n v="112.71428571428571"/>
    <n v="18.209269510574529"/>
    <m/>
    <m/>
  </r>
  <r>
    <x v="6"/>
    <x v="401"/>
    <n v="509"/>
    <n v="32341"/>
    <n v="1"/>
    <n v="338"/>
    <n v="465.64912058429638"/>
    <n v="1.6873585515680569"/>
    <n v="785.71702564805787"/>
    <n v="266.14285714285717"/>
    <n v="23.745772634290759"/>
    <m/>
    <m/>
  </r>
  <r>
    <x v="5"/>
    <x v="401"/>
    <n v="2189"/>
    <n v="191053"/>
    <n v="7"/>
    <n v="3089"/>
    <n v="423.69929130822106"/>
    <n v="1.8225806451612903"/>
    <n v="772.22612770691899"/>
    <n v="1318"/>
    <n v="35.048996795596274"/>
    <m/>
    <m/>
  </r>
  <r>
    <x v="7"/>
    <x v="401"/>
    <n v="437"/>
    <n v="51970"/>
    <n v="6"/>
    <n v="960"/>
    <n v="233.05129076503596"/>
    <n v="1.4755596162631339"/>
    <n v="343.88107317088452"/>
    <n v="256.42857142857144"/>
    <n v="18.501860545034919"/>
    <m/>
    <m/>
  </r>
  <r>
    <x v="8"/>
    <x v="401"/>
    <n v="12"/>
    <n v="2541"/>
    <n v="7"/>
    <n v="48"/>
    <n v="118.14412922819663"/>
    <n v="2.0487106017191978"/>
    <n v="242.04313008068939"/>
    <n v="35.285714285714285"/>
    <n v="5.8304894943785346"/>
    <m/>
    <m/>
  </r>
  <r>
    <x v="9"/>
    <x v="401"/>
    <n v="68"/>
    <n v="22890"/>
    <m/>
    <n v="979"/>
    <n v="95.734620518601446"/>
    <n v="1.153125"/>
    <n v="110.39398428551229"/>
    <n v="51"/>
    <n v="6.615807109009042"/>
    <m/>
    <m/>
  </r>
  <r>
    <x v="10"/>
    <x v="401"/>
    <n v="178"/>
    <n v="22256"/>
    <n v="1"/>
    <n v="327"/>
    <n v="405.10227995580703"/>
    <n v="1.214046822742475"/>
    <n v="491.81313586608013"/>
    <n v="124.42857142857143"/>
    <n v="34.715081251624156"/>
    <m/>
    <m/>
  </r>
  <r>
    <x v="11"/>
    <x v="401"/>
    <n v="109"/>
    <n v="11714"/>
    <m/>
    <n v="451"/>
    <n v="232.76438196736726"/>
    <n v="2.647398843930636"/>
    <n v="616.220155728637"/>
    <n v="80.142857142857139"/>
    <n v="20.365068353663915"/>
    <m/>
    <m/>
  </r>
  <r>
    <x v="12"/>
    <x v="401"/>
    <n v="1046"/>
    <n v="77790"/>
    <n v="3"/>
    <n v="1529"/>
    <n v="332.00391089352661"/>
    <n v="3.035369774919614"/>
    <n v="1007.7546362813155"/>
    <n v="613.57142857142856"/>
    <n v="30.827499076610533"/>
    <m/>
    <m/>
  </r>
  <r>
    <x v="13"/>
    <x v="401"/>
    <n v="153"/>
    <n v="12868"/>
    <n v="1"/>
    <n v="217"/>
    <n v="125.34746062377209"/>
    <n v="0.93384524512699352"/>
    <n v="117.05513009225263"/>
    <n v="102"/>
    <n v="8.0869329434691668"/>
    <m/>
    <m/>
  </r>
  <r>
    <x v="14"/>
    <x v="401"/>
    <n v="131"/>
    <n v="66173"/>
    <n v="1"/>
    <n v="1016"/>
    <n v="244.4067301451532"/>
    <n v="0.98483009708737868"/>
    <n v="240.69910377765999"/>
    <n v="123.14285714285714"/>
    <n v="18.544019134329904"/>
    <m/>
    <m/>
  </r>
  <r>
    <x v="15"/>
    <x v="401"/>
    <n v="163"/>
    <n v="56386"/>
    <n v="4"/>
    <n v="1298"/>
    <n v="214.01532884792874"/>
    <n v="1.3513513513513513"/>
    <n v="289.20990384855236"/>
    <n v="119"/>
    <n v="15.917390083064701"/>
    <m/>
    <m/>
  </r>
  <r>
    <x v="16"/>
    <x v="401"/>
    <n v="224"/>
    <n v="30487"/>
    <n v="4"/>
    <n v="1226"/>
    <n v="126.43946877169779"/>
    <n v="1.3500749625187407"/>
    <n v="170.70276106283939"/>
    <n v="137.42857142857142"/>
    <n v="9.6481929847206516"/>
    <m/>
    <m/>
  </r>
  <r>
    <x v="17"/>
    <x v="401"/>
    <n v="331"/>
    <n v="18461"/>
    <n v="2"/>
    <n v="229"/>
    <n v="236.42598663367542"/>
    <n v="2.291563275434243"/>
    <n v="541.78510832803784"/>
    <n v="152.57142857142858"/>
    <n v="19.529967802982856"/>
    <m/>
    <m/>
  </r>
  <r>
    <x v="18"/>
    <x v="401"/>
    <n v="523"/>
    <n v="25159"/>
    <m/>
    <n v="441"/>
    <n v="691.28594136069626"/>
    <n v="13.063197026022305"/>
    <n v="9030.4044533140768"/>
    <n v="301.42857142857144"/>
    <n v="59.298046031021592"/>
    <m/>
    <m/>
  </r>
  <r>
    <x v="19"/>
    <x v="401"/>
    <n v="180"/>
    <n v="40505"/>
    <n v="3"/>
    <n v="657"/>
    <n v="519.28093672921375"/>
    <n v="1.2428010471204189"/>
    <n v="645.36289191673882"/>
    <n v="131.71428571428572"/>
    <n v="36.017228892224111"/>
    <m/>
    <m/>
  </r>
  <r>
    <x v="20"/>
    <x v="401"/>
    <n v="1365"/>
    <n v="238598"/>
    <n v="14"/>
    <n v="4319"/>
    <n v="311.41680649742199"/>
    <n v="1.7218574108818012"/>
    <n v="536.21533614072996"/>
    <n v="868.85714285714289"/>
    <n v="24.568847428588555"/>
    <m/>
    <m/>
  </r>
  <r>
    <x v="21"/>
    <x v="401"/>
    <n v="169"/>
    <n v="26207"/>
    <m/>
    <n v="302"/>
    <n v="177.75497207948786"/>
    <n v="1.4195918367346938"/>
    <n v="252.33950730304437"/>
    <n v="129.42857142857142"/>
    <n v="13.229771190669185"/>
    <m/>
    <m/>
  </r>
  <r>
    <x v="22"/>
    <x v="401"/>
    <n v="69"/>
    <n v="24554"/>
    <m/>
    <n v="370"/>
    <n v="443.92919753435507"/>
    <n v="1.6457023060796645"/>
    <n v="730.57530411838309"/>
    <n v="58.428571428571431"/>
    <n v="33.042227805559818"/>
    <m/>
    <m/>
  </r>
  <r>
    <x v="23"/>
    <x v="401"/>
    <n v="829"/>
    <n v="91741"/>
    <n v="17"/>
    <n v="1519"/>
    <n v="385.38794894066996"/>
    <n v="1.8202341137123745"/>
    <n v="701.49629167545027"/>
    <n v="478.42857142857144"/>
    <n v="28.231604020436681"/>
    <m/>
    <m/>
  </r>
  <r>
    <x v="0"/>
    <x v="402"/>
    <n v="12452"/>
    <n v="1062432"/>
    <n v="125"/>
    <n v="29098"/>
    <n v="586.65510983578554"/>
    <n v="2.2150806121790043"/>
    <n v="1299.488359832993"/>
    <n v="8966"/>
    <n v="51.114120797501144"/>
    <m/>
    <m/>
  </r>
  <r>
    <x v="4"/>
    <x v="402"/>
    <n v="2601"/>
    <n v="280594"/>
    <n v="14"/>
    <n v="7033"/>
    <n v="865.15158116376199"/>
    <n v="1.9885658769897616"/>
    <n v="1720.4109127259953"/>
    <n v="2283.7142857142858"/>
    <n v="74.251532384230359"/>
    <m/>
    <m/>
  </r>
  <r>
    <x v="1"/>
    <x v="402"/>
    <n v="128"/>
    <n v="11415"/>
    <m/>
    <n v="18"/>
    <n v="317.73694269662383"/>
    <n v="1.0784313725490196"/>
    <n v="342.65748722184918"/>
    <n v="113"/>
    <n v="27.200207973271585"/>
    <m/>
    <m/>
  </r>
  <r>
    <x v="2"/>
    <x v="402"/>
    <n v="224"/>
    <n v="40008"/>
    <n v="6"/>
    <n v="963"/>
    <n v="195.01204193132486"/>
    <n v="1.2083333333333333"/>
    <n v="235.63955066701752"/>
    <n v="163.85714285714286"/>
    <n v="13.603284807834923"/>
    <m/>
    <m/>
  </r>
  <r>
    <x v="3"/>
    <x v="402"/>
    <n v="193"/>
    <n v="51206"/>
    <n v="6"/>
    <n v="876"/>
    <n v="291.27907540299259"/>
    <n v="1.3036876355748372"/>
    <n v="379.73692910455213"/>
    <n v="133.42857142857142"/>
    <n v="21.555713210236515"/>
    <m/>
    <m/>
  </r>
  <r>
    <x v="6"/>
    <x v="402"/>
    <n v="433"/>
    <n v="32774"/>
    <n v="3"/>
    <n v="341"/>
    <n v="435.49211679861099"/>
    <n v="1.4561455847255369"/>
    <n v="634.13992305907527"/>
    <n v="300.28571428571428"/>
    <n v="26.792063380182054"/>
    <m/>
    <m/>
  </r>
  <r>
    <x v="5"/>
    <x v="402"/>
    <n v="1867"/>
    <n v="192920"/>
    <n v="15"/>
    <n v="3104"/>
    <n v="443.96282359823959"/>
    <n v="1.8107375271149675"/>
    <n v="803.90014533325495"/>
    <n v="1485.1428571428571"/>
    <n v="39.493753597118889"/>
    <m/>
    <m/>
  </r>
  <r>
    <x v="7"/>
    <x v="402"/>
    <n v="452"/>
    <n v="52422"/>
    <n v="1"/>
    <n v="961"/>
    <n v="249.21336170353999"/>
    <n v="1.5242718446601942"/>
    <n v="379.86891055782309"/>
    <n v="298.14285714285717"/>
    <n v="21.511633959603277"/>
    <m/>
    <m/>
  </r>
  <r>
    <x v="8"/>
    <x v="402"/>
    <n v="100"/>
    <n v="2641"/>
    <n v="1"/>
    <n v="49"/>
    <n v="119.96173121632272"/>
    <n v="1.7621359223300972"/>
    <n v="211.38887588119005"/>
    <n v="49.571428571428569"/>
    <n v="8.1910115568799657"/>
    <m/>
    <m/>
  </r>
  <r>
    <x v="9"/>
    <x v="402"/>
    <n v="54"/>
    <n v="22944"/>
    <n v="4"/>
    <n v="983"/>
    <n v="95.475177102561872"/>
    <n v="1.1813804173354736"/>
    <n v="112.7925045706028"/>
    <n v="51.285714285714285"/>
    <n v="6.6528704541575525"/>
    <m/>
    <m/>
  </r>
  <r>
    <x v="10"/>
    <x v="402"/>
    <n v="214"/>
    <n v="22470"/>
    <n v="2"/>
    <n v="329"/>
    <n v="436.90783086142829"/>
    <n v="1.3204047217537942"/>
    <n v="576.89516284063802"/>
    <n v="145.42857142857142"/>
    <n v="40.57399852371227"/>
    <m/>
    <m/>
  </r>
  <r>
    <x v="11"/>
    <x v="402"/>
    <n v="60"/>
    <n v="11774"/>
    <m/>
    <n v="451"/>
    <n v="241.14999834828768"/>
    <n v="2.7994100294985249"/>
    <n v="675.0777239897493"/>
    <n v="81.428571428571431"/>
    <n v="20.691780680193283"/>
    <m/>
    <m/>
  </r>
  <r>
    <x v="12"/>
    <x v="402"/>
    <n v="1056"/>
    <n v="78846"/>
    <n v="9"/>
    <n v="1538"/>
    <n v="368.17867116037581"/>
    <n v="3.1249466950959488"/>
    <n v="1150.5387216474346"/>
    <n v="730.85714285714289"/>
    <n v="36.720252683571474"/>
    <m/>
    <m/>
  </r>
  <r>
    <x v="13"/>
    <x v="402"/>
    <n v="170"/>
    <n v="13038"/>
    <n v="2"/>
    <n v="219"/>
    <n v="126.93313374994251"/>
    <n v="0.93735362997658078"/>
    <n v="118.98123368481146"/>
    <n v="113.57142857142857"/>
    <n v="9.0043581093249134"/>
    <m/>
    <m/>
  </r>
  <r>
    <x v="14"/>
    <x v="402"/>
    <n v="175"/>
    <n v="66348"/>
    <n v="1"/>
    <n v="1017"/>
    <n v="248.47264617344598"/>
    <n v="1.0054844606946984"/>
    <n v="249.83538463509197"/>
    <n v="139.57142857142858"/>
    <n v="21.017989204455127"/>
    <m/>
    <m/>
  </r>
  <r>
    <x v="15"/>
    <x v="402"/>
    <n v="208"/>
    <n v="56594"/>
    <n v="3"/>
    <n v="1301"/>
    <n v="225.38489319297497"/>
    <n v="1.4100418410041842"/>
    <n v="317.80212973235382"/>
    <n v="143.57142857142858"/>
    <n v="19.204054061800747"/>
    <m/>
    <m/>
  </r>
  <r>
    <x v="16"/>
    <x v="402"/>
    <n v="247"/>
    <n v="30734"/>
    <n v="6"/>
    <n v="1232"/>
    <n v="134.23224002858754"/>
    <n v="1.3956204379562043"/>
    <n v="187.33725761653969"/>
    <n v="163.14285714285714"/>
    <n v="11.453468179366928"/>
    <m/>
    <m/>
  </r>
  <r>
    <x v="17"/>
    <x v="402"/>
    <n v="226"/>
    <n v="18687"/>
    <m/>
    <n v="229"/>
    <n v="245.13035430616588"/>
    <n v="2.0974808324205916"/>
    <n v="514.1562196016514"/>
    <n v="178.71428571428572"/>
    <n v="22.876394870347898"/>
    <m/>
    <m/>
  </r>
  <r>
    <x v="18"/>
    <x v="402"/>
    <n v="443"/>
    <n v="25602"/>
    <m/>
    <n v="441"/>
    <n v="696.40074912261377"/>
    <n v="6.4716636197440582"/>
    <n v="4506.8713928593288"/>
    <n v="344.57142857142856"/>
    <n v="67.785254515082499"/>
    <m/>
    <m/>
  </r>
  <r>
    <x v="19"/>
    <x v="402"/>
    <n v="176"/>
    <n v="40681"/>
    <n v="3"/>
    <n v="660"/>
    <n v="538.9693134772408"/>
    <n v="1.3272727272727274"/>
    <n v="715.35927061524694"/>
    <n v="148.57142857142858"/>
    <n v="40.626809162595528"/>
    <m/>
    <m/>
  </r>
  <r>
    <x v="20"/>
    <x v="402"/>
    <n v="1427"/>
    <n v="240025"/>
    <n v="20"/>
    <n v="4339"/>
    <n v="333.33163670131751"/>
    <n v="1.790400972053463"/>
    <n v="596.79728636621064"/>
    <n v="1005.7142857142857"/>
    <n v="28.43878426459445"/>
    <m/>
    <m/>
  </r>
  <r>
    <x v="21"/>
    <x v="402"/>
    <n v="223"/>
    <n v="26430"/>
    <n v="1"/>
    <n v="303"/>
    <n v="189.9187683287455"/>
    <n v="1.4734337827121333"/>
    <n v="279.83272922665276"/>
    <n v="146.42857142857142"/>
    <n v="14.967456369134563"/>
    <m/>
    <m/>
  </r>
  <r>
    <x v="22"/>
    <x v="402"/>
    <n v="151"/>
    <n v="24705"/>
    <m/>
    <n v="370"/>
    <n v="501.61171746875533"/>
    <n v="1.7704590818363273"/>
    <n v="888.0830207480758"/>
    <n v="70.285714285714292"/>
    <n v="39.747618778326242"/>
    <m/>
    <m/>
  </r>
  <r>
    <x v="23"/>
    <x v="402"/>
    <n v="850"/>
    <n v="92591"/>
    <n v="6"/>
    <n v="1525"/>
    <n v="395.41948336417539"/>
    <n v="1.6891857827073355"/>
    <n v="667.93696950424487"/>
    <n v="562"/>
    <n v="33.163072623588505"/>
    <m/>
    <m/>
  </r>
  <r>
    <x v="0"/>
    <x v="403"/>
    <n v="10349"/>
    <n v="1072781"/>
    <n v="214"/>
    <n v="29312"/>
    <n v="615.29634816800115"/>
    <n v="2.1986147891627623"/>
    <n v="1352.7996508000074"/>
    <n v="9686.4285714285706"/>
    <n v="55.221200099973942"/>
    <m/>
    <m/>
  </r>
  <r>
    <x v="4"/>
    <x v="403"/>
    <n v="2491"/>
    <n v="283085"/>
    <n v="17"/>
    <n v="7050"/>
    <n v="898.15277831063781"/>
    <n v="1.9645828888414765"/>
    <n v="1764.4955798345111"/>
    <n v="2369.8571428571427"/>
    <n v="77.05233771562601"/>
    <m/>
    <m/>
  </r>
  <r>
    <x v="1"/>
    <x v="403"/>
    <n v="159"/>
    <n v="11574"/>
    <m/>
    <n v="18"/>
    <n v="343.73360164452941"/>
    <n v="1.2194705380017079"/>
    <n v="419.17300012671905"/>
    <n v="123.85714285714286"/>
    <n v="29.813628714066326"/>
    <m/>
    <m/>
  </r>
  <r>
    <x v="2"/>
    <x v="403"/>
    <n v="196"/>
    <n v="40204"/>
    <n v="1"/>
    <n v="964"/>
    <n v="192.27240915834332"/>
    <n v="1.1392031480570586"/>
    <n v="219.03733379769955"/>
    <n v="179.85714285714286"/>
    <n v="14.931591606856292"/>
    <m/>
    <m/>
  </r>
  <r>
    <x v="3"/>
    <x v="403"/>
    <n v="88"/>
    <n v="51294"/>
    <n v="1"/>
    <n v="877"/>
    <n v="291.11752294852619"/>
    <n v="1.2992069214131219"/>
    <n v="378.22190075936857"/>
    <n v="140.14285714285714"/>
    <n v="22.640422547368331"/>
    <m/>
    <m/>
  </r>
  <r>
    <x v="6"/>
    <x v="403"/>
    <n v="238"/>
    <n v="33012"/>
    <n v="2"/>
    <n v="343"/>
    <n v="455.12093583071396"/>
    <n v="1.6604817708333333"/>
    <n v="755.72001747150773"/>
    <n v="306.71428571428572"/>
    <n v="27.365632767483767"/>
    <m/>
    <m/>
  </r>
  <r>
    <x v="5"/>
    <x v="403"/>
    <n v="1212"/>
    <n v="194132"/>
    <n v="1"/>
    <n v="3105"/>
    <n v="454.83918148093977"/>
    <n v="1.8137857900318133"/>
    <n v="824.98084411982961"/>
    <n v="1574.7142857142858"/>
    <n v="41.875687370242545"/>
    <m/>
    <m/>
  </r>
  <r>
    <x v="7"/>
    <x v="403"/>
    <n v="442"/>
    <n v="52864"/>
    <n v="1"/>
    <n v="962"/>
    <n v="268.91088565984182"/>
    <n v="1.6016330038676407"/>
    <n v="430.69654957208013"/>
    <n v="345.71428571428572"/>
    <n v="24.944012545395271"/>
    <m/>
    <m/>
  </r>
  <r>
    <x v="8"/>
    <x v="403"/>
    <n v="7"/>
    <n v="2648"/>
    <m/>
    <n v="49"/>
    <n v="115.83081760694522"/>
    <n v="1.6494117647058824"/>
    <n v="191.0527132763967"/>
    <n v="50"/>
    <n v="8.261827218755009"/>
    <m/>
    <m/>
  </r>
  <r>
    <x v="9"/>
    <x v="403"/>
    <n v="36"/>
    <n v="22980"/>
    <n v="2"/>
    <n v="985"/>
    <n v="94.826568562462938"/>
    <n v="1.1475667189952905"/>
    <n v="108.81981415880756"/>
    <n v="52.571428571428569"/>
    <n v="6.819655507325848"/>
    <m/>
    <m/>
  </r>
  <r>
    <x v="10"/>
    <x v="403"/>
    <n v="141"/>
    <n v="22611"/>
    <n v="1"/>
    <n v="330"/>
    <n v="446.6726929815751"/>
    <n v="1.3375104427736006"/>
    <n v="597.42939136466305"/>
    <n v="156.42857142857142"/>
    <n v="43.642955190044141"/>
    <m/>
    <m/>
  </r>
  <r>
    <x v="11"/>
    <x v="403"/>
    <n v="127"/>
    <n v="11901"/>
    <m/>
    <n v="451"/>
    <n v="265.79862831644772"/>
    <n v="2.9885714285714284"/>
    <n v="794.35818634001225"/>
    <n v="85.714285714285708"/>
    <n v="21.780821768624506"/>
    <m/>
    <m/>
  </r>
  <r>
    <x v="12"/>
    <x v="403"/>
    <n v="759"/>
    <n v="79605"/>
    <n v="50"/>
    <n v="1588"/>
    <n v="395.86241130903392"/>
    <n v="3.2584780810587262"/>
    <n v="1289.9089903655411"/>
    <n v="800.57142857142856"/>
    <n v="40.222888201472742"/>
    <m/>
    <m/>
  </r>
  <r>
    <x v="13"/>
    <x v="403"/>
    <n v="187"/>
    <n v="13225"/>
    <n v="2"/>
    <n v="221"/>
    <n v="132.32442237892198"/>
    <n v="0.97716627634660425"/>
    <n v="129.30296308572645"/>
    <n v="131.28571428571428"/>
    <n v="10.408811449647288"/>
    <m/>
    <m/>
  </r>
  <r>
    <x v="14"/>
    <x v="403"/>
    <n v="145"/>
    <n v="66493"/>
    <m/>
    <n v="1017"/>
    <n v="255.09858340473784"/>
    <n v="1.0210970464135021"/>
    <n v="260.48041005884625"/>
    <n v="151.28571428571428"/>
    <n v="22.782037428370501"/>
    <m/>
    <m/>
  </r>
  <r>
    <x v="15"/>
    <x v="403"/>
    <n v="110"/>
    <n v="56704"/>
    <n v="2"/>
    <n v="1303"/>
    <n v="229.93271893099345"/>
    <n v="1.3919028340080972"/>
    <n v="320.04400311123703"/>
    <n v="143.42857142857142"/>
    <n v="19.184945550296469"/>
    <m/>
    <m/>
  </r>
  <r>
    <x v="16"/>
    <x v="403"/>
    <n v="222"/>
    <n v="30956"/>
    <m/>
    <n v="1232"/>
    <n v="142.6568576036035"/>
    <n v="1.5255255255255256"/>
    <n v="217.62667766555728"/>
    <n v="184.28571428571428"/>
    <n v="12.937805561631643"/>
    <m/>
    <m/>
  </r>
  <r>
    <x v="17"/>
    <x v="403"/>
    <n v="50"/>
    <n v="18737"/>
    <m/>
    <n v="229"/>
    <n v="247.4344516312369"/>
    <n v="2.0695931477516059"/>
    <n v="512.08864561368398"/>
    <n v="183.85714285714286"/>
    <n v="23.534708391796755"/>
    <m/>
    <m/>
  </r>
  <r>
    <x v="18"/>
    <x v="403"/>
    <n v="392"/>
    <n v="25994"/>
    <n v="1"/>
    <n v="442"/>
    <n v="756.99154876379032"/>
    <n v="6.1079365079365076"/>
    <n v="4623.6563168937537"/>
    <n v="365.85714285714283"/>
    <n v="71.972652078410562"/>
    <m/>
    <m/>
  </r>
  <r>
    <x v="19"/>
    <x v="403"/>
    <n v="193"/>
    <n v="40874"/>
    <m/>
    <n v="660"/>
    <n v="552.36834765298147"/>
    <n v="1.3202614379084967"/>
    <n v="729.27062892746574"/>
    <n v="166.14285714285714"/>
    <n v="45.431710630864032"/>
    <m/>
    <m/>
  </r>
  <r>
    <x v="20"/>
    <x v="403"/>
    <n v="1185"/>
    <n v="241210"/>
    <n v="1"/>
    <n v="4340"/>
    <n v="347.44195963259995"/>
    <n v="1.8071775261067804"/>
    <n v="627.88930107453382"/>
    <n v="1104.2857142857142"/>
    <n v="31.226108290527709"/>
    <m/>
    <m/>
  </r>
  <r>
    <x v="21"/>
    <x v="403"/>
    <n v="207"/>
    <n v="26637"/>
    <n v="1"/>
    <n v="304"/>
    <n v="197.78946001944163"/>
    <n v="1.4659090909090908"/>
    <n v="289.94136752849965"/>
    <n v="155.71428571428572"/>
    <n v="15.916612138884561"/>
    <m/>
    <m/>
  </r>
  <r>
    <x v="22"/>
    <x v="403"/>
    <n v="69"/>
    <n v="24774"/>
    <m/>
    <n v="370"/>
    <n v="516.8806198043319"/>
    <n v="1.7212806026365348"/>
    <n v="889.69658474794608"/>
    <n v="77.571428571428569"/>
    <n v="43.867798773640544"/>
    <m/>
    <m/>
  </r>
  <r>
    <x v="23"/>
    <x v="403"/>
    <n v="414"/>
    <n v="93005"/>
    <m/>
    <n v="1525"/>
    <n v="405.39200876166024"/>
    <n v="1.6805283757338552"/>
    <n v="681.27277401971764"/>
    <n v="572.71428571428567"/>
    <n v="33.795312188095146"/>
    <m/>
    <m/>
  </r>
  <r>
    <x v="0"/>
    <x v="404"/>
    <n v="7696"/>
    <n v="1080477"/>
    <n v="99"/>
    <n v="29411"/>
    <n v="640.60256969600778"/>
    <n v="2.211639899228468"/>
    <n v="1416.7822026879762"/>
    <n v="10032.428571428571"/>
    <n v="57.193705765369366"/>
    <m/>
    <m/>
  </r>
  <r>
    <x v="4"/>
    <x v="404"/>
    <n v="2691"/>
    <n v="285776"/>
    <n v="8"/>
    <n v="7058"/>
    <n v="951.70250412433677"/>
    <n v="2.0118908516049214"/>
    <n v="1914.7215614972481"/>
    <n v="2476.5714285714284"/>
    <n v="80.521992081384809"/>
    <m/>
    <m/>
  </r>
  <r>
    <x v="1"/>
    <x v="404"/>
    <n v="101"/>
    <n v="11675"/>
    <m/>
    <n v="18"/>
    <n v="348.78850755106657"/>
    <n v="1.2095158597662772"/>
    <n v="421.86523158722497"/>
    <n v="130.85714285714286"/>
    <n v="31.498597349578723"/>
    <m/>
    <m/>
  </r>
  <r>
    <x v="2"/>
    <x v="404"/>
    <n v="136"/>
    <n v="40340"/>
    <n v="3"/>
    <n v="967"/>
    <n v="195.67619533083555"/>
    <n v="1.1548260656540912"/>
    <n v="225.97197079607028"/>
    <n v="188.57142857142858"/>
    <n v="15.655044417037576"/>
    <m/>
    <m/>
  </r>
  <r>
    <x v="3"/>
    <x v="404"/>
    <n v="49"/>
    <n v="51343"/>
    <m/>
    <n v="877"/>
    <n v="287.72492140473094"/>
    <n v="1.2419804741980474"/>
    <n v="357.34873432484363"/>
    <n v="144"/>
    <n v="23.26355344316746"/>
    <m/>
    <m/>
  </r>
  <r>
    <x v="6"/>
    <x v="404"/>
    <n v="219"/>
    <n v="33231"/>
    <n v="1"/>
    <n v="344"/>
    <n v="432.19090632503003"/>
    <n v="1.4134811788736503"/>
    <n v="610.89371177077487"/>
    <n v="337"/>
    <n v="30.067781880994037"/>
    <m/>
    <m/>
  </r>
  <r>
    <x v="5"/>
    <x v="404"/>
    <n v="1095"/>
    <n v="195227"/>
    <m/>
    <n v="3105"/>
    <n v="472.17753194431515"/>
    <n v="1.8511259382819016"/>
    <n v="874.060076856053"/>
    <n v="1623.2857142857142"/>
    <n v="43.167326098890136"/>
    <m/>
    <m/>
  </r>
  <r>
    <x v="7"/>
    <x v="404"/>
    <n v="208"/>
    <n v="53072"/>
    <n v="1"/>
    <n v="963"/>
    <n v="277.92989846034629"/>
    <n v="1.6405451448040886"/>
    <n v="455.95654551501445"/>
    <n v="353.14285714285717"/>
    <n v="25.479999591825248"/>
    <m/>
    <m/>
  </r>
  <r>
    <x v="8"/>
    <x v="404"/>
    <n v="6"/>
    <n v="2654"/>
    <m/>
    <n v="49"/>
    <n v="111.53466745319261"/>
    <n v="1.6383495145631068"/>
    <n v="182.73276827889566"/>
    <n v="47.857142857142854"/>
    <n v="7.9077489093797935"/>
    <m/>
    <m/>
  </r>
  <r>
    <x v="9"/>
    <x v="404"/>
    <n v="57"/>
    <n v="23037"/>
    <n v="1"/>
    <n v="986"/>
    <n v="96.123785642660806"/>
    <n v="1.2048780487804878"/>
    <n v="115.81743928652301"/>
    <n v="55.714285714285715"/>
    <n v="7.2273523039594592"/>
    <m/>
    <m/>
  </r>
  <r>
    <x v="10"/>
    <x v="404"/>
    <n v="123"/>
    <n v="22734"/>
    <m/>
    <n v="330"/>
    <n v="468.15538964589825"/>
    <n v="1.3799342105263157"/>
    <n v="646.02363801465231"/>
    <n v="161.71428571428572"/>
    <n v="45.117648653086739"/>
    <m/>
    <m/>
  </r>
  <r>
    <x v="11"/>
    <x v="404"/>
    <n v="128"/>
    <n v="12029"/>
    <m/>
    <n v="451"/>
    <n v="286.38150488779792"/>
    <n v="3.0708446866485013"/>
    <n v="879.43312263909604"/>
    <n v="95.428571428571431"/>
    <n v="24.249314902401952"/>
    <m/>
    <m/>
  </r>
  <r>
    <x v="12"/>
    <x v="404"/>
    <n v="451"/>
    <n v="80056"/>
    <n v="9"/>
    <n v="1597"/>
    <n v="412.69372337763741"/>
    <n v="3.3201293451899758"/>
    <n v="1370.1965415618083"/>
    <n v="814.14285714285711"/>
    <n v="40.904753722375652"/>
    <m/>
    <m/>
  </r>
  <r>
    <x v="13"/>
    <x v="404"/>
    <n v="138"/>
    <n v="13363"/>
    <m/>
    <n v="221"/>
    <n v="132.00728775368788"/>
    <n v="0.96354166666666663"/>
    <n v="127.19452205433467"/>
    <n v="150.57142857142858"/>
    <n v="11.9378533927402"/>
    <m/>
    <m/>
  </r>
  <r>
    <x v="14"/>
    <x v="404"/>
    <n v="63"/>
    <n v="66556"/>
    <m/>
    <n v="1017"/>
    <n v="253.7432780619736"/>
    <n v="1.0156720916214588"/>
    <n v="257.71996596409014"/>
    <n v="151.14285714285714"/>
    <n v="22.760524645152017"/>
    <m/>
    <m/>
  </r>
  <r>
    <x v="15"/>
    <x v="404"/>
    <n v="76"/>
    <n v="56780"/>
    <m/>
    <n v="1303"/>
    <n v="234.07926592742206"/>
    <n v="1.4078841512469831"/>
    <n v="329.55648863474545"/>
    <n v="149.85714285714286"/>
    <n v="20.04482856798904"/>
    <m/>
    <m/>
  </r>
  <r>
    <x v="16"/>
    <x v="404"/>
    <n v="56"/>
    <n v="31012"/>
    <m/>
    <n v="1232"/>
    <n v="142.79726789652042"/>
    <n v="1.5055514433752775"/>
    <n v="214.98863279165249"/>
    <n v="181.42857142857142"/>
    <n v="12.737219428893168"/>
    <m/>
    <m/>
  </r>
  <r>
    <x v="17"/>
    <x v="404"/>
    <n v="47"/>
    <n v="18784"/>
    <m/>
    <n v="229"/>
    <n v="250.63458680494665"/>
    <n v="2.0567226890756301"/>
    <n v="515.48584134882935"/>
    <n v="186.71428571428572"/>
    <n v="23.900438125935011"/>
    <m/>
    <m/>
  </r>
  <r>
    <x v="18"/>
    <x v="404"/>
    <n v="364"/>
    <n v="26358"/>
    <m/>
    <n v="442"/>
    <n v="788.66401221258718"/>
    <n v="4.8243080625752102"/>
    <n v="3804.7581527800985"/>
    <n v="391.42857142857144"/>
    <n v="77.00314982227448"/>
    <m/>
    <m/>
  </r>
  <r>
    <x v="19"/>
    <x v="404"/>
    <n v="121"/>
    <n v="40995"/>
    <n v="1"/>
    <n v="661"/>
    <n v="558.11079087115604"/>
    <n v="1.3008285532186106"/>
    <n v="726.00645262462047"/>
    <n v="172.42857142857142"/>
    <n v="47.150537172358455"/>
    <m/>
    <m/>
  </r>
  <r>
    <x v="20"/>
    <x v="404"/>
    <n v="868"/>
    <n v="242078"/>
    <n v="1"/>
    <n v="4341"/>
    <n v="365.36970459939971"/>
    <n v="1.8882069267864972"/>
    <n v="689.89360706252285"/>
    <n v="1182.8571428571429"/>
    <n v="33.447888311199158"/>
    <m/>
    <m/>
  </r>
  <r>
    <x v="21"/>
    <x v="404"/>
    <n v="190"/>
    <n v="26827"/>
    <n v="1"/>
    <n v="305"/>
    <n v="203.30916588044931"/>
    <n v="1.4433962264150944"/>
    <n v="293.45568282744097"/>
    <n v="170.14285714285714"/>
    <n v="17.391454181111477"/>
    <m/>
    <m/>
  </r>
  <r>
    <x v="22"/>
    <x v="404"/>
    <n v="75"/>
    <n v="24849"/>
    <n v="2"/>
    <n v="372"/>
    <n v="519.14267940960235"/>
    <n v="1.6161971830985915"/>
    <n v="839.03693608805452"/>
    <n v="77.714285714285708"/>
    <n v="43.948586616685922"/>
    <m/>
    <m/>
  </r>
  <r>
    <x v="23"/>
    <x v="404"/>
    <n v="304"/>
    <n v="93309"/>
    <n v="5"/>
    <n v="1530"/>
    <n v="406.04110804788701"/>
    <n v="1.6107209737827715"/>
    <n v="654.01892895072808"/>
    <n v="592.14285714285711"/>
    <n v="34.941773265067191"/>
    <m/>
    <m/>
  </r>
  <r>
    <x v="0"/>
    <x v="405"/>
    <n v="9535"/>
    <n v="1090012"/>
    <n v="54"/>
    <n v="29465"/>
    <n v="658.15558976465661"/>
    <n v="2.1123431038899256"/>
    <n v="1390.2504213259792"/>
    <n v="10502.714285714286"/>
    <n v="59.874749799424606"/>
    <m/>
    <m/>
  </r>
  <r>
    <x v="4"/>
    <x v="405"/>
    <n v="3358"/>
    <n v="289134"/>
    <n v="37"/>
    <n v="7095"/>
    <n v="992.31185903709343"/>
    <n v="1.9599280760339071"/>
    <n v="1944.8598727082001"/>
    <n v="2609.4285714285716"/>
    <n v="84.841642094980102"/>
    <m/>
    <m/>
  </r>
  <r>
    <x v="1"/>
    <x v="405"/>
    <n v="188"/>
    <n v="11863"/>
    <m/>
    <n v="18"/>
    <n v="373.82232727867938"/>
    <n v="1.3039462636439967"/>
    <n v="487.44422692173725"/>
    <n v="142"/>
    <n v="34.180792320394382"/>
    <m/>
    <m/>
  </r>
  <r>
    <x v="2"/>
    <x v="405"/>
    <n v="241"/>
    <n v="40581"/>
    <n v="6"/>
    <n v="973"/>
    <n v="195.9252528556521"/>
    <n v="1.093098656785549"/>
    <n v="214.16563072688237"/>
    <n v="210.14285714285714"/>
    <n v="17.445886619289599"/>
    <m/>
    <m/>
  </r>
  <r>
    <x v="3"/>
    <x v="405"/>
    <n v="164"/>
    <n v="51507"/>
    <n v="4"/>
    <n v="881"/>
    <n v="281.26282322607324"/>
    <n v="1.1491749174917492"/>
    <n v="323.22018167431912"/>
    <n v="145.42857142857142"/>
    <n v="23.494342663833805"/>
    <m/>
    <m/>
  </r>
  <r>
    <x v="6"/>
    <x v="405"/>
    <n v="70"/>
    <n v="33301"/>
    <n v="12"/>
    <n v="356"/>
    <n v="394.53926254526897"/>
    <n v="1.1485714285714286"/>
    <n v="453.15652440913749"/>
    <n v="338.42857142857144"/>
    <n v="30.195241744838864"/>
    <m/>
    <m/>
  </r>
  <r>
    <x v="5"/>
    <x v="405"/>
    <n v="1300"/>
    <n v="196527"/>
    <n v="11"/>
    <n v="3116"/>
    <n v="478.13426584584295"/>
    <n v="1.7481769567331065"/>
    <n v="835.86330577620379"/>
    <n v="1659.2857142857142"/>
    <n v="44.124658333064239"/>
    <m/>
    <m/>
  </r>
  <r>
    <x v="7"/>
    <x v="405"/>
    <n v="231"/>
    <n v="53303"/>
    <n v="6"/>
    <n v="969"/>
    <n v="279.08433209881088"/>
    <n v="1.5839475839475838"/>
    <n v="442.05495354553659"/>
    <n v="370.85714285714283"/>
    <n v="26.75812254869674"/>
    <m/>
    <m/>
  </r>
  <r>
    <x v="8"/>
    <x v="405"/>
    <n v="348"/>
    <n v="3002"/>
    <m/>
    <n v="49"/>
    <n v="156.64424406759497"/>
    <n v="2.0835164835164837"/>
    <n v="326.37086456281327"/>
    <n v="93.285714285714292"/>
    <n v="15.414209068134344"/>
    <m/>
    <m/>
  </r>
  <r>
    <x v="9"/>
    <x v="405"/>
    <n v="72"/>
    <n v="23109"/>
    <n v="3"/>
    <n v="989"/>
    <n v="101.83154079553135"/>
    <n v="1.2764227642276422"/>
    <n v="129.98009678779204"/>
    <n v="59.428571428571431"/>
    <n v="7.7091757908900895"/>
    <m/>
    <m/>
  </r>
  <r>
    <x v="10"/>
    <x v="405"/>
    <n v="69"/>
    <n v="22803"/>
    <n v="2"/>
    <n v="332"/>
    <n v="458.94851964690258"/>
    <n v="1.3662790697674418"/>
    <n v="627.05175649431453"/>
    <n v="151.85714285714286"/>
    <n v="42.36754462741272"/>
    <m/>
    <m/>
  </r>
  <r>
    <x v="11"/>
    <x v="405"/>
    <n v="12"/>
    <n v="12041"/>
    <m/>
    <n v="451"/>
    <n v="262.49520368153969"/>
    <n v="2.2505446623093683"/>
    <n v="590.75717952729963"/>
    <n v="91"/>
    <n v="23.123972444356355"/>
    <m/>
    <m/>
  </r>
  <r>
    <x v="12"/>
    <x v="405"/>
    <n v="639"/>
    <n v="80695"/>
    <n v="9"/>
    <n v="1606"/>
    <n v="426.05828758733441"/>
    <n v="3.1153563556208672"/>
    <n v="1327.3233941001454"/>
    <n v="820.14285714285711"/>
    <n v="41.206210057932729"/>
    <m/>
    <m/>
  </r>
  <r>
    <x v="13"/>
    <x v="405"/>
    <n v="117"/>
    <n v="13480"/>
    <n v="2"/>
    <n v="223"/>
    <n v="131.29373484691121"/>
    <n v="0.95391705069124422"/>
    <n v="125.24333231940378"/>
    <n v="154.85714285714286"/>
    <n v="12.277640491205291"/>
    <m/>
    <m/>
  </r>
  <r>
    <x v="14"/>
    <x v="405"/>
    <n v="102"/>
    <n v="66658"/>
    <m/>
    <n v="1017"/>
    <n v="250.88207789391572"/>
    <n v="1.0054315027157514"/>
    <n v="252.24474458132988"/>
    <n v="138.28571428571428"/>
    <n v="20.824374155488801"/>
    <m/>
    <m/>
  </r>
  <r>
    <x v="15"/>
    <x v="405"/>
    <n v="162"/>
    <n v="56942"/>
    <n v="3"/>
    <n v="1306"/>
    <n v="234.07926592742206"/>
    <n v="1.3348588863463005"/>
    <n v="312.4627882326381"/>
    <n v="152"/>
    <n v="20.33145624055323"/>
    <m/>
    <m/>
  </r>
  <r>
    <x v="16"/>
    <x v="405"/>
    <n v="98"/>
    <n v="31110"/>
    <n v="5"/>
    <n v="1237"/>
    <n v="139.35721572005559"/>
    <n v="1.3832752613240418"/>
    <n v="192.76938899255077"/>
    <n v="183.71428571428572"/>
    <n v="12.897688335083949"/>
    <m/>
    <m/>
  </r>
  <r>
    <x v="17"/>
    <x v="405"/>
    <n v="173"/>
    <n v="18957"/>
    <n v="4"/>
    <n v="233"/>
    <n v="252.55466790917248"/>
    <n v="1.8952929875120077"/>
    <n v="478.66509105167847"/>
    <n v="190.85714285714286"/>
    <n v="24.430746240435479"/>
    <m/>
    <m/>
  </r>
  <r>
    <x v="18"/>
    <x v="405"/>
    <n v="556"/>
    <n v="26914"/>
    <n v="1"/>
    <n v="443"/>
    <n v="860.46804425489051"/>
    <n v="4.2840352595494613"/>
    <n v="3686.2754413035173"/>
    <n v="432.28571428571428"/>
    <n v="85.040704876716262"/>
    <m/>
    <m/>
  </r>
  <r>
    <x v="19"/>
    <x v="405"/>
    <n v="115"/>
    <n v="41110"/>
    <n v="5"/>
    <n v="666"/>
    <n v="541.97725992485607"/>
    <n v="1.1946955997588908"/>
    <n v="647.49784760160617"/>
    <n v="162.14285714285714"/>
    <n v="44.337911922640302"/>
    <m/>
    <m/>
  </r>
  <r>
    <x v="20"/>
    <x v="405"/>
    <n v="1104"/>
    <n v="243182"/>
    <n v="9"/>
    <n v="4350"/>
    <n v="372.01484666122616"/>
    <n v="1.782897411573384"/>
    <n v="663.26430717916946"/>
    <n v="1220.1428571428571"/>
    <n v="34.502223921008692"/>
    <m/>
    <m/>
  </r>
  <r>
    <x v="21"/>
    <x v="405"/>
    <n v="119"/>
    <n v="26946"/>
    <n v="2"/>
    <n v="307"/>
    <n v="205.96680203574928"/>
    <n v="1.4392857142857143"/>
    <n v="296.4450757871677"/>
    <n v="169.71428571428572"/>
    <n v="17.347646991738401"/>
    <m/>
    <m/>
  </r>
  <r>
    <x v="22"/>
    <x v="405"/>
    <n v="104"/>
    <n v="24953"/>
    <m/>
    <n v="372"/>
    <n v="547.41842447548493"/>
    <n v="1.6490630323679727"/>
    <n v="902.72748703964123"/>
    <n v="84.142857142857139"/>
    <n v="47.584039553727955"/>
    <m/>
    <m/>
  </r>
  <r>
    <x v="23"/>
    <x v="405"/>
    <n v="560"/>
    <n v="93869"/>
    <n v="4"/>
    <n v="1534"/>
    <n v="417.7839042259904"/>
    <n v="1.6179159049360146"/>
    <n v="675.93922347349451"/>
    <n v="609.28571428571433"/>
    <n v="35.953356568277826"/>
    <m/>
    <m/>
  </r>
  <r>
    <x v="0"/>
    <x v="406"/>
    <n v="14004"/>
    <n v="1104016"/>
    <n v="112"/>
    <n v="29577"/>
    <n v="709.82839713790565"/>
    <n v="2.2301189282132112"/>
    <n v="1583.0017442404878"/>
    <n v="11017.285714285714"/>
    <n v="62.808261528059738"/>
    <m/>
    <m/>
  </r>
  <r>
    <x v="4"/>
    <x v="406"/>
    <n v="2934"/>
    <n v="292068"/>
    <n v="27"/>
    <n v="7122"/>
    <n v="1054.8027959004385"/>
    <n v="2.077351604021259"/>
    <n v="2191.1962799898843"/>
    <n v="2702.7142857142858"/>
    <n v="87.874686674418498"/>
    <m/>
    <m/>
  </r>
  <r>
    <x v="1"/>
    <x v="406"/>
    <n v="155"/>
    <n v="12018"/>
    <m/>
    <n v="18"/>
    <n v="394.04195090482813"/>
    <n v="1.4422907488986785"/>
    <n v="568.32306046802091"/>
    <n v="146.42857142857142"/>
    <n v="35.246792885718548"/>
    <m/>
    <m/>
  </r>
  <r>
    <x v="2"/>
    <x v="406"/>
    <n v="250"/>
    <n v="40831"/>
    <n v="4"/>
    <n v="977"/>
    <n v="208.71020579623277"/>
    <n v="1.1797278273111216"/>
    <n v="246.22123762164674"/>
    <n v="213.14285714285714"/>
    <n v="17.694944144106106"/>
    <m/>
    <m/>
  </r>
  <r>
    <x v="3"/>
    <x v="406"/>
    <n v="220"/>
    <n v="51727"/>
    <m/>
    <n v="881"/>
    <n v="295.47943921912008"/>
    <n v="1.1822882999353588"/>
    <n v="349.34188386022663"/>
    <n v="154.85714285714286"/>
    <n v="25.017551520231677"/>
    <m/>
    <m/>
  </r>
  <r>
    <x v="6"/>
    <x v="406"/>
    <n v="441"/>
    <n v="33742"/>
    <n v="9"/>
    <n v="365"/>
    <n v="354.83551495760622"/>
    <n v="0.87062171628721541"/>
    <n v="308.927505032049"/>
    <n v="334.71428571428572"/>
    <n v="29.86384609884232"/>
    <m/>
    <m/>
  </r>
  <r>
    <x v="5"/>
    <x v="406"/>
    <n v="2268"/>
    <n v="198795"/>
    <n v="10"/>
    <n v="3126"/>
    <n v="516.48074033692774"/>
    <n v="1.885264997087944"/>
    <n v="973.70306142727725"/>
    <n v="1720"/>
    <n v="45.739206743873737"/>
    <m/>
    <m/>
  </r>
  <r>
    <x v="7"/>
    <x v="406"/>
    <n v="635"/>
    <n v="53938"/>
    <n v="11"/>
    <n v="980"/>
    <n v="310.10973613254635"/>
    <n v="1.7564364527993461"/>
    <n v="544.6880449111909"/>
    <n v="402.28571428571428"/>
    <n v="29.025760052823586"/>
    <m/>
    <m/>
  </r>
  <r>
    <x v="8"/>
    <x v="406"/>
    <n v="131"/>
    <n v="3133"/>
    <n v="4"/>
    <n v="53"/>
    <n v="173.66360813823027"/>
    <n v="2.3048245614035086"/>
    <n v="400.26414945894737"/>
    <n v="99.285714285714292"/>
    <n v="16.405628334384946"/>
    <m/>
    <m/>
  </r>
  <r>
    <x v="9"/>
    <x v="406"/>
    <n v="93"/>
    <n v="23202"/>
    <n v="2"/>
    <n v="991"/>
    <n v="107.5392959484019"/>
    <n v="1.3590163934426229"/>
    <n v="146.14766613315604"/>
    <n v="61.142857142857146"/>
    <n v="7.9315558617811499"/>
    <m/>
    <m/>
  </r>
  <r>
    <x v="10"/>
    <x v="406"/>
    <n v="110"/>
    <n v="22913"/>
    <m/>
    <n v="332"/>
    <n v="477.64125570546946"/>
    <n v="1.5110326566637247"/>
    <n v="721.73153554083297"/>
    <n v="144"/>
    <n v="40.175432722889951"/>
    <m/>
    <m/>
  </r>
  <r>
    <x v="11"/>
    <x v="406"/>
    <n v="59"/>
    <n v="12100"/>
    <m/>
    <n v="451"/>
    <n v="272.91369676086509"/>
    <n v="2.3347826086956522"/>
    <n v="637.19415287210677"/>
    <n v="88.714285714285708"/>
    <n v="22.543150530526365"/>
    <m/>
    <m/>
  </r>
  <r>
    <x v="12"/>
    <x v="406"/>
    <n v="953"/>
    <n v="81648"/>
    <n v="2"/>
    <n v="1608"/>
    <n v="460.32382439565538"/>
    <n v="3.2397454031117396"/>
    <n v="1491.3319940286401"/>
    <n v="844.14285714285711"/>
    <n v="42.412035400161038"/>
    <m/>
    <m/>
  </r>
  <r>
    <x v="13"/>
    <x v="406"/>
    <n v="170"/>
    <n v="13650"/>
    <n v="2"/>
    <n v="225"/>
    <n v="135.73361960018838"/>
    <n v="0.97884505431675239"/>
    <n v="132.8621822501558"/>
    <n v="148"/>
    <n v="11.733981133661144"/>
    <m/>
    <m/>
  </r>
  <r>
    <x v="14"/>
    <x v="406"/>
    <n v="241"/>
    <n v="66899"/>
    <m/>
    <n v="1017"/>
    <n v="274.82580561608415"/>
    <n v="1.1321339950372209"/>
    <n v="311.13963725146004"/>
    <n v="148.57142857142858"/>
    <n v="22.373294547219377"/>
    <m/>
    <m/>
  </r>
  <r>
    <x v="15"/>
    <x v="406"/>
    <n v="249"/>
    <n v="57191"/>
    <n v="1"/>
    <n v="1307"/>
    <n v="256.28335629539464"/>
    <n v="1.4980453479280689"/>
    <n v="383.9240896497077"/>
    <n v="157"/>
    <n v="21.000254143203009"/>
    <m/>
    <m/>
  </r>
  <r>
    <x v="16"/>
    <x v="406"/>
    <n v="232"/>
    <n v="31342"/>
    <n v="3"/>
    <n v="1240"/>
    <n v="149.74757739590859"/>
    <n v="1.5367435158501441"/>
    <n v="230.12361857743014"/>
    <n v="181.71428571428572"/>
    <n v="12.757278042167016"/>
    <m/>
    <m/>
  </r>
  <r>
    <x v="17"/>
    <x v="406"/>
    <n v="332"/>
    <n v="19289"/>
    <n v="1"/>
    <n v="234"/>
    <n v="277.25971145021163"/>
    <n v="1.9584086799276672"/>
    <n v="542.98782549833481"/>
    <n v="202.42857142857142"/>
    <n v="25.911951663695419"/>
    <m/>
    <m/>
  </r>
  <r>
    <x v="18"/>
    <x v="406"/>
    <n v="516"/>
    <n v="27430"/>
    <n v="2"/>
    <n v="445"/>
    <n v="950.17390346390528"/>
    <n v="4.4722222222222223"/>
    <n v="4249.3888460469097"/>
    <n v="448.57142857142856"/>
    <n v="88.244485562752502"/>
    <m/>
    <m/>
  </r>
  <r>
    <x v="19"/>
    <x v="406"/>
    <n v="242"/>
    <n v="41352"/>
    <n v="4"/>
    <n v="670"/>
    <n v="585.72920825380504"/>
    <n v="1.3092909535452322"/>
    <n v="766.88995359391822"/>
    <n v="173.57142857142858"/>
    <n v="47.463051088993808"/>
    <m/>
    <m/>
  </r>
  <r>
    <x v="20"/>
    <x v="406"/>
    <n v="1762"/>
    <n v="244944"/>
    <n v="18"/>
    <n v="4368"/>
    <n v="406.34336778061868"/>
    <n v="1.9566993464052287"/>
    <n v="795.091802152436"/>
    <n v="1286.7142857142858"/>
    <n v="36.384677538523043"/>
    <m/>
    <m/>
  </r>
  <r>
    <x v="21"/>
    <x v="406"/>
    <n v="137"/>
    <n v="27083"/>
    <n v="2"/>
    <n v="309"/>
    <n v="214.75744470328002"/>
    <n v="1.528"/>
    <n v="328.14937550661188"/>
    <n v="174.42857142857142"/>
    <n v="17.829526074842246"/>
    <m/>
    <m/>
  </r>
  <r>
    <x v="22"/>
    <x v="406"/>
    <n v="104"/>
    <n v="25057"/>
    <m/>
    <n v="372"/>
    <n v="595.48719108748514"/>
    <n v="1.7908163265306123"/>
    <n v="1066.4081840393228"/>
    <n v="88.285714285714292"/>
    <n v="49.926887002043934"/>
    <m/>
    <m/>
  </r>
  <r>
    <x v="23"/>
    <x v="406"/>
    <n v="763"/>
    <n v="94632"/>
    <n v="3"/>
    <n v="1537"/>
    <n v="444.2199478832282"/>
    <n v="1.7027821759782855"/>
    <n v="756.40980946956392"/>
    <n v="629.28571428571433"/>
    <n v="37.133537088690233"/>
    <m/>
    <m/>
  </r>
  <r>
    <x v="0"/>
    <x v="407"/>
    <n v="13241"/>
    <n v="1117257"/>
    <n v="241"/>
    <n v="29818"/>
    <n v="739.3475715177251"/>
    <n v="2.1507819366822005"/>
    <n v="1590.1754017501746"/>
    <n v="11329"/>
    <n v="64.585308333135231"/>
    <m/>
    <m/>
  </r>
  <r>
    <x v="4"/>
    <x v="407"/>
    <n v="2658"/>
    <n v="294726"/>
    <n v="31"/>
    <n v="7153"/>
    <n v="1085.7231293848511"/>
    <n v="2.0367795059469351"/>
    <n v="2211.3786190636374"/>
    <n v="2728.1428571428573"/>
    <n v="88.701458397450736"/>
    <m/>
    <m/>
  </r>
  <r>
    <x v="1"/>
    <x v="407"/>
    <n v="167"/>
    <n v="12185"/>
    <m/>
    <n v="18"/>
    <n v="415.22441375126976"/>
    <n v="1.5653357531760435"/>
    <n v="649.96562043642496"/>
    <n v="152.71428571428572"/>
    <n v="36.759825946178665"/>
    <m/>
    <m/>
  </r>
  <r>
    <x v="2"/>
    <x v="407"/>
    <n v="247"/>
    <n v="41078"/>
    <n v="1"/>
    <n v="978"/>
    <n v="214.68758639182892"/>
    <n v="1.1933548684817721"/>
    <n v="256.19847642329006"/>
    <n v="222"/>
    <n v="18.430256836421506"/>
    <m/>
    <m/>
  </r>
  <r>
    <x v="3"/>
    <x v="407"/>
    <n v="261"/>
    <n v="51988"/>
    <m/>
    <n v="881"/>
    <n v="302.91085212457631"/>
    <n v="1.1460880195599021"/>
    <n v="347.16249861465803"/>
    <n v="164.57142857142858"/>
    <n v="26.586918220762819"/>
    <m/>
    <m/>
  </r>
  <r>
    <x v="6"/>
    <x v="407"/>
    <n v="165"/>
    <n v="33907"/>
    <n v="6"/>
    <n v="371"/>
    <n v="343.59355496649272"/>
    <n v="0.83808487486398264"/>
    <n v="287.96056151816401"/>
    <n v="296.42857142857144"/>
    <n v="26.447921747801036"/>
    <m/>
    <m/>
  </r>
  <r>
    <x v="5"/>
    <x v="407"/>
    <n v="1841"/>
    <n v="200636"/>
    <n v="18"/>
    <n v="3144"/>
    <n v="531.93101889401532"/>
    <n v="1.8553937482608291"/>
    <n v="986.94148696196908"/>
    <n v="1681.7142857142858"/>
    <n v="44.721091510704461"/>
    <m/>
    <m/>
  </r>
  <r>
    <x v="7"/>
    <x v="407"/>
    <n v="609"/>
    <n v="54547"/>
    <n v="9"/>
    <n v="989"/>
    <n v="332.47688787779742"/>
    <n v="1.8120330318521432"/>
    <n v="602.45910316197035"/>
    <n v="430.57142857142856"/>
    <n v="31.066633806537741"/>
    <m/>
    <m/>
  </r>
  <r>
    <x v="8"/>
    <x v="407"/>
    <n v="92"/>
    <n v="3225"/>
    <m/>
    <n v="53"/>
    <n v="159.94897495509696"/>
    <n v="1.5868852459016394"/>
    <n v="253.82066845333421"/>
    <n v="99.428571428571431"/>
    <n v="16.429233555009962"/>
    <m/>
    <m/>
  </r>
  <r>
    <x v="9"/>
    <x v="407"/>
    <n v="76"/>
    <n v="23278"/>
    <n v="7"/>
    <n v="998"/>
    <n v="107.5392959484019"/>
    <n v="1.3567921440261865"/>
    <n v="145.9084719168988"/>
    <n v="65.142857142857139"/>
    <n v="8.450442693860289"/>
    <m/>
    <m/>
  </r>
  <r>
    <x v="10"/>
    <x v="407"/>
    <n v="207"/>
    <n v="23120"/>
    <m/>
    <n v="332"/>
    <n v="510.56279085339321"/>
    <n v="1.7231638418079096"/>
    <n v="879.78334017110126"/>
    <n v="148.85714285714286"/>
    <n v="41.530556445685846"/>
    <m/>
    <m/>
  </r>
  <r>
    <x v="11"/>
    <x v="407"/>
    <n v="79"/>
    <n v="12179"/>
    <m/>
    <n v="451"/>
    <n v="274.69246387196944"/>
    <n v="2.0357815442561207"/>
    <n v="559.21384829679653"/>
    <n v="82"/>
    <n v="20.836986158650781"/>
    <m/>
    <m/>
  </r>
  <r>
    <x v="12"/>
    <x v="407"/>
    <n v="966"/>
    <n v="82614"/>
    <n v="9"/>
    <n v="1617"/>
    <n v="482.68183594947186"/>
    <n v="3.0021874999999998"/>
    <n v="1449.1013743645549"/>
    <n v="838.57142857142856"/>
    <n v="42.132111660000895"/>
    <m/>
    <m/>
  </r>
  <r>
    <x v="13"/>
    <x v="407"/>
    <n v="128"/>
    <n v="13778"/>
    <m/>
    <n v="225"/>
    <n v="135.25791766233723"/>
    <n v="0.97933409873708377"/>
    <n v="132.46269089089972"/>
    <n v="151.85714285714286"/>
    <n v="12.039789522279726"/>
    <m/>
    <m/>
  </r>
  <r>
    <x v="14"/>
    <x v="407"/>
    <n v="183"/>
    <n v="67082"/>
    <n v="8"/>
    <n v="1025"/>
    <n v="281.3011533648467"/>
    <n v="1.1523750771128933"/>
    <n v="324.16443830076105"/>
    <n v="148.57142857142858"/>
    <n v="22.373294547219377"/>
    <m/>
    <m/>
  </r>
  <r>
    <x v="15"/>
    <x v="407"/>
    <n v="253"/>
    <n v="57444"/>
    <n v="1"/>
    <n v="1308"/>
    <n v="270.0605930899801"/>
    <n v="1.530705079605762"/>
    <n v="413.38312164417727"/>
    <n v="174.42857142857142"/>
    <n v="23.331492546725087"/>
    <m/>
    <m/>
  </r>
  <r>
    <x v="16"/>
    <x v="407"/>
    <n v="261"/>
    <n v="31603"/>
    <n v="4"/>
    <n v="1244"/>
    <n v="157.32973321342294"/>
    <n v="1.5803949224259521"/>
    <n v="248.64311151712329"/>
    <n v="191.42857142857142"/>
    <n v="13.439270893477831"/>
    <m/>
    <m/>
  </r>
  <r>
    <x v="17"/>
    <x v="407"/>
    <n v="233"/>
    <n v="19522"/>
    <m/>
    <n v="234"/>
    <n v="284.17200342542469"/>
    <n v="1.8331957060280759"/>
    <n v="520.94289645288427"/>
    <n v="198.85714285714286"/>
    <n v="25.454789496022599"/>
    <m/>
    <m/>
  </r>
  <r>
    <x v="18"/>
    <x v="407"/>
    <n v="486"/>
    <n v="27916"/>
    <n v="2"/>
    <n v="447"/>
    <n v="1005.8466187186227"/>
    <n v="3.9976544175136826"/>
    <n v="4021.0271786617027"/>
    <n v="468.57142857142856"/>
    <n v="92.178953071919821"/>
    <m/>
    <m/>
  </r>
  <r>
    <x v="19"/>
    <x v="407"/>
    <n v="243"/>
    <n v="41595"/>
    <n v="2"/>
    <n v="672"/>
    <n v="598.85479275248974"/>
    <n v="1.2966252220248669"/>
    <n v="776.49022861335266"/>
    <n v="181.42857142857142"/>
    <n v="49.611584265861836"/>
    <m/>
    <m/>
  </r>
  <r>
    <x v="20"/>
    <x v="407"/>
    <n v="1697"/>
    <n v="246641"/>
    <n v="6"/>
    <n v="4374"/>
    <n v="428.31475238504044"/>
    <n v="1.9753521126760563"/>
    <n v="846.07245101411149"/>
    <n v="1344"/>
    <n v="38.004557153594398"/>
    <m/>
    <m/>
  </r>
  <r>
    <x v="21"/>
    <x v="407"/>
    <n v="223"/>
    <n v="27306"/>
    <n v="3"/>
    <n v="312"/>
    <n v="224.4680383476454"/>
    <n v="1.5741935483870968"/>
    <n v="353.35613778597082"/>
    <n v="181.14285714285714"/>
    <n v="18.515838708353783"/>
    <m/>
    <m/>
  </r>
  <r>
    <x v="22"/>
    <x v="407"/>
    <n v="120"/>
    <n v="25177"/>
    <m/>
    <n v="372"/>
    <n v="615.84572753492057"/>
    <n v="1.704225352112676"/>
    <n v="1049.5399018552871"/>
    <n v="98.857142857142861"/>
    <n v="55.905187387401945"/>
    <m/>
    <m/>
  </r>
  <r>
    <x v="23"/>
    <x v="407"/>
    <n v="721"/>
    <n v="95353"/>
    <n v="20"/>
    <n v="1557"/>
    <n v="442.62670418067148"/>
    <n v="1.5361458120008191"/>
    <n v="679.9391579068639"/>
    <n v="634.42857142857144"/>
    <n v="37.437012079653421"/>
    <m/>
    <m/>
  </r>
  <r>
    <x v="0"/>
    <x v="408"/>
    <n v="12891"/>
    <n v="1130148"/>
    <n v="271"/>
    <n v="30089"/>
    <n v="772.43549892221949"/>
    <n v="2.1236305502876038"/>
    <n v="1640.3676236378728"/>
    <n v="11452.571428571429"/>
    <n v="65.289774642205032"/>
    <m/>
    <m/>
  </r>
  <r>
    <x v="4"/>
    <x v="408"/>
    <n v="2843"/>
    <n v="297569"/>
    <n v="24"/>
    <n v="7177"/>
    <n v="1126.9177272026755"/>
    <n v="2.0322486074464967"/>
    <n v="2290.1769818144085"/>
    <n v="2796.5714285714284"/>
    <n v="90.926310393700334"/>
    <m/>
    <m/>
  </r>
  <r>
    <x v="1"/>
    <x v="408"/>
    <n v="163"/>
    <n v="12348"/>
    <m/>
    <n v="18"/>
    <n v="437.61042562307733"/>
    <n v="1.6974789915966386"/>
    <n v="742.83450399883714"/>
    <n v="151.57142857142858"/>
    <n v="36.48472902609501"/>
    <m/>
    <m/>
  </r>
  <r>
    <x v="2"/>
    <x v="408"/>
    <n v="347"/>
    <n v="41425"/>
    <n v="3"/>
    <n v="981"/>
    <n v="228.55178860661448"/>
    <n v="1.2710064635272391"/>
    <n v="290.4908005697182"/>
    <n v="234.42857142857142"/>
    <n v="19.462066582089893"/>
    <m/>
    <m/>
  </r>
  <r>
    <x v="3"/>
    <x v="408"/>
    <n v="185"/>
    <n v="52173"/>
    <m/>
    <n v="881"/>
    <n v="314.86573375509295"/>
    <n v="1.1769323671497585"/>
    <n v="370.57567336272717"/>
    <n v="165.71428571428572"/>
    <n v="26.771549597295891"/>
    <m/>
    <m/>
  </r>
  <r>
    <x v="6"/>
    <x v="408"/>
    <n v="167"/>
    <n v="34074"/>
    <n v="10"/>
    <n v="381"/>
    <n v="320.84196927019161"/>
    <n v="0.76526920621408812"/>
    <n v="245.53047914356438"/>
    <n v="247.57142857142858"/>
    <n v="22.088794404308043"/>
    <m/>
    <m/>
  </r>
  <r>
    <x v="5"/>
    <x v="408"/>
    <n v="1605"/>
    <n v="202241"/>
    <n v="18"/>
    <n v="3162"/>
    <n v="542.86056190083627"/>
    <n v="1.8120007101011895"/>
    <n v="983.66372365024608"/>
    <n v="1598.2857142857142"/>
    <n v="42.502512047380343"/>
    <m/>
    <m/>
  </r>
  <r>
    <x v="7"/>
    <x v="408"/>
    <n v="524"/>
    <n v="55071"/>
    <n v="6"/>
    <n v="995"/>
    <n v="353.25669337015978"/>
    <n v="1.9065420560747663"/>
    <n v="673.49874250011771"/>
    <n v="443"/>
    <n v="31.963381364987903"/>
    <m/>
    <m/>
  </r>
  <r>
    <x v="8"/>
    <x v="408"/>
    <n v="94"/>
    <n v="3319"/>
    <n v="8"/>
    <n v="61"/>
    <n v="169.36745798447768"/>
    <n v="1.6167192429022081"/>
    <n v="273.81962844493631"/>
    <n v="111.14285714285714"/>
    <n v="18.364861646261133"/>
    <m/>
    <m/>
  </r>
  <r>
    <x v="9"/>
    <x v="408"/>
    <n v="81"/>
    <n v="23359"/>
    <m/>
    <n v="998"/>
    <n v="107.15013082434254"/>
    <n v="1.2846034214618973"/>
    <n v="137.64542466704034"/>
    <n v="67"/>
    <n v="8.6913544373256055"/>
    <m/>
    <m/>
  </r>
  <r>
    <x v="10"/>
    <x v="408"/>
    <n v="207"/>
    <n v="23327"/>
    <m/>
    <n v="332"/>
    <n v="541.81034963786317"/>
    <n v="1.808193668528864"/>
    <n v="979.69804375859428"/>
    <n v="153"/>
    <n v="42.686397268070579"/>
    <m/>
    <m/>
  </r>
  <r>
    <x v="11"/>
    <x v="408"/>
    <n v="110"/>
    <n v="12289"/>
    <m/>
    <n v="451"/>
    <n v="288.66849117350347"/>
    <n v="2.1313320825515949"/>
    <n v="615.24841645984986"/>
    <n v="82.142857142857139"/>
    <n v="20.873287528265152"/>
    <m/>
    <m/>
  </r>
  <r>
    <x v="12"/>
    <x v="408"/>
    <n v="1050"/>
    <n v="83664"/>
    <n v="6"/>
    <n v="1623"/>
    <n v="510.91824604665135"/>
    <n v="2.9305475504322764"/>
    <n v="1497.2702144231691"/>
    <n v="839.14285714285711"/>
    <n v="42.160821787196802"/>
    <m/>
    <m/>
  </r>
  <r>
    <x v="13"/>
    <x v="408"/>
    <n v="99"/>
    <n v="13877"/>
    <m/>
    <n v="225"/>
    <n v="136.60573981958211"/>
    <n v="1.0183215130023642"/>
    <n v="139.10856365788416"/>
    <n v="144.14285714285714"/>
    <n v="11.428172745042563"/>
    <m/>
    <m/>
  </r>
  <r>
    <x v="14"/>
    <x v="408"/>
    <n v="206"/>
    <n v="67288"/>
    <n v="1"/>
    <n v="1026"/>
    <n v="297.71540696054706"/>
    <n v="1.2664958360025624"/>
    <n v="377.05532322934113"/>
    <n v="159.28571428571428"/>
    <n v="23.986753288605389"/>
    <m/>
    <m/>
  </r>
  <r>
    <x v="15"/>
    <x v="408"/>
    <n v="202"/>
    <n v="57646"/>
    <n v="2"/>
    <n v="1310"/>
    <n v="279.95880204919678"/>
    <n v="1.5760542168674698"/>
    <n v="441.23025051880182"/>
    <n v="180"/>
    <n v="24.076724495391982"/>
    <m/>
    <m/>
  </r>
  <r>
    <x v="16"/>
    <x v="408"/>
    <n v="268"/>
    <n v="31871"/>
    <n v="3"/>
    <n v="1247"/>
    <n v="164.70127359156191"/>
    <n v="1.6337047353760445"/>
    <n v="269.07325058900017"/>
    <n v="197.71428571428572"/>
    <n v="13.880560385502477"/>
    <m/>
    <m/>
  </r>
  <r>
    <x v="17"/>
    <x v="408"/>
    <n v="271"/>
    <n v="19793"/>
    <n v="4"/>
    <n v="238"/>
    <n v="307.21297667613476"/>
    <n v="1.9753086419753085"/>
    <n v="606.84044775532789"/>
    <n v="190.28571428571428"/>
    <n v="24.357600293607828"/>
    <m/>
    <m/>
  </r>
  <r>
    <x v="18"/>
    <x v="408"/>
    <n v="433"/>
    <n v="28349"/>
    <n v="1"/>
    <n v="448"/>
    <n v="1042.6338899293369"/>
    <n v="3.5029742233972239"/>
    <n v="3652.3196408628455"/>
    <n v="455.71428571428572"/>
    <n v="89.649652530312267"/>
    <m/>
    <m/>
  </r>
  <r>
    <x v="19"/>
    <x v="408"/>
    <n v="189"/>
    <n v="41784"/>
    <n v="2"/>
    <n v="674"/>
    <n v="601.86273920010501"/>
    <n v="1.278164924506388"/>
    <n v="769.2798426129101"/>
    <n v="182.71428571428572"/>
    <n v="49.963162422076607"/>
    <m/>
    <m/>
  </r>
  <r>
    <x v="20"/>
    <x v="408"/>
    <n v="2012"/>
    <n v="248653"/>
    <n v="14"/>
    <n v="4388"/>
    <n v="456.30918064550059"/>
    <n v="1.9669673330082886"/>
    <n v="897.54525208147766"/>
    <n v="1436.4285714285713"/>
    <n v="40.618178377911526"/>
    <m/>
    <m/>
  </r>
  <r>
    <x v="21"/>
    <x v="408"/>
    <n v="201"/>
    <n v="27507"/>
    <m/>
    <n v="312"/>
    <n v="225.49020609968383"/>
    <n v="1.494579945799458"/>
    <n v="337.01314001077407"/>
    <n v="185.71428571428572"/>
    <n v="18.983115394999935"/>
    <m/>
    <m/>
  </r>
  <r>
    <x v="22"/>
    <x v="408"/>
    <n v="54"/>
    <n v="25231"/>
    <n v="2"/>
    <n v="374"/>
    <n v="614.14918283096756"/>
    <n v="1.6811145510835914"/>
    <n v="1032.4551277932364"/>
    <n v="96.714285714285708"/>
    <n v="54.693369741721263"/>
    <m/>
    <m/>
  </r>
  <r>
    <x v="23"/>
    <x v="408"/>
    <n v="797"/>
    <n v="96150"/>
    <n v="8"/>
    <n v="1565"/>
    <n v="457.79202386797078"/>
    <n v="1.5310834813499112"/>
    <n v="700.91780563799432"/>
    <n v="629.85714285714289"/>
    <n v="37.167256532130587"/>
    <m/>
    <m/>
  </r>
  <r>
    <x v="0"/>
    <x v="409"/>
    <n v="15166"/>
    <n v="1145314"/>
    <n v="56"/>
    <n v="30145"/>
    <n v="830.29946569610263"/>
    <n v="2.2311687117974173"/>
    <n v="1852.5381892832572"/>
    <n v="11840.285714285714"/>
    <n v="67.500088587656379"/>
    <m/>
    <m/>
  </r>
  <r>
    <x v="4"/>
    <x v="409"/>
    <n v="3313"/>
    <n v="300882"/>
    <n v="25"/>
    <n v="7202"/>
    <n v="1179.394507690417"/>
    <n v="2.0298824846110799"/>
    <n v="2394.0322536072849"/>
    <n v="2898.2857142857142"/>
    <n v="94.233397285829199"/>
    <m/>
    <m/>
  </r>
  <r>
    <x v="1"/>
    <x v="409"/>
    <n v="144"/>
    <n v="12492"/>
    <n v="1"/>
    <n v="19"/>
    <n v="449.64591587673726"/>
    <n v="1.7807435653002859"/>
    <n v="800.70407136105348"/>
    <n v="153.85714285714286"/>
    <n v="37.03492286626232"/>
    <m/>
    <m/>
  </r>
  <r>
    <x v="2"/>
    <x v="409"/>
    <n v="309"/>
    <n v="41734"/>
    <n v="6"/>
    <n v="987"/>
    <n v="238.51408959927474"/>
    <n v="1.3124714481498401"/>
    <n v="313.0429325805008"/>
    <n v="246.57142857142858"/>
    <n v="20.47015656349004"/>
    <m/>
    <m/>
  </r>
  <r>
    <x v="3"/>
    <x v="409"/>
    <n v="272"/>
    <n v="52445"/>
    <n v="1"/>
    <n v="882"/>
    <n v="351.05348355557567"/>
    <n v="1.3779327837666455"/>
    <n v="483.72810384671271"/>
    <n v="177"/>
    <n v="28.594784440560005"/>
    <m/>
    <m/>
  </r>
  <r>
    <x v="6"/>
    <x v="409"/>
    <n v="189"/>
    <n v="34263"/>
    <n v="9"/>
    <n v="390"/>
    <n v="320.39585974673469"/>
    <n v="0.79166666666666663"/>
    <n v="253.64672229949829"/>
    <n v="212.71428571428572"/>
    <n v="18.978773726494332"/>
    <m/>
    <m/>
  </r>
  <r>
    <x v="5"/>
    <x v="409"/>
    <n v="2332"/>
    <n v="204573"/>
    <n v="10"/>
    <n v="3172"/>
    <n v="586.33940086957682"/>
    <n v="1.9546985815602838"/>
    <n v="1146.1167951926684"/>
    <n v="1664.7142857142858"/>
    <n v="44.269017955677803"/>
    <m/>
    <m/>
  </r>
  <r>
    <x v="7"/>
    <x v="409"/>
    <n v="626"/>
    <n v="55697"/>
    <n v="4"/>
    <n v="999"/>
    <n v="386.87957309044049"/>
    <n v="2.1560112585444311"/>
    <n v="834.11671528385284"/>
    <n v="467.85714285714283"/>
    <n v="33.75687648188822"/>
    <m/>
    <m/>
  </r>
  <r>
    <x v="8"/>
    <x v="409"/>
    <n v="93"/>
    <n v="3412"/>
    <m/>
    <n v="61"/>
    <n v="184.73445661136199"/>
    <n v="1.8357963875205254"/>
    <n v="339.13484809770557"/>
    <n v="110.14285714285714"/>
    <n v="18.199625101886031"/>
    <m/>
    <m/>
  </r>
  <r>
    <x v="9"/>
    <x v="409"/>
    <n v="113"/>
    <n v="23472"/>
    <m/>
    <n v="998"/>
    <n v="115.06315501354943"/>
    <n v="1.3773291925465838"/>
    <n v="158.47984238667445"/>
    <n v="75.428571428571431"/>
    <n v="9.7847231192066531"/>
    <m/>
    <m/>
  </r>
  <r>
    <x v="10"/>
    <x v="409"/>
    <n v="406"/>
    <n v="23733"/>
    <m/>
    <n v="332"/>
    <n v="636.39001417299994"/>
    <n v="2.1258154706430568"/>
    <n v="1352.8477374917175"/>
    <n v="180.42857142857142"/>
    <n v="50.338860643859128"/>
    <m/>
    <m/>
  </r>
  <r>
    <x v="11"/>
    <x v="409"/>
    <n v="104"/>
    <n v="12393"/>
    <n v="4"/>
    <n v="455"/>
    <n v="302.13629930043629"/>
    <n v="2.1308243727598568"/>
    <n v="643.79939044483649"/>
    <n v="88.428571428571431"/>
    <n v="22.470547791297619"/>
    <m/>
    <m/>
  </r>
  <r>
    <x v="12"/>
    <x v="409"/>
    <n v="1150"/>
    <n v="84814"/>
    <n v="9"/>
    <n v="1632"/>
    <n v="556.8903372191055"/>
    <n v="3.1741122565864832"/>
    <n v="1767.6324449417425"/>
    <n v="852.57142857142856"/>
    <n v="42.835509776300739"/>
    <m/>
    <m/>
  </r>
  <r>
    <x v="13"/>
    <x v="409"/>
    <n v="189"/>
    <n v="14066"/>
    <n v="1"/>
    <n v="226"/>
    <n v="144.53410545043423"/>
    <n v="1.0968712394705173"/>
    <n v="158.53530339118024"/>
    <n v="146.85714285714286"/>
    <n v="11.643371240737121"/>
    <m/>
    <m/>
  </r>
  <r>
    <x v="14"/>
    <x v="409"/>
    <n v="295"/>
    <n v="67583"/>
    <m/>
    <n v="1026"/>
    <n v="333.10393535494694"/>
    <n v="1.5129958960328318"/>
    <n v="503.98488714442044"/>
    <n v="176.42857142857142"/>
    <n v="26.568287274823007"/>
    <m/>
    <m/>
  </r>
  <r>
    <x v="15"/>
    <x v="409"/>
    <n v="196"/>
    <n v="57842"/>
    <n v="2"/>
    <n v="1312"/>
    <n v="301.36033493398963"/>
    <n v="1.741112828438949"/>
    <n v="524.70234513622768"/>
    <n v="178.28571428571428"/>
    <n v="23.84742235734063"/>
    <m/>
    <m/>
  </r>
  <r>
    <x v="16"/>
    <x v="409"/>
    <n v="280"/>
    <n v="32151"/>
    <n v="9"/>
    <n v="1256"/>
    <n v="179.65496978721521"/>
    <n v="1.7733887733887734"/>
    <n v="318.59810650414676"/>
    <n v="202.42857142857142"/>
    <n v="14.211527504520959"/>
    <m/>
    <m/>
  </r>
  <r>
    <x v="17"/>
    <x v="409"/>
    <n v="234"/>
    <n v="20027"/>
    <n v="2"/>
    <n v="240"/>
    <n v="331.66200940327718"/>
    <n v="2.2221269296740993"/>
    <n v="736.99508264484655"/>
    <n v="191.42857142857142"/>
    <n v="24.50389218726313"/>
    <m/>
    <m/>
  </r>
  <r>
    <x v="18"/>
    <x v="409"/>
    <n v="758"/>
    <n v="29107"/>
    <m/>
    <n v="448"/>
    <n v="1164.0122125871485"/>
    <n v="3.6101281269066505"/>
    <n v="4202.2332287237086"/>
    <n v="500.71428571428572"/>
    <n v="98.5022044259387"/>
    <m/>
    <m/>
  </r>
  <r>
    <x v="19"/>
    <x v="409"/>
    <n v="157"/>
    <n v="41941"/>
    <n v="1"/>
    <n v="675"/>
    <n v="628.9342572286422"/>
    <n v="1.3964784456587735"/>
    <n v="878.29313395620954"/>
    <n v="180"/>
    <n v="49.220941870067655"/>
    <m/>
    <m/>
  </r>
  <r>
    <x v="20"/>
    <x v="409"/>
    <n v="1954"/>
    <n v="250607"/>
    <n v="8"/>
    <n v="4396"/>
    <n v="498.30082303619088"/>
    <n v="2.1619433198380569"/>
    <n v="1077.2981356328985"/>
    <n v="1511.7142857142858"/>
    <n v="42.747047597718534"/>
    <m/>
    <m/>
  </r>
  <r>
    <x v="21"/>
    <x v="409"/>
    <n v="258"/>
    <n v="27765"/>
    <n v="7"/>
    <n v="319"/>
    <n v="241.2315894810761"/>
    <n v="1.6098226466575716"/>
    <n v="388.34007583583872"/>
    <n v="190.71428571428572"/>
    <n v="19.494199271019166"/>
    <m/>
    <m/>
  </r>
  <r>
    <x v="22"/>
    <x v="409"/>
    <n v="101"/>
    <n v="25332"/>
    <m/>
    <n v="374"/>
    <n v="632.81117457444998"/>
    <n v="1.6553254437869822"/>
    <n v="1047.508438385813"/>
    <n v="89.571428571428569"/>
    <n v="50.653977589452339"/>
    <m/>
    <m/>
  </r>
  <r>
    <x v="23"/>
    <x v="409"/>
    <n v="833"/>
    <n v="96983"/>
    <n v="4"/>
    <n v="1569"/>
    <n v="491.30915064768305"/>
    <n v="1.6675345483677149"/>
    <n v="819.27498263420978"/>
    <n v="627.42857142857144"/>
    <n v="37.023948897509079"/>
    <m/>
    <m/>
  </r>
  <r>
    <x v="0"/>
    <x v="410"/>
    <n v="9376"/>
    <n v="1154690"/>
    <n v="29"/>
    <n v="30174"/>
    <n v="853.50206123991597"/>
    <n v="2.2212430082639725"/>
    <n v="1895.8354860680522"/>
    <n v="11701.285714285714"/>
    <n v="66.707665791442608"/>
    <m/>
    <m/>
  </r>
  <r>
    <x v="4"/>
    <x v="410"/>
    <n v="2833"/>
    <n v="303715"/>
    <n v="17"/>
    <n v="7219"/>
    <n v="1210.1197602064738"/>
    <n v="1.9675935715796151"/>
    <n v="2381.0238610237229"/>
    <n v="2947.1428571428573"/>
    <n v="95.821913742441666"/>
    <m/>
    <m/>
  </r>
  <r>
    <x v="1"/>
    <x v="410"/>
    <n v="153"/>
    <n v="12645"/>
    <m/>
    <n v="19"/>
    <n v="466.49560223186126"/>
    <n v="1.8300283286118981"/>
    <n v="853.70016725717392"/>
    <n v="153"/>
    <n v="36.828600176199579"/>
    <m/>
    <m/>
  </r>
  <r>
    <x v="2"/>
    <x v="410"/>
    <n v="248"/>
    <n v="41982"/>
    <n v="3"/>
    <n v="990"/>
    <n v="252.12923428924381"/>
    <n v="1.4441274369947694"/>
    <n v="364.10674490557938"/>
    <n v="254"/>
    <n v="21.086870434464249"/>
    <m/>
    <m/>
  </r>
  <r>
    <x v="3"/>
    <x v="410"/>
    <n v="86"/>
    <n v="52531"/>
    <n v="6"/>
    <n v="888"/>
    <n v="358.32334400656549"/>
    <n v="1.4011370814908402"/>
    <n v="502.06012445139748"/>
    <n v="176.71428571428572"/>
    <n v="28.548626596426736"/>
    <m/>
    <m/>
  </r>
  <r>
    <x v="6"/>
    <x v="410"/>
    <n v="275"/>
    <n v="34538"/>
    <n v="3"/>
    <n v="393"/>
    <n v="327.71205593142759"/>
    <n v="0.81731197151757895"/>
    <n v="267.84298652339419"/>
    <n v="218"/>
    <n v="19.450375222720179"/>
    <m/>
    <m/>
  </r>
  <r>
    <x v="5"/>
    <x v="410"/>
    <n v="1247"/>
    <n v="205820"/>
    <n v="1"/>
    <n v="3173"/>
    <n v="603.94367695355606"/>
    <n v="2.0071586389748122"/>
    <n v="1212.2107686515433"/>
    <n v="1669.7142857142858"/>
    <n v="44.401980765979758"/>
    <m/>
    <m/>
  </r>
  <r>
    <x v="7"/>
    <x v="410"/>
    <n v="519"/>
    <n v="56216"/>
    <n v="1"/>
    <n v="1000"/>
    <n v="416.46193507609519"/>
    <n v="2.3597710547833195"/>
    <n v="982.75481981161943"/>
    <n v="478.85714285714283"/>
    <n v="34.550549608332616"/>
    <m/>
    <m/>
  </r>
  <r>
    <x v="8"/>
    <x v="410"/>
    <n v="15"/>
    <n v="3427"/>
    <m/>
    <n v="61"/>
    <n v="186.55205859948811"/>
    <n v="1.8538587848932677"/>
    <n v="345.8411726745847"/>
    <n v="111.28571428571429"/>
    <n v="18.388466866886148"/>
    <m/>
    <m/>
  </r>
  <r>
    <x v="9"/>
    <x v="410"/>
    <n v="140"/>
    <n v="23612"/>
    <m/>
    <n v="998"/>
    <n v="129.72170801978515"/>
    <n v="1.5649452269170578"/>
    <n v="203.00736779309099"/>
    <n v="90.285714285714292"/>
    <n v="11.712017066929175"/>
    <m/>
    <m/>
  </r>
  <r>
    <x v="10"/>
    <x v="410"/>
    <n v="153"/>
    <n v="23886"/>
    <m/>
    <n v="332"/>
    <n v="661.22066356423056"/>
    <n v="2.2087604846225535"/>
    <n v="1460.4780732965762"/>
    <n v="182.14285714285714"/>
    <n v="50.81713960484592"/>
    <m/>
    <m/>
  </r>
  <r>
    <x v="11"/>
    <x v="410"/>
    <n v="2"/>
    <n v="12395"/>
    <n v="3"/>
    <n v="458"/>
    <n v="277.99588850687746"/>
    <n v="1.7420382165605095"/>
    <n v="484.27946182567507"/>
    <n v="70.571428571428569"/>
    <n v="17.932876589500843"/>
    <m/>
    <m/>
  </r>
  <r>
    <x v="12"/>
    <x v="410"/>
    <n v="763"/>
    <n v="85577"/>
    <n v="5"/>
    <n v="1637"/>
    <n v="581.60975673478572"/>
    <n v="3.1951421473916644"/>
    <n v="1858.3258470775268"/>
    <n v="853.14285714285711"/>
    <n v="42.864219903496647"/>
    <m/>
    <m/>
  </r>
  <r>
    <x v="13"/>
    <x v="410"/>
    <n v="144"/>
    <n v="14210"/>
    <n v="2"/>
    <n v="228"/>
    <n v="150.95608161142445"/>
    <n v="1.1666666666666667"/>
    <n v="176.11542854666186"/>
    <n v="140.71428571428572"/>
    <n v="11.156343066270491"/>
    <m/>
    <m/>
  </r>
  <r>
    <x v="14"/>
    <x v="410"/>
    <n v="75"/>
    <n v="67658"/>
    <n v="1"/>
    <n v="1027"/>
    <n v="334.91100914529932"/>
    <n v="1.5476687543493388"/>
    <n v="518.33130434178543"/>
    <n v="166.42857142857142"/>
    <n v="25.062392449529398"/>
    <m/>
    <m/>
  </r>
  <r>
    <x v="15"/>
    <x v="410"/>
    <n v="159"/>
    <n v="58001"/>
    <n v="3"/>
    <n v="1315"/>
    <n v="307.7807947994275"/>
    <n v="1.7405446293494704"/>
    <n v="535.70620940505489"/>
    <n v="185.28571428571428"/>
    <n v="24.783739421050317"/>
    <m/>
    <m/>
  </r>
  <r>
    <x v="16"/>
    <x v="410"/>
    <n v="101"/>
    <n v="32252"/>
    <m/>
    <n v="1256"/>
    <n v="181.5505087415938"/>
    <n v="1.8445078459343796"/>
    <n v="334.87133780724793"/>
    <n v="185.14285714285714"/>
    <n v="12.997981401453186"/>
    <m/>
    <m/>
  </r>
  <r>
    <x v="17"/>
    <x v="410"/>
    <n v="70"/>
    <n v="20097"/>
    <m/>
    <n v="240"/>
    <n v="338.830312192387"/>
    <n v="2.3239683933274802"/>
    <n v="787.43093623639015"/>
    <n v="194.28571428571428"/>
    <n v="24.869621921401389"/>
    <m/>
    <m/>
  </r>
  <r>
    <x v="18"/>
    <x v="410"/>
    <n v="516"/>
    <n v="29623"/>
    <m/>
    <n v="448"/>
    <n v="1217.7176940872821"/>
    <n v="3.2908027644869748"/>
    <n v="4007.2687540671322"/>
    <n v="518.42857142857144"/>
    <n v="101.9870185054869"/>
    <m/>
    <m/>
  </r>
  <r>
    <x v="19"/>
    <x v="410"/>
    <n v="155"/>
    <n v="42096"/>
    <n v="3"/>
    <n v="678"/>
    <n v="652.17747977839645"/>
    <n v="1.5220165922144224"/>
    <n v="992.62494529130538"/>
    <n v="174.57142857142858"/>
    <n v="47.736500766049737"/>
    <m/>
    <m/>
  </r>
  <r>
    <x v="20"/>
    <x v="410"/>
    <n v="1441"/>
    <n v="252048"/>
    <m/>
    <n v="4396"/>
    <n v="525.05105448507504"/>
    <n v="2.2523047064531783"/>
    <n v="1182.5749611449387"/>
    <n v="1548.2857142857142"/>
    <n v="43.781185207340144"/>
    <m/>
    <m/>
  </r>
  <r>
    <x v="21"/>
    <x v="410"/>
    <n v="255"/>
    <n v="28020"/>
    <n v="1"/>
    <n v="320"/>
    <n v="252.78208507911069"/>
    <n v="1.634500991407799"/>
    <n v="413.17256867193703"/>
    <n v="197.57142857142858"/>
    <n v="20.195114300988394"/>
    <m/>
    <m/>
  </r>
  <r>
    <x v="22"/>
    <x v="410"/>
    <n v="80"/>
    <n v="25412"/>
    <n v="1"/>
    <n v="375"/>
    <n v="667.87309845614436"/>
    <n v="1.7679640718562875"/>
    <n v="1180.7756426298001"/>
    <n v="91.142857142857139"/>
    <n v="51.5426438629515"/>
    <m/>
    <m/>
  </r>
  <r>
    <x v="23"/>
    <x v="410"/>
    <n v="313"/>
    <n v="97296"/>
    <m/>
    <n v="1569"/>
    <n v="489.77491597114698"/>
    <n v="1.6261755485893417"/>
    <n v="796.45999266467868"/>
    <n v="613"/>
    <n v="36.172532950640132"/>
    <m/>
    <m/>
  </r>
  <r>
    <x v="0"/>
    <x v="411"/>
    <n v="7967"/>
    <n v="1162657"/>
    <n v="14"/>
    <n v="30188"/>
    <n v="868.85454030612948"/>
    <n v="2.1460333999831027"/>
    <n v="1864.5908632239189"/>
    <n v="11740"/>
    <n v="66.928371421220547"/>
    <m/>
    <m/>
  </r>
  <r>
    <x v="4"/>
    <x v="411"/>
    <n v="3189"/>
    <n v="306904"/>
    <n v="14"/>
    <n v="7233"/>
    <n v="1250.5990611403263"/>
    <n v="1.9006769778129169"/>
    <n v="2376.9848439838665"/>
    <n v="3018.2857142857142"/>
    <n v="98.135016652947513"/>
    <m/>
    <m/>
  </r>
  <r>
    <x v="1"/>
    <x v="411"/>
    <n v="125"/>
    <n v="12770"/>
    <m/>
    <n v="19"/>
    <n v="484.06741800220487"/>
    <n v="1.898961284230406"/>
    <n v="919.22528574356375"/>
    <n v="156.42857142857142"/>
    <n v="37.653890936450544"/>
    <m/>
    <m/>
  </r>
  <r>
    <x v="2"/>
    <x v="411"/>
    <n v="121"/>
    <n v="42103"/>
    <n v="4"/>
    <n v="994"/>
    <n v="255.94811633643022"/>
    <n v="1.4980563654033041"/>
    <n v="383.42470489077471"/>
    <n v="251.85714285714286"/>
    <n v="20.90897220245246"/>
    <m/>
    <m/>
  </r>
  <r>
    <x v="3"/>
    <x v="411"/>
    <n v="64"/>
    <n v="52595"/>
    <n v="3"/>
    <n v="891"/>
    <n v="365.10854709415599"/>
    <n v="1.4231738035264483"/>
    <n v="519.61291966800536"/>
    <n v="178.85714285714286"/>
    <n v="28.894810427426254"/>
    <m/>
    <m/>
  </r>
  <r>
    <x v="6"/>
    <x v="411"/>
    <n v="195"/>
    <n v="34733"/>
    <m/>
    <n v="393"/>
    <n v="344.48577401340646"/>
    <n v="0.87650397275822933"/>
    <n v="301.94314948144438"/>
    <n v="214.57142857142858"/>
    <n v="19.144471549492604"/>
    <m/>
    <m/>
  </r>
  <r>
    <x v="5"/>
    <x v="411"/>
    <n v="1003"/>
    <n v="206823"/>
    <n v="2"/>
    <n v="3175"/>
    <n v="610.5386323445332"/>
    <n v="1.9681954564937849"/>
    <n v="1201.6593621944396"/>
    <n v="1656.5714285714287"/>
    <n v="44.052478521757472"/>
    <m/>
    <m/>
  </r>
  <r>
    <x v="7"/>
    <x v="411"/>
    <n v="231"/>
    <n v="56447"/>
    <m/>
    <n v="1000"/>
    <n v="421.87334275639785"/>
    <n v="2.3624242424242423"/>
    <n v="996.64381216026595"/>
    <n v="482.14285714285717"/>
    <n v="34.787620801945884"/>
    <m/>
    <m/>
  </r>
  <r>
    <x v="8"/>
    <x v="411"/>
    <n v="35"/>
    <n v="3462"/>
    <m/>
    <n v="61"/>
    <n v="188.86537022073949"/>
    <n v="1.8317307692307692"/>
    <n v="345.95050987548916"/>
    <n v="115.42857142857143"/>
    <n v="19.073018265011562"/>
    <m/>
    <m/>
  </r>
  <r>
    <x v="9"/>
    <x v="411"/>
    <n v="74"/>
    <n v="23686"/>
    <n v="2"/>
    <n v="1000"/>
    <n v="134.78085463255678"/>
    <n v="1.667736757624398"/>
    <n v="224.77898549474557"/>
    <n v="92.714285714285708"/>
    <n v="12.027055500691509"/>
    <m/>
    <m/>
  </r>
  <r>
    <x v="10"/>
    <x v="411"/>
    <n v="142"/>
    <n v="24028"/>
    <m/>
    <n v="332"/>
    <n v="676.84444295646551"/>
    <n v="2.1796945193171609"/>
    <n v="1475.3141227424846"/>
    <n v="184.85714285714286"/>
    <n v="51.574414626408334"/>
    <m/>
    <m/>
  </r>
  <r>
    <x v="11"/>
    <x v="411"/>
    <n v="46"/>
    <n v="12441"/>
    <m/>
    <n v="458"/>
    <n v="274.43835428466883"/>
    <n v="1.6191904047976011"/>
    <n v="444.36794996618039"/>
    <n v="58.857142857142854"/>
    <n v="14.956164281122161"/>
    <m/>
    <m/>
  </r>
  <r>
    <x v="12"/>
    <x v="411"/>
    <n v="566"/>
    <n v="86143"/>
    <n v="4"/>
    <n v="1641"/>
    <n v="592.16072847928342"/>
    <n v="3.0174091141833079"/>
    <n v="1786.791179174817"/>
    <n v="869.57142857142856"/>
    <n v="43.689636060379115"/>
    <m/>
    <m/>
  </r>
  <r>
    <x v="13"/>
    <x v="411"/>
    <n v="88"/>
    <n v="14298"/>
    <m/>
    <n v="228"/>
    <n v="157.69519239764875"/>
    <n v="1.3137384412153237"/>
    <n v="207.17023624763763"/>
    <n v="133.57142857142858"/>
    <n v="10.59003123549534"/>
    <m/>
    <m/>
  </r>
  <r>
    <x v="14"/>
    <x v="411"/>
    <n v="113"/>
    <n v="67771"/>
    <n v="3"/>
    <n v="1030"/>
    <n v="342.28989378923796"/>
    <n v="1.5773768216516308"/>
    <n v="539.92014474874247"/>
    <n v="173.57142857142858"/>
    <n v="26.138031610453407"/>
    <m/>
    <m/>
  </r>
  <r>
    <x v="15"/>
    <x v="411"/>
    <n v="132"/>
    <n v="58133"/>
    <n v="1"/>
    <n v="1316"/>
    <n v="321.29051243295299"/>
    <n v="1.806015037593985"/>
    <n v="580.25549689019033"/>
    <n v="193.28571428571428"/>
    <n v="25.853816065289962"/>
    <m/>
    <m/>
  </r>
  <r>
    <x v="16"/>
    <x v="411"/>
    <n v="67"/>
    <n v="32319"/>
    <n v="1"/>
    <n v="1257"/>
    <n v="180.91866242346759"/>
    <n v="1.7945682451253482"/>
    <n v="324.6708865357075"/>
    <n v="186.71428571428572"/>
    <n v="13.108303774459349"/>
    <m/>
    <m/>
  </r>
  <r>
    <x v="17"/>
    <x v="411"/>
    <n v="61"/>
    <n v="20158"/>
    <m/>
    <n v="240"/>
    <n v="343.18249602863227"/>
    <n v="2.3072289156626504"/>
    <n v="791.80057818654302"/>
    <n v="196.28571428571428"/>
    <n v="25.125632735298169"/>
    <m/>
    <m/>
  </r>
  <r>
    <x v="18"/>
    <x v="411"/>
    <n v="485"/>
    <n v="30108"/>
    <n v="1"/>
    <n v="449"/>
    <n v="1276.734706724792"/>
    <n v="3.1413359148112296"/>
    <n v="4010.6525879205715"/>
    <n v="535.71428571428567"/>
    <n v="105.3875225669815"/>
    <m/>
    <m/>
  </r>
  <r>
    <x v="19"/>
    <x v="411"/>
    <n v="161"/>
    <n v="42257"/>
    <n v="2"/>
    <n v="680"/>
    <n v="675.14725265109462"/>
    <n v="1.5450563204005006"/>
    <n v="1043.1405299096073"/>
    <n v="180.28571428571428"/>
    <n v="49.29907034922649"/>
    <m/>
    <m/>
  </r>
  <r>
    <x v="20"/>
    <x v="411"/>
    <n v="909"/>
    <n v="252957"/>
    <n v="10"/>
    <n v="4406"/>
    <n v="541.76287984056182"/>
    <n v="2.3030412309171777"/>
    <n v="1247.7022496532425"/>
    <n v="1554.1428571428571"/>
    <n v="43.946808808881109"/>
    <m/>
    <m/>
  </r>
  <r>
    <x v="21"/>
    <x v="411"/>
    <n v="216"/>
    <n v="28236"/>
    <n v="4"/>
    <n v="324"/>
    <n v="265.76361552999907"/>
    <n v="1.6971279373368147"/>
    <n v="451.03485664360159"/>
    <n v="201.28571428571428"/>
    <n v="20.574776608888389"/>
    <m/>
    <m/>
  </r>
  <r>
    <x v="22"/>
    <x v="411"/>
    <n v="51"/>
    <n v="25463"/>
    <m/>
    <n v="375"/>
    <n v="654.86625572583841"/>
    <n v="1.6105702364394994"/>
    <n v="1054.7081003206133"/>
    <n v="87.714285714285708"/>
    <n v="49.603735629862413"/>
    <m/>
    <m/>
  </r>
  <r>
    <x v="23"/>
    <x v="411"/>
    <n v="226"/>
    <n v="97522"/>
    <m/>
    <n v="1569"/>
    <n v="493.19743948034289"/>
    <n v="1.6178861788617886"/>
    <n v="797.93732078527023"/>
    <n v="601.85714285714289"/>
    <n v="35.515003803553221"/>
    <m/>
    <m/>
  </r>
  <r>
    <x v="0"/>
    <x v="412"/>
    <n v="10515"/>
    <n v="1173172"/>
    <n v="113"/>
    <n v="30301"/>
    <n v="893.20871430199429"/>
    <n v="2.0992979071200795"/>
    <n v="1875.1111845555936"/>
    <n v="11880"/>
    <n v="67.726495100860319"/>
    <m/>
    <m/>
  </r>
  <r>
    <x v="4"/>
    <x v="412"/>
    <n v="2996"/>
    <n v="309900"/>
    <n v="30"/>
    <n v="7263"/>
    <n v="1269.0667261446863"/>
    <n v="1.7929260450160771"/>
    <n v="2275.3427861680934"/>
    <n v="2966.5714285714284"/>
    <n v="96.453604497117951"/>
    <m/>
    <m/>
  </r>
  <r>
    <x v="1"/>
    <x v="412"/>
    <n v="199"/>
    <n v="12969"/>
    <m/>
    <n v="19"/>
    <n v="505.49059065371972"/>
    <n v="1.8953068592057762"/>
    <n v="958.05978372997424"/>
    <n v="158"/>
    <n v="38.032149201565581"/>
    <m/>
    <m/>
  </r>
  <r>
    <x v="2"/>
    <x v="412"/>
    <n v="162"/>
    <n v="42265"/>
    <n v="2"/>
    <n v="996"/>
    <n v="261.92549693202642"/>
    <n v="1.5390243902439025"/>
    <n v="403.10972820514309"/>
    <n v="240.57142857142858"/>
    <n v="19.972041513857025"/>
    <m/>
    <m/>
  </r>
  <r>
    <x v="3"/>
    <x v="412"/>
    <n v="148"/>
    <n v="52743"/>
    <m/>
    <n v="891"/>
    <n v="364.13923236735735"/>
    <n v="1.3853718500307315"/>
    <n v="504.46824201353627"/>
    <n v="176.57142857142858"/>
    <n v="28.525547674360102"/>
    <m/>
    <m/>
  </r>
  <r>
    <x v="6"/>
    <x v="412"/>
    <n v="120"/>
    <n v="34853"/>
    <n v="4"/>
    <n v="397"/>
    <n v="349.83908829488911"/>
    <n v="0.91483901073261786"/>
    <n v="320.0464454512973"/>
    <n v="221.71428571428572"/>
    <n v="19.781770868716723"/>
    <m/>
    <m/>
  </r>
  <r>
    <x v="5"/>
    <x v="412"/>
    <n v="1340"/>
    <n v="208163"/>
    <n v="16"/>
    <n v="3191"/>
    <n v="618.30366046616757"/>
    <n v="1.9214114535988762"/>
    <n v="1188.0157350218051"/>
    <n v="1662.2857142857142"/>
    <n v="44.204436019245414"/>
    <m/>
    <m/>
  </r>
  <r>
    <x v="7"/>
    <x v="412"/>
    <n v="206"/>
    <n v="56653"/>
    <n v="10"/>
    <n v="1010"/>
    <n v="429.01640089439746"/>
    <n v="2.4682440846824409"/>
    <n v="1058.9171937393471"/>
    <n v="478.57142857142856"/>
    <n v="34.529934721931461"/>
    <m/>
    <m/>
  </r>
  <r>
    <x v="8"/>
    <x v="412"/>
    <n v="40"/>
    <n v="3502"/>
    <m/>
    <n v="61"/>
    <n v="190.51773566449052"/>
    <n v="1.8243670886075949"/>
    <n v="347.5742867423379"/>
    <n v="71.428571428571431"/>
    <n v="11.802610312507156"/>
    <m/>
    <m/>
  </r>
  <r>
    <x v="9"/>
    <x v="412"/>
    <n v="66"/>
    <n v="23752"/>
    <n v="3"/>
    <n v="1003"/>
    <n v="137.37528879295249"/>
    <n v="1.6242331288343559"/>
    <n v="223.12949514070044"/>
    <n v="91.857142857142861"/>
    <n v="11.915865465245979"/>
    <m/>
    <m/>
  </r>
  <r>
    <x v="10"/>
    <x v="412"/>
    <n v="155"/>
    <n v="24183"/>
    <n v="8"/>
    <n v="340"/>
    <n v="681.58737598625112"/>
    <n v="2.0633445945945947"/>
    <n v="1406.3496279851449"/>
    <n v="197.14285714285714"/>
    <n v="55.002080513480294"/>
    <m/>
    <m/>
  </r>
  <r>
    <x v="11"/>
    <x v="412"/>
    <n v="117"/>
    <n v="12558"/>
    <m/>
    <n v="458"/>
    <n v="293.24246374491463"/>
    <n v="1.6628242074927955"/>
    <n v="487.6106673798725"/>
    <n v="73.857142857142861"/>
    <n v="18.767808090631451"/>
    <m/>
    <m/>
  </r>
  <r>
    <x v="12"/>
    <x v="412"/>
    <n v="769"/>
    <n v="86912"/>
    <n v="11"/>
    <n v="1652"/>
    <n v="600.80247676525289"/>
    <n v="2.7301369863013698"/>
    <n v="1640.2730632782864"/>
    <n v="888.14285714285711"/>
    <n v="44.622715194246254"/>
    <m/>
    <m/>
  </r>
  <r>
    <x v="13"/>
    <x v="412"/>
    <n v="70"/>
    <n v="14368"/>
    <n v="1"/>
    <n v="229"/>
    <n v="156.3473702404039"/>
    <n v="1.3199464524765729"/>
    <n v="206.37015670286246"/>
    <n v="126.85714285714286"/>
    <n v="10.057698114566696"/>
    <m/>
    <m/>
  </r>
  <r>
    <x v="14"/>
    <x v="412"/>
    <n v="181"/>
    <n v="67952"/>
    <n v="6"/>
    <n v="1036"/>
    <n v="340.63340948141501"/>
    <n v="1.5130434782608695"/>
    <n v="515.39315869361917"/>
    <n v="184.85714285714286"/>
    <n v="27.837541484713341"/>
    <m/>
    <m/>
  </r>
  <r>
    <x v="15"/>
    <x v="412"/>
    <n v="198"/>
    <n v="58331"/>
    <n v="2"/>
    <n v="1318"/>
    <n v="328.11225103998078"/>
    <n v="1.7814088598402325"/>
    <n v="584.50207102474428"/>
    <n v="198.42857142857142"/>
    <n v="26.541722479444015"/>
    <m/>
    <m/>
  </r>
  <r>
    <x v="16"/>
    <x v="412"/>
    <n v="132"/>
    <n v="32451"/>
    <n v="1"/>
    <n v="1258"/>
    <n v="184.42891974639093"/>
    <n v="1.8383484954513647"/>
    <n v="339.04462713349824"/>
    <n v="191.57142857142858"/>
    <n v="13.449300200114756"/>
    <m/>
    <m/>
  </r>
  <r>
    <x v="17"/>
    <x v="412"/>
    <n v="219"/>
    <n v="20377"/>
    <n v="8"/>
    <n v="248"/>
    <n v="352.78290154976145"/>
    <n v="2.2406504065040651"/>
    <n v="790.46315176515657"/>
    <n v="202.85714285714286"/>
    <n v="25.966811123816154"/>
    <m/>
    <m/>
  </r>
  <r>
    <x v="18"/>
    <x v="412"/>
    <n v="444"/>
    <n v="30552"/>
    <m/>
    <n v="449"/>
    <n v="1310.9645740545475"/>
    <n v="2.8539614561027835"/>
    <n v="3741.4423646678815"/>
    <n v="519.71428571428567"/>
    <n v="102.23994855964764"/>
    <m/>
    <m/>
  </r>
  <r>
    <x v="19"/>
    <x v="412"/>
    <n v="202"/>
    <n v="42459"/>
    <n v="3"/>
    <n v="683"/>
    <n v="679.24899780693363"/>
    <n v="1.4724362774155306"/>
    <n v="1000.1508657690713"/>
    <n v="192.71428571428572"/>
    <n v="52.697659192635925"/>
    <m/>
    <m/>
  </r>
  <r>
    <x v="20"/>
    <x v="412"/>
    <n v="1173"/>
    <n v="254130"/>
    <n v="21"/>
    <n v="4427"/>
    <n v="551.09435592738191"/>
    <n v="2.2334402933761175"/>
    <n v="1230.8363399803743"/>
    <n v="1564"/>
    <n v="44.225541211474436"/>
    <m/>
    <m/>
  </r>
  <r>
    <x v="21"/>
    <x v="412"/>
    <n v="172"/>
    <n v="28408"/>
    <n v="2"/>
    <n v="326"/>
    <n v="270.87445429019141"/>
    <n v="1.6814720812182742"/>
    <n v="455.46783240419245"/>
    <n v="208.85714285714286"/>
    <n v="21.348703621146079"/>
    <m/>
    <m/>
  </r>
  <r>
    <x v="22"/>
    <x v="412"/>
    <n v="28"/>
    <n v="25491"/>
    <m/>
    <n v="375"/>
    <n v="637.33529378499122"/>
    <n v="1.5147849462365592"/>
    <n v="965.4259087307596"/>
    <n v="76.857142857142861"/>
    <n v="43.463859558413652"/>
    <m/>
    <m/>
  </r>
  <r>
    <x v="23"/>
    <x v="412"/>
    <n v="809"/>
    <n v="98331"/>
    <n v="7"/>
    <n v="1576"/>
    <n v="514.97177008195172"/>
    <n v="1.626048071548351"/>
    <n v="837.36885364359841"/>
    <n v="637.42857142857144"/>
    <n v="37.614039157715276"/>
    <m/>
    <m/>
  </r>
  <r>
    <x v="0"/>
    <x v="413"/>
    <n v="14665"/>
    <n v="1187837"/>
    <n v="170"/>
    <n v="30471"/>
    <n v="917.5115803470253"/>
    <n v="1.9953383999305718"/>
    <n v="1830.7460886474037"/>
    <n v="11974.428571428571"/>
    <n v="68.264821378658155"/>
    <m/>
    <m/>
  </r>
  <r>
    <x v="4"/>
    <x v="413"/>
    <n v="3345"/>
    <n v="313245"/>
    <n v="36"/>
    <n v="7299"/>
    <n v="1303.6610845331354"/>
    <n v="1.7531371605963884"/>
    <n v="2285.4966921184291"/>
    <n v="3025.2857142857142"/>
    <n v="98.362611116029413"/>
    <m/>
    <m/>
  </r>
  <r>
    <x v="1"/>
    <x v="413"/>
    <n v="187"/>
    <n v="13156"/>
    <m/>
    <n v="19"/>
    <n v="520.65530837333131"/>
    <n v="1.8825065274151436"/>
    <n v="980.13701654614067"/>
    <n v="162.57142857142858"/>
    <n v="39.132536881900208"/>
    <m/>
    <m/>
  </r>
  <r>
    <x v="2"/>
    <x v="413"/>
    <n v="253"/>
    <n v="42518"/>
    <n v="2"/>
    <n v="998"/>
    <n v="263.91795713055848"/>
    <n v="1.4827425373134329"/>
    <n v="391.32238139834209"/>
    <n v="241"/>
    <n v="20.007621160259387"/>
    <m/>
    <m/>
  </r>
  <r>
    <x v="3"/>
    <x v="413"/>
    <n v="270"/>
    <n v="53013"/>
    <n v="4"/>
    <n v="895"/>
    <n v="382.87931708546449"/>
    <n v="1.4584615384615385"/>
    <n v="558.41475784156978"/>
    <n v="183.71428571428572"/>
    <n v="29.679493777691821"/>
    <m/>
    <m/>
  </r>
  <r>
    <x v="6"/>
    <x v="413"/>
    <n v="289"/>
    <n v="35142"/>
    <n v="13"/>
    <n v="410"/>
    <n v="333.95758925982403"/>
    <n v="0.8051193805119381"/>
    <n v="268.87572738212981"/>
    <n v="200"/>
    <n v="17.844380938275393"/>
    <m/>
    <m/>
  </r>
  <r>
    <x v="5"/>
    <x v="413"/>
    <n v="2261"/>
    <n v="210424"/>
    <n v="19"/>
    <n v="3210"/>
    <n v="629.41935140741134"/>
    <n v="1.8030776262664736"/>
    <n v="1134.8919500618586"/>
    <n v="1661.2857142857142"/>
    <n v="44.17784345718502"/>
    <m/>
    <m/>
  </r>
  <r>
    <x v="7"/>
    <x v="413"/>
    <n v="602"/>
    <n v="57255"/>
    <n v="5"/>
    <n v="1015"/>
    <n v="442.50884404395214"/>
    <n v="2.3187145557655953"/>
    <n v="1026.0516977397197"/>
    <n v="473.85714285714283"/>
    <n v="34.189789096312438"/>
    <m/>
    <m/>
  </r>
  <r>
    <x v="8"/>
    <x v="413"/>
    <n v="125"/>
    <n v="3627"/>
    <m/>
    <n v="61"/>
    <n v="196.4662512619941"/>
    <n v="1.725689404934688"/>
    <n v="339.0397282300595"/>
    <n v="70.571428571428569"/>
    <n v="11.660978988757069"/>
    <m/>
    <m/>
  </r>
  <r>
    <x v="9"/>
    <x v="413"/>
    <n v="124"/>
    <n v="23876"/>
    <n v="2"/>
    <n v="1005"/>
    <n v="142.95332223780323"/>
    <n v="1.6134699853587116"/>
    <n v="230.65089473800757"/>
    <n v="96.285714285714292"/>
    <n v="12.490347315047886"/>
    <m/>
    <m/>
  </r>
  <r>
    <x v="10"/>
    <x v="413"/>
    <n v="308"/>
    <n v="24491"/>
    <n v="1"/>
    <n v="341"/>
    <n v="721.48381264856539"/>
    <n v="2.0605577689243026"/>
    <n v="1486.6590753061275"/>
    <n v="225.42857142857142"/>
    <n v="62.893683369762243"/>
    <m/>
    <m/>
  </r>
  <r>
    <x v="11"/>
    <x v="413"/>
    <n v="105"/>
    <n v="12663"/>
    <m/>
    <n v="458"/>
    <n v="300.86575136393321"/>
    <n v="1.5913978494623655"/>
    <n v="478.79710969744207"/>
    <n v="80.428571428571431"/>
    <n v="20.437671092892664"/>
    <m/>
    <m/>
  </r>
  <r>
    <x v="12"/>
    <x v="413"/>
    <n v="1155"/>
    <n v="88067"/>
    <n v="14"/>
    <n v="1666"/>
    <n v="619.39228412460602"/>
    <n v="2.5092611439039283"/>
    <n v="1554.2169913877758"/>
    <n v="917"/>
    <n v="46.072576617639818"/>
    <m/>
    <m/>
  </r>
  <r>
    <x v="13"/>
    <x v="413"/>
    <n v="114"/>
    <n v="14482"/>
    <m/>
    <n v="229"/>
    <n v="148.10186998431769"/>
    <n v="1.1763224181360201"/>
    <n v="174.21554983041904"/>
    <n v="118.85714285714286"/>
    <n v="9.4234288640985273"/>
    <m/>
    <m/>
  </r>
  <r>
    <x v="14"/>
    <x v="413"/>
    <n v="269"/>
    <n v="68221"/>
    <m/>
    <n v="1036"/>
    <n v="355.69235773435111"/>
    <n v="1.5529257067718607"/>
    <n v="552.36380602796669"/>
    <n v="188.85714285714286"/>
    <n v="28.439899414830784"/>
    <m/>
    <m/>
  </r>
  <r>
    <x v="15"/>
    <x v="413"/>
    <n v="300"/>
    <n v="58631"/>
    <n v="1"/>
    <n v="1319"/>
    <n v="339.6155749655569"/>
    <n v="1.7213559322033898"/>
    <n v="584.59928463562642"/>
    <n v="205.71428571428572"/>
    <n v="27.516256566162266"/>
    <m/>
    <m/>
  </r>
  <r>
    <x v="16"/>
    <x v="413"/>
    <n v="262"/>
    <n v="32713"/>
    <n v="3"/>
    <n v="1261"/>
    <n v="185.55220208972639"/>
    <n v="1.7128969539857422"/>
    <n v="317.83180176483921"/>
    <n v="195.85714285714286"/>
    <n v="13.750179399222469"/>
    <m/>
    <m/>
  </r>
  <r>
    <x v="17"/>
    <x v="413"/>
    <n v="310"/>
    <n v="20687"/>
    <n v="3"/>
    <n v="251"/>
    <n v="360.33522055971645"/>
    <n v="2.0266378689704823"/>
    <n v="730.2690035101524"/>
    <n v="199.71428571428572"/>
    <n v="25.564508416264076"/>
    <m/>
    <m/>
  </r>
  <r>
    <x v="18"/>
    <x v="413"/>
    <n v="629"/>
    <n v="31181"/>
    <n v="6"/>
    <n v="455"/>
    <n v="1355.6207802835963"/>
    <n v="2.5186403508771931"/>
    <n v="3414.3211977098913"/>
    <n v="535.85714285714289"/>
    <n v="105.41562590633271"/>
    <m/>
    <m/>
  </r>
  <r>
    <x v="19"/>
    <x v="413"/>
    <n v="237"/>
    <n v="42696"/>
    <n v="2"/>
    <n v="685"/>
    <n v="699.75772358612846"/>
    <n v="1.4800462695199537"/>
    <n v="1035.6738083614243"/>
    <n v="192"/>
    <n v="52.502337994738831"/>
    <m/>
    <m/>
  </r>
  <r>
    <x v="20"/>
    <x v="413"/>
    <n v="2144"/>
    <n v="256274"/>
    <n v="27"/>
    <n v="4454"/>
    <n v="575.07342175048313"/>
    <n v="2.1713645099295324"/>
    <n v="1248.6940185927372"/>
    <n v="1618.5714285714287"/>
    <n v="45.768668425831699"/>
    <m/>
    <m/>
  </r>
  <r>
    <x v="21"/>
    <x v="413"/>
    <n v="144"/>
    <n v="28552"/>
    <n v="1"/>
    <n v="327"/>
    <n v="274.96312529834523"/>
    <n v="1.6543665436654367"/>
    <n v="454.88979523526979"/>
    <n v="209.85714285714286"/>
    <n v="21.450920396349925"/>
    <m/>
    <m/>
  </r>
  <r>
    <x v="22"/>
    <x v="413"/>
    <n v="104"/>
    <n v="25595"/>
    <m/>
    <n v="375"/>
    <n v="653.73522592320307"/>
    <n v="1.4877734877734878"/>
    <n v="972.60993715215284"/>
    <n v="76.857142857142861"/>
    <n v="43.463859558413652"/>
    <m/>
    <m/>
  </r>
  <r>
    <x v="23"/>
    <x v="413"/>
    <n v="943"/>
    <n v="99274"/>
    <n v="7"/>
    <n v="1583"/>
    <n v="533.85465840855022"/>
    <n v="1.6303838529464769"/>
    <n v="870.38801488955744"/>
    <n v="663.14285714285711"/>
    <n v="39.131414112531218"/>
    <m/>
    <m/>
  </r>
  <r>
    <x v="0"/>
    <x v="414"/>
    <n v="12884"/>
    <n v="1200721"/>
    <n v="177"/>
    <n v="30648"/>
    <n v="927.91569259947221"/>
    <n v="1.8535005010476451"/>
    <n v="1719.8922011630943"/>
    <n v="11923.428571428571"/>
    <n v="67.974076323932238"/>
    <m/>
    <m/>
  </r>
  <r>
    <x v="4"/>
    <x v="414"/>
    <n v="2489"/>
    <n v="315734"/>
    <n v="25"/>
    <n v="7324"/>
    <n v="1303.9537059856693"/>
    <n v="1.6404875853888004"/>
    <n v="2139.1198665912084"/>
    <n v="3001.1428571428573"/>
    <n v="97.577642457644913"/>
    <m/>
    <m/>
  </r>
  <r>
    <x v="1"/>
    <x v="414"/>
    <n v="169"/>
    <n v="13325"/>
    <m/>
    <n v="19"/>
    <n v="531.72795940669846"/>
    <n v="1.8377703826955074"/>
    <n v="977.19389544874946"/>
    <n v="162.85714285714286"/>
    <n v="39.201311111921122"/>
    <m/>
    <m/>
  </r>
  <r>
    <x v="2"/>
    <x v="414"/>
    <n v="250"/>
    <n v="42768"/>
    <n v="3"/>
    <n v="1001"/>
    <n v="269.31420350158277"/>
    <n v="1.5095393206142391"/>
    <n v="406.54037978554419"/>
    <n v="241.42857142857142"/>
    <n v="20.043200806661741"/>
    <m/>
    <m/>
  </r>
  <r>
    <x v="3"/>
    <x v="414"/>
    <n v="224"/>
    <n v="53237"/>
    <n v="5"/>
    <n v="900"/>
    <n v="387.88744317392417"/>
    <n v="1.3983692486895749"/>
    <n v="542.40987248724048"/>
    <n v="178.42857142857142"/>
    <n v="28.82557366122635"/>
    <m/>
    <m/>
  </r>
  <r>
    <x v="6"/>
    <x v="414"/>
    <n v="206"/>
    <n v="35348"/>
    <n v="10"/>
    <n v="420"/>
    <n v="313.70421689488143"/>
    <n v="0.74208526804558883"/>
    <n v="232.79527788146962"/>
    <n v="205.85714285714286"/>
    <n v="18.366966380039173"/>
    <m/>
    <m/>
  </r>
  <r>
    <x v="5"/>
    <x v="414"/>
    <n v="2357"/>
    <n v="212781"/>
    <n v="20"/>
    <n v="3230"/>
    <n v="636.01430679838847"/>
    <n v="1.6532107555125457"/>
    <n v="1051.4656926589519"/>
    <n v="1735"/>
    <n v="46.138095174779615"/>
    <m/>
    <m/>
  </r>
  <r>
    <x v="7"/>
    <x v="414"/>
    <n v="607"/>
    <n v="57862"/>
    <n v="6"/>
    <n v="1021"/>
    <n v="456.65065611514325"/>
    <n v="2.1608057357459884"/>
    <n v="986.73335696577044"/>
    <n v="473.57142857142856"/>
    <n v="34.16917420991129"/>
    <m/>
    <m/>
  </r>
  <r>
    <x v="8"/>
    <x v="414"/>
    <n v="107"/>
    <n v="3734"/>
    <m/>
    <n v="61"/>
    <n v="199.1100359719957"/>
    <n v="1.5855263157894737"/>
    <n v="315.6942017713879"/>
    <n v="72.714285714285708"/>
    <n v="12.015057298132284"/>
    <m/>
    <m/>
  </r>
  <r>
    <x v="9"/>
    <x v="414"/>
    <n v="117"/>
    <n v="23993"/>
    <n v="3"/>
    <n v="1008"/>
    <n v="151.90412009116844"/>
    <n v="1.6539548022598871"/>
    <n v="251.24254890785065"/>
    <n v="102.14285714285714"/>
    <n v="13.250145890592339"/>
    <m/>
    <m/>
  </r>
  <r>
    <x v="10"/>
    <x v="414"/>
    <n v="433"/>
    <n v="24924"/>
    <m/>
    <n v="341"/>
    <n v="794.0227883982277"/>
    <n v="2.091109478324761"/>
    <n v="1660.3885788253901"/>
    <n v="257.71428571428572"/>
    <n v="71.901270468346709"/>
    <m/>
    <m/>
  </r>
  <r>
    <x v="11"/>
    <x v="414"/>
    <n v="105"/>
    <n v="12768"/>
    <m/>
    <n v="458"/>
    <n v="295.52945003062018"/>
    <n v="1.3763313609467456"/>
    <n v="406.74645016048669"/>
    <n v="84.142857142857139"/>
    <n v="21.381506702866393"/>
    <m/>
    <m/>
  </r>
  <r>
    <x v="12"/>
    <x v="414"/>
    <n v="905"/>
    <n v="88972"/>
    <n v="8"/>
    <n v="1674"/>
    <n v="614.36801186532136"/>
    <n v="2.1269786049747781"/>
    <n v="1306.7476168184292"/>
    <n v="908.28571428571433"/>
    <n v="45.634747177902163"/>
    <m/>
    <m/>
  </r>
  <r>
    <x v="13"/>
    <x v="414"/>
    <n v="78"/>
    <n v="14560"/>
    <n v="3"/>
    <n v="232"/>
    <n v="146.2783458892217"/>
    <n v="1.1895551257253385"/>
    <n v="174.00615613514768"/>
    <n v="111.71428571428571"/>
    <n v="8.8571170333233731"/>
    <m/>
    <m/>
  </r>
  <r>
    <x v="14"/>
    <x v="414"/>
    <n v="211"/>
    <n v="68432"/>
    <n v="2"/>
    <n v="1038"/>
    <n v="359.90886324517322"/>
    <n v="1.5203562340966921"/>
    <n v="547.18968394145293"/>
    <n v="192.85714285714286"/>
    <n v="29.042257344948226"/>
    <m/>
    <m/>
  </r>
  <r>
    <x v="15"/>
    <x v="414"/>
    <n v="255"/>
    <n v="58886"/>
    <n v="6"/>
    <n v="1325"/>
    <n v="356.20176295127141"/>
    <n v="1.7508218277449046"/>
    <n v="623.64582165630225"/>
    <n v="206"/>
    <n v="27.554473589170826"/>
    <m/>
    <m/>
  </r>
  <r>
    <x v="16"/>
    <x v="414"/>
    <n v="249"/>
    <n v="32962"/>
    <n v="3"/>
    <n v="1264"/>
    <n v="189.48369029140051"/>
    <n v="1.6387370977534912"/>
    <n v="310.51395269975103"/>
    <n v="194.14285714285714"/>
    <n v="13.629827719579383"/>
    <m/>
    <m/>
  </r>
  <r>
    <x v="17"/>
    <x v="414"/>
    <n v="341"/>
    <n v="21028"/>
    <n v="2"/>
    <n v="253"/>
    <n v="370.95966933643274"/>
    <n v="1.8022388059701493"/>
    <n v="668.55791152797394"/>
    <n v="215.14285714285714"/>
    <n v="27.539448980610651"/>
    <m/>
    <m/>
  </r>
  <r>
    <x v="18"/>
    <x v="414"/>
    <n v="707"/>
    <n v="31888"/>
    <n v="2"/>
    <n v="457"/>
    <n v="1426.6379188240664"/>
    <n v="2.3537812398571893"/>
    <n v="3357.9935693969915"/>
    <n v="567.42857142857144"/>
    <n v="111.62646390294681"/>
    <m/>
    <m/>
  </r>
  <r>
    <x v="19"/>
    <x v="414"/>
    <n v="227"/>
    <n v="42923"/>
    <n v="1"/>
    <n v="686"/>
    <n v="710.42226099130983"/>
    <n v="1.4433333333333334"/>
    <n v="1025.3761300307906"/>
    <n v="189.71428571428572"/>
    <n v="51.877310161468131"/>
    <m/>
    <m/>
  </r>
  <r>
    <x v="20"/>
    <x v="414"/>
    <n v="1941"/>
    <n v="258215"/>
    <n v="7"/>
    <n v="4461"/>
    <n v="593.31221592017687"/>
    <n v="2.0790725326991675"/>
    <n v="1233.5391314345175"/>
    <n v="1653.4285714285713"/>
    <n v="46.754330835002293"/>
    <m/>
    <m/>
  </r>
  <r>
    <x v="21"/>
    <x v="414"/>
    <n v="235"/>
    <n v="28787"/>
    <m/>
    <n v="327"/>
    <n v="280.99391503537214"/>
    <n v="1.613262910798122"/>
    <n v="453.31706128652462"/>
    <n v="211.57142857142858"/>
    <n v="21.626149153842235"/>
    <m/>
    <m/>
  </r>
  <r>
    <x v="22"/>
    <x v="414"/>
    <n v="65"/>
    <n v="25660"/>
    <m/>
    <n v="375"/>
    <n v="664.48000904823834"/>
    <n v="1.5440210249671484"/>
    <n v="1025.9711046408411"/>
    <n v="69"/>
    <n v="39.02052819091783"/>
    <m/>
    <m/>
  </r>
  <r>
    <x v="23"/>
    <x v="414"/>
    <n v="770"/>
    <n v="100044"/>
    <n v="8"/>
    <n v="1591"/>
    <n v="538.87042562030285"/>
    <n v="1.5306738183037212"/>
    <n v="824.8348519551804"/>
    <n v="670.14285714285711"/>
    <n v="39.544477294675566"/>
    <m/>
    <m/>
  </r>
  <r>
    <x v="0"/>
    <x v="415"/>
    <n v="12949"/>
    <n v="1213670"/>
    <n v="327"/>
    <n v="30975"/>
    <n v="933.17760800166877"/>
    <n v="1.7026211774495528"/>
    <n v="1588.8479577053586"/>
    <n v="11931.714285714286"/>
    <n v="68.021312215176224"/>
    <m/>
    <m/>
  </r>
  <r>
    <x v="4"/>
    <x v="415"/>
    <n v="3560"/>
    <n v="319294"/>
    <n v="58"/>
    <n v="7382"/>
    <n v="1342.8398456779487"/>
    <n v="1.6251918309526621"/>
    <n v="2182.3723474735357"/>
    <n v="3103.5714285714284"/>
    <n v="100.90795327457803"/>
    <m/>
    <m/>
  </r>
  <r>
    <x v="1"/>
    <x v="415"/>
    <n v="203"/>
    <n v="13528"/>
    <m/>
    <n v="19"/>
    <n v="539.4306731690408"/>
    <n v="1.7372093023255815"/>
    <n v="937.10398338900814"/>
    <n v="168.57142857142858"/>
    <n v="40.576795712339404"/>
    <m/>
    <m/>
  </r>
  <r>
    <x v="2"/>
    <x v="415"/>
    <n v="183"/>
    <n v="42951"/>
    <n v="6"/>
    <n v="1007"/>
    <n v="262.92172703129239"/>
    <n v="1.3866024518388791"/>
    <n v="364.56791134330251"/>
    <n v="218"/>
    <n v="18.098180136666166"/>
    <m/>
    <m/>
  </r>
  <r>
    <x v="3"/>
    <x v="415"/>
    <n v="227"/>
    <n v="53464"/>
    <m/>
    <n v="900"/>
    <n v="395.96506589724618"/>
    <n v="1.3886685552407931"/>
    <n v="549.8642359853543"/>
    <n v="184.42857142857142"/>
    <n v="29.79488838802499"/>
    <m/>
    <m/>
  </r>
  <r>
    <x v="6"/>
    <x v="415"/>
    <n v="337"/>
    <n v="35685"/>
    <n v="16"/>
    <n v="436"/>
    <n v="298.3580492879646"/>
    <n v="0.64073577313661623"/>
    <n v="191.16867538205665"/>
    <n v="230.14285714285714"/>
    <n v="20.533784065401186"/>
    <m/>
    <m/>
  </r>
  <r>
    <x v="5"/>
    <x v="415"/>
    <n v="1805"/>
    <n v="214586"/>
    <n v="18"/>
    <n v="3248"/>
    <n v="625.80276296719808"/>
    <n v="1.4769974267244084"/>
    <n v="924.3090705395764"/>
    <n v="1763.5714285714287"/>
    <n v="46.897882662219381"/>
    <m/>
    <m/>
  </r>
  <r>
    <x v="7"/>
    <x v="415"/>
    <n v="640"/>
    <n v="58502"/>
    <n v="7"/>
    <n v="1028"/>
    <n v="471.29753290316251"/>
    <n v="2.0222910216718266"/>
    <n v="953.10076932614777"/>
    <n v="490.14285714285717"/>
    <n v="35.364837621178168"/>
    <m/>
    <m/>
  </r>
  <r>
    <x v="8"/>
    <x v="415"/>
    <n v="127"/>
    <n v="3861"/>
    <n v="2"/>
    <n v="63"/>
    <n v="218.11223857513221"/>
    <n v="1.8461538461538463"/>
    <n v="402.66874813870567"/>
    <n v="77.428571428571431"/>
    <n v="12.794029578757756"/>
    <m/>
    <m/>
  </r>
  <r>
    <x v="9"/>
    <x v="415"/>
    <n v="105"/>
    <n v="24098"/>
    <n v="6"/>
    <n v="1014"/>
    <n v="156.70382328790046"/>
    <n v="1.6368563685636857"/>
    <n v="256.50165112707828"/>
    <n v="105.57142857142857"/>
    <n v="13.694906032374462"/>
    <m/>
    <m/>
  </r>
  <r>
    <x v="10"/>
    <x v="415"/>
    <n v="260"/>
    <n v="25184"/>
    <n v="6"/>
    <n v="347"/>
    <n v="816.90046536542911"/>
    <n v="2.0165289256198347"/>
    <n v="1647.3034177616917"/>
    <n v="265.28571428571428"/>
    <n v="74.013669212704997"/>
    <m/>
    <m/>
  </r>
  <r>
    <x v="11"/>
    <x v="415"/>
    <n v="73"/>
    <n v="12841"/>
    <n v="1"/>
    <n v="459"/>
    <n v="286.38150488779792"/>
    <n v="1.2303493449781659"/>
    <n v="352.34929695256358"/>
    <n v="78.857142857142861"/>
    <n v="20.038356027134547"/>
    <m/>
    <m/>
  </r>
  <r>
    <x v="12"/>
    <x v="415"/>
    <n v="1036"/>
    <n v="90008"/>
    <n v="19"/>
    <n v="1693"/>
    <n v="613.86558463939286"/>
    <n v="1.8489709443099274"/>
    <n v="1135.0196297100638"/>
    <n v="906.28571428571433"/>
    <n v="45.534261732716473"/>
    <m/>
    <m/>
  </r>
  <r>
    <x v="13"/>
    <x v="415"/>
    <n v="168"/>
    <n v="14728"/>
    <n v="4"/>
    <n v="236"/>
    <n v="147.46760073384954"/>
    <n v="1.1764705882352942"/>
    <n v="173.49129498099947"/>
    <n v="121.57142857142857"/>
    <n v="9.6386273597930838"/>
    <m/>
    <m/>
  </r>
  <r>
    <x v="14"/>
    <x v="415"/>
    <n v="231"/>
    <n v="68663"/>
    <n v="8"/>
    <n v="1046"/>
    <n v="374.96781149810937"/>
    <n v="1.534195933456562"/>
    <n v="575.27409157750606"/>
    <n v="196.42857142857142"/>
    <n v="29.580076925410228"/>
    <m/>
    <m/>
  </r>
  <r>
    <x v="15"/>
    <x v="415"/>
    <n v="316"/>
    <n v="59202"/>
    <n v="5"/>
    <n v="1330"/>
    <n v="376.66697877235453"/>
    <n v="1.76"/>
    <n v="662.93388263934401"/>
    <n v="222.28571428571428"/>
    <n v="29.732843900658668"/>
    <m/>
    <m/>
  </r>
  <r>
    <x v="16"/>
    <x v="415"/>
    <n v="262"/>
    <n v="33224"/>
    <n v="2"/>
    <n v="1266"/>
    <n v="192.15148585682221"/>
    <n v="1.5197112715158245"/>
    <n v="292.01477889512626"/>
    <n v="193.28571428571428"/>
    <n v="13.569651879757838"/>
    <m/>
    <m/>
  </r>
  <r>
    <x v="17"/>
    <x v="415"/>
    <n v="347"/>
    <n v="21375"/>
    <n v="2"/>
    <n v="255"/>
    <n v="373.00775584760703"/>
    <n v="1.5776935571196535"/>
    <n v="588.49193315643038"/>
    <n v="226"/>
    <n v="28.92922197033603"/>
    <m/>
    <m/>
  </r>
  <r>
    <x v="18"/>
    <x v="415"/>
    <n v="783"/>
    <n v="32671"/>
    <n v="3"/>
    <n v="460"/>
    <n v="1477.7859964432414"/>
    <n v="2.1377347751849745"/>
    <n v="3159.1145148780961"/>
    <n v="617.42857142857144"/>
    <n v="121.46263267586508"/>
    <m/>
    <m/>
  </r>
  <r>
    <x v="19"/>
    <x v="415"/>
    <n v="197"/>
    <n v="43120"/>
    <n v="3"/>
    <n v="689"/>
    <n v="715.07090550126065"/>
    <n v="1.3770405476566614"/>
    <n v="984.68163132480072"/>
    <n v="190.85714285714286"/>
    <n v="52.189824078103477"/>
    <m/>
    <m/>
  </r>
  <r>
    <x v="20"/>
    <x v="415"/>
    <n v="2059"/>
    <n v="260274"/>
    <n v="37"/>
    <n v="4498"/>
    <n v="612.93659290276207"/>
    <n v="1.9682193770997911"/>
    <n v="1206.3936790847426"/>
    <n v="1660.1428571428571"/>
    <n v="46.944192036768762"/>
    <m/>
    <m/>
  </r>
  <r>
    <x v="21"/>
    <x v="415"/>
    <n v="297"/>
    <n v="29084"/>
    <n v="1"/>
    <n v="328"/>
    <n v="294.07766226146441"/>
    <n v="1.6543990799309949"/>
    <n v="486.52181387362458"/>
    <n v="225.28571428571428"/>
    <n v="23.027979213780689"/>
    <m/>
    <m/>
  </r>
  <r>
    <x v="22"/>
    <x v="415"/>
    <n v="136"/>
    <n v="25796"/>
    <n v="6"/>
    <n v="381"/>
    <n v="702.36950743652096"/>
    <n v="1.5821656050955415"/>
    <n v="1111.2648767339606"/>
    <n v="80.714285714285708"/>
    <n v="45.645131320638868"/>
    <m/>
    <m/>
  </r>
  <r>
    <x v="23"/>
    <x v="415"/>
    <n v="915"/>
    <n v="100959"/>
    <m/>
    <n v="1591"/>
    <n v="543.94520185807619"/>
    <n v="1.4114224467922216"/>
    <n v="767.73646772741483"/>
    <n v="687"/>
    <n v="40.539200876166021"/>
    <m/>
    <m/>
  </r>
  <r>
    <x v="0"/>
    <x v="416"/>
    <n v="14233"/>
    <n v="1227903"/>
    <n v="393"/>
    <n v="31368"/>
    <n v="943.33088138337189"/>
    <n v="1.6079820418634483"/>
    <n v="1516.8591167996806"/>
    <n v="11798.428571428571"/>
    <n v="67.261465895682448"/>
    <m/>
    <m/>
  </r>
  <r>
    <x v="4"/>
    <x v="416"/>
    <n v="2929"/>
    <n v="322223"/>
    <n v="40"/>
    <n v="7422"/>
    <n v="1353.5042719480721"/>
    <n v="1.5644706678191589"/>
    <n v="2117.5177322306849"/>
    <n v="3048.7142857142858"/>
    <n v="99.124355849609671"/>
    <m/>
    <m/>
  </r>
  <r>
    <x v="1"/>
    <x v="416"/>
    <n v="201"/>
    <n v="13729"/>
    <m/>
    <n v="19"/>
    <n v="557.00248893938453"/>
    <n v="1.7530303030303029"/>
    <n v="976.44224197404219"/>
    <n v="176.71428571428572"/>
    <n v="42.536861267935457"/>
    <m/>
    <m/>
  </r>
  <r>
    <x v="2"/>
    <x v="416"/>
    <n v="251"/>
    <n v="43202"/>
    <n v="6"/>
    <n v="1013"/>
    <n v="265.16324475464097"/>
    <n v="1.3597275436355896"/>
    <n v="360.54976745267061"/>
    <n v="209.71428571428572"/>
    <n v="17.410306972887245"/>
    <m/>
    <m/>
  </r>
  <r>
    <x v="3"/>
    <x v="416"/>
    <n v="295"/>
    <n v="53759"/>
    <m/>
    <n v="900"/>
    <n v="412.44341625282311"/>
    <n v="1.415973377703827"/>
    <n v="584.0088972232154"/>
    <n v="187.71428571428572"/>
    <n v="30.325703595557584"/>
    <m/>
    <m/>
  </r>
  <r>
    <x v="6"/>
    <x v="416"/>
    <n v="372"/>
    <n v="36057"/>
    <n v="12"/>
    <n v="448"/>
    <n v="292.91551310179057"/>
    <n v="0.67260807211636964"/>
    <n v="197.01733856037256"/>
    <n v="256.28571428571428"/>
    <n v="22.866299573761466"/>
    <m/>
    <m/>
  </r>
  <r>
    <x v="5"/>
    <x v="416"/>
    <n v="1850"/>
    <n v="216436"/>
    <n v="24"/>
    <n v="3272"/>
    <n v="625.35068941217139"/>
    <n v="1.408565438754118"/>
    <n v="880.84736820704541"/>
    <n v="1694.7142857142858"/>
    <n v="45.066794817489551"/>
    <m/>
    <m/>
  </r>
  <r>
    <x v="7"/>
    <x v="416"/>
    <n v="671"/>
    <n v="59173"/>
    <n v="2"/>
    <n v="1030"/>
    <n v="487.09884332964634"/>
    <n v="1.9545454545454546"/>
    <n v="952.05683014430883"/>
    <n v="496.57142857142856"/>
    <n v="35.828672565204108"/>
    <m/>
    <m/>
  </r>
  <r>
    <x v="8"/>
    <x v="416"/>
    <n v="112"/>
    <n v="3973"/>
    <n v="6"/>
    <n v="69"/>
    <n v="220.09507710763344"/>
    <n v="1.834710743801653"/>
    <n v="403.81080262722833"/>
    <n v="80.142857142857139"/>
    <n v="13.242528770633028"/>
    <m/>
    <m/>
  </r>
  <r>
    <x v="9"/>
    <x v="416"/>
    <n v="74"/>
    <n v="24172"/>
    <m/>
    <n v="1014"/>
    <n v="159.29825744829617"/>
    <n v="1.6684782608695652"/>
    <n v="265.78567954688543"/>
    <n v="100"/>
    <n v="12.972170801978514"/>
    <m/>
    <m/>
  </r>
  <r>
    <x v="10"/>
    <x v="416"/>
    <n v="181"/>
    <n v="25365"/>
    <m/>
    <n v="347"/>
    <n v="807.69359536643333"/>
    <n v="1.8486590038314177"/>
    <n v="1493.1500374111267"/>
    <n v="233.14285714285714"/>
    <n v="65.045938694202789"/>
    <m/>
    <m/>
  </r>
  <r>
    <x v="11"/>
    <x v="416"/>
    <n v="64"/>
    <n v="12905"/>
    <n v="6"/>
    <n v="465"/>
    <n v="287.39794323700039"/>
    <n v="1.1917808219178083"/>
    <n v="342.51535700847995"/>
    <n v="73.142857142857139"/>
    <n v="18.586301242559578"/>
    <m/>
    <m/>
  </r>
  <r>
    <x v="12"/>
    <x v="416"/>
    <n v="1106"/>
    <n v="91114"/>
    <n v="19"/>
    <n v="1712"/>
    <n v="616.37772076903525"/>
    <n v="1.6741266375545851"/>
    <n v="1031.894361134624"/>
    <n v="900"/>
    <n v="45.218450333561435"/>
    <m/>
    <m/>
  </r>
  <r>
    <x v="13"/>
    <x v="416"/>
    <n v="110"/>
    <n v="14838"/>
    <n v="1"/>
    <n v="237"/>
    <n v="142.71058135533826"/>
    <n v="1.1242973141786383"/>
    <n v="160.44912332267887"/>
    <n v="110.28571428571429"/>
    <n v="8.7438546671683444"/>
    <m/>
    <m/>
  </r>
  <r>
    <x v="14"/>
    <x v="416"/>
    <n v="331"/>
    <n v="68994"/>
    <n v="7"/>
    <n v="1053"/>
    <n v="398.45977077268975"/>
    <n v="1.6036363636363635"/>
    <n v="638.98457785729511"/>
    <n v="201.57142857142858"/>
    <n v="30.35453712127552"/>
    <m/>
    <m/>
  </r>
  <r>
    <x v="15"/>
    <x v="416"/>
    <n v="299"/>
    <n v="59501"/>
    <n v="4"/>
    <n v="1334"/>
    <n v="388.83910060058048"/>
    <n v="1.7252225519287834"/>
    <n v="670.83398542782641"/>
    <n v="237"/>
    <n v="31.701020585599441"/>
    <m/>
    <m/>
  </r>
  <r>
    <x v="16"/>
    <x v="416"/>
    <n v="249"/>
    <n v="33473"/>
    <n v="8"/>
    <n v="1274"/>
    <n v="192.29189614973916"/>
    <n v="1.4325313807531381"/>
    <n v="275.46417549902486"/>
    <n v="188.85714285714286"/>
    <n v="13.258743374013203"/>
    <m/>
    <m/>
  </r>
  <r>
    <x v="17"/>
    <x v="416"/>
    <n v="367"/>
    <n v="21742"/>
    <m/>
    <n v="255"/>
    <n v="391.05651822732995"/>
    <n v="1.5953002610966058"/>
    <n v="623.85256563158907"/>
    <n v="245"/>
    <n v="31.361324702355425"/>
    <m/>
    <m/>
  </r>
  <r>
    <x v="18"/>
    <x v="416"/>
    <n v="720"/>
    <n v="33391"/>
    <n v="4"/>
    <n v="464"/>
    <n v="1532.2783714452084"/>
    <n v="2.2002824858757064"/>
    <n v="3371.4452641770422"/>
    <n v="612"/>
    <n v="120.39470578051967"/>
    <m/>
    <m/>
  </r>
  <r>
    <x v="19"/>
    <x v="416"/>
    <n v="204"/>
    <n v="43324"/>
    <n v="1"/>
    <n v="690"/>
    <n v="722.72749645882664"/>
    <n v="1.3409436834094368"/>
    <n v="969.13687120277973"/>
    <n v="197.57142857142858"/>
    <n v="54.025843338336159"/>
    <m/>
    <m/>
  </r>
  <r>
    <x v="20"/>
    <x v="416"/>
    <n v="1928"/>
    <n v="262202"/>
    <n v="19"/>
    <n v="4517"/>
    <n v="627.10347023457064"/>
    <n v="1.8813199864268748"/>
    <n v="1179.7822921099485"/>
    <n v="1656.4285714285713"/>
    <n v="46.839162435791565"/>
    <m/>
    <m/>
  </r>
  <r>
    <x v="21"/>
    <x v="416"/>
    <n v="245"/>
    <n v="29329"/>
    <m/>
    <n v="328"/>
    <n v="296.32643131594898"/>
    <n v="1.5602798708288481"/>
    <n v="462.35216597682239"/>
    <n v="223.42857142857142"/>
    <n v="22.83814805983069"/>
    <m/>
    <m/>
  </r>
  <r>
    <x v="22"/>
    <x v="416"/>
    <n v="145"/>
    <n v="25941"/>
    <n v="1"/>
    <n v="382"/>
    <n v="698.97641802861506"/>
    <n v="1.3934611048478016"/>
    <n v="973.99645172871283"/>
    <n v="87"/>
    <n v="49.199796414635529"/>
    <m/>
    <m/>
  </r>
  <r>
    <x v="23"/>
    <x v="416"/>
    <n v="947"/>
    <n v="101906"/>
    <n v="4"/>
    <n v="1595"/>
    <n v="549.66907738207635"/>
    <n v="1.3900910311893748"/>
    <n v="764.09005459096284"/>
    <n v="703.28571428571433"/>
    <n v="41.500205014216121"/>
    <m/>
    <m/>
  </r>
  <r>
    <x v="0"/>
    <x v="417"/>
    <n v="10156"/>
    <n v="1238059"/>
    <n v="231"/>
    <n v="31571"/>
    <n v="942.23061088215422"/>
    <n v="1.5313443898823311"/>
    <n v="1442.8795599497887"/>
    <n v="11909.857142857143"/>
    <n v="67.896707191722271"/>
    <m/>
    <m/>
  </r>
  <r>
    <x v="4"/>
    <x v="417"/>
    <n v="3008"/>
    <n v="325231"/>
    <n v="30"/>
    <n v="7479"/>
    <n v="1370.3137487214069"/>
    <n v="1.5257022878656241"/>
    <n v="2090.6908215179706"/>
    <n v="3073.7142857142858"/>
    <n v="99.937193217759315"/>
    <m/>
    <m/>
  </r>
  <r>
    <x v="1"/>
    <x v="417"/>
    <n v="145"/>
    <n v="13874"/>
    <m/>
    <n v="19"/>
    <n v="553.63255166835972"/>
    <n v="1.6106442577030813"/>
    <n v="891.70509022214799"/>
    <n v="175.57142857142858"/>
    <n v="42.261764347851802"/>
    <m/>
    <m/>
  </r>
  <r>
    <x v="2"/>
    <x v="417"/>
    <n v="240"/>
    <n v="43442"/>
    <n v="1"/>
    <n v="1013"/>
    <n v="268.81608845194972"/>
    <n v="1.3981001727115716"/>
    <n v="375.83181969232004"/>
    <n v="208.57142857142858"/>
    <n v="17.315427915814286"/>
    <m/>
    <m/>
  </r>
  <r>
    <x v="3"/>
    <x v="417"/>
    <n v="97"/>
    <n v="53856"/>
    <n v="1"/>
    <n v="900"/>
    <n v="413.89738834302108"/>
    <n v="1.4217536071032186"/>
    <n v="588.46010484729186"/>
    <n v="189.28571428571428"/>
    <n v="30.579571738290561"/>
    <m/>
    <m/>
  </r>
  <r>
    <x v="6"/>
    <x v="417"/>
    <n v="340"/>
    <n v="36397"/>
    <n v="5"/>
    <n v="448"/>
    <n v="302.01614738031105"/>
    <n v="0.66359537345618502"/>
    <n v="200.41651811063574"/>
    <n v="265.57142857142856"/>
    <n v="23.694788688752826"/>
    <m/>
    <m/>
  </r>
  <r>
    <x v="5"/>
    <x v="417"/>
    <n v="1195"/>
    <n v="217631"/>
    <n v="7"/>
    <n v="3285"/>
    <n v="624.8986158571447"/>
    <n v="1.3738891487371374"/>
    <n v="858.54142738698795"/>
    <n v="1687.2857142857142"/>
    <n v="44.869250070755207"/>
    <m/>
    <m/>
  </r>
  <r>
    <x v="7"/>
    <x v="417"/>
    <n v="569"/>
    <n v="59742"/>
    <n v="2"/>
    <n v="1031"/>
    <n v="496.26216033495893"/>
    <n v="1.8454521062516769"/>
    <n v="915.82804904315731"/>
    <n v="503.71428571428572"/>
    <n v="36.344044725232941"/>
    <m/>
    <m/>
  </r>
  <r>
    <x v="8"/>
    <x v="417"/>
    <n v="113"/>
    <n v="4086"/>
    <m/>
    <n v="67"/>
    <n v="237.61015081139405"/>
    <n v="2.0513552068473611"/>
    <n v="487.42282006673992"/>
    <n v="94.142857142857139"/>
    <n v="15.555840391884431"/>
    <m/>
    <m/>
  </r>
  <r>
    <x v="9"/>
    <x v="417"/>
    <n v="90"/>
    <n v="24262"/>
    <n v="3"/>
    <n v="1016"/>
    <n v="166.30322968136457"/>
    <n v="1.7537619699042408"/>
    <n v="291.65627968742734"/>
    <n v="92.857142857142861"/>
    <n v="12.045587173265766"/>
    <m/>
    <m/>
  </r>
  <r>
    <x v="10"/>
    <x v="417"/>
    <n v="182"/>
    <n v="25547"/>
    <m/>
    <n v="346"/>
    <n v="819.13243385003409"/>
    <n v="1.8338538413491567"/>
    <n v="1502.169160389569"/>
    <n v="237.28571428571428"/>
    <n v="66.201779516587507"/>
    <m/>
    <m/>
  </r>
  <r>
    <x v="11"/>
    <x v="417"/>
    <n v="118"/>
    <n v="13023"/>
    <m/>
    <n v="464"/>
    <n v="285.11095695129484"/>
    <n v="1.0726577437858509"/>
    <n v="305.82647581200075"/>
    <n v="89.714285714285708"/>
    <n v="22.797260117826983"/>
    <m/>
    <m/>
  </r>
  <r>
    <x v="12"/>
    <x v="417"/>
    <n v="730"/>
    <n v="91844"/>
    <n v="9"/>
    <n v="1720"/>
    <n v="614.92068181384263"/>
    <n v="1.5533697169691585"/>
    <n v="955.19916546765069"/>
    <n v="895.28571428571433"/>
    <n v="44.981591784195167"/>
    <m/>
    <m/>
  </r>
  <r>
    <x v="13"/>
    <x v="417"/>
    <n v="145"/>
    <n v="14983"/>
    <n v="1"/>
    <n v="237"/>
    <n v="139.38066779038036"/>
    <n v="1.0533253445176753"/>
    <n v="146.81318991940606"/>
    <n v="110.42857142857143"/>
    <n v="8.7551809037838453"/>
    <m/>
    <m/>
  </r>
  <r>
    <x v="14"/>
    <x v="417"/>
    <n v="180"/>
    <n v="69174"/>
    <m/>
    <n v="1049"/>
    <n v="403.73040266121734"/>
    <n v="1.5826446280991735"/>
    <n v="638.96175297209186"/>
    <n v="216.57142857142858"/>
    <n v="32.613379359215934"/>
    <m/>
    <m/>
  </r>
  <r>
    <x v="15"/>
    <x v="417"/>
    <n v="209"/>
    <n v="59710"/>
    <m/>
    <n v="1336"/>
    <n v="402.08129907304607"/>
    <n v="1.7486910994764397"/>
    <n v="703.11598895496013"/>
    <n v="244.14285714285714"/>
    <n v="32.65644616081341"/>
    <m/>
    <m/>
  </r>
  <r>
    <x v="16"/>
    <x v="417"/>
    <n v="142"/>
    <n v="33615"/>
    <m/>
    <n v="1250"/>
    <n v="186.67548443306185"/>
    <n v="1.3085629921259843"/>
    <n v="244.27663046629502"/>
    <n v="194.71428571428572"/>
    <n v="13.669944946127078"/>
    <m/>
    <m/>
  </r>
  <r>
    <x v="17"/>
    <x v="417"/>
    <n v="178"/>
    <n v="21920"/>
    <m/>
    <n v="255"/>
    <n v="407.44121031672381"/>
    <n v="1.6466632177961718"/>
    <n v="670.91845444290323"/>
    <n v="260.42857142857144"/>
    <n v="33.336265266702014"/>
    <m/>
    <m/>
  </r>
  <r>
    <x v="18"/>
    <x v="417"/>
    <n v="771"/>
    <n v="34162"/>
    <n v="2"/>
    <n v="468"/>
    <n v="1606.836530743929"/>
    <n v="2.1226611226611225"/>
    <n v="3410.7694342818118"/>
    <n v="648.42857142857144"/>
    <n v="127.56105731507441"/>
    <m/>
    <m/>
  </r>
  <r>
    <x v="19"/>
    <x v="417"/>
    <n v="188"/>
    <n v="43512"/>
    <m/>
    <n v="690"/>
    <n v="721.36024807354704"/>
    <n v="1.305940594059406"/>
    <n v="942.05363090000844"/>
    <n v="202.28571428571428"/>
    <n v="55.314963244456976"/>
    <m/>
    <m/>
  </r>
  <r>
    <x v="20"/>
    <x v="417"/>
    <n v="1777"/>
    <n v="263979"/>
    <n v="5"/>
    <n v="4524"/>
    <n v="643.84357279032054"/>
    <n v="1.8530967689427851"/>
    <n v="1193.1044444423219"/>
    <n v="1704.4285714285713"/>
    <n v="48.196468048419938"/>
    <m/>
    <m/>
  </r>
  <r>
    <x v="21"/>
    <x v="417"/>
    <n v="232"/>
    <n v="29561"/>
    <m/>
    <n v="328"/>
    <n v="298.88185069604515"/>
    <n v="1.5111111111111111"/>
    <n v="451.64368549624601"/>
    <n v="220.14285714285714"/>
    <n v="22.502292941303768"/>
    <m/>
    <m/>
  </r>
  <r>
    <x v="22"/>
    <x v="417"/>
    <n v="55"/>
    <n v="25996"/>
    <m/>
    <n v="375"/>
    <n v="691.05920941016802"/>
    <n v="1.3369803063457331"/>
    <n v="923.93255350024651"/>
    <n v="83.428571428571431"/>
    <n v="47.180100338501063"/>
    <m/>
    <m/>
  </r>
  <r>
    <x v="23"/>
    <x v="417"/>
    <n v="360"/>
    <n v="102266"/>
    <n v="1"/>
    <n v="1600"/>
    <n v="546.48258997696291"/>
    <n v="1.3480349344978166"/>
    <n v="736.67762238379237"/>
    <n v="710"/>
    <n v="41.896408474640282"/>
    <m/>
    <m/>
  </r>
  <r>
    <x v="0"/>
    <x v="418"/>
    <n v="6820"/>
    <n v="1244879"/>
    <n v="138"/>
    <n v="31709"/>
    <n v="937.2366370009795"/>
    <n v="1.4630547570949284"/>
    <n v="1371.2285202879357"/>
    <n v="11746"/>
    <n v="66.962576721776543"/>
    <m/>
    <m/>
  </r>
  <r>
    <x v="4"/>
    <x v="418"/>
    <n v="2701"/>
    <n v="327932"/>
    <n v="17"/>
    <n v="7496"/>
    <n v="1370.6388836686665"/>
    <n v="1.4401967817976837"/>
    <n v="1973.9897092663832"/>
    <n v="3004"/>
    <n v="97.670538156862008"/>
    <m/>
    <m/>
  </r>
  <r>
    <x v="1"/>
    <x v="418"/>
    <n v="151"/>
    <n v="14025"/>
    <m/>
    <n v="19"/>
    <n v="565.66804192201971"/>
    <n v="1.621808143547274"/>
    <n v="917.40503693357232"/>
    <n v="179.28571428571428"/>
    <n v="43.155829338123688"/>
    <m/>
    <m/>
  </r>
  <r>
    <x v="2"/>
    <x v="418"/>
    <n v="165"/>
    <n v="43607"/>
    <n v="1"/>
    <n v="1014"/>
    <n v="271.22364452517598"/>
    <n v="1.3860840050912175"/>
    <n v="375.93875547889263"/>
    <n v="214.85714285714286"/>
    <n v="17.83726272971554"/>
    <m/>
    <m/>
  </r>
  <r>
    <x v="3"/>
    <x v="418"/>
    <n v="78"/>
    <n v="53934"/>
    <m/>
    <n v="900"/>
    <n v="418.58240952254789"/>
    <n v="1.454800673778776"/>
    <n v="608.95397140534624"/>
    <n v="191.28571428571428"/>
    <n v="30.902676647223444"/>
    <m/>
    <m/>
  </r>
  <r>
    <x v="6"/>
    <x v="418"/>
    <n v="193"/>
    <n v="36590"/>
    <m/>
    <n v="448"/>
    <n v="299.69637785833521"/>
    <n v="0.69343517753922379"/>
    <n v="207.82001098805696"/>
    <n v="265.28571428571428"/>
    <n v="23.669296715983862"/>
    <m/>
    <m/>
  </r>
  <r>
    <x v="5"/>
    <x v="418"/>
    <n v="893"/>
    <n v="218524"/>
    <n v="2"/>
    <n v="3287"/>
    <n v="619.52691832094558"/>
    <n v="1.3120635278215815"/>
    <n v="812.85867403261261"/>
    <n v="1671.5714285714287"/>
    <n v="44.451366952663342"/>
    <m/>
    <m/>
  </r>
  <r>
    <x v="7"/>
    <x v="418"/>
    <n v="220"/>
    <n v="59962"/>
    <m/>
    <n v="1031"/>
    <n v="497.12798556380739"/>
    <n v="1.788681204569055"/>
    <n v="889.20348404325875"/>
    <n v="502.14285714285717"/>
    <n v="36.230662850026597"/>
    <m/>
    <m/>
  </r>
  <r>
    <x v="8"/>
    <x v="418"/>
    <n v="120"/>
    <n v="4206"/>
    <m/>
    <n v="67"/>
    <n v="256.44711687015547"/>
    <n v="2.2992592592592591"/>
    <n v="589.63840797404634"/>
    <n v="106.28571428571429"/>
    <n v="17.562284145010647"/>
    <m/>
    <m/>
  </r>
  <r>
    <x v="9"/>
    <x v="418"/>
    <n v="82"/>
    <n v="24344"/>
    <n v="2"/>
    <n v="1018"/>
    <n v="169.54627238185918"/>
    <n v="1.7638326585695008"/>
    <n v="299.05125236584342"/>
    <n v="94"/>
    <n v="12.193840553859804"/>
    <m/>
    <m/>
  </r>
  <r>
    <x v="10"/>
    <x v="418"/>
    <n v="220"/>
    <n v="25767"/>
    <m/>
    <n v="346"/>
    <n v="846.19505172586969"/>
    <n v="1.8075089392133492"/>
    <n v="1529.5051203126118"/>
    <n v="248.42857142857142"/>
    <n v="69.310592763001623"/>
    <m/>
    <m/>
  </r>
  <r>
    <x v="11"/>
    <x v="418"/>
    <n v="50"/>
    <n v="13073"/>
    <m/>
    <n v="464"/>
    <n v="265.29040914184651"/>
    <n v="0.92635314995563445"/>
    <n v="245.75260616156856"/>
    <n v="90.285714285714292"/>
    <n v="22.942465596284485"/>
    <m/>
    <m/>
  </r>
  <r>
    <x v="12"/>
    <x v="418"/>
    <n v="452"/>
    <n v="92296"/>
    <n v="5"/>
    <n v="1725"/>
    <n v="614.97092453643552"/>
    <n v="1.4901387874360847"/>
    <n v="916.39202779717198"/>
    <n v="879"/>
    <n v="44.163353159111672"/>
    <m/>
    <m/>
  </r>
  <r>
    <x v="13"/>
    <x v="418"/>
    <n v="129"/>
    <n v="15112"/>
    <m/>
    <n v="237"/>
    <n v="138.66711488360366"/>
    <n v="1.0504504504504504"/>
    <n v="145.66293329214582"/>
    <n v="116.28571428571429"/>
    <n v="9.2195566050194717"/>
    <m/>
    <m/>
  </r>
  <r>
    <x v="14"/>
    <x v="418"/>
    <n v="177"/>
    <n v="69351"/>
    <m/>
    <n v="1049"/>
    <n v="420.89760366956455"/>
    <n v="1.6587537091988132"/>
    <n v="698.16546127978222"/>
    <n v="225.71428571428572"/>
    <n v="33.990197485198664"/>
    <m/>
    <m/>
  </r>
  <r>
    <x v="15"/>
    <x v="418"/>
    <n v="128"/>
    <n v="59838"/>
    <m/>
    <n v="1336"/>
    <n v="409.03679726060375"/>
    <n v="1.7474285714285713"/>
    <n v="714.76258629881499"/>
    <n v="243.57142857142858"/>
    <n v="32.580012114796297"/>
    <m/>
    <m/>
  </r>
  <r>
    <x v="16"/>
    <x v="418"/>
    <n v="55"/>
    <n v="33670"/>
    <m/>
    <n v="1250"/>
    <n v="186.60527928660338"/>
    <n v="1.3067846607669618"/>
    <n v="243.85291658986816"/>
    <n v="193"/>
    <n v="13.549593266483994"/>
    <m/>
    <m/>
  </r>
  <r>
    <x v="17"/>
    <x v="418"/>
    <n v="59"/>
    <n v="21979"/>
    <m/>
    <n v="255"/>
    <n v="408.97727520010443"/>
    <n v="1.6317671092951991"/>
    <n v="667.35566612070147"/>
    <n v="260.14285714285717"/>
    <n v="33.299692293288189"/>
    <m/>
    <m/>
  </r>
  <r>
    <x v="18"/>
    <x v="418"/>
    <n v="607"/>
    <n v="34769"/>
    <m/>
    <n v="468"/>
    <n v="1654.6403109803118"/>
    <n v="2.0980294337740086"/>
    <n v="3471.4840747456733"/>
    <n v="665.85714285714289"/>
    <n v="130.98966471592021"/>
    <m/>
    <m/>
  </r>
  <r>
    <x v="19"/>
    <x v="418"/>
    <n v="138"/>
    <n v="43650"/>
    <n v="3"/>
    <n v="693"/>
    <n v="726.00889258349787"/>
    <n v="1.3008329250367467"/>
    <n v="944.41627134208079"/>
    <n v="199"/>
    <n v="54.416485734130347"/>
    <m/>
    <m/>
  </r>
  <r>
    <x v="20"/>
    <x v="418"/>
    <n v="1143"/>
    <n v="265122"/>
    <n v="1"/>
    <n v="4525"/>
    <n v="651.61980286267067"/>
    <n v="1.7834532930887703"/>
    <n v="1162.1334832572854"/>
    <n v="1737.8571428571429"/>
    <n v="49.141734457214703"/>
    <m/>
    <m/>
  </r>
  <r>
    <x v="21"/>
    <x v="418"/>
    <n v="234"/>
    <n v="29795"/>
    <m/>
    <n v="328"/>
    <n v="303.37938880501434"/>
    <n v="1.4922071392659628"/>
    <n v="452.70488988098674"/>
    <n v="222.71428571428572"/>
    <n v="22.76513607754223"/>
    <m/>
    <m/>
  </r>
  <r>
    <x v="22"/>
    <x v="418"/>
    <n v="50"/>
    <n v="26046"/>
    <n v="1"/>
    <n v="376"/>
    <n v="676.92133687722674"/>
    <n v="1.303921568627451"/>
    <n v="882.65233141834472"/>
    <n v="83.285714285714292"/>
    <n v="47.099312495455685"/>
    <m/>
    <m/>
  </r>
  <r>
    <x v="23"/>
    <x v="418"/>
    <n v="147"/>
    <n v="102413"/>
    <m/>
    <n v="1600"/>
    <n v="537.21817289172543"/>
    <n v="1.3230635082110158"/>
    <n v="710.77376050083831"/>
    <n v="698.71428571428567"/>
    <n v="41.23044946669328"/>
    <m/>
    <m/>
  </r>
  <r>
    <x v="0"/>
    <x v="419"/>
    <n v="8884"/>
    <n v="1253763"/>
    <n v="288"/>
    <n v="31997"/>
    <n v="933.52536189065461"/>
    <n v="1.4183961610422009"/>
    <n v="1324.1087895412359"/>
    <n v="11513"/>
    <n v="65.634270883518923"/>
    <m/>
    <m/>
  </r>
  <r>
    <x v="4"/>
    <x v="419"/>
    <n v="2854"/>
    <n v="330786"/>
    <n v="32"/>
    <n v="7528"/>
    <n v="1354.2520823267698"/>
    <n v="1.3647444298820446"/>
    <n v="1848.2079860116191"/>
    <n v="2983.7142857142858"/>
    <n v="97.010978692420579"/>
    <m/>
    <m/>
  </r>
  <r>
    <x v="1"/>
    <x v="419"/>
    <n v="210"/>
    <n v="14235"/>
    <m/>
    <n v="19"/>
    <n v="570.96365763363008"/>
    <n v="1.527366387636832"/>
    <n v="872.0706992317904"/>
    <n v="180.85714285714286"/>
    <n v="43.534087603238717"/>
    <m/>
    <m/>
  </r>
  <r>
    <x v="2"/>
    <x v="419"/>
    <n v="157"/>
    <n v="43764"/>
    <n v="5"/>
    <n v="1019"/>
    <n v="264.25003383031378"/>
    <n v="1.3487288135593221"/>
    <n v="356.40163461096984"/>
    <n v="214.14285714285714"/>
    <n v="17.777963319044943"/>
    <m/>
    <m/>
  </r>
  <r>
    <x v="3"/>
    <x v="419"/>
    <n v="185"/>
    <n v="54119"/>
    <n v="3"/>
    <n v="903"/>
    <n v="421.97501106634309"/>
    <n v="1.5002871912693854"/>
    <n v="633.08370413859166"/>
    <n v="196.57142857142858"/>
    <n v="31.756596763688918"/>
    <m/>
    <m/>
  </r>
  <r>
    <x v="6"/>
    <x v="419"/>
    <n v="127"/>
    <n v="36717"/>
    <n v="9"/>
    <n v="457"/>
    <n v="304.78202642574371"/>
    <n v="0.77250113071008597"/>
    <n v="235.44446003399833"/>
    <n v="266.28571428571428"/>
    <n v="23.75851862067524"/>
    <m/>
    <m/>
  </r>
  <r>
    <x v="5"/>
    <x v="419"/>
    <n v="968"/>
    <n v="219492"/>
    <n v="16"/>
    <n v="3303"/>
    <n v="610.69818771689552"/>
    <n v="1.2772525027808677"/>
    <n v="780.01578870514493"/>
    <n v="1618.4285714285713"/>
    <n v="43.038162226025378"/>
    <m/>
    <m/>
  </r>
  <r>
    <x v="7"/>
    <x v="419"/>
    <n v="364"/>
    <n v="60326"/>
    <n v="9"/>
    <n v="1040"/>
    <n v="506.72421518354412"/>
    <n v="1.8156670113753879"/>
    <n v="920.04244137384444"/>
    <n v="524.71428571428567"/>
    <n v="37.859238875717693"/>
    <m/>
    <m/>
  </r>
  <r>
    <x v="8"/>
    <x v="419"/>
    <n v="81"/>
    <n v="4287"/>
    <n v="2"/>
    <n v="69"/>
    <n v="212.32895952200374"/>
    <n v="1.3554852320675106"/>
    <n v="287.80876897233628"/>
    <n v="112.14285714285714"/>
    <n v="18.530098190636231"/>
    <m/>
    <m/>
  </r>
  <r>
    <x v="9"/>
    <x v="419"/>
    <n v="97"/>
    <n v="24441"/>
    <n v="3"/>
    <n v="1021"/>
    <n v="172.78931508235382"/>
    <n v="1.6968152866242039"/>
    <n v="293.19155119706409"/>
    <n v="98.428571428571431"/>
    <n v="12.76832240366171"/>
    <m/>
    <m/>
  </r>
  <r>
    <x v="10"/>
    <x v="419"/>
    <n v="179"/>
    <n v="25946"/>
    <n v="10"/>
    <n v="356"/>
    <n v="876.88461838918829"/>
    <n v="1.9106382978723404"/>
    <n v="1675.4093347095554"/>
    <n v="251.85714285714286"/>
    <n v="70.267150684975178"/>
    <m/>
    <m/>
  </r>
  <r>
    <x v="11"/>
    <x v="419"/>
    <n v="46"/>
    <n v="13119"/>
    <n v="3"/>
    <n v="467"/>
    <n v="273.93013511006757"/>
    <n v="1.0435624394966119"/>
    <n v="285.86320004709859"/>
    <n v="80.142857142857139"/>
    <n v="20.365068353663915"/>
    <m/>
    <m/>
  </r>
  <r>
    <x v="12"/>
    <x v="419"/>
    <n v="715"/>
    <n v="93011"/>
    <n v="19"/>
    <n v="1744"/>
    <n v="618.78937145349175"/>
    <n v="1.4523584905660378"/>
    <n v="898.70399750250056"/>
    <n v="871.28571428571433"/>
    <n v="43.775766441966859"/>
    <m/>
    <m/>
  </r>
  <r>
    <x v="13"/>
    <x v="419"/>
    <n v="98"/>
    <n v="15210"/>
    <m/>
    <n v="237"/>
    <n v="137.16072541374177"/>
    <n v="1.0446859903381642"/>
    <n v="143.28988826435582"/>
    <n v="120.28571428571429"/>
    <n v="9.536691230253556"/>
    <m/>
    <m/>
  </r>
  <r>
    <x v="14"/>
    <x v="419"/>
    <n v="228"/>
    <n v="69579"/>
    <n v="2"/>
    <n v="1051"/>
    <n v="439.87187846826401"/>
    <n v="1.7533013205282113"/>
    <n v="771.22794538163214"/>
    <n v="232.42857142857142"/>
    <n v="35.001298296467233"/>
    <m/>
    <m/>
  </r>
  <r>
    <x v="15"/>
    <x v="419"/>
    <n v="268"/>
    <n v="60106"/>
    <n v="3"/>
    <n v="1339"/>
    <n v="423.21531279677907"/>
    <n v="1.8080000000000001"/>
    <n v="765.1732855365766"/>
    <n v="253.57142857142858"/>
    <n v="33.917607920095854"/>
    <m/>
    <m/>
  </r>
  <r>
    <x v="16"/>
    <x v="419"/>
    <n v="157"/>
    <n v="33827"/>
    <m/>
    <n v="1250"/>
    <n v="190.74738292765289"/>
    <n v="1.3687657430730478"/>
    <n v="261.088483332208"/>
    <n v="196.57142857142858"/>
    <n v="13.800325932407089"/>
    <m/>
    <m/>
  </r>
  <r>
    <x v="17"/>
    <x v="419"/>
    <n v="237"/>
    <n v="22216"/>
    <n v="2"/>
    <n v="257"/>
    <n v="417.16962124480142"/>
    <n v="1.6517992904206791"/>
    <n v="689.0804843572264"/>
    <n v="262.71428571428572"/>
    <n v="33.628849054012612"/>
    <m/>
    <m/>
  </r>
  <r>
    <x v="18"/>
    <x v="419"/>
    <n v="481"/>
    <n v="35250"/>
    <n v="7"/>
    <n v="475"/>
    <n v="1639.8860578209346"/>
    <n v="1.9058070416095108"/>
    <n v="3125.3063964323987"/>
    <n v="671.14285714285711"/>
    <n v="132.0294882719144"/>
    <m/>
    <m/>
  </r>
  <r>
    <x v="19"/>
    <x v="419"/>
    <n v="230"/>
    <n v="43880"/>
    <n v="5"/>
    <n v="698"/>
    <n v="757.45560544493003"/>
    <n v="1.3975782038345106"/>
    <n v="1058.6034445421071"/>
    <n v="203"/>
    <n v="55.510284442354077"/>
    <m/>
    <m/>
  </r>
  <r>
    <x v="20"/>
    <x v="419"/>
    <n v="1078"/>
    <n v="266200"/>
    <n v="18"/>
    <n v="4543"/>
    <n v="650.88459565583037"/>
    <n v="1.7496199452721193"/>
    <n v="1138.8006706298195"/>
    <n v="1724.2857142857142"/>
    <n v="48.757972453644172"/>
    <m/>
    <m/>
  </r>
  <r>
    <x v="21"/>
    <x v="419"/>
    <n v="111"/>
    <n v="29906"/>
    <n v="3"/>
    <n v="331"/>
    <n v="302.5616546033836"/>
    <n v="1.4689826302729529"/>
    <n v="444.45781519901516"/>
    <n v="214"/>
    <n v="21.874389893623"/>
    <m/>
    <m/>
  </r>
  <r>
    <x v="22"/>
    <x v="419"/>
    <n v="54"/>
    <n v="26100"/>
    <n v="3"/>
    <n v="379"/>
    <n v="648.64559181134427"/>
    <n v="1.1849173553719008"/>
    <n v="768.59141922273955"/>
    <n v="87"/>
    <n v="49.199796414635529"/>
    <m/>
    <m/>
  </r>
  <r>
    <x v="23"/>
    <x v="419"/>
    <n v="984"/>
    <n v="103397"/>
    <m/>
    <n v="1600"/>
    <n v="562.23799992446845"/>
    <n v="1.3457627118644069"/>
    <n v="756.63893549157285"/>
    <n v="723.71428571428567"/>
    <n v="42.705675117208784"/>
    <m/>
    <m/>
  </r>
  <r>
    <x v="0"/>
    <x v="420"/>
    <n v="12410"/>
    <n v="1266173"/>
    <n v="314"/>
    <n v="32311"/>
    <n v="924.43815370961329"/>
    <n v="1.3023403366743769"/>
    <n v="1203.9330963368172"/>
    <n v="11190.857142857143"/>
    <n v="63.797772008429455"/>
    <m/>
    <m/>
  </r>
  <r>
    <x v="4"/>
    <x v="420"/>
    <n v="2752"/>
    <n v="333538"/>
    <n v="51"/>
    <n v="7579"/>
    <n v="1348.3346262866403"/>
    <n v="1.2782812403674249"/>
    <n v="1723.5508585200348"/>
    <n v="2899"/>
    <n v="94.256621210633469"/>
    <m/>
    <m/>
  </r>
  <r>
    <x v="1"/>
    <x v="420"/>
    <n v="209"/>
    <n v="14444"/>
    <m/>
    <n v="19"/>
    <n v="583.9619871075829"/>
    <n v="1.481979230299328"/>
    <n v="865.41953617776176"/>
    <n v="184"/>
    <n v="44.290604133468776"/>
    <m/>
    <m/>
  </r>
  <r>
    <x v="2"/>
    <x v="420"/>
    <n v="174"/>
    <n v="43938"/>
    <n v="7"/>
    <n v="1026"/>
    <n v="257.9405765349623"/>
    <n v="1.2358790771678601"/>
    <n v="318.78336169217499"/>
    <n v="202.85714285714286"/>
    <n v="16.841032630449511"/>
    <m/>
    <m/>
  </r>
  <r>
    <x v="3"/>
    <x v="420"/>
    <n v="166"/>
    <n v="54285"/>
    <m/>
    <n v="903"/>
    <n v="413.2511785251553"/>
    <n v="1.3985784581738654"/>
    <n v="577.96419610024452"/>
    <n v="181.71428571428572"/>
    <n v="29.356388868758945"/>
    <m/>
    <m/>
  </r>
  <r>
    <x v="6"/>
    <x v="420"/>
    <n v="135"/>
    <n v="36852"/>
    <n v="20"/>
    <n v="477"/>
    <n v="277.48012359018236"/>
    <n v="0.78199647975861197"/>
    <n v="216.98847985050719"/>
    <n v="244.28571428571428"/>
    <n v="21.795636717464948"/>
    <m/>
    <m/>
  </r>
  <r>
    <x v="5"/>
    <x v="420"/>
    <n v="2123"/>
    <n v="221615"/>
    <n v="30"/>
    <n v="3333"/>
    <n v="606.84226621813878"/>
    <n v="1.1749562351971992"/>
    <n v="713.01310447420076"/>
    <n v="1598.7142857142858"/>
    <n v="42.513908859691945"/>
    <m/>
    <m/>
  </r>
  <r>
    <x v="7"/>
    <x v="420"/>
    <n v="653"/>
    <n v="60979"/>
    <n v="5"/>
    <n v="1045"/>
    <n v="508.02295302681677"/>
    <n v="1.6382038157282457"/>
    <n v="832.24514012606255"/>
    <n v="532"/>
    <n v="38.3849184789471"/>
    <m/>
    <m/>
  </r>
  <r>
    <x v="8"/>
    <x v="420"/>
    <n v="118"/>
    <n v="4405"/>
    <n v="7"/>
    <n v="76"/>
    <n v="210.18088444512742"/>
    <n v="1.2102759276879163"/>
    <n v="254.37686490409331"/>
    <n v="111.14285714285714"/>
    <n v="18.364861646261133"/>
    <m/>
    <m/>
  </r>
  <r>
    <x v="9"/>
    <x v="420"/>
    <n v="113"/>
    <n v="24554"/>
    <n v="3"/>
    <n v="1024"/>
    <n v="175.38374924274953"/>
    <n v="1.6308805790108565"/>
    <n v="286.02995051411023"/>
    <n v="96.857142857142861"/>
    <n v="12.564474005344906"/>
    <m/>
    <m/>
  </r>
  <r>
    <x v="10"/>
    <x v="420"/>
    <n v="327"/>
    <n v="26273"/>
    <n v="8"/>
    <n v="364"/>
    <n v="937.42676353409888"/>
    <n v="1.9626168224299065"/>
    <n v="1839.8095359080446"/>
    <n v="254.57142857142858"/>
    <n v="71.024425706537599"/>
    <m/>
    <m/>
  </r>
  <r>
    <x v="11"/>
    <x v="420"/>
    <n v="70"/>
    <n v="13189"/>
    <n v="2"/>
    <n v="469"/>
    <n v="276.72534057037439"/>
    <n v="1.0139664804469273"/>
    <n v="280.59021962861982"/>
    <n v="75.142857142857139"/>
    <n v="19.094520417160819"/>
    <m/>
    <m/>
  </r>
  <r>
    <x v="12"/>
    <x v="420"/>
    <n v="998"/>
    <n v="94009"/>
    <n v="17"/>
    <n v="1761"/>
    <n v="621.05029397016995"/>
    <n v="1.3491595721458196"/>
    <n v="837.89594889383"/>
    <n v="848.85714285714289"/>
    <n v="42.648893949527313"/>
    <m/>
    <m/>
  </r>
  <r>
    <x v="13"/>
    <x v="420"/>
    <n v="76"/>
    <n v="15286"/>
    <m/>
    <n v="237"/>
    <n v="129.70806172074077"/>
    <n v="0.95560747663551404"/>
    <n v="123.9499935602406"/>
    <n v="114.85714285714286"/>
    <n v="9.1062942388644412"/>
    <m/>
    <m/>
  </r>
  <r>
    <x v="14"/>
    <x v="420"/>
    <n v="484"/>
    <n v="70063"/>
    <n v="1"/>
    <n v="1052"/>
    <n v="476.4651227228988"/>
    <n v="1.7336986301369863"/>
    <n v="826.04693057274073"/>
    <n v="263.14285714285717"/>
    <n v="39.626546688440477"/>
    <m/>
    <m/>
  </r>
  <r>
    <x v="15"/>
    <x v="420"/>
    <n v="393"/>
    <n v="60499"/>
    <n v="4"/>
    <n v="1343"/>
    <n v="442.47669239309266"/>
    <n v="1.7265135699373695"/>
    <n v="763.94201379767776"/>
    <n v="266.85714285714283"/>
    <n v="35.694699489993823"/>
    <m/>
    <m/>
  </r>
  <r>
    <x v="16"/>
    <x v="420"/>
    <n v="216"/>
    <n v="34043"/>
    <n v="5"/>
    <n v="1255"/>
    <n v="189.62410058431743"/>
    <n v="1.2662916080637601"/>
    <n v="240.1194072565595"/>
    <n v="190"/>
    <n v="13.338977827108593"/>
    <m/>
    <m/>
  </r>
  <r>
    <x v="17"/>
    <x v="420"/>
    <n v="463"/>
    <n v="22679"/>
    <n v="6"/>
    <n v="263"/>
    <n v="433.93832955504041"/>
    <n v="1.5650969529085872"/>
    <n v="679.15555733683607"/>
    <n v="284.57142857142856"/>
    <n v="36.426681520170263"/>
    <m/>
    <m/>
  </r>
  <r>
    <x v="18"/>
    <x v="420"/>
    <n v="605"/>
    <n v="35855"/>
    <n v="1"/>
    <n v="476"/>
    <n v="1657.394438236729"/>
    <n v="1.7443064182194616"/>
    <n v="2891.0037561375657"/>
    <n v="667.71428571428567"/>
    <n v="131.35500812748572"/>
    <m/>
    <m/>
  </r>
  <r>
    <x v="19"/>
    <x v="420"/>
    <n v="172"/>
    <n v="44052"/>
    <n v="2"/>
    <n v="700"/>
    <n v="738.31412805101479"/>
    <n v="1.2605042016806722"/>
    <n v="930.64806056850603"/>
    <n v="193.71428571428572"/>
    <n v="52.971108869691861"/>
    <m/>
    <m/>
  </r>
  <r>
    <x v="20"/>
    <x v="420"/>
    <n v="2002"/>
    <n v="268202"/>
    <n v="30"/>
    <n v="4573"/>
    <n v="657.67112371897213"/>
    <n v="1.6185107863604733"/>
    <n v="1064.4478076169696"/>
    <n v="1704"/>
    <n v="48.184349248307186"/>
    <m/>
    <m/>
  </r>
  <r>
    <x v="21"/>
    <x v="420"/>
    <n v="122"/>
    <n v="30028"/>
    <n v="2"/>
    <n v="333"/>
    <n v="301.02840297532589"/>
    <n v="1.401713469776297"/>
    <n v="421.95556723576141"/>
    <n v="210.85714285714286"/>
    <n v="21.553137171553772"/>
    <m/>
    <m/>
  </r>
  <r>
    <x v="22"/>
    <x v="420"/>
    <n v="74"/>
    <n v="26174"/>
    <n v="1"/>
    <n v="380"/>
    <n v="631.68014477181475"/>
    <n v="1.0607787274453941"/>
    <n v="670.07286012356803"/>
    <n v="82.714285714285708"/>
    <n v="46.776161123274164"/>
    <m/>
    <m/>
  </r>
  <r>
    <x v="23"/>
    <x v="420"/>
    <n v="640"/>
    <n v="104037"/>
    <m/>
    <n v="1600"/>
    <n v="554.97988972393216"/>
    <n v="1.249335812964931"/>
    <n v="693.35625170743651"/>
    <n v="680.42857142857144"/>
    <n v="40.151427276601943"/>
    <m/>
    <m/>
  </r>
  <r>
    <x v="0"/>
    <x v="421"/>
    <n v="11057"/>
    <n v="1277230"/>
    <n v="174"/>
    <n v="32485"/>
    <n v="911.98742430723291"/>
    <n v="1.2335029686174723"/>
    <n v="1124.939195224774"/>
    <n v="10929.857142857143"/>
    <n v="62.309841434243893"/>
    <m/>
    <m/>
  </r>
  <r>
    <x v="4"/>
    <x v="421"/>
    <n v="2909"/>
    <n v="336447"/>
    <n v="57"/>
    <n v="7636"/>
    <n v="1356.4955134628628"/>
    <n v="1.2493935854819873"/>
    <n v="1694.7967932555955"/>
    <n v="2959"/>
    <n v="96.20743089419264"/>
    <m/>
    <m/>
  </r>
  <r>
    <x v="1"/>
    <x v="421"/>
    <n v="111"/>
    <n v="14555"/>
    <m/>
    <n v="19"/>
    <n v="570.48223802348366"/>
    <n v="1.3739130434782609"/>
    <n v="783.79298789313407"/>
    <n v="175.71428571428572"/>
    <n v="42.296151462862262"/>
    <m/>
    <m/>
  </r>
  <r>
    <x v="2"/>
    <x v="421"/>
    <n v="263"/>
    <n v="44201"/>
    <n v="6"/>
    <n v="1032"/>
    <n v="259.26888333398364"/>
    <n v="1.2076566125290022"/>
    <n v="313.10778138129575"/>
    <n v="204.71428571428572"/>
    <n v="16.995211098193064"/>
    <m/>
    <m/>
  </r>
  <r>
    <x v="3"/>
    <x v="421"/>
    <n v="236"/>
    <n v="54521"/>
    <n v="12"/>
    <n v="915"/>
    <n v="409.21236716349432"/>
    <n v="1.3509333333333333"/>
    <n v="552.81862721340326"/>
    <n v="183.42857142857142"/>
    <n v="29.633335933558552"/>
    <m/>
    <m/>
  </r>
  <r>
    <x v="6"/>
    <x v="421"/>
    <n v="335"/>
    <n v="37187"/>
    <n v="5"/>
    <n v="482"/>
    <n v="292.64784738771647"/>
    <n v="0.85172682420150614"/>
    <n v="249.25602166494679"/>
    <n v="262.71428571428572"/>
    <n v="23.43986896106318"/>
    <m/>
    <m/>
  </r>
  <r>
    <x v="5"/>
    <x v="421"/>
    <n v="1746"/>
    <n v="223361"/>
    <n v="11"/>
    <n v="3344"/>
    <n v="604.31597282240159"/>
    <n v="1.1360795880617907"/>
    <n v="686.55104146323424"/>
    <n v="1511.4285714285713"/>
    <n v="40.192758085563462"/>
    <m/>
    <m/>
  </r>
  <r>
    <x v="7"/>
    <x v="421"/>
    <n v="635"/>
    <n v="61614"/>
    <n v="2"/>
    <n v="1047"/>
    <n v="509.89890768932173"/>
    <n v="1.5336371527777777"/>
    <n v="781.99990899315026"/>
    <n v="536"/>
    <n v="38.673526888563245"/>
    <m/>
    <m/>
  </r>
  <r>
    <x v="8"/>
    <x v="421"/>
    <n v="97"/>
    <n v="4502"/>
    <n v="4"/>
    <n v="80"/>
    <n v="211.00706716700293"/>
    <n v="1.3192148760330578"/>
    <n v="278.36366195481685"/>
    <n v="109.71428571428571"/>
    <n v="18.12880944001099"/>
    <m/>
    <m/>
  </r>
  <r>
    <x v="9"/>
    <x v="421"/>
    <n v="96"/>
    <n v="24650"/>
    <n v="4"/>
    <n v="1028"/>
    <n v="177.97818340314521"/>
    <n v="1.6550060313630881"/>
    <n v="294.55496698325118"/>
    <n v="93.857142857142861"/>
    <n v="12.175308881285551"/>
    <m/>
    <m/>
  </r>
  <r>
    <x v="10"/>
    <x v="421"/>
    <n v="232"/>
    <n v="26505"/>
    <n v="1"/>
    <n v="365"/>
    <n v="944.40166504848946"/>
    <n v="1.8497267759562841"/>
    <n v="1746.8850470978889"/>
    <n v="225.85714285714286"/>
    <n v="63.013253110008939"/>
    <m/>
    <m/>
  </r>
  <r>
    <x v="11"/>
    <x v="421"/>
    <n v="90"/>
    <n v="13279"/>
    <m/>
    <n v="469"/>
    <n v="279.5205460306812"/>
    <n v="1.0175763182238668"/>
    <n v="284.43348809782549"/>
    <n v="73"/>
    <n v="18.549999872945204"/>
    <m/>
    <m/>
  </r>
  <r>
    <x v="12"/>
    <x v="421"/>
    <n v="794"/>
    <n v="94803"/>
    <n v="13"/>
    <n v="1774"/>
    <n v="612.40854568420036"/>
    <n v="1.2687623607785989"/>
    <n v="777.00091218327452"/>
    <n v="833"/>
    <n v="41.852187919840752"/>
    <m/>
    <m/>
  </r>
  <r>
    <x v="13"/>
    <x v="421"/>
    <n v="75"/>
    <n v="15361"/>
    <m/>
    <n v="237"/>
    <n v="125.50602793638913"/>
    <n v="0.92790152403282533"/>
    <n v="116.45723459748183"/>
    <n v="114.42857142857143"/>
    <n v="9.0723155290179314"/>
    <m/>
    <m/>
  </r>
  <r>
    <x v="14"/>
    <x v="421"/>
    <n v="337"/>
    <n v="70400"/>
    <n v="8"/>
    <n v="1060"/>
    <n v="499.65590303242044"/>
    <n v="1.7762312633832977"/>
    <n v="887.5044359001987"/>
    <n v="281.14285714285717"/>
    <n v="42.337157373968978"/>
    <m/>
    <m/>
  </r>
  <r>
    <x v="15"/>
    <x v="421"/>
    <n v="320"/>
    <n v="60819"/>
    <n v="3"/>
    <n v="1346"/>
    <n v="451.43858428859966"/>
    <n v="1.6716196136701338"/>
    <n v="754.63359186430114"/>
    <n v="276.14285714285717"/>
    <n v="36.93675273777199"/>
    <m/>
    <m/>
  </r>
  <r>
    <x v="16"/>
    <x v="421"/>
    <n v="212"/>
    <n v="34255"/>
    <n v="6"/>
    <n v="1261"/>
    <n v="186.18404840785257"/>
    <n v="1.1834002677376172"/>
    <n v="220.33025273432622"/>
    <n v="184.71428571428572"/>
    <n v="12.967893481542417"/>
    <m/>
    <m/>
  </r>
  <r>
    <x v="17"/>
    <x v="421"/>
    <n v="311"/>
    <n v="22990"/>
    <n v="5"/>
    <n v="268"/>
    <n v="443.92275129701477"/>
    <n v="1.5621621621621622"/>
    <n v="693.47932499912042"/>
    <n v="280.28571428571428"/>
    <n v="35.878086918962886"/>
    <m/>
    <m/>
  </r>
  <r>
    <x v="18"/>
    <x v="421"/>
    <n v="565"/>
    <n v="36420"/>
    <m/>
    <n v="476"/>
    <n v="1672.9355848979399"/>
    <n v="1.6632114218658323"/>
    <n v="2782.4455728480502"/>
    <n v="647.42857142857144"/>
    <n v="127.36433393961603"/>
    <m/>
    <m/>
  </r>
  <r>
    <x v="19"/>
    <x v="421"/>
    <n v="209"/>
    <n v="44261"/>
    <n v="2"/>
    <n v="702"/>
    <n v="729.01683903111314"/>
    <n v="1.2173515981735159"/>
    <n v="887.46981408993031"/>
    <n v="191.14285714285714"/>
    <n v="52.267952557262312"/>
    <m/>
    <m/>
  </r>
  <r>
    <x v="20"/>
    <x v="421"/>
    <n v="1896"/>
    <n v="270098"/>
    <n v="24"/>
    <n v="4597"/>
    <n v="663.29828657132725"/>
    <n v="1.5486234897999605"/>
    <n v="1027.1993073284229"/>
    <n v="1697.5714285714287"/>
    <n v="48.002567246615889"/>
    <m/>
    <m/>
  </r>
  <r>
    <x v="21"/>
    <x v="421"/>
    <n v="220"/>
    <n v="30248"/>
    <n v="4"/>
    <n v="337"/>
    <n v="300.72175264971435"/>
    <n v="1.3397085610200363"/>
    <n v="402.87950650977211"/>
    <n v="208.71428571428572"/>
    <n v="21.334101224688389"/>
    <m/>
    <m/>
  </r>
  <r>
    <x v="22"/>
    <x v="421"/>
    <n v="102"/>
    <n v="26276"/>
    <n v="3"/>
    <n v="383"/>
    <n v="621.50087654809704"/>
    <n v="1.0091827364554637"/>
    <n v="627.2079553042779"/>
    <n v="88"/>
    <n v="49.765311315953177"/>
    <m/>
    <m/>
  </r>
  <r>
    <x v="23"/>
    <x v="421"/>
    <n v="870"/>
    <n v="104907"/>
    <n v="4"/>
    <n v="1604"/>
    <n v="563.77223460100458"/>
    <n v="1.2736968404212772"/>
    <n v="718.07491392854263"/>
    <n v="694.71428571428567"/>
    <n v="40.9944133626108"/>
    <m/>
    <m/>
  </r>
  <r>
    <x v="0"/>
    <x v="422"/>
    <n v="12208"/>
    <n v="1289438"/>
    <n v="335"/>
    <n v="32820"/>
    <n v="908.09372092727608"/>
    <n v="1.1756240128714186"/>
    <n v="1067.5767842598625"/>
    <n v="10824"/>
    <n v="61.706362203006066"/>
    <m/>
    <m/>
  </r>
  <r>
    <x v="4"/>
    <x v="422"/>
    <n v="2972"/>
    <n v="339419"/>
    <n v="60"/>
    <n v="7696"/>
    <n v="1360.689754282515"/>
    <n v="1.2074437391806117"/>
    <n v="1642.9563247756275"/>
    <n v="2875"/>
    <n v="93.476297337209814"/>
    <m/>
    <m/>
  </r>
  <r>
    <x v="1"/>
    <x v="422"/>
    <n v="155"/>
    <n v="14710"/>
    <m/>
    <n v="19"/>
    <n v="568.5565595828981"/>
    <n v="1.2992299229922992"/>
    <n v="738.68569512365525"/>
    <n v="168.85714285714286"/>
    <n v="40.645569942360318"/>
    <m/>
    <m/>
  </r>
  <r>
    <x v="2"/>
    <x v="422"/>
    <n v="400"/>
    <n v="44601"/>
    <n v="6"/>
    <n v="1038"/>
    <n v="263.66889960574196"/>
    <n v="1.1536505630221576"/>
    <n v="304.18177448159696"/>
    <n v="235.71428571428572"/>
    <n v="19.568805521296969"/>
    <m/>
    <m/>
  </r>
  <r>
    <x v="3"/>
    <x v="422"/>
    <n v="235"/>
    <n v="54756"/>
    <n v="1"/>
    <n v="916"/>
    <n v="417.28998988681639"/>
    <n v="1.3252950230887635"/>
    <n v="553.03234678175818"/>
    <n v="184.57142857142858"/>
    <n v="29.817967310091628"/>
    <m/>
    <m/>
  </r>
  <r>
    <x v="6"/>
    <x v="422"/>
    <n v="198"/>
    <n v="37385"/>
    <n v="13"/>
    <n v="495"/>
    <n v="295.41372643314912"/>
    <n v="0.9207452725250278"/>
    <n v="272.0007920523239"/>
    <n v="242.85714285714286"/>
    <n v="21.668176853620121"/>
    <m/>
    <m/>
  </r>
  <r>
    <x v="5"/>
    <x v="422"/>
    <n v="2099"/>
    <n v="225460"/>
    <n v="19"/>
    <n v="3363"/>
    <n v="617.45269848023509"/>
    <n v="1.1374057019692367"/>
    <n v="702.29421994771121"/>
    <n v="1553.4285714285713"/>
    <n v="41.30964569209992"/>
    <m/>
    <m/>
  </r>
  <r>
    <x v="7"/>
    <x v="422"/>
    <n v="763"/>
    <n v="62377"/>
    <n v="10"/>
    <n v="1057"/>
    <n v="527.14326016388634"/>
    <n v="1.4922385620915033"/>
    <n v="786.62350056318496"/>
    <n v="553.57142857142856"/>
    <n v="39.941342402234156"/>
    <m/>
    <m/>
  </r>
  <r>
    <x v="8"/>
    <x v="422"/>
    <n v="11"/>
    <n v="4513"/>
    <n v="7"/>
    <n v="87"/>
    <n v="197.29243398386961"/>
    <n v="1.1648780487804877"/>
    <n v="229.82162553828323"/>
    <n v="93.142857142857139"/>
    <n v="15.390603847509329"/>
    <m/>
    <m/>
  </r>
  <r>
    <x v="9"/>
    <x v="422"/>
    <n v="128"/>
    <n v="24778"/>
    <n v="2"/>
    <n v="1030"/>
    <n v="184.07510368007513"/>
    <n v="1.7179176755447942"/>
    <n v="316.22587423974164"/>
    <n v="97.142857142857139"/>
    <n v="12.601537350493414"/>
    <m/>
    <m/>
  </r>
  <r>
    <x v="10"/>
    <x v="422"/>
    <n v="313"/>
    <n v="26818"/>
    <n v="1"/>
    <n v="366"/>
    <n v="973.97524746950569"/>
    <n v="1.7976313079299691"/>
    <n v="1750.8483980000228"/>
    <n v="233.42857142857142"/>
    <n v="65.125651854367248"/>
    <m/>
    <m/>
  </r>
  <r>
    <x v="11"/>
    <x v="422"/>
    <n v="46"/>
    <n v="13325"/>
    <n v="3"/>
    <n v="472"/>
    <n v="263.25753244344156"/>
    <n v="0.9119718309859155"/>
    <n v="240.08345388327945"/>
    <n v="69.142857142857139"/>
    <n v="17.569862893357104"/>
    <m/>
    <m/>
  </r>
  <r>
    <x v="12"/>
    <x v="422"/>
    <n v="879"/>
    <n v="95682"/>
    <n v="42"/>
    <n v="1816"/>
    <n v="603.81704012082366"/>
    <n v="1.1818271216442129"/>
    <n v="713.60735452572123"/>
    <n v="810.57142857142856"/>
    <n v="40.725315427401199"/>
    <m/>
    <m/>
  </r>
  <r>
    <x v="13"/>
    <x v="422"/>
    <n v="156"/>
    <n v="15517"/>
    <n v="1"/>
    <n v="238"/>
    <n v="130.02519634597485"/>
    <n v="0.9518282066163668"/>
    <n v="123.76164945293021"/>
    <n v="112.71428571428571"/>
    <n v="8.9364006896318937"/>
    <m/>
    <m/>
  </r>
  <r>
    <x v="14"/>
    <x v="422"/>
    <n v="370"/>
    <n v="70770"/>
    <n v="8"/>
    <n v="1068"/>
    <n v="524.35257816723572"/>
    <n v="1.7612544258978249"/>
    <n v="923.51829902797908"/>
    <n v="301"/>
    <n v="45.327434241337713"/>
    <m/>
    <m/>
  </r>
  <r>
    <x v="15"/>
    <x v="422"/>
    <n v="347"/>
    <n v="61166"/>
    <n v="7"/>
    <n v="1353"/>
    <n v="470.8337234654432"/>
    <n v="1.68179646440516"/>
    <n v="791.84649144689922"/>
    <n v="280.57142857142856"/>
    <n v="37.529116594404641"/>
    <m/>
    <m/>
  </r>
  <r>
    <x v="16"/>
    <x v="422"/>
    <n v="265"/>
    <n v="34520"/>
    <n v="4"/>
    <n v="1265"/>
    <n v="185.9734329684772"/>
    <n v="1.129156010230179"/>
    <n v="209.99301957949535"/>
    <n v="185.14285714285714"/>
    <n v="12.997981401453186"/>
    <m/>
    <m/>
  </r>
  <r>
    <x v="17"/>
    <x v="422"/>
    <n v="336"/>
    <n v="23326"/>
    <n v="4"/>
    <n v="272"/>
    <n v="452.24310274866008"/>
    <n v="1.4720833333333334"/>
    <n v="665.73953417125676"/>
    <n v="278.71428571428572"/>
    <n v="35.676935565186845"/>
    <m/>
    <m/>
  </r>
  <r>
    <x v="18"/>
    <x v="422"/>
    <n v="532"/>
    <n v="36952"/>
    <n v="2"/>
    <n v="478"/>
    <n v="1692.411199068318"/>
    <n v="1.6232075471698113"/>
    <n v="2747.1346312424034"/>
    <n v="611.57142857142856"/>
    <n v="120.31039576246609"/>
    <m/>
    <m/>
  </r>
  <r>
    <x v="19"/>
    <x v="422"/>
    <n v="231"/>
    <n v="44492"/>
    <n v="3"/>
    <n v="705"/>
    <n v="740.50172546746228"/>
    <n v="1.230349840981372"/>
    <n v="911.07618017532377"/>
    <n v="196"/>
    <n v="53.596136702962546"/>
    <m/>
    <m/>
  </r>
  <r>
    <x v="20"/>
    <x v="422"/>
    <n v="2327"/>
    <n v="272425"/>
    <n v="13"/>
    <n v="4610"/>
    <n v="672.2056046542009"/>
    <n v="1.473136270682283"/>
    <n v="990.2504575720186"/>
    <n v="1735.8571428571429"/>
    <n v="49.085180056688522"/>
    <m/>
    <m/>
  </r>
  <r>
    <x v="21"/>
    <x v="422"/>
    <n v="235"/>
    <n v="30483"/>
    <n v="4"/>
    <n v="341"/>
    <n v="304.19712300664514"/>
    <n v="1.3490480507706255"/>
    <n v="410.37653584214684"/>
    <n v="199.85714285714286"/>
    <n v="20.428752644311469"/>
    <m/>
    <m/>
  </r>
  <r>
    <x v="22"/>
    <x v="422"/>
    <n v="95"/>
    <n v="26371"/>
    <n v="4"/>
    <n v="387"/>
    <n v="644.6869875021207"/>
    <n v="1.0497237569060773"/>
    <n v="676.74324654918746"/>
    <n v="82.142857142857139"/>
    <n v="46.453009751092651"/>
    <m/>
    <m/>
  </r>
  <r>
    <x v="23"/>
    <x v="422"/>
    <n v="752"/>
    <n v="105659"/>
    <n v="12"/>
    <n v="1616"/>
    <n v="561.11682843007668"/>
    <n v="1.2257025006444959"/>
    <n v="687.76229976045363"/>
    <n v="671.42857142857144"/>
    <n v="39.620346042416358"/>
    <m/>
    <m/>
  </r>
  <r>
    <x v="0"/>
    <x v="423"/>
    <n v="10470"/>
    <n v="1299908"/>
    <n v="156"/>
    <n v="32975"/>
    <n v="881.3223723587879"/>
    <n v="1.0614512097992366"/>
    <n v="935.48069836336867"/>
    <n v="10286.428571428571"/>
    <n v="58.641730155572951"/>
    <m/>
    <s v="enos Aires"/>
  </r>
  <r>
    <x v="4"/>
    <x v="423"/>
    <n v="2721"/>
    <n v="342140"/>
    <n v="56"/>
    <n v="7752"/>
    <n v="1341.4417654047313"/>
    <n v="1.1373986877653415"/>
    <n v="1525.7541036849645"/>
    <n v="2845.2857142857142"/>
    <n v="92.510182065351927"/>
    <m/>
    <s v="CABA"/>
  </r>
  <r>
    <x v="1"/>
    <x v="423"/>
    <n v="189"/>
    <n v="14899"/>
    <m/>
    <n v="19"/>
    <n v="579.38850081119199"/>
    <n v="1.2885438972162742"/>
    <n v="746.56751683754771"/>
    <n v="167.14285714285714"/>
    <n v="40.232924562234828"/>
    <m/>
    <s v="Catamarca"/>
  </r>
  <r>
    <x v="2"/>
    <x v="423"/>
    <n v="203"/>
    <n v="44804"/>
    <n v="2"/>
    <n v="1040"/>
    <n v="254.86886706222538"/>
    <n v="1.0685694396101635"/>
    <n v="272.34508245075943"/>
    <n v="228.85714285714286"/>
    <n v="18.99953117885924"/>
    <m/>
    <s v="Chaco"/>
  </r>
  <r>
    <x v="3"/>
    <x v="423"/>
    <n v="120"/>
    <n v="54876"/>
    <n v="10"/>
    <n v="926"/>
    <n v="392.73401680791733"/>
    <n v="1.1187298665439485"/>
    <n v="439.36327421079017"/>
    <n v="159.57142857142858"/>
    <n v="25.77915594843061"/>
    <m/>
    <s v="Chubut"/>
  </r>
  <r>
    <x v="6"/>
    <x v="423"/>
    <n v="114"/>
    <n v="37499"/>
    <m/>
    <n v="495"/>
    <n v="288.72208358129586"/>
    <n v="0.90114174324700635"/>
    <n v="260.1795217123568"/>
    <n v="206"/>
    <n v="18.379712366423657"/>
    <m/>
    <s v="Corrientes"/>
  </r>
  <r>
    <x v="5"/>
    <x v="423"/>
    <n v="1850"/>
    <n v="227310"/>
    <n v="16"/>
    <n v="3379"/>
    <n v="604.63508356712634"/>
    <n v="1.0312032291713911"/>
    <n v="623.50165064473458"/>
    <n v="1553.4285714285713"/>
    <n v="41.30964569209992"/>
    <m/>
    <s v="Córdoba"/>
  </r>
  <r>
    <x v="7"/>
    <x v="423"/>
    <n v="565"/>
    <n v="62942"/>
    <n v="9"/>
    <n v="1066"/>
    <n v="522.74198191724008"/>
    <n v="1.3511749347258486"/>
    <n v="706.31586329548759"/>
    <n v="538.42857142857144"/>
    <n v="38.848753422973047"/>
    <m/>
    <s v="Entre Ríos"/>
  </r>
  <r>
    <x v="8"/>
    <x v="423"/>
    <n v="11"/>
    <n v="4524"/>
    <n v="9"/>
    <n v="96"/>
    <n v="183.74303734511139"/>
    <n v="0.99463327370304111"/>
    <n v="182.75693875470827"/>
    <n v="78.714285714285708"/>
    <n v="13.006476564382885"/>
    <m/>
    <s v="Formosa"/>
  </r>
  <r>
    <x v="9"/>
    <x v="423"/>
    <n v="89"/>
    <n v="24867"/>
    <n v="6"/>
    <n v="1036"/>
    <n v="180.96178268760028"/>
    <n v="1.5727170236753101"/>
    <n v="284.60167626742094"/>
    <n v="99.285714285714292"/>
    <n v="12.879512439107241"/>
    <m/>
    <s v="Jujuy"/>
  </r>
  <r>
    <x v="10"/>
    <x v="423"/>
    <n v="312"/>
    <n v="27130"/>
    <n v="6"/>
    <n v="372"/>
    <n v="947.74961777539693"/>
    <n v="1.48925909688733"/>
    <n v="1411.4447398435"/>
    <n v="252.14285714285714"/>
    <n v="70.346863845139652"/>
    <m/>
    <s v="La Pampa"/>
  </r>
  <r>
    <x v="11"/>
    <x v="423"/>
    <n v="45"/>
    <n v="13370"/>
    <n v="1"/>
    <n v="473"/>
    <n v="248.26506679270503"/>
    <n v="0.82169890664423884"/>
    <n v="203.99913394152466"/>
    <n v="66.428571428571431"/>
    <n v="16.880136870683994"/>
    <m/>
    <s v="La Rioja"/>
  </r>
  <r>
    <x v="12"/>
    <x v="423"/>
    <n v="820"/>
    <n v="96502"/>
    <n v="10"/>
    <n v="1826"/>
    <n v="587.23694166518442"/>
    <n v="1.0544929628293036"/>
    <n v="619.23722249933928"/>
    <n v="769.71428571428567"/>
    <n v="38.672541332893495"/>
    <m/>
    <s v="Mendoza"/>
  </r>
  <r>
    <x v="13"/>
    <x v="423"/>
    <n v="112"/>
    <n v="15629"/>
    <n v="1"/>
    <n v="239"/>
    <n v="123.9203548102187"/>
    <n v="0.85737794843664294"/>
    <n v="106.24657957672619"/>
    <n v="113"/>
    <n v="8.9590531628629009"/>
    <m/>
    <s v="Misiones"/>
  </r>
  <r>
    <x v="14"/>
    <x v="423"/>
    <n v="347"/>
    <n v="71117"/>
    <n v="3"/>
    <n v="1071"/>
    <n v="532.18323125876248"/>
    <n v="1.5976491862567812"/>
    <n v="850.24210636006626"/>
    <n v="303.28571428571428"/>
    <n v="45.671638772833397"/>
    <m/>
    <s v="Neuquén"/>
  </r>
  <r>
    <x v="15"/>
    <x v="423"/>
    <n v="287"/>
    <n v="61453"/>
    <n v="11"/>
    <n v="1364"/>
    <n v="483.00584529366915"/>
    <n v="1.602751886373724"/>
    <n v="774.13852967396338"/>
    <n v="278.85714285714283"/>
    <n v="37.299814456353289"/>
    <m/>
    <s v="Río Negro"/>
  </r>
  <r>
    <x v="16"/>
    <x v="423"/>
    <n v="265"/>
    <n v="34785"/>
    <n v="5"/>
    <n v="1270"/>
    <n v="184.92035577160019"/>
    <n v="1.0293083235638922"/>
    <n v="190.3400613921043"/>
    <n v="187.42857142857142"/>
    <n v="13.158450307643966"/>
    <m/>
    <s v="Salta"/>
  </r>
  <r>
    <x v="17"/>
    <x v="423"/>
    <n v="298"/>
    <n v="23624"/>
    <n v="7"/>
    <n v="279"/>
    <n v="460.43544879335701"/>
    <n v="1.3882670783481281"/>
    <n v="639.20737526426285"/>
    <n v="268.85714285714283"/>
    <n v="34.415167982409862"/>
    <m/>
    <s v="San Juan"/>
  </r>
  <r>
    <x v="18"/>
    <x v="423"/>
    <n v="522"/>
    <n v="37474"/>
    <n v="5"/>
    <n v="483"/>
    <n v="1645.9844824601437"/>
    <n v="1.4140611796518505"/>
    <n v="2327.5227589562314"/>
    <n v="583.28571428571433"/>
    <n v="114.74593457092948"/>
    <m/>
    <s v="San Luis"/>
  </r>
  <r>
    <x v="19"/>
    <x v="423"/>
    <n v="270"/>
    <n v="44762"/>
    <n v="1"/>
    <n v="706"/>
    <n v="771.40153897478251"/>
    <n v="1.2265217391304348"/>
    <n v="946.1407571512442"/>
    <n v="205.42857142857142"/>
    <n v="56.174376515204187"/>
    <m/>
    <s v="Santa Cruz"/>
  </r>
  <r>
    <x v="20"/>
    <x v="423"/>
    <n v="1945"/>
    <n v="274370"/>
    <n v="13"/>
    <n v="4623"/>
    <n v="671.95110985183317"/>
    <n v="1.3484848484848484"/>
    <n v="906.11589055777495"/>
    <n v="1738.2857142857142"/>
    <n v="49.153853257327448"/>
    <m/>
    <s v="Santa Fe"/>
  </r>
  <r>
    <x v="21"/>
    <x v="423"/>
    <n v="160"/>
    <n v="30643"/>
    <n v="6"/>
    <n v="347"/>
    <n v="294.17987903666818"/>
    <n v="1.2194915254237289"/>
    <n v="358.74986943539449"/>
    <n v="187.71428571428572"/>
    <n v="19.187548945407627"/>
    <m/>
    <s v="Santiago del Estero"/>
  </r>
  <r>
    <x v="22"/>
    <x v="423"/>
    <n v="64"/>
    <n v="26435"/>
    <m/>
    <n v="387"/>
    <n v="623.7629361533676"/>
    <n v="0.98570151921358351"/>
    <n v="614.84407379549998"/>
    <n v="70.571428571428569"/>
    <n v="39.909194464416991"/>
    <m/>
    <s v="Tierra del Fuego"/>
  </r>
  <r>
    <x v="23"/>
    <x v="423"/>
    <n v="641"/>
    <n v="106300"/>
    <n v="24"/>
    <n v="1640"/>
    <n v="549.78709543411753"/>
    <n v="1.1190247417727601"/>
    <n v="615.22536249815914"/>
    <n v="627.71428571428567"/>
    <n v="37.040808619229253"/>
    <m/>
    <s v="Tucumán"/>
  </r>
  <r>
    <x v="0"/>
    <x v="424"/>
    <n v="7508"/>
    <n v="1307416"/>
    <n v="137"/>
    <n v="33112"/>
    <n v="870.67312211902299"/>
    <n v="1.020118359004502"/>
    <n v="888.18963656538415"/>
    <n v="9908.1428571428569"/>
    <n v="56.485167396709578"/>
    <n v="0.16807206515611317"/>
    <n v="395.39617177696709"/>
  </r>
  <r>
    <x v="4"/>
    <x v="424"/>
    <n v="2383"/>
    <n v="344523"/>
    <n v="42"/>
    <n v="7794"/>
    <n v="1326.8106927780375"/>
    <n v="1.0964292431285096"/>
    <n v="1454.7540436574373"/>
    <n v="2756"/>
    <n v="89.607191464817475"/>
    <n v="0.10336493772076594"/>
    <n v="627.25034025372224"/>
  </r>
  <r>
    <x v="1"/>
    <x v="424"/>
    <n v="38"/>
    <n v="14937"/>
    <m/>
    <n v="19"/>
    <n v="551.70687322777405"/>
    <n v="1.1826625386996905"/>
    <n v="652.48305130962763"/>
    <n v="151.85714285714286"/>
    <n v="36.553503256115924"/>
    <n v="0.13506916192026042"/>
    <n v="255.87452279281146"/>
  </r>
  <r>
    <x v="2"/>
    <x v="424"/>
    <n v="224"/>
    <n v="45028"/>
    <n v="5"/>
    <n v="1045"/>
    <n v="252.87640686369332"/>
    <n v="1.0029634507737899"/>
    <n v="253.62579364728674"/>
    <n v="226.57142857142858"/>
    <n v="18.80977306471333"/>
    <n v="-8.6301369863013733E-2"/>
    <n v="131.6684114529933"/>
  </r>
  <r>
    <x v="3"/>
    <x v="424"/>
    <n v="112"/>
    <n v="54988"/>
    <m/>
    <n v="926"/>
    <n v="396.93438062404476"/>
    <n v="1.1077547339945897"/>
    <n v="439.7059392214959"/>
    <n v="161.71428571428572"/>
    <n v="26.125339779430128"/>
    <n v="0.14566037735849058"/>
    <n v="182.87737845601089"/>
  </r>
  <r>
    <x v="6"/>
    <x v="424"/>
    <n v="148"/>
    <n v="37647"/>
    <n v="1"/>
    <n v="496"/>
    <n v="277.39090168549097"/>
    <n v="0.84644704601143483"/>
    <n v="234.79670932213219"/>
    <n v="178.57142857142858"/>
    <n v="15.93248298060303"/>
    <n v="0.32759548144163531"/>
    <n v="111.52738086422121"/>
  </r>
  <r>
    <x v="5"/>
    <x v="424"/>
    <n v="1239"/>
    <n v="228549"/>
    <n v="6"/>
    <n v="3385"/>
    <n v="604.42234307064314"/>
    <n v="1.0007925674783145"/>
    <n v="604.90138856292754"/>
    <n v="1559.7142857142858"/>
    <n v="41.476798939336668"/>
    <n v="7.5607484548302462E-2"/>
    <n v="290.33759257535667"/>
  </r>
  <r>
    <x v="7"/>
    <x v="424"/>
    <n v="386"/>
    <n v="63328"/>
    <n v="1"/>
    <n v="1067"/>
    <n v="513.14575229750335"/>
    <n v="1.2321552321552323"/>
    <n v="632.27522355160158"/>
    <n v="512.28571428571433"/>
    <n v="36.962491317267535"/>
    <n v="-1.7016449234259712E-2"/>
    <n v="258.73743922087272"/>
  </r>
  <r>
    <x v="8"/>
    <x v="424"/>
    <n v="10"/>
    <n v="4534"/>
    <m/>
    <n v="96"/>
    <n v="182.91685462323591"/>
    <n v="0.98051372896368472"/>
    <n v="179.35248721693725"/>
    <n v="64"/>
    <n v="10.575138840006412"/>
    <n v="0.32018209408194231"/>
    <n v="74.025971880044878"/>
  </r>
  <r>
    <x v="9"/>
    <x v="424"/>
    <n v="59"/>
    <n v="24926"/>
    <n v="2"/>
    <n v="1038"/>
    <n v="170.45432433799769"/>
    <n v="1.3140000000000001"/>
    <n v="223.97698218012897"/>
    <n v="94.857142857142861"/>
    <n v="12.305030589305336"/>
    <n v="-2.1538461538461506E-2"/>
    <n v="86.135214125137352"/>
  </r>
  <r>
    <x v="10"/>
    <x v="424"/>
    <n v="278"/>
    <n v="27408"/>
    <n v="2"/>
    <n v="374"/>
    <n v="982.62412534735006"/>
    <n v="1.4860759493670885"/>
    <n v="1460.2540799465683"/>
    <n v="265.85714285714283"/>
    <n v="74.17309553303393"/>
    <n v="-0.12040939193257083"/>
    <n v="519.21166873123752"/>
  </r>
  <r>
    <x v="11"/>
    <x v="424"/>
    <n v="84"/>
    <n v="13454"/>
    <m/>
    <n v="473"/>
    <n v="269.1020529513558"/>
    <n v="0.96800731261425965"/>
    <n v="260.49275509642212"/>
    <n v="61.571428571428569"/>
    <n v="15.645890303795271"/>
    <n v="0.31369426751592355"/>
    <n v="109.5212321265669"/>
  </r>
  <r>
    <x v="12"/>
    <x v="424"/>
    <n v="484"/>
    <n v="96986"/>
    <n v="16"/>
    <n v="1842"/>
    <n v="573.21922206178044"/>
    <n v="0.98557360055286802"/>
    <n v="564.94973259354299"/>
    <n v="734.57142857142856"/>
    <n v="36.9068685103449"/>
    <n v="0.17951172809956917"/>
    <n v="258.34807957241435"/>
  </r>
  <r>
    <x v="13"/>
    <x v="424"/>
    <n v="105"/>
    <n v="15734"/>
    <m/>
    <n v="239"/>
    <n v="120.82829221418639"/>
    <n v="0.80042016806722693"/>
    <n v="96.713401961355075"/>
    <n v="107.28571428571429"/>
    <n v="8.5060036982427789"/>
    <n v="2.8460543337645583E-2"/>
    <n v="59.542025887699452"/>
  </r>
  <r>
    <x v="14"/>
    <x v="424"/>
    <n v="338"/>
    <n v="71455"/>
    <m/>
    <n v="1071"/>
    <n v="571.78826516398442"/>
    <n v="1.7072841726618706"/>
    <n v="976.20505522825943"/>
    <n v="325.85714285714283"/>
    <n v="49.070658521353259"/>
    <n v="-0.50461741424802109"/>
    <n v="343.49460964947286"/>
  </r>
  <r>
    <x v="15"/>
    <x v="424"/>
    <n v="167"/>
    <n v="61620"/>
    <n v="2"/>
    <n v="1366"/>
    <n v="484.07592193790879"/>
    <n v="1.5727944372012168"/>
    <n v="761.35191720699345"/>
    <n v="272.85714285714283"/>
    <n v="36.497256973173556"/>
    <n v="-0.11761263897015795"/>
    <n v="255.48079881221494"/>
  </r>
  <r>
    <x v="16"/>
    <x v="424"/>
    <n v="128"/>
    <n v="34913"/>
    <m/>
    <n v="1270"/>
    <n v="186.81589472597878"/>
    <n v="1.0290023201856149"/>
    <n v="192.23398912058374"/>
    <n v="185.42857142857142"/>
    <n v="13.018040014727033"/>
    <n v="4.7688921496698455E-2"/>
    <n v="91.126280103089243"/>
  </r>
  <r>
    <x v="17"/>
    <x v="424"/>
    <n v="112"/>
    <n v="23736"/>
    <m/>
    <n v="279"/>
    <n v="465.8116758851894"/>
    <n v="1.3747638836418588"/>
    <n v="640.38106858564572"/>
    <n v="259.42857142857144"/>
    <n v="33.208259859753625"/>
    <n v="3.8398244651672853E-3"/>
    <n v="232.4578190182753"/>
  </r>
  <r>
    <x v="18"/>
    <x v="424"/>
    <n v="527"/>
    <n v="38001"/>
    <n v="3"/>
    <n v="486"/>
    <n v="1648.1484395901857"/>
    <n v="1.3534733441033926"/>
    <n v="2230.7249801109169"/>
    <n v="548.42857142857144"/>
    <n v="107.88871976923787"/>
    <n v="0.1542189909671734"/>
    <n v="755.22103838466501"/>
  </r>
  <r>
    <x v="19"/>
    <x v="424"/>
    <n v="134"/>
    <n v="44896"/>
    <n v="2"/>
    <n v="708"/>
    <n v="765.65909575660794"/>
    <n v="1.1740041928721174"/>
    <n v="898.88698872893178"/>
    <n v="197.71428571428572"/>
    <n v="54.064907577915577"/>
    <n v="2.2598870056497189E-2"/>
    <n v="378.45435304540905"/>
  </r>
  <r>
    <x v="20"/>
    <x v="424"/>
    <n v="1456"/>
    <n v="275826"/>
    <n v="6"/>
    <n v="4629"/>
    <n v="672.3752678557795"/>
    <n v="1.280590262817751"/>
    <n v="861.03722097558841"/>
    <n v="1692.4285714285713"/>
    <n v="47.857141645262843"/>
    <n v="7.0404827759618094E-3"/>
    <n v="334.99999151683994"/>
  </r>
  <r>
    <x v="21"/>
    <x v="424"/>
    <n v="211"/>
    <n v="30854"/>
    <n v="4"/>
    <n v="351"/>
    <n v="289.68234092769899"/>
    <n v="1.1459765467044076"/>
    <n v="331.96916869757337"/>
    <n v="184.71428571428572"/>
    <n v="18.880898619796092"/>
    <n v="0.16093445814406226"/>
    <n v="132.16629033857262"/>
  </r>
  <r>
    <x v="22"/>
    <x v="424"/>
    <n v="62"/>
    <n v="26497"/>
    <n v="2"/>
    <n v="389"/>
    <n v="613.58366792965001"/>
    <n v="0.91871295512277729"/>
    <n v="563.70726477872165"/>
    <n v="71.571428571428569"/>
    <n v="40.47470936573464"/>
    <n v="0.14212328767123283"/>
    <n v="283.32296556014251"/>
  </r>
  <r>
    <x v="23"/>
    <x v="424"/>
    <n v="309"/>
    <n v="106609"/>
    <m/>
    <n v="1640"/>
    <n v="549.55105933003506"/>
    <n v="1.1220481927710844"/>
    <n v="616.62277295670083"/>
    <n v="620.42857142857144"/>
    <n v="36.610885715364738"/>
    <n v="0.12615694164989943"/>
    <n v="256.27620000755314"/>
  </r>
  <r>
    <x v="0"/>
    <x v="425"/>
    <n v="5102"/>
    <n v="1312518"/>
    <n v="61"/>
    <n v="33173"/>
    <n v="854.3400911035377"/>
    <n v="0.98329473055699546"/>
    <n v="840.06810968569209"/>
    <n v="9662.7142857142862"/>
    <n v="55.086007721585993"/>
    <n v="0.17736129016564905"/>
    <n v="385.6020540511019"/>
  </r>
  <r>
    <x v="4"/>
    <x v="425"/>
    <n v="1700"/>
    <n v="346223"/>
    <n v="38"/>
    <n v="7832"/>
    <n v="1278.3980991310443"/>
    <n v="1.0222285773710482"/>
    <n v="1306.8150701885797"/>
    <n v="2613"/>
    <n v="84.957761719001468"/>
    <n v="0.13015978695073238"/>
    <n v="594.70433203301025"/>
  </r>
  <r>
    <x v="1"/>
    <x v="425"/>
    <n v="62"/>
    <n v="14999"/>
    <m/>
    <n v="19"/>
    <n v="536.54215550816241"/>
    <n v="1.1084037792143213"/>
    <n v="594.70535287304529"/>
    <n v="139.14285714285714"/>
    <n v="33.493050020185237"/>
    <n v="0.22390438247011957"/>
    <n v="234.45135014129667"/>
  </r>
  <r>
    <x v="2"/>
    <x v="425"/>
    <n v="152"/>
    <n v="45180"/>
    <n v="5"/>
    <n v="1050"/>
    <n v="255.45000128679723"/>
    <n v="0.99805384365877392"/>
    <n v="254.95285564692671"/>
    <n v="224.71428571428572"/>
    <n v="18.655594596969777"/>
    <n v="-4.5877659574468099E-2"/>
    <n v="130.58916217878843"/>
  </r>
  <r>
    <x v="3"/>
    <x v="425"/>
    <n v="67"/>
    <n v="55055"/>
    <n v="2"/>
    <n v="928"/>
    <n v="397.41903798744414"/>
    <n v="1.0884955752212389"/>
    <n v="432.5888643580144"/>
    <n v="160.14285714285714"/>
    <n v="25.871471636697148"/>
    <n v="0.16280806572068707"/>
    <n v="181.10030145688003"/>
  </r>
  <r>
    <x v="6"/>
    <x v="425"/>
    <n v="142"/>
    <n v="37789"/>
    <m/>
    <n v="496"/>
    <n v="272.66214073684802"/>
    <n v="0.79150479150479147"/>
    <n v="215.81339085516899"/>
    <n v="171.28571428571428"/>
    <n v="15.282437674994426"/>
    <n v="0.35433494884221861"/>
    <n v="106.97706372496098"/>
  </r>
  <r>
    <x v="5"/>
    <x v="425"/>
    <n v="969"/>
    <n v="229518"/>
    <n v="3"/>
    <n v="3388"/>
    <n v="603.51819596058976"/>
    <n v="0.98850124134326411"/>
    <n v="596.57848588029026"/>
    <n v="1570.5714285714287"/>
    <n v="41.765518184563781"/>
    <n v="6.0422186137936928E-2"/>
    <n v="292.35862729194645"/>
  </r>
  <r>
    <x v="7"/>
    <x v="425"/>
    <n v="207"/>
    <n v="63535"/>
    <n v="2"/>
    <n v="1069"/>
    <n v="511.41410183980645"/>
    <n v="1.2122455960321532"/>
    <n v="619.95949270404446"/>
    <n v="510.42857142857144"/>
    <n v="36.828494555660036"/>
    <n v="-1.6500711237553256E-2"/>
    <n v="257.79946188962026"/>
  </r>
  <r>
    <x v="8"/>
    <x v="425"/>
    <n v="5"/>
    <n v="4539"/>
    <n v="6"/>
    <n v="102"/>
    <n v="177.95975829198289"/>
    <n v="0.94225721784776906"/>
    <n v="167.68386673706524"/>
    <n v="47.571428571428569"/>
    <n v="7.8605384681297652"/>
    <n v="0.55241935483870974"/>
    <n v="55.023769276908361"/>
  </r>
  <r>
    <x v="9"/>
    <x v="425"/>
    <n v="62"/>
    <n v="24988"/>
    <n v="2"/>
    <n v="1040"/>
    <n v="168.89766384176028"/>
    <n v="1.2531280076997113"/>
    <n v="211.65039299516062"/>
    <n v="92"/>
    <n v="11.934397137820234"/>
    <n v="2.1276595744680882E-2"/>
    <n v="83.540779964741631"/>
  </r>
  <r>
    <x v="10"/>
    <x v="425"/>
    <n v="196"/>
    <n v="27604"/>
    <n v="1"/>
    <n v="375"/>
    <n v="997.68991261843382"/>
    <n v="1.4740313272877164"/>
    <n v="1470.6261861185158"/>
    <n v="262.42857142857144"/>
    <n v="73.21653761106036"/>
    <n v="-5.6354226566992516E-2"/>
    <n v="512.51576327742248"/>
  </r>
  <r>
    <x v="11"/>
    <x v="425"/>
    <n v="91"/>
    <n v="13545"/>
    <n v="6"/>
    <n v="479"/>
    <n v="280.53698437988368"/>
    <n v="1.0222222222222221"/>
    <n v="286.77113958832552"/>
    <n v="67.428571428571431"/>
    <n v="17.134246457984613"/>
    <n v="0.25316455696202533"/>
    <n v="119.93972520589229"/>
  </r>
  <r>
    <x v="12"/>
    <x v="425"/>
    <n v="328"/>
    <n v="97314"/>
    <n v="13"/>
    <n v="1855"/>
    <n v="561.26145408468312"/>
    <n v="0.94781944680128971"/>
    <n v="531.9745209214318"/>
    <n v="716.85714285714289"/>
    <n v="36.016854567271636"/>
    <n v="0.18446286364375097"/>
    <n v="252.11798197090144"/>
  </r>
  <r>
    <x v="13"/>
    <x v="425"/>
    <n v="102"/>
    <n v="15836"/>
    <m/>
    <n v="239"/>
    <n v="121.93826340250568"/>
    <n v="0.77325289089994975"/>
    <n v="94.289114687307062"/>
    <n v="103.42857142857143"/>
    <n v="8.2001953096241973"/>
    <n v="0.11056511056511054"/>
    <n v="57.401367167369386"/>
  </r>
  <r>
    <x v="14"/>
    <x v="425"/>
    <n v="156"/>
    <n v="71611"/>
    <n v="1"/>
    <n v="1072"/>
    <n v="578.26361291274702"/>
    <n v="1.6893972723273207"/>
    <n v="976.91697034093647"/>
    <n v="322.85714285714283"/>
    <n v="48.618890073765179"/>
    <n v="-0.43037974683544311"/>
    <n v="340.33223051635628"/>
  </r>
  <r>
    <x v="15"/>
    <x v="425"/>
    <n v="104"/>
    <n v="61724"/>
    <n v="1"/>
    <n v="1367"/>
    <n v="480.33065368307007"/>
    <n v="1.4950041631973356"/>
    <n v="718.09632696748736"/>
    <n v="269.42857142857144"/>
    <n v="36.038652697070859"/>
    <n v="-0.10615835777126104"/>
    <n v="252.27056887949598"/>
  </r>
  <r>
    <x v="16"/>
    <x v="425"/>
    <n v="37"/>
    <n v="34950"/>
    <n v="1"/>
    <n v="1271"/>
    <n v="184.70974033222481"/>
    <n v="1.020954598370198"/>
    <n v="188.58025875595013"/>
    <n v="182.85714285714286"/>
    <n v="12.837512495262406"/>
    <n v="5.2553663952627727E-2"/>
    <n v="89.862587466836843"/>
  </r>
  <r>
    <x v="17"/>
    <x v="425"/>
    <n v="49"/>
    <n v="23785"/>
    <n v="1"/>
    <n v="280"/>
    <n v="464.27561100180873"/>
    <n v="1.3528534129056322"/>
    <n v="628.09684487264462"/>
    <n v="258"/>
    <n v="33.02539499268449"/>
    <n v="8.2372322899505468E-3"/>
    <n v="231.17776494879146"/>
  </r>
  <r>
    <x v="18"/>
    <x v="425"/>
    <n v="415"/>
    <n v="38416"/>
    <m/>
    <n v="486"/>
    <n v="1634.3778033081003"/>
    <n v="1.2801232665639446"/>
    <n v="2092.2050523703697"/>
    <n v="521"/>
    <n v="102.49287861380841"/>
    <n v="0.21754988199957093"/>
    <n v="717.45015029665888"/>
  </r>
  <r>
    <x v="19"/>
    <x v="425"/>
    <n v="152"/>
    <n v="45048"/>
    <n v="1"/>
    <n v="709"/>
    <n v="763.19804866310449"/>
    <n v="1.130417172944512"/>
    <n v="862.73218056651467"/>
    <n v="199.71428571428572"/>
    <n v="54.611806932027442"/>
    <n v="-3.5893754486719942E-3"/>
    <n v="382.2826485241921"/>
  </r>
  <r>
    <x v="20"/>
    <x v="425"/>
    <n v="813"/>
    <n v="276639"/>
    <n v="11"/>
    <n v="4640"/>
    <n v="669.66065663052279"/>
    <n v="1.2360770395114569"/>
    <n v="827.75216192515484"/>
    <n v="1645.2857142857142"/>
    <n v="46.524073632859981"/>
    <n v="5.3267570900123351E-2"/>
    <n v="325.66851543001985"/>
  </r>
  <r>
    <x v="21"/>
    <x v="425"/>
    <n v="209"/>
    <n v="31063"/>
    <n v="1"/>
    <n v="352"/>
    <n v="288.96682350127207"/>
    <n v="1.0873076923076923"/>
    <n v="314.19585001465236"/>
    <n v="181.14285714285714"/>
    <n v="18.515838708353783"/>
    <n v="0.18665811417575373"/>
    <n v="129.61087095847648"/>
  </r>
  <r>
    <x v="22"/>
    <x v="425"/>
    <n v="44"/>
    <n v="26541"/>
    <m/>
    <n v="389"/>
    <n v="609.62506362042643"/>
    <n v="0.93091537132987912"/>
    <n v="567.50934247221051"/>
    <n v="70.714285714285708"/>
    <n v="39.98998230746237"/>
    <n v="0.15094339622641506"/>
    <n v="279.9298761522366"/>
  </r>
  <r>
    <x v="23"/>
    <x v="425"/>
    <n v="230"/>
    <n v="106839"/>
    <m/>
    <n v="1640"/>
    <n v="549.78709543411753"/>
    <n v="1.1147403685092128"/>
    <n v="612.86986936583787"/>
    <n v="632.28571428571433"/>
    <n v="37.310564166752094"/>
    <n v="9.5072582294009389E-2"/>
    <n v="261.17394916726465"/>
  </r>
  <r>
    <x v="0"/>
    <x v="426"/>
    <n v="7025"/>
    <n v="1319543"/>
    <n v="278"/>
    <n v="33451"/>
    <n v="834.44400794680348"/>
    <n v="0.93420943457642691"/>
    <n v="779.54546484967079"/>
    <n v="9397.1428571428569"/>
    <n v="53.572015966024431"/>
    <n v="0.1837798265314986"/>
    <n v="375.00411176217102"/>
  </r>
  <r>
    <x v="4"/>
    <x v="426"/>
    <n v="1839"/>
    <n v="348062"/>
    <n v="71"/>
    <n v="7903"/>
    <n v="1240.7799857330785"/>
    <n v="0.9777105964336954"/>
    <n v="1213.1237398940802"/>
    <n v="2468"/>
    <n v="80.243304983733495"/>
    <n v="0.17284305276261613"/>
    <n v="561.70313488613454"/>
  </r>
  <r>
    <x v="1"/>
    <x v="426"/>
    <n v="176"/>
    <n v="15175"/>
    <n v="1"/>
    <n v="20"/>
    <n v="531.00582999147889"/>
    <n v="1.0504761904761906"/>
    <n v="557.80898141009641"/>
    <n v="134.28571428571428"/>
    <n v="32.323888109829689"/>
    <n v="0.25750394944707744"/>
    <n v="226.26721676880786"/>
  </r>
  <r>
    <x v="2"/>
    <x v="426"/>
    <n v="194"/>
    <n v="45374"/>
    <n v="8"/>
    <n v="1058"/>
    <n v="258.10661488483998"/>
    <n v="0.98541996830427891"/>
    <n v="254.34341225894374"/>
    <n v="230"/>
    <n v="19.094410235932195"/>
    <n v="-7.4049366244162806E-2"/>
    <n v="133.66087165152535"/>
  </r>
  <r>
    <x v="3"/>
    <x v="426"/>
    <n v="125"/>
    <n v="55180"/>
    <m/>
    <n v="928"/>
    <n v="393.70333153471603"/>
    <n v="1.0811889973380657"/>
    <n v="425.66771027067568"/>
    <n v="151.57142857142858"/>
    <n v="24.48673631269909"/>
    <n v="0.22892441860465118"/>
    <n v="171.4071541888936"/>
  </r>
  <r>
    <x v="6"/>
    <x v="426"/>
    <n v="117"/>
    <n v="37906"/>
    <m/>
    <n v="496"/>
    <n v="272.39447502277386"/>
    <n v="0.7786279010456516"/>
    <n v="212.09393834341458"/>
    <n v="169.85714285714286"/>
    <n v="15.154977811149603"/>
    <n v="0.36212446351931327"/>
    <n v="106.0848446780472"/>
  </r>
  <r>
    <x v="5"/>
    <x v="426"/>
    <n v="1206"/>
    <n v="230724"/>
    <n v="25"/>
    <n v="3413"/>
    <n v="599.95479264449739"/>
    <n v="0.97032385703840696"/>
    <n v="582.15044844748638"/>
    <n v="1604.5714285714287"/>
    <n v="42.669665294617097"/>
    <n v="8.5620972724865796E-3"/>
    <n v="298.68765706231966"/>
  </r>
  <r>
    <x v="7"/>
    <x v="426"/>
    <n v="305"/>
    <n v="63840"/>
    <n v="10"/>
    <n v="1079"/>
    <n v="518.55715997780601"/>
    <n v="1.208711738984191"/>
    <n v="626.78612659947726"/>
    <n v="502"/>
    <n v="36.220355406826023"/>
    <n v="4.328886468826576E-2"/>
    <n v="253.54248784778213"/>
  </r>
  <r>
    <x v="8"/>
    <x v="426"/>
    <n v="86"/>
    <n v="4625"/>
    <m/>
    <n v="102"/>
    <n v="185.5606393332375"/>
    <n v="0.97398091934084996"/>
    <n v="180.73252209126255"/>
    <n v="48.285714285714285"/>
    <n v="7.9785645712548368"/>
    <n v="0.56942675159235667"/>
    <n v="55.849951998783858"/>
  </r>
  <r>
    <x v="9"/>
    <x v="426"/>
    <n v="80"/>
    <n v="25068"/>
    <n v="2"/>
    <n v="1042"/>
    <n v="170.71376775403726"/>
    <n v="1.242681775259679"/>
    <n v="212.14288797385558"/>
    <n v="89.571428571428569"/>
    <n v="11.619358704057898"/>
    <n v="8.9985486211901278E-2"/>
    <n v="81.335510928405299"/>
  </r>
  <r>
    <x v="10"/>
    <x v="426"/>
    <n v="221"/>
    <n v="27825"/>
    <n v="18"/>
    <n v="393"/>
    <n v="1016.1036526164251"/>
    <n v="1.4907900122799835"/>
    <n v="1514.7971767617764"/>
    <n v="268.42857142857144"/>
    <n v="74.890513974514121"/>
    <n v="-6.5796937039137804E-2"/>
    <n v="524.23359782159878"/>
  </r>
  <r>
    <x v="11"/>
    <x v="426"/>
    <n v="226"/>
    <n v="13771"/>
    <m/>
    <n v="479"/>
    <n v="308.23492939565119"/>
    <n v="1.0511265164644714"/>
    <n v="323.99390758832311"/>
    <n v="93.142857142857139"/>
    <n v="23.668492988571963"/>
    <n v="-0.16221033868092682"/>
    <n v="165.67945092000377"/>
  </r>
  <r>
    <x v="12"/>
    <x v="426"/>
    <n v="609"/>
    <n v="97923"/>
    <n v="11"/>
    <n v="1866"/>
    <n v="553.22261846982769"/>
    <n v="0.92080615487539719"/>
    <n v="509.41079210330093"/>
    <n v="701.71428571428567"/>
    <n v="35.256036196579956"/>
    <n v="0.1946220691916708"/>
    <n v="246.79225337605973"/>
  </r>
  <r>
    <x v="13"/>
    <x v="426"/>
    <n v="99"/>
    <n v="15935"/>
    <m/>
    <n v="239"/>
    <n v="124.2374894354528"/>
    <n v="0.79462474645030423"/>
    <n v="98.722183542269036"/>
    <n v="103.57142857142857"/>
    <n v="8.2115215462397018"/>
    <n v="0.13895486935866985"/>
    <n v="57.480650823677905"/>
  </r>
  <r>
    <x v="14"/>
    <x v="426"/>
    <n v="323"/>
    <n v="71934"/>
    <n v="8"/>
    <n v="1080"/>
    <n v="599.64731943191623"/>
    <n v="1.7603890362511052"/>
    <n v="1055.6125667453096"/>
    <n v="336.42857142857144"/>
    <n v="50.662604479520809"/>
    <n v="-0.44744929317762749"/>
    <n v="354.63823135664563"/>
  </r>
  <r>
    <x v="15"/>
    <x v="426"/>
    <n v="322"/>
    <n v="62046"/>
    <n v="4"/>
    <n v="1371"/>
    <n v="496.91684166878451"/>
    <n v="1.5144720750101917"/>
    <n v="752.56668030963499"/>
    <n v="277.14285714285717"/>
    <n v="37.070512318301944"/>
    <n v="-9.2957746478873338E-2"/>
    <n v="259.4935862281136"/>
  </r>
  <r>
    <x v="16"/>
    <x v="426"/>
    <n v="156"/>
    <n v="35106"/>
    <n v="12"/>
    <n v="1283"/>
    <n v="186.39466384722797"/>
    <n v="1.0106585458698134"/>
    <n v="188.3813599217321"/>
    <n v="182.71428571428572"/>
    <n v="12.827483188625484"/>
    <n v="7.0494186046511587E-2"/>
    <n v="89.79238232037838"/>
  </r>
  <r>
    <x v="17"/>
    <x v="426"/>
    <n v="268"/>
    <n v="24053"/>
    <n v="5"/>
    <n v="285"/>
    <n v="470.5478759422798"/>
    <n v="1.3338171262699565"/>
    <n v="627.62481566176371"/>
    <n v="262.42857142857144"/>
    <n v="33.592276080598786"/>
    <n v="1.0875475802066825E-3"/>
    <n v="235.1459325641915"/>
  </r>
  <r>
    <x v="18"/>
    <x v="426"/>
    <n v="423"/>
    <n v="38839"/>
    <n v="11"/>
    <n v="497"/>
    <n v="1630.2466124234745"/>
    <n v="1.243547418967587"/>
    <n v="2027.2889671598639"/>
    <n v="512.71428571428567"/>
    <n v="100.86288493143908"/>
    <n v="0.23605789697743718"/>
    <n v="706.04019452007367"/>
  </r>
  <r>
    <x v="19"/>
    <x v="426"/>
    <n v="151"/>
    <n v="45199"/>
    <n v="8"/>
    <n v="717"/>
    <n v="749.252115133252"/>
    <n v="1.1030595813204509"/>
    <n v="826.46972442234721"/>
    <n v="188.42857142857142"/>
    <n v="51.52573200525336"/>
    <n v="7.1780436312456009E-2"/>
    <n v="360.68012403677352"/>
  </r>
  <r>
    <x v="20"/>
    <x v="426"/>
    <n v="1317"/>
    <n v="277956"/>
    <n v="42"/>
    <n v="4682"/>
    <n v="673.73257346840785"/>
    <n v="1.2225357894196727"/>
    <n v="823.66218356294758"/>
    <n v="1679.4285714285713"/>
    <n v="47.489538041842657"/>
    <n v="2.6014913007456508E-2"/>
    <n v="332.42676629289866"/>
  </r>
  <r>
    <x v="21"/>
    <x v="426"/>
    <n v="105"/>
    <n v="31168"/>
    <n v="6"/>
    <n v="358"/>
    <n v="282.11829956261442"/>
    <n v="1.0415094339622641"/>
    <n v="293.828870487855"/>
    <n v="180.28571428571428"/>
    <n v="18.42822432960763"/>
    <n v="0.157543391188251"/>
    <n v="128.9975703072534"/>
  </r>
  <r>
    <x v="22"/>
    <x v="426"/>
    <n v="39"/>
    <n v="26580"/>
    <n v="1"/>
    <n v="390"/>
    <n v="615.84572753492057"/>
    <n v="0.96628216503992903"/>
    <n v="595.08074293303332"/>
    <n v="68.571428571428569"/>
    <n v="38.778164661781695"/>
    <n v="0.21182266009852213"/>
    <n v="271.44715263247184"/>
  </r>
  <r>
    <x v="23"/>
    <x v="426"/>
    <n v="508"/>
    <n v="107347"/>
    <n v="19"/>
    <n v="1659"/>
    <n v="532.02537860191092"/>
    <n v="1.0331156181964021"/>
    <n v="549.64372791048811"/>
    <n v="564.28571428571433"/>
    <n v="33.297950397349922"/>
    <n v="0.22029214370311878"/>
    <n v="233.08565278144945"/>
  </r>
  <r>
    <x v="0"/>
    <x v="427"/>
    <n v="12211"/>
    <n v="1331754"/>
    <n v="193"/>
    <n v="33644"/>
    <n v="820.45404001940358"/>
    <n v="0.89421655006151279"/>
    <n v="733.66358115018147"/>
    <n v="9368.7142857142862"/>
    <n v="53.409947994342474"/>
    <n v="0.1628242442810458"/>
    <n v="373.86963596039732"/>
  </r>
  <r>
    <x v="4"/>
    <x v="427"/>
    <n v="3170"/>
    <n v="351232"/>
    <n v="36"/>
    <n v="7939"/>
    <n v="1235.0901241560309"/>
    <n v="0.94740123703112533"/>
    <n v="1170.1259114703498"/>
    <n v="2527.7142857142858"/>
    <n v="82.184825097370947"/>
    <n v="0.12807372000197115"/>
    <n v="575.29377568159668"/>
  </r>
  <r>
    <x v="1"/>
    <x v="427"/>
    <n v="181"/>
    <n v="15356"/>
    <n v="15"/>
    <n v="35"/>
    <n v="529.56157116103964"/>
    <n v="1.0171058714748036"/>
    <n v="538.62018333531546"/>
    <n v="130.28571428571428"/>
    <n v="31.361048889536892"/>
    <n v="0.29192546583850931"/>
    <n v="219.52734222675826"/>
  </r>
  <r>
    <x v="2"/>
    <x v="427"/>
    <n v="286"/>
    <n v="45660"/>
    <m/>
    <n v="1058"/>
    <n v="260.84624765782155"/>
    <n v="0.9883611198490091"/>
    <n v="257.81028944349646"/>
    <n v="246"/>
    <n v="20.422717034953564"/>
    <n v="-0.21267605633802811"/>
    <n v="142.95901924467495"/>
  </r>
  <r>
    <x v="3"/>
    <x v="427"/>
    <n v="160"/>
    <n v="55340"/>
    <n v="2"/>
    <n v="930"/>
    <n v="375.93256154340753"/>
    <n v="0.98185654008438816"/>
    <n v="369.11184418207142"/>
    <n v="150.71428571428572"/>
    <n v="24.348262780299279"/>
    <n v="0.17059748427672961"/>
    <n v="170.43783946209496"/>
  </r>
  <r>
    <x v="6"/>
    <x v="427"/>
    <n v="315"/>
    <n v="38221"/>
    <n v="2"/>
    <n v="498"/>
    <n v="274.7142445447497"/>
    <n v="0.82260219075607799"/>
    <n v="225.98053939441206"/>
    <n v="195.57142857142858"/>
    <n v="17.449255360356442"/>
    <n v="0.1994152046783626"/>
    <n v="122.14478752249508"/>
  </r>
  <r>
    <x v="5"/>
    <x v="427"/>
    <n v="1847"/>
    <n v="232571"/>
    <n v="32"/>
    <n v="3445"/>
    <n v="588.94547195149516"/>
    <n v="0.93569648062867039"/>
    <n v="551.07420538720532"/>
    <n v="1565.1428571428571"/>
    <n v="41.621158561950217"/>
    <n v="2.0999017067286241E-2"/>
    <n v="291.34810993365153"/>
  </r>
  <r>
    <x v="7"/>
    <x v="427"/>
    <n v="589"/>
    <n v="64429"/>
    <n v="5"/>
    <n v="1084"/>
    <n v="517.61918264655355"/>
    <n v="1.1697374857329204"/>
    <n v="605.47856127610885"/>
    <n v="492.85714285714283"/>
    <n v="35.560679041989125"/>
    <n v="7.3576799140708915E-2"/>
    <n v="248.92475329392389"/>
  </r>
  <r>
    <x v="8"/>
    <x v="427"/>
    <n v="166"/>
    <n v="4791"/>
    <n v="1"/>
    <n v="103"/>
    <n v="192.3353376526166"/>
    <n v="0.97897392767031122"/>
    <n v="188.29128093157757"/>
    <n v="55.142857142857146"/>
    <n v="9.111615161255525"/>
    <n v="0.50385604113110538"/>
    <n v="63.781306128788664"/>
  </r>
  <r>
    <x v="9"/>
    <x v="427"/>
    <n v="140"/>
    <n v="25208"/>
    <m/>
    <n v="1042"/>
    <n v="172.78931508235382"/>
    <n v="1.2087114337568059"/>
    <n v="208.85242077104837"/>
    <n v="93.428571428571431"/>
    <n v="12.119713863562785"/>
    <n v="3.539823008849563E-2"/>
    <n v="84.837997044939485"/>
  </r>
  <r>
    <x v="10"/>
    <x v="427"/>
    <n v="433"/>
    <n v="28258"/>
    <n v="1"/>
    <n v="394"/>
    <n v="1050.9781601883781"/>
    <n v="1.4566898685228151"/>
    <n v="1530.9492379851586"/>
    <n v="283.57142857142856"/>
    <n v="79.115311463230711"/>
    <n v="-0.11391694725028056"/>
    <n v="553.807180242615"/>
  </r>
  <r>
    <x v="11"/>
    <x v="427"/>
    <n v="74"/>
    <n v="13845"/>
    <n v="7"/>
    <n v="486"/>
    <n v="300.35753218933201"/>
    <n v="0.99831081081081086"/>
    <n v="299.85017149306623"/>
    <n v="93.714285714285708"/>
    <n v="23.813698467029461"/>
    <n v="-0.24714828897338403"/>
    <n v="166.69588926920625"/>
  </r>
  <r>
    <x v="12"/>
    <x v="427"/>
    <n v="1030"/>
    <n v="98953"/>
    <n v="23"/>
    <n v="1889"/>
    <n v="546.94227814572196"/>
    <n v="0.88303049967553537"/>
    <n v="482.96671316469252"/>
    <n v="706.28571428571433"/>
    <n v="35.485717214147257"/>
    <n v="0.16795691686300906"/>
    <n v="248.40002049903083"/>
  </r>
  <r>
    <x v="13"/>
    <x v="427"/>
    <n v="82"/>
    <n v="16017"/>
    <m/>
    <n v="239"/>
    <n v="121.70041243358013"/>
    <n v="0.82173447537473232"/>
    <n v="100.00542456399651"/>
    <n v="104.42857142857143"/>
    <n v="8.2794789659327197"/>
    <n v="9.079601990049746E-2"/>
    <n v="57.956352761529025"/>
  </r>
  <r>
    <x v="14"/>
    <x v="427"/>
    <n v="531"/>
    <n v="72465"/>
    <n v="2"/>
    <n v="1082"/>
    <n v="639.10176385460886"/>
    <n v="1.7967823878069433"/>
    <n v="1148.3267933103134"/>
    <n v="343.14285714285717"/>
    <n v="51.673705290789371"/>
    <n v="-0.30401737242128113"/>
    <n v="361.71593703552554"/>
  </r>
  <r>
    <x v="15"/>
    <x v="427"/>
    <n v="330"/>
    <n v="62376"/>
    <n v="5"/>
    <n v="1376"/>
    <n v="500.9296290846832"/>
    <n v="1.4749901536037811"/>
    <n v="738.86627054830194"/>
    <n v="268.14285714285717"/>
    <n v="35.866676093532341"/>
    <n v="-4.8179871520341866E-3"/>
    <n v="251.06673265472639"/>
  </r>
  <r>
    <x v="16"/>
    <x v="427"/>
    <n v="212"/>
    <n v="35318"/>
    <n v="7"/>
    <n v="1290"/>
    <n v="182.88440652430467"/>
    <n v="0.98562239878925462"/>
    <n v="180.25496745963437"/>
    <n v="182.14285714285714"/>
    <n v="12.787365962077788"/>
    <n v="4.1353383458646586E-2"/>
    <n v="89.511561734544514"/>
  </r>
  <r>
    <x v="17"/>
    <x v="427"/>
    <n v="424"/>
    <n v="24477"/>
    <n v="6"/>
    <n v="291"/>
    <n v="485.14049233439624"/>
    <n v="1.3463587921847247"/>
    <n v="653.17316729924039"/>
    <n v="256.85714285714283"/>
    <n v="32.879103099029187"/>
    <n v="9.7389558232931717E-2"/>
    <n v="230.15372169320432"/>
  </r>
  <r>
    <x v="18"/>
    <x v="427"/>
    <n v="474"/>
    <n v="39313"/>
    <n v="14"/>
    <n v="511"/>
    <n v="1599.7544892274282"/>
    <n v="1.1800899724278044"/>
    <n v="1887.8542310836522"/>
    <n v="494"/>
    <n v="97.181347476432535"/>
    <n v="0.26016260162601623"/>
    <n v="680.26943233502777"/>
  </r>
  <r>
    <x v="19"/>
    <x v="427"/>
    <n v="226"/>
    <n v="45425"/>
    <n v="5"/>
    <n v="722"/>
    <n v="746.24416868563685"/>
    <n v="1.0664322000781554"/>
    <n v="795.81881060691785"/>
    <n v="196.14285714285714"/>
    <n v="53.635200942541971"/>
    <n v="-1.2536873156342221E-2"/>
    <n v="375.44640659779384"/>
  </r>
  <r>
    <x v="20"/>
    <x v="427"/>
    <n v="2258"/>
    <n v="280214"/>
    <n v="41"/>
    <n v="4723"/>
    <n v="676.95617429840024"/>
    <n v="1.1771647735654227"/>
    <n v="796.88896163169113"/>
    <n v="1716"/>
    <n v="48.523675651464274"/>
    <n v="-7.0422535211267512E-3"/>
    <n v="339.66572956024993"/>
  </r>
  <r>
    <x v="21"/>
    <x v="427"/>
    <n v="139"/>
    <n v="31307"/>
    <n v="3"/>
    <n v="361"/>
    <n v="281.60721568659517"/>
    <n v="1.0241635687732342"/>
    <n v="288.41185100987724"/>
    <n v="182.71428571428572"/>
    <n v="18.676465069388399"/>
    <n v="0.13346883468834692"/>
    <n v="130.7352554857188"/>
  </r>
  <r>
    <x v="22"/>
    <x v="427"/>
    <n v="76"/>
    <n v="26656"/>
    <n v="1"/>
    <n v="391"/>
    <n v="600.01131029802639"/>
    <n v="0.91782006920415227"/>
    <n v="550.70242234100863"/>
    <n v="68.857142857142861"/>
    <n v="38.939740347872451"/>
    <n v="0.16753022452504318"/>
    <n v="272.57818243510718"/>
  </r>
  <r>
    <x v="23"/>
    <x v="427"/>
    <n v="884"/>
    <n v="108231"/>
    <n v="10"/>
    <n v="1669"/>
    <n v="528.54384606669441"/>
    <n v="0.99005195092295784"/>
    <n v="523.28586594665433"/>
    <n v="599.14285714285711"/>
    <n v="35.354836447211532"/>
    <n v="0.11946252361956755"/>
    <n v="247.48385513048075"/>
  </r>
  <r>
    <x v="0"/>
    <x v="428"/>
    <n v="10883"/>
    <n v="1342637"/>
    <n v="352"/>
    <n v="33996"/>
    <n v="809.04657228398082"/>
    <n v="0.8718966375248054"/>
    <n v="705.40498597537226"/>
    <n v="9343.8571428571431"/>
    <n v="53.268240320610516"/>
    <n v="0.14510711158164402"/>
    <n v="372.87768224427361"/>
  </r>
  <r>
    <x v="4"/>
    <x v="428"/>
    <n v="2138"/>
    <n v="353370"/>
    <n v="33"/>
    <n v="7972"/>
    <n v="1223.6778875072098"/>
    <n v="0.93843660391472383"/>
    <n v="1148.3441210378094"/>
    <n v="2417.5714285714284"/>
    <n v="78.603695892551627"/>
    <n v="0.18297687442668853"/>
    <n v="550.22587124786151"/>
  </r>
  <r>
    <x v="1"/>
    <x v="428"/>
    <n v="195"/>
    <n v="15551"/>
    <n v="40"/>
    <n v="75"/>
    <n v="535.82002609294284"/>
    <n v="1.0076957899502037"/>
    <n v="539.94358446486683"/>
    <n v="142.28571428571428"/>
    <n v="34.249566550415295"/>
    <n v="0.19024390243902434"/>
    <n v="239.74696585290704"/>
  </r>
  <r>
    <x v="2"/>
    <x v="428"/>
    <n v="334"/>
    <n v="45994"/>
    <n v="7"/>
    <n v="1065"/>
    <n v="267.8198583526837"/>
    <n v="0.99445129469790383"/>
    <n v="266.33380488463553"/>
    <n v="256.14285714285717"/>
    <n v="21.264768666476041"/>
    <n v="-0.25122121423586874"/>
    <n v="148.85338066533228"/>
  </r>
  <r>
    <x v="3"/>
    <x v="428"/>
    <n v="312"/>
    <n v="55652"/>
    <m/>
    <n v="930"/>
    <n v="390.14917753645432"/>
    <n v="1.0058309037900874"/>
    <n v="392.42409985445113"/>
    <n v="161.57142857142858"/>
    <n v="26.102260857363493"/>
    <n v="0.11915887850467288"/>
    <n v="182.71582600154446"/>
  </r>
  <r>
    <x v="6"/>
    <x v="428"/>
    <n v="136"/>
    <n v="38357"/>
    <n v="9"/>
    <n v="507"/>
    <n v="268.46871121635331"/>
    <n v="0.85580204778156999"/>
    <n v="229.75607282423411"/>
    <n v="167.14285714285714"/>
    <n v="14.912804069844437"/>
    <n v="0.36378466557911904"/>
    <n v="104.38962848891104"/>
  </r>
  <r>
    <x v="5"/>
    <x v="428"/>
    <n v="1810"/>
    <n v="234381"/>
    <n v="21"/>
    <n v="3466"/>
    <n v="574.39934050446095"/>
    <n v="0.90312330141740182"/>
    <n v="518.75342872836711"/>
    <n v="1574.2857142857142"/>
    <n v="41.864290557930943"/>
    <n v="-4.1587901701323204E-2"/>
    <n v="293.05003390551661"/>
  </r>
  <r>
    <x v="7"/>
    <x v="428"/>
    <n v="844"/>
    <n v="65273"/>
    <n v="3"/>
    <n v="1087"/>
    <n v="534.71923091631004"/>
    <n v="1.1709590772633907"/>
    <n v="626.13433722875232"/>
    <n v="522.71428571428567"/>
    <n v="37.714934670909621"/>
    <n v="2.4786780383795337E-2"/>
    <n v="264.00454269636737"/>
  </r>
  <r>
    <x v="8"/>
    <x v="428"/>
    <n v="295"/>
    <n v="5086"/>
    <m/>
    <n v="103"/>
    <n v="223.39980799513543"/>
    <n v="1.1219917012448133"/>
    <n v="250.65273063022664"/>
    <n v="83.428571428571431"/>
    <n v="13.785448845008357"/>
    <n v="0.23958333333333337"/>
    <n v="96.498141915058511"/>
  </r>
  <r>
    <x v="9"/>
    <x v="428"/>
    <n v="82"/>
    <n v="25290"/>
    <n v="4"/>
    <n v="1046"/>
    <n v="168.24905530166134"/>
    <n v="1.1076003415883859"/>
    <n v="186.35271112404334"/>
    <n v="91.428571428571431"/>
    <n v="11.860270447523213"/>
    <n v="2.5875190258751957E-2"/>
    <n v="83.021893132662498"/>
  </r>
  <r>
    <x v="10"/>
    <x v="428"/>
    <n v="386"/>
    <n v="28644"/>
    <n v="5"/>
    <n v="399"/>
    <n v="1037.8653453413237"/>
    <n v="1.3070976809557273"/>
    <n v="1356.5913860399594"/>
    <n v="305.57142857142856"/>
    <n v="85.253224795894454"/>
    <n v="-0.35294117647058831"/>
    <n v="596.7725735712612"/>
  </r>
  <r>
    <x v="11"/>
    <x v="428"/>
    <n v="76"/>
    <n v="13921"/>
    <n v="2"/>
    <n v="488"/>
    <n v="292.98835415761403"/>
    <n v="0.99140154772141009"/>
    <n v="290.46910777620718"/>
    <n v="91.714285714285708"/>
    <n v="23.305479292428224"/>
    <n v="-0.25636007827788654"/>
    <n v="163.13835504699756"/>
  </r>
  <r>
    <x v="12"/>
    <x v="428"/>
    <n v="973"/>
    <n v="99926"/>
    <n v="34"/>
    <n v="1923"/>
    <n v="550.35878328203546"/>
    <n v="0.89581288845273144"/>
    <n v="493.018491337211"/>
    <n v="731.85714285714289"/>
    <n v="36.770495406164322"/>
    <n v="0.12141999657005664"/>
    <n v="257.39346784315029"/>
  </r>
  <r>
    <x v="13"/>
    <x v="428"/>
    <n v="181"/>
    <n v="16198"/>
    <m/>
    <n v="239"/>
    <n v="129.86662903335781"/>
    <n v="0.8878048780487805"/>
    <n v="115.29622675156645"/>
    <n v="119.57142857142857"/>
    <n v="9.4800600471760408"/>
    <n v="-4.4943820224719211E-2"/>
    <n v="66.360420330232287"/>
  </r>
  <r>
    <x v="14"/>
    <x v="428"/>
    <n v="492"/>
    <n v="72957"/>
    <m/>
    <n v="1082"/>
    <n v="681.41740844535934"/>
    <n v="1.893305439330544"/>
    <n v="1290.1312858641218"/>
    <n v="365.28571428571428"/>
    <n v="55.008186689653797"/>
    <n v="-0.29928861788617889"/>
    <n v="385.05730682757655"/>
  </r>
  <r>
    <x v="15"/>
    <x v="428"/>
    <n v="377"/>
    <n v="62753"/>
    <n v="5"/>
    <n v="1381"/>
    <n v="517.24829790933779"/>
    <n v="1.4521216672925272"/>
    <n v="751.1074607643294"/>
    <n v="276.28571428571428"/>
    <n v="36.955861249276268"/>
    <n v="-5.1733057423697382E-4"/>
    <n v="258.69102874493387"/>
  </r>
  <r>
    <x v="16"/>
    <x v="428"/>
    <n v="309"/>
    <n v="35627"/>
    <n v="4"/>
    <n v="1294"/>
    <n v="187.09671531181266"/>
    <n v="0.98740274175620601"/>
    <n v="184.73980967246416"/>
    <n v="196"/>
    <n v="13.760208705859391"/>
    <n v="-6.1098221191028701E-2"/>
    <n v="96.321460941015744"/>
  </r>
  <r>
    <x v="17"/>
    <x v="428"/>
    <n v="574"/>
    <n v="25051"/>
    <n v="96"/>
    <n v="387"/>
    <n v="514.965752153371"/>
    <n v="1.3881987577639752"/>
    <n v="714.87481743030071"/>
    <n v="294.42857142857144"/>
    <n v="37.688449102947253"/>
    <n v="-5.0458715596330306E-2"/>
    <n v="263.81914372063073"/>
  </r>
  <r>
    <x v="18"/>
    <x v="428"/>
    <n v="294"/>
    <n v="39607"/>
    <n v="8"/>
    <n v="519"/>
    <n v="1518.507735163123"/>
    <n v="1.0643960286817429"/>
    <n v="1616.2936028301358"/>
    <n v="455.28571428571428"/>
    <n v="89.565342512258667"/>
    <n v="0.29677846425419241"/>
    <n v="626.95739758581078"/>
  </r>
  <r>
    <x v="19"/>
    <x v="428"/>
    <n v="223"/>
    <n v="45648"/>
    <m/>
    <n v="722"/>
    <n v="745.15036997741311"/>
    <n v="1.0488837567359508"/>
    <n v="781.57611939509275"/>
    <n v="198.14285714285714"/>
    <n v="54.182100296653829"/>
    <n v="-3.6621823617339233E-2"/>
    <n v="379.27470207657683"/>
  </r>
  <r>
    <x v="20"/>
    <x v="428"/>
    <n v="2293"/>
    <n v="282507"/>
    <n v="19"/>
    <n v="4742"/>
    <n v="686.90974879100827"/>
    <n v="1.157754265560957"/>
    <n v="795.27269171819523"/>
    <n v="1772.7142857142858"/>
    <n v="50.127396866385304"/>
    <n v="-4.4264916266935961E-2"/>
    <n v="350.89177806469712"/>
  </r>
  <r>
    <x v="21"/>
    <x v="428"/>
    <n v="254"/>
    <n v="31561"/>
    <n v="2"/>
    <n v="363"/>
    <n v="283.54933441546825"/>
    <n v="1.0090942160785741"/>
    <n v="286.12799333157841"/>
    <n v="187.57142857142858"/>
    <n v="19.172946548949934"/>
    <n v="0.10130047912388773"/>
    <n v="134.21062584264956"/>
  </r>
  <r>
    <x v="22"/>
    <x v="428"/>
    <n v="104"/>
    <n v="26760"/>
    <n v="2"/>
    <n v="393"/>
    <n v="622.06639144941471"/>
    <n v="0.93617021276595747"/>
    <n v="582.36002603775"/>
    <n v="69.142857142857139"/>
    <n v="39.101316033963208"/>
    <n v="0.2142857142857143"/>
    <n v="273.70921223774246"/>
  </r>
  <r>
    <x v="23"/>
    <x v="428"/>
    <n v="514"/>
    <n v="108745"/>
    <n v="15"/>
    <n v="1684"/>
    <n v="513.43753540541559"/>
    <n v="0.9528033289531318"/>
    <n v="489.20499294377146"/>
    <n v="548.28571428571433"/>
    <n v="32.353805981020002"/>
    <n v="0.21077524162039896"/>
    <n v="226.47664186714002"/>
  </r>
  <r>
    <x v="0"/>
    <x v="429"/>
    <n v="10739"/>
    <n v="1353376"/>
    <n v="148"/>
    <n v="34144"/>
    <n v="796.4476199125246"/>
    <n v="0.85347913739385428"/>
    <n v="679.75142762232986"/>
    <n v="9134"/>
    <n v="52.071869213068865"/>
    <n v="0.15613451589061345"/>
    <n v="364.50308449148207"/>
  </r>
  <r>
    <x v="4"/>
    <x v="429"/>
    <n v="2800"/>
    <n v="356170"/>
    <n v="55"/>
    <n v="8027"/>
    <n v="1198.9676315154604"/>
    <n v="0.89285973705237165"/>
    <n v="1070.5099242091987"/>
    <n v="2393"/>
    <n v="77.804792879284548"/>
    <n v="-0.16765217391304343"/>
    <n v="544.63355015499178"/>
  </r>
  <r>
    <x v="1"/>
    <x v="429"/>
    <n v="146"/>
    <n v="15697"/>
    <n v="31"/>
    <n v="106"/>
    <n v="522.09956720377045"/>
    <n v="0.96787148594377514"/>
    <n v="505.32528392011517"/>
    <n v="141"/>
    <n v="33.94008251532118"/>
    <n v="0.1649746192893401"/>
    <n v="237.58057760724827"/>
  </r>
  <r>
    <x v="2"/>
    <x v="429"/>
    <n v="293"/>
    <n v="46287"/>
    <n v="3"/>
    <n v="1068"/>
    <n v="276.95196759595564"/>
    <n v="1.0533628039153773"/>
    <n v="291.73090113675653"/>
    <n v="240.85714285714286"/>
    <n v="19.995761278125268"/>
    <n v="-2.1818181818181737E-2"/>
    <n v="139.97032894687686"/>
  </r>
  <r>
    <x v="3"/>
    <x v="429"/>
    <n v="192"/>
    <n v="55844"/>
    <m/>
    <n v="930"/>
    <n v="384.49484163012892"/>
    <n v="0.97103223174214603"/>
    <n v="373.35688416144706"/>
    <n v="155.42857142857142"/>
    <n v="25.109867208498212"/>
    <n v="0.15789473684210531"/>
    <n v="175.76907045948749"/>
  </r>
  <r>
    <x v="6"/>
    <x v="429"/>
    <n v="225"/>
    <n v="38582"/>
    <n v="6"/>
    <n v="513"/>
    <n v="258.47585789091909"/>
    <n v="0.86632775119617222"/>
    <n v="223.92480870514132"/>
    <n v="171"/>
    <n v="15.256945702225462"/>
    <n v="0.29588235294117649"/>
    <n v="106.79861991557823"/>
  </r>
  <r>
    <x v="5"/>
    <x v="429"/>
    <n v="1866"/>
    <n v="236247"/>
    <n v="13"/>
    <n v="3479"/>
    <n v="576.02148679014488"/>
    <n v="0.92045213105001489"/>
    <n v="530.2002050465868"/>
    <n v="1541"/>
    <n v="40.979138135063621"/>
    <n v="8.0007356998345047E-3"/>
    <n v="286.85396694544534"/>
  </r>
  <r>
    <x v="7"/>
    <x v="429"/>
    <n v="726"/>
    <n v="65999"/>
    <n v="3"/>
    <n v="1090"/>
    <n v="540.92431172305714"/>
    <n v="1.1477342314758114"/>
    <n v="620.83734920204529"/>
    <n v="517.42857142857144"/>
    <n v="37.333559272488294"/>
    <n v="6.5290322580645155E-2"/>
    <n v="261.33491490741801"/>
  </r>
  <r>
    <x v="8"/>
    <x v="429"/>
    <n v="353"/>
    <n v="5439"/>
    <n v="1"/>
    <n v="104"/>
    <n v="260.74326702390806"/>
    <n v="1.1954545454545455"/>
    <n v="311.7067237603992"/>
    <n v="132.28571428571428"/>
    <n v="21.85843429876325"/>
    <n v="-0.42024539877300615"/>
    <n v="153.00904009134277"/>
  </r>
  <r>
    <x v="9"/>
    <x v="429"/>
    <n v="91"/>
    <n v="25381"/>
    <n v="5"/>
    <n v="1051"/>
    <n v="166.43295138938436"/>
    <n v="1.0620860927152318"/>
    <n v="176.76612304021535"/>
    <n v="86.142857142857139"/>
    <n v="11.174598562275778"/>
    <n v="0.1132352941176471"/>
    <n v="78.222189935930459"/>
  </r>
  <r>
    <x v="10"/>
    <x v="429"/>
    <n v="392"/>
    <n v="29036"/>
    <m/>
    <n v="399"/>
    <n v="1074.6928253373064"/>
    <n v="1.3155737704918034"/>
    <n v="1413.8376923494893"/>
    <n v="316.85714285714283"/>
    <n v="88.401894622390785"/>
    <n v="-0.35740514075887386"/>
    <n v="618.81326235673555"/>
  </r>
  <r>
    <x v="11"/>
    <x v="429"/>
    <n v="78"/>
    <n v="13999"/>
    <n v="10"/>
    <n v="498"/>
    <n v="294.2589020941171"/>
    <n v="1.0275066548358474"/>
    <n v="302.3529801463954"/>
    <n v="96.285714285714292"/>
    <n v="24.467123120088196"/>
    <n v="-0.39256198347107429"/>
    <n v="171.26986184061738"/>
  </r>
  <r>
    <x v="12"/>
    <x v="429"/>
    <n v="767"/>
    <n v="100693"/>
    <n v="28"/>
    <n v="1951"/>
    <n v="536.84349090455987"/>
    <n v="0.87452938287772142"/>
    <n v="469.48540680268638"/>
    <n v="715.85714285714289"/>
    <n v="35.966611844678788"/>
    <n v="0.11684878392668308"/>
    <n v="251.76628291275148"/>
  </r>
  <r>
    <x v="13"/>
    <x v="429"/>
    <n v="157"/>
    <n v="16355"/>
    <n v="1"/>
    <n v="240"/>
    <n v="128.99450881396407"/>
    <n v="0.87473118279569895"/>
    <n v="112.835519268989"/>
    <n v="119.71428571428571"/>
    <n v="9.4913862837915435"/>
    <n v="-6.2103929024081017E-2"/>
    <n v="66.439703986540806"/>
  </r>
  <r>
    <x v="14"/>
    <x v="429"/>
    <n v="484"/>
    <n v="73441"/>
    <n v="22"/>
    <n v="1104"/>
    <n v="719.51654752528782"/>
    <n v="1.9188755020080321"/>
    <n v="1380.6626763356728"/>
    <n v="381.57142857142856"/>
    <n v="57.460643976560533"/>
    <n v="-0.26767916468913144"/>
    <n v="402.22450783592376"/>
  </r>
  <r>
    <x v="15"/>
    <x v="429"/>
    <n v="364"/>
    <n v="63117"/>
    <n v="5"/>
    <n v="1386"/>
    <n v="523.6687577747756"/>
    <n v="1.3902698863636365"/>
    <n v="728.04090436372394"/>
    <n v="278.71428571428572"/>
    <n v="37.280705944849011"/>
    <n v="6.6191446028512901E-3"/>
    <n v="260.9649416139431"/>
  </r>
  <r>
    <x v="16"/>
    <x v="429"/>
    <n v="262"/>
    <n v="35889"/>
    <n v="3"/>
    <n v="1297"/>
    <n v="187.09671531181266"/>
    <n v="0.9736938253562295"/>
    <n v="182.1749164435443"/>
    <n v="195.57142857142858"/>
    <n v="13.730120785948621"/>
    <n v="-5.6327160493827133E-2"/>
    <n v="96.110845501640341"/>
  </r>
  <r>
    <x v="17"/>
    <x v="429"/>
    <n v="431"/>
    <n v="25482"/>
    <n v="23"/>
    <n v="410"/>
    <n v="525.71820633703567"/>
    <n v="1.4094028826355525"/>
    <n v="740.94875546541027"/>
    <n v="308"/>
    <n v="39.425665340103969"/>
    <n v="-0.10507432086109691"/>
    <n v="275.97965738072776"/>
  </r>
  <r>
    <x v="18"/>
    <x v="429"/>
    <n v="379"/>
    <n v="39986"/>
    <n v="4"/>
    <n v="523"/>
    <n v="1439.0314914779433"/>
    <n v="0.97377529286474973"/>
    <n v="1401.2933120555319"/>
    <n v="433.42857142857144"/>
    <n v="85.265531591525843"/>
    <n v="0.29128708245736978"/>
    <n v="596.85872114068081"/>
  </r>
  <r>
    <x v="19"/>
    <x v="429"/>
    <n v="335"/>
    <n v="45983"/>
    <n v="7"/>
    <n v="729"/>
    <n v="782.88642541113165"/>
    <n v="1.0948374760994264"/>
    <n v="857.13339806962517"/>
    <n v="213"/>
    <n v="58.244781212913381"/>
    <n v="-8.6734693877551061E-2"/>
    <n v="407.71346849039372"/>
  </r>
  <r>
    <x v="20"/>
    <x v="429"/>
    <n v="1996"/>
    <n v="284503"/>
    <n v="21"/>
    <n v="4763"/>
    <n v="685.12828517443359"/>
    <n v="1.1177800332164607"/>
    <n v="765.8227173598151"/>
    <n v="1725.4285714285713"/>
    <n v="48.790289253944849"/>
    <n v="6.0077359888075499E-3"/>
    <n v="341.53202477761397"/>
  </r>
  <r>
    <x v="21"/>
    <x v="429"/>
    <n v="345"/>
    <n v="31906"/>
    <m/>
    <n v="363"/>
    <n v="288.45573962525282"/>
    <n v="0.98088286409454295"/>
    <n v="282.94129204812771"/>
    <n v="203.28571428571428"/>
    <n v="20.779210159296081"/>
    <n v="-1.71551107934238E-2"/>
    <n v="145.45447111507258"/>
  </r>
  <r>
    <x v="22"/>
    <x v="429"/>
    <n v="88"/>
    <n v="26848"/>
    <n v="3"/>
    <n v="396"/>
    <n v="594.92167618616747"/>
    <n v="0.8470209339774557"/>
    <n v="503.91111380664103"/>
    <n v="68.142857142857139"/>
    <n v="38.53580113264556"/>
    <n v="0.1704347826086956"/>
    <n v="269.75060792851895"/>
  </r>
  <r>
    <x v="23"/>
    <x v="429"/>
    <n v="577"/>
    <n v="109322"/>
    <n v="7"/>
    <n v="1691"/>
    <n v="493.49248461044601"/>
    <n v="0.9072466912562378"/>
    <n v="447.719423822647"/>
    <n v="523.28571428571433"/>
    <n v="30.878580330504498"/>
    <n v="0.22063829787234046"/>
    <n v="216.15006231353149"/>
  </r>
  <r>
    <x v="0"/>
    <x v="430"/>
    <n v="9793"/>
    <n v="1363169"/>
    <n v="362"/>
    <n v="34506"/>
    <n v="771.13569750109184"/>
    <n v="0.81746046134972294"/>
    <n v="630.37294304248292"/>
    <n v="9037.2857142857138"/>
    <n v="51.520512344583018"/>
    <n v="0.12143601138809801"/>
    <n v="360.64358641208116"/>
  </r>
  <r>
    <x v="4"/>
    <x v="430"/>
    <n v="2079"/>
    <n v="358249"/>
    <n v="55"/>
    <n v="8082"/>
    <n v="1171.3311609983723"/>
    <n v="0.8654063273198972"/>
    <n v="1013.6773981149526"/>
    <n v="2301.2857142857142"/>
    <n v="74.822840934415538"/>
    <n v="0.19119345282924138"/>
    <n v="523.75988654090872"/>
  </r>
  <r>
    <x v="1"/>
    <x v="430"/>
    <n v="186"/>
    <n v="15883"/>
    <n v="1"/>
    <n v="107"/>
    <n v="518.48892012767249"/>
    <n v="0.93085566119273988"/>
    <n v="482.63834656655428"/>
    <n v="140.57142857142858"/>
    <n v="33.836921170289806"/>
    <n v="0.15897435897435896"/>
    <n v="236.85844819202867"/>
  </r>
  <r>
    <x v="2"/>
    <x v="430"/>
    <n v="353"/>
    <n v="46640"/>
    <n v="3"/>
    <n v="1071"/>
    <n v="285.41992343971685"/>
    <n v="1.0763932373199749"/>
    <n v="307.22407538689623"/>
    <n v="262.28571428571428"/>
    <n v="21.77474359824317"/>
    <n v="-0.14606741573033699"/>
    <n v="152.42320518770222"/>
  </r>
  <r>
    <x v="3"/>
    <x v="430"/>
    <n v="274"/>
    <n v="56118"/>
    <n v="1"/>
    <n v="931"/>
    <n v="381.10224008633361"/>
    <n v="0.9240109674892284"/>
    <n v="352.14264957448535"/>
    <n v="177.42857142857142"/>
    <n v="28.664021206759905"/>
    <n v="-0.11190689346463745"/>
    <n v="200.64814844731933"/>
  </r>
  <r>
    <x v="6"/>
    <x v="430"/>
    <n v="134"/>
    <n v="38716"/>
    <n v="8"/>
    <n v="521"/>
    <n v="237.24104457437139"/>
    <n v="0.80992994212610414"/>
    <n v="192.14862550205711"/>
    <n v="173.85714285714286"/>
    <n v="15.511865429915112"/>
    <n v="0.15603328710124831"/>
    <n v="108.58305800940578"/>
  </r>
  <r>
    <x v="5"/>
    <x v="430"/>
    <n v="1583"/>
    <n v="237830"/>
    <n v="10"/>
    <n v="3489"/>
    <n v="568.92127272002017"/>
    <n v="0.90976356523218238"/>
    <n v="517.58384540619625"/>
    <n v="1502.8571428571429"/>
    <n v="39.964821839331535"/>
    <n v="3.2554717675188471E-2"/>
    <n v="279.75375287532074"/>
  </r>
  <r>
    <x v="7"/>
    <x v="430"/>
    <n v="741"/>
    <n v="66740"/>
    <n v="3"/>
    <n v="1093"/>
    <n v="545.97495889133961"/>
    <n v="1.1208709820767293"/>
    <n v="611.9674883618377"/>
    <n v="542.57142857142856"/>
    <n v="39.14766927578976"/>
    <n v="-7.6943486335898648E-3"/>
    <n v="274.03368493052835"/>
  </r>
  <r>
    <x v="8"/>
    <x v="430"/>
    <n v="326"/>
    <n v="5765"/>
    <n v="1"/>
    <n v="105"/>
    <n v="296.10388752017951"/>
    <n v="1.3453453453453454"/>
    <n v="398.36198681393523"/>
    <n v="177.28571428571428"/>
    <n v="29.294078795642758"/>
    <n v="-1.2522686025408349"/>
    <n v="205.05855156949929"/>
  </r>
  <r>
    <x v="9"/>
    <x v="430"/>
    <n v="126"/>
    <n v="25507"/>
    <m/>
    <n v="1051"/>
    <n v="173.17848020641318"/>
    <n v="1.0871335504885993"/>
    <n v="188.26813605501758"/>
    <n v="91.428571428571431"/>
    <n v="11.860270447523213"/>
    <n v="7.9136690647481966E-2"/>
    <n v="83.021893132662498"/>
  </r>
  <r>
    <x v="10"/>
    <x v="430"/>
    <n v="366"/>
    <n v="29402"/>
    <n v="10"/>
    <n v="409"/>
    <n v="1126.3070965437967"/>
    <n v="1.3944732297063904"/>
    <n v="1570.6050945586553"/>
    <n v="324.57142857142856"/>
    <n v="90.554149946831316"/>
    <n v="-0.28725212464589234"/>
    <n v="633.8790496278192"/>
  </r>
  <r>
    <x v="11"/>
    <x v="430"/>
    <n v="85"/>
    <n v="14084"/>
    <m/>
    <n v="498"/>
    <n v="299.59520342743008"/>
    <n v="1.0424403183023874"/>
    <n v="312.31011922275871"/>
    <n v="102"/>
    <n v="25.919177904663165"/>
    <n v="-0.53548387096774186"/>
    <n v="181.43424533264215"/>
  </r>
  <r>
    <x v="12"/>
    <x v="430"/>
    <n v="923"/>
    <n v="101616"/>
    <n v="16"/>
    <n v="1967"/>
    <n v="527.64907267006913"/>
    <n v="0.85604825562438869"/>
    <n v="451.69306824103899"/>
    <n v="730.57142857142856"/>
    <n v="36.70589761997352"/>
    <n v="5.08537490720119E-2"/>
    <n v="256.94128333981467"/>
  </r>
  <r>
    <x v="13"/>
    <x v="430"/>
    <n v="225"/>
    <n v="16580"/>
    <m/>
    <n v="240"/>
    <n v="138.11212928944403"/>
    <n v="0.96777777777777774"/>
    <n v="133.66184956789527"/>
    <n v="135.85714285714286"/>
    <n v="10.771251021343387"/>
    <n v="-0.20227560050568894"/>
    <n v="75.398757149403707"/>
  </r>
  <r>
    <x v="14"/>
    <x v="430"/>
    <n v="608"/>
    <n v="74049"/>
    <n v="4"/>
    <n v="1108"/>
    <n v="761.22983418592071"/>
    <n v="1.9104308390022675"/>
    <n v="1454.2769507973655"/>
    <n v="418.85714285714283"/>
    <n v="63.075480396583856"/>
    <n v="-0.38106453132359874"/>
    <n v="441.52836277608702"/>
  </r>
  <r>
    <x v="15"/>
    <x v="430"/>
    <n v="321"/>
    <n v="63438"/>
    <n v="4"/>
    <n v="1390"/>
    <n v="526.61146854643459"/>
    <n v="1.3543171654626762"/>
    <n v="713.19895138194454"/>
    <n v="283.57142857142856"/>
    <n v="37.930395335994504"/>
    <n v="-1.6905737704917989E-2"/>
    <n v="265.51276735196154"/>
  </r>
  <r>
    <x v="16"/>
    <x v="430"/>
    <n v="270"/>
    <n v="36159"/>
    <n v="1"/>
    <n v="1298"/>
    <n v="188.57102338744042"/>
    <n v="0.98064987221613731"/>
    <n v="184.92214998855968"/>
    <n v="196.28571428571428"/>
    <n v="13.780267319133239"/>
    <n v="-4.7256097560975707E-2"/>
    <n v="96.461871233932669"/>
  </r>
  <r>
    <x v="17"/>
    <x v="430"/>
    <n v="480"/>
    <n v="25962"/>
    <n v="74"/>
    <n v="484"/>
    <n v="540.18281732220362"/>
    <n v="1.3813420621931261"/>
    <n v="746.17724684114546"/>
    <n v="334"/>
    <n v="42.753805920762098"/>
    <n v="-0.24229543039319879"/>
    <n v="299.27664144533469"/>
  </r>
  <r>
    <x v="18"/>
    <x v="430"/>
    <n v="451"/>
    <n v="40437"/>
    <n v="6"/>
    <n v="529"/>
    <n v="1386.1129034796431"/>
    <n v="0.90460906406470665"/>
    <n v="1253.8902963047331"/>
    <n v="423.28571428571428"/>
    <n v="83.270194497590978"/>
    <n v="0.27430810678422723"/>
    <n v="582.89136148313685"/>
  </r>
  <r>
    <x v="19"/>
    <x v="430"/>
    <n v="254"/>
    <n v="46237"/>
    <n v="4"/>
    <n v="733"/>
    <n v="796.55890926392817"/>
    <n v="1.1021566401816119"/>
    <n v="877.93269114106045"/>
    <n v="210.71428571428572"/>
    <n v="57.619753379642681"/>
    <n v="-2.5730180806675884E-2"/>
    <n v="403.3382736574988"/>
  </r>
  <r>
    <x v="20"/>
    <x v="430"/>
    <n v="1946"/>
    <n v="286449"/>
    <n v="23"/>
    <n v="4786"/>
    <n v="685.63727477916916"/>
    <n v="1.0933399467917211"/>
    <n v="749.63462152547743"/>
    <n v="1725.5714285714287"/>
    <n v="48.794328853982435"/>
    <n v="7.3142669296515361E-3"/>
    <n v="341.56030197787703"/>
  </r>
  <r>
    <x v="21"/>
    <x v="430"/>
    <n v="349"/>
    <n v="32255"/>
    <n v="2"/>
    <n v="365"/>
    <n v="299.08628424645281"/>
    <n v="1.0093135563987581"/>
    <n v="301.87184122287715"/>
    <n v="230.28571428571428"/>
    <n v="23.539063089799917"/>
    <n v="-0.22678843226788437"/>
    <n v="164.77344162859941"/>
  </r>
  <r>
    <x v="22"/>
    <x v="430"/>
    <n v="83"/>
    <n v="26931"/>
    <n v="5"/>
    <n v="401"/>
    <n v="559.8597523044732"/>
    <n v="0.80097087378640774"/>
    <n v="448.43135500115574"/>
    <n v="70.857142857142861"/>
    <n v="40.070770150507755"/>
    <n v="-4.0485829959513442E-3"/>
    <n v="280.49539105355427"/>
  </r>
  <r>
    <x v="23"/>
    <x v="430"/>
    <n v="596"/>
    <n v="109918"/>
    <n v="16"/>
    <n v="1707"/>
    <n v="472.78031647720832"/>
    <n v="0.86011808910359633"/>
    <n v="406.64690237416994"/>
    <n v="516.85714285714289"/>
    <n v="30.499236591800511"/>
    <n v="0.17660446062812929"/>
    <n v="213.49465614260359"/>
  </r>
  <r>
    <x v="0"/>
    <x v="431"/>
    <n v="7443"/>
    <n v="1370612"/>
    <n v="81"/>
    <n v="34587"/>
    <n v="755.66920076635836"/>
    <n v="0.80200026621812948"/>
    <n v="606.04690018746055"/>
    <n v="9028"/>
    <n v="51.467575569913038"/>
    <n v="8.8830255057168017E-2"/>
    <n v="360.27302898939126"/>
  </r>
  <r>
    <x v="4"/>
    <x v="431"/>
    <n v="2054"/>
    <n v="360303"/>
    <n v="22"/>
    <n v="8104"/>
    <n v="1140.3132870297816"/>
    <n v="0.83215489014378585"/>
    <n v="948.91727809776728"/>
    <n v="2254.2857142857142"/>
    <n v="73.294706682294205"/>
    <n v="0.18204437072361601"/>
    <n v="513.06294677605945"/>
  </r>
  <r>
    <x v="1"/>
    <x v="431"/>
    <n v="51"/>
    <n v="15934"/>
    <n v="2"/>
    <n v="109"/>
    <n v="495.86219845079171"/>
    <n v="0.89565217391304353"/>
    <n v="444.12005600375261"/>
    <n v="142.42857142857142"/>
    <n v="34.283953665425749"/>
    <n v="6.2088428974600207E-2"/>
    <n v="239.98767565798028"/>
  </r>
  <r>
    <x v="2"/>
    <x v="431"/>
    <n v="237"/>
    <n v="46877"/>
    <n v="4"/>
    <n v="1075"/>
    <n v="285.17086591490039"/>
    <n v="1.060840024706609"/>
    <n v="302.520668442768"/>
    <n v="264.14285714285717"/>
    <n v="21.928922065986725"/>
    <n v="-0.16582597730138704"/>
    <n v="153.50245446190706"/>
  </r>
  <r>
    <x v="3"/>
    <x v="431"/>
    <n v="127"/>
    <n v="56245"/>
    <n v="1"/>
    <n v="932"/>
    <n v="385.94881372032688"/>
    <n v="0.93247462919594071"/>
    <n v="359.88747696247498"/>
    <n v="179.57142857142858"/>
    <n v="29.010205037759427"/>
    <n v="-0.11042402826855113"/>
    <n v="203.07143526431597"/>
  </r>
  <r>
    <x v="6"/>
    <x v="431"/>
    <n v="266"/>
    <n v="38982"/>
    <n v="8"/>
    <n v="529"/>
    <n v="230.63862362720948"/>
    <n v="0.7636632200886263"/>
    <n v="176.13023399596352"/>
    <n v="190.71428571428572"/>
    <n v="17.01589182328404"/>
    <n v="-6.800000000000006E-2"/>
    <n v="119.11124276298825"/>
  </r>
  <r>
    <x v="5"/>
    <x v="431"/>
    <n v="1603"/>
    <n v="239433"/>
    <n v="7"/>
    <n v="3496"/>
    <n v="579.77103804066007"/>
    <n v="0.92778416102812888"/>
    <n v="537.90238611696122"/>
    <n v="1554.8571428571429"/>
    <n v="41.347635066471909"/>
    <n v="3.1141234658362826E-3"/>
    <n v="289.43344546530335"/>
  </r>
  <r>
    <x v="7"/>
    <x v="431"/>
    <n v="410"/>
    <n v="67150"/>
    <n v="4"/>
    <n v="1097"/>
    <n v="534.50277460909797"/>
    <n v="1.0770572840942134"/>
    <n v="575.69010676129653"/>
    <n v="546"/>
    <n v="39.395047912603602"/>
    <n v="-6.5811489124372624E-2"/>
    <n v="275.7653353882252"/>
  </r>
  <r>
    <x v="8"/>
    <x v="431"/>
    <n v="132"/>
    <n v="5897"/>
    <m/>
    <n v="105"/>
    <n v="299.24338186330641"/>
    <n v="1.2593880389429764"/>
    <n v="376.86353585149368"/>
    <n v="194.71428571428572"/>
    <n v="32.173915711894509"/>
    <n v="-2.0424107142857144"/>
    <n v="225.21740998326152"/>
  </r>
  <r>
    <x v="9"/>
    <x v="431"/>
    <n v="85"/>
    <n v="25592"/>
    <n v="4"/>
    <n v="1055"/>
    <n v="172.52987166631425"/>
    <n v="1.0374414976599065"/>
    <n v="178.98964845257251"/>
    <n v="95.142857142857139"/>
    <n v="12.342093934453844"/>
    <n v="-3.0120481927711218E-3"/>
    <n v="86.394657541176912"/>
  </r>
  <r>
    <x v="10"/>
    <x v="431"/>
    <n v="374"/>
    <n v="29776"/>
    <m/>
    <n v="409"/>
    <n v="1179.8743401743168"/>
    <n v="1.4403950953678475"/>
    <n v="1699.4852127374611"/>
    <n v="338.28571428571428"/>
    <n v="94.380381634725595"/>
    <n v="-0.27243417517463731"/>
    <n v="660.66267144307926"/>
  </r>
  <r>
    <x v="11"/>
    <x v="431"/>
    <n v="94"/>
    <n v="14178"/>
    <m/>
    <n v="498"/>
    <n v="293.49657333221523"/>
    <n v="1.0294117647058822"/>
    <n v="302.12882548904508"/>
    <n v="103.42857142857143"/>
    <n v="26.282191600806907"/>
    <n v="-0.67981438515081205"/>
    <n v="183.97534120564836"/>
  </r>
  <r>
    <x v="12"/>
    <x v="431"/>
    <n v="720"/>
    <n v="102336"/>
    <n v="24"/>
    <n v="1991"/>
    <n v="527.14664544414063"/>
    <n v="0.8572595800310483"/>
    <n v="451.90151188821994"/>
    <n v="764.28571428571433"/>
    <n v="38.399795124532332"/>
    <n v="-4.0451186308829268E-2"/>
    <n v="268.79856587172628"/>
  </r>
  <r>
    <x v="13"/>
    <x v="431"/>
    <n v="141"/>
    <n v="16721"/>
    <m/>
    <n v="240"/>
    <n v="137.79499466420995"/>
    <n v="0.98862343572241185"/>
    <n v="136.22736105028264"/>
    <n v="141"/>
    <n v="11.178995539501496"/>
    <n v="-0.31424766977363516"/>
    <n v="78.252968776510471"/>
  </r>
  <r>
    <x v="14"/>
    <x v="431"/>
    <n v="408"/>
    <n v="74457"/>
    <n v="1"/>
    <n v="1109"/>
    <n v="795.56423620261512"/>
    <n v="1.9705333830660201"/>
    <n v="1567.6858858106734"/>
    <n v="428.85714285714283"/>
    <n v="64.581375221877465"/>
    <n v="-0.31608943445857074"/>
    <n v="452.06962655314226"/>
  </r>
  <r>
    <x v="15"/>
    <x v="431"/>
    <n v="272"/>
    <n v="63710"/>
    <n v="5"/>
    <n v="1395"/>
    <n v="535.03832211982183"/>
    <n v="1.3306719893546242"/>
    <n v="711.96050847614356"/>
    <n v="298.57142857142856"/>
    <n v="39.93678904394384"/>
    <n v="-9.4240837696335067E-2"/>
    <n v="279.55752330760691"/>
  </r>
  <r>
    <x v="16"/>
    <x v="431"/>
    <n v="182"/>
    <n v="36341"/>
    <m/>
    <n v="1298"/>
    <n v="191.3792292457791"/>
    <n v="1.0251974426476118"/>
    <n v="196.20149639864377"/>
    <n v="204"/>
    <n v="14.321849877527121"/>
    <n v="-0.10015408320493058"/>
    <n v="100.25294914268986"/>
  </r>
  <r>
    <x v="17"/>
    <x v="431"/>
    <n v="263"/>
    <n v="26225"/>
    <m/>
    <n v="484"/>
    <n v="551.06327691281683"/>
    <n v="1.3524976437323279"/>
    <n v="745.31178357200008"/>
    <n v="355.57142857142856"/>
    <n v="45.515065413505923"/>
    <n v="-0.37059471365638763"/>
    <n v="318.60545789454147"/>
  </r>
  <r>
    <x v="18"/>
    <x v="431"/>
    <n v="521"/>
    <n v="40958"/>
    <m/>
    <n v="529"/>
    <n v="1336.9320596150517"/>
    <n v="0.83202742409402541"/>
    <n v="1112.3641377502315"/>
    <n v="422.42857142857144"/>
    <n v="83.101574461483821"/>
    <n v="0.22974733003386294"/>
    <n v="581.71102123038668"/>
  </r>
  <r>
    <x v="19"/>
    <x v="431"/>
    <n v="201"/>
    <n v="46438"/>
    <n v="1"/>
    <n v="734"/>
    <n v="800.11375506565537"/>
    <n v="1.1091736163760424"/>
    <n v="887.46506721838796"/>
    <n v="220.28571428571428"/>
    <n v="60.237057431463739"/>
    <n v="-0.11416184971098264"/>
    <n v="421.6594020202462"/>
  </r>
  <r>
    <x v="20"/>
    <x v="431"/>
    <n v="1808"/>
    <n v="288257"/>
    <n v="1"/>
    <n v="4787"/>
    <n v="686.51386798732506"/>
    <n v="1.0662743203478413"/>
    <n v="732.01210799755268"/>
    <n v="1775.8571428571429"/>
    <n v="50.216268067212155"/>
    <n v="-4.929518021440038E-2"/>
    <n v="351.51387647048512"/>
  </r>
  <r>
    <x v="21"/>
    <x v="431"/>
    <n v="263"/>
    <n v="32518"/>
    <n v="5"/>
    <n v="370"/>
    <n v="302.25500427777206"/>
    <n v="1.0112859097127223"/>
    <n v="305.66622696626945"/>
    <n v="237.71428571428572"/>
    <n v="24.298387705599918"/>
    <n v="-0.28692962103634967"/>
    <n v="170.08871393919941"/>
  </r>
  <r>
    <x v="22"/>
    <x v="431"/>
    <n v="46"/>
    <n v="26977"/>
    <m/>
    <n v="401"/>
    <n v="554.7701181926144"/>
    <n v="0.80278232405891981"/>
    <n v="445.35964480110863"/>
    <n v="68.571428571428569"/>
    <n v="38.778164661781695"/>
    <n v="4.1916167664670656E-2"/>
    <n v="271.44715263247184"/>
  </r>
  <r>
    <x v="23"/>
    <x v="431"/>
    <n v="323"/>
    <n v="110241"/>
    <m/>
    <n v="1707"/>
    <n v="470.59698251444547"/>
    <n v="0.86113810603606522"/>
    <n v="405.24899422877689"/>
    <n v="518.85714285714289"/>
    <n v="30.617254643841754"/>
    <n v="0.16371172000921019"/>
    <n v="214.32078250689227"/>
  </r>
  <r>
    <x v="0"/>
    <x v="432"/>
    <n v="4240"/>
    <n v="1374852"/>
    <n v="212"/>
    <n v="34799"/>
    <n v="740.96092152728261"/>
    <n v="0.79058040656439699"/>
    <n v="585.78918658936936"/>
    <n v="8904.8571428571431"/>
    <n v="50.765552496597245"/>
    <n v="7.8431082659412454E-2"/>
    <n v="355.35886747618071"/>
  </r>
  <r>
    <x v="4"/>
    <x v="432"/>
    <n v="1561"/>
    <n v="361864"/>
    <n v="29"/>
    <n v="8133"/>
    <n v="1103.2479030421575"/>
    <n v="0.80491507733181511"/>
    <n v="888.02087119334112"/>
    <n v="2234.4285714285716"/>
    <n v="72.649081572735341"/>
    <n v="0.1448799956262643"/>
    <n v="508.54357100914734"/>
  </r>
  <r>
    <x v="1"/>
    <x v="432"/>
    <n v="236"/>
    <n v="16170"/>
    <m/>
    <n v="109"/>
    <n v="516.32253188201366"/>
    <n v="0.91276595744680855"/>
    <n v="471.28163016464651"/>
    <n v="167.28571428571428"/>
    <n v="40.267311677245289"/>
    <n v="-0.20225872689938407"/>
    <n v="281.87118174071702"/>
  </r>
  <r>
    <x v="2"/>
    <x v="432"/>
    <n v="102"/>
    <n v="46979"/>
    <n v="3"/>
    <n v="1078"/>
    <n v="279.94065789375372"/>
    <n v="1.0321395775941231"/>
    <n v="288.93783238987987"/>
    <n v="257"/>
    <n v="21.335927959280756"/>
    <n v="-0.14367450731087095"/>
    <n v="149.35149571496527"/>
  </r>
  <r>
    <x v="3"/>
    <x v="432"/>
    <n v="98"/>
    <n v="56343"/>
    <m/>
    <n v="932"/>
    <n v="389.17986280965567"/>
    <n v="0.92975685063681979"/>
    <n v="361.84264357717507"/>
    <n v="184"/>
    <n v="29.72565162182509"/>
    <n v="-0.14897413024085648"/>
    <n v="208.07956135277561"/>
  </r>
  <r>
    <x v="6"/>
    <x v="432"/>
    <n v="269"/>
    <n v="39251"/>
    <m/>
    <n v="529"/>
    <n v="237.41948838375413"/>
    <n v="0.79220005954153017"/>
    <n v="188.08373283392964"/>
    <n v="208.85714285714286"/>
    <n v="18.634632094113304"/>
    <n v="-0.21934945788156801"/>
    <n v="130.44242465879313"/>
  </r>
  <r>
    <x v="5"/>
    <x v="432"/>
    <n v="1163"/>
    <n v="240596"/>
    <n v="5"/>
    <n v="3501"/>
    <n v="586.95102979696583"/>
    <n v="0.94741812250504354"/>
    <n v="556.08804265264325"/>
    <n v="1582.5714285714287"/>
    <n v="42.084628929288478"/>
    <n v="-7.6405311988356761E-3"/>
    <n v="294.59240250501938"/>
  </r>
  <r>
    <x v="7"/>
    <x v="432"/>
    <n v="283"/>
    <n v="67433"/>
    <n v="3"/>
    <n v="1100"/>
    <n v="539.04835706055212"/>
    <n v="1.0843251088534107"/>
    <n v="584.50366844693542"/>
    <n v="556.85714285714289"/>
    <n v="40.178413595847424"/>
    <n v="-9.095997760985175E-2"/>
    <n v="281.24889517093197"/>
  </r>
  <r>
    <x v="8"/>
    <x v="432"/>
    <n v="5"/>
    <n v="5902"/>
    <m/>
    <n v="105"/>
    <n v="280.24117926016987"/>
    <n v="1.0927835051546391"/>
    <n v="306.24293816059799"/>
    <n v="194.71428571428572"/>
    <n v="32.173915711894509"/>
    <n v="-3.0930930930930929"/>
    <n v="225.21740998326152"/>
  </r>
  <r>
    <x v="9"/>
    <x v="432"/>
    <n v="66"/>
    <n v="25658"/>
    <n v="3"/>
    <n v="1058"/>
    <n v="170.45432433799769"/>
    <n v="1.0053557765876051"/>
    <n v="171.36723961754319"/>
    <n v="95.714285714285708"/>
    <n v="12.416220624750864"/>
    <n v="-4.0372670807453437E-2"/>
    <n v="86.913544373256045"/>
  </r>
  <r>
    <x v="10"/>
    <x v="432"/>
    <n v="272"/>
    <n v="30048"/>
    <m/>
    <n v="409"/>
    <n v="1194.3821353242492"/>
    <n v="1.4114737883283877"/>
    <n v="1685.8390772578671"/>
    <n v="349.14285714285717"/>
    <n v="97.409481720975251"/>
    <n v="-0.33043004899292328"/>
    <n v="681.86637204682665"/>
  </r>
  <r>
    <x v="11"/>
    <x v="432"/>
    <n v="108"/>
    <n v="14286"/>
    <m/>
    <n v="498"/>
    <n v="308.23492939565119"/>
    <n v="1.1618773946360152"/>
    <n v="358.13119670203531"/>
    <n v="105.85714285714286"/>
    <n v="26.899314884251268"/>
    <n v="-0.56991525423728806"/>
    <n v="188.29520418975886"/>
  </r>
  <r>
    <x v="12"/>
    <x v="432"/>
    <n v="290"/>
    <n v="102626"/>
    <n v="21"/>
    <n v="2012"/>
    <n v="519.00732438409955"/>
    <n v="0.84395424836601307"/>
    <n v="438.01843634703829"/>
    <n v="758.85714285714289"/>
    <n v="38.127048916171169"/>
    <n v="-5.8589079314467885E-2"/>
    <n v="266.88934241319816"/>
  </r>
  <r>
    <x v="13"/>
    <x v="432"/>
    <n v="179"/>
    <n v="16900"/>
    <m/>
    <n v="240"/>
    <n v="141.75917747963598"/>
    <n v="1.0222984562607205"/>
    <n v="144.92018829822135"/>
    <n v="152"/>
    <n v="12.05111575889523"/>
    <n v="-0.46961325966850831"/>
    <n v="84.357810312266608"/>
  </r>
  <r>
    <x v="14"/>
    <x v="432"/>
    <n v="320"/>
    <n v="74777"/>
    <m/>
    <n v="1109"/>
    <n v="817.09853220431376"/>
    <n v="1.9413237924865832"/>
    <n v="1586.2528213740989"/>
    <n v="452.28571428571428"/>
    <n v="68.109471669708213"/>
    <n v="-0.40088495575221228"/>
    <n v="476.76630168795754"/>
  </r>
  <r>
    <x v="15"/>
    <x v="432"/>
    <n v="153"/>
    <n v="63863"/>
    <n v="1"/>
    <n v="1396"/>
    <n v="538.3823116330708"/>
    <n v="1.3162197514715501"/>
    <n v="708.62943241435914"/>
    <n v="305.57142857142856"/>
    <n v="40.873106107653527"/>
    <n v="-0.13414634146341453"/>
    <n v="286.11174275357473"/>
  </r>
  <r>
    <x v="16"/>
    <x v="432"/>
    <n v="113"/>
    <n v="36454"/>
    <n v="2"/>
    <n v="1300"/>
    <n v="195.45112774037014"/>
    <n v="1.0474040632054176"/>
    <n v="204.71630535334478"/>
    <n v="214.85714285714286"/>
    <n v="15.084077181933328"/>
    <n v="-0.17500000000000004"/>
    <n v="105.58854027353328"/>
  </r>
  <r>
    <x v="17"/>
    <x v="432"/>
    <n v="21"/>
    <n v="26246"/>
    <n v="1"/>
    <n v="485"/>
    <n v="546.199071448778"/>
    <n v="1.3355242566510173"/>
    <n v="729.46210888010512"/>
    <n v="351.57142857142856"/>
    <n v="45.003043785712364"/>
    <n v="-0.36267995570321143"/>
    <n v="315.02130649998657"/>
  </r>
  <r>
    <x v="18"/>
    <x v="432"/>
    <n v="491"/>
    <n v="41449"/>
    <m/>
    <n v="529"/>
    <n v="1314.1121480618813"/>
    <n v="0.79419807395077879"/>
    <n v="1043.6653369460666"/>
    <n v="433.28571428571428"/>
    <n v="85.237428252174638"/>
    <n v="0.16835755415409925"/>
    <n v="596.6619977652224"/>
  </r>
  <r>
    <x v="19"/>
    <x v="432"/>
    <n v="122"/>
    <n v="46560"/>
    <n v="1"/>
    <n v="735"/>
    <n v="795.73856023276039"/>
    <n v="1.0960451977401129"/>
    <n v="872.16542759974857"/>
    <n v="216"/>
    <n v="59.065130244081182"/>
    <n v="-8.1545064377682497E-2"/>
    <n v="413.45591170856824"/>
  </r>
  <r>
    <x v="20"/>
    <x v="432"/>
    <n v="845"/>
    <n v="289102"/>
    <n v="1"/>
    <n v="4788"/>
    <n v="678.08726230892387"/>
    <n v="1.0406179482728692"/>
    <n v="705.62977565387928"/>
    <n v="1780.4285714285713"/>
    <n v="50.345535268414856"/>
    <n v="-8.2139446036294084E-2"/>
    <n v="352.41874687890402"/>
  </r>
  <r>
    <x v="21"/>
    <x v="432"/>
    <n v="286"/>
    <n v="32804"/>
    <n v="1"/>
    <n v="371"/>
    <n v="307.570276588372"/>
    <n v="1.0138140161725067"/>
    <n v="311.81905736334613"/>
    <n v="248.71428571428572"/>
    <n v="25.42277223284222"/>
    <n v="-0.37302839116719233"/>
    <n v="177.95940562989554"/>
  </r>
  <r>
    <x v="22"/>
    <x v="432"/>
    <n v="42"/>
    <n v="27019"/>
    <m/>
    <n v="401"/>
    <n v="550.24599898207316"/>
    <n v="0.8128654970760234"/>
    <n v="447.27598747665598"/>
    <n v="68.285714285714292"/>
    <n v="38.616588975690945"/>
    <n v="3.4343434343434343E-2"/>
    <n v="270.31612282983656"/>
  </r>
  <r>
    <x v="23"/>
    <x v="432"/>
    <n v="317"/>
    <n v="110558"/>
    <m/>
    <n v="1707"/>
    <n v="480.62851693795085"/>
    <n v="0.89466168717047456"/>
    <n v="429.99991986595012"/>
    <n v="531.28571428571433"/>
    <n v="31.350652538669461"/>
    <n v="0.15973791233619516"/>
    <n v="219.4545677706862"/>
  </r>
  <r>
    <x v="0"/>
    <x v="433"/>
    <n v="7213"/>
    <n v="1382065"/>
    <n v="225"/>
    <n v="35024"/>
    <n v="731.43474532243943"/>
    <n v="0.78351887927401975"/>
    <n v="573.09293191711583"/>
    <n v="8931.7142857142862"/>
    <n v="50.918661937181199"/>
    <n v="4.9528732137427811E-2"/>
    <n v="356.4306335602684"/>
  </r>
  <r>
    <x v="4"/>
    <x v="433"/>
    <n v="1875"/>
    <n v="363739"/>
    <n v="72"/>
    <n v="8205"/>
    <n v="1071.4171917054173"/>
    <n v="0.79115048497070972"/>
    <n v="847.65223082369675"/>
    <n v="2239.5714285714284"/>
    <n v="72.816293831326121"/>
    <n v="9.255614725630934E-2"/>
    <n v="509.71405681928286"/>
  </r>
  <r>
    <x v="1"/>
    <x v="433"/>
    <n v="179"/>
    <n v="16349"/>
    <n v="5"/>
    <n v="114"/>
    <n v="508.86052792474447"/>
    <n v="0.89123102866779091"/>
    <n v="453.51229175080516"/>
    <n v="167.71428571428572"/>
    <n v="40.370473022276663"/>
    <n v="-0.24893617021276593"/>
    <n v="282.59331115593665"/>
  </r>
  <r>
    <x v="2"/>
    <x v="433"/>
    <n v="177"/>
    <n v="47156"/>
    <n v="6"/>
    <n v="1084"/>
    <n v="281.60104139253048"/>
    <n v="1.0656613257932768"/>
    <n v="300.09133911513146"/>
    <n v="254.57142857142858"/>
    <n v="21.134309963000728"/>
    <n v="-0.10683229813664585"/>
    <n v="147.94016974100506"/>
  </r>
  <r>
    <x v="3"/>
    <x v="433"/>
    <n v="232"/>
    <n v="56575"/>
    <n v="3"/>
    <n v="935"/>
    <n v="396.77282816957842"/>
    <n v="0.9402756508422665"/>
    <n v="373.07582924367711"/>
    <n v="199.28571428571428"/>
    <n v="32.195096282954971"/>
    <n v="-0.31479736098020727"/>
    <n v="225.36567398068479"/>
  </r>
  <r>
    <x v="6"/>
    <x v="433"/>
    <n v="133"/>
    <n v="39384"/>
    <n v="1"/>
    <n v="530"/>
    <n v="237.95481981190238"/>
    <n v="0.78073770491803274"/>
    <n v="185.78029989412869"/>
    <n v="211.14285714285714"/>
    <n v="18.838567876265024"/>
    <n v="-0.2430613961312027"/>
    <n v="131.86997513385518"/>
  </r>
  <r>
    <x v="5"/>
    <x v="433"/>
    <n v="1388"/>
    <n v="241984"/>
    <n v="16"/>
    <n v="3517"/>
    <n v="598.11990586233026"/>
    <n v="0.97940344001741786"/>
    <n v="585.80069334446034"/>
    <n v="1608.5714285714287"/>
    <n v="42.776035542858665"/>
    <n v="-2.49287749287741E-3"/>
    <n v="299.4322488000106"/>
  </r>
  <r>
    <x v="7"/>
    <x v="433"/>
    <n v="417"/>
    <n v="67850"/>
    <n v="4"/>
    <n v="1104"/>
    <n v="542.87241848796612"/>
    <n v="1.0713370354549339"/>
    <n v="581.59932745314779"/>
    <n v="572.85714285714289"/>
    <n v="41.332847234311998"/>
    <n v="-0.14114968696641994"/>
    <n v="289.32993064018393"/>
  </r>
  <r>
    <x v="8"/>
    <x v="433"/>
    <n v="148"/>
    <n v="6050"/>
    <m/>
    <n v="105"/>
    <n v="291.31202773330159"/>
    <n v="1.3719844357976654"/>
    <n v="399.67556801074761"/>
    <n v="203.57142857142858"/>
    <n v="33.637439390645397"/>
    <n v="-3.2159763313609471"/>
    <n v="235.46207573451775"/>
  </r>
  <r>
    <x v="9"/>
    <x v="433"/>
    <n v="48"/>
    <n v="25706"/>
    <m/>
    <n v="1058"/>
    <n v="164.09796064502822"/>
    <n v="0.9496996996996997"/>
    <n v="155.84378394591644"/>
    <n v="91.142857142857139"/>
    <n v="11.823207102374704"/>
    <n v="-1.7543859649122862E-2"/>
    <n v="82.762449716622925"/>
  </r>
  <r>
    <x v="10"/>
    <x v="433"/>
    <n v="453"/>
    <n v="30501"/>
    <n v="4"/>
    <n v="413"/>
    <n v="1270.8270559219704"/>
    <n v="1.4492523067133312"/>
    <n v="1841.7490422286271"/>
    <n v="382.28571428571428"/>
    <n v="106.65620830005308"/>
    <n v="-0.42416178818520489"/>
    <n v="746.59345810037166"/>
  </r>
  <r>
    <x v="11"/>
    <x v="433"/>
    <n v="94"/>
    <n v="14380"/>
    <n v="6"/>
    <n v="504"/>
    <n v="320.43218958608094"/>
    <n v="1.1697588126159555"/>
    <n v="374.82837761414476"/>
    <n v="87"/>
    <n v="22.107534095153873"/>
    <n v="6.5950920245398725E-2"/>
    <n v="154.75273866607714"/>
  </r>
  <r>
    <x v="12"/>
    <x v="433"/>
    <n v="839"/>
    <n v="103465"/>
    <n v="22"/>
    <n v="2034"/>
    <n v="525.23742198561251"/>
    <n v="0.84881455017862939"/>
    <n v="445.82916607970066"/>
    <n v="791.71428571428567"/>
    <n v="39.777881229936099"/>
    <n v="-0.12825732899022801"/>
    <n v="278.44516860955275"/>
  </r>
  <r>
    <x v="13"/>
    <x v="433"/>
    <n v="162"/>
    <n v="17062"/>
    <n v="2"/>
    <n v="242"/>
    <n v="146.83333148338136"/>
    <n v="1.0705202312138729"/>
    <n v="157.18805196949265"/>
    <n v="161"/>
    <n v="12.76466866567192"/>
    <n v="-0.55448275862068974"/>
    <n v="89.352680659703452"/>
  </r>
  <r>
    <x v="14"/>
    <x v="433"/>
    <n v="446"/>
    <n v="75223"/>
    <n v="26"/>
    <n v="1135"/>
    <n v="849.92703939571447"/>
    <n v="1.9322149948647724"/>
    <n v="1642.2417700614217"/>
    <n v="469.85714285714283"/>
    <n v="70.755544005581271"/>
    <n v="-0.39660297239915066"/>
    <n v="495.28880803906895"/>
  </r>
  <r>
    <x v="15"/>
    <x v="433"/>
    <n v="325"/>
    <n v="64188"/>
    <n v="10"/>
    <n v="1406"/>
    <n v="546.00660772327819"/>
    <n v="1.2901390644753477"/>
    <n v="704.42445408546826"/>
    <n v="306"/>
    <n v="40.930431642166369"/>
    <n v="-0.10412371134020626"/>
    <n v="286.51302149516459"/>
  </r>
  <r>
    <x v="16"/>
    <x v="433"/>
    <n v="283"/>
    <n v="36737"/>
    <n v="3"/>
    <n v="1303"/>
    <n v="204.2969761941369"/>
    <n v="1.0710342289289658"/>
    <n v="218.8090543706067"/>
    <n v="233"/>
    <n v="16.357799124822645"/>
    <n v="-0.27521501172791241"/>
    <n v="114.50459387375852"/>
  </r>
  <r>
    <x v="17"/>
    <x v="433"/>
    <n v="298"/>
    <n v="26544"/>
    <n v="32"/>
    <n v="517"/>
    <n v="554.00740127262975"/>
    <n v="1.328014728444308"/>
    <n v="735.72998855720823"/>
    <n v="355.85714285714283"/>
    <n v="45.551638386919741"/>
    <n v="-0.35601524224278713"/>
    <n v="318.86146870843828"/>
  </r>
  <r>
    <x v="18"/>
    <x v="433"/>
    <n v="423"/>
    <n v="41872"/>
    <n v="12"/>
    <n v="541"/>
    <n v="1302.702192285296"/>
    <n v="0.79438579654510555"/>
    <n v="1034.84811867961"/>
    <n v="433.28571428571428"/>
    <n v="85.237428252174638"/>
    <n v="0.15491780440234049"/>
    <n v="596.6619977652224"/>
  </r>
  <r>
    <x v="19"/>
    <x v="433"/>
    <n v="244"/>
    <n v="46804"/>
    <n v="1"/>
    <n v="736"/>
    <n v="799.56685571154344"/>
    <n v="1.055595667870036"/>
    <n v="844.01930906157145"/>
    <n v="229.28571428571428"/>
    <n v="62.698104524967128"/>
    <n v="-0.21683093252463981"/>
    <n v="438.88673167476986"/>
  </r>
  <r>
    <x v="20"/>
    <x v="433"/>
    <n v="1257"/>
    <n v="290359"/>
    <n v="24"/>
    <n v="4812"/>
    <n v="683.14888115601718"/>
    <n v="1.0495699018159701"/>
    <n v="717.01250412061074"/>
    <n v="1771.8571428571429"/>
    <n v="50.103159266159793"/>
    <n v="-5.5035726437563826E-2"/>
    <n v="350.72211486311858"/>
  </r>
  <r>
    <x v="21"/>
    <x v="433"/>
    <n v="223"/>
    <n v="33027"/>
    <n v="10"/>
    <n v="381"/>
    <n v="319.01855541120273"/>
    <n v="1.054391891891892"/>
    <n v="336.37057818863639"/>
    <n v="265.57142857142856"/>
    <n v="27.145855014849904"/>
    <n v="-0.47305863708399376"/>
    <n v="190.02098510394936"/>
  </r>
  <r>
    <x v="22"/>
    <x v="433"/>
    <n v="38"/>
    <n v="27057"/>
    <m/>
    <n v="401"/>
    <n v="541.19776056099079"/>
    <n v="0.83435047951176988"/>
    <n v="451.54861103475866"/>
    <n v="68.142857142857139"/>
    <n v="38.53580113264556"/>
    <n v="6.2499999999999778E-3"/>
    <n v="269.75060792851895"/>
  </r>
  <r>
    <x v="23"/>
    <x v="433"/>
    <n v="486"/>
    <n v="111044"/>
    <n v="12"/>
    <n v="1719"/>
    <n v="451.24202197968202"/>
    <n v="0.80258186397984888"/>
    <n v="362.15866310648914"/>
    <n v="528.14285714285711"/>
    <n v="31.165195599747506"/>
    <n v="6.4050632911392458E-2"/>
    <n v="218.15636919823257"/>
  </r>
  <r>
    <x v="0"/>
    <x v="434"/>
    <n v="11212"/>
    <n v="1393277"/>
    <n v="248"/>
    <n v="35272"/>
    <n v="724.60508697809337"/>
    <n v="0.78383295201563918"/>
    <n v="567.96934437158791"/>
    <n v="8789"/>
    <n v="50.105064431099436"/>
    <n v="6.1877677986002078E-2"/>
    <n v="350.73545101769605"/>
  </r>
  <r>
    <x v="4"/>
    <x v="434"/>
    <n v="2618"/>
    <n v="366357"/>
    <n v="56"/>
    <n v="8261"/>
    <n v="1067.0603834121353"/>
    <n v="0.79139136725343617"/>
    <n v="844.46237577050556"/>
    <n v="2160.7142857142858"/>
    <n v="70.252372532934075"/>
    <n v="0.14519046004295244"/>
    <n v="491.76660773053857"/>
  </r>
  <r>
    <x v="1"/>
    <x v="434"/>
    <n v="155"/>
    <n v="16504"/>
    <m/>
    <n v="114"/>
    <n v="495.86219845079171"/>
    <n v="0.8491343775762572"/>
    <n v="421.05363924510755"/>
    <n v="164"/>
    <n v="39.476408032004777"/>
    <n v="-0.25877192982456143"/>
    <n v="276.33485622403344"/>
  </r>
  <r>
    <x v="2"/>
    <x v="434"/>
    <n v="286"/>
    <n v="47442"/>
    <n v="4"/>
    <n v="1088"/>
    <n v="290.89918898568004"/>
    <n v="1.1277759897006758"/>
    <n v="328.06912076144926"/>
    <n v="254.57142857142858"/>
    <n v="21.134309963000728"/>
    <n v="-3.4843205574912828E-2"/>
    <n v="147.94016974100506"/>
  </r>
  <r>
    <x v="3"/>
    <x v="434"/>
    <n v="274"/>
    <n v="56849"/>
    <n v="1"/>
    <n v="936"/>
    <n v="414.220493251954"/>
    <n v="1.0023455824863174"/>
    <n v="415.19208158639952"/>
    <n v="215.57142857142858"/>
    <n v="34.826093398551293"/>
    <n v="-0.43033175355450237"/>
    <n v="243.78265378985904"/>
  </r>
  <r>
    <x v="6"/>
    <x v="434"/>
    <n v="38"/>
    <n v="39422"/>
    <n v="4"/>
    <n v="534"/>
    <n v="229.30029505683879"/>
    <n v="0.82636655948553051"/>
    <n v="189.48609591513687"/>
    <n v="171.57142857142858"/>
    <n v="15.307929647763393"/>
    <n v="0.12271731190650115"/>
    <n v="107.15550753434376"/>
  </r>
  <r>
    <x v="5"/>
    <x v="434"/>
    <n v="2546"/>
    <n v="244530"/>
    <n v="21"/>
    <n v="3538"/>
    <n v="609.36855961387596"/>
    <n v="1.0041630148992111"/>
    <n v="611.90537000665938"/>
    <n v="1708.4285714285713"/>
    <n v="45.431492811460629"/>
    <n v="-9.1548010222709086E-2"/>
    <n v="318.02044968022443"/>
  </r>
  <r>
    <x v="7"/>
    <x v="434"/>
    <n v="713"/>
    <n v="68563"/>
    <n v="8"/>
    <n v="1112"/>
    <n v="547.20154463220831"/>
    <n v="1.0771197273114614"/>
    <n v="589.40157853865469"/>
    <n v="590.57142857142856"/>
    <n v="42.610970191183483"/>
    <n v="-0.19826086956521749"/>
    <n v="298.2767913382844"/>
  </r>
  <r>
    <x v="8"/>
    <x v="434"/>
    <n v="373"/>
    <n v="6423"/>
    <n v="1"/>
    <n v="106"/>
    <n v="333.44734654895217"/>
    <n v="1.5864779874213837"/>
    <n v="529.00687526398235"/>
    <n v="233.14285714285714"/>
    <n v="38.523720060023358"/>
    <n v="-3.2279792746113989"/>
    <n v="269.66604042016348"/>
  </r>
  <r>
    <x v="9"/>
    <x v="434"/>
    <n v="99"/>
    <n v="25805"/>
    <m/>
    <n v="1058"/>
    <n v="162.28185673275124"/>
    <n v="0.92529585798816572"/>
    <n v="150.15872986144365"/>
    <n v="85.285714285714292"/>
    <n v="11.06340852683025"/>
    <n v="8.7155963302752326E-2"/>
    <n v="77.443859687811738"/>
  </r>
  <r>
    <x v="10"/>
    <x v="434"/>
    <n v="395"/>
    <n v="30896"/>
    <n v="18"/>
    <n v="431"/>
    <n v="1289.7987880411129"/>
    <n v="1.3758928571428573"/>
    <n v="1774.6249396172814"/>
    <n v="376.85714285714283"/>
    <n v="105.14165825692827"/>
    <n v="-0.32896725440806041"/>
    <n v="735.99160779849785"/>
  </r>
  <r>
    <x v="11"/>
    <x v="434"/>
    <n v="12"/>
    <n v="14392"/>
    <m/>
    <n v="504"/>
    <n v="305.69383352264498"/>
    <n v="1.1046831955922864"/>
    <n v="337.69484088865187"/>
    <n v="78.142857142857139"/>
    <n v="19.856849179062678"/>
    <n v="0.16615853658536583"/>
    <n v="138.99794425343873"/>
  </r>
  <r>
    <x v="12"/>
    <x v="434"/>
    <n v="1036"/>
    <n v="104501"/>
    <n v="47"/>
    <n v="2081"/>
    <n v="527.14664544414063"/>
    <n v="0.84879864088665968"/>
    <n v="447.44135620094846"/>
    <n v="792.57142857142856"/>
    <n v="39.820946420729975"/>
    <n v="-0.12216828478964392"/>
    <n v="278.74662494510983"/>
  </r>
  <r>
    <x v="13"/>
    <x v="434"/>
    <n v="136"/>
    <n v="17198"/>
    <m/>
    <n v="242"/>
    <n v="151.59035086189263"/>
    <n v="1.1687041564792175"/>
    <n v="177.16427313443685"/>
    <n v="168.71428571428572"/>
    <n v="13.376285442909085"/>
    <n v="-0.61559507523939816"/>
    <n v="93.633998100363598"/>
  </r>
  <r>
    <x v="14"/>
    <x v="434"/>
    <n v="657"/>
    <n v="75880"/>
    <n v="2"/>
    <n v="1137"/>
    <n v="875.97901987329396"/>
    <n v="1.8384955752212389"/>
    <n v="1610.4835520236886"/>
    <n v="487.85714285714283"/>
    <n v="73.466154691109779"/>
    <n v="-0.42173189009159029"/>
    <n v="514.26308283776848"/>
  </r>
  <r>
    <x v="15"/>
    <x v="434"/>
    <n v="465"/>
    <n v="64653"/>
    <n v="6"/>
    <n v="1412"/>
    <n v="555.63729752143502"/>
    <n v="1.2557436517533254"/>
    <n v="697.73800903991571"/>
    <n v="325.28571428571428"/>
    <n v="43.510080695244078"/>
    <n v="-0.21310602024507186"/>
    <n v="304.57056486670859"/>
  </r>
  <r>
    <x v="16"/>
    <x v="434"/>
    <n v="322"/>
    <n v="37059"/>
    <n v="2"/>
    <n v="1305"/>
    <n v="211.73872171873433"/>
    <n v="1.1166234727878563"/>
    <n v="236.43242676923464"/>
    <n v="248.71428571428572"/>
    <n v="17.461022854884256"/>
    <n v="-0.36549019607843136"/>
    <n v="122.2271599841898"/>
  </r>
  <r>
    <x v="17"/>
    <x v="434"/>
    <n v="462"/>
    <n v="27006"/>
    <n v="3"/>
    <n v="520"/>
    <n v="553.87939586568143"/>
    <n v="1.2764011799410029"/>
    <n v="706.97231442796556"/>
    <n v="361.28571428571428"/>
    <n v="46.246524881782435"/>
    <n v="-0.40656284760845374"/>
    <n v="323.72567417247706"/>
  </r>
  <r>
    <x v="18"/>
    <x v="434"/>
    <n v="525"/>
    <n v="42397"/>
    <n v="23"/>
    <n v="564"/>
    <n v="1286.964322248627"/>
    <n v="0.77649851632047473"/>
    <n v="999.32588678344416"/>
    <n v="440.57142857142856"/>
    <n v="86.670698559085579"/>
    <n v="0.10815500289184499"/>
    <n v="606.69488991359913"/>
  </r>
  <r>
    <x v="19"/>
    <x v="434"/>
    <n v="216"/>
    <n v="47020"/>
    <n v="2"/>
    <n v="738"/>
    <n v="811.59864150200428"/>
    <n v="1.0992592592592592"/>
    <n v="892.15732147331425"/>
    <n v="227.85714285714286"/>
    <n v="62.30746212917294"/>
    <n v="-0.16168973051711588"/>
    <n v="436.15223490421056"/>
  </r>
  <r>
    <x v="20"/>
    <x v="434"/>
    <n v="2192"/>
    <n v="292551"/>
    <n v="27"/>
    <n v="4839"/>
    <n v="688.52154920600447"/>
    <n v="1.0469085905924842"/>
    <n v="720.81912467181189"/>
    <n v="1762.4285714285713"/>
    <n v="49.836545663679217"/>
    <n v="-2.7056277056277001E-2"/>
    <n v="348.85581964575459"/>
  </r>
  <r>
    <x v="21"/>
    <x v="434"/>
    <n v="228"/>
    <n v="33255"/>
    <n v="5"/>
    <n v="386"/>
    <n v="329.85353358281043"/>
    <n v="1.0957555178268252"/>
    <n v="361.43882949804055"/>
    <n v="278.28571428571428"/>
    <n v="28.445468299584515"/>
    <n v="-0.52306489444878812"/>
    <n v="199.1182780970916"/>
  </r>
  <r>
    <x v="22"/>
    <x v="434"/>
    <n v="90"/>
    <n v="27147"/>
    <m/>
    <n v="401"/>
    <n v="550.24599898207316"/>
    <n v="0.87108325872873771"/>
    <n v="479.31007789575398"/>
    <n v="70.142857142857139"/>
    <n v="39.666830935280856"/>
    <n v="-1.8672199170124415E-2"/>
    <n v="277.66781654696598"/>
  </r>
  <r>
    <x v="23"/>
    <x v="434"/>
    <n v="926"/>
    <n v="111970"/>
    <n v="12"/>
    <n v="1731"/>
    <n v="468.11860342157939"/>
    <n v="0.8434875066454014"/>
    <n v="394.85219361439545"/>
    <n v="534.14285714285711"/>
    <n v="31.519249755871229"/>
    <n v="0.1084883166428231"/>
    <n v="220.63474829109859"/>
  </r>
  <r>
    <x v="0"/>
    <x v="435"/>
    <n v="10349"/>
    <n v="1403626"/>
    <n v="296"/>
    <n v="35568"/>
    <n v="720.56886151248659"/>
    <n v="0.79010833078081921"/>
    <n v="569.32746038226605"/>
    <n v="8712.7142857142862"/>
    <n v="49.67016846688756"/>
    <n v="6.754628709465349E-2"/>
    <n v="347.69117926821292"/>
  </r>
  <r>
    <x v="4"/>
    <x v="435"/>
    <n v="2220"/>
    <n v="368577"/>
    <n v="54"/>
    <n v="8315"/>
    <n v="1044.6585855459309"/>
    <n v="0.77011576903717549"/>
    <n v="804.50804998899252"/>
    <n v="2172.4285714285716"/>
    <n v="70.633244899724204"/>
    <n v="0.10140046091118593"/>
    <n v="494.43271429806941"/>
  </r>
  <r>
    <x v="1"/>
    <x v="435"/>
    <n v="282"/>
    <n v="16786"/>
    <n v="1"/>
    <n v="115"/>
    <n v="537.02357511830894"/>
    <n v="0.94135021097046412"/>
    <n v="505.527255733733"/>
    <n v="176.42857142857142"/>
    <n v="42.468087037914543"/>
    <n v="-0.23995983935742982"/>
    <n v="297.27660926540182"/>
  </r>
  <r>
    <x v="2"/>
    <x v="435"/>
    <n v="302"/>
    <n v="47744"/>
    <n v="4"/>
    <n v="1092"/>
    <n v="294.13693680829459"/>
    <n v="1.1344860710854947"/>
    <n v="333.69425780076455"/>
    <n v="250"/>
    <n v="20.754793734708905"/>
    <n v="2.3982152816508617E-2"/>
    <n v="145.28355614296234"/>
  </r>
  <r>
    <x v="3"/>
    <x v="435"/>
    <n v="244"/>
    <n v="57093"/>
    <n v="1"/>
    <n v="937"/>
    <n v="415.5129128876855"/>
    <n v="1.0153967627319385"/>
    <n v="421.91046661947382"/>
    <n v="205.85714285714286"/>
    <n v="33.256726698020152"/>
    <n v="-0.27409372236958451"/>
    <n v="232.79708688614107"/>
  </r>
  <r>
    <x v="6"/>
    <x v="435"/>
    <n v="61"/>
    <n v="39483"/>
    <n v="5"/>
    <n v="539"/>
    <n v="204.85349317140154"/>
    <n v="0.7"/>
    <n v="143.39744521998108"/>
    <n v="160.85714285714286"/>
    <n v="14.35198066892721"/>
    <n v="3.7606837606837584E-2"/>
    <n v="100.46386468249045"/>
  </r>
  <r>
    <x v="5"/>
    <x v="435"/>
    <n v="2570"/>
    <n v="247100"/>
    <n v="21"/>
    <n v="3559"/>
    <n v="631.28083075163875"/>
    <n v="1.0446204620462045"/>
    <n v="659.44887310068873"/>
    <n v="1817"/>
    <n v="48.31868526373173"/>
    <n v="-0.15417422867513619"/>
    <n v="338.23079684612213"/>
  </r>
  <r>
    <x v="7"/>
    <x v="435"/>
    <n v="696"/>
    <n v="69259"/>
    <n v="6"/>
    <n v="1118"/>
    <n v="551.60282287885445"/>
    <n v="1.0817885948776"/>
    <n v="596.7176426926336"/>
    <n v="569.42857142857144"/>
    <n v="41.085468597498156"/>
    <n v="-8.9368679967204212E-2"/>
    <n v="287.59828018248709"/>
  </r>
  <r>
    <x v="8"/>
    <x v="435"/>
    <n v="322"/>
    <n v="6745"/>
    <n v="22"/>
    <n v="128"/>
    <n v="370.62556903334968"/>
    <n v="1.7564604541895066"/>
    <n v="650.98915531856164"/>
    <n v="237"/>
    <n v="39.161061016898742"/>
    <n v="-1.8407534246575343"/>
    <n v="274.12742711829117"/>
  </r>
  <r>
    <x v="9"/>
    <x v="435"/>
    <n v="89"/>
    <n v="25894"/>
    <n v="5"/>
    <n v="1063"/>
    <n v="161.37380477661273"/>
    <n v="0.90670553935860054"/>
    <n v="146.31852269832817"/>
    <n v="86.285714285714292"/>
    <n v="11.193130234850035"/>
    <n v="5.6250000000000022E-2"/>
    <n v="78.351911643950231"/>
  </r>
  <r>
    <x v="10"/>
    <x v="435"/>
    <n v="648"/>
    <n v="31544"/>
    <n v="4"/>
    <n v="435"/>
    <n v="1405.8611492405728"/>
    <n v="1.488626292466765"/>
    <n v="2092.8018703170592"/>
    <n v="414.28571428571428"/>
    <n v="115.58408223847309"/>
    <n v="-0.35577372604020563"/>
    <n v="809.08857566931147"/>
  </r>
  <r>
    <x v="11"/>
    <x v="435"/>
    <n v="28"/>
    <n v="14420"/>
    <m/>
    <n v="504"/>
    <n v="289.9390391100066"/>
    <n v="1.0372727272727273"/>
    <n v="300.74585784047053"/>
    <n v="71.285714285714292"/>
    <n v="18.11438343757272"/>
    <n v="0.22274143302180682"/>
    <n v="126.80068406300902"/>
  </r>
  <r>
    <x v="12"/>
    <x v="435"/>
    <n v="825"/>
    <n v="105326"/>
    <n v="16"/>
    <n v="2097"/>
    <n v="528.7041698445189"/>
    <n v="0.86331938633193861"/>
    <n v="456.44055946130709"/>
    <n v="771.42857142857144"/>
    <n v="38.758671714481231"/>
    <n v="-5.406988092914311E-2"/>
    <n v="271.31070200136861"/>
  </r>
  <r>
    <x v="13"/>
    <x v="435"/>
    <n v="139"/>
    <n v="17337"/>
    <n v="3"/>
    <n v="245"/>
    <n v="156.66450486563798"/>
    <n v="1.2482627921667719"/>
    <n v="195.5584722770061"/>
    <n v="162.71428571428572"/>
    <n v="12.900583505057959"/>
    <n v="-0.36081242532855429"/>
    <n v="90.304084535405707"/>
  </r>
  <r>
    <x v="14"/>
    <x v="435"/>
    <n v="514"/>
    <n v="76394"/>
    <n v="2"/>
    <n v="1139"/>
    <n v="902.63335828099093"/>
    <n v="1.8065099457504521"/>
    <n v="1630.6161391007413"/>
    <n v="491"/>
    <n v="73.939435921916342"/>
    <n v="-0.34415330465389138"/>
    <n v="517.57605145341438"/>
  </r>
  <r>
    <x v="15"/>
    <x v="435"/>
    <n v="363"/>
    <n v="65016"/>
    <n v="6"/>
    <n v="1418"/>
    <n v="561.38895948422305"/>
    <n v="1.2435555555555555"/>
    <n v="698.11835939415823"/>
    <n v="323.28571428571428"/>
    <n v="43.242561534184169"/>
    <n v="-0.17011375387797312"/>
    <n v="302.69793073928918"/>
  </r>
  <r>
    <x v="16"/>
    <x v="435"/>
    <n v="350"/>
    <n v="37409"/>
    <n v="3"/>
    <n v="1308"/>
    <n v="221.42703193000264"/>
    <n v="1.1892911010558069"/>
    <n v="263.34119860755214"/>
    <n v="254.57142857142858"/>
    <n v="17.872224426998134"/>
    <n v="-0.2988338192419826"/>
    <n v="125.10557098898691"/>
  </r>
  <r>
    <x v="17"/>
    <x v="435"/>
    <n v="474"/>
    <n v="27480"/>
    <n v="1"/>
    <n v="521"/>
    <n v="574.74427719826883"/>
    <n v="1.2946943483275664"/>
    <n v="744.11816742221083"/>
    <n v="347"/>
    <n v="44.417876211091155"/>
    <n v="-0.17855409995147986"/>
    <n v="310.9251334776381"/>
  </r>
  <r>
    <x v="18"/>
    <x v="435"/>
    <n v="435"/>
    <n v="42832"/>
    <n v="9"/>
    <n v="573"/>
    <n v="1261.3902834390394"/>
    <n v="0.75399811853245535"/>
    <n v="951.08590044815628"/>
    <n v="460.71428571428572"/>
    <n v="90.633269407604089"/>
    <n v="-1.1923438970818934E-2"/>
    <n v="634.43288585322853"/>
  </r>
  <r>
    <x v="19"/>
    <x v="435"/>
    <n v="230"/>
    <n v="47250"/>
    <n v="2"/>
    <n v="740"/>
    <n v="817.34108472017886"/>
    <n v="1.1211552888222056"/>
    <n v="916.36627990570696"/>
    <n v="228.85714285714286"/>
    <n v="62.580911806228876"/>
    <n v="-0.15501081470800293"/>
    <n v="438.06638264360208"/>
  </r>
  <r>
    <x v="20"/>
    <x v="435"/>
    <n v="2269"/>
    <n v="294820"/>
    <n v="24"/>
    <n v="4863"/>
    <n v="699.06894490413754"/>
    <n v="1.0539284648505776"/>
    <n v="736.76865992753062"/>
    <n v="1759"/>
    <n v="49.739595262777186"/>
    <n v="7.7363204126037477E-3"/>
    <n v="348.17716683944036"/>
  </r>
  <r>
    <x v="21"/>
    <x v="435"/>
    <n v="342"/>
    <n v="33597"/>
    <n v="3"/>
    <n v="389"/>
    <n v="342.32398015767961"/>
    <n v="1.1383412644459552"/>
    <n v="389.68151242286507"/>
    <n v="290.85714285714283"/>
    <n v="29.730479187861434"/>
    <n v="-0.55064737242955064"/>
    <n v="208.11335431503005"/>
  </r>
  <r>
    <x v="22"/>
    <x v="435"/>
    <n v="94"/>
    <n v="27241"/>
    <n v="1"/>
    <n v="402"/>
    <n v="545.72187977153203"/>
    <n v="0.87807097361237485"/>
    <n v="479.18254229256451"/>
    <n v="68.714285714285708"/>
    <n v="38.858952504827073"/>
    <n v="6.1983471074380514E-3"/>
    <n v="272.01266753378951"/>
  </r>
  <r>
    <x v="23"/>
    <x v="435"/>
    <n v="629"/>
    <n v="112599"/>
    <n v="7"/>
    <n v="1738"/>
    <n v="453.89742815060993"/>
    <n v="0.80510780824785433"/>
    <n v="365.43636354767551"/>
    <n v="550.57142857142856"/>
    <n v="32.48868375478142"/>
    <n v="-4.168837936425307E-3"/>
    <n v="227.42078628346994"/>
  </r>
  <r>
    <x v="0"/>
    <x v="436"/>
    <n v="10673"/>
    <n v="1414299"/>
    <n v="231"/>
    <n v="35799"/>
    <n v="711.81800545357908"/>
    <n v="0.78385962709523516"/>
    <n v="557.96539631451651"/>
    <n v="8703.2857142857138"/>
    <n v="49.616417280299579"/>
    <n v="4.7155056460946532E-2"/>
    <n v="347.31492096209706"/>
  </r>
  <r>
    <x v="4"/>
    <x v="436"/>
    <n v="2615"/>
    <n v="371192"/>
    <n v="74"/>
    <n v="8389"/>
    <n v="1033.0512679287538"/>
    <n v="0.75921146953405017"/>
    <n v="784.30437122820297"/>
    <n v="2146"/>
    <n v="69.773959681966005"/>
    <n v="0.10321771834517346"/>
    <n v="488.41771777376198"/>
  </r>
  <r>
    <x v="1"/>
    <x v="436"/>
    <n v="251"/>
    <n v="17037"/>
    <m/>
    <n v="115"/>
    <n v="560.13171640533608"/>
    <n v="0.985182049110923"/>
    <n v="551.83171214022741"/>
    <n v="191.42857142857142"/>
    <n v="46.078734114012541"/>
    <n v="-0.35764944275582566"/>
    <n v="322.55113879808778"/>
  </r>
  <r>
    <x v="2"/>
    <x v="436"/>
    <n v="490"/>
    <n v="48234"/>
    <n v="4"/>
    <n v="1096"/>
    <n v="301.60866255278978"/>
    <n v="1.1438916876574308"/>
    <n v="345.00764201961124"/>
    <n v="278.14285714285717"/>
    <n v="23.091190515130425"/>
    <n v="-0.15480427046263334"/>
    <n v="161.63833360591298"/>
  </r>
  <r>
    <x v="3"/>
    <x v="436"/>
    <n v="222"/>
    <n v="57315"/>
    <n v="1"/>
    <n v="938"/>
    <n v="413.41273097962176"/>
    <n v="0.99070847851335653"/>
    <n v="409.57149770687266"/>
    <n v="210.14285714285714"/>
    <n v="33.949094360019181"/>
    <n v="-0.35202205882352944"/>
    <n v="237.64366052013429"/>
  </r>
  <r>
    <x v="6"/>
    <x v="436"/>
    <n v="448"/>
    <n v="39931"/>
    <n v="7"/>
    <n v="546"/>
    <n v="227.15896934424575"/>
    <n v="0.76895197825430384"/>
    <n v="174.67433885546652"/>
    <n v="192.71428571428572"/>
    <n v="17.194335632666792"/>
    <n v="-0.12698412698412698"/>
    <n v="120.36034942866753"/>
  </r>
  <r>
    <x v="5"/>
    <x v="436"/>
    <n v="2669"/>
    <n v="249769"/>
    <n v="16"/>
    <n v="3575"/>
    <n v="646.43859112606208"/>
    <n v="1.0469443128472371"/>
    <n v="676.78520658441107"/>
    <n v="1931.7142857142858"/>
    <n v="51.369232025802383"/>
    <n v="-0.25354593492166488"/>
    <n v="359.58462418061669"/>
  </r>
  <r>
    <x v="7"/>
    <x v="436"/>
    <n v="806"/>
    <n v="70065"/>
    <n v="3"/>
    <n v="1121"/>
    <n v="554.70536328222806"/>
    <n v="1.0522857924993156"/>
    <n v="583.70857280506016"/>
    <n v="580.85714285714289"/>
    <n v="41.910064053544282"/>
    <n v="-0.12258420762009936"/>
    <n v="293.37044837481"/>
  </r>
  <r>
    <x v="8"/>
    <x v="436"/>
    <n v="144"/>
    <n v="6889"/>
    <n v="10"/>
    <n v="138"/>
    <n v="392.60202943523797"/>
    <n v="1.9899497487437185"/>
    <n v="781.25830983092578"/>
    <n v="207.14285714285714"/>
    <n v="34.227569906270745"/>
    <n v="-0.56587473002159827"/>
    <n v="239.59298934389523"/>
  </r>
  <r>
    <x v="9"/>
    <x v="436"/>
    <n v="95"/>
    <n v="25989"/>
    <m/>
    <n v="1063"/>
    <n v="157.09298841195982"/>
    <n v="0.85341789992952788"/>
    <n v="134.0659682641884"/>
    <n v="86.857142857142861"/>
    <n v="11.267256925147054"/>
    <n v="-8.2918739635158278E-3"/>
    <n v="78.870798476029378"/>
  </r>
  <r>
    <x v="10"/>
    <x v="436"/>
    <n v="643"/>
    <n v="32187"/>
    <n v="3"/>
    <n v="438"/>
    <n v="1497.9298492305288"/>
    <n v="1.5379547407619594"/>
    <n v="2303.7483129529387"/>
    <n v="450.14285714285717"/>
    <n v="125.58808383911334"/>
    <n v="-0.42064923354373307"/>
    <n v="879.11658687379338"/>
  </r>
  <r>
    <x v="11"/>
    <x v="436"/>
    <n v="26"/>
    <n v="14446"/>
    <m/>
    <n v="504"/>
    <n v="284.85684736399418"/>
    <n v="1.082046332046332"/>
    <n v="308.2283068484918"/>
    <n v="63.857142857142854"/>
    <n v="16.226712217625259"/>
    <n v="0.33679525222551931"/>
    <n v="113.58698552337682"/>
  </r>
  <r>
    <x v="12"/>
    <x v="436"/>
    <n v="995"/>
    <n v="106321"/>
    <n v="12"/>
    <n v="2109"/>
    <n v="534.53232566528902"/>
    <n v="0.88525545015809615"/>
    <n v="473.19765458087949"/>
    <n v="804"/>
    <n v="40.395148964648214"/>
    <n v="-0.12312911594492126"/>
    <n v="282.76604275253749"/>
  </r>
  <r>
    <x v="13"/>
    <x v="436"/>
    <n v="164"/>
    <n v="17501"/>
    <n v="7"/>
    <n v="252"/>
    <n v="157.29877411610616"/>
    <n v="1.2097560975609756"/>
    <n v="190.29315112582597"/>
    <n v="163.71428571428572"/>
    <n v="12.979867161366478"/>
    <n v="-0.36754176610978528"/>
    <n v="90.859070129565353"/>
  </r>
  <r>
    <x v="14"/>
    <x v="436"/>
    <n v="649"/>
    <n v="77043"/>
    <n v="6"/>
    <n v="1145"/>
    <n v="944.64782390668267"/>
    <n v="1.8015508328546812"/>
    <n v="1701.8310739134465"/>
    <n v="514.57142857142856"/>
    <n v="77.489045152965559"/>
    <n v="-0.34855859228753272"/>
    <n v="542.42331607075903"/>
  </r>
  <r>
    <x v="15"/>
    <x v="436"/>
    <n v="555"/>
    <n v="65571"/>
    <n v="3"/>
    <n v="1421"/>
    <n v="589.21095223445377"/>
    <n v="1.2514204545454546"/>
    <n v="737.35063766840028"/>
    <n v="350.57142857142856"/>
    <n v="46.89228723150152"/>
    <n v="-0.25781650435674019"/>
    <n v="328.24601062051067"/>
  </r>
  <r>
    <x v="16"/>
    <x v="436"/>
    <n v="261"/>
    <n v="37670"/>
    <n v="1"/>
    <n v="1309"/>
    <n v="221.14621134416879"/>
    <n v="1.189127972819932"/>
    <n v="262.97114599249966"/>
    <n v="254.42857142857142"/>
    <n v="17.862195120361207"/>
    <n v="-0.30094959824689549"/>
    <n v="125.03536584252846"/>
  </r>
  <r>
    <x v="17"/>
    <x v="436"/>
    <n v="568"/>
    <n v="28048"/>
    <n v="16"/>
    <n v="537"/>
    <n v="604.44153161029521"/>
    <n v="1.3365411831304841"/>
    <n v="807.86099979162589"/>
    <n v="366.57142857142856"/>
    <n v="46.923124889938208"/>
    <n v="-0.19016697588126164"/>
    <n v="328.46187422956746"/>
  </r>
  <r>
    <x v="18"/>
    <x v="436"/>
    <n v="587"/>
    <n v="43419"/>
    <n v="8"/>
    <n v="581"/>
    <n v="1272.2100690892494"/>
    <n v="0.75171451819132862"/>
    <n v="956.33877912358196"/>
    <n v="490.42857142857144"/>
    <n v="96.478763992652659"/>
    <n v="-0.1315095583388266"/>
    <n v="675.35134794856867"/>
  </r>
  <r>
    <x v="19"/>
    <x v="436"/>
    <n v="209"/>
    <n v="47459"/>
    <n v="5"/>
    <n v="745"/>
    <n v="811.32519182494855"/>
    <n v="1.095642540620384"/>
    <n v="888.92239444040706"/>
    <n v="210.85714285714286"/>
    <n v="57.658817619222106"/>
    <n v="1.0060362173038184E-2"/>
    <n v="403.61172333455477"/>
  </r>
  <r>
    <x v="20"/>
    <x v="436"/>
    <n v="2181"/>
    <n v="297001"/>
    <n v="28"/>
    <n v="4891"/>
    <n v="694.94047366572613"/>
    <n v="1.0338213023725391"/>
    <n v="718.44426555649022"/>
    <n v="1785.4285714285713"/>
    <n v="50.486921269730317"/>
    <n v="-3.4773969200198707E-2"/>
    <n v="353.40844888811222"/>
  </r>
  <r>
    <x v="21"/>
    <x v="436"/>
    <n v="403"/>
    <n v="34000"/>
    <n v="3"/>
    <n v="392"/>
    <n v="359.49639839192571"/>
    <n v="1.1817876344086022"/>
    <n v="424.84839823400631"/>
    <n v="299.14285714285717"/>
    <n v="30.577418182407591"/>
    <n v="-0.47153900210822197"/>
    <n v="214.0419272768531"/>
  </r>
  <r>
    <x v="22"/>
    <x v="436"/>
    <n v="117"/>
    <n v="27358"/>
    <n v="2"/>
    <n v="404"/>
    <n v="558.16320760052031"/>
    <n v="0.86578947368421055"/>
    <n v="483.25182973834524"/>
    <n v="72.857142857142861"/>
    <n v="41.201799953143052"/>
    <n v="-6.9182389937106903E-2"/>
    <n v="288.41259967200136"/>
  </r>
  <r>
    <x v="23"/>
    <x v="436"/>
    <n v="760"/>
    <n v="113359"/>
    <n v="7"/>
    <n v="1745"/>
    <n v="454.36950035877487"/>
    <n v="0.80975917551793042"/>
    <n v="367.92987199101555"/>
    <n v="576.71428571428567"/>
    <n v="34.031348292177626"/>
    <n v="-0.10210210210210202"/>
    <n v="238.21943804524341"/>
  </r>
  <r>
    <x v="0"/>
    <x v="437"/>
    <n v="11294"/>
    <n v="1425593"/>
    <n v="391"/>
    <n v="36190"/>
    <n v="716.51553339660177"/>
    <n v="0.81300050454739514"/>
    <n v="582.52749016748317"/>
    <n v="8917.7142857142862"/>
    <n v="50.838849569217224"/>
    <n v="1.3230900554844216E-2"/>
    <n v="355.8719469845206"/>
  </r>
  <r>
    <x v="4"/>
    <x v="437"/>
    <n v="2774"/>
    <n v="373966"/>
    <n v="37"/>
    <n v="8426"/>
    <n v="1034.7744831492312"/>
    <n v="0.77138979107082262"/>
    <n v="798.21447236190386"/>
    <n v="2245.2857142857142"/>
    <n v="73.002085229760326"/>
    <n v="2.4334223105096475E-2"/>
    <n v="511.01459660832228"/>
  </r>
  <r>
    <x v="1"/>
    <x v="437"/>
    <n v="195"/>
    <n v="17232"/>
    <n v="6"/>
    <n v="121"/>
    <n v="561.57597523577522"/>
    <n v="0.96925633568757785"/>
    <n v="544.31107196720541"/>
    <n v="192.71428571428572"/>
    <n v="46.388218149106656"/>
    <n v="-0.37093495934959342"/>
    <n v="324.7175270437466"/>
  </r>
  <r>
    <x v="2"/>
    <x v="437"/>
    <n v="487"/>
    <n v="48721"/>
    <n v="6"/>
    <n v="1102"/>
    <n v="325.18610823541911"/>
    <n v="1.2758957654723126"/>
    <n v="414.90357848799238"/>
    <n v="297.28571428571428"/>
    <n v="24.680414721102419"/>
    <n v="-0.13344226579520702"/>
    <n v="172.76290304771692"/>
  </r>
  <r>
    <x v="3"/>
    <x v="437"/>
    <n v="245"/>
    <n v="57560"/>
    <n v="1"/>
    <n v="939"/>
    <n v="433.60678778792681"/>
    <n v="1.1040723981900453"/>
    <n v="478.73328606449843"/>
    <n v="206"/>
    <n v="33.279805620086783"/>
    <n v="-0.16103059581320456"/>
    <n v="232.95863934060748"/>
  </r>
  <r>
    <x v="6"/>
    <x v="437"/>
    <n v="327"/>
    <n v="40258"/>
    <n v="7"/>
    <n v="553"/>
    <n v="246.16323504350908"/>
    <n v="0.85259579728059331"/>
    <n v="209.87773964309071"/>
    <n v="220.28571428571428"/>
    <n v="19.654311004871897"/>
    <n v="-0.26705012325390309"/>
    <n v="137.58017703410329"/>
  </r>
  <r>
    <x v="5"/>
    <x v="437"/>
    <n v="2885"/>
    <n v="252654"/>
    <n v="10"/>
    <n v="3585"/>
    <n v="673.96189285856747"/>
    <n v="1.1146589259796806"/>
    <n v="751.23763964496345"/>
    <n v="2117.7142857142858"/>
    <n v="56.315448569035247"/>
    <n v="-0.40912547528517118"/>
    <n v="394.20813998324667"/>
  </r>
  <r>
    <x v="7"/>
    <x v="437"/>
    <n v="925"/>
    <n v="70990"/>
    <n v="6"/>
    <n v="1127"/>
    <n v="580.6801201476809"/>
    <n v="1.1108350586611455"/>
    <n v="645.03983532761015"/>
    <n v="607.14285714285711"/>
    <n v="43.806633602450368"/>
    <n v="-0.11901000526592953"/>
    <n v="306.6464352171526"/>
  </r>
  <r>
    <x v="8"/>
    <x v="437"/>
    <n v="49"/>
    <n v="6938"/>
    <n v="24"/>
    <n v="162"/>
    <n v="398.88101812149176"/>
    <n v="2.170863309352518"/>
    <n v="865.91616703712327"/>
    <n v="167.57142857142858"/>
    <n v="27.68892379314179"/>
    <n v="5.4794520547945202E-2"/>
    <n v="193.82246655199251"/>
  </r>
  <r>
    <x v="9"/>
    <x v="437"/>
    <n v="97"/>
    <n v="26086"/>
    <m/>
    <n v="1063"/>
    <n v="158.13076207611812"/>
    <n v="0.87383512544802866"/>
    <n v="138.18021431597705"/>
    <n v="82.714285714285708"/>
    <n v="10.729838420493657"/>
    <n v="9.5312500000000022E-2"/>
    <n v="75.108868943455604"/>
  </r>
  <r>
    <x v="10"/>
    <x v="437"/>
    <n v="650"/>
    <n v="32837"/>
    <n v="2"/>
    <n v="440"/>
    <n v="1592.2305177050901"/>
    <n v="1.6800117750956727"/>
    <n v="2674.9660184112304"/>
    <n v="490.71428571428572"/>
    <n v="136.90735258246727"/>
    <n v="-0.51188380281690149"/>
    <n v="958.35146807727074"/>
  </r>
  <r>
    <x v="11"/>
    <x v="437"/>
    <n v="79"/>
    <n v="14525"/>
    <n v="7"/>
    <n v="511"/>
    <n v="293.49657333221523"/>
    <n v="1.1821903787103378"/>
    <n v="346.96882517779795"/>
    <n v="63"/>
    <n v="16.008903999939015"/>
    <n v="0.38235294117647056"/>
    <n v="112.06232799957309"/>
  </r>
  <r>
    <x v="12"/>
    <x v="437"/>
    <n v="1060"/>
    <n v="107381"/>
    <n v="32"/>
    <n v="2141"/>
    <n v="546.59057908757211"/>
    <n v="0.93078370978781655"/>
    <n v="508.75760693820132"/>
    <n v="823.57142857142856"/>
    <n v="41.378470821108202"/>
    <n v="-0.12729761439186538"/>
    <n v="289.64929574775744"/>
  </r>
  <r>
    <x v="13"/>
    <x v="437"/>
    <n v="133"/>
    <n v="17634"/>
    <n v="1"/>
    <n v="253"/>
    <n v="158.96373089858511"/>
    <n v="1.2827895073576456"/>
    <n v="203.91700604712935"/>
    <n v="150.57142857142858"/>
    <n v="11.9378533927402"/>
    <n v="-0.10830704521556256"/>
    <n v="83.564973749181391"/>
  </r>
  <r>
    <x v="14"/>
    <x v="437"/>
    <n v="457"/>
    <n v="77500"/>
    <n v="4"/>
    <n v="1149"/>
    <n v="961.2126669849124"/>
    <n v="1.806168647425014"/>
    <n v="1736.1121826159297"/>
    <n v="493"/>
    <n v="74.240614886975067"/>
    <n v="-0.17701227830832189"/>
    <n v="519.68430420882544"/>
  </r>
  <r>
    <x v="15"/>
    <x v="437"/>
    <n v="393"/>
    <n v="65964"/>
    <n v="5"/>
    <n v="1426"/>
    <n v="603.38946777062915"/>
    <n v="1.2492384381057879"/>
    <n v="753.77731628726349"/>
    <n v="360.85714285714283"/>
    <n v="48.26810005980964"/>
    <n v="-0.27254408060453406"/>
    <n v="337.8767004186675"/>
  </r>
  <r>
    <x v="16"/>
    <x v="437"/>
    <n v="382"/>
    <n v="38052"/>
    <n v="5"/>
    <n v="1314"/>
    <n v="229.36021347980932"/>
    <n v="1.2403189066059226"/>
    <n v="284.4798092021781"/>
    <n v="270.42857142857144"/>
    <n v="18.985477463696672"/>
    <n v="-0.37772925764192133"/>
    <n v="132.89834224587668"/>
  </r>
  <r>
    <x v="17"/>
    <x v="437"/>
    <n v="624"/>
    <n v="28672"/>
    <n v="5"/>
    <n v="542"/>
    <n v="646.17129427547025"/>
    <n v="1.4033917153183209"/>
    <n v="906.83144106271163"/>
    <n v="387.14285714285717"/>
    <n v="49.556378975733651"/>
    <n v="-0.15911035072711721"/>
    <n v="346.89465283013556"/>
  </r>
  <r>
    <x v="18"/>
    <x v="437"/>
    <n v="641"/>
    <n v="44060"/>
    <n v="19"/>
    <n v="600"/>
    <n v="1295.6201507687949"/>
    <n v="0.78713995458348274"/>
    <n v="1019.8343866335942"/>
    <n v="517.57142857142856"/>
    <n v="101.81839846937972"/>
    <n v="-0.22274721565980427"/>
    <n v="712.72878928565808"/>
  </r>
  <r>
    <x v="19"/>
    <x v="437"/>
    <n v="271"/>
    <n v="47730"/>
    <n v="2"/>
    <n v="747"/>
    <n v="811.59864150200428"/>
    <n v="1.0521091811414391"/>
    <n v="853.89038212617811"/>
    <n v="213.28571428571428"/>
    <n v="58.322909692072223"/>
    <n v="-1.2203389830508504E-2"/>
    <n v="408.26036784450559"/>
  </r>
  <r>
    <x v="20"/>
    <x v="437"/>
    <n v="2193"/>
    <n v="299194"/>
    <n v="27"/>
    <n v="4918"/>
    <n v="701.95321933097273"/>
    <n v="1.0446492446239952"/>
    <n v="733.29490033548234"/>
    <n v="1820.7142857142858"/>
    <n v="51.484702479013677"/>
    <n v="-5.5137014653530825E-2"/>
    <n v="360.3929173530957"/>
  </r>
  <r>
    <x v="21"/>
    <x v="437"/>
    <n v="454"/>
    <n v="34454"/>
    <n v="3"/>
    <n v="395"/>
    <n v="389.54813030185636"/>
    <n v="1.3241834607366227"/>
    <n v="515.83319130659299"/>
    <n v="314.14285714285717"/>
    <n v="32.110669810465282"/>
    <n v="-0.36414392059553347"/>
    <n v="224.77468867325695"/>
  </r>
  <r>
    <x v="22"/>
    <x v="437"/>
    <n v="71"/>
    <n v="27429"/>
    <m/>
    <n v="404"/>
    <n v="562.12181190974388"/>
    <n v="0.90117860380779691"/>
    <n v="506.57214962673203"/>
    <n v="71.142857142857139"/>
    <n v="40.232345836598505"/>
    <n v="-4.0322580645162365E-3"/>
    <n v="281.62642085618955"/>
  </r>
  <r>
    <x v="23"/>
    <x v="437"/>
    <n v="677"/>
    <n v="114036"/>
    <m/>
    <n v="1745"/>
    <n v="456.49382529551718"/>
    <n v="0.83031018568208648"/>
    <n v="379.03147284384681"/>
    <n v="588.28571428571433"/>
    <n v="34.714167021844808"/>
    <n v="-0.13819789939192928"/>
    <n v="242.99916915291362"/>
  </r>
  <r>
    <x v="0"/>
    <x v="438"/>
    <n v="8390"/>
    <n v="1433983"/>
    <n v="262"/>
    <n v="36452"/>
    <n v="721.54371257833225"/>
    <n v="0.82871940599505001"/>
    <n v="597.95727688737861"/>
    <n v="9053"/>
    <n v="51.610097655563003"/>
    <n v="-2.7691626052281926E-3"/>
    <n v="361.27068358894098"/>
  </r>
  <r>
    <x v="4"/>
    <x v="438"/>
    <n v="2292"/>
    <n v="376258"/>
    <n v="36"/>
    <n v="8462"/>
    <n v="1031.8157551291663"/>
    <n v="0.7776661438933542"/>
    <n v="802.40817949970813"/>
    <n v="2279.2857142857142"/>
    <n v="74.107544050443849"/>
    <n v="-1.1089987325728856E-2"/>
    <n v="518.75280835310696"/>
  </r>
  <r>
    <x v="1"/>
    <x v="438"/>
    <n v="375"/>
    <n v="17607"/>
    <n v="3"/>
    <n v="124"/>
    <n v="642.69517954544358"/>
    <n v="1.1649214659685865"/>
    <n v="748.68941072702205"/>
    <n v="239"/>
    <n v="57.529643412494771"/>
    <n v="-0.67803410230692074"/>
    <n v="402.7075038874633"/>
  </r>
  <r>
    <x v="2"/>
    <x v="438"/>
    <n v="342"/>
    <n v="49063"/>
    <n v="2"/>
    <n v="1104"/>
    <n v="334.98237087820172"/>
    <n v="1.3246881155613921"/>
    <n v="443.74716562493239"/>
    <n v="312.28571428571428"/>
    <n v="25.925702345184948"/>
    <n v="-0.18226068144943208"/>
    <n v="181.47991641629466"/>
  </r>
  <r>
    <x v="3"/>
    <x v="438"/>
    <n v="164"/>
    <n v="57724"/>
    <n v="18"/>
    <n v="957"/>
    <n v="442.00751542018179"/>
    <n v="1.1135531135531136"/>
    <n v="492.19884501001928"/>
    <n v="211.28571428571428"/>
    <n v="34.133725736552258"/>
    <n v="-0.17661097852028629"/>
    <n v="238.9360801558658"/>
  </r>
  <r>
    <x v="6"/>
    <x v="438"/>
    <n v="51"/>
    <n v="40309"/>
    <m/>
    <n v="553"/>
    <n v="237.50871028844549"/>
    <n v="0.85622386619491797"/>
    <n v="203.36062617814147"/>
    <n v="189.57142857142858"/>
    <n v="16.913923932208178"/>
    <n v="5.9925093632958726E-3"/>
    <n v="118.39746752545724"/>
  </r>
  <r>
    <x v="5"/>
    <x v="438"/>
    <n v="2125"/>
    <n v="254779"/>
    <n v="8"/>
    <n v="3593"/>
    <n v="697.52290284407445"/>
    <n v="1.1540322935456906"/>
    <n v="804.96395536979514"/>
    <n v="2192.2857142857142"/>
    <n v="58.298493911253018"/>
    <n v="-0.40995957368614477"/>
    <n v="408.08945737877116"/>
  </r>
  <r>
    <x v="7"/>
    <x v="438"/>
    <n v="691"/>
    <n v="71681"/>
    <n v="4"/>
    <n v="1131"/>
    <n v="602.68651138091184"/>
    <n v="1.1744938132733409"/>
    <n v="707.85157896017392"/>
    <n v="647.28571428571433"/>
    <n v="46.703025141812383"/>
    <n v="-0.18550497121925691"/>
    <n v="326.9211759926867"/>
  </r>
  <r>
    <x v="8"/>
    <x v="438"/>
    <n v="7"/>
    <n v="6945"/>
    <m/>
    <n v="162"/>
    <n v="398.38530848836649"/>
    <n v="2.1779584462511292"/>
    <n v="867.66664748459948"/>
    <n v="149.71428571428572"/>
    <n v="24.738271215014997"/>
    <n v="0.23110785033015402"/>
    <n v="173.16789850510497"/>
  </r>
  <r>
    <x v="9"/>
    <x v="438"/>
    <n v="92"/>
    <n v="26178"/>
    <m/>
    <n v="1063"/>
    <n v="162.41157844077102"/>
    <n v="0.95281582952815824"/>
    <n v="154.74832283702079"/>
    <n v="83.714285714285708"/>
    <n v="10.859560128513442"/>
    <n v="0.12012012012012008"/>
    <n v="76.016920899594098"/>
  </r>
  <r>
    <x v="10"/>
    <x v="438"/>
    <n v="534"/>
    <n v="33371"/>
    <m/>
    <n v="440"/>
    <n v="1663.65350921245"/>
    <n v="1.6930721181147075"/>
    <n v="2816.6853706512888"/>
    <n v="513.57142857142856"/>
    <n v="143.28440539562436"/>
    <n v="-0.51815878378378377"/>
    <n v="1002.9908377693707"/>
  </r>
  <r>
    <x v="11"/>
    <x v="438"/>
    <n v="134"/>
    <n v="14659"/>
    <n v="6"/>
    <n v="517"/>
    <n v="306.20205269724619"/>
    <n v="1.137865911237016"/>
    <n v="348.41687771499682"/>
    <n v="68.714285714285708"/>
    <n v="17.460958784513981"/>
    <n v="0.33563535911602205"/>
    <n v="122.22671149159787"/>
  </r>
  <r>
    <x v="12"/>
    <x v="438"/>
    <n v="596"/>
    <n v="107977"/>
    <n v="21"/>
    <n v="2162"/>
    <n v="552.21776401797081"/>
    <n v="0.96336225786659657"/>
    <n v="531.9857519783958"/>
    <n v="805.85714285714289"/>
    <n v="40.488456878034931"/>
    <n v="-5.4392523364485967E-2"/>
    <n v="283.41919814624447"/>
  </r>
  <r>
    <x v="13"/>
    <x v="438"/>
    <n v="164"/>
    <n v="17798"/>
    <n v="5"/>
    <n v="258"/>
    <n v="163.64146662078787"/>
    <n v="1.3543307086614174"/>
    <n v="221.6246634549253"/>
    <n v="153.85714285714286"/>
    <n v="12.198356834896771"/>
    <n v="-9.1185410334346573E-2"/>
    <n v="85.388497844277381"/>
  </r>
  <r>
    <x v="14"/>
    <x v="438"/>
    <n v="476"/>
    <n v="77976"/>
    <n v="2"/>
    <n v="1151"/>
    <n v="981.99401557396425"/>
    <n v="1.7174084803792469"/>
    <n v="1686.4848500283965"/>
    <n v="502.71428571428572"/>
    <n v="75.703484145831709"/>
    <n v="-0.17221852098600943"/>
    <n v="529.92438902082199"/>
  </r>
  <r>
    <x v="15"/>
    <x v="438"/>
    <n v="322"/>
    <n v="66286"/>
    <n v="1"/>
    <n v="1427"/>
    <n v="624.12220275277218"/>
    <n v="1.2893064382426085"/>
    <n v="804.6847742593078"/>
    <n v="368"/>
    <n v="49.223525635023613"/>
    <n v="-0.23253588516746415"/>
    <n v="344.56467944516527"/>
  </r>
  <r>
    <x v="16"/>
    <x v="438"/>
    <n v="312"/>
    <n v="38364"/>
    <n v="4"/>
    <n v="1318"/>
    <n v="242.27796042816715"/>
    <n v="1.296880871852687"/>
    <n v="314.20565255077219"/>
    <n v="289"/>
    <n v="20.289287326496755"/>
    <n v="-0.41666666666666674"/>
    <n v="142.02501128547729"/>
  </r>
  <r>
    <x v="17"/>
    <x v="438"/>
    <n v="284"/>
    <n v="28956"/>
    <n v="5"/>
    <n v="547"/>
    <n v="668.1882242705932"/>
    <n v="1.4344600164880461"/>
    <n v="958.48929120431342"/>
    <n v="390.14285714285717"/>
    <n v="49.940395196578827"/>
    <n v="-9.7227802330253077E-2"/>
    <n v="349.58276637605172"/>
  </r>
  <r>
    <x v="18"/>
    <x v="438"/>
    <n v="461"/>
    <n v="44521"/>
    <n v="4"/>
    <n v="604"/>
    <n v="1282.6364079885427"/>
    <n v="0.77822869419909291"/>
    <n v="998.18445692113858"/>
    <n v="509"/>
    <n v="100.13219810830802"/>
    <n v="-0.20493743659113961"/>
    <n v="700.92538675815615"/>
  </r>
  <r>
    <x v="19"/>
    <x v="438"/>
    <n v="194"/>
    <n v="47924"/>
    <n v="3"/>
    <n v="750"/>
    <n v="828.00562212536033"/>
    <n v="1.0814285714285714"/>
    <n v="895.42893706985399"/>
    <n v="212.28571428571428"/>
    <n v="58.049460015016294"/>
    <n v="3.6316472114137466E-2"/>
    <n v="406.34622010511407"/>
  </r>
  <r>
    <x v="20"/>
    <x v="438"/>
    <n v="2449"/>
    <n v="301643"/>
    <n v="14"/>
    <n v="4932"/>
    <n v="730.03247919222213"/>
    <n v="1.085751535032383"/>
    <n v="792.63388490645139"/>
    <n v="1912.2857142857142"/>
    <n v="54.074086103105294"/>
    <n v="-7.6824068860107841E-2"/>
    <n v="378.51860272173712"/>
  </r>
  <r>
    <x v="21"/>
    <x v="438"/>
    <n v="471"/>
    <n v="34925"/>
    <n v="2"/>
    <n v="397"/>
    <n v="416.12449185485622"/>
    <n v="1.4364855328158082"/>
    <n v="597.75681239983055"/>
    <n v="343.85714285714283"/>
    <n v="35.147968273665263"/>
    <n v="-0.44651442307692313"/>
    <n v="246.03577791565687"/>
  </r>
  <r>
    <x v="22"/>
    <x v="438"/>
    <n v="34"/>
    <n v="27463"/>
    <m/>
    <n v="404"/>
    <n v="546.28739467284959"/>
    <n v="0.89032258064516134"/>
    <n v="486.37200299905322"/>
    <n v="69.428571428571431"/>
    <n v="39.262891720053965"/>
    <n v="-1.2499999999999956E-2"/>
    <n v="274.8402420403778"/>
  </r>
  <r>
    <x v="23"/>
    <x v="438"/>
    <n v="509"/>
    <n v="114545"/>
    <m/>
    <n v="1745"/>
    <n v="468.29563049964122"/>
    <n v="0.85214216686352406"/>
    <n v="399.05445330668448"/>
    <n v="614.85714285714289"/>
    <n v="36.282121141821285"/>
    <n v="-0.18502202643171817"/>
    <n v="253.97484799274898"/>
  </r>
  <r>
    <x v="0"/>
    <x v="439"/>
    <n v="5415"/>
    <n v="1439398"/>
    <n v="150"/>
    <n v="36601"/>
    <n v="723.32808909066978"/>
    <n v="0.84665123013992971"/>
    <n v="612.40661642338023"/>
    <n v="9220.8571428571431"/>
    <n v="52.567031659212716"/>
    <n v="-3.5486251483941356E-2"/>
    <n v="367.96922161448907"/>
  </r>
  <r>
    <x v="4"/>
    <x v="439"/>
    <n v="1851"/>
    <n v="378109"/>
    <n v="23"/>
    <n v="8485"/>
    <n v="1036.7252928327903"/>
    <n v="0.81095653500852005"/>
    <n v="840.73915123137294"/>
    <n v="2320.7142857142858"/>
    <n v="75.454531689091851"/>
    <n v="-3.861645674828984E-2"/>
    <n v="528.18172182364287"/>
  </r>
  <r>
    <x v="1"/>
    <x v="439"/>
    <n v="422"/>
    <n v="18029"/>
    <m/>
    <n v="124"/>
    <n v="729.35070937179557"/>
    <n v="1.3593539703903095"/>
    <n v="991.445782591539"/>
    <n v="265.57142857142856"/>
    <n v="63.925646804439786"/>
    <n v="-0.58753202391118697"/>
    <n v="447.4795276310785"/>
  </r>
  <r>
    <x v="2"/>
    <x v="439"/>
    <n v="234"/>
    <n v="49297"/>
    <n v="4"/>
    <n v="1108"/>
    <n v="341.78994322318624"/>
    <n v="1.3379915502112447"/>
    <n v="457.31205597980426"/>
    <n v="331.14285714285717"/>
    <n v="27.491206786888714"/>
    <n v="-0.2884936075597555"/>
    <n v="192.43844750822097"/>
  </r>
  <r>
    <x v="3"/>
    <x v="439"/>
    <n v="145"/>
    <n v="57869"/>
    <n v="1"/>
    <n v="958"/>
    <n v="454.60860686856415"/>
    <n v="1.1439024390243901"/>
    <n v="520.02789419843066"/>
    <n v="218"/>
    <n v="35.218435073684077"/>
    <n v="-0.18478260869565211"/>
    <n v="246.52904551578851"/>
  </r>
  <r>
    <x v="6"/>
    <x v="439"/>
    <n v="241"/>
    <n v="40550"/>
    <m/>
    <n v="553"/>
    <n v="246.34167885289185"/>
    <n v="0.90346858638743455"/>
    <n v="222.56196836152958"/>
    <n v="185.57142857142858"/>
    <n v="16.557036313442669"/>
    <n v="0.11149110807113538"/>
    <n v="115.89925419409869"/>
  </r>
  <r>
    <x v="5"/>
    <x v="439"/>
    <n v="1865"/>
    <n v="256644"/>
    <n v="3"/>
    <n v="3596"/>
    <n v="721.34983845018542"/>
    <n v="1.1952412425644414"/>
    <n v="862.18707723285866"/>
    <n v="2292.5714285714284"/>
    <n v="60.965347992166592"/>
    <n v="-0.4486369380754649"/>
    <n v="426.75743594516615"/>
  </r>
  <r>
    <x v="7"/>
    <x v="439"/>
    <n v="401"/>
    <n v="72082"/>
    <m/>
    <n v="1131"/>
    <n v="616.68401924729483"/>
    <n v="1.2058408577878104"/>
    <n v="743.6227867531926"/>
    <n v="664.14285714285711"/>
    <n v="47.919303439480409"/>
    <n v="-0.19266290405336073"/>
    <n v="335.43512407636291"/>
  </r>
  <r>
    <x v="8"/>
    <x v="439"/>
    <n v="1221"/>
    <n v="8166"/>
    <m/>
    <n v="162"/>
    <n v="599.31294644848833"/>
    <n v="3.3676880222841228"/>
    <n v="2018.2990313543801"/>
    <n v="323.42857142857144"/>
    <n v="53.442219495032397"/>
    <n v="-0.66104181951577412"/>
    <n v="374.09553646522676"/>
  </r>
  <r>
    <x v="9"/>
    <x v="439"/>
    <n v="64"/>
    <n v="26242"/>
    <n v="3"/>
    <n v="1066"/>
    <n v="162.6710218568106"/>
    <n v="0.96313364055299544"/>
    <n v="156.67393349342589"/>
    <n v="83.428571428571431"/>
    <n v="10.822496783364933"/>
    <n v="0.12835820895522387"/>
    <n v="75.757477483554538"/>
  </r>
  <r>
    <x v="10"/>
    <x v="439"/>
    <n v="221"/>
    <n v="33592"/>
    <n v="1"/>
    <n v="441"/>
    <n v="1670.6284107268405"/>
    <n v="1.674496644295302"/>
    <n v="2797.4616676264877"/>
    <n v="506.28571428571428"/>
    <n v="141.25171981143055"/>
    <n v="-0.45008183306055649"/>
    <n v="988.7620386800138"/>
  </r>
  <r>
    <x v="11"/>
    <x v="439"/>
    <n v="195"/>
    <n v="14854"/>
    <m/>
    <n v="517"/>
    <n v="332.62944977651063"/>
    <n v="1.1856884057971016"/>
    <n v="394.39488202667792"/>
    <n v="81.142857142857139"/>
    <n v="20.619177940964533"/>
    <n v="0.23346828609986503"/>
    <n v="144.33424558675173"/>
  </r>
  <r>
    <x v="12"/>
    <x v="439"/>
    <n v="360"/>
    <n v="108337"/>
    <n v="29"/>
    <n v="2191"/>
    <n v="553.82553114094185"/>
    <n v="0.98675140990063559"/>
    <n v="546.48812369229267"/>
    <n v="815.85714285714289"/>
    <n v="40.990884103963396"/>
    <n v="-7.5112951807228878E-2"/>
    <n v="286.93618872774374"/>
  </r>
  <r>
    <x v="13"/>
    <x v="439"/>
    <n v="120"/>
    <n v="17918"/>
    <n v="1"/>
    <n v="259"/>
    <n v="165.06857243434123"/>
    <n v="1.3537061118335501"/>
    <n v="223.45433537600678"/>
    <n v="145.42857142857142"/>
    <n v="11.530108874582089"/>
    <n v="4.3233082706766957E-2"/>
    <n v="80.710762122074627"/>
  </r>
  <r>
    <x v="14"/>
    <x v="439"/>
    <n v="416"/>
    <n v="78392"/>
    <n v="14"/>
    <n v="1165"/>
    <n v="1021.1472810315981"/>
    <n v="1.7658854166666667"/>
    <n v="1803.2290918425174"/>
    <n v="516.42857142857144"/>
    <n v="77.768711334805815"/>
    <n v="-0.14181933038534433"/>
    <n v="544.38097934364066"/>
  </r>
  <r>
    <x v="15"/>
    <x v="439"/>
    <n v="153"/>
    <n v="66439"/>
    <n v="7"/>
    <n v="1434"/>
    <n v="630.67642219874006"/>
    <n v="1.3130047340573656"/>
    <n v="828.08112800530751"/>
    <n v="368"/>
    <n v="49.223525635023613"/>
    <n v="-0.20430107526881724"/>
    <n v="344.56467944516527"/>
  </r>
  <r>
    <x v="16"/>
    <x v="439"/>
    <n v="94"/>
    <n v="38458"/>
    <m/>
    <n v="1318"/>
    <n v="246.27965377629971"/>
    <n v="1.3333333333333333"/>
    <n v="328.37287170173295"/>
    <n v="286.28571428571428"/>
    <n v="20.098730500395206"/>
    <n v="-0.33244680851063824"/>
    <n v="140.69111350276643"/>
  </r>
  <r>
    <x v="17"/>
    <x v="439"/>
    <n v="269"/>
    <n v="29225"/>
    <n v="1"/>
    <n v="548"/>
    <n v="696.34941379923885"/>
    <n v="1.4998621450234353"/>
    <n v="1044.428125466738"/>
    <n v="425.57142857142856"/>
    <n v="54.475443899893186"/>
    <n v="-0.21048354327509133"/>
    <n v="381.32810729925228"/>
  </r>
  <r>
    <x v="18"/>
    <x v="439"/>
    <n v="244"/>
    <n v="44765"/>
    <n v="3"/>
    <n v="607"/>
    <n v="1248.9967107851623"/>
    <n v="0.76420317766008672"/>
    <n v="954.4872552690174"/>
    <n v="473.71428571428572"/>
    <n v="93.190673288562834"/>
    <n v="-9.3306956808440589E-2"/>
    <n v="652.33471301993984"/>
  </r>
  <r>
    <x v="19"/>
    <x v="439"/>
    <n v="217"/>
    <n v="48141"/>
    <m/>
    <n v="750"/>
    <n v="845.77985113399586"/>
    <n v="1.1082049444643498"/>
    <n v="937.29741295501594"/>
    <n v="225.85714285714286"/>
    <n v="61.760562775061075"/>
    <n v="-4.5634920634920695E-2"/>
    <n v="432.32393942542757"/>
  </r>
  <r>
    <x v="20"/>
    <x v="439"/>
    <n v="1364"/>
    <n v="303007"/>
    <n v="15"/>
    <n v="4947"/>
    <n v="745.61321653718539"/>
    <n v="1.1134194747065282"/>
    <n v="830.18027589107783"/>
    <n v="1986.4285714285713"/>
    <n v="56.170638522611625"/>
    <n v="-0.11570247933884303"/>
    <n v="393.19446965828138"/>
  </r>
  <r>
    <x v="21"/>
    <x v="439"/>
    <n v="401"/>
    <n v="35326"/>
    <n v="11"/>
    <n v="408"/>
    <n v="435.75011269399471"/>
    <n v="1.5079589671029359"/>
    <n v="657.0932898530242"/>
    <n v="360.28571428571428"/>
    <n v="36.827243866299874"/>
    <n v="-0.44859276278001148"/>
    <n v="257.79070706409914"/>
  </r>
  <r>
    <x v="22"/>
    <x v="439"/>
    <n v="69"/>
    <n v="27532"/>
    <m/>
    <n v="404"/>
    <n v="560.42526720579087"/>
    <n v="0.91929499072356213"/>
    <n v="515.19614081719737"/>
    <n v="73.285714285714292"/>
    <n v="41.444163482279194"/>
    <n v="-7.322175732217584E-2"/>
    <n v="290.10914437595432"/>
  </r>
  <r>
    <x v="23"/>
    <x v="439"/>
    <n v="368"/>
    <n v="114913"/>
    <n v="3"/>
    <n v="1748"/>
    <n v="476.43887609048681"/>
    <n v="0.86658795749704842"/>
    <n v="412.87619250344432"/>
    <n v="622.14285714285711"/>
    <n v="36.712044045685793"/>
    <n v="-0.17101371336380744"/>
    <n v="256.98430831980056"/>
  </r>
  <r>
    <x v="0"/>
    <x v="440"/>
    <n v="8979"/>
    <n v="1448377"/>
    <n v="226"/>
    <n v="36827"/>
    <n v="734.46761530507058"/>
    <n v="0.88018801538556135"/>
    <n v="646.46959268033606"/>
    <n v="9473.1428571428569"/>
    <n v="54.005283106400306"/>
    <n v="6.0618662230894627E-2"/>
    <n v="378.03698174480212"/>
  </r>
  <r>
    <x v="4"/>
    <x v="440"/>
    <n v="2445"/>
    <n v="380554"/>
    <n v="71"/>
    <n v="8556"/>
    <n v="1056.4284706367378"/>
    <n v="0.85142288140034594"/>
    <n v="899.46737246289206"/>
    <n v="2402.1428571428573"/>
    <n v="78.102059116779273"/>
    <n v="7.2590419085284186E-2"/>
    <n v="546.7144138174549"/>
  </r>
  <r>
    <x v="1"/>
    <x v="440"/>
    <n v="163"/>
    <n v="18192"/>
    <m/>
    <n v="124"/>
    <n v="726.22148190584392"/>
    <n v="1.3676337262012692"/>
    <n v="993.20499134629688"/>
    <n v="263.28571428571428"/>
    <n v="63.375452964272469"/>
    <n v="0.56984667802385003"/>
    <n v="443.62817074990733"/>
  </r>
  <r>
    <x v="2"/>
    <x v="440"/>
    <n v="442"/>
    <n v="49739"/>
    <n v="8"/>
    <n v="1116"/>
    <n v="362.37869860801749"/>
    <n v="1.4039884207140561"/>
    <n v="508.7754967590854"/>
    <n v="369"/>
    <n v="30.634075552430343"/>
    <n v="0.44949494949494939"/>
    <n v="214.43852886701242"/>
  </r>
  <r>
    <x v="3"/>
    <x v="440"/>
    <n v="265"/>
    <n v="58134"/>
    <n v="3"/>
    <n v="961"/>
    <n v="477.22595049386587"/>
    <n v="1.2121460812474354"/>
    <n v="578.4675657607221"/>
    <n v="222.71428571428572"/>
    <n v="35.980039501883013"/>
    <n v="0.11756272401433687"/>
    <n v="251.86027651318108"/>
  </r>
  <r>
    <x v="6"/>
    <x v="440"/>
    <n v="294"/>
    <n v="40844"/>
    <n v="1"/>
    <n v="554"/>
    <n v="262.13395598326554"/>
    <n v="0.96233213232885684"/>
    <n v="252.25992881717463"/>
    <n v="208.57142857142858"/>
    <n v="18.609140121344339"/>
    <n v="-1.2178619756427644E-2"/>
    <n v="130.26398084941036"/>
  </r>
  <r>
    <x v="5"/>
    <x v="440"/>
    <n v="2745"/>
    <n v="259389"/>
    <n v="18"/>
    <n v="3614"/>
    <n v="762.27579146112839"/>
    <n v="1.2705553831833696"/>
    <n v="968.51361031130034"/>
    <n v="2486.4285714285716"/>
    <n v="66.120506094445389"/>
    <n v="0.54573712255772655"/>
    <n v="462.84354266111774"/>
  </r>
  <r>
    <x v="7"/>
    <x v="440"/>
    <n v="465"/>
    <n v="72547"/>
    <n v="52"/>
    <n v="1183"/>
    <n v="628.22835563194064"/>
    <n v="1.2114929734242381"/>
    <n v="761.09423855395949"/>
    <n v="671"/>
    <n v="48.414060713108093"/>
    <n v="0.17132169576059852"/>
    <n v="338.8984249917566"/>
  </r>
  <r>
    <x v="8"/>
    <x v="440"/>
    <n v="5630"/>
    <n v="13796"/>
    <m/>
    <n v="162"/>
    <n v="1515.3843484640438"/>
    <n v="8.1665182546749779"/>
    <n v="12375.413944580361"/>
    <n v="1106.5714285714287"/>
    <n v="182.84603896136085"/>
    <n v="4.4357894736842107"/>
    <n v="1279.922272729526"/>
  </r>
  <r>
    <x v="9"/>
    <x v="440"/>
    <n v="77"/>
    <n v="26319"/>
    <n v="4"/>
    <n v="1070"/>
    <n v="162.28185673275124"/>
    <n v="0.95060790273556228"/>
    <n v="154.26641548075364"/>
    <n v="87.571428571428569"/>
    <n v="11.359915288018328"/>
    <n v="-3.9184952978056464E-2"/>
    <n v="79.519407016128298"/>
  </r>
  <r>
    <x v="10"/>
    <x v="440"/>
    <n v="509"/>
    <n v="34101"/>
    <n v="13"/>
    <n v="454"/>
    <n v="1750.9792761726205"/>
    <n v="1.7232289950576607"/>
    <n v="3017.3382584457349"/>
    <n v="514.28571428571433"/>
    <n v="143.48368829603555"/>
    <n v="0.34529147982062791"/>
    <n v="1004.3858180722489"/>
  </r>
  <r>
    <x v="11"/>
    <x v="440"/>
    <n v="162"/>
    <n v="15016"/>
    <m/>
    <n v="517"/>
    <n v="316.36643618927098"/>
    <n v="1.0263808738664468"/>
    <n v="324.71245923795743"/>
    <n v="90.857142857142861"/>
    <n v="23.08767107474198"/>
    <n v="4.4334975369458185E-2"/>
    <n v="161.61369752319385"/>
  </r>
  <r>
    <x v="12"/>
    <x v="440"/>
    <n v="898"/>
    <n v="109235"/>
    <n v="31"/>
    <n v="2222"/>
    <n v="568.34567797027444"/>
    <n v="1.0273363000635727"/>
    <n v="583.88214596310456"/>
    <n v="824.28571428571433"/>
    <n v="41.414358480103097"/>
    <n v="4.114038253338137E-2"/>
    <n v="289.90050936072168"/>
  </r>
  <r>
    <x v="13"/>
    <x v="440"/>
    <n v="152"/>
    <n v="18070"/>
    <m/>
    <n v="259"/>
    <n v="169.27060621869288"/>
    <n v="1.3624760689215061"/>
    <n v="230.62715014480492"/>
    <n v="144"/>
    <n v="11.41684650842706"/>
    <n v="-0.10559006211180122"/>
    <n v="79.917925558989424"/>
  </r>
  <r>
    <x v="14"/>
    <x v="440"/>
    <n v="700"/>
    <n v="79092"/>
    <n v="1"/>
    <n v="1166"/>
    <n v="1077.9195159451674"/>
    <n v="1.7975891511803115"/>
    <n v="1937.6564277085656"/>
    <n v="552.71428571428567"/>
    <n v="83.232958272299769"/>
    <n v="0.17634539373669811"/>
    <n v="582.63070790609845"/>
  </r>
  <r>
    <x v="15"/>
    <x v="440"/>
    <n v="406"/>
    <n v="66845"/>
    <n v="11"/>
    <n v="1445"/>
    <n v="641.91222696325622"/>
    <n v="1.2917900403768505"/>
    <n v="829.2158215872588"/>
    <n v="379.57142857142856"/>
    <n v="50.771315066870237"/>
    <n v="0.24042950513538752"/>
    <n v="355.39920546809168"/>
  </r>
  <r>
    <x v="16"/>
    <x v="440"/>
    <n v="248"/>
    <n v="38706"/>
    <n v="2"/>
    <n v="1320"/>
    <n v="252.73852725047863"/>
    <n v="1.3559322033898304"/>
    <n v="342.69630813624218"/>
    <n v="281.28571428571428"/>
    <n v="19.747704768102871"/>
    <n v="0.20723482526057624"/>
    <n v="138.2339333767201"/>
  </r>
  <r>
    <x v="17"/>
    <x v="440"/>
    <n v="562"/>
    <n v="29787"/>
    <n v="3"/>
    <n v="551"/>
    <n v="733.98300344206541"/>
    <n v="1.559847660500544"/>
    <n v="1144.9016707662686"/>
    <n v="463.28571428571428"/>
    <n v="59.303076390518164"/>
    <n v="0.30188679245283012"/>
    <n v="415.12153473362713"/>
  </r>
  <r>
    <x v="18"/>
    <x v="440"/>
    <n v="319"/>
    <n v="45084"/>
    <n v="12"/>
    <n v="619"/>
    <n v="1228.5374797374923"/>
    <n v="0.75358996017859303"/>
    <n v="925.81351043328584"/>
    <n v="458.85714285714283"/>
    <n v="90.267925996038542"/>
    <n v="5.9017474447741414E-2"/>
    <n v="631.87548197226988"/>
  </r>
  <r>
    <x v="19"/>
    <x v="440"/>
    <n v="216"/>
    <n v="48357"/>
    <n v="1"/>
    <n v="751"/>
    <n v="863.55408014263128"/>
    <n v="1.1525547445255475"/>
    <n v="995.29335222278462"/>
    <n v="221.85714285714286"/>
    <n v="60.666764066837359"/>
    <n v="-3.2398753894080978E-2"/>
    <n v="424.66734846786142"/>
  </r>
  <r>
    <x v="20"/>
    <x v="440"/>
    <n v="1618"/>
    <n v="304625"/>
    <n v="33"/>
    <n v="4980"/>
    <n v="754.12465381637583"/>
    <n v="1.119323428187694"/>
    <n v="844.10939279060381"/>
    <n v="2038"/>
    <n v="57.628934136179602"/>
    <n v="0.15020559542046286"/>
    <n v="403.40253895325719"/>
  </r>
  <r>
    <x v="21"/>
    <x v="440"/>
    <n v="429"/>
    <n v="35755"/>
    <n v="5"/>
    <n v="413"/>
    <n v="468.86834786004067"/>
    <n v="1.6619565217391303"/>
    <n v="779.23880856304584"/>
    <n v="389.71428571428572"/>
    <n v="39.835337536584483"/>
    <n v="0.46745562130177509"/>
    <n v="278.84736275609134"/>
  </r>
  <r>
    <x v="22"/>
    <x v="440"/>
    <n v="46"/>
    <n v="27578"/>
    <n v="3"/>
    <n v="407"/>
    <n v="564.38387151501445"/>
    <n v="0.91643709825528008"/>
    <n v="517.22231751330071"/>
    <n v="74.428571428571431"/>
    <n v="42.090466226642214"/>
    <n v="9.2243186582809278E-2"/>
    <n v="294.6332635864955"/>
  </r>
  <r>
    <x v="23"/>
    <x v="440"/>
    <n v="910"/>
    <n v="115823"/>
    <n v="7"/>
    <n v="1755"/>
    <n v="500.16050455077607"/>
    <n v="0.94010647737355812"/>
    <n v="470.2041300546116"/>
    <n v="682.71428571428567"/>
    <n v="40.28630505036336"/>
    <n v="0.29266973221530979"/>
    <n v="282.00413535254353"/>
  </r>
  <r>
    <x v="0"/>
    <x v="441"/>
    <n v="14593"/>
    <n v="1462970"/>
    <n v="488"/>
    <n v="37315"/>
    <n v="748.04711962579859"/>
    <n v="0.91174774349103993"/>
    <n v="682.03027334379385"/>
    <n v="9956.1428571428569"/>
    <n v="56.758809801157504"/>
    <n v="0.13279586496107143"/>
    <n v="397.31166860810248"/>
  </r>
  <r>
    <x v="4"/>
    <x v="441"/>
    <n v="3465"/>
    <n v="384019"/>
    <n v="47"/>
    <n v="8603"/>
    <n v="1066.0199515809036"/>
    <n v="0.863111064311475"/>
    <n v="920.09361498626072"/>
    <n v="2523.1428571428573"/>
    <n v="82.036191978623592"/>
    <n v="0.16773553719008261"/>
    <n v="574.25334385036513"/>
  </r>
  <r>
    <x v="1"/>
    <x v="441"/>
    <n v="440"/>
    <n v="18632"/>
    <n v="9"/>
    <n v="133"/>
    <n v="788.56532141980267"/>
    <n v="1.489090909090909"/>
    <n v="1174.2454513505788"/>
    <n v="304"/>
    <n v="73.175780742252755"/>
    <n v="0.85365853658536595"/>
    <n v="512.23046519576928"/>
  </r>
  <r>
    <x v="2"/>
    <x v="441"/>
    <n v="525"/>
    <n v="50264"/>
    <n v="11"/>
    <n v="1127"/>
    <n v="382.22028141839922"/>
    <n v="1.4653087205601527"/>
    <n v="560.07071153733602"/>
    <n v="403.14285714285717"/>
    <n v="33.468587382484877"/>
    <n v="0.58361391694725029"/>
    <n v="234.28011167739416"/>
  </r>
  <r>
    <x v="3"/>
    <x v="441"/>
    <n v="320"/>
    <n v="58454"/>
    <n v="7"/>
    <n v="968"/>
    <n v="503.07434320849637"/>
    <n v="1.3382036957455952"/>
    <n v="673.21594531639778"/>
    <n v="229.28571428571428"/>
    <n v="37.041669916948187"/>
    <n v="6.3618290258449228E-2"/>
    <n v="259.2916894186373"/>
  </r>
  <r>
    <x v="6"/>
    <x v="441"/>
    <n v="35"/>
    <n v="40879"/>
    <n v="5"/>
    <n v="559"/>
    <n v="237.15182266967997"/>
    <n v="0.86326729457616114"/>
    <n v="204.72541235986014"/>
    <n v="208.14285714285714"/>
    <n v="18.570902162190894"/>
    <n v="0.21315570358034974"/>
    <n v="129.99631513533626"/>
  </r>
  <r>
    <x v="5"/>
    <x v="441"/>
    <n v="4074"/>
    <n v="263463"/>
    <n v="25"/>
    <n v="3639"/>
    <n v="821.49742716962066"/>
    <n v="1.3948616065381316"/>
    <n v="1145.8752210287589"/>
    <n v="2704.7142857142858"/>
    <n v="71.925282498485174"/>
    <n v="0.5831591270173091"/>
    <n v="503.47697748939623"/>
  </r>
  <r>
    <x v="7"/>
    <x v="441"/>
    <n v="921"/>
    <n v="73468"/>
    <n v="6"/>
    <n v="1189"/>
    <n v="652.18285363008056"/>
    <n v="1.2599665458600502"/>
    <n v="821.72857735744333"/>
    <n v="700.71428571428567"/>
    <n v="50.558008898828014"/>
    <n v="0.1865021770682147"/>
    <n v="353.9060622917961"/>
  </r>
  <r>
    <x v="8"/>
    <x v="441"/>
    <n v="328"/>
    <n v="14124"/>
    <n v="25"/>
    <n v="187"/>
    <n v="1542.15266865281"/>
    <n v="8.0180412371134029"/>
    <n v="12365.043691182713"/>
    <n v="1100.1428571428571"/>
    <n v="181.78380403323521"/>
    <n v="3.71875"/>
    <n v="1272.4866282326464"/>
  </r>
  <r>
    <x v="9"/>
    <x v="441"/>
    <n v="145"/>
    <n v="26464"/>
    <m/>
    <n v="1070"/>
    <n v="162.93046527285014"/>
    <n v="0.9429429429429429"/>
    <n v="153.63413241944428"/>
    <n v="94.142857142857139"/>
    <n v="12.212372226434059"/>
    <n v="0.10385259631490795"/>
    <n v="85.486605585038419"/>
  </r>
  <r>
    <x v="10"/>
    <x v="441"/>
    <n v="799"/>
    <n v="34900"/>
    <n v="18"/>
    <n v="472"/>
    <n v="1853.0918343432991"/>
    <n v="1.7632067958587736"/>
    <n v="3267.3841156645058"/>
    <n v="572"/>
    <n v="159.58574664925732"/>
    <n v="0.5178165276724791"/>
    <n v="1117.1002265448012"/>
  </r>
  <r>
    <x v="11"/>
    <x v="441"/>
    <n v="376"/>
    <n v="15392"/>
    <m/>
    <n v="517"/>
    <n v="393.10753155405797"/>
    <n v="1.3087986463620982"/>
    <n v="514.4986051726969"/>
    <n v="142.85714285714286"/>
    <n v="36.301369614374181"/>
    <n v="0.82815356489945158"/>
    <n v="254.10958730061927"/>
  </r>
  <r>
    <x v="12"/>
    <x v="441"/>
    <n v="1095"/>
    <n v="110330"/>
    <n v="21"/>
    <n v="2243"/>
    <n v="571.6114549388094"/>
    <n v="1.0451038030497888"/>
    <n v="597.39330542337268"/>
    <n v="832.71428571428567"/>
    <n v="41.837832856242791"/>
    <n v="5.0648882480172963E-2"/>
    <n v="292.86482999369957"/>
  </r>
  <r>
    <x v="13"/>
    <x v="441"/>
    <n v="129"/>
    <n v="18199"/>
    <m/>
    <n v="259"/>
    <n v="172.99693806519338"/>
    <n v="1.4214983713355049"/>
    <n v="245.9148657057016"/>
    <n v="143"/>
    <n v="11.337562852118539"/>
    <n v="-0.15241320914479251"/>
    <n v="79.362939964829764"/>
  </r>
  <r>
    <x v="14"/>
    <x v="441"/>
    <n v="807"/>
    <n v="79899"/>
    <n v="10"/>
    <n v="1176"/>
    <n v="1119.4822131232711"/>
    <n v="1.7516493873704053"/>
    <n v="1960.9403327894433"/>
    <n v="574.14285714285711"/>
    <n v="86.459875755071792"/>
    <n v="0.17686676427525616"/>
    <n v="605.21913028550262"/>
  </r>
  <r>
    <x v="15"/>
    <x v="441"/>
    <n v="557"/>
    <n v="67402"/>
    <n v="13"/>
    <n v="1458"/>
    <n v="672.27565174355618"/>
    <n v="1.3420560747663552"/>
    <n v="902.23162233995026"/>
    <n v="392.71428571428572"/>
    <n v="52.529298125263935"/>
    <n v="0.207290294246816"/>
    <n v="367.70508687684753"/>
  </r>
  <r>
    <x v="16"/>
    <x v="441"/>
    <n v="518"/>
    <n v="39224"/>
    <n v="8"/>
    <n v="1328"/>
    <n v="274.22130206676928"/>
    <n v="1.4994241842610365"/>
    <n v="411.1740521584648"/>
    <n v="309.28571428571428"/>
    <n v="21.713448868939928"/>
    <n v="0.24353819643882835"/>
    <n v="151.99414208257951"/>
  </r>
  <r>
    <x v="17"/>
    <x v="441"/>
    <n v="735"/>
    <n v="30522"/>
    <n v="8"/>
    <n v="559"/>
    <n v="773.79268500301453"/>
    <n v="1.5949868073878628"/>
    <n v="1234.1891242330403"/>
    <n v="502.28571428571428"/>
    <n v="64.295287261505365"/>
    <n v="0.39027283511269273"/>
    <n v="450.06701083053753"/>
  </r>
  <r>
    <x v="18"/>
    <x v="441"/>
    <n v="294"/>
    <n v="45378"/>
    <n v="10"/>
    <n v="629"/>
    <n v="1193.1272721549865"/>
    <n v="0.74581898671913427"/>
    <n v="889.85697314559673"/>
    <n v="425.85714285714283"/>
    <n v="83.776054605912492"/>
    <n v="-3.3398184176394285E-2"/>
    <n v="586.43238224138747"/>
  </r>
  <r>
    <x v="19"/>
    <x v="441"/>
    <n v="369"/>
    <n v="48726"/>
    <n v="5"/>
    <n v="756"/>
    <n v="902.65738396162965"/>
    <n v="1.2096005862953463"/>
    <n v="1091.8549008638108"/>
    <n v="243.71428571428572"/>
    <n v="66.643592722488421"/>
    <n v="6.959247648902811E-2"/>
    <n v="466.50514905741898"/>
  </r>
  <r>
    <x v="20"/>
    <x v="441"/>
    <n v="3302"/>
    <n v="307927"/>
    <n v="24"/>
    <n v="5004"/>
    <n v="783.64605089104293"/>
    <n v="1.1576023391812866"/>
    <n v="907.1505016016489"/>
    <n v="2196.5714285714284"/>
    <n v="62.112890177898329"/>
    <n v="0.24633217151657605"/>
    <n v="434.79023124528828"/>
  </r>
  <r>
    <x v="21"/>
    <x v="441"/>
    <n v="444"/>
    <n v="36199"/>
    <n v="5"/>
    <n v="418"/>
    <n v="500.04446429721372"/>
    <n v="1.7756805807622504"/>
    <n v="887.91924477022485"/>
    <n v="420.57142857142856"/>
    <n v="42.989455171446004"/>
    <n v="0.51129363449691989"/>
    <n v="300.92618620012206"/>
  </r>
  <r>
    <x v="22"/>
    <x v="441"/>
    <n v="78"/>
    <n v="27656"/>
    <m/>
    <n v="407"/>
    <n v="565.51490131764967"/>
    <n v="0.94250706880301605"/>
    <n v="533.00179200532489"/>
    <n v="72.714285714285708"/>
    <n v="41.121012110097674"/>
    <n v="3.6659877800407248E-2"/>
    <n v="287.84708477068369"/>
  </r>
  <r>
    <x v="23"/>
    <x v="441"/>
    <n v="1194"/>
    <n v="117017"/>
    <m/>
    <n v="1755"/>
    <n v="518.45330261716833"/>
    <n v="0.9809087864240259"/>
    <n v="508.55539988773484"/>
    <n v="721"/>
    <n v="42.545507760867103"/>
    <n v="0.34982615672639739"/>
    <n v="297.81855432606972"/>
  </r>
  <r>
    <x v="0"/>
    <x v="442"/>
    <n v="14055"/>
    <n v="1477025"/>
    <n v="276"/>
    <n v="37591"/>
    <n v="766.13032185306531"/>
    <n v="0.94695453648637218"/>
    <n v="725.49058381852456"/>
    <n v="10485.571428571429"/>
    <n v="59.777020369264626"/>
    <n v="0.20347931594221902"/>
    <n v="418.43914258485239"/>
  </r>
  <r>
    <x v="4"/>
    <x v="442"/>
    <n v="3060"/>
    <n v="387079"/>
    <n v="34"/>
    <n v="8637"/>
    <n v="1095.9973937182629"/>
    <n v="0.89565841215857156"/>
    <n v="981.63928538763207"/>
    <n v="2643.1428571428573"/>
    <n v="85.93781134574192"/>
    <n v="0.21667653054514369"/>
    <n v="601.56467942019333"/>
  </r>
  <r>
    <x v="1"/>
    <x v="442"/>
    <n v="428"/>
    <n v="19060"/>
    <m/>
    <n v="133"/>
    <n v="844.65070600185823"/>
    <n v="1.5763701707097935"/>
    <n v="1331.4821776102967"/>
    <n v="324.85714285714283"/>
    <n v="78.196299533779495"/>
    <n v="0.84129554655870442"/>
    <n v="547.37409673645652"/>
  </r>
  <r>
    <x v="2"/>
    <x v="442"/>
    <n v="613"/>
    <n v="50877"/>
    <n v="9"/>
    <n v="1136"/>
    <n v="405.38263122633435"/>
    <n v="1.5136391816491011"/>
    <n v="613.603034184188"/>
    <n v="447.57142857142856"/>
    <n v="37.157010726195999"/>
    <n v="0.79028571428571426"/>
    <n v="260.09907508337199"/>
  </r>
  <r>
    <x v="3"/>
    <x v="442"/>
    <n v="314"/>
    <n v="58768"/>
    <n v="1"/>
    <n v="969"/>
    <n v="503.39744811742924"/>
    <n v="1.2902691511387163"/>
    <n v="649.51819806787137"/>
    <n v="239.28571428571428"/>
    <n v="38.657194461612598"/>
    <n v="0.16238723108952113"/>
    <n v="270.60036123128822"/>
  </r>
  <r>
    <x v="6"/>
    <x v="442"/>
    <n v="1042"/>
    <n v="41921"/>
    <n v="5"/>
    <n v="564"/>
    <n v="317.98686832006752"/>
    <n v="1.1844466600199401"/>
    <n v="376.63848411190446"/>
    <n v="348.28571428571428"/>
    <n v="31.074714805368149"/>
    <n v="1.1651865008880993"/>
    <n v="217.52300363757706"/>
  </r>
  <r>
    <x v="5"/>
    <x v="442"/>
    <n v="3910"/>
    <n v="267373"/>
    <n v="23"/>
    <n v="3662"/>
    <n v="877.34180749644315"/>
    <n v="1.5274074074074073"/>
    <n v="1340.0583755982709"/>
    <n v="2896.1428571428573"/>
    <n v="77.015858664331589"/>
    <n v="0.59391461592892525"/>
    <n v="539.11101065032108"/>
  </r>
  <r>
    <x v="7"/>
    <x v="442"/>
    <n v="1046"/>
    <n v="74514"/>
    <n v="11"/>
    <n v="1200"/>
    <n v="666.75757831569581"/>
    <n v="1.2469302388341654"/>
    <n v="831.4001863736803"/>
    <n v="750.71428571428567"/>
    <n v="54.165614019029803"/>
    <n v="0.3183642749623683"/>
    <n v="379.15929813320867"/>
  </r>
  <r>
    <x v="8"/>
    <x v="442"/>
    <n v="5016"/>
    <n v="19140"/>
    <n v="31"/>
    <n v="218"/>
    <n v="2322.2343946476576"/>
    <n v="10.394970414201184"/>
    <n v="24139.5578272028"/>
    <n v="1770.7142857142858"/>
    <n v="292.58670964705237"/>
    <n v="6.4713682941531046"/>
    <n v="2048.1069675293666"/>
  </r>
  <r>
    <x v="9"/>
    <x v="442"/>
    <n v="139"/>
    <n v="26603"/>
    <n v="6"/>
    <n v="1076"/>
    <n v="170.3246026299779"/>
    <n v="1.0123361603700849"/>
    <n v="172.4257542429923"/>
    <n v="101.28571428571429"/>
    <n v="13.138955855146811"/>
    <n v="0.17384105960264895"/>
    <n v="91.972690986027686"/>
  </r>
  <r>
    <x v="10"/>
    <x v="442"/>
    <n v="783"/>
    <n v="35683"/>
    <n v="1"/>
    <n v="473"/>
    <n v="1963.853270391822"/>
    <n v="1.8922043010752687"/>
    <n v="3716.0116049161384"/>
    <n v="591.28571428571433"/>
    <n v="164.96638496035865"/>
    <n v="0.42724137931034489"/>
    <n v="1154.7646947225105"/>
  </r>
  <r>
    <x v="11"/>
    <x v="442"/>
    <n v="109"/>
    <n v="15501"/>
    <m/>
    <n v="517"/>
    <n v="401.49314793497842"/>
    <n v="1.3703382480485689"/>
    <n v="550.1814169447232"/>
    <n v="154.42857142857142"/>
    <n v="39.241780553138483"/>
    <n v="1.1663326653306614"/>
    <n v="274.69246387196944"/>
  </r>
  <r>
    <x v="12"/>
    <x v="442"/>
    <n v="1145"/>
    <n v="111475"/>
    <n v="7"/>
    <n v="2250"/>
    <n v="580.25320322477887"/>
    <n v="1.0543180573306554"/>
    <n v="611.77142998383886"/>
    <n v="878.42857142857144"/>
    <n v="44.134643031915758"/>
    <n v="0.13870370370370377"/>
    <n v="308.94250122341026"/>
  </r>
  <r>
    <x v="13"/>
    <x v="442"/>
    <n v="151"/>
    <n v="18350"/>
    <m/>
    <n v="259"/>
    <n v="170.61842837593773"/>
    <n v="1.3137973137973138"/>
    <n v="224.15803288462635"/>
    <n v="144.71428571428572"/>
    <n v="11.473477691504575"/>
    <n v="-0.11062335381913957"/>
    <n v="80.314343840532032"/>
  </r>
  <r>
    <x v="14"/>
    <x v="442"/>
    <n v="738"/>
    <n v="80637"/>
    <n v="4"/>
    <n v="1180"/>
    <n v="1156.527225825494"/>
    <n v="1.6972375690607735"/>
    <n v="1962.9014573126617"/>
    <n v="606.14285714285711"/>
    <n v="91.278739196011358"/>
    <n v="0.23450683735816114"/>
    <n v="638.95117437207944"/>
  </r>
  <r>
    <x v="15"/>
    <x v="442"/>
    <n v="536"/>
    <n v="67938"/>
    <n v="10"/>
    <n v="1468"/>
    <n v="693.54342504781903"/>
    <n v="1.3408326868373417"/>
    <n v="929.92569404523965"/>
    <n v="417.42857142857144"/>
    <n v="55.835070615504264"/>
    <n v="0.29120636323464422"/>
    <n v="390.84549430852985"/>
  </r>
  <r>
    <x v="16"/>
    <x v="442"/>
    <n v="465"/>
    <n v="39689"/>
    <n v="4"/>
    <n v="1332"/>
    <n v="285.17330491429004"/>
    <n v="1.5242026266416511"/>
    <n v="434.66190039844133"/>
    <n v="325.71428571428572"/>
    <n v="22.866819132186162"/>
    <n v="0.27946127946127941"/>
    <n v="160.06773392530312"/>
  </r>
  <r>
    <x v="17"/>
    <x v="442"/>
    <n v="659"/>
    <n v="31181"/>
    <n v="4"/>
    <n v="563"/>
    <n v="784.67314459362763"/>
    <n v="1.5237385036042754"/>
    <n v="1195.6366831615553"/>
    <n v="528.71428571428567"/>
    <n v="67.678287302284218"/>
    <n v="0.52367229312474262"/>
    <n v="473.74801111598953"/>
  </r>
  <r>
    <x v="18"/>
    <x v="442"/>
    <n v="524"/>
    <n v="45902"/>
    <n v="6"/>
    <n v="635"/>
    <n v="1238.3736485104105"/>
    <n v="0.81552014509651505"/>
    <n v="1009.9186575169107"/>
    <n v="438.57142857142856"/>
    <n v="86.277251808168842"/>
    <n v="-4.806201550387601E-2"/>
    <n v="603.94076265718195"/>
  </r>
  <r>
    <x v="19"/>
    <x v="442"/>
    <n v="260"/>
    <n v="48986"/>
    <n v="4"/>
    <n v="760"/>
    <n v="912.77502201269897"/>
    <n v="1.2249541284403669"/>
    <n v="1118.1075315517023"/>
    <n v="248"/>
    <n v="67.815519909870986"/>
    <n v="8.3645443196004976E-2"/>
    <n v="474.70863936909689"/>
  </r>
  <r>
    <x v="20"/>
    <x v="442"/>
    <n v="3086"/>
    <n v="311013"/>
    <n v="46"/>
    <n v="5050"/>
    <n v="806.06987069967408"/>
    <n v="1.1734727482298699"/>
    <n v="945.90102643524244"/>
    <n v="2313.2857142857142"/>
    <n v="65.413243408604814"/>
    <n v="0.31511410704133835"/>
    <n v="457.89270386023372"/>
  </r>
  <r>
    <x v="21"/>
    <x v="442"/>
    <n v="639"/>
    <n v="36838"/>
    <n v="2"/>
    <n v="420"/>
    <n v="539.39792275069431"/>
    <n v="1.902307137707282"/>
    <n v="1026.1005185131269"/>
    <n v="463"/>
    <n v="47.326366919380611"/>
    <n v="0.59184675834970535"/>
    <n v="331.28456843566426"/>
  </r>
  <r>
    <x v="22"/>
    <x v="442"/>
    <n v="107"/>
    <n v="27763"/>
    <m/>
    <n v="407"/>
    <n v="567.21144602160268"/>
    <n v="0.91181818181818186"/>
    <n v="517.19370941787952"/>
    <n v="74.571428571428569"/>
    <n v="42.171254069687592"/>
    <n v="8.5239085239085188E-2"/>
    <n v="295.19877848781312"/>
  </r>
  <r>
    <x v="23"/>
    <x v="442"/>
    <n v="827"/>
    <n v="117844"/>
    <n v="10"/>
    <n v="1765"/>
    <n v="536.92312776162237"/>
    <n v="1.0457418687507183"/>
    <n v="561.48299500091969"/>
    <n v="749.28571428571433"/>
    <n v="44.214620211164643"/>
    <n v="0.36092371562013503"/>
    <n v="309.50234147815246"/>
  </r>
  <r>
    <x v="0"/>
    <x v="443"/>
    <n v="14709"/>
    <n v="1491734"/>
    <n v="81"/>
    <n v="37672"/>
    <n v="788.76282905427865"/>
    <n v="0.99035116602007067"/>
    <n v="781.15218746719449"/>
    <n v="11062.142857142857"/>
    <n v="63.063986870311673"/>
    <n v="0.27103064524071363"/>
    <n v="441.44790809218171"/>
  </r>
  <r>
    <x v="4"/>
    <x v="443"/>
    <n v="3045"/>
    <n v="390124"/>
    <n v="57"/>
    <n v="8694"/>
    <n v="1103.9631999261294"/>
    <n v="0.92076147087536608"/>
    <n v="1016.4867797562588"/>
    <n v="2704.5714285714284"/>
    <n v="87.935068878909618"/>
    <n v="0.26028491545732924"/>
    <n v="615.5454821523673"/>
  </r>
  <r>
    <x v="1"/>
    <x v="443"/>
    <n v="213"/>
    <n v="19273"/>
    <n v="10"/>
    <n v="143"/>
    <n v="860.7782629417627"/>
    <n v="1.6486860304287689"/>
    <n v="1419.1530974088259"/>
    <n v="319.42857142857144"/>
    <n v="76.889589163382126"/>
    <n v="0.66865671641791047"/>
    <n v="538.22712414367481"/>
  </r>
  <r>
    <x v="2"/>
    <x v="443"/>
    <n v="757"/>
    <n v="51634"/>
    <n v="5"/>
    <n v="1141"/>
    <n v="443.90352839795406"/>
    <n v="1.6028177458033572"/>
    <n v="711.49645274096531"/>
    <n v="485.71428571428572"/>
    <n v="40.323599256005878"/>
    <n v="0.74627632254750909"/>
    <n v="282.26519479204114"/>
  </r>
  <r>
    <x v="3"/>
    <x v="443"/>
    <n v="410"/>
    <n v="59178"/>
    <n v="4"/>
    <n v="973"/>
    <n v="538.61588319111331"/>
    <n v="1.4008403361344537"/>
    <n v="754.51485485679484"/>
    <n v="266.14285714285717"/>
    <n v="42.996031810139868"/>
    <n v="0.26648538409245415"/>
    <n v="300.97222267097908"/>
  </r>
  <r>
    <x v="6"/>
    <x v="443"/>
    <n v="236"/>
    <n v="42157"/>
    <n v="7"/>
    <n v="571"/>
    <n v="318.96830927167269"/>
    <n v="1.2340352088367277"/>
    <n v="393.61812414436656"/>
    <n v="318"/>
    <n v="28.372565691857876"/>
    <n v="0.65011119347664947"/>
    <n v="198.60795984300515"/>
  </r>
  <r>
    <x v="5"/>
    <x v="443"/>
    <n v="3516"/>
    <n v="270889"/>
    <n v="19"/>
    <n v="3681"/>
    <n v="921.21953489608961"/>
    <n v="1.5992798116430451"/>
    <n v="1473.2878042505117"/>
    <n v="3017.1428571428573"/>
    <n v="80.233558673638981"/>
    <n v="0.56189912734802538"/>
    <n v="561.63491071547287"/>
  </r>
  <r>
    <x v="7"/>
    <x v="443"/>
    <n v="1150"/>
    <n v="75664"/>
    <n v="9"/>
    <n v="1209"/>
    <n v="697.35006973500697"/>
    <n v="1.2891823396025077"/>
    <n v="899.01139442294823"/>
    <n v="799.85714285714289"/>
    <n v="57.711374480028141"/>
    <n v="0.37702902115100834"/>
    <n v="403.97962136019703"/>
  </r>
  <r>
    <x v="8"/>
    <x v="443"/>
    <n v="984"/>
    <n v="20124"/>
    <n v="40"/>
    <n v="258"/>
    <n v="2426.4986541483463"/>
    <n v="9.3060836501901143"/>
    <n v="22581.199452578243"/>
    <n v="1890.7142857142858"/>
    <n v="312.41509497206442"/>
    <n v="8.1275862068965523"/>
    <n v="2186.9056648044507"/>
  </r>
  <r>
    <x v="9"/>
    <x v="443"/>
    <n v="165"/>
    <n v="26768"/>
    <n v="3"/>
    <n v="1079"/>
    <n v="179.92400902344201"/>
    <n v="1.0810600155884644"/>
    <n v="194.50865199962124"/>
    <n v="111.28571428571429"/>
    <n v="14.436172935344663"/>
    <n v="0.28125"/>
    <n v="101.05321054741263"/>
  </r>
  <r>
    <x v="10"/>
    <x v="443"/>
    <n v="705"/>
    <n v="36388"/>
    <m/>
    <n v="473"/>
    <n v="2051.1790373519925"/>
    <n v="1.9086188992731048"/>
    <n v="3914.9190764828268"/>
    <n v="600.14285714285711"/>
    <n v="167.43749292545701"/>
    <n v="0.33322754681053635"/>
    <n v="1172.0624504781993"/>
  </r>
  <r>
    <x v="11"/>
    <x v="443"/>
    <n v="110"/>
    <n v="15611"/>
    <m/>
    <n v="517"/>
    <n v="409.62465472859827"/>
    <n v="1.3920552677029361"/>
    <n v="570.22015839594167"/>
    <n v="166.42857142857142"/>
    <n v="42.291095600745912"/>
    <n v="1.6062639821029081"/>
    <n v="296.03766920522145"/>
  </r>
  <r>
    <x v="12"/>
    <x v="443"/>
    <n v="1120"/>
    <n v="112595"/>
    <n v="28"/>
    <n v="2278"/>
    <n v="597.98888430005354"/>
    <n v="1.1138979878334114"/>
    <n v="666.09861496857627"/>
    <n v="896.28571428571433"/>
    <n v="45.031834506788009"/>
    <n v="0.11478322672352514"/>
    <n v="315.22284154751605"/>
  </r>
  <r>
    <x v="13"/>
    <x v="443"/>
    <n v="175"/>
    <n v="18525"/>
    <m/>
    <n v="259"/>
    <n v="172.04553418949112"/>
    <n v="1.3337430854333128"/>
    <n v="229.46454160491439"/>
    <n v="146.28571428571428"/>
    <n v="11.598066294275108"/>
    <n v="-0.10645724258289702"/>
    <n v="81.186464059925754"/>
  </r>
  <r>
    <x v="14"/>
    <x v="443"/>
    <n v="761"/>
    <n v="81398"/>
    <n v="23"/>
    <n v="1203"/>
    <n v="1198.2405124861268"/>
    <n v="1.665341146923399"/>
    <n v="1995.4792293537278"/>
    <n v="622.14285714285711"/>
    <n v="93.688170916481127"/>
    <n v="0.20905052748473074"/>
    <n v="655.8171964153679"/>
  </r>
  <r>
    <x v="15"/>
    <x v="443"/>
    <n v="620"/>
    <n v="68558"/>
    <n v="26"/>
    <n v="1494"/>
    <n v="727.78587766348755"/>
    <n v="1.3897828863346104"/>
    <n v="1011.4643576927294"/>
    <n v="426.71428571428572"/>
    <n v="57.077123863282416"/>
    <n v="0.21719641401792988"/>
    <n v="399.53986704297699"/>
  </r>
  <r>
    <x v="16"/>
    <x v="443"/>
    <n v="636"/>
    <n v="40325"/>
    <n v="7"/>
    <n v="1339"/>
    <n v="311.4300296897564"/>
    <n v="1.6645403377110695"/>
    <n v="518.38784679315552"/>
    <n v="379.28571428571428"/>
    <n v="26.62780912103257"/>
    <n v="0.49073554183043244"/>
    <n v="186.39466384722797"/>
  </r>
  <r>
    <x v="17"/>
    <x v="443"/>
    <n v="675"/>
    <n v="31856"/>
    <n v="5"/>
    <n v="568"/>
    <n v="815.90646388903474"/>
    <n v="1.5519844168492818"/>
    <n v="1266.2741175623833"/>
    <n v="544"/>
    <n v="69.634941379923887"/>
    <n v="0.48402182385035064"/>
    <n v="487.44458965946723"/>
  </r>
  <r>
    <x v="18"/>
    <x v="443"/>
    <n v="743"/>
    <n v="46645"/>
    <n v="6"/>
    <n v="641"/>
    <n v="1309.9809571772557"/>
    <n v="0.91032125768967875"/>
    <n v="1192.5035124871285"/>
    <n v="460.85714285714283"/>
    <n v="90.66137274695528"/>
    <n v="-6.0297116224876213E-2"/>
    <n v="634.62960922868695"/>
  </r>
  <r>
    <x v="19"/>
    <x v="443"/>
    <n v="370"/>
    <n v="49356"/>
    <n v="2"/>
    <n v="762"/>
    <n v="922.3457607096567"/>
    <n v="1.1781348236115963"/>
    <n v="1086.6476601025749"/>
    <n v="271"/>
    <n v="74.104862482157401"/>
    <n v="0.28523035230352312"/>
    <n v="518.73403737510182"/>
  </r>
  <r>
    <x v="20"/>
    <x v="443"/>
    <n v="2947"/>
    <n v="313960"/>
    <n v="67"/>
    <n v="5117"/>
    <n v="832.96148814987373"/>
    <n v="1.2157744851211358"/>
    <n v="1012.6933243811478"/>
    <n v="2422.7142857142858"/>
    <n v="68.507577037394498"/>
    <n v="0.35693710993758998"/>
    <n v="479.55303926176146"/>
  </r>
  <r>
    <x v="21"/>
    <x v="443"/>
    <n v="790"/>
    <n v="37628"/>
    <n v="9"/>
    <n v="429"/>
    <n v="584.88438771640574"/>
    <n v="2.0276399716513112"/>
    <n v="1185.9349633285874"/>
    <n v="518.28571428571433"/>
    <n v="52.977494348507513"/>
    <n v="0.73256924546322821"/>
    <n v="370.84246043955261"/>
  </r>
  <r>
    <x v="22"/>
    <x v="443"/>
    <n v="90"/>
    <n v="27853"/>
    <m/>
    <n v="407"/>
    <n v="568.34247582423802"/>
    <n v="0.95532319391634979"/>
    <n v="542.95074924273683"/>
    <n v="70.714285714285708"/>
    <n v="39.98998230746237"/>
    <n v="-2.9411764705882359E-2"/>
    <n v="279.9298761522366"/>
  </r>
  <r>
    <x v="23"/>
    <x v="443"/>
    <n v="957"/>
    <n v="118801"/>
    <n v="26"/>
    <n v="1791"/>
    <n v="559.34655764945808"/>
    <n v="1.1334449360277412"/>
    <n v="633.98852325232724"/>
    <n v="777.42857142857144"/>
    <n v="45.875302800602093"/>
    <n v="0.34803071587812728"/>
    <n v="321.12711960421461"/>
  </r>
  <r>
    <x v="0"/>
    <x v="444"/>
    <n v="13510"/>
    <n v="1505244"/>
    <n v="362"/>
    <n v="38034"/>
    <n v="809.95301274871463"/>
    <n v="1.0503378528233258"/>
    <n v="850.72430829826874"/>
    <n v="11378.714285714286"/>
    <n v="64.868723680599146"/>
    <n v="0.27596757657311288"/>
    <n v="454.08106576419402"/>
  </r>
  <r>
    <x v="4"/>
    <x v="444"/>
    <n v="2932"/>
    <n v="393056"/>
    <n v="61"/>
    <n v="8755"/>
    <n v="1131.6972109273954"/>
    <n v="0.96616332648642644"/>
    <n v="1093.4043418850233"/>
    <n v="2727.1428571428573"/>
    <n v="88.668944902724746"/>
    <n v="0.21460838582426667"/>
    <n v="620.68261431907308"/>
  </r>
  <r>
    <x v="1"/>
    <x v="444"/>
    <n v="564"/>
    <n v="19837"/>
    <m/>
    <n v="143"/>
    <n v="951.76656925943223"/>
    <n v="1.8356545961002786"/>
    <n v="1747.1146772756708"/>
    <n v="372.14285714285717"/>
    <n v="89.578434602240804"/>
    <n v="0.93106004447739066"/>
    <n v="627.04904221568563"/>
  </r>
  <r>
    <x v="2"/>
    <x v="444"/>
    <n v="601"/>
    <n v="52235"/>
    <n v="9"/>
    <n v="1150"/>
    <n v="464.49228378278531"/>
    <n v="1.6273996509598603"/>
    <n v="755.91458050165318"/>
    <n v="502"/>
    <n v="41.675625819295483"/>
    <n v="0.68861124459394518"/>
    <n v="291.72938073506839"/>
  </r>
  <r>
    <x v="3"/>
    <x v="444"/>
    <n v="375"/>
    <n v="59553"/>
    <n v="19"/>
    <n v="992"/>
    <n v="554.9326810922239"/>
    <n v="1.4561254768969902"/>
    <n v="808.05161490113994"/>
    <n v="284.71428571428572"/>
    <n v="45.996291678802336"/>
    <n v="0.38210818307905692"/>
    <n v="321.97404175161631"/>
  </r>
  <r>
    <x v="6"/>
    <x v="444"/>
    <n v="684"/>
    <n v="42841"/>
    <m/>
    <n v="571"/>
    <n v="368.04035685192997"/>
    <n v="1.55133508837909"/>
    <n v="570.95391952396062"/>
    <n v="369"/>
    <n v="32.922882831118102"/>
    <n v="0.67509727626459148"/>
    <n v="230.46017981782674"/>
  </r>
  <r>
    <x v="5"/>
    <x v="444"/>
    <n v="2826"/>
    <n v="273715"/>
    <n v="25"/>
    <n v="3706"/>
    <n v="954.27408953715644"/>
    <n v="1.6773394409647564"/>
    <n v="1600.6415678714059"/>
    <n v="3008.7142857142858"/>
    <n v="80.009421364844258"/>
    <n v="0.42073664328116567"/>
    <n v="560.06594955390972"/>
  </r>
  <r>
    <x v="7"/>
    <x v="444"/>
    <n v="1028"/>
    <n v="76692"/>
    <n v="6"/>
    <n v="1215"/>
    <n v="718.05772312496526"/>
    <n v="1.3151843531121976"/>
    <n v="944.37828208532494"/>
    <n v="814.57142857142856"/>
    <n v="58.773041129687535"/>
    <n v="0.34164705882352941"/>
    <n v="411.41128790781266"/>
  </r>
  <r>
    <x v="8"/>
    <x v="444"/>
    <n v="1088"/>
    <n v="21212"/>
    <n v="44"/>
    <n v="302"/>
    <n v="2552.4089009621725"/>
    <n v="8.6199776785714288"/>
    <n v="22001.70775288096"/>
    <n v="2039.1428571428571"/>
    <n v="336.94091920145428"/>
    <n v="11.168797953964194"/>
    <n v="2358.5864344101801"/>
  </r>
  <r>
    <x v="9"/>
    <x v="444"/>
    <n v="146"/>
    <n v="26914"/>
    <m/>
    <n v="1079"/>
    <n v="182.51844318383772"/>
    <n v="1.053932584269663"/>
    <n v="192.36213450161773"/>
    <n v="118.28571428571429"/>
    <n v="15.34422489148316"/>
    <n v="0.43005181347150256"/>
    <n v="107.40957424038211"/>
  </r>
  <r>
    <x v="10"/>
    <x v="444"/>
    <n v="860"/>
    <n v="37248"/>
    <n v="17"/>
    <n v="490"/>
    <n v="2189.0030912763514"/>
    <n v="1.9435224176368591"/>
    <n v="4254.3765801719728"/>
    <n v="630.14285714285711"/>
    <n v="175.80737474272576"/>
    <n v="0.28413391557496359"/>
    <n v="1230.6516231990804"/>
  </r>
  <r>
    <x v="11"/>
    <x v="444"/>
    <n v="147"/>
    <n v="15758"/>
    <m/>
    <n v="517"/>
    <n v="425.37944914123665"/>
    <n v="1.4198473282442747"/>
    <n v="603.97387435320616"/>
    <n v="176.14285714285714"/>
    <n v="44.759588734523362"/>
    <n v="1.795918367346939"/>
    <n v="313.31712114166356"/>
  </r>
  <r>
    <x v="12"/>
    <x v="444"/>
    <n v="1064"/>
    <n v="113659"/>
    <n v="29"/>
    <n v="2307"/>
    <n v="605.07310818564486"/>
    <n v="1.1467339554370597"/>
    <n v="693.8578786783205"/>
    <n v="896.85714285714289"/>
    <n v="45.060544633983916"/>
    <n v="8.8985255854293177E-2"/>
    <n v="315.42381243788742"/>
  </r>
  <r>
    <x v="13"/>
    <x v="444"/>
    <n v="188"/>
    <n v="18713"/>
    <m/>
    <n v="259"/>
    <n v="169.11203890607581"/>
    <n v="1.2244546498277842"/>
    <n v="207.07002238040167"/>
    <n v="154.14285714285714"/>
    <n v="12.221009308127774"/>
    <n v="2.371916508538896E-2"/>
    <n v="85.547065156894433"/>
  </r>
  <r>
    <x v="14"/>
    <x v="444"/>
    <n v="777"/>
    <n v="82175"/>
    <n v="14"/>
    <n v="1217"/>
    <n v="1223.6901350335891"/>
    <n v="1.6075173095944608"/>
    <n v="1967.1030736464775"/>
    <n v="667.85714285714289"/>
    <n v="100.5722615463948"/>
    <n v="0.35467980295566504"/>
    <n v="704.00583082476351"/>
  </r>
  <r>
    <x v="15"/>
    <x v="444"/>
    <n v="715"/>
    <n v="69273"/>
    <n v="8"/>
    <n v="1502"/>
    <n v="780.48715239229011"/>
    <n v="1.4820929641859284"/>
    <n v="1156.7545171981237"/>
    <n v="472.71428571428572"/>
    <n v="63.230064567660378"/>
    <n v="0.30997624703087889"/>
    <n v="442.61045197362262"/>
  </r>
  <r>
    <x v="16"/>
    <x v="444"/>
    <n v="478"/>
    <n v="40803"/>
    <n v="6"/>
    <n v="1345"/>
    <n v="326.03270015311745"/>
    <n v="1.7289650037230082"/>
    <n v="563.69912863405716"/>
    <n v="393"/>
    <n v="27.590622558177252"/>
    <n v="0.45324881141045958"/>
    <n v="193.13435790724074"/>
  </r>
  <r>
    <x v="17"/>
    <x v="444"/>
    <n v="701"/>
    <n v="32557"/>
    <n v="13"/>
    <n v="581"/>
    <n v="844.19565882462871"/>
    <n v="1.5627962085308056"/>
    <n v="1319.3057748692952"/>
    <n v="555"/>
    <n v="71.043000856356173"/>
    <n v="0.43357933579335795"/>
    <n v="497.30100599449315"/>
  </r>
  <r>
    <x v="18"/>
    <x v="444"/>
    <n v="781"/>
    <n v="47426"/>
    <n v="3"/>
    <n v="644"/>
    <n v="1374.8996710785163"/>
    <n v="0.99191030371842182"/>
    <n v="1363.7771503218494"/>
    <n v="480.85714285714283"/>
    <n v="94.595840256122585"/>
    <n v="-7.0935688655810125E-2"/>
    <n v="662.17088179285815"/>
  </r>
  <r>
    <x v="19"/>
    <x v="444"/>
    <n v="313"/>
    <n v="49669"/>
    <n v="1"/>
    <n v="763"/>
    <n v="938.47929165595656"/>
    <n v="1.1781668383110195"/>
    <n v="1105.6851798706634"/>
    <n v="277"/>
    <n v="75.745560544492989"/>
    <n v="0.29872739450770269"/>
    <n v="530.21892381145096"/>
  </r>
  <r>
    <x v="20"/>
    <x v="444"/>
    <n v="3635"/>
    <n v="317595"/>
    <n v="56"/>
    <n v="5173"/>
    <n v="880.72167939423457"/>
    <n v="1.2845300449540149"/>
    <n v="1131.3134584242516"/>
    <n v="2628.7142857142858"/>
    <n v="74.332680291591259"/>
    <n v="0.4437818752451943"/>
    <n v="520.32876204113882"/>
  </r>
  <r>
    <x v="21"/>
    <x v="444"/>
    <n v="645"/>
    <n v="38273"/>
    <n v="8"/>
    <n v="437"/>
    <n v="615.14055317674399"/>
    <n v="2.0567327409432674"/>
    <n v="1265.1797160005624"/>
    <n v="545.57142857142856"/>
    <n v="55.766552071926732"/>
    <n v="0.73669849931787179"/>
    <n v="390.36586450348716"/>
  </r>
  <r>
    <x v="22"/>
    <x v="444"/>
    <n v="86"/>
    <n v="27939"/>
    <m/>
    <n v="407"/>
    <n v="570.03902052819092"/>
    <n v="1.0181818181818181"/>
    <n v="580.40336635597612"/>
    <n v="72.857142857142861"/>
    <n v="41.201799953143052"/>
    <n v="2.4096385542168752E-2"/>
    <n v="288.41259967200136"/>
  </r>
  <r>
    <x v="23"/>
    <x v="444"/>
    <n v="1324"/>
    <n v="120125"/>
    <n v="14"/>
    <n v="1805"/>
    <n v="602.30512859246949"/>
    <n v="1.2739640539191213"/>
    <n v="767.31508331794009"/>
    <n v="869.85714285714289"/>
    <n v="51.329422777079415"/>
    <n v="0.47863040310830507"/>
    <n v="359.30595943955586"/>
  </r>
  <r>
    <x v="0"/>
    <x v="445"/>
    <n v="11322"/>
    <n v="1516566"/>
    <n v="172"/>
    <n v="38206"/>
    <n v="832.06673955816211"/>
    <n v="1.1010991829683221"/>
    <n v="916.18800710260791"/>
    <n v="11797.571428571429"/>
    <n v="67.256579424174461"/>
    <n v="0.30316706379889857"/>
    <n v="470.79605596922119"/>
  </r>
  <r>
    <x v="4"/>
    <x v="445"/>
    <n v="3013"/>
    <n v="396069"/>
    <n v="22"/>
    <n v="8777"/>
    <n v="1162.877652369616"/>
    <n v="1.0197878649635037"/>
    <n v="1185.8885183237821"/>
    <n v="2830.1428571428573"/>
    <n v="92.017834859501306"/>
    <n v="0.24167972422438111"/>
    <n v="644.12484401650897"/>
  </r>
  <r>
    <x v="1"/>
    <x v="445"/>
    <n v="260"/>
    <n v="20097"/>
    <m/>
    <n v="143"/>
    <n v="1002.074918519731"/>
    <n v="2.0208737864077668"/>
    <n v="2025.0669348532233"/>
    <n v="355.71428571428572"/>
    <n v="85.623916376038238"/>
    <n v="0.48834429169157212"/>
    <n v="599.36741463226758"/>
  </r>
  <r>
    <x v="2"/>
    <x v="445"/>
    <n v="685"/>
    <n v="52920"/>
    <n v="6"/>
    <n v="1156"/>
    <n v="501.68487415538368"/>
    <n v="1.7592430858806405"/>
    <n v="882.58564614875797"/>
    <n v="551"/>
    <n v="45.743565391298425"/>
    <n v="0.76440988106129915"/>
    <n v="320.20495773908902"/>
  </r>
  <r>
    <x v="3"/>
    <x v="445"/>
    <n v="238"/>
    <n v="59791"/>
    <n v="12"/>
    <n v="1004"/>
    <n v="572.86500353799875"/>
    <n v="1.4843030556718293"/>
    <n v="850.30527523890487"/>
    <n v="295.28571428571428"/>
    <n v="47.704131911733278"/>
    <n v="0.39756592292089254"/>
    <n v="333.92892338213295"/>
  </r>
  <r>
    <x v="6"/>
    <x v="445"/>
    <n v="958"/>
    <n v="43799"/>
    <n v="1"/>
    <n v="572"/>
    <n v="429.78191489836291"/>
    <n v="1.8634429400386847"/>
    <n v="800.87407507366117"/>
    <n v="498.57142857142856"/>
    <n v="44.483492481843662"/>
    <n v="1.6299924642049737"/>
    <n v="311.38444737290564"/>
  </r>
  <r>
    <x v="5"/>
    <x v="445"/>
    <n v="4202"/>
    <n v="277917"/>
    <n v="10"/>
    <n v="3716"/>
    <n v="1023.3881583321145"/>
    <n v="1.7651591597101184"/>
    <n v="1806.4429816188008"/>
    <n v="3305.4285714285716"/>
    <n v="87.8998144219062"/>
    <n v="0.50775446370389687"/>
    <n v="615.29870095334331"/>
  </r>
  <r>
    <x v="7"/>
    <x v="445"/>
    <n v="873"/>
    <n v="77565"/>
    <n v="6"/>
    <n v="1221"/>
    <n v="751.4641465380339"/>
    <n v="1.4059125269978401"/>
    <n v="1056.4928572075623"/>
    <n v="840.57142857142856"/>
    <n v="60.648995792192459"/>
    <n v="0.29860957845950131"/>
    <n v="424.54297054534726"/>
  </r>
  <r>
    <x v="8"/>
    <x v="445"/>
    <n v="1084"/>
    <n v="22296"/>
    <m/>
    <n v="302"/>
    <n v="2709.7140912072678"/>
    <n v="9.0552181115405848"/>
    <n v="24537.052115796789"/>
    <n v="2193"/>
    <n v="362.36374181459468"/>
    <n v="13.647900763358779"/>
    <n v="2536.5461927021629"/>
  </r>
  <r>
    <x v="9"/>
    <x v="445"/>
    <n v="74"/>
    <n v="26988"/>
    <n v="3"/>
    <n v="1082"/>
    <n v="181.09150439562009"/>
    <n v="1.0496240601503759"/>
    <n v="190.07800010247041"/>
    <n v="115.71428571428571"/>
    <n v="15.010654785146567"/>
    <n v="0.38225255972696237"/>
    <n v="105.07458349602598"/>
  </r>
  <r>
    <x v="10"/>
    <x v="445"/>
    <n v="731"/>
    <n v="37979"/>
    <n v="4"/>
    <n v="494"/>
    <n v="2288.6046849018489"/>
    <n v="1.9397020572239301"/>
    <n v="4439.2112154764409"/>
    <n v="658.28571428571433"/>
    <n v="183.6591210189255"/>
    <n v="0.28178025034770515"/>
    <n v="1285.6138471324784"/>
  </r>
  <r>
    <x v="11"/>
    <x v="445"/>
    <n v="127"/>
    <n v="15885"/>
    <m/>
    <n v="517"/>
    <n v="433.7650655221571"/>
    <n v="1.4779220779220779"/>
    <n v="641.07096696651263"/>
    <n v="175.14285714285714"/>
    <n v="44.505479147222744"/>
    <n v="1.5488565488565489"/>
    <n v="311.53835403055922"/>
  </r>
  <r>
    <x v="12"/>
    <x v="445"/>
    <n v="798"/>
    <n v="114457"/>
    <n v="33"/>
    <n v="2340"/>
    <n v="608.99204054788686"/>
    <n v="1.1552611513534121"/>
    <n v="703.54484592841561"/>
    <n v="925.71428571428567"/>
    <n v="46.510406057377473"/>
    <n v="0.14873249423861012"/>
    <n v="325.57284240164233"/>
  </r>
  <r>
    <x v="13"/>
    <x v="445"/>
    <n v="166"/>
    <n v="18879"/>
    <n v="5"/>
    <n v="264"/>
    <n v="171.09413031378887"/>
    <n v="1.241657077100115"/>
    <n v="212.44023775440527"/>
    <n v="154.42857142857142"/>
    <n v="12.24366178135878"/>
    <n v="3.7140204271124411E-3"/>
    <n v="85.705632469511471"/>
  </r>
  <r>
    <x v="14"/>
    <x v="445"/>
    <n v="668"/>
    <n v="82843"/>
    <n v="3"/>
    <n v="1220"/>
    <n v="1262.8434004912228"/>
    <n v="1.5873556691273898"/>
    <n v="2004.5816309898532"/>
    <n v="695.28571428571433"/>
    <n v="104.702715924343"/>
    <n v="0.38306337027564652"/>
    <n v="732.91901147040085"/>
  </r>
  <r>
    <x v="15"/>
    <x v="445"/>
    <n v="547"/>
    <n v="69820"/>
    <n v="4"/>
    <n v="1506"/>
    <n v="817.27103703802777"/>
    <n v="1.5275000000000001"/>
    <n v="1248.3815090755875"/>
    <n v="504.85714285714283"/>
    <n v="67.529479656123229"/>
    <n v="0.37189440993788825"/>
    <n v="472.70635759286262"/>
  </r>
  <r>
    <x v="16"/>
    <x v="445"/>
    <n v="603"/>
    <n v="41406"/>
    <n v="1"/>
    <n v="1346"/>
    <n v="355.5890668121317"/>
    <n v="1.8580337490829053"/>
    <n v="660.69648694183672"/>
    <n v="434.57142857142856"/>
    <n v="30.509150789522064"/>
    <n v="0.50370736529906091"/>
    <n v="213.56405552665444"/>
  </r>
  <r>
    <x v="17"/>
    <x v="445"/>
    <n v="360"/>
    <n v="32917"/>
    <m/>
    <n v="581"/>
    <n v="856.61218329862243"/>
    <n v="1.5544715447154471"/>
    <n v="1331.5792637942814"/>
    <n v="565.85714285714289"/>
    <n v="72.432773846081545"/>
    <n v="0.45038447455144626"/>
    <n v="507.02941692257087"/>
  </r>
  <r>
    <x v="18"/>
    <x v="445"/>
    <n v="592"/>
    <n v="48018"/>
    <n v="3"/>
    <n v="647"/>
    <n v="1388.8670307360601"/>
    <n v="1.0388463802236609"/>
    <n v="1442.8194874921401"/>
    <n v="499.57142857142856"/>
    <n v="98.277377711129148"/>
    <n v="-1.8523715969688492E-2"/>
    <n v="687.94164397790405"/>
  </r>
  <r>
    <x v="19"/>
    <x v="445"/>
    <n v="193"/>
    <n v="49862"/>
    <n v="1"/>
    <n v="764"/>
    <n v="936.29169423950918"/>
    <n v="1.1701982228298018"/>
    <n v="1095.6468766493779"/>
    <n v="276.85714285714283"/>
    <n v="75.706496304913571"/>
    <n v="0.30417227456258411"/>
    <n v="529.945474134395"/>
  </r>
  <r>
    <x v="20"/>
    <x v="445"/>
    <n v="3103"/>
    <n v="320698"/>
    <n v="5"/>
    <n v="5178"/>
    <n v="917.3406537349374"/>
    <n v="1.3362303319878079"/>
    <n v="1225.7784062861481"/>
    <n v="2722.1428571428573"/>
    <n v="76.974578716171493"/>
    <n v="0.42350216644255201"/>
    <n v="538.82205101320039"/>
  </r>
  <r>
    <x v="21"/>
    <x v="445"/>
    <n v="790"/>
    <n v="39063"/>
    <n v="5"/>
    <n v="442"/>
    <n v="669.00879370917085"/>
    <n v="2.2133919513019951"/>
    <n v="1480.7786793461355"/>
    <n v="591.14285714285711"/>
    <n v="60.424716541930557"/>
    <n v="0.71915247195679277"/>
    <n v="422.97301579351392"/>
  </r>
  <r>
    <x v="22"/>
    <x v="445"/>
    <n v="53"/>
    <n v="27992"/>
    <n v="1"/>
    <n v="408"/>
    <n v="573.99762483741449"/>
    <n v="1.0346585117227318"/>
    <n v="593.89152824666223"/>
    <n v="75.571428571428569"/>
    <n v="42.73676897100524"/>
    <n v="8.847736625514413E-2"/>
    <n v="299.15738279703669"/>
  </r>
  <r>
    <x v="23"/>
    <x v="445"/>
    <n v="731"/>
    <n v="120856"/>
    <m/>
    <n v="1805"/>
    <n v="626.38081120888251"/>
    <n v="1.3310344827586207"/>
    <n v="833.73445905734013"/>
    <n v="901.57142857142856"/>
    <n v="53.200851888019081"/>
    <n v="0.46631040892193298"/>
    <n v="372.40596321613356"/>
  </r>
  <r>
    <x v="0"/>
    <x v="446"/>
    <n v="6885"/>
    <n v="1523451"/>
    <n v="195"/>
    <n v="38401"/>
    <n v="847.14557621992765"/>
    <n v="1.1433066867734067"/>
    <n v="968.547201962754"/>
    <n v="12007.571428571429"/>
    <n v="68.453764943634113"/>
    <n v="0.30221857280079334"/>
    <n v="479.17635460543875"/>
  </r>
  <r>
    <x v="4"/>
    <x v="446"/>
    <n v="1790"/>
    <n v="397859"/>
    <n v="38"/>
    <n v="8815"/>
    <n v="1170.3232426618667"/>
    <n v="1.0607980667216788"/>
    <n v="1241.4766332551544"/>
    <n v="2821.4285714285716"/>
    <n v="91.734502976889132"/>
    <n v="0.21575869498307165"/>
    <n v="642.14152083822387"/>
  </r>
  <r>
    <x v="1"/>
    <x v="446"/>
    <n v="214"/>
    <n v="20311"/>
    <n v="3"/>
    <n v="146"/>
    <n v="996.77930280812063"/>
    <n v="1.9305361305361306"/>
    <n v="1924.3184582416911"/>
    <n v="326"/>
    <n v="78.47139645386315"/>
    <n v="0.22754168908015071"/>
    <n v="549.29977517704208"/>
  </r>
  <r>
    <x v="2"/>
    <x v="446"/>
    <n v="473"/>
    <n v="53393"/>
    <n v="1"/>
    <n v="1157"/>
    <n v="532.48498805769168"/>
    <n v="1.9021352313167259"/>
    <n v="1012.8584559318014"/>
    <n v="585.14285714285711"/>
    <n v="48.578077221352956"/>
    <n v="0.76704055220017264"/>
    <n v="340.04654054947071"/>
  </r>
  <r>
    <x v="3"/>
    <x v="446"/>
    <n v="257"/>
    <n v="60048"/>
    <m/>
    <n v="1004"/>
    <n v="598.55184379816285"/>
    <n v="1.5379825653798256"/>
    <n v="920.56230023752312"/>
    <n v="311.28571428571428"/>
    <n v="50.288971183196324"/>
    <n v="0.42791612057667106"/>
    <n v="352.02279828237431"/>
  </r>
  <r>
    <x v="6"/>
    <x v="446"/>
    <n v="3691"/>
    <n v="47490"/>
    <n v="3"/>
    <n v="575"/>
    <n v="735.09927275225493"/>
    <n v="3.0962044344231492"/>
    <n v="2276.0176280367637"/>
    <n v="991.42857142857144"/>
    <n v="88.457145508308031"/>
    <n v="4.342571208622017"/>
    <n v="619.20001855815622"/>
  </r>
  <r>
    <x v="5"/>
    <x v="446"/>
    <n v="3225"/>
    <n v="281142"/>
    <n v="9"/>
    <n v="3725"/>
    <n v="1078.2220213006422"/>
    <n v="1.8369880391446176"/>
    <n v="1980.6809566716126"/>
    <n v="3499.7142857142858"/>
    <n v="93.066369336496578"/>
    <n v="0.52654536390827511"/>
    <n v="651.46458535547606"/>
  </r>
  <r>
    <x v="7"/>
    <x v="446"/>
    <n v="776"/>
    <n v="78341"/>
    <n v="4"/>
    <n v="1225"/>
    <n v="787.03513302322369"/>
    <n v="1.4600455093026368"/>
    <n v="1149.107111633961"/>
    <n v="894.14285714285711"/>
    <n v="64.514286992408671"/>
    <n v="0.34631103463110335"/>
    <n v="451.60000894686073"/>
  </r>
  <r>
    <x v="8"/>
    <x v="446"/>
    <n v="872"/>
    <n v="23168"/>
    <m/>
    <n v="302"/>
    <n v="2852.9741751804795"/>
    <n v="10.180424528301886"/>
    <n v="29044.488271619197"/>
    <n v="2143.1428571428573"/>
    <n v="354.1255198164647"/>
    <n v="5.6263250883392226"/>
    <n v="2478.8786387152527"/>
  </r>
  <r>
    <x v="9"/>
    <x v="446"/>
    <n v="142"/>
    <n v="27130"/>
    <n v="2"/>
    <n v="1084"/>
    <n v="190.95035420512374"/>
    <n v="1.1202435312024352"/>
    <n v="213.91089907910361"/>
    <n v="126.85714285714286"/>
    <n v="16.456125245938463"/>
    <n v="0.52054794520547953"/>
    <n v="115.19287672156922"/>
  </r>
  <r>
    <x v="10"/>
    <x v="446"/>
    <n v="503"/>
    <n v="38482"/>
    <m/>
    <n v="494"/>
    <n v="2353.0527748948184"/>
    <n v="1.970100443821537"/>
    <n v="4635.7503161557806"/>
    <n v="698.57142857142856"/>
    <n v="194.89867660211496"/>
    <n v="0.3797968397291196"/>
    <n v="1364.2907362148046"/>
  </r>
  <r>
    <x v="11"/>
    <x v="446"/>
    <n v="216"/>
    <n v="16101"/>
    <n v="1"/>
    <n v="518"/>
    <n v="461.20890095062396"/>
    <n v="1.4962901896125309"/>
    <n v="690.10235385439614"/>
    <n v="178.14285714285714"/>
    <n v="45.267807909124599"/>
    <n v="1.1954225352112675"/>
    <n v="316.87465536387219"/>
  </r>
  <r>
    <x v="12"/>
    <x v="446"/>
    <n v="416"/>
    <n v="114873"/>
    <n v="33"/>
    <n v="2373"/>
    <n v="615.32262359458548"/>
    <n v="1.1855759922555662"/>
    <n v="729.51173002544897"/>
    <n v="933.71428571428567"/>
    <n v="46.91234783812024"/>
    <n v="0.14445806338644718"/>
    <n v="328.38643486684174"/>
  </r>
  <r>
    <x v="13"/>
    <x v="446"/>
    <n v="139"/>
    <n v="19018"/>
    <m/>
    <n v="264"/>
    <n v="167.922784061448"/>
    <n v="1.1845637583892616"/>
    <n v="198.91524420701725"/>
    <n v="157.14285714285714"/>
    <n v="12.458860277053338"/>
    <n v="8.0550098231827016E-2"/>
    <n v="87.212021939373372"/>
  </r>
  <r>
    <x v="14"/>
    <x v="446"/>
    <n v="794"/>
    <n v="83637"/>
    <n v="26"/>
    <n v="1246"/>
    <n v="1334.22281521014"/>
    <n v="1.6328787320309621"/>
    <n v="2178.6240587471138"/>
    <n v="749.28571428571433"/>
    <n v="112.83454798092849"/>
    <n v="0.45089903181189483"/>
    <n v="789.84183586649942"/>
  </r>
  <r>
    <x v="15"/>
    <x v="446"/>
    <n v="274"/>
    <n v="70094"/>
    <n v="1"/>
    <n v="1507"/>
    <n v="833.45594628215247"/>
    <n v="1.5480745341614908"/>
    <n v="1290.2519257848676"/>
    <n v="522.14285714285711"/>
    <n v="69.841609548141022"/>
    <n v="0.41886645962732927"/>
    <n v="488.8912668369872"/>
  </r>
  <r>
    <x v="16"/>
    <x v="446"/>
    <n v="344"/>
    <n v="41750"/>
    <n v="2"/>
    <n v="1348"/>
    <n v="371.80645564403744"/>
    <n v="1.9022988505747127"/>
    <n v="707.28699320791031"/>
    <n v="470.28571428571428"/>
    <n v="33.016477448753001"/>
    <n v="0.64271457085828354"/>
    <n v="231.11534214127101"/>
  </r>
  <r>
    <x v="17"/>
    <x v="446"/>
    <n v="209"/>
    <n v="33126"/>
    <n v="8"/>
    <n v="589"/>
    <n v="880.67719980491972"/>
    <n v="1.61237403327865"/>
    <n v="1419.981048666006"/>
    <n v="557.28571428571433"/>
    <n v="71.335584643666792"/>
    <n v="0.30949983215844235"/>
    <n v="499.34909250566744"/>
  </r>
  <r>
    <x v="18"/>
    <x v="446"/>
    <n v="682"/>
    <n v="48700"/>
    <n v="4"/>
    <n v="651"/>
    <n v="1426.4411954486079"/>
    <n v="1.0854790419161677"/>
    <n v="1548.372022185308"/>
    <n v="562.14285714285711"/>
    <n v="110.58664034695259"/>
    <n v="0.18667068757539207"/>
    <n v="774.10648242866807"/>
  </r>
  <r>
    <x v="19"/>
    <x v="446"/>
    <n v="131"/>
    <n v="49993"/>
    <n v="1"/>
    <n v="765"/>
    <n v="938.75274133301252"/>
    <n v="1.1797250859106529"/>
    <n v="1107.4701584179491"/>
    <n v="264.57142857142856"/>
    <n v="72.346971701083561"/>
    <n v="0.17141049968374444"/>
    <n v="506.42880190758495"/>
  </r>
  <r>
    <x v="20"/>
    <x v="446"/>
    <n v="1887"/>
    <n v="322585"/>
    <n v="18"/>
    <n v="5196"/>
    <n v="946.80549640907827"/>
    <n v="1.3962885738115096"/>
    <n v="1322.0136962579302"/>
    <n v="2796.8571428571427"/>
    <n v="79.087289535828148"/>
    <n v="0.40798274002157497"/>
    <n v="553.61102675079701"/>
  </r>
  <r>
    <x v="21"/>
    <x v="446"/>
    <n v="402"/>
    <n v="39465"/>
    <m/>
    <n v="442"/>
    <n v="680.86593963281689"/>
    <n v="2.2136922565636423"/>
    <n v="1507.2276583230951"/>
    <n v="591.28571428571433"/>
    <n v="60.439318938388254"/>
    <n v="0.64115781126090399"/>
    <n v="423.07523256871775"/>
  </r>
  <r>
    <x v="22"/>
    <x v="446"/>
    <n v="60"/>
    <n v="28052"/>
    <m/>
    <n v="408"/>
    <n v="584.17689306113209"/>
    <n v="1.0616649537512848"/>
    <n v="620.20013415431606"/>
    <n v="74.285714285714292"/>
    <n v="42.009678383596842"/>
    <n v="1.3645224171539905E-2"/>
    <n v="294.06774868517783"/>
  </r>
  <r>
    <x v="23"/>
    <x v="446"/>
    <n v="419"/>
    <n v="121275"/>
    <n v="12"/>
    <n v="1817"/>
    <n v="632.39973186298573"/>
    <n v="1.3157765500306937"/>
    <n v="832.09673743101519"/>
    <n v="908.85714285714289"/>
    <n v="53.630774791883603"/>
    <n v="0.46084959816303095"/>
    <n v="375.41542354318517"/>
  </r>
  <r>
    <x v="0"/>
    <x v="447"/>
    <n v="7549"/>
    <n v="1531000"/>
    <n v="189"/>
    <n v="38590"/>
    <n v="849.0610730510632"/>
    <n v="1.1608158875153933"/>
    <n v="985.60358306854209"/>
    <n v="11803.285714285714"/>
    <n v="67.289155900894443"/>
    <n v="0.24597357944263476"/>
    <n v="471.02409130626108"/>
  </r>
  <r>
    <x v="4"/>
    <x v="447"/>
    <n v="2135"/>
    <n v="399994"/>
    <n v="33"/>
    <n v="8848"/>
    <n v="1178.7767512906232"/>
    <n v="1.1002033198798289"/>
    <n v="1296.8940951671029"/>
    <n v="2777.1428571428573"/>
    <n v="90.294619639024035"/>
    <n v="0.15611061552185546"/>
    <n v="632.06233747316821"/>
  </r>
  <r>
    <x v="1"/>
    <x v="447"/>
    <n v="492"/>
    <n v="20803"/>
    <n v="0"/>
    <n v="146"/>
    <n v="1072.1214717960322"/>
    <n v="2.1069063386944182"/>
    <n v="2258.8595247774492"/>
    <n v="373"/>
    <n v="89.784757292303539"/>
    <n v="0.41671188279978288"/>
    <n v="628.49330104612488"/>
  </r>
  <r>
    <x v="2"/>
    <x v="447"/>
    <n v="471"/>
    <n v="53864"/>
    <n v="5"/>
    <n v="1162"/>
    <n v="556.89262548970942"/>
    <n v="1.9775943396226414"/>
    <n v="1101.3077039460409"/>
    <n v="589.28571428571433"/>
    <n v="48.922013803242422"/>
    <n v="0.59698025551684086"/>
    <n v="342.45409662269691"/>
  </r>
  <r>
    <x v="3"/>
    <x v="447"/>
    <n v="215"/>
    <n v="60263"/>
    <n v="1"/>
    <n v="1005"/>
    <n v="595.80545207223338"/>
    <n v="1.501628664495114"/>
    <n v="894.67854529413546"/>
    <n v="304.14285714285717"/>
    <n v="49.135025079864619"/>
    <n v="0.36561898652982672"/>
    <n v="343.94517555905225"/>
  </r>
  <r>
    <x v="6"/>
    <x v="447"/>
    <n v="327"/>
    <n v="47817"/>
    <n v="15"/>
    <n v="590"/>
    <n v="752.40832226238194"/>
    <n v="3.1619797525309337"/>
    <n v="2379.0998806294215"/>
    <n v="996.14285714285711"/>
    <n v="88.877763058995953"/>
    <n v="3.7760273972602736"/>
    <n v="622.14434141297158"/>
  </r>
  <r>
    <x v="5"/>
    <x v="447"/>
    <n v="2807"/>
    <n v="283949"/>
    <n v="9"/>
    <n v="3734"/>
    <n v="1115.9568668643381"/>
    <n v="1.8657744975991464"/>
    <n v="2082.123862616128"/>
    <n v="3508.5714285714284"/>
    <n v="93.301903457602904"/>
    <n v="0.4110887675955186"/>
    <n v="653.11332420322037"/>
  </r>
  <r>
    <x v="7"/>
    <x v="447"/>
    <n v="463"/>
    <n v="78804"/>
    <n v="13"/>
    <n v="1238"/>
    <n v="790.35412973380915"/>
    <n v="1.4558745348219033"/>
    <n v="1150.6564509707796"/>
    <n v="893.85714285714289"/>
    <n v="64.493672106007523"/>
    <n v="0.33212688950393865"/>
    <n v="451.45570474205266"/>
  </r>
  <r>
    <x v="8"/>
    <x v="447"/>
    <n v="758"/>
    <n v="23926"/>
    <n v="62"/>
    <n v="364"/>
    <n v="2953.7684672492906"/>
    <n v="10.13953488372093"/>
    <n v="29949.838412109086"/>
    <n v="1447.1428571428571"/>
    <n v="239.12088493139495"/>
    <n v="0.30777175316292271"/>
    <n v="1673.8461945197648"/>
  </r>
  <r>
    <x v="9"/>
    <x v="447"/>
    <n v="114"/>
    <n v="27244"/>
    <n v="2"/>
    <n v="1086"/>
    <n v="199.51198693442959"/>
    <n v="1.215810276679842"/>
    <n v="242.56872403569386"/>
    <n v="132.14285714285714"/>
    <n v="17.141797131185896"/>
    <n v="0.50897226753670477"/>
    <n v="119.99257991830126"/>
  </r>
  <r>
    <x v="10"/>
    <x v="447"/>
    <n v="657"/>
    <n v="39139"/>
    <n v="6"/>
    <n v="500"/>
    <n v="2409.9679712522461"/>
    <n v="1.8963776070252469"/>
    <n v="4570.2092943308235"/>
    <n v="719.71428571428567"/>
    <n v="200.7974504542853"/>
    <n v="0.39944444444444449"/>
    <n v="1405.5821531799972"/>
  </r>
  <r>
    <x v="11"/>
    <x v="447"/>
    <n v="193"/>
    <n v="16294"/>
    <n v="7"/>
    <n v="525"/>
    <n v="486.36575009338532"/>
    <n v="1.5178429817605075"/>
    <n v="738.22684034792974"/>
    <n v="182.57142857142858"/>
    <n v="46.393150367170207"/>
    <n v="1.0094339622641511"/>
    <n v="324.75205257019144"/>
  </r>
  <r>
    <x v="12"/>
    <x v="447"/>
    <n v="330"/>
    <n v="115203"/>
    <n v="20"/>
    <n v="2393"/>
    <n v="589.7490777948268"/>
    <n v="1.1228237995025827"/>
    <n v="662.18430028273167"/>
    <n v="852.57142857142856"/>
    <n v="42.835509776300739"/>
    <n v="3.4315424610052103E-2"/>
    <n v="299.84856843410518"/>
  </r>
  <r>
    <x v="13"/>
    <x v="447"/>
    <n v="104"/>
    <n v="19122"/>
    <n v="4"/>
    <n v="268"/>
    <n v="163.32433199555376"/>
    <n v="1.1123110151187905"/>
    <n v="181.66745351557276"/>
    <n v="150.28571428571428"/>
    <n v="11.915200919509193"/>
    <n v="4.3650793650793718E-2"/>
    <n v="83.406406436564353"/>
  </r>
  <r>
    <x v="14"/>
    <x v="447"/>
    <n v="861"/>
    <n v="84498"/>
    <n v="2"/>
    <n v="1248"/>
    <n v="1396.7174504598249"/>
    <n v="1.6433380581148123"/>
    <n v="2295.2789427737202"/>
    <n v="772.28571428571433"/>
    <n v="116.2981060791038"/>
    <n v="0.39726027397260277"/>
    <n v="814.08674255372659"/>
  </r>
  <r>
    <x v="15"/>
    <x v="447"/>
    <n v="425"/>
    <n v="70519"/>
    <n v="12"/>
    <n v="1519"/>
    <n v="846.83190433514801"/>
    <n v="1.5509554140127388"/>
    <n v="1313.3985267873156"/>
    <n v="524.85714285714289"/>
    <n v="70.204671266722343"/>
    <n v="0.38276251411366213"/>
    <n v="491.43269886705639"/>
  </r>
  <r>
    <x v="16"/>
    <x v="447"/>
    <n v="355"/>
    <n v="42105"/>
    <n v="2"/>
    <n v="1350"/>
    <n v="376.86122618904699"/>
    <n v="1.8446735395189005"/>
    <n v="695.18593202158229"/>
    <n v="485.57142857142856"/>
    <n v="34.089613258903839"/>
    <n v="0.72625698324022347"/>
    <n v="238.62729281232689"/>
  </r>
  <r>
    <x v="17"/>
    <x v="447"/>
    <n v="263"/>
    <n v="33389"/>
    <n v="3"/>
    <n v="592"/>
    <n v="876.19701056172607"/>
    <n v="1.5815619223659889"/>
    <n v="1385.7598283953362"/>
    <n v="514.57142857142856"/>
    <n v="65.867925118299851"/>
    <n v="0.11069996916435398"/>
    <n v="461.075475828099"/>
  </r>
  <r>
    <x v="18"/>
    <x v="447"/>
    <n v="622"/>
    <n v="49322"/>
    <n v="4"/>
    <n v="655"/>
    <n v="1465.5891471648226"/>
    <n v="1.1250377529447297"/>
    <n v="1648.8431208664949"/>
    <n v="605.42857142857144"/>
    <n v="119.10195217036468"/>
    <n v="0.31942714819427143"/>
    <n v="833.71366519255275"/>
  </r>
  <r>
    <x v="19"/>
    <x v="447"/>
    <n v="157"/>
    <n v="50150"/>
    <n v="1"/>
    <n v="766"/>
    <n v="914.96261942914646"/>
    <n v="1.1443228454172367"/>
    <n v="1047.0126281155692"/>
    <n v="256.14285714285717"/>
    <n v="70.042181565897863"/>
    <n v="0.15453960077269802"/>
    <n v="490.29527096128498"/>
  </r>
  <r>
    <x v="20"/>
    <x v="447"/>
    <n v="2106"/>
    <n v="324691"/>
    <n v="15"/>
    <n v="5211"/>
    <n v="970.81283943244273"/>
    <n v="1.4210853098224265"/>
    <n v="1379.6078647044426"/>
    <n v="2866.5714285714284"/>
    <n v="81.05861435416935"/>
    <n v="0.40656105425487166"/>
    <n v="567.41030047918537"/>
  </r>
  <r>
    <x v="21"/>
    <x v="447"/>
    <n v="645"/>
    <n v="40110"/>
    <n v="11"/>
    <n v="453"/>
    <n v="724.00141876883981"/>
    <n v="2.2694649150913171"/>
    <n v="1643.0958183722182"/>
    <n v="622.14285714285711"/>
    <n v="63.593436573249775"/>
    <n v="0.59640762463343111"/>
    <n v="445.15405601274847"/>
  </r>
  <r>
    <x v="22"/>
    <x v="447"/>
    <n v="14"/>
    <n v="28066"/>
    <n v="1"/>
    <n v="409"/>
    <n v="570.60453542950859"/>
    <n v="1.0543364681295715"/>
    <n v="601.60917058346308"/>
    <n v="69.714285714285708"/>
    <n v="39.424467406144721"/>
    <n v="-6.3339731285988465E-2"/>
    <n v="275.97127184301308"/>
  </r>
  <r>
    <x v="23"/>
    <x v="447"/>
    <n v="588"/>
    <n v="121863"/>
    <m/>
    <n v="1817"/>
    <n v="638.41865251708907"/>
    <n v="1.4148031907937753"/>
    <n v="903.23674664344003"/>
    <n v="862.85714285714289"/>
    <n v="50.916359594935074"/>
    <n v="0.2638627327892864"/>
    <n v="356.41451716454549"/>
  </r>
  <r>
    <x v="0"/>
    <x v="448"/>
    <n v="8612"/>
    <n v="1539612"/>
    <n v="378"/>
    <n v="38968"/>
    <n v="834.23877614346759"/>
    <n v="1.1513012965760323"/>
    <n v="960.46018462797656"/>
    <n v="10948.857142857143"/>
    <n v="62.418158219337862"/>
    <n v="9.9708722540283734E-2"/>
    <n v="436.92710753536494"/>
  </r>
  <r>
    <x v="4"/>
    <x v="448"/>
    <n v="2290"/>
    <n v="402284"/>
    <n v="28"/>
    <n v="8876"/>
    <n v="1168.1123250204996"/>
    <n v="1.0947012401352876"/>
    <n v="1278.734010817255"/>
    <n v="2609.2857142857142"/>
    <n v="84.836997310019242"/>
    <n v="3.4141093873853556E-2"/>
    <n v="593.85898117013471"/>
  </r>
  <r>
    <x v="1"/>
    <x v="448"/>
    <n v="505"/>
    <n v="21308"/>
    <m/>
    <n v="146"/>
    <n v="1156.369903571652"/>
    <n v="2.3320388349514563"/>
    <n v="2696.699522698163"/>
    <n v="382.28571428571428"/>
    <n v="92.019919767983254"/>
    <n v="0.25751879699248126"/>
    <n v="644.13943837588283"/>
  </r>
  <r>
    <x v="2"/>
    <x v="448"/>
    <n v="632"/>
    <n v="54496"/>
    <n v="11"/>
    <n v="1173"/>
    <n v="585.6172600185464"/>
    <n v="2.0131278538812785"/>
    <n v="1178.9224178569709"/>
    <n v="604.57142857142856"/>
    <n v="50.191021191593187"/>
    <n v="0.49964564138908574"/>
    <n v="351.33714834115233"/>
  </r>
  <r>
    <x v="3"/>
    <x v="448"/>
    <n v="232"/>
    <n v="60495"/>
    <n v="1"/>
    <n v="1006"/>
    <n v="589.02024898464276"/>
    <n v="1.421996879875195"/>
    <n v="837.58495623947249"/>
    <n v="291.57142857142856"/>
    <n v="47.10407993800078"/>
    <n v="0.2716510903426792"/>
    <n v="329.72855956600546"/>
  </r>
  <r>
    <x v="6"/>
    <x v="448"/>
    <n v="24"/>
    <n v="47841"/>
    <n v="9"/>
    <n v="599"/>
    <n v="751.15921559670278"/>
    <n v="3.2758754863813229"/>
    <n v="2460.7040607426616"/>
    <n v="994.57142857142856"/>
    <n v="88.737557208766631"/>
    <n v="3.7783115991763898"/>
    <n v="621.16290046136646"/>
  </r>
  <r>
    <x v="5"/>
    <x v="448"/>
    <n v="3424"/>
    <n v="287373"/>
    <n v="13"/>
    <n v="3747"/>
    <n v="1139.3051363533618"/>
    <n v="1.8696487017237617"/>
    <n v="2130.1003690502762"/>
    <n v="3415.7142857142858"/>
    <n v="90.832594123423675"/>
    <n v="0.26287434637933771"/>
    <n v="635.82815886396577"/>
  </r>
  <r>
    <x v="7"/>
    <x v="448"/>
    <n v="689"/>
    <n v="79493"/>
    <n v="13"/>
    <n v="1251"/>
    <n v="788.62247927611236"/>
    <n v="1.441191983122363"/>
    <n v="1136.5563948428151"/>
    <n v="860.71428571428567"/>
    <n v="62.102345283473753"/>
    <n v="0.22833843017329247"/>
    <n v="434.71641698431625"/>
  </r>
  <r>
    <x v="8"/>
    <x v="448"/>
    <n v="771"/>
    <n v="24697"/>
    <n v="12"/>
    <n v="376"/>
    <n v="3019.5326119105807"/>
    <n v="9.055500495540139"/>
    <n v="27343.379063455875"/>
    <n v="1510.4285714285713"/>
    <n v="249.57799766827628"/>
    <n v="0.37293857940527197"/>
    <n v="1747.0459836779341"/>
  </r>
  <r>
    <x v="9"/>
    <x v="448"/>
    <n v="124"/>
    <n v="27368"/>
    <n v="2"/>
    <n v="1088"/>
    <n v="202.7550296349242"/>
    <n v="1.249400479616307"/>
    <n v="253.32223127049284"/>
    <n v="129.14285714285714"/>
    <n v="16.75263200712654"/>
    <n v="0.37177541729893782"/>
    <n v="117.26842404988578"/>
  </r>
  <r>
    <x v="10"/>
    <x v="448"/>
    <n v="461"/>
    <n v="39600"/>
    <n v="1"/>
    <n v="501"/>
    <n v="2428.381711250237"/>
    <n v="1.8827601124810729"/>
    <n v="4572.0602238204765"/>
    <n v="671.42857142857144"/>
    <n v="187.32592638649086"/>
    <n v="0.17382617382617394"/>
    <n v="1311.281484705436"/>
  </r>
  <r>
    <x v="11"/>
    <x v="448"/>
    <n v="192"/>
    <n v="16486"/>
    <m/>
    <n v="525"/>
    <n v="532.10547580749676"/>
    <n v="1.740648379052369"/>
    <n v="926.2085339492088"/>
    <n v="156.28571428571428"/>
    <n v="39.713698358125356"/>
    <n v="9.4000000000000083E-2"/>
    <n v="277.99588850687746"/>
  </r>
  <r>
    <x v="12"/>
    <x v="448"/>
    <n v="428"/>
    <n v="115631"/>
    <n v="25"/>
    <n v="2418"/>
    <n v="559.20150245837647"/>
    <n v="1.0608082348455967"/>
    <n v="593.20555874587592"/>
    <n v="757.28571428571433"/>
    <n v="38.048096066382406"/>
    <n v="-9.0581574884199711E-2"/>
    <n v="266.33667246467689"/>
  </r>
  <r>
    <x v="13"/>
    <x v="448"/>
    <n v="218"/>
    <n v="19340"/>
    <m/>
    <n v="268"/>
    <n v="169.82559181285251"/>
    <n v="1.1202928870292888"/>
    <n v="190.25440254347808"/>
    <n v="163"/>
    <n v="12.923235978288965"/>
    <n v="0.13986013986013979"/>
    <n v="90.462651848022745"/>
  </r>
  <r>
    <x v="14"/>
    <x v="448"/>
    <n v="940"/>
    <n v="85438"/>
    <n v="20"/>
    <n v="1268"/>
    <n v="1439.3342740156343"/>
    <n v="1.6431150077359464"/>
    <n v="2364.9917467838118"/>
    <n v="791.28571428571433"/>
    <n v="119.15930624716165"/>
    <n v="0.37820353321721822"/>
    <n v="834.11514373013165"/>
  </r>
  <r>
    <x v="15"/>
    <x v="448"/>
    <n v="485"/>
    <n v="71004"/>
    <m/>
    <n v="1519"/>
    <n v="849.5070959457471"/>
    <n v="1.5288878189696677"/>
    <n v="1298.8010511197494"/>
    <n v="514.57142857142856"/>
    <n v="68.828858438414215"/>
    <n v="0.3102946526009458"/>
    <n v="481.80200906889957"/>
  </r>
  <r>
    <x v="16"/>
    <x v="448"/>
    <n v="430"/>
    <n v="42535"/>
    <n v="5"/>
    <n v="1355"/>
    <n v="384.44338200656136"/>
    <n v="1.8156498673740054"/>
    <n v="698.01457555302727"/>
    <n v="473"/>
    <n v="33.207034274854557"/>
    <n v="0.52933025404157052"/>
    <n v="232.44923992398188"/>
  </r>
  <r>
    <x v="17"/>
    <x v="448"/>
    <n v="222"/>
    <n v="33611"/>
    <m/>
    <n v="592"/>
    <n v="845.47571289411269"/>
    <n v="1.5264617517910792"/>
    <n v="1290.5863378011588"/>
    <n v="441.28571428571428"/>
    <n v="56.486957437653601"/>
    <n v="-0.12144482366325371"/>
    <n v="395.40870206357522"/>
  </r>
  <r>
    <x v="18"/>
    <x v="448"/>
    <n v="484"/>
    <n v="49806"/>
    <n v="4"/>
    <n v="659"/>
    <n v="1457.5234887710296"/>
    <n v="1.1325282788138185"/>
    <n v="1650.686568068566"/>
    <n v="632.57142857142856"/>
    <n v="124.44158664709175"/>
    <n v="0.48540758134854078"/>
    <n v="871.09110652964227"/>
  </r>
  <r>
    <x v="19"/>
    <x v="448"/>
    <n v="146"/>
    <n v="50296"/>
    <n v="2"/>
    <n v="768"/>
    <n v="895.82114203523122"/>
    <n v="1.1037735849056605"/>
    <n v="988.78371337851001"/>
    <n v="224.28571428571428"/>
    <n v="61.330856139687462"/>
    <n v="-7.9718640093786597E-2"/>
    <n v="429.3159929778123"/>
  </r>
  <r>
    <x v="20"/>
    <x v="448"/>
    <n v="2296"/>
    <n v="326987"/>
    <n v="31"/>
    <n v="5242"/>
    <n v="973.75366825980416"/>
    <n v="1.4142675263871207"/>
    <n v="1377.1481917201781"/>
    <n v="2722.8571428571427"/>
    <n v="76.994776716359397"/>
    <n v="0.23959417273673256"/>
    <n v="538.96343701451588"/>
  </r>
  <r>
    <x v="21"/>
    <x v="448"/>
    <n v="419"/>
    <n v="40529"/>
    <n v="11"/>
    <n v="464"/>
    <n v="743.52482283277436"/>
    <n v="2.2541059807871089"/>
    <n v="1675.9837500110323"/>
    <n v="618.57142857142856"/>
    <n v="63.228376661807474"/>
    <n v="0.47078804347826098"/>
    <n v="442.59863663265236"/>
  </r>
  <r>
    <x v="22"/>
    <x v="448"/>
    <n v="112"/>
    <n v="28178"/>
    <n v="0"/>
    <n v="409"/>
    <n v="583.04586325849687"/>
    <n v="1.0596094552929085"/>
    <n v="617.80090957811944"/>
    <n v="74.571428571428569"/>
    <n v="42.171254069687592"/>
    <n v="2.5540275049115824E-2"/>
    <n v="295.19877848781312"/>
  </r>
  <r>
    <x v="23"/>
    <x v="448"/>
    <n v="465"/>
    <n v="122328"/>
    <n v="10"/>
    <n v="1827"/>
    <n v="611.2154915215832"/>
    <n v="1.3056851128198663"/>
    <n v="798.05496800460844"/>
    <n v="758.71428571428567"/>
    <n v="44.770991027930485"/>
    <n v="5.2308301961561332E-2"/>
    <n v="313.39693719551343"/>
  </r>
  <r>
    <x v="0"/>
    <x v="449"/>
    <n v="12659"/>
    <n v="1552271"/>
    <n v="168"/>
    <n v="39136"/>
    <n v="847.4078168575237"/>
    <n v="1.1760261400677237"/>
    <n v="996.57374392217014"/>
    <n v="10749.428571428571"/>
    <n v="61.281239181810186"/>
    <n v="2.5163830569898682E-2"/>
    <n v="428.96867427267136"/>
  </r>
  <r>
    <x v="4"/>
    <x v="449"/>
    <n v="3658"/>
    <n v="405942"/>
    <n v="59"/>
    <n v="8935"/>
    <n v="1214.8667304364676"/>
    <n v="1.1629318394024277"/>
    <n v="1412.8072014552945"/>
    <n v="2694.7142857142858"/>
    <n v="87.614578716610623"/>
    <n v="1.9511404172521951E-2"/>
    <n v="613.30205101627428"/>
  </r>
  <r>
    <x v="1"/>
    <x v="449"/>
    <n v="321"/>
    <n v="21629"/>
    <n v="12"/>
    <n v="158"/>
    <n v="1165.7575859695069"/>
    <n v="2.1707754370237562"/>
    <n v="2530.5979331467151"/>
    <n v="367"/>
    <n v="88.340498461864343"/>
    <n v="0.1297273526824978"/>
    <n v="618.38348923305034"/>
  </r>
  <r>
    <x v="2"/>
    <x v="449"/>
    <n v="591"/>
    <n v="55087"/>
    <n v="12"/>
    <n v="1185"/>
    <n v="609.60980157587005"/>
    <n v="2.072537397685577"/>
    <n v="1263.4391117616747"/>
    <n v="601.42857142857144"/>
    <n v="49.930103784642569"/>
    <n v="0.34375997446536877"/>
    <n v="349.51072649249801"/>
  </r>
  <r>
    <x v="3"/>
    <x v="449"/>
    <n v="422"/>
    <n v="60917"/>
    <n v="4"/>
    <n v="1010"/>
    <n v="617.77658587966926"/>
    <n v="1.4867807153965786"/>
    <n v="918.4983143094305"/>
    <n v="307"/>
    <n v="49.596603521197302"/>
    <n v="0.28298507462686562"/>
    <n v="347.17622464838109"/>
  </r>
  <r>
    <x v="6"/>
    <x v="449"/>
    <n v="721"/>
    <n v="48562"/>
    <n v="2"/>
    <n v="601"/>
    <n v="810.04567269301162"/>
    <n v="3.9542682926829267"/>
    <n v="3203.1379191549881"/>
    <n v="948.71428571428567"/>
    <n v="84.646095579347772"/>
    <n v="1.7239540607054962"/>
    <n v="592.52266905543445"/>
  </r>
  <r>
    <x v="5"/>
    <x v="449"/>
    <n v="4523"/>
    <n v="291896"/>
    <n v="22"/>
    <n v="3769"/>
    <n v="1191.2404100573071"/>
    <n v="1.8870213572602048"/>
    <n v="2247.8960954095428"/>
    <n v="3503.2857142857142"/>
    <n v="93.161342772426551"/>
    <n v="0.20963843535737192"/>
    <n v="652.12939940698584"/>
  </r>
  <r>
    <x v="7"/>
    <x v="449"/>
    <n v="829"/>
    <n v="80322"/>
    <n v="14"/>
    <n v="1265"/>
    <n v="798.2187088958492"/>
    <n v="1.4470896010464356"/>
    <n v="1155.0939930038953"/>
    <n v="829.71428571428567"/>
    <n v="59.865630108948636"/>
    <n v="0.10523311132254998"/>
    <n v="419.05941076264048"/>
  </r>
  <r>
    <x v="8"/>
    <x v="449"/>
    <n v="845"/>
    <n v="25542"/>
    <n v="24"/>
    <n v="400"/>
    <n v="3105.951324618758"/>
    <n v="8.3802942487739642"/>
    <n v="26028.786022674452"/>
    <n v="914.57142857142856"/>
    <n v="151.12062244134162"/>
    <n v="-0.48350141185962081"/>
    <n v="1057.8443570893915"/>
  </r>
  <r>
    <x v="9"/>
    <x v="449"/>
    <n v="126"/>
    <n v="27494"/>
    <n v="2"/>
    <n v="1090"/>
    <n v="207.55473283165622"/>
    <n v="1.2861736334405145"/>
    <n v="266.95142486386652"/>
    <n v="127.28571428571429"/>
    <n v="16.511720263661228"/>
    <n v="0.25669957686882938"/>
    <n v="115.58204184562858"/>
  </r>
  <r>
    <x v="10"/>
    <x v="449"/>
    <n v="873"/>
    <n v="40473"/>
    <n v="23"/>
    <n v="524"/>
    <n v="2491.1558248797528"/>
    <n v="1.7719785671760271"/>
    <n v="4414.2747291826381"/>
    <n v="684.28571428571433"/>
    <n v="190.91301859389174"/>
    <n v="0.15728436820488034"/>
    <n v="1336.3911301572423"/>
  </r>
  <r>
    <x v="11"/>
    <x v="449"/>
    <n v="126"/>
    <n v="16612"/>
    <n v="7"/>
    <n v="532"/>
    <n v="557.00821536295734"/>
    <n v="1.9211218229623137"/>
    <n v="1070.0806381030695"/>
    <n v="158.71428571428572"/>
    <n v="40.330821641569713"/>
    <n v="2.7752081406105411E-2"/>
    <n v="282.31575149098802"/>
  </r>
  <r>
    <x v="12"/>
    <x v="449"/>
    <n v="907"/>
    <n v="116538"/>
    <n v="27"/>
    <n v="2445"/>
    <n v="563.32140571098978"/>
    <n v="1.0654756248218189"/>
    <n v="600.20522672542222"/>
    <n v="723.28571428571433"/>
    <n v="36.339843498225648"/>
    <n v="-0.17661408359082775"/>
    <n v="254.37890448757949"/>
  </r>
  <r>
    <x v="13"/>
    <x v="449"/>
    <n v="163"/>
    <n v="19503"/>
    <n v="10"/>
    <n v="278"/>
    <n v="171.72839956425705"/>
    <n v="1.0961538461538463"/>
    <n v="188.24074567620485"/>
    <n v="164.71428571428572"/>
    <n v="13.059150817675"/>
    <n v="0.13820335636722603"/>
    <n v="91.414055723724999"/>
  </r>
  <r>
    <x v="14"/>
    <x v="449"/>
    <n v="994"/>
    <n v="86432"/>
    <n v="7"/>
    <n v="1275"/>
    <n v="1511.6172256297275"/>
    <n v="1.6746746746746746"/>
    <n v="2531.4670855640979"/>
    <n v="827.85714285714289"/>
    <n v="124.66657875109259"/>
    <n v="0.36577893000235684"/>
    <n v="872.66605125764806"/>
  </r>
  <r>
    <x v="15"/>
    <x v="449"/>
    <n v="649"/>
    <n v="71653"/>
    <n v="18"/>
    <n v="1537"/>
    <n v="887.76233597731425"/>
    <n v="1.5813676435549202"/>
    <n v="1403.8786332812567"/>
    <n v="530.71428571428567"/>
    <n v="70.988120238397784"/>
    <n v="0.27138945927446945"/>
    <n v="496.91684166878451"/>
  </r>
  <r>
    <x v="16"/>
    <x v="449"/>
    <n v="371"/>
    <n v="42906"/>
    <n v="9"/>
    <n v="1364"/>
    <n v="385.91769008218915"/>
    <n v="1.7428662016487"/>
    <n v="672.60289866258518"/>
    <n v="459.57142857142856"/>
    <n v="32.264279450983722"/>
    <n v="0.41096491228070176"/>
    <n v="225.84995615688601"/>
  </r>
  <r>
    <x v="17"/>
    <x v="449"/>
    <n v="610"/>
    <n v="34221"/>
    <n v="7"/>
    <n v="599"/>
    <n v="862.88444823909367"/>
    <n v="1.501336302895323"/>
    <n v="1295.4797473451517"/>
    <n v="434.28571428571428"/>
    <n v="55.590919589014867"/>
    <n v="-0.17860037827614161"/>
    <n v="389.13643712310409"/>
  </r>
  <r>
    <x v="18"/>
    <x v="449"/>
    <n v="550"/>
    <n v="50356"/>
    <n v="7"/>
    <n v="666"/>
    <n v="1480.1466769487417"/>
    <n v="1.1734248284466624"/>
    <n v="1736.8408604744748"/>
    <n v="636.28571428571433"/>
    <n v="125.17227347022283"/>
    <n v="0.45081433224755707"/>
    <n v="876.20591429155991"/>
  </r>
  <r>
    <x v="19"/>
    <x v="449"/>
    <n v="315"/>
    <n v="50611"/>
    <n v="11"/>
    <n v="779"/>
    <n v="919.06436458498547"/>
    <n v="1.1244563399130143"/>
    <n v="1033.4477515457129"/>
    <n v="232.14285714285714"/>
    <n v="63.479389316555498"/>
    <n v="-6.3940092165898577E-2"/>
    <n v="444.35572521588847"/>
  </r>
  <r>
    <x v="20"/>
    <x v="449"/>
    <n v="2717"/>
    <n v="329704"/>
    <n v="54"/>
    <n v="5296"/>
    <n v="986.421853977669"/>
    <n v="1.4110508858506594"/>
    <n v="1391.8914308776396"/>
    <n v="2670.1428571428573"/>
    <n v="75.50416430249075"/>
    <n v="0.15426418822948196"/>
    <n v="528.52915011743517"/>
  </r>
  <r>
    <x v="21"/>
    <x v="449"/>
    <n v="555"/>
    <n v="41084"/>
    <n v="12"/>
    <n v="476"/>
    <n v="765.29699595119348"/>
    <n v="2.2355927142430576"/>
    <n v="1710.8923883805869"/>
    <n v="606.57142857142856"/>
    <n v="62.001775359361325"/>
    <n v="0.31008947855600133"/>
    <n v="434.01242751552928"/>
  </r>
  <r>
    <x v="22"/>
    <x v="449"/>
    <n v="42"/>
    <n v="28220"/>
    <n v="4"/>
    <n v="413"/>
    <n v="553.63908838997907"/>
    <n v="1.0145077720207254"/>
    <n v="561.67115806610309"/>
    <n v="65.285714285714292"/>
    <n v="36.920044271737993"/>
    <n v="-0.12452107279693492"/>
    <n v="258.44030990216595"/>
  </r>
  <r>
    <x v="23"/>
    <x v="449"/>
    <n v="1832"/>
    <n v="124160"/>
    <n v="16"/>
    <n v="1843"/>
    <n v="682.20334982438919"/>
    <n v="1.5029901196047841"/>
    <n v="1025.3448943473431"/>
    <n v="902.28571428571433"/>
    <n v="53.243001192319525"/>
    <n v="0.20419447092469012"/>
    <n v="372.70100834623668"/>
  </r>
  <r>
    <x v="0"/>
    <x v="450"/>
    <n v="15550"/>
    <n v="1567821"/>
    <n v="150"/>
    <n v="39286"/>
    <n v="875.21102532611769"/>
    <n v="1.2295432520963312"/>
    <n v="1076.1098103500392"/>
    <n v="10869.571428571429"/>
    <n v="61.966159604847995"/>
    <n v="-1.7408148769936127E-2"/>
    <n v="433.76311723393593"/>
  </r>
  <r>
    <x v="4"/>
    <x v="450"/>
    <n v="3093"/>
    <n v="409035"/>
    <n v="39"/>
    <n v="8974"/>
    <n v="1230.4081809154891"/>
    <n v="1.191042709218519"/>
    <n v="1465.4686932422137"/>
    <n v="2701.5714285714284"/>
    <n v="87.837528394731649"/>
    <n v="-1.1092330445806597E-3"/>
    <n v="614.86269876312167"/>
  </r>
  <r>
    <x v="1"/>
    <x v="450"/>
    <n v="572"/>
    <n v="22201"/>
    <n v="7"/>
    <n v="165"/>
    <n v="1243.025433398004"/>
    <n v="2.2191663085517832"/>
    <n v="2758.4801624698289"/>
    <n v="418.28571428571428"/>
    <n v="100.68547275061846"/>
    <n v="0.30948121645796056"/>
    <n v="704.79830925432918"/>
  </r>
  <r>
    <x v="2"/>
    <x v="450"/>
    <n v="861"/>
    <n v="55948"/>
    <n v="9"/>
    <n v="1194"/>
    <n v="640.40991547817805"/>
    <n v="2.1233140655105971"/>
    <n v="1359.7913812272682"/>
    <n v="616.28571428571433"/>
    <n v="51.16353152659098"/>
    <n v="0.26882352941176468"/>
    <n v="358.14472068613691"/>
  </r>
  <r>
    <x v="3"/>
    <x v="450"/>
    <n v="504"/>
    <n v="61421"/>
    <n v="3"/>
    <n v="1013"/>
    <n v="663.3343780392056"/>
    <n v="1.6045330207112154"/>
    <n v="1064.3419133368418"/>
    <n v="320.42857142857144"/>
    <n v="51.766022195460927"/>
    <n v="0.20397208803005906"/>
    <n v="362.36215536822652"/>
  </r>
  <r>
    <x v="6"/>
    <x v="450"/>
    <n v="691"/>
    <n v="49253"/>
    <m/>
    <n v="601"/>
    <n v="831.72659553301617"/>
    <n v="3.6614296936370776"/>
    <n v="3045.308453872261"/>
    <n v="1013.7142857142857"/>
    <n v="90.44551938428728"/>
    <n v="2.1877807726864331"/>
    <n v="633.11863569001105"/>
  </r>
  <r>
    <x v="5"/>
    <x v="450"/>
    <n v="4933"/>
    <n v="296829"/>
    <n v="41"/>
    <n v="3810"/>
    <n v="1251.4459705620338"/>
    <n v="1.9359085112509771"/>
    <n v="2422.6849057817808"/>
    <n v="3705.7142857142858"/>
    <n v="98.544437120937275"/>
    <n v="0.22821969696969702"/>
    <n v="689.81105984656097"/>
  </r>
  <r>
    <x v="7"/>
    <x v="450"/>
    <n v="1353"/>
    <n v="81675"/>
    <n v="21"/>
    <n v="1286"/>
    <n v="837.68590891085682"/>
    <n v="1.5101456815816858"/>
    <n v="1265.0277578635598"/>
    <n v="858.71428571428567"/>
    <n v="61.958041078665687"/>
    <n v="7.3584568672977246E-2"/>
    <n v="433.70628755065979"/>
  </r>
  <r>
    <x v="8"/>
    <x v="450"/>
    <n v="1104"/>
    <n v="26646"/>
    <n v="27"/>
    <n v="427"/>
    <n v="3264.5784072188544"/>
    <n v="8.3152356902356903"/>
    <n v="27145.738885279003"/>
    <n v="931.71428571428567"/>
    <n v="153.95324891634331"/>
    <n v="-0.50721571590479786"/>
    <n v="1077.6727424144035"/>
  </r>
  <r>
    <x v="9"/>
    <x v="450"/>
    <n v="228"/>
    <n v="27722"/>
    <m/>
    <n v="1090"/>
    <n v="224.80771999828769"/>
    <n v="1.4310487200660611"/>
    <n v="321.71079996451903"/>
    <n v="136.28571428571428"/>
    <n v="17.679215635839288"/>
    <n v="0.22464698331193844"/>
    <n v="123.75450945087505"/>
  </r>
  <r>
    <x v="10"/>
    <x v="450"/>
    <n v="692"/>
    <n v="41165"/>
    <n v="10"/>
    <n v="534"/>
    <n v="2504.8266318479582"/>
    <n v="1.6721922145650958"/>
    <n v="4188.5515926114667"/>
    <n v="682.42857142857144"/>
    <n v="190.39488305282273"/>
    <n v="0.13711021185432037"/>
    <n v="1332.7641813697592"/>
  </r>
  <r>
    <x v="11"/>
    <x v="450"/>
    <n v="135"/>
    <n v="16747"/>
    <n v="2"/>
    <n v="534"/>
    <n v="584.70616037872492"/>
    <n v="2.0526315789473686"/>
    <n v="1200.1863291984355"/>
    <n v="162.28571428571428"/>
    <n v="41.238355881929067"/>
    <n v="-2.4892703862660959E-2"/>
    <n v="288.66849117350347"/>
  </r>
  <r>
    <x v="12"/>
    <x v="450"/>
    <n v="1103"/>
    <n v="117641"/>
    <n v="42"/>
    <n v="2487"/>
    <n v="568.74761975101717"/>
    <n v="1.0640097753548265"/>
    <n v="605.1530271248721"/>
    <n v="720.85714285714289"/>
    <n v="36.217825457643016"/>
    <n v="-0.1957284029327383"/>
    <n v="253.52477820350109"/>
  </r>
  <r>
    <x v="13"/>
    <x v="450"/>
    <n v="159"/>
    <n v="19662"/>
    <n v="8"/>
    <n v="286"/>
    <n v="171.33198128271442"/>
    <n v="1.0892137096774193"/>
    <n v="186.61714291932753"/>
    <n v="162.42857142857142"/>
    <n v="12.877931031826952"/>
    <n v="0.1103515625"/>
    <n v="90.145517222788655"/>
  </r>
  <r>
    <x v="14"/>
    <x v="450"/>
    <n v="903"/>
    <n v="87335"/>
    <n v="16"/>
    <n v="1291"/>
    <n v="1549.8669541921852"/>
    <n v="1.640682289175833"/>
    <n v="2542.8392623220102"/>
    <n v="848.14285714285711"/>
    <n v="127.72139396811677"/>
    <n v="0.36326061997703785"/>
    <n v="894.04975777681739"/>
  </r>
  <r>
    <x v="15"/>
    <x v="450"/>
    <n v="728"/>
    <n v="72381"/>
    <n v="22"/>
    <n v="1559"/>
    <n v="910.9027434089968"/>
    <n v="1.5459704880817253"/>
    <n v="1408.2287588229894"/>
    <n v="546.14285714285711"/>
    <n v="73.051839480859954"/>
    <n v="0.27987947773685962"/>
    <n v="511.36287636601969"/>
  </r>
  <r>
    <x v="16"/>
    <x v="450"/>
    <n v="615"/>
    <n v="43521"/>
    <n v="12"/>
    <n v="1376"/>
    <n v="410.77031192848625"/>
    <n v="1.8574603174603175"/>
    <n v="762.98955399795966"/>
    <n v="456.57142857142856"/>
    <n v="32.053664011608319"/>
    <n v="0.20376647834274952"/>
    <n v="224.37564808125825"/>
  </r>
  <r>
    <x v="17"/>
    <x v="450"/>
    <n v="750"/>
    <n v="34971"/>
    <n v="9"/>
    <n v="608"/>
    <n v="886.18143230370038"/>
    <n v="1.4661160525201187"/>
    <n v="1299.244823345726"/>
    <n v="445"/>
    <n v="56.962406092033326"/>
    <n v="-0.18198529411764708"/>
    <n v="398.73684264423326"/>
  </r>
  <r>
    <x v="18"/>
    <x v="450"/>
    <n v="503"/>
    <n v="50859"/>
    <n v="9"/>
    <n v="675"/>
    <n v="1463.6219134102391"/>
    <n v="1.1504561620535023"/>
    <n v="1683.8328491993473"/>
    <n v="602"/>
    <n v="118.42747202593601"/>
    <n v="0.30626162430254178"/>
    <n v="828.99230418155207"/>
  </r>
  <r>
    <x v="19"/>
    <x v="450"/>
    <n v="194"/>
    <n v="50805"/>
    <m/>
    <n v="779"/>
    <n v="914.96261942914646"/>
    <n v="1.1277384563532187"/>
    <n v="1031.8385320559232"/>
    <n v="207"/>
    <n v="56.604083150577807"/>
    <n v="-0.23616236162361626"/>
    <n v="396.22858205404458"/>
  </r>
  <r>
    <x v="20"/>
    <x v="450"/>
    <n v="3542"/>
    <n v="333246"/>
    <n v="103"/>
    <n v="5399"/>
    <n v="1024.907123535736"/>
    <n v="1.4748128255208333"/>
    <n v="1511.5461707581685"/>
    <n v="2755.1428571428573"/>
    <n v="77.907726324853499"/>
    <n v="0.1372132790848517"/>
    <n v="545.35408427397442"/>
  </r>
  <r>
    <x v="21"/>
    <x v="450"/>
    <n v="582"/>
    <n v="41666"/>
    <n v="8"/>
    <n v="484"/>
    <n v="783.59379871268186"/>
    <n v="2.1796986067671309"/>
    <n v="1707.9983113253963"/>
    <n v="576.85714285714289"/>
    <n v="58.964476896161344"/>
    <n v="0.11300992282249167"/>
    <n v="412.75133827312936"/>
  </r>
  <r>
    <x v="22"/>
    <x v="450"/>
    <n v="79"/>
    <n v="28299"/>
    <m/>
    <n v="413"/>
    <n v="532.14952213990841"/>
    <n v="0.95339412360688958"/>
    <n v="507.34822728840305"/>
    <n v="63.714285714285715"/>
    <n v="36.031377998238824"/>
    <n v="-9.8989898989898961E-2"/>
    <n v="252.21964598767178"/>
  </r>
  <r>
    <x v="23"/>
    <x v="450"/>
    <n v="2206"/>
    <n v="126366"/>
    <n v="11"/>
    <n v="1854"/>
    <n v="767.53040145020589"/>
    <n v="1.6892207792207792"/>
    <n v="1296.5283028133542"/>
    <n v="1080.7142857142858"/>
    <n v="63.771897406570169"/>
    <n v="0.39011392870268291"/>
    <n v="446.40328184599116"/>
  </r>
  <r>
    <x v="0"/>
    <x v="451"/>
    <n v="15035"/>
    <n v="1582856"/>
    <n v="240"/>
    <n v="39526"/>
    <n v="896.53803022277748"/>
    <n v="1.2512471655328798"/>
    <n v="1121.7906691086816"/>
    <n v="11087.428571428571"/>
    <n v="63.208137779797624"/>
    <n v="-2.5599176407075874E-2"/>
    <n v="442.4569644585834"/>
  </r>
  <r>
    <x v="4"/>
    <x v="451"/>
    <n v="3026"/>
    <n v="412061"/>
    <n v="45"/>
    <n v="9019"/>
    <n v="1238.6015815864375"/>
    <n v="1.196977314145667"/>
    <n v="1482.5779944239093"/>
    <n v="2715"/>
    <n v="88.274138181052038"/>
    <n v="-4.4525929806181752E-3"/>
    <n v="617.91896726736434"/>
  </r>
  <r>
    <x v="1"/>
    <x v="451"/>
    <n v="422"/>
    <n v="22623"/>
    <n v="3"/>
    <n v="168"/>
    <n v="1297.6665591496205"/>
    <n v="2.3107586798114017"/>
    <n v="2998.5942650559814"/>
    <n v="398"/>
    <n v="95.802502419133546"/>
    <n v="6.9481765834932929E-2"/>
    <n v="670.61751693393478"/>
  </r>
  <r>
    <x v="2"/>
    <x v="451"/>
    <n v="727"/>
    <n v="56675"/>
    <n v="11"/>
    <n v="1205"/>
    <n v="660.33451746349851"/>
    <n v="2.0306356905795253"/>
    <n v="1340.8988388829889"/>
    <n v="634.28571428571433"/>
    <n v="52.657876675490023"/>
    <n v="0.26351735913488894"/>
    <n v="368.60513672843018"/>
  </r>
  <r>
    <x v="3"/>
    <x v="451"/>
    <n v="440"/>
    <n v="61861"/>
    <n v="27"/>
    <n v="1040"/>
    <n v="694.83710666016145"/>
    <n v="1.6024590163934427"/>
    <n v="1113.447986492308"/>
    <n v="329.71428571428572"/>
    <n v="53.266152129792161"/>
    <n v="0.15805318615153041"/>
    <n v="372.8630649085452"/>
  </r>
  <r>
    <x v="6"/>
    <x v="451"/>
    <n v="491"/>
    <n v="49744"/>
    <n v="1"/>
    <n v="602"/>
    <n v="846.35898790240185"/>
    <n v="3.4382022471910112"/>
    <n v="2909.953374136348"/>
    <n v="986.14285714285711"/>
    <n v="87.985544012082173"/>
    <n v="1.6724738675958188"/>
    <n v="615.89880808457531"/>
  </r>
  <r>
    <x v="5"/>
    <x v="451"/>
    <n v="4654"/>
    <n v="301483"/>
    <n v="35"/>
    <n v="3845"/>
    <n v="1298.4882128468669"/>
    <n v="1.9266493055555556"/>
    <n v="2501.7314135534907"/>
    <n v="3966.8571428571427"/>
    <n v="105.4888947561367"/>
    <n v="0.31845591377427462"/>
    <n v="738.42226329295693"/>
  </r>
  <r>
    <x v="7"/>
    <x v="451"/>
    <n v="1476"/>
    <n v="83151"/>
    <n v="13"/>
    <n v="1299"/>
    <n v="877.44171733548058"/>
    <n v="1.5110586481113319"/>
    <n v="1325.8658951934367"/>
    <n v="922.71428571428567"/>
    <n v="66.575775632523971"/>
    <n v="0.13276043493511058"/>
    <n v="466.03042942766791"/>
  </r>
  <r>
    <x v="8"/>
    <x v="451"/>
    <n v="1203"/>
    <n v="27849"/>
    <n v="25"/>
    <n v="452"/>
    <n v="3455.2613794277195"/>
    <n v="8.6623860811930413"/>
    <n v="29930.808080038547"/>
    <n v="948.14285714285711"/>
    <n v="156.66784928822"/>
    <n v="-0.53502872355331377"/>
    <n v="1096.6749450175398"/>
  </r>
  <r>
    <x v="9"/>
    <x v="451"/>
    <n v="182"/>
    <n v="27904"/>
    <m/>
    <n v="1090"/>
    <n v="235.8340651799694"/>
    <n v="1.4913863822805578"/>
    <n v="351.71971328727182"/>
    <n v="141.42857142857142"/>
    <n v="18.34635584851247"/>
    <n v="0.19565217391304346"/>
    <n v="128.42449093958729"/>
  </r>
  <r>
    <x v="10"/>
    <x v="451"/>
    <n v="570"/>
    <n v="41735"/>
    <n v="10"/>
    <n v="544"/>
    <n v="2482.5069470019084"/>
    <n v="1.55913790082355"/>
    <n v="3870.5706701284353"/>
    <n v="641"/>
    <n v="178.83647482897541"/>
    <n v="1.7229653139877676E-2"/>
    <n v="1251.855323802828"/>
  </r>
  <r>
    <x v="11"/>
    <x v="451"/>
    <n v="210"/>
    <n v="16957"/>
    <m/>
    <n v="534"/>
    <n v="617.99451631510601"/>
    <n v="2.1056277056277057"/>
    <n v="1301.2663754790804"/>
    <n v="171.28571428571428"/>
    <n v="43.525342167634641"/>
    <n v="-2.7575020275750206E-2"/>
    <n v="304.67739517344251"/>
  </r>
  <r>
    <x v="12"/>
    <x v="451"/>
    <n v="1127"/>
    <n v="118768"/>
    <n v="25"/>
    <n v="2512"/>
    <n v="572.11388216473779"/>
    <n v="1.0466954683334866"/>
    <n v="598.82900783250943"/>
    <n v="729.85714285714289"/>
    <n v="36.670009960978632"/>
    <n v="-0.18620579802484871"/>
    <n v="256.69006972685042"/>
  </r>
  <r>
    <x v="13"/>
    <x v="451"/>
    <n v="214"/>
    <n v="19876"/>
    <m/>
    <n v="286"/>
    <n v="177.75395744370465"/>
    <n v="1.1182044887780549"/>
    <n v="198.76527311161388"/>
    <n v="166.14285714285714"/>
    <n v="13.172413183830029"/>
    <n v="7.7849860982390995E-2"/>
    <n v="92.206892286810216"/>
  </r>
  <r>
    <x v="14"/>
    <x v="451"/>
    <n v="987"/>
    <n v="88322"/>
    <n v="16"/>
    <n v="1307"/>
    <n v="1629.6793799327465"/>
    <n v="1.6954410151966159"/>
    <n v="2763.0252623581673"/>
    <n v="878.14285714285711"/>
    <n v="132.23907844399758"/>
    <n v="0.31486631016042788"/>
    <n v="925.67354910798315"/>
  </r>
  <r>
    <x v="15"/>
    <x v="451"/>
    <n v="600"/>
    <n v="72981"/>
    <n v="16"/>
    <n v="1575"/>
    <n v="938.59097657869745"/>
    <n v="1.555530924407005"/>
    <n v="1460.0072894375348"/>
    <n v="529.71428571428567"/>
    <n v="70.854360657867829"/>
    <n v="0.12058023572076149"/>
    <n v="495.98052460507489"/>
  </r>
  <r>
    <x v="16"/>
    <x v="451"/>
    <n v="636"/>
    <n v="44157"/>
    <n v="8"/>
    <n v="1384"/>
    <n v="428.60241912893667"/>
    <n v="1.8686868686868687"/>
    <n v="800.92371251366956"/>
    <n v="479.14285714285717"/>
    <n v="33.638294460242271"/>
    <n v="0.21919302071973834"/>
    <n v="235.4680612216959"/>
  </r>
  <r>
    <x v="17"/>
    <x v="451"/>
    <n v="921"/>
    <n v="35892"/>
    <n v="9"/>
    <n v="617"/>
    <n v="924.19903816737224"/>
    <n v="1.43026941362916"/>
    <n v="1321.8536163962813"/>
    <n v="476.42857142857144"/>
    <n v="60.985433167554149"/>
    <n v="-0.14157014157014158"/>
    <n v="426.89803217287897"/>
  </r>
  <r>
    <x v="18"/>
    <x v="451"/>
    <n v="638"/>
    <n v="51497"/>
    <n v="6"/>
    <n v="681"/>
    <n v="1463.031743283864"/>
    <n v="1.1292134831460674"/>
    <n v="1652.0751707868351"/>
    <n v="581.57142857142856"/>
    <n v="114.40869449871511"/>
    <n v="0.20944741532976829"/>
    <n v="800.86086149100572"/>
  </r>
  <r>
    <x v="19"/>
    <x v="451"/>
    <n v="220"/>
    <n v="51025"/>
    <n v="4"/>
    <n v="783"/>
    <n v="901.01668589929398"/>
    <n v="1.1101752021563343"/>
    <n v="1000.286381414479"/>
    <n v="193.71428571428572"/>
    <n v="52.971108869691861"/>
    <n v="-0.30067044868488912"/>
    <n v="370.79776208784295"/>
  </r>
  <r>
    <x v="20"/>
    <x v="451"/>
    <n v="3653"/>
    <n v="336899"/>
    <n v="44"/>
    <n v="5443"/>
    <n v="1066.1918359198487"/>
    <n v="1.5188930067676443"/>
    <n v="1619.4313234514138"/>
    <n v="2757.7142857142858"/>
    <n v="77.980439125530012"/>
    <n v="4.9073419922830208E-2"/>
    <n v="545.86307387871"/>
  </r>
  <r>
    <x v="21"/>
    <x v="451"/>
    <n v="633"/>
    <n v="42299"/>
    <n v="9"/>
    <n v="493"/>
    <n v="801.89060147417035"/>
    <n v="2.0585148255051169"/>
    <n v="1650.703691567795"/>
    <n v="575.14285714285711"/>
    <n v="58.789248138669031"/>
    <n v="5.4202670856245083E-2"/>
    <n v="411.52473697068319"/>
  </r>
  <r>
    <x v="22"/>
    <x v="451"/>
    <n v="80"/>
    <n v="28379"/>
    <n v="2"/>
    <n v="415"/>
    <n v="537.23915625176721"/>
    <n v="0.95573440643863183"/>
    <n v="513.45794611587417"/>
    <n v="62.857142857142854"/>
    <n v="35.546650939966554"/>
    <n v="-0.13725490196078427"/>
    <n v="248.82655657976588"/>
  </r>
  <r>
    <x v="23"/>
    <x v="451"/>
    <n v="1062"/>
    <n v="127428"/>
    <n v="11"/>
    <n v="1865"/>
    <n v="790.24887646814454"/>
    <n v="1.7311271975180973"/>
    <n v="1368.0213228621242"/>
    <n v="1043.2857142857142"/>
    <n v="61.563273861226953"/>
    <n v="0.19937592379701097"/>
    <n v="430.94291702858868"/>
  </r>
  <r>
    <x v="0"/>
    <x v="452"/>
    <n v="10962"/>
    <n v="1593818"/>
    <n v="224"/>
    <n v="39750"/>
    <n v="911.2007023944451"/>
    <n v="1.2628489258653519"/>
    <n v="1150.7088282665793"/>
    <n v="11036"/>
    <n v="62.914949489317721"/>
    <n v="-6.4553237349091241E-2"/>
    <n v="440.40464642522397"/>
  </r>
  <r>
    <x v="4"/>
    <x v="452"/>
    <n v="2265"/>
    <n v="414326"/>
    <n v="41"/>
    <n v="9060"/>
    <n v="1237.7237172288358"/>
    <n v="1.199558846699228"/>
    <n v="1484.7224347713036"/>
    <n v="2608.1428571428573"/>
    <n v="84.799839030332407"/>
    <n v="-7.8441270001514352E-2"/>
    <n v="593.59887321232679"/>
  </r>
  <r>
    <x v="1"/>
    <x v="452"/>
    <n v="298"/>
    <n v="22921"/>
    <m/>
    <n v="168"/>
    <n v="1279.1319041589841"/>
    <n v="1.9902621722846443"/>
    <n v="2545.807842210053"/>
    <n v="403.42857142857144"/>
    <n v="97.109212789530915"/>
    <n v="0.13413654618473903"/>
    <n v="679.76448952671637"/>
  </r>
  <r>
    <x v="2"/>
    <x v="452"/>
    <n v="700"/>
    <n v="57375"/>
    <n v="3"/>
    <n v="1208"/>
    <n v="690.0553820916017"/>
    <n v="2.0599752168525405"/>
    <n v="1421.49698536441"/>
    <n v="636.42857142857144"/>
    <n v="52.835774907501815"/>
    <n v="0.15504277936219868"/>
    <n v="369.85042435251273"/>
  </r>
  <r>
    <x v="3"/>
    <x v="452"/>
    <n v="313"/>
    <n v="62174"/>
    <m/>
    <n v="1040"/>
    <n v="718.90842237566119"/>
    <n v="1.6264619883040936"/>
    <n v="1169.2772220656771"/>
    <n v="340.42857142857144"/>
    <n v="54.997071284789747"/>
    <n v="0.15287856797290766"/>
    <n v="384.97949899352818"/>
  </r>
  <r>
    <x v="6"/>
    <x v="452"/>
    <n v="749"/>
    <n v="50493"/>
    <m/>
    <n v="602"/>
    <n v="908.63587737698299"/>
    <n v="3.8256949661908339"/>
    <n v="3476.1637021815159"/>
    <n v="956.28571428571433"/>
    <n v="85.321632857725362"/>
    <n v="0.91805157593123199"/>
    <n v="597.25143000407741"/>
  </r>
  <r>
    <x v="5"/>
    <x v="452"/>
    <n v="3393"/>
    <n v="304876"/>
    <n v="12"/>
    <n v="3857"/>
    <n v="1332.2075815394433"/>
    <n v="1.9099123141441099"/>
    <n v="2544.3996649783262"/>
    <n v="3851.2857142857142"/>
    <n v="102.41555436944286"/>
    <n v="0.16513959719941229"/>
    <n v="716.90888058610005"/>
  </r>
  <r>
    <x v="7"/>
    <x v="452"/>
    <n v="1145"/>
    <n v="84296"/>
    <n v="3"/>
    <n v="1302"/>
    <n v="910.19877182691289"/>
    <n v="1.5102358434095535"/>
    <n v="1374.6148098403576"/>
    <n v="961.57142857142856"/>
    <n v="69.379400183080804"/>
    <n v="0.14394969408565594"/>
    <n v="485.65580128156563"/>
  </r>
  <r>
    <x v="8"/>
    <x v="452"/>
    <n v="1021"/>
    <n v="28870"/>
    <n v="12"/>
    <n v="464"/>
    <n v="3622.8112354240711"/>
    <n v="9.0937370385732059"/>
    <n v="32944.892715335031"/>
    <n v="939.14285714285711"/>
    <n v="155.18072038884407"/>
    <n v="-0.57175428310859222"/>
    <n v="1086.2650427219087"/>
  </r>
  <r>
    <x v="9"/>
    <x v="452"/>
    <n v="165"/>
    <n v="28069"/>
    <n v="1"/>
    <n v="1091"/>
    <n v="245.30374986541375"/>
    <n v="1.5103833865814698"/>
    <n v="370.50270846285736"/>
    <n v="154.42857142857142"/>
    <n v="20.032738052769677"/>
    <n v="0.33456790123456792"/>
    <n v="140.22916636938777"/>
  </r>
  <r>
    <x v="10"/>
    <x v="452"/>
    <n v="305"/>
    <n v="42040"/>
    <n v="1"/>
    <n v="545"/>
    <n v="2418.6168491300905"/>
    <n v="1.4537984236122756"/>
    <n v="3516.1813625874147"/>
    <n v="580.14285714285711"/>
    <n v="161.85757171394454"/>
    <n v="-0.11870659722222221"/>
    <n v="1133.0030019976118"/>
  </r>
  <r>
    <x v="11"/>
    <x v="452"/>
    <n v="223"/>
    <n v="17180"/>
    <m/>
    <n v="534"/>
    <n v="640.61026958486116"/>
    <n v="2.0921161825726142"/>
    <n v="1340.231111720693"/>
    <n v="185"/>
    <n v="47.010273650614565"/>
    <n v="5.6280587275693295E-2"/>
    <n v="329.07191555430194"/>
  </r>
  <r>
    <x v="12"/>
    <x v="452"/>
    <n v="660"/>
    <n v="119428"/>
    <n v="34"/>
    <n v="2546"/>
    <n v="575.32941641067998"/>
    <n v="1.0418524247111274"/>
    <n v="599.40834749510486"/>
    <n v="710.14285714285711"/>
    <n v="35.679510572719664"/>
    <n v="-0.23287037037037039"/>
    <n v="249.75657400903768"/>
  </r>
  <r>
    <x v="13"/>
    <x v="452"/>
    <n v="199"/>
    <n v="20075"/>
    <n v="6"/>
    <n v="292"/>
    <n v="180.52888541450287"/>
    <n v="1.1031976744186047"/>
    <n v="199.15904655466232"/>
    <n v="170.85714285714286"/>
    <n v="13.54617899214163"/>
    <n v="0.1063829787234043"/>
    <n v="94.82325294499141"/>
  </r>
  <r>
    <x v="14"/>
    <x v="452"/>
    <n v="628"/>
    <n v="88950"/>
    <n v="1"/>
    <n v="1308"/>
    <n v="1652.5689812772096"/>
    <n v="1.6828707253488728"/>
    <n v="2781.0599602110256"/>
    <n v="872.42857142857144"/>
    <n v="131.37856711525839"/>
    <n v="0.25477707006369421"/>
    <n v="919.64996980680883"/>
  </r>
  <r>
    <x v="15"/>
    <x v="452"/>
    <n v="463"/>
    <n v="73444"/>
    <n v="6"/>
    <n v="1581"/>
    <n v="957.45107743342112"/>
    <n v="1.534076296613802"/>
    <n v="1468.8030030579573"/>
    <n v="517.71428571428567"/>
    <n v="69.249245691508364"/>
    <n v="2.5466893039049143E-2"/>
    <n v="484.74471984055856"/>
  </r>
  <r>
    <x v="16"/>
    <x v="452"/>
    <n v="508"/>
    <n v="44665"/>
    <n v="2"/>
    <n v="1386"/>
    <n v="442.36262783479611"/>
    <n v="1.8258475804114749"/>
    <n v="807.68673369662429"/>
    <n v="465.57142857142856"/>
    <n v="32.685510329734512"/>
    <n v="7.1334648257725286E-2"/>
    <n v="228.79857230814162"/>
  </r>
  <r>
    <x v="17"/>
    <x v="452"/>
    <n v="462"/>
    <n v="36354"/>
    <n v="7"/>
    <n v="624"/>
    <n v="946.98400060418544"/>
    <n v="1.4172413793103449"/>
    <n v="1342.1049112011042"/>
    <n v="491"/>
    <n v="62.85065481165924"/>
    <n v="-0.13228982580156523"/>
    <n v="439.95458368161474"/>
  </r>
  <r>
    <x v="18"/>
    <x v="452"/>
    <n v="581"/>
    <n v="52078"/>
    <m/>
    <n v="681"/>
    <n v="1486.6385483388678"/>
    <n v="1.1590490797546011"/>
    <n v="1723.0870413798809"/>
    <n v="580"/>
    <n v="114.09955776585197"/>
    <n v="0.16099513869030591"/>
    <n v="798.6969043609638"/>
  </r>
  <r>
    <x v="19"/>
    <x v="452"/>
    <n v="188"/>
    <n v="51213"/>
    <n v="2"/>
    <n v="785"/>
    <n v="899.37598783695842"/>
    <n v="1.0861955085865258"/>
    <n v="976.89815851907406"/>
    <n v="193"/>
    <n v="52.77578767179476"/>
    <n v="-0.30288957688338491"/>
    <n v="369.4305137025633"/>
  </r>
  <r>
    <x v="20"/>
    <x v="452"/>
    <n v="3197"/>
    <n v="340096"/>
    <n v="55"/>
    <n v="5498"/>
    <n v="1087.3431817166411"/>
    <n v="1.4894449393810281"/>
    <n v="1619.5377993783168"/>
    <n v="2771.1428571428573"/>
    <n v="78.36016152906295"/>
    <n v="1.8000524796641271E-2"/>
    <n v="548.52113070344058"/>
  </r>
  <r>
    <x v="21"/>
    <x v="452"/>
    <n v="662"/>
    <n v="42961"/>
    <n v="6"/>
    <n v="499"/>
    <n v="821.4140055381049"/>
    <n v="1.9739621714566447"/>
    <n v="1621.4401740368978"/>
    <n v="556.85714285714289"/>
    <n v="56.920141392084417"/>
    <n v="-5.7999033349444229E-2"/>
    <n v="398.44098974459098"/>
  </r>
  <r>
    <x v="22"/>
    <x v="452"/>
    <n v="40"/>
    <n v="28419"/>
    <m/>
    <n v="415"/>
    <n v="540.63224565967312"/>
    <n v="0.98964803312629401"/>
    <n v="535.03563856174685"/>
    <n v="61"/>
    <n v="34.496408980376636"/>
    <n v="-0.19281663516068048"/>
    <n v="241.47486286263646"/>
  </r>
  <r>
    <x v="23"/>
    <x v="452"/>
    <n v="714"/>
    <n v="128142"/>
    <m/>
    <n v="1865"/>
    <n v="802.3457268023717"/>
    <n v="1.7133316532258065"/>
    <n v="1374.6843305609689"/>
    <n v="1040.8571428571429"/>
    <n v="61.419966226605453"/>
    <n v="0.15449215655205206"/>
    <n v="429.9397635862382"/>
  </r>
  <r>
    <x v="0"/>
    <x v="453"/>
    <n v="6446"/>
    <n v="1600264"/>
    <n v="196"/>
    <n v="39946"/>
    <n v="917.07831320664945"/>
    <n v="1.2678593947036569"/>
    <n v="1162.7263550780333"/>
    <n v="10973.285714285714"/>
    <n v="62.557422657315819"/>
    <n v="-8.6136128395179257E-2"/>
    <n v="437.90195860121077"/>
  </r>
  <r>
    <x v="4"/>
    <x v="453"/>
    <n v="1819"/>
    <n v="416145"/>
    <n v="30"/>
    <n v="9090"/>
    <n v="1236.6832853976043"/>
    <n v="1.1928746158188546"/>
    <n v="1475.2080989582662"/>
    <n v="2612.2857142857142"/>
    <n v="84.934537794197198"/>
    <n v="-7.4126582278481012E-2"/>
    <n v="594.54176455938034"/>
  </r>
  <r>
    <x v="1"/>
    <x v="453"/>
    <n v="497"/>
    <n v="23418"/>
    <m/>
    <n v="168"/>
    <n v="1297.185139539474"/>
    <n v="1.7785478547854785"/>
    <n v="2307.1058471875331"/>
    <n v="443.85714285714283"/>
    <n v="106.84076633749027"/>
    <n v="0.36152497808939521"/>
    <n v="747.88536436243191"/>
  </r>
  <r>
    <x v="2"/>
    <x v="453"/>
    <n v="352"/>
    <n v="57727"/>
    <n v="6"/>
    <n v="1214"/>
    <n v="699.85164473438431"/>
    <n v="2.0476074811756133"/>
    <n v="1433.0214634711829"/>
    <n v="619.14285714285711"/>
    <n v="51.400729169273369"/>
    <n v="5.810546875E-2"/>
    <n v="359.8051041849136"/>
  </r>
  <r>
    <x v="3"/>
    <x v="453"/>
    <n v="128"/>
    <n v="62302"/>
    <m/>
    <n v="1040"/>
    <n v="716.16203064973172"/>
    <n v="1.5753375977256574"/>
    <n v="1128.196972946077"/>
    <n v="322"/>
    <n v="52.019890338193903"/>
    <n v="3.4419458467186859E-2"/>
    <n v="364.13923236735735"/>
  </r>
  <r>
    <x v="6"/>
    <x v="453"/>
    <n v="620"/>
    <n v="51113"/>
    <m/>
    <n v="602"/>
    <n v="942.450979255015"/>
    <n v="3.8257877580586745"/>
    <n v="3605.6174190042461"/>
    <n v="517.57142857142856"/>
    <n v="46.178708670979823"/>
    <n v="-0.47795389048991355"/>
    <n v="323.25096069685873"/>
  </r>
  <r>
    <x v="5"/>
    <x v="453"/>
    <n v="3441"/>
    <n v="308317"/>
    <n v="15"/>
    <n v="3872"/>
    <n v="1374.1174593466208"/>
    <n v="1.9049251640492517"/>
    <n v="2617.5909266688027"/>
    <n v="3882.1428571428573"/>
    <n v="103.23612485587782"/>
    <n v="0.10927422646746665"/>
    <n v="722.6528739911447"/>
  </r>
  <r>
    <x v="7"/>
    <x v="453"/>
    <n v="737"/>
    <n v="85033"/>
    <n v="14"/>
    <n v="1316"/>
    <n v="934.44187823466893"/>
    <n v="1.5152685152685152"/>
    <n v="1415.9303574373696"/>
    <n v="956"/>
    <n v="68.977409898258315"/>
    <n v="6.9180380252436446E-2"/>
    <n v="482.84186928780821"/>
  </r>
  <r>
    <x v="8"/>
    <x v="453"/>
    <n v="777"/>
    <n v="29647"/>
    <n v="4"/>
    <n v="468"/>
    <n v="3549.4462097215269"/>
    <n v="5.9225255031706645"/>
    <n v="21021.685699208196"/>
    <n v="925.57142857142856"/>
    <n v="152.93822442946771"/>
    <n v="-0.56812425009998668"/>
    <n v="1070.5675710062742"/>
  </r>
  <r>
    <x v="9"/>
    <x v="453"/>
    <n v="143"/>
    <n v="28212"/>
    <n v="1"/>
    <n v="1092"/>
    <n v="255.55176479897676"/>
    <n v="1.5709728867623605"/>
    <n v="401.4648936634643"/>
    <n v="154.57142857142858"/>
    <n v="20.051269725343936"/>
    <n v="0.21846846846846857"/>
    <n v="140.35888807740753"/>
  </r>
  <r>
    <x v="10"/>
    <x v="453"/>
    <n v="298"/>
    <n v="42338"/>
    <m/>
    <n v="545"/>
    <n v="2440.0995457944132"/>
    <n v="1.4605878423513694"/>
    <n v="3563.9797307144186"/>
    <n v="550.85714285714289"/>
    <n v="153.68697279708698"/>
    <n v="-0.21145194274028634"/>
    <n v="1075.8088095796088"/>
  </r>
  <r>
    <x v="11"/>
    <x v="453"/>
    <n v="109"/>
    <n v="17289"/>
    <m/>
    <n v="534"/>
    <n v="618.75684507700794"/>
    <n v="1.8601986249045073"/>
    <n v="1151.0106323625014"/>
    <n v="169.71428571428572"/>
    <n v="43.126027101876531"/>
    <n v="-4.7313552526062508E-2"/>
    <n v="301.88218971313569"/>
  </r>
  <r>
    <x v="12"/>
    <x v="453"/>
    <n v="450"/>
    <n v="119878"/>
    <n v="14"/>
    <n v="2560"/>
    <n v="579.85126144403614"/>
    <n v="1.0469926517282047"/>
    <n v="607.10000982723591"/>
    <n v="715"/>
    <n v="35.92354665388492"/>
    <n v="-0.23424112607099146"/>
    <n v="251.46482657719443"/>
  </r>
  <r>
    <x v="13"/>
    <x v="453"/>
    <n v="189"/>
    <n v="20264"/>
    <n v="1"/>
    <n v="293"/>
    <n v="185.99945769979084"/>
    <n v="1.1268011527377522"/>
    <n v="209.5844033447211"/>
    <n v="178"/>
    <n v="14.112490822916783"/>
    <n v="0.1327272727272728"/>
    <n v="98.787435760417466"/>
  </r>
  <r>
    <x v="14"/>
    <x v="453"/>
    <n v="600"/>
    <n v="89550"/>
    <n v="5"/>
    <n v="1313"/>
    <n v="1680.2774460626119"/>
    <n v="1.645480017696505"/>
    <n v="2764.8629616821449"/>
    <n v="844.71428571428567"/>
    <n v="127.20508717087324"/>
    <n v="0.12735938989513818"/>
    <n v="890.43561019611275"/>
  </r>
  <r>
    <x v="15"/>
    <x v="453"/>
    <n v="170"/>
    <n v="73614"/>
    <n v="29"/>
    <n v="1610"/>
    <n v="959.72499030243034"/>
    <n v="1.5217391304347827"/>
    <n v="1460.4510721993506"/>
    <n v="502.85714285714283"/>
    <n v="67.26196049506332"/>
    <n v="-3.6935704514363898E-2"/>
    <n v="470.8337234654432"/>
  </r>
  <r>
    <x v="16"/>
    <x v="453"/>
    <n v="287"/>
    <n v="44952"/>
    <n v="1"/>
    <n v="1387"/>
    <n v="455.91222110128007"/>
    <n v="1.8511972633979477"/>
    <n v="843.98345605236966"/>
    <n v="457.42857142857144"/>
    <n v="32.113839851429866"/>
    <n v="-2.7339003645200477E-2"/>
    <n v="224.79687896000905"/>
  </r>
  <r>
    <x v="17"/>
    <x v="453"/>
    <n v="255"/>
    <n v="36609"/>
    <n v="3"/>
    <n v="627"/>
    <n v="945.19192490690807"/>
    <n v="1.3573529411764707"/>
    <n v="1282.9590392486414"/>
    <n v="497.57142857142856"/>
    <n v="63.691833200177228"/>
    <n v="-0.1071520123045373"/>
    <n v="445.84283240124068"/>
  </r>
  <r>
    <x v="18"/>
    <x v="453"/>
    <n v="453"/>
    <n v="52531"/>
    <n v="4"/>
    <n v="685"/>
    <n v="1527.7537338096663"/>
    <n v="1.2231847535044889"/>
    <n v="1868.7250743055392"/>
    <n v="547.28571428571433"/>
    <n v="107.66389305442831"/>
    <n v="-2.6429479034307479E-2"/>
    <n v="753.64725138099811"/>
  </r>
  <r>
    <x v="19"/>
    <x v="453"/>
    <n v="111"/>
    <n v="51324"/>
    <m/>
    <n v="785"/>
    <n v="870.39032206902971"/>
    <n v="1.0290979631425801"/>
    <n v="895.71690758025272"/>
    <n v="190.14285714285714"/>
    <n v="51.99450288020639"/>
    <n v="-0.28131749460043198"/>
    <n v="363.9615201614447"/>
  </r>
  <r>
    <x v="20"/>
    <x v="453"/>
    <n v="2540"/>
    <n v="342636"/>
    <n v="11"/>
    <n v="5509"/>
    <n v="1120.5971692260362"/>
    <n v="1.5029202063106797"/>
    <n v="1684.1681287643578"/>
    <n v="2864.4285714285716"/>
    <n v="80.998020353605582"/>
    <n v="2.415977117172341E-2"/>
    <n v="566.98614247523903"/>
  </r>
  <r>
    <x v="21"/>
    <x v="453"/>
    <n v="411"/>
    <n v="43372"/>
    <n v="11"/>
    <n v="510"/>
    <n v="822.4361732901433"/>
    <n v="1.8874032371569318"/>
    <n v="1552.2686958227757"/>
    <n v="558.14285714285711"/>
    <n v="57.051562960203647"/>
    <n v="-5.6052186518482761E-2"/>
    <n v="399.36094072142555"/>
  </r>
  <r>
    <x v="22"/>
    <x v="453"/>
    <n v="32"/>
    <n v="28451"/>
    <n v="3"/>
    <n v="418"/>
    <n v="519.70819431092013"/>
    <n v="0.92734611503531783"/>
    <n v="481.94937494625185"/>
    <n v="57"/>
    <n v="32.234349375106035"/>
    <n v="-0.23269230769230764"/>
    <n v="225.64044562574225"/>
  </r>
  <r>
    <x v="23"/>
    <x v="453"/>
    <n v="481"/>
    <n v="128623"/>
    <m/>
    <n v="1865"/>
    <n v="809.01374674270176"/>
    <n v="1.6980431013128561"/>
    <n v="1373.7402115237107"/>
    <n v="1049.7142857142858"/>
    <n v="61.942617599930948"/>
    <n v="0.15498270983967299"/>
    <n v="433.59832319951659"/>
  </r>
  <r>
    <x v="0"/>
    <x v="454"/>
    <n v="10022"/>
    <n v="1610286"/>
    <n v="249"/>
    <n v="40195"/>
    <n v="923.02433461996566"/>
    <n v="1.2567257090519584"/>
    <n v="1159.9884113974883"/>
    <n v="11326.571428571429"/>
    <n v="64.571463330529241"/>
    <n v="-4.0388269610156957E-2"/>
    <n v="452.00024331370469"/>
  </r>
  <r>
    <x v="4"/>
    <x v="454"/>
    <n v="2105"/>
    <n v="418250"/>
    <n v="70"/>
    <n v="9160"/>
    <n v="1225.6286971907689"/>
    <n v="1.1601625015388404"/>
    <n v="1421.9284552906324"/>
    <n v="2608"/>
    <n v="84.795194245371547"/>
    <n v="-6.0905349794238672E-2"/>
    <n v="593.56635971760079"/>
  </r>
  <r>
    <x v="1"/>
    <x v="454"/>
    <n v="324"/>
    <n v="23742"/>
    <m/>
    <n v="168"/>
    <n v="1335.9394181562591"/>
    <n v="1.8395757374875705"/>
    <n v="2457.5617403935162"/>
    <n v="419.85714285714283"/>
    <n v="101.06373101573347"/>
    <n v="0.12562236690923023"/>
    <n v="707.44611711013442"/>
  </r>
  <r>
    <x v="2"/>
    <x v="454"/>
    <n v="480"/>
    <n v="58207"/>
    <n v="15"/>
    <n v="1229"/>
    <n v="703.00637338206002"/>
    <n v="1.9399770904925544"/>
    <n v="1363.8162588314513"/>
    <n v="620.42857142857144"/>
    <n v="51.507468108480445"/>
    <n v="5.2848484848484922E-2"/>
    <n v="360.55227675936311"/>
  </r>
  <r>
    <x v="3"/>
    <x v="454"/>
    <n v="444"/>
    <n v="62746"/>
    <n v="8"/>
    <n v="1048"/>
    <n v="745.07991999922456"/>
    <n v="1.5612728503723765"/>
    <n v="1163.2730504524116"/>
    <n v="354.71428571428572"/>
    <n v="57.304963491453179"/>
    <n v="0.16627524659464532"/>
    <n v="401.13474444017231"/>
  </r>
  <r>
    <x v="6"/>
    <x v="454"/>
    <n v="341"/>
    <n v="51454"/>
    <n v="10"/>
    <n v="612"/>
    <n v="946.64440877550953"/>
    <n v="3.6113002042205582"/>
    <n v="3418.6171467352469"/>
    <n v="519.57142857142856"/>
    <n v="46.357152480362579"/>
    <n v="-0.47841675032267317"/>
    <n v="324.50006736253806"/>
  </r>
  <r>
    <x v="5"/>
    <x v="454"/>
    <n v="3581"/>
    <n v="311898"/>
    <n v="34"/>
    <n v="3906"/>
    <n v="1396.3488412291083"/>
    <n v="1.8318158032443748"/>
    <n v="2557.8538742054511"/>
    <n v="3992.7142857142858"/>
    <n v="106.1765024322697"/>
    <n v="0.13798859934853414"/>
    <n v="743.23551702588793"/>
  </r>
  <r>
    <x v="7"/>
    <x v="454"/>
    <n v="748"/>
    <n v="85781"/>
    <n v="20"/>
    <n v="1336"/>
    <n v="954.8609232150111"/>
    <n v="1.5199264959228207"/>
    <n v="1451.3184171158214"/>
    <n v="996.71428571428567"/>
    <n v="71.91503121042264"/>
    <n v="0.11507112034521327"/>
    <n v="503.4052184729585"/>
  </r>
  <r>
    <x v="8"/>
    <x v="454"/>
    <n v="860"/>
    <n v="30507"/>
    <n v="27"/>
    <n v="495"/>
    <n v="2761.2678930522989"/>
    <n v="1.8221567986042961"/>
    <n v="5031.4630640930072"/>
    <n v="940.14285714285711"/>
    <n v="155.34595693321918"/>
    <n v="-0.35034550839091805"/>
    <n v="1087.4216985325343"/>
  </r>
  <r>
    <x v="9"/>
    <x v="454"/>
    <n v="157"/>
    <n v="28369"/>
    <m/>
    <n v="1092"/>
    <n v="265.92950144055953"/>
    <n v="1.6386890487609913"/>
    <n v="435.77576175311515"/>
    <n v="160.71428571428572"/>
    <n v="20.848131646036901"/>
    <n v="0.21621621621621623"/>
    <n v="145.9369215222583"/>
  </r>
  <r>
    <x v="10"/>
    <x v="454"/>
    <n v="490"/>
    <n v="42828"/>
    <n v="16"/>
    <n v="561"/>
    <n v="2434.7986206434762"/>
    <n v="1.3905353728489485"/>
    <n v="3385.6736077685814"/>
    <n v="527"/>
    <n v="147.03092392335421"/>
    <n v="-0.26776498610559751"/>
    <n v="1029.2164674634794"/>
  </r>
  <r>
    <x v="11"/>
    <x v="454"/>
    <n v="112"/>
    <n v="17401"/>
    <m/>
    <n v="534"/>
    <n v="606.05136571197693"/>
    <n v="1.9156626506024097"/>
    <n v="1160.9899656410162"/>
    <n v="158.14285714285714"/>
    <n v="40.185616163112222"/>
    <n v="-0.13380281690140849"/>
    <n v="281.29931314178549"/>
  </r>
  <r>
    <x v="12"/>
    <x v="454"/>
    <n v="788"/>
    <n v="120666"/>
    <n v="18"/>
    <n v="2578"/>
    <n v="574.3245619588231"/>
    <n v="1.010519801980198"/>
    <n v="580.3663426229939"/>
    <n v="780.42857142857144"/>
    <n v="39.210856217816847"/>
    <n v="-8.4617962466487895E-2"/>
    <n v="274.47599352471792"/>
  </r>
  <r>
    <x v="13"/>
    <x v="454"/>
    <n v="191"/>
    <n v="20455"/>
    <n v="5"/>
    <n v="298"/>
    <n v="189.09152029582319"/>
    <n v="1.1170960187353629"/>
    <n v="211.23338449908115"/>
    <n v="190.42857142857142"/>
    <n v="15.097873408465546"/>
    <n v="0.2671102661596958"/>
    <n v="105.68511385925883"/>
  </r>
  <r>
    <x v="14"/>
    <x v="454"/>
    <n v="858"/>
    <n v="90408"/>
    <n v="12"/>
    <n v="1325"/>
    <n v="1704.0705843022513"/>
    <n v="1.5808885163453479"/>
    <n v="2693.945617765336"/>
    <n v="844.28571428571433"/>
    <n v="127.14054882121781"/>
    <n v="9.3229744728079877E-2"/>
    <n v="889.98384174852458"/>
  </r>
  <r>
    <x v="15"/>
    <x v="454"/>
    <n v="598"/>
    <n v="74212"/>
    <n v="15"/>
    <n v="1625"/>
    <n v="985.40682976418179"/>
    <n v="1.535111481558658"/>
    <n v="1512.7093383773133"/>
    <n v="527.57142857142856"/>
    <n v="70.567732985303635"/>
    <n v="5.1714752313554158E-3"/>
    <n v="493.97413089712552"/>
  </r>
  <r>
    <x v="16"/>
    <x v="454"/>
    <n v="427"/>
    <n v="45379"/>
    <n v="16"/>
    <n v="1403"/>
    <n v="468.47894231734557"/>
    <n v="1.8536111111111111"/>
    <n v="868.37777280101307"/>
    <n v="467.71428571428572"/>
    <n v="32.835949929288375"/>
    <n v="-3.6775522212415424E-2"/>
    <n v="229.85164950501863"/>
  </r>
  <r>
    <x v="17"/>
    <x v="454"/>
    <n v="409"/>
    <n v="37018"/>
    <n v="8"/>
    <n v="635"/>
    <n v="925.60709764380454"/>
    <n v="1.2610742936867807"/>
    <n v="1167.2593168926319"/>
    <n v="518.42857142857144"/>
    <n v="66.361660259386497"/>
    <n v="7.4958356468628473E-3"/>
    <n v="464.53162181570548"/>
  </r>
  <r>
    <x v="18"/>
    <x v="454"/>
    <n v="532"/>
    <n v="53063"/>
    <n v="17"/>
    <n v="702"/>
    <n v="1569.655812782298"/>
    <n v="1.2776621297037629"/>
    <n v="2005.4897886613219"/>
    <n v="534.42857142857144"/>
    <n v="105.13459251282075"/>
    <n v="-0.11727229825389329"/>
    <n v="735.94214758974522"/>
  </r>
  <r>
    <x v="19"/>
    <x v="454"/>
    <n v="218"/>
    <n v="51542"/>
    <n v="6"/>
    <n v="791"/>
    <n v="870.93722142314152"/>
    <n v="1.0085497150094997"/>
    <n v="878.38348645747499"/>
    <n v="198.85714285714286"/>
    <n v="54.37742149455093"/>
    <n v="-0.22364751812604577"/>
    <n v="380.64195046185648"/>
  </r>
  <r>
    <x v="20"/>
    <x v="454"/>
    <n v="2435"/>
    <n v="345071"/>
    <n v="52"/>
    <n v="5561"/>
    <n v="1143.6996418409815"/>
    <n v="1.5165922981739097"/>
    <n v="1734.5260682402916"/>
    <n v="2911.4285714285716"/>
    <n v="82.327048765970872"/>
    <n v="1.5648360410644768E-2"/>
    <n v="576.28934136179601"/>
  </r>
  <r>
    <x v="21"/>
    <x v="454"/>
    <n v="545"/>
    <n v="43917"/>
    <n v="13"/>
    <n v="523"/>
    <n v="834.29331921378946"/>
    <n v="1.7793764988009593"/>
    <n v="1484.5219253156638"/>
    <n v="543.85714285714289"/>
    <n v="55.591323314434433"/>
    <n v="-0.12583237657864521"/>
    <n v="389.13926320104099"/>
  </r>
  <r>
    <x v="22"/>
    <x v="454"/>
    <n v="29"/>
    <n v="28480"/>
    <n v="2"/>
    <n v="420"/>
    <n v="510.09444098851998"/>
    <n v="0.90380761523046094"/>
    <n v="461.02724025214934"/>
    <n v="59.142857142857146"/>
    <n v="33.446167020786717"/>
    <n v="-0.15163934426229508"/>
    <n v="234.12316914550698"/>
  </r>
  <r>
    <x v="23"/>
    <x v="454"/>
    <n v="1481"/>
    <n v="130104"/>
    <n v="25"/>
    <n v="1890"/>
    <n v="842.7079006004758"/>
    <n v="1.6848749410099104"/>
    <n v="1419.8574243128121"/>
    <n v="1177.2857142857142"/>
    <n v="69.470483347990054"/>
    <n v="0.36440397350993381"/>
    <n v="486.29338343593037"/>
  </r>
  <r>
    <x v="0"/>
    <x v="455"/>
    <n v="13283"/>
    <n v="1623569"/>
    <n v="267"/>
    <n v="40462"/>
    <n v="915.55617733190786"/>
    <n v="1.2239284843311791"/>
    <n v="1120.5752844418903"/>
    <n v="11993.857142857143"/>
    <n v="68.375581399506132"/>
    <n v="9.5443751467863658E-2"/>
    <n v="478.62906979654286"/>
  </r>
  <r>
    <x v="4"/>
    <x v="455"/>
    <n v="2430"/>
    <n v="420680"/>
    <n v="42"/>
    <n v="9202"/>
    <n v="1191.9772301493736"/>
    <n v="1.1181565864519474"/>
    <n v="1332.8171907922708"/>
    <n v="2628"/>
    <n v="85.445464139891271"/>
    <n v="7.1721872433616607E-3"/>
    <n v="598.11824897923884"/>
  </r>
  <r>
    <x v="1"/>
    <x v="455"/>
    <n v="455"/>
    <n v="24197"/>
    <n v="8"/>
    <n v="176"/>
    <n v="1339.5500652323572"/>
    <n v="1.6987179487179487"/>
    <n v="2275.517739016504"/>
    <n v="412.71428571428572"/>
    <n v="99.34437526521063"/>
    <n v="7.9596412556053764E-2"/>
    <n v="695.41062685647444"/>
  </r>
  <r>
    <x v="2"/>
    <x v="455"/>
    <n v="791"/>
    <n v="58998"/>
    <n v="13"/>
    <n v="1242"/>
    <n v="725.08947391579034"/>
    <n v="1.8970460469157255"/>
    <n v="1375.5281201521532"/>
    <n v="643.14285714285711"/>
    <n v="53.393189367805427"/>
    <n v="6.3799621928166461E-2"/>
    <n v="373.75232557463795"/>
  </r>
  <r>
    <x v="3"/>
    <x v="455"/>
    <n v="506"/>
    <n v="63252"/>
    <m/>
    <n v="1048"/>
    <n v="775.1286765299825"/>
    <n v="1.5407835581245986"/>
    <n v="1194.3055202282774"/>
    <n v="393.85714285714283"/>
    <n v="63.628588137710999"/>
    <n v="0.35080842724154837"/>
    <n v="445.40011696397698"/>
  </r>
  <r>
    <x v="6"/>
    <x v="455"/>
    <n v="167"/>
    <n v="51621"/>
    <n v="23"/>
    <n v="635"/>
    <n v="958.42170019477135"/>
    <n v="4.0413844996237769"/>
    <n v="3873.3506032702153"/>
    <n v="540"/>
    <n v="48.17982853334356"/>
    <n v="-0.45705257110025854"/>
    <n v="337.25879973340494"/>
  </r>
  <r>
    <x v="5"/>
    <x v="455"/>
    <n v="5132"/>
    <n v="317030"/>
    <n v="43"/>
    <n v="3949"/>
    <n v="1424.4837718890028"/>
    <n v="1.7340088048685744"/>
    <n v="2470.0674028479289"/>
    <n v="4236.7142857142853"/>
    <n v="112.66508757500526"/>
    <n v="0.24035968214136338"/>
    <n v="788.65561302503693"/>
  </r>
  <r>
    <x v="7"/>
    <x v="455"/>
    <n v="1271"/>
    <n v="87052"/>
    <n v="22"/>
    <n v="1358"/>
    <n v="980.11415905642377"/>
    <n v="1.5028211085297045"/>
    <n v="1472.9362469988339"/>
    <n v="1079.8571428571429"/>
    <n v="77.913963153158207"/>
    <n v="0.25460580912863073"/>
    <n v="545.39774207210735"/>
  </r>
  <r>
    <x v="8"/>
    <x v="455"/>
    <n v="1057"/>
    <n v="31564"/>
    <n v="12"/>
    <n v="507"/>
    <n v="2881.725333901747"/>
    <n v="1.8686381656487732"/>
    <n v="5384.9019418457592"/>
    <n v="981"/>
    <n v="162.09705003197328"/>
    <n v="-0.35051546391752575"/>
    <n v="1134.6793502238129"/>
  </r>
  <r>
    <x v="9"/>
    <x v="455"/>
    <n v="278"/>
    <n v="28647"/>
    <m/>
    <n v="1092"/>
    <n v="283.18248860719098"/>
    <n v="1.7380573248407643"/>
    <n v="492.18739859036452"/>
    <n v="182.71428571428572"/>
    <n v="23.702009222472174"/>
    <n v="0.41482300884955747"/>
    <n v="165.91406455730521"/>
  </r>
  <r>
    <x v="10"/>
    <x v="455"/>
    <n v="528"/>
    <n v="43356"/>
    <n v="10"/>
    <n v="571"/>
    <n v="2359.190688227482"/>
    <n v="1.2731105088828667"/>
    <n v="3003.5104576410104"/>
    <n v="536.57142857142856"/>
    <n v="149.70131478886375"/>
    <n v="-0.20085106382978724"/>
    <n v="1047.9092035220463"/>
  </r>
  <r>
    <x v="11"/>
    <x v="455"/>
    <n v="100"/>
    <n v="17501"/>
    <m/>
    <n v="534"/>
    <n v="535.91711961700605"/>
    <n v="1.363283775048481"/>
    <n v="730.60711394458031"/>
    <n v="145"/>
    <n v="36.845890158589796"/>
    <n v="-7.2212065813528348E-2"/>
    <n v="257.92123111012853"/>
  </r>
  <r>
    <x v="12"/>
    <x v="455"/>
    <n v="1033"/>
    <n v="121699"/>
    <n v="41"/>
    <n v="2619"/>
    <n v="571.20951315806656"/>
    <n v="0.99929682693152855"/>
    <n v="570.80785401195908"/>
    <n v="866.85714285714289"/>
    <n v="43.553262956198544"/>
    <n v="0.1446896811922278"/>
    <n v="304.87284069338978"/>
  </r>
  <r>
    <x v="13"/>
    <x v="455"/>
    <n v="153"/>
    <n v="20608"/>
    <n v="3"/>
    <n v="301"/>
    <n v="190.99432804722767"/>
    <n v="1.1040329972502292"/>
    <n v="210.86404045177429"/>
    <n v="181.14285714285714"/>
    <n v="14.361668028457848"/>
    <n v="0.11130587204206832"/>
    <n v="100.53167619920494"/>
  </r>
  <r>
    <x v="14"/>
    <x v="455"/>
    <n v="845"/>
    <n v="91253"/>
    <n v="35"/>
    <n v="1360"/>
    <n v="1709.792984638367"/>
    <n v="1.527306967984934"/>
    <n v="2611.3787392499353"/>
    <n v="830.71428571428567"/>
    <n v="125.09683441546218"/>
    <n v="4.9828488896912715E-2"/>
    <n v="875.67784090823534"/>
  </r>
  <r>
    <x v="15"/>
    <x v="455"/>
    <n v="607"/>
    <n v="74819"/>
    <n v="15"/>
    <n v="1640"/>
    <n v="992.09480879067974"/>
    <n v="1.4757262236370872"/>
    <n v="1464.0603256666279"/>
    <n v="545"/>
    <n v="72.898971388825714"/>
    <n v="5.9133814547473573E-2"/>
    <n v="510.29279972178006"/>
  </r>
  <r>
    <x v="16"/>
    <x v="455"/>
    <n v="679"/>
    <n v="46058"/>
    <n v="12"/>
    <n v="1415"/>
    <n v="479.78197089715854"/>
    <n v="1.749615975422427"/>
    <n v="839.43420100132653"/>
    <n v="503.28571428571428"/>
    <n v="35.333247281882393"/>
    <n v="6.4028994261552397E-2"/>
    <n v="247.33273097317672"/>
  </r>
  <r>
    <x v="17"/>
    <x v="455"/>
    <n v="616"/>
    <n v="37634"/>
    <n v="6"/>
    <n v="641"/>
    <n v="910.37445421694611"/>
    <n v="1.1765095119933831"/>
    <n v="1071.0642048620216"/>
    <n v="574.71428571428567"/>
    <n v="73.566536021910139"/>
    <n v="0.30236322434444807"/>
    <n v="514.965752153371"/>
  </r>
  <r>
    <x v="18"/>
    <x v="455"/>
    <n v="436"/>
    <n v="53499"/>
    <n v="6"/>
    <n v="708"/>
    <n v="1597.5905320973861"/>
    <n v="1.3389942291838417"/>
    <n v="2139.1645030771429"/>
    <n v="527.57142857142856"/>
    <n v="103.78563222396339"/>
    <n v="-0.1659891598915989"/>
    <n v="726.49942556774374"/>
  </r>
  <r>
    <x v="19"/>
    <x v="455"/>
    <n v="230"/>
    <n v="51772"/>
    <n v="1"/>
    <n v="792"/>
    <n v="832.92771631236701"/>
    <n v="0.92275068161163287"/>
    <n v="768.58461796045742"/>
    <n v="210.85714285714286"/>
    <n v="57.658817619222106"/>
    <n v="-5.987261146496814E-2"/>
    <n v="403.61172333455477"/>
  </r>
  <r>
    <x v="20"/>
    <x v="455"/>
    <n v="3328"/>
    <n v="348399"/>
    <n v="55"/>
    <n v="5616"/>
    <n v="1144.4348490478219"/>
    <n v="1.4603976473135352"/>
    <n v="1671.3299610530598"/>
    <n v="3058.8571428571427"/>
    <n v="86.495916004758001"/>
    <n v="0.12339979013641122"/>
    <n v="605.47141203330602"/>
  </r>
  <r>
    <x v="21"/>
    <x v="455"/>
    <n v="383"/>
    <n v="44300"/>
    <n v="5"/>
    <n v="528"/>
    <n v="828.05809592635478"/>
    <n v="1.6559689288634505"/>
    <n v="1371.238478147874"/>
    <n v="538.71428571428567"/>
    <n v="55.065637041957494"/>
    <n v="-0.12909930715935336"/>
    <n v="385.45945929370254"/>
  </r>
  <r>
    <x v="22"/>
    <x v="455"/>
    <n v="49"/>
    <n v="28529"/>
    <n v="2"/>
    <n v="422"/>
    <n v="493.69450885030824"/>
    <n v="0.873"/>
    <n v="430.99530622631909"/>
    <n v="50.142857142857146"/>
    <n v="28.356532908927868"/>
    <n v="-0.32758620689655171"/>
    <n v="198.49573036249507"/>
  </r>
  <r>
    <x v="23"/>
    <x v="455"/>
    <n v="998"/>
    <n v="131102"/>
    <n v="20"/>
    <n v="1910"/>
    <n v="831.14213150043429"/>
    <n v="1.6031185977691782"/>
    <n v="1332.4194083978621"/>
    <n v="1253.4285714285713"/>
    <n v="73.963599186417255"/>
    <n v="0.65204292976840517"/>
    <n v="517.74519430492091"/>
  </r>
  <r>
    <x v="0"/>
    <x v="456"/>
    <n v="12274"/>
    <n v="1635843"/>
    <n v="306"/>
    <n v="40768"/>
    <n v="905.40290395020486"/>
    <n v="1.1817870643212192"/>
    <n v="1069.9934398872194"/>
    <n v="11938.857142857143"/>
    <n v="68.062032811076207"/>
    <n v="0.11065040002126358"/>
    <n v="476.43422967753355"/>
  </r>
  <r>
    <x v="4"/>
    <x v="456"/>
    <n v="2227"/>
    <n v="422907"/>
    <n v="48"/>
    <n v="9250"/>
    <n v="1164.8934890426272"/>
    <n v="1.0628615503278056"/>
    <n v="1238.1204997306133"/>
    <n v="2423.5714285714284"/>
    <n v="78.798776860907552"/>
    <n v="-0.10062026188835282"/>
    <n v="551.59143802635288"/>
  </r>
  <r>
    <x v="1"/>
    <x v="456"/>
    <n v="392"/>
    <n v="24589"/>
    <n v="2"/>
    <n v="178"/>
    <n v="1330.8845122497221"/>
    <n v="1.5756625819321743"/>
    <n v="2097.0249268249395"/>
    <n v="422.85714285714283"/>
    <n v="101.78586043095308"/>
    <n v="0.15219929933826393"/>
    <n v="712.50102301667152"/>
  </r>
  <r>
    <x v="2"/>
    <x v="456"/>
    <n v="802"/>
    <n v="59800"/>
    <n v="12"/>
    <n v="1254"/>
    <n v="740.78009797923028"/>
    <n v="1.8273602293671922"/>
    <n v="1353.6720897539774"/>
    <n v="673.28571428571433"/>
    <n v="55.895624498104617"/>
    <n v="0.11947743467933503"/>
    <n v="391.26937148673227"/>
  </r>
  <r>
    <x v="3"/>
    <x v="456"/>
    <n v="529"/>
    <n v="63781"/>
    <n v="9"/>
    <n v="1057"/>
    <n v="809.86245424026731"/>
    <n v="1.608793324775353"/>
    <n v="1302.9013103679267"/>
    <n v="409.14285714285717"/>
    <n v="66.09803279884089"/>
    <n v="0.3327128897161471"/>
    <n v="462.68622959188622"/>
  </r>
  <r>
    <x v="6"/>
    <x v="456"/>
    <n v="610"/>
    <n v="52231"/>
    <m/>
    <n v="635"/>
    <n v="919.87783736809661"/>
    <n v="2.8928170594837264"/>
    <n v="2661.0383005794265"/>
    <n v="524.14285714285711"/>
    <n v="46.765024044666006"/>
    <n v="-0.44752296340912512"/>
    <n v="327.3551683126621"/>
  </r>
  <r>
    <x v="5"/>
    <x v="456"/>
    <n v="4996"/>
    <n v="322026"/>
    <n v="35"/>
    <n v="3984"/>
    <n v="1453.3632942865881"/>
    <n v="1.6565531037827352"/>
    <n v="2407.5734760743485"/>
    <n v="4304.2857142857147"/>
    <n v="114.46198498280033"/>
    <n v="0.22864249887860377"/>
    <n v="801.23389487960219"/>
  </r>
  <r>
    <x v="7"/>
    <x v="456"/>
    <n v="1214"/>
    <n v="88266"/>
    <n v="8"/>
    <n v="1366"/>
    <n v="992.23571226030174"/>
    <n v="1.4881506330483714"/>
    <n v="1476.5962033333697"/>
    <n v="1134.8571428571429"/>
    <n v="81.882328785380182"/>
    <n v="0.36776859504132231"/>
    <n v="573.17630149766114"/>
  </r>
  <r>
    <x v="8"/>
    <x v="456"/>
    <n v="1018"/>
    <n v="32582"/>
    <n v="9"/>
    <n v="516"/>
    <n v="2221.1096294900963"/>
    <n v="0.95645367866799491"/>
    <n v="2124.3884758507097"/>
    <n v="1005.7142857142857"/>
    <n v="166.18075320010075"/>
    <n v="9.9656357388316241E-2"/>
    <n v="1163.2652724007053"/>
  </r>
  <r>
    <x v="9"/>
    <x v="456"/>
    <n v="248"/>
    <n v="28895"/>
    <m/>
    <n v="1092"/>
    <n v="297.32215478134759"/>
    <n v="1.7456207159177457"/>
    <n v="519.01171268762278"/>
    <n v="200.14285714285714"/>
    <n v="25.962873276531287"/>
    <n v="0.57239057239057245"/>
    <n v="181.740112935719"/>
  </r>
  <r>
    <x v="10"/>
    <x v="456"/>
    <n v="429"/>
    <n v="43785"/>
    <n v="10"/>
    <n v="581"/>
    <n v="2260.4260827837111"/>
    <n v="1.1510157692854099"/>
    <n v="2601.7860665880989"/>
    <n v="473.14285714285717"/>
    <n v="132.00499323235269"/>
    <n v="-0.30855949895615864"/>
    <n v="924.03495262646902"/>
  </r>
  <r>
    <x v="11"/>
    <x v="456"/>
    <n v="245"/>
    <n v="17746"/>
    <m/>
    <n v="534"/>
    <n v="570.47602348989017"/>
    <n v="1.4208860759493671"/>
    <n v="810.58143843974904"/>
    <n v="162"/>
    <n v="41.165753142700318"/>
    <n v="2.070207020702064E-2"/>
    <n v="288.16027199890226"/>
  </r>
  <r>
    <x v="12"/>
    <x v="456"/>
    <n v="1042"/>
    <n v="122741"/>
    <n v="38"/>
    <n v="2657"/>
    <n v="566.03451273100347"/>
    <n v="0.97549571391462464"/>
    <n v="552.16424109684692"/>
    <n v="886.14285714285711"/>
    <n v="44.522229749060564"/>
    <n v="0.22516294686944494"/>
    <n v="311.65560824342401"/>
  </r>
  <r>
    <x v="13"/>
    <x v="456"/>
    <n v="189"/>
    <n v="20797"/>
    <n v="4"/>
    <n v="305"/>
    <n v="194.0071069869515"/>
    <n v="1.137081784386617"/>
    <n v="220.60194739640812"/>
    <n v="184.85714285714286"/>
    <n v="14.656150180460928"/>
    <n v="0.12228967909800526"/>
    <n v="102.5930512632265"/>
  </r>
  <r>
    <x v="14"/>
    <x v="456"/>
    <n v="874"/>
    <n v="92127"/>
    <n v="8"/>
    <n v="1368"/>
    <n v="1730.2731542623601"/>
    <n v="1.49609375"/>
    <n v="2588.6508518847027"/>
    <n v="813.57142857142856"/>
    <n v="122.51530042924456"/>
    <n v="-1.72562553925798E-2"/>
    <n v="857.60710300471192"/>
  </r>
  <r>
    <x v="15"/>
    <x v="456"/>
    <n v="494"/>
    <n v="75313"/>
    <n v="8"/>
    <n v="1648"/>
    <n v="986.47690640842143"/>
    <n v="1.4223722275795565"/>
    <n v="1403.137354823936"/>
    <n v="522.85714285714289"/>
    <n v="69.937152105662435"/>
    <n v="-1.4804845222072704E-2"/>
    <n v="489.56006473963697"/>
  </r>
  <r>
    <x v="16"/>
    <x v="456"/>
    <n v="720"/>
    <n v="46778"/>
    <n v="10"/>
    <n v="1425"/>
    <n v="497.6842832440675"/>
    <n v="1.7451994091580503"/>
    <n v="868.55831706479432"/>
    <n v="553.14285714285711"/>
    <n v="38.833475298168771"/>
    <n v="0.2036058439539945"/>
    <n v="271.83432708718146"/>
  </r>
  <r>
    <x v="17"/>
    <x v="456"/>
    <n v="697"/>
    <n v="38331"/>
    <n v="11"/>
    <n v="652"/>
    <n v="915.23865968098505"/>
    <n v="1.166394779771615"/>
    <n v="1067.5295948970706"/>
    <n v="587.14285714285711"/>
    <n v="75.157460365411552"/>
    <n v="0.35197368421052633"/>
    <n v="526.10222255788085"/>
  </r>
  <r>
    <x v="18"/>
    <x v="456"/>
    <n v="509"/>
    <n v="54008"/>
    <n v="23"/>
    <n v="731"/>
    <n v="1594.6396814655106"/>
    <n v="1.2876886417791897"/>
    <n v="2053.3994055535231"/>
    <n v="521.71428571428567"/>
    <n v="102.63339531056438"/>
    <n v="-0.18006286484059275"/>
    <n v="718.43376717395063"/>
  </r>
  <r>
    <x v="19"/>
    <x v="456"/>
    <n v="234"/>
    <n v="52006"/>
    <m/>
    <n v="792"/>
    <n v="825.81802470891296"/>
    <n v="0.90473337327741166"/>
    <n v="747.14512720818368"/>
    <n v="199.28571428571428"/>
    <n v="54.494614213289189"/>
    <n v="-0.1415384615384615"/>
    <n v="381.46229949302432"/>
  </r>
  <r>
    <x v="20"/>
    <x v="456"/>
    <n v="3665"/>
    <n v="352064"/>
    <n v="34"/>
    <n v="5650"/>
    <n v="1160.8073480001517"/>
    <n v="1.4400827895881569"/>
    <n v="1671.658683882489"/>
    <n v="3194.2857142857142"/>
    <n v="90.325456840388057"/>
    <n v="0.19629768337702647"/>
    <n v="632.27819788271643"/>
  </r>
  <r>
    <x v="21"/>
    <x v="456"/>
    <n v="525"/>
    <n v="44825"/>
    <n v="6"/>
    <n v="534"/>
    <n v="816.40538355311639"/>
    <n v="1.5135493651696039"/>
    <n v="1235.6698499978663"/>
    <n v="534.42857142857144"/>
    <n v="54.627565148226736"/>
    <n v="-0.11893546867640137"/>
    <n v="382.39295603758711"/>
  </r>
  <r>
    <x v="22"/>
    <x v="456"/>
    <n v="75"/>
    <n v="28604"/>
    <m/>
    <n v="422"/>
    <n v="475.59803200814343"/>
    <n v="0.83848454636091729"/>
    <n v="398.78160011849315"/>
    <n v="54.857142857142854"/>
    <n v="31.022531729425356"/>
    <n v="-0.15973741794310725"/>
    <n v="217.15772210597751"/>
  </r>
  <r>
    <x v="23"/>
    <x v="456"/>
    <n v="1009"/>
    <n v="132111"/>
    <n v="4"/>
    <n v="1914"/>
    <n v="841.8817742361872"/>
    <n v="1.5679745026926035"/>
    <n v="1320.0491562839522"/>
    <n v="1135.8571428571429"/>
    <n v="67.025823698564366"/>
    <n v="0.25886637112096267"/>
    <n v="469.18076588995052"/>
  </r>
  <r>
    <x v="0"/>
    <x v="457"/>
    <n v="11362"/>
    <n v="1647205"/>
    <n v="226"/>
    <n v="40994"/>
    <n v="886.3220471233883"/>
    <n v="1.12368637881438"/>
    <n v="995.94801159542851"/>
    <n v="11340.571428571429"/>
    <n v="64.651275698493208"/>
    <n v="4.3331975238871223E-2"/>
    <n v="452.55892988945249"/>
  </r>
  <r>
    <x v="4"/>
    <x v="457"/>
    <n v="1933"/>
    <n v="424840"/>
    <n v="41"/>
    <n v="9291"/>
    <n v="1128.7384829073308"/>
    <n v="1.0224421275843789"/>
    <n v="1154.0697759501354"/>
    <n v="2257.8571428571427"/>
    <n v="73.41082630631557"/>
    <n v="-0.16424303315530642"/>
    <n v="513.87578414420909"/>
  </r>
  <r>
    <x v="1"/>
    <x v="457"/>
    <n v="391"/>
    <n v="24980"/>
    <n v="10"/>
    <n v="188"/>
    <n v="1373.7308575527516"/>
    <n v="1.595917225950783"/>
    <n v="2192.3607393885777"/>
    <n v="397"/>
    <n v="95.561792614060337"/>
    <n v="-5.0887978142076462E-2"/>
    <n v="668.93254829842238"/>
  </r>
  <r>
    <x v="2"/>
    <x v="457"/>
    <n v="833"/>
    <n v="60633"/>
    <n v="16"/>
    <n v="1270"/>
    <n v="747.08955527458181"/>
    <n v="1.6829998129792407"/>
    <n v="1257.3515818058654"/>
    <n v="669.28571428571433"/>
    <n v="55.563547798349269"/>
    <n v="8.5999072786277164E-2"/>
    <n v="388.94483458844491"/>
  </r>
  <r>
    <x v="3"/>
    <x v="457"/>
    <n v="491"/>
    <n v="64272"/>
    <n v="9"/>
    <n v="1066"/>
    <n v="822.94820305204905"/>
    <n v="1.5278944211157768"/>
    <n v="1257.3779683104792"/>
    <n v="407.28571428571428"/>
    <n v="65.798006811974631"/>
    <n v="0.27106553722692817"/>
    <n v="460.58604768382247"/>
  </r>
  <r>
    <x v="6"/>
    <x v="457"/>
    <n v="591"/>
    <n v="52822"/>
    <n v="2"/>
    <n v="637"/>
    <n v="951.55161353353537"/>
    <n v="2.9832167832167831"/>
    <n v="2838.6847435902528"/>
    <n v="509.85714285714283"/>
    <n v="45.490425406217774"/>
    <n v="-0.4970405862457723"/>
    <n v="318.43297784352444"/>
  </r>
  <r>
    <x v="5"/>
    <x v="457"/>
    <n v="5145"/>
    <n v="327171"/>
    <n v="48"/>
    <n v="4032"/>
    <n v="1496.6825778829661"/>
    <n v="1.6246752496968997"/>
    <n v="2431.6231409390075"/>
    <n v="4334.5714285714284"/>
    <n v="115.26735971948646"/>
    <n v="0.16969930609097927"/>
    <n v="806.87151803640529"/>
  </r>
  <r>
    <x v="7"/>
    <x v="457"/>
    <n v="1054"/>
    <n v="89320"/>
    <n v="10"/>
    <n v="1376"/>
    <n v="985.30911042951436"/>
    <n v="1.4129332643559234"/>
    <n v="1392.1760177988047"/>
    <n v="1092.1428571428571"/>
    <n v="78.800403268407777"/>
    <n v="0.27183496922309103"/>
    <n v="551.60282287885445"/>
  </r>
  <r>
    <x v="8"/>
    <x v="457"/>
    <n v="898"/>
    <n v="33480"/>
    <n v="10"/>
    <n v="526"/>
    <n v="2206.8992866738377"/>
    <n v="0.9094994892747702"/>
    <n v="2007.1737741107099"/>
    <n v="976.28571428571433"/>
    <n v="161.31807775134783"/>
    <n v="4.7838086476540864E-2"/>
    <n v="1129.2265442594346"/>
  </r>
  <r>
    <x v="9"/>
    <x v="457"/>
    <n v="239"/>
    <n v="29134"/>
    <m/>
    <n v="1092"/>
    <n v="306.92156117481164"/>
    <n v="1.7058399423215573"/>
    <n v="523.55905821168301"/>
    <n v="201.71428571428572"/>
    <n v="26.166721674848091"/>
    <n v="0.48008385744234805"/>
    <n v="183.16705172393665"/>
  </r>
  <r>
    <x v="10"/>
    <x v="457"/>
    <n v="436"/>
    <n v="44221"/>
    <n v="4"/>
    <n v="585"/>
    <n v="2185.376142488868"/>
    <n v="1.065424374319913"/>
    <n v="2328.3530092648671"/>
    <n v="436.57142857142856"/>
    <n v="121.80170873130128"/>
    <n v="-0.36026795059660877"/>
    <n v="852.61196111910897"/>
  </r>
  <r>
    <x v="11"/>
    <x v="457"/>
    <n v="187"/>
    <n v="17933"/>
    <m/>
    <n v="534"/>
    <n v="590.04246171203795"/>
    <n v="1.4404466501240696"/>
    <n v="849.92468740406468"/>
    <n v="169.42857142857142"/>
    <n v="43.053424362647775"/>
    <n v="4.401408450704225E-2"/>
    <n v="301.37397053853442"/>
  </r>
  <r>
    <x v="12"/>
    <x v="457"/>
    <n v="819"/>
    <n v="123560"/>
    <n v="35"/>
    <n v="2692"/>
    <n v="550.91145323055684"/>
    <n v="0.92127373550663749"/>
    <n v="507.54025245110535"/>
    <n v="845.57142857142856"/>
    <n v="42.483810718150814"/>
    <n v="0.17300832342449457"/>
    <n v="297.38667502705567"/>
  </r>
  <r>
    <x v="13"/>
    <x v="457"/>
    <n v="185"/>
    <n v="20982"/>
    <n v="6"/>
    <n v="311"/>
    <n v="194.79994355003672"/>
    <n v="1.1322580645161291"/>
    <n v="220.56380705181579"/>
    <n v="188.57142857142858"/>
    <n v="14.950632332464007"/>
    <n v="0.16094986807387857"/>
    <n v="104.65442632724806"/>
  </r>
  <r>
    <x v="14"/>
    <x v="457"/>
    <n v="588"/>
    <n v="92715"/>
    <n v="20"/>
    <n v="1388"/>
    <n v="1704.2211737847806"/>
    <n v="1.4222696996355411"/>
    <n v="2423.862136951409"/>
    <n v="768.57142857142856"/>
    <n v="115.73877371542331"/>
    <n v="-9.3818426814889722E-2"/>
    <n v="810.1714160079631"/>
  </r>
  <r>
    <x v="15"/>
    <x v="457"/>
    <n v="454"/>
    <n v="75767"/>
    <n v="21"/>
    <n v="1669"/>
    <n v="964.27281604044902"/>
    <n v="1.3249402683330269"/>
    <n v="1277.603883630876"/>
    <n v="483.71428571428572"/>
    <n v="64.701419953489875"/>
    <n v="-0.11430813497253467"/>
    <n v="452.90993967442921"/>
  </r>
  <r>
    <x v="16"/>
    <x v="457"/>
    <n v="642"/>
    <n v="47420"/>
    <n v="10"/>
    <n v="1435"/>
    <n v="498.10551412281825"/>
    <n v="1.5994138863841298"/>
    <n v="796.67687617254182"/>
    <n v="557"/>
    <n v="39.104266577365721"/>
    <n v="0.21996245306633289"/>
    <n v="273.72986604156"/>
  </r>
  <r>
    <x v="17"/>
    <x v="457"/>
    <n v="534"/>
    <n v="38865"/>
    <n v="3"/>
    <n v="655"/>
    <n v="897.18989730126214"/>
    <n v="1.0996234703482899"/>
    <n v="986.57106843183965"/>
    <n v="556.28571428571433"/>
    <n v="71.207579236718402"/>
    <n v="0.25008025682182988"/>
    <n v="498.45305465702876"/>
  </r>
  <r>
    <x v="18"/>
    <x v="457"/>
    <n v="675"/>
    <n v="54683"/>
    <n v="19"/>
    <n v="750"/>
    <n v="1581.2624919343414"/>
    <n v="1.2070881513740801"/>
    <n v="1908.7232182261953"/>
    <n v="546.28571428571433"/>
    <n v="107.46716967896994"/>
    <n v="-9.2548647365923165E-2"/>
    <n v="752.27018775278952"/>
  </r>
  <r>
    <x v="19"/>
    <x v="457"/>
    <n v="179"/>
    <n v="52185"/>
    <m/>
    <n v="792"/>
    <n v="773.58913639123"/>
    <n v="0.83871924103172246"/>
    <n v="648.8240933444381"/>
    <n v="197.14285714285714"/>
    <n v="53.908650619597907"/>
    <n v="-4.7619047619047672E-2"/>
    <n v="377.36055433718531"/>
  </r>
  <r>
    <x v="20"/>
    <x v="457"/>
    <n v="2961"/>
    <n v="355025"/>
    <n v="39"/>
    <n v="5689"/>
    <n v="1161.2032288038347"/>
    <n v="1.3940659266048816"/>
    <n v="1618.7938551389982"/>
    <n v="3111.2857142857142"/>
    <n v="87.978449218551489"/>
    <n v="0.12926475163330919"/>
    <n v="615.8491445298605"/>
  </r>
  <r>
    <x v="21"/>
    <x v="457"/>
    <n v="684"/>
    <n v="45509"/>
    <n v="14"/>
    <n v="548"/>
    <n v="805.57040538150886"/>
    <n v="1.3773156239077247"/>
    <n v="1109.5247054896315"/>
    <n v="549"/>
    <n v="56.117009586911351"/>
    <n v="-4.8291233283803914E-2"/>
    <n v="392.81906710837944"/>
  </r>
  <r>
    <x v="22"/>
    <x v="457"/>
    <n v="108"/>
    <n v="28712"/>
    <n v="1"/>
    <n v="423"/>
    <n v="485.77730023186109"/>
    <n v="0.854726368159204"/>
    <n v="415.20666756136188"/>
    <n v="59"/>
    <n v="33.365379177741332"/>
    <n v="-7.3991031390134521E-2"/>
    <n v="233.55765424418934"/>
  </r>
  <r>
    <x v="23"/>
    <x v="457"/>
    <n v="902"/>
    <n v="133013"/>
    <n v="9"/>
    <n v="1923"/>
    <n v="838.63627780505294"/>
    <n v="1.4993142736575589"/>
    <n v="1257.3793417201616"/>
    <n v="949.57142857142856"/>
    <n v="56.033285137008846"/>
    <n v="-0.12134831460674156"/>
    <n v="392.2329959590619"/>
  </r>
  <r>
    <x v="0"/>
    <x v="458"/>
    <n v="10412"/>
    <n v="1657617"/>
    <n v="253"/>
    <n v="41247"/>
    <n v="868.66071026964539"/>
    <n v="1.0724828435685378"/>
    <n v="931.62370864625507"/>
    <n v="10680.142857142857"/>
    <n v="60.886249401580301"/>
    <n v="-3.6734010204607537E-2"/>
    <n v="426.20374581106211"/>
  </r>
  <r>
    <x v="4"/>
    <x v="458"/>
    <n v="1951"/>
    <n v="426791"/>
    <n v="39"/>
    <n v="9330"/>
    <n v="1096.8427445811383"/>
    <n v="0.96920159737983735"/>
    <n v="1063.0617401225243"/>
    <n v="2104.2857142857142"/>
    <n v="68.417682473396297"/>
    <n v="-0.22494080505130232"/>
    <n v="478.92377731377405"/>
  </r>
  <r>
    <x v="1"/>
    <x v="458"/>
    <n v="467"/>
    <n v="25447"/>
    <n v="4"/>
    <n v="192"/>
    <n v="1350.3820064606512"/>
    <n v="1.4188163884673748"/>
    <n v="1915.9441214578283"/>
    <n v="403.42857142857144"/>
    <n v="97.109212789530915"/>
    <n v="1.3639626704953445E-2"/>
    <n v="679.76448952671637"/>
  </r>
  <r>
    <x v="2"/>
    <x v="458"/>
    <n v="664"/>
    <n v="61297"/>
    <n v="21"/>
    <n v="1291"/>
    <n v="752.31976329572842"/>
    <n v="1.6196604110813226"/>
    <n v="1218.5025370841629"/>
    <n v="660.28571428571433"/>
    <n v="54.816375223899747"/>
    <n v="4.0990990990990905E-2"/>
    <n v="383.71462656729824"/>
  </r>
  <r>
    <x v="3"/>
    <x v="458"/>
    <n v="490"/>
    <n v="64762"/>
    <n v="6"/>
    <n v="1072"/>
    <n v="841.52673531568962"/>
    <n v="1.516448326055313"/>
    <n v="1276.1318091002699"/>
    <n v="414.42857142857144"/>
    <n v="66.951952915306364"/>
    <n v="0.25693240901213166"/>
    <n v="468.66367040714454"/>
  </r>
  <r>
    <x v="6"/>
    <x v="458"/>
    <n v="562"/>
    <n v="53384"/>
    <m/>
    <n v="637"/>
    <n v="940.66654116118741"/>
    <n v="2.5558787878787879"/>
    <n v="2404.2296590211877"/>
    <n v="520"/>
    <n v="46.395390439516021"/>
    <n v="-0.47269303201506596"/>
    <n v="324.76773307661216"/>
  </r>
  <r>
    <x v="5"/>
    <x v="458"/>
    <n v="5357"/>
    <n v="332528"/>
    <n v="53"/>
    <n v="4085"/>
    <n v="1563.9883524578177"/>
    <n v="1.6389299150062699"/>
    <n v="2563.2672975644873"/>
    <n v="4435"/>
    <n v="117.93801273783723"/>
    <n v="0.11801354076634984"/>
    <n v="825.5660891648605"/>
  </r>
  <r>
    <x v="7"/>
    <x v="458"/>
    <n v="1038"/>
    <n v="90358"/>
    <n v="10"/>
    <n v="1386"/>
    <n v="986.03063145355463"/>
    <n v="1.3731913183279743"/>
    <n v="1354.0087027174716"/>
    <n v="1029.5714285714287"/>
    <n v="74.285743146555248"/>
    <n v="0.11580740052639737"/>
    <n v="520.00020202588667"/>
  </r>
  <r>
    <x v="8"/>
    <x v="458"/>
    <n v="713"/>
    <n v="34193"/>
    <n v="15"/>
    <n v="541"/>
    <n v="2144.9355825331754"/>
    <n v="0.84035735094193043"/>
    <n v="1802.5123840786657"/>
    <n v="906.28571428571433"/>
    <n v="149.75151964509078"/>
    <n v="-4.4146451710110002E-2"/>
    <n v="1048.2606375156356"/>
  </r>
  <r>
    <x v="9"/>
    <x v="458"/>
    <n v="247"/>
    <n v="29381"/>
    <m/>
    <n v="1092"/>
    <n v="320.02345368481002"/>
    <n v="1.7533759772565742"/>
    <n v="561.1214358496278"/>
    <n v="211"/>
    <n v="27.371280392174668"/>
    <n v="0.49191919191919187"/>
    <n v="191.59896274522268"/>
  </r>
  <r>
    <x v="10"/>
    <x v="458"/>
    <n v="458"/>
    <n v="44679"/>
    <n v="7"/>
    <n v="592"/>
    <n v="2073.2197261374668"/>
    <n v="0.94710680601580421"/>
    <n v="1963.5605129910164"/>
    <n v="420.57142857142856"/>
    <n v="117.33777176209129"/>
    <n v="-0.34388232672164032"/>
    <n v="821.36440233463895"/>
  </r>
  <r>
    <x v="11"/>
    <x v="458"/>
    <n v="219"/>
    <n v="18152"/>
    <n v="12"/>
    <n v="546"/>
    <n v="608.33835199768248"/>
    <n v="1.4301075268817205"/>
    <n v="869.98925608270724"/>
    <n v="170.71428571428572"/>
    <n v="43.380136689177142"/>
    <n v="-3.3361134278565574E-3"/>
    <n v="303.66095682424003"/>
  </r>
  <r>
    <x v="12"/>
    <x v="458"/>
    <n v="733"/>
    <n v="124293"/>
    <n v="23"/>
    <n v="2715"/>
    <n v="534.28111205232483"/>
    <n v="0.88300257410944116"/>
    <n v="471.77159724025762"/>
    <n v="789.28571428571433"/>
    <n v="39.655863189353482"/>
    <n v="8.1424936386768509E-2"/>
    <n v="277.59104232547435"/>
  </r>
  <r>
    <x v="13"/>
    <x v="458"/>
    <n v="168"/>
    <n v="21150"/>
    <n v="6"/>
    <n v="317"/>
    <n v="193.21427042386628"/>
    <n v="1.1425222691045476"/>
    <n v="220.75160666805539"/>
    <n v="182"/>
    <n v="14.429625448150867"/>
    <n v="9.5442820292347408E-2"/>
    <n v="101.00737813705607"/>
  </r>
  <r>
    <x v="14"/>
    <x v="458"/>
    <n v="617"/>
    <n v="93332"/>
    <n v="4"/>
    <n v="1392"/>
    <n v="1680.1268565800829"/>
    <n v="1.373000246123554"/>
    <n v="2306.8145876032468"/>
    <n v="715.71428571428567"/>
    <n v="107.77904392458564"/>
    <n v="-0.18496827720839437"/>
    <n v="754.45330747209948"/>
  </r>
  <r>
    <x v="15"/>
    <x v="458"/>
    <n v="468"/>
    <n v="76235"/>
    <n v="16"/>
    <n v="1685"/>
    <n v="931.23419964954985"/>
    <n v="1.1931448157669238"/>
    <n v="1111.0972575767209"/>
    <n v="464.85714285714283"/>
    <n v="62.179096434925007"/>
    <n v="-0.12243797195253503"/>
    <n v="435.25367504447502"/>
  </r>
  <r>
    <x v="16"/>
    <x v="458"/>
    <n v="652"/>
    <n v="48072"/>
    <n v="6"/>
    <n v="1441"/>
    <n v="510.32120960659142"/>
    <n v="1.5652454780361758"/>
    <n v="798.77796568266865"/>
    <n v="559.28571428571433"/>
    <n v="39.264735483556507"/>
    <n v="0.16726296958855102"/>
    <n v="274.85314838489552"/>
  </r>
  <r>
    <x v="17"/>
    <x v="458"/>
    <n v="410"/>
    <n v="39275"/>
    <n v="8"/>
    <n v="663"/>
    <n v="859.94032387928064"/>
    <n v="1.0186504927975739"/>
    <n v="875.97863469613458"/>
    <n v="483.28571428571428"/>
    <n v="61.863184529485949"/>
    <n v="1.4392803598200832E-2"/>
    <n v="433.04229170640173"/>
  </r>
  <r>
    <x v="18"/>
    <x v="458"/>
    <n v="559"/>
    <n v="55242"/>
    <n v="8"/>
    <n v="758"/>
    <n v="1537.5899025825845"/>
    <n v="1.1183288024037774"/>
    <n v="1719.5310743433224"/>
    <n v="535"/>
    <n v="105.24700587022554"/>
    <n v="-8.0078604765413952E-2"/>
    <n v="736.72904109157867"/>
  </r>
  <r>
    <x v="19"/>
    <x v="458"/>
    <n v="218"/>
    <n v="52403"/>
    <n v="4"/>
    <n v="796"/>
    <n v="747.61141707091645"/>
    <n v="0.7966200466200466"/>
    <n v="595.56224192071261"/>
    <n v="196.85714285714286"/>
    <n v="53.830522140439072"/>
    <n v="1.6224188790560534E-2"/>
    <n v="376.81365498307349"/>
  </r>
  <r>
    <x v="20"/>
    <x v="458"/>
    <n v="2883"/>
    <n v="357908"/>
    <n v="25"/>
    <n v="5714"/>
    <n v="1139.9387742059903"/>
    <n v="1.2943235086367431"/>
    <n v="1475.4495538613653"/>
    <n v="3001.2857142857142"/>
    <n v="84.867957189611474"/>
    <n v="8.8323663489432214E-2"/>
    <n v="594.0757003272804"/>
  </r>
  <r>
    <x v="21"/>
    <x v="458"/>
    <n v="670"/>
    <n v="46179"/>
    <n v="14"/>
    <n v="562"/>
    <n v="808.12582476160503"/>
    <n v="1.3137254901960784"/>
    <n v="1061.6554952750498"/>
    <n v="554.28571428571433"/>
    <n v="56.657298255845959"/>
    <n v="-3.626428216592148E-2"/>
    <n v="396.60108779092172"/>
  </r>
  <r>
    <x v="22"/>
    <x v="458"/>
    <n v="43"/>
    <n v="28755"/>
    <n v="2"/>
    <n v="425"/>
    <n v="461.46015947520215"/>
    <n v="0.80952380952380953"/>
    <n v="373.56298624183029"/>
    <n v="53.714285714285715"/>
    <n v="30.376228985062326"/>
    <n v="-0.1454545454545455"/>
    <n v="212.63360289543633"/>
  </r>
  <r>
    <x v="23"/>
    <x v="458"/>
    <n v="951"/>
    <n v="133964"/>
    <n v="3"/>
    <n v="1926"/>
    <n v="816.6259110993617"/>
    <n v="1.3558342314098168"/>
    <n v="1107.2093645247444"/>
    <n v="933.71428571428567"/>
    <n v="55.097570581539003"/>
    <n v="-0.10502533205531972"/>
    <n v="385.68299407077302"/>
  </r>
  <r>
    <x v="0"/>
    <x v="459"/>
    <n v="7819"/>
    <n v="1665436"/>
    <n v="254"/>
    <n v="41501"/>
    <n v="848.69051562837342"/>
    <n v="1.0199788974608439"/>
    <n v="865.64641641610342"/>
    <n v="10231.142857142857"/>
    <n v="58.32655274330704"/>
    <n v="-7.2930150675710625E-2"/>
    <n v="408.28586920314928"/>
  </r>
  <r>
    <x v="4"/>
    <x v="459"/>
    <n v="1704"/>
    <n v="428495"/>
    <n v="37"/>
    <n v="9367"/>
    <n v="1054.2825799848226"/>
    <n v="0.90661522115976068"/>
    <n v="955.82863441782308"/>
    <n v="2024.1428571428571"/>
    <n v="65.811958110356557"/>
    <n v="-0.22391411513392123"/>
    <n v="460.6837067724959"/>
  </r>
  <r>
    <x v="1"/>
    <x v="459"/>
    <n v="503"/>
    <n v="25950"/>
    <m/>
    <n v="192"/>
    <n v="1408.8744890934388"/>
    <n v="1.4059572423732885"/>
    <n v="1980.8172915358869"/>
    <n v="432.71428571428572"/>
    <n v="104.15857136667462"/>
    <n v="7.2592067988668463E-2"/>
    <n v="729.10999956672242"/>
  </r>
  <r>
    <x v="2"/>
    <x v="459"/>
    <n v="815"/>
    <n v="62112"/>
    <n v="14"/>
    <n v="1305"/>
    <n v="763.11225603777712"/>
    <n v="1.5210987919907331"/>
    <n v="1160.7691308123858"/>
    <n v="676.71428571428567"/>
    <n v="56.180261669323471"/>
    <n v="6.3299663299663189E-2"/>
    <n v="393.26183168526438"/>
  </r>
  <r>
    <x v="3"/>
    <x v="459"/>
    <n v="283"/>
    <n v="65045"/>
    <n v="6"/>
    <n v="1078"/>
    <n v="848.7965957666795"/>
    <n v="1.4816694867456288"/>
    <n v="1257.636016401053"/>
    <n v="410.14285714285717"/>
    <n v="66.259585253307336"/>
    <n v="0.20478388585816187"/>
    <n v="463.81709677315126"/>
  </r>
  <r>
    <x v="6"/>
    <x v="459"/>
    <n v="531"/>
    <n v="53915"/>
    <m/>
    <n v="637"/>
    <n v="902.56878785796948"/>
    <n v="2.1000622794270294"/>
    <n v="1895.4506659686983"/>
    <n v="488.85714285714283"/>
    <n v="43.616765407698857"/>
    <n v="-0.48879593665969523"/>
    <n v="305.31735785389202"/>
  </r>
  <r>
    <x v="5"/>
    <x v="459"/>
    <n v="3272"/>
    <n v="335800"/>
    <n v="21"/>
    <n v="4106"/>
    <n v="1539.2572697416533"/>
    <n v="1.5040796175033779"/>
    <n v="2315.1654855123197"/>
    <n v="4417.7142857142853"/>
    <n v="117.47834130793615"/>
    <n v="0.14707518824882237"/>
    <n v="822.34838915555326"/>
  </r>
  <r>
    <x v="7"/>
    <x v="459"/>
    <n v="838"/>
    <n v="91196"/>
    <n v="10"/>
    <n v="1396"/>
    <n v="983.5053078694134"/>
    <n v="1.3087854056649064"/>
    <n v="1287.1973933334589"/>
    <n v="985.71428571428567"/>
    <n v="71.121358083978251"/>
    <n v="2.510771059277972E-2"/>
    <n v="497.84950658784777"/>
  </r>
  <r>
    <x v="8"/>
    <x v="459"/>
    <n v="601"/>
    <n v="34794"/>
    <n v="5"/>
    <n v="546"/>
    <n v="2065.1263316000022"/>
    <n v="0.76211964144155131"/>
    <n v="1573.8733393704999"/>
    <n v="846.28571428571433"/>
    <n v="139.83732698258478"/>
    <n v="-9.8874353513842439E-2"/>
    <n v="978.86128887809343"/>
  </r>
  <r>
    <x v="9"/>
    <x v="459"/>
    <n v="211"/>
    <n v="29592"/>
    <m/>
    <n v="1092"/>
    <n v="337.79532768352055"/>
    <n v="1.8653295128939829"/>
    <n v="630.09959404576466"/>
    <n v="217.57142857142858"/>
    <n v="28.223737330590399"/>
    <n v="0.40888066604995377"/>
    <n v="197.56616131413278"/>
  </r>
  <r>
    <x v="10"/>
    <x v="459"/>
    <n v="329"/>
    <n v="45008"/>
    <m/>
    <n v="592"/>
    <n v="1961.0633097860659"/>
    <n v="0.85688162867243689"/>
    <n v="1680.3991228192438"/>
    <n v="424"/>
    <n v="118.29432968406485"/>
    <n v="-0.26914553065747349"/>
    <n v="828.060307788454"/>
  </r>
  <r>
    <x v="11"/>
    <x v="459"/>
    <n v="96"/>
    <n v="18248"/>
    <n v="11"/>
    <n v="557"/>
    <n v="600.46095479136329"/>
    <n v="1.3842999414176917"/>
    <n v="831.21806454129546"/>
    <n v="152.57142857142858"/>
    <n v="38.769862748151631"/>
    <n v="-0.17528957528957534"/>
    <n v="271.38903923706141"/>
  </r>
  <r>
    <x v="12"/>
    <x v="459"/>
    <n v="571"/>
    <n v="124864"/>
    <n v="19"/>
    <n v="2734"/>
    <n v="522.87601402374878"/>
    <n v="0.85859252536919395"/>
    <n v="448.93743733562854"/>
    <n v="776.57142857142856"/>
    <n v="39.01706285924444"/>
    <n v="9.3542546771273383E-2"/>
    <n v="273.11944001471107"/>
  </r>
  <r>
    <x v="13"/>
    <x v="459"/>
    <n v="182"/>
    <n v="21332"/>
    <n v="5"/>
    <n v="322"/>
    <n v="194.48280892480264"/>
    <n v="1.1367006487488416"/>
    <n v="221.06873507532015"/>
    <n v="179.57142857142858"/>
    <n v="14.237079425687316"/>
    <n v="5.1003344481605373E-2"/>
    <n v="99.659555979811202"/>
  </r>
  <r>
    <x v="14"/>
    <x v="459"/>
    <n v="419"/>
    <n v="93751"/>
    <n v="26"/>
    <n v="1418"/>
    <n v="1642.630075430272"/>
    <n v="1.3007393274505128"/>
    <n v="2136.6335395651572"/>
    <n v="685.85714285714289"/>
    <n v="103.28287223192331"/>
    <n v="-0.21385295562469298"/>
    <n v="722.98010562346303"/>
  </r>
  <r>
    <x v="15"/>
    <x v="459"/>
    <n v="317"/>
    <n v="76552"/>
    <n v="7"/>
    <n v="1692"/>
    <n v="900.46949612766002"/>
    <n v="1.1018003273322423"/>
    <n v="992.13758558615507"/>
    <n v="444"/>
    <n v="59.389253755300224"/>
    <n v="-0.14238410596026485"/>
    <n v="415.72477628710158"/>
  </r>
  <r>
    <x v="16"/>
    <x v="459"/>
    <n v="638"/>
    <n v="48710"/>
    <m/>
    <n v="1441"/>
    <n v="512.77838973263772"/>
    <n v="1.4420533070088846"/>
    <n v="739.45377267664094"/>
    <n v="577.85714285714289"/>
    <n v="40.568545346356593"/>
    <n v="0.24117827554464566"/>
    <n v="283.9798174244961"/>
  </r>
  <r>
    <x v="17"/>
    <x v="459"/>
    <n v="215"/>
    <n v="39490"/>
    <n v="1"/>
    <n v="664"/>
    <n v="841.37953987176422"/>
    <n v="0.98221757322175729"/>
    <n v="826.41776981128305"/>
    <n v="448"/>
    <n v="57.346422312878495"/>
    <n v="-8.7576374745417462E-2"/>
    <n v="401.42495619014949"/>
  </r>
  <r>
    <x v="18"/>
    <x v="459"/>
    <n v="442"/>
    <n v="55684"/>
    <n v="2"/>
    <n v="760"/>
    <n v="1508.0813962638297"/>
    <n v="1.0858356940509915"/>
    <n v="1637.5286095975237"/>
    <n v="515.14285714285711"/>
    <n v="101.34064170040941"/>
    <n v="-0.11182266009852215"/>
    <n v="709.38449190286588"/>
  </r>
  <r>
    <x v="19"/>
    <x v="459"/>
    <n v="224"/>
    <n v="52627"/>
    <n v="2"/>
    <n v="798"/>
    <n v="756.08835705965032"/>
    <n v="0.80753504672897192"/>
    <n v="610.56784674939638"/>
    <n v="202"/>
    <n v="55.236834765298141"/>
    <n v="4.663212435233155E-2"/>
    <n v="386.65784335708702"/>
  </r>
  <r>
    <x v="20"/>
    <x v="459"/>
    <n v="2375"/>
    <n v="360283"/>
    <n v="11"/>
    <n v="5725"/>
    <n v="1119.3529724144601"/>
    <n v="1.220215159828612"/>
    <n v="1365.8514661393422"/>
    <n v="2883.8571428571427"/>
    <n v="81.54740595871705"/>
    <n v="4.0674296319208159E-2"/>
    <n v="570.83184171101948"/>
  </r>
  <r>
    <x v="21"/>
    <x v="459"/>
    <n v="616"/>
    <n v="46795"/>
    <n v="10"/>
    <n v="572"/>
    <n v="790.34010587613579"/>
    <n v="1.1813598166539343"/>
    <n v="933.67604257208279"/>
    <n v="547.71428571428567"/>
    <n v="55.985588018792107"/>
    <n v="-1.641867624422777E-2"/>
    <n v="391.89911613154482"/>
  </r>
  <r>
    <x v="22"/>
    <x v="459"/>
    <n v="24"/>
    <n v="28779"/>
    <n v="1"/>
    <n v="426"/>
    <n v="445.06022733699035"/>
    <n v="0.77536945812807878"/>
    <n v="345.08610730464176"/>
    <n v="51.428571428571431"/>
    <n v="29.083623496336273"/>
    <n v="-0.15690866510538637"/>
    <n v="203.58536447435392"/>
  </r>
  <r>
    <x v="23"/>
    <x v="459"/>
    <n v="602"/>
    <n v="134566"/>
    <n v="14"/>
    <n v="1940"/>
    <n v="809.01374674270176"/>
    <n v="1.2915685350918511"/>
    <n v="1044.8966997496411"/>
    <n v="917.71428571428567"/>
    <n v="54.153426165209083"/>
    <n v="-0.11830908591819933"/>
    <n v="379.07398315646361"/>
  </r>
  <r>
    <x v="0"/>
    <x v="460"/>
    <n v="4479"/>
    <n v="1669915"/>
    <n v="225"/>
    <n v="41726"/>
    <n v="834.97419010542126"/>
    <n v="0.98563247397357989"/>
    <n v="822.97767669769257"/>
    <n v="9950.1428571428569"/>
    <n v="56.724604500601508"/>
    <n v="-9.3239425618059424E-2"/>
    <n v="397.07223150421055"/>
  </r>
  <r>
    <x v="4"/>
    <x v="460"/>
    <n v="1204"/>
    <n v="429699"/>
    <n v="9"/>
    <n v="9376"/>
    <n v="1035.2296720753948"/>
    <n v="0.88456730101402969"/>
    <n v="915.73031695737097"/>
    <n v="1936.2857142857142"/>
    <n v="62.955415359430646"/>
    <n v="-0.25877720660614678"/>
    <n v="440.68790751601455"/>
  </r>
  <r>
    <x v="1"/>
    <x v="460"/>
    <n v="323"/>
    <n v="26273"/>
    <n v="7"/>
    <n v="199"/>
    <n v="1435.1118578464175"/>
    <n v="1.4397488529340738"/>
    <n v="2066.2006511664672"/>
    <n v="407.85714285714283"/>
    <n v="98.175213354855074"/>
    <n v="-8.110717734148698E-2"/>
    <n v="687.22649348398556"/>
  </r>
  <r>
    <x v="2"/>
    <x v="460"/>
    <n v="714"/>
    <n v="62826"/>
    <n v="4"/>
    <n v="1309"/>
    <n v="783.11987719803642"/>
    <n v="1.4706891175553476"/>
    <n v="1151.7258811364325"/>
    <n v="728.42857142857144"/>
    <n v="60.473539001874691"/>
    <n v="0.17651130595293041"/>
    <n v="423.31477301312287"/>
  </r>
  <r>
    <x v="3"/>
    <x v="460"/>
    <n v="222"/>
    <n v="65267"/>
    <m/>
    <n v="1078"/>
    <n v="843.1422598603541"/>
    <n v="1.4086369770580296"/>
    <n v="1187.6813641595647"/>
    <n v="423.57142857142856"/>
    <n v="68.42900392757096"/>
    <n v="0.31543921916592721"/>
    <n v="479.00302749299664"/>
  </r>
  <r>
    <x v="6"/>
    <x v="460"/>
    <n v="722"/>
    <n v="54637"/>
    <m/>
    <n v="637"/>
    <n v="637.66895282927123"/>
    <n v="0.86745964316057778"/>
    <n v="553.1520822758589"/>
    <n v="503.42857142857144"/>
    <n v="44.916856018916064"/>
    <n v="-2.7325420921887944E-2"/>
    <n v="314.41799213241245"/>
  </r>
  <r>
    <x v="5"/>
    <x v="460"/>
    <n v="2661"/>
    <n v="338461"/>
    <n v="16"/>
    <n v="4122"/>
    <n v="1524.2590647395923"/>
    <n v="1.4136782913234351"/>
    <n v="2154.811950175324"/>
    <n v="4306.2857142857147"/>
    <n v="114.5151701069211"/>
    <n v="0.10925482980680767"/>
    <n v="801.6061907484476"/>
  </r>
  <r>
    <x v="7"/>
    <x v="460"/>
    <n v="513"/>
    <n v="91709"/>
    <n v="11"/>
    <n v="1407"/>
    <n v="964.52930493715178"/>
    <n v="1.2255225522552256"/>
    <n v="1182.052415511537"/>
    <n v="953.71428571428567"/>
    <n v="68.812490807049087"/>
    <n v="-2.3909145248057762E-3"/>
    <n v="481.68743564934368"/>
  </r>
  <r>
    <x v="8"/>
    <x v="460"/>
    <n v="468"/>
    <n v="35262"/>
    <n v="13"/>
    <n v="559"/>
    <n v="1998.3707676724614"/>
    <n v="0.70045175489401135"/>
    <n v="1399.7623111450682"/>
    <n v="802.14285714285711"/>
    <n v="132.54331380945536"/>
    <n v="-0.13335391264083962"/>
    <n v="927.80319666618743"/>
  </r>
  <r>
    <x v="9"/>
    <x v="460"/>
    <n v="140"/>
    <n v="29732"/>
    <m/>
    <n v="1092"/>
    <n v="337.53588426748098"/>
    <n v="1.767663043478261"/>
    <n v="596.64970846738152"/>
    <n v="217.14285714285714"/>
    <n v="28.168142312867634"/>
    <n v="0.40480591497227358"/>
    <n v="197.17699619007342"/>
  </r>
  <r>
    <x v="10"/>
    <x v="460"/>
    <n v="165"/>
    <n v="45173"/>
    <n v="3"/>
    <n v="595"/>
    <n v="1866.7626413115045"/>
    <n v="0.79333649513872417"/>
    <n v="1480.9709311139763"/>
    <n v="405"/>
    <n v="112.993404533128"/>
    <n v="-0.2647821576763485"/>
    <n v="790.953831731896"/>
  </r>
  <r>
    <x v="11"/>
    <x v="460"/>
    <n v="231"/>
    <n v="18479"/>
    <m/>
    <n v="557"/>
    <n v="604.27259860087258"/>
    <n v="1.3101928374655647"/>
    <n v="791.71363056356745"/>
    <n v="170"/>
    <n v="43.198629841105273"/>
    <n v="1.6835016835017313E-3"/>
    <n v="302.39040888773695"/>
  </r>
  <r>
    <x v="12"/>
    <x v="460"/>
    <n v="279"/>
    <n v="125143"/>
    <n v="9"/>
    <n v="2743"/>
    <n v="515.99276102852889"/>
    <n v="0.83857271168449421"/>
    <n v="432.69744882526265"/>
    <n v="752.14285714285711"/>
    <n v="37.789704921619197"/>
    <n v="5.1948051948051965E-2"/>
    <n v="264.52793445133437"/>
  </r>
  <r>
    <x v="13"/>
    <x v="460"/>
    <n v="149"/>
    <n v="21481"/>
    <n v="5"/>
    <n v="327"/>
    <n v="195.27564548788783"/>
    <n v="1.1628895184135977"/>
    <n v="227.08400133931431"/>
    <n v="173.85714285714286"/>
    <n v="13.784029961067194"/>
    <n v="-2.3274478330658099E-2"/>
    <n v="96.488209727470363"/>
  </r>
  <r>
    <x v="14"/>
    <x v="460"/>
    <n v="340"/>
    <n v="94091"/>
    <n v="1"/>
    <n v="1419"/>
    <n v="1574.2624503619418"/>
    <n v="1.1799097065462754"/>
    <n v="1857.487545833379"/>
    <n v="648.71428571428567"/>
    <n v="97.689548595118438"/>
    <n v="-0.23203111787586672"/>
    <n v="683.82684016582914"/>
  </r>
  <r>
    <x v="15"/>
    <x v="460"/>
    <n v="184"/>
    <n v="76736"/>
    <n v="3"/>
    <n v="1695"/>
    <n v="888.43113387996414"/>
    <n v="1.0659605199807414"/>
    <n v="947.03251343776617"/>
    <n v="446"/>
    <n v="59.656772916360133"/>
    <n v="-0.11306818181818179"/>
    <n v="417.59741041452094"/>
  </r>
  <r>
    <x v="16"/>
    <x v="460"/>
    <n v="419"/>
    <n v="49129"/>
    <n v="1"/>
    <n v="1442"/>
    <n v="518.04377571702275"/>
    <n v="1.3933157099697886"/>
    <n v="721.79853115859351"/>
    <n v="596.71428571428567"/>
    <n v="41.89241382243052"/>
    <n v="0.30449718925671454"/>
    <n v="293.24689675701364"/>
  </r>
  <r>
    <x v="17"/>
    <x v="460"/>
    <n v="135"/>
    <n v="39625"/>
    <n v="3"/>
    <n v="667"/>
    <n v="831.90713975758342"/>
    <n v="0.94462209302325584"/>
    <n v="785.83786355879863"/>
    <n v="430.85714285714283"/>
    <n v="55.152043908048967"/>
    <n v="-0.13407981625035892"/>
    <n v="386.06430735634274"/>
  </r>
  <r>
    <x v="18"/>
    <x v="460"/>
    <n v="435"/>
    <n v="56119"/>
    <m/>
    <n v="760"/>
    <n v="1459.4907225256134"/>
    <n v="1.0231692180388912"/>
    <n v="1493.3059813015482"/>
    <n v="512.57142857142856"/>
    <n v="100.83478159208789"/>
    <n v="-6.3429913860610809E-2"/>
    <n v="705.84347114461525"/>
  </r>
  <r>
    <x v="19"/>
    <x v="460"/>
    <n v="81"/>
    <n v="52708"/>
    <n v="2"/>
    <n v="800"/>
    <n v="742.41587320685369"/>
    <n v="0.79085348092047769"/>
    <n v="587.14217761625628"/>
    <n v="197.71428571428572"/>
    <n v="54.064907577915577"/>
    <n v="3.981968444778361E-2"/>
    <n v="378.45435304540905"/>
  </r>
  <r>
    <x v="20"/>
    <x v="460"/>
    <n v="1504"/>
    <n v="361787"/>
    <n v="13"/>
    <n v="5738"/>
    <n v="1108.5228047136961"/>
    <n v="1.1708030941074574"/>
    <n v="1297.8619296474722"/>
    <n v="2735.8571428571427"/>
    <n v="77.362380319779575"/>
    <n v="-4.4885541868236012E-2"/>
    <n v="541.5366622384571"/>
  </r>
  <r>
    <x v="21"/>
    <x v="460"/>
    <n v="472"/>
    <n v="47267"/>
    <n v="12"/>
    <n v="584"/>
    <n v="797.49528014040493"/>
    <n v="1.171295601261072"/>
    <n v="934.1027136549227"/>
    <n v="556.42857142857144"/>
    <n v="56.876334202711348"/>
    <n v="-3.0714102892244188E-3"/>
    <n v="398.13433941897938"/>
  </r>
  <r>
    <x v="22"/>
    <x v="460"/>
    <n v="40"/>
    <n v="28819"/>
    <m/>
    <n v="426"/>
    <n v="433.7499293106373"/>
    <n v="0.7424975798644724"/>
    <n v="322.05827277953415"/>
    <n v="52.571428571428569"/>
    <n v="29.729926240699299"/>
    <n v="-7.7694235588972482E-2"/>
    <n v="208.10948368489511"/>
  </r>
  <r>
    <x v="23"/>
    <x v="460"/>
    <n v="535"/>
    <n v="135101"/>
    <n v="10"/>
    <n v="1950"/>
    <n v="815.85879376109369"/>
    <n v="1.2900998413735187"/>
    <n v="1052.5393004143773"/>
    <n v="925.42857142857144"/>
    <n v="54.60863865165387"/>
    <n v="-0.1183995645073489"/>
    <n v="382.26047056157711"/>
  </r>
  <r>
    <x v="0"/>
    <x v="461"/>
    <n v="7621"/>
    <n v="1677536"/>
    <n v="322"/>
    <n v="42048"/>
    <n v="835.38465371209327"/>
    <n v="0.98389230201094435"/>
    <n v="821.92853000540708"/>
    <n v="9607.1428571428569"/>
    <n v="54.769201485484082"/>
    <n v="-0.15180485836087076"/>
    <n v="383.38441039838858"/>
  </r>
  <r>
    <x v="4"/>
    <x v="461"/>
    <n v="1595"/>
    <n v="431294"/>
    <n v="72"/>
    <n v="9448"/>
    <n v="1017.6723849233625"/>
    <n v="0.8633291959729692"/>
    <n v="878.58628183978055"/>
    <n v="1863.4285714285713"/>
    <n v="60.586575029394517"/>
    <n v="-0.28549517966695881"/>
    <n v="424.10602520576168"/>
  </r>
  <r>
    <x v="1"/>
    <x v="461"/>
    <n v="437"/>
    <n v="26710"/>
    <m/>
    <n v="199"/>
    <n v="1421.8728185673915"/>
    <n v="1.3262236192186798"/>
    <n v="1885.7213155091113"/>
    <n v="424"/>
    <n v="102.06095735103675"/>
    <n v="9.867301803334394E-3"/>
    <n v="714.4267014572572"/>
  </r>
  <r>
    <x v="2"/>
    <x v="461"/>
    <n v="506"/>
    <n v="63332"/>
    <n v="16"/>
    <n v="1325"/>
    <n v="786.02554832089572"/>
    <n v="1.4114490161001789"/>
    <n v="1109.434986807132"/>
    <n v="732.14285714285711"/>
    <n v="60.781895937361796"/>
    <n v="0.18005986645176142"/>
    <n v="425.47327156153256"/>
  </r>
  <r>
    <x v="3"/>
    <x v="461"/>
    <n v="245"/>
    <n v="65512"/>
    <n v="5"/>
    <n v="1083"/>
    <n v="847.98883349434732"/>
    <n v="1.4232646420824295"/>
    <n v="1206.9125235932293"/>
    <n v="395.14285714285717"/>
    <n v="63.836298436310713"/>
    <n v="0.11397503020539679"/>
    <n v="446.85408905417495"/>
  </r>
  <r>
    <x v="6"/>
    <x v="461"/>
    <n v="310"/>
    <n v="54947"/>
    <n v="13"/>
    <n v="650"/>
    <n v="636.1521804495178"/>
    <n v="0.84548796395114434"/>
    <n v="537.85901181134375"/>
    <n v="499"/>
    <n v="44.521730440997104"/>
    <n v="-3.9593071212537856E-2"/>
    <n v="311.6521130869798"/>
  </r>
  <r>
    <x v="5"/>
    <x v="461"/>
    <n v="2957"/>
    <n v="341418"/>
    <n v="54"/>
    <n v="4176"/>
    <n v="1528.247949048651"/>
    <n v="1.3694507327534851"/>
    <n v="2092.8602736536859"/>
    <n v="4217.1428571428569"/>
    <n v="112.14463314610903"/>
    <n v="5.6209524491037222E-2"/>
    <n v="785.01243202276328"/>
  </r>
  <r>
    <x v="7"/>
    <x v="461"/>
    <n v="670"/>
    <n v="92379"/>
    <n v="16"/>
    <n v="1423"/>
    <n v="979.46479013478734"/>
    <n v="1.2392733248128538"/>
    <n v="1213.824587007462"/>
    <n v="942.57142857142856"/>
    <n v="68.008510237404124"/>
    <n v="-5.432134155080981E-2"/>
    <n v="476.05957166182884"/>
  </r>
  <r>
    <x v="8"/>
    <x v="461"/>
    <n v="474"/>
    <n v="35736"/>
    <n v="9"/>
    <n v="568"/>
    <n v="1951.4435890699331"/>
    <n v="0.66066234056835982"/>
    <n v="1289.2452890420625"/>
    <n v="747"/>
    <n v="123.43169864819984"/>
    <n v="-0.20543990275034185"/>
    <n v="864.02189053739869"/>
  </r>
  <r>
    <x v="9"/>
    <x v="461"/>
    <n v="289"/>
    <n v="30021"/>
    <m/>
    <n v="1092"/>
    <n v="360.23718317094335"/>
    <n v="1.805591677503251"/>
    <n v="650.44125986066956"/>
    <n v="236"/>
    <n v="30.614323092669295"/>
    <n v="0.46844444444444444"/>
    <n v="214.30026164868508"/>
  </r>
  <r>
    <x v="10"/>
    <x v="461"/>
    <n v="418"/>
    <n v="45591"/>
    <n v="6"/>
    <n v="601"/>
    <n v="1800.0825828339305"/>
    <n v="0.74693216022227371"/>
    <n v="1344.5395721746377"/>
    <n v="394.71428571428572"/>
    <n v="110.12373076720729"/>
    <n v="-0.25101653564651671"/>
    <n v="770.86611537045098"/>
  </r>
  <r>
    <x v="11"/>
    <x v="461"/>
    <n v="141"/>
    <n v="18620"/>
    <n v="23"/>
    <n v="580"/>
    <n v="591.05890006124037"/>
    <n v="1.2152560083594566"/>
    <n v="718.28787959375393"/>
    <n v="174.14285714285714"/>
    <n v="44.251369559922125"/>
    <n v="0.10117434507678413"/>
    <n v="309.75958691945488"/>
  </r>
  <r>
    <x v="12"/>
    <x v="461"/>
    <n v="658"/>
    <n v="125801"/>
    <n v="27"/>
    <n v="2770"/>
    <n v="532.47237403898237"/>
    <n v="0.90287953654796382"/>
    <n v="480.75841029691043"/>
    <n v="733.57142857142856"/>
    <n v="36.856625787752058"/>
    <n v="-6.004027091341757E-2"/>
    <n v="257.99638051426444"/>
  </r>
  <r>
    <x v="13"/>
    <x v="461"/>
    <n v="194"/>
    <n v="21675"/>
    <n v="4"/>
    <n v="331"/>
    <n v="202.41117455565472"/>
    <n v="1.2393203883495145"/>
    <n v="250.85229545659539"/>
    <n v="174.28571428571428"/>
    <n v="13.818008670913702"/>
    <n v="-8.4771192798199557E-2"/>
    <n v="96.726060696395919"/>
  </r>
  <r>
    <x v="14"/>
    <x v="461"/>
    <n v="532"/>
    <n v="94623"/>
    <n v="17"/>
    <n v="1436"/>
    <n v="1524.718510609782"/>
    <n v="1.0916442048517521"/>
    <n v="1664.4501261373632"/>
    <n v="602.14285714285711"/>
    <n v="90.676381265893909"/>
    <n v="-0.28680203045685282"/>
    <n v="634.73466886125743"/>
  </r>
  <r>
    <x v="15"/>
    <x v="461"/>
    <n v="389"/>
    <n v="77125"/>
    <n v="9"/>
    <n v="1704"/>
    <n v="883.61578898088578"/>
    <n v="1.0434370557573842"/>
    <n v="921.9974572749536"/>
    <n v="416.14285714285717"/>
    <n v="55.663094011965747"/>
    <n v="-0.21121039805036557"/>
    <n v="389.64165808376026"/>
  </r>
  <r>
    <x v="16"/>
    <x v="461"/>
    <n v="348"/>
    <n v="49477"/>
    <n v="8"/>
    <n v="1450"/>
    <n v="517.55233969181347"/>
    <n v="1.3733233979135619"/>
    <n v="710.76673774367532"/>
    <n v="585.42857142857144"/>
    <n v="41.100098598113554"/>
    <n v="0.25167990226023207"/>
    <n v="287.70069018679487"/>
  </r>
  <r>
    <x v="17"/>
    <x v="461"/>
    <n v="471"/>
    <n v="40096"/>
    <n v="19"/>
    <n v="686"/>
    <n v="858.53226440284845"/>
    <n v="0.97983929875821763"/>
    <n v="841.22365191379174"/>
    <n v="439.71428571428572"/>
    <n v="56.28580608387756"/>
    <n v="-0.15183246073298429"/>
    <n v="394.00064258714286"/>
  </r>
  <r>
    <x v="18"/>
    <x v="461"/>
    <n v="572"/>
    <n v="56691"/>
    <n v="16"/>
    <n v="776"/>
    <n v="1449.6545537526952"/>
    <n v="0.98912751677852351"/>
    <n v="1433.8932089400821"/>
    <n v="518.28571428571433"/>
    <n v="101.95891516613571"/>
    <n v="-3.0205827318898648E-2"/>
    <n v="713.71240616294995"/>
  </r>
  <r>
    <x v="19"/>
    <x v="461"/>
    <n v="119"/>
    <n v="52827"/>
    <n v="3"/>
    <n v="803"/>
    <n v="732.0247854787284"/>
    <n v="0.80005977286312013"/>
    <n v="585.66358360028573"/>
    <n v="183.57142857142858"/>
    <n v="50.197547859553126"/>
    <n v="-7.6867816091954033E-2"/>
    <n v="351.38283501687181"/>
  </r>
  <r>
    <x v="20"/>
    <x v="461"/>
    <n v="1763"/>
    <n v="363550"/>
    <n v="49"/>
    <n v="5787"/>
    <n v="1098.8237250234561"/>
    <n v="1.13185948968892"/>
    <n v="1243.7140606631272"/>
    <n v="2639.8571428571427"/>
    <n v="74.647769094522843"/>
    <n v="-9.3277723258096135E-2"/>
    <n v="522.53438366165994"/>
  </r>
  <r>
    <x v="21"/>
    <x v="461"/>
    <n v="460"/>
    <n v="47727"/>
    <n v="12"/>
    <n v="596"/>
    <n v="778.58517672769347"/>
    <n v="1.0753917831427362"/>
    <n v="837.28410152969673"/>
    <n v="544.28571428571433"/>
    <n v="55.635130503807503"/>
    <n v="7.8802206461769941E-4"/>
    <n v="389.44591352665253"/>
  </r>
  <r>
    <x v="22"/>
    <x v="461"/>
    <n v="25"/>
    <n v="28844"/>
    <n v="1"/>
    <n v="427"/>
    <n v="439.97059322513144"/>
    <n v="0.77106045589692762"/>
    <n v="339.24392619341154"/>
    <n v="52"/>
    <n v="29.406774868517783"/>
    <n v="-0.12077294685990336"/>
    <n v="205.84742407962452"/>
  </r>
  <r>
    <x v="23"/>
    <x v="461"/>
    <n v="1001"/>
    <n v="136102"/>
    <n v="32"/>
    <n v="1982"/>
    <n v="840.22952150760977"/>
    <n v="1.316110546261207"/>
    <n v="1105.834934536173"/>
    <n v="856.85714285714289"/>
    <n v="50.562305438811357"/>
    <n v="-0.27217570683169523"/>
    <n v="353.936138071679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72ADC5-A7B1-4714-A0E8-F45A2E4EC0F5}" name="TablaDinámica4" cacheId="6" applyNumberFormats="0" applyBorderFormats="0" applyFontFormats="0" applyPatternFormats="0" applyAlignmentFormats="0" applyWidthHeightFormats="1" dataCaption="Valores" updatedVersion="7" minRefreshableVersion="3" useAutoFormatting="1" rowGrandTotals="0" colGrandTotals="0" itemPrintTitles="1" createdVersion="7" indent="0" outline="1" outlineData="1" multipleFieldFilters="0" rowHeaderCaption="PROVINCIA">
  <location ref="A3:EE29" firstHeaderRow="1" firstDataRow="3" firstDataCol="1"/>
  <pivotFields count="13">
    <pivotField axis="axisRow" showAll="0" defaultSubtotal="0">
      <items count="24">
        <item x="0"/>
        <item x="4"/>
        <item x="1"/>
        <item x="2"/>
        <item x="3"/>
        <item x="5"/>
        <item x="6"/>
        <item x="7"/>
        <item x="8"/>
        <item x="9"/>
        <item x="10"/>
        <item x="11"/>
        <item x="12"/>
        <item x="13"/>
        <item x="14"/>
        <item x="15"/>
        <item x="16"/>
        <item x="17"/>
        <item x="18"/>
        <item x="19"/>
        <item x="20"/>
        <item x="21"/>
        <item x="22"/>
        <item x="23"/>
      </items>
    </pivotField>
    <pivotField axis="axisCol" numFmtId="14" showAll="0" defaultSubtotal="0">
      <items count="4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s>
    </pivotField>
    <pivotField showAll="0" defaultSubtotal="0"/>
    <pivotField showAll="0" defaultSubtotal="0"/>
    <pivotField showAll="0" defaultSubtotal="0"/>
    <pivotField showAll="0" defaultSubtotal="0"/>
    <pivotField dataField="1"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1">
    <field x="0"/>
  </rowFields>
  <rowItems count="24">
    <i>
      <x/>
    </i>
    <i>
      <x v="1"/>
    </i>
    <i>
      <x v="2"/>
    </i>
    <i>
      <x v="3"/>
    </i>
    <i>
      <x v="4"/>
    </i>
    <i>
      <x v="5"/>
    </i>
    <i>
      <x v="6"/>
    </i>
    <i>
      <x v="7"/>
    </i>
    <i>
      <x v="8"/>
    </i>
    <i>
      <x v="9"/>
    </i>
    <i>
      <x v="10"/>
    </i>
    <i>
      <x v="11"/>
    </i>
    <i>
      <x v="12"/>
    </i>
    <i>
      <x v="13"/>
    </i>
    <i>
      <x v="14"/>
    </i>
    <i>
      <x v="15"/>
    </i>
    <i>
      <x v="16"/>
    </i>
    <i>
      <x v="17"/>
    </i>
    <i>
      <x v="18"/>
    </i>
    <i>
      <x v="19"/>
    </i>
    <i>
      <x v="20"/>
    </i>
    <i>
      <x v="21"/>
    </i>
    <i>
      <x v="22"/>
    </i>
    <i>
      <x v="23"/>
    </i>
  </rowItems>
  <colFields count="2">
    <field x="1"/>
    <field x="-2"/>
  </colFields>
  <colItems count="134">
    <i>
      <x v="395"/>
      <x/>
    </i>
    <i r="1" i="1">
      <x v="1"/>
    </i>
    <i>
      <x v="396"/>
      <x/>
    </i>
    <i r="1" i="1">
      <x v="1"/>
    </i>
    <i>
      <x v="397"/>
      <x/>
    </i>
    <i r="1" i="1">
      <x v="1"/>
    </i>
    <i>
      <x v="398"/>
      <x/>
    </i>
    <i r="1" i="1">
      <x v="1"/>
    </i>
    <i>
      <x v="399"/>
      <x/>
    </i>
    <i r="1" i="1">
      <x v="1"/>
    </i>
    <i>
      <x v="400"/>
      <x/>
    </i>
    <i r="1" i="1">
      <x v="1"/>
    </i>
    <i>
      <x v="401"/>
      <x/>
    </i>
    <i r="1" i="1">
      <x v="1"/>
    </i>
    <i>
      <x v="402"/>
      <x/>
    </i>
    <i r="1" i="1">
      <x v="1"/>
    </i>
    <i>
      <x v="403"/>
      <x/>
    </i>
    <i r="1" i="1">
      <x v="1"/>
    </i>
    <i>
      <x v="404"/>
      <x/>
    </i>
    <i r="1" i="1">
      <x v="1"/>
    </i>
    <i>
      <x v="405"/>
      <x/>
    </i>
    <i r="1" i="1">
      <x v="1"/>
    </i>
    <i>
      <x v="406"/>
      <x/>
    </i>
    <i r="1" i="1">
      <x v="1"/>
    </i>
    <i>
      <x v="407"/>
      <x/>
    </i>
    <i r="1" i="1">
      <x v="1"/>
    </i>
    <i>
      <x v="408"/>
      <x/>
    </i>
    <i r="1" i="1">
      <x v="1"/>
    </i>
    <i>
      <x v="409"/>
      <x/>
    </i>
    <i r="1" i="1">
      <x v="1"/>
    </i>
    <i>
      <x v="410"/>
      <x/>
    </i>
    <i r="1" i="1">
      <x v="1"/>
    </i>
    <i>
      <x v="411"/>
      <x/>
    </i>
    <i r="1" i="1">
      <x v="1"/>
    </i>
    <i>
      <x v="412"/>
      <x/>
    </i>
    <i r="1" i="1">
      <x v="1"/>
    </i>
    <i>
      <x v="413"/>
      <x/>
    </i>
    <i r="1" i="1">
      <x v="1"/>
    </i>
    <i>
      <x v="414"/>
      <x/>
    </i>
    <i r="1" i="1">
      <x v="1"/>
    </i>
    <i>
      <x v="415"/>
      <x/>
    </i>
    <i r="1" i="1">
      <x v="1"/>
    </i>
    <i>
      <x v="416"/>
      <x/>
    </i>
    <i r="1" i="1">
      <x v="1"/>
    </i>
    <i>
      <x v="417"/>
      <x/>
    </i>
    <i r="1" i="1">
      <x v="1"/>
    </i>
    <i>
      <x v="418"/>
      <x/>
    </i>
    <i r="1" i="1">
      <x v="1"/>
    </i>
    <i>
      <x v="419"/>
      <x/>
    </i>
    <i r="1" i="1">
      <x v="1"/>
    </i>
    <i>
      <x v="420"/>
      <x/>
    </i>
    <i r="1" i="1">
      <x v="1"/>
    </i>
    <i>
      <x v="421"/>
      <x/>
    </i>
    <i r="1" i="1">
      <x v="1"/>
    </i>
    <i>
      <x v="422"/>
      <x/>
    </i>
    <i r="1" i="1">
      <x v="1"/>
    </i>
    <i>
      <x v="423"/>
      <x/>
    </i>
    <i r="1" i="1">
      <x v="1"/>
    </i>
    <i>
      <x v="424"/>
      <x/>
    </i>
    <i r="1" i="1">
      <x v="1"/>
    </i>
    <i>
      <x v="425"/>
      <x/>
    </i>
    <i r="1" i="1">
      <x v="1"/>
    </i>
    <i>
      <x v="426"/>
      <x/>
    </i>
    <i r="1" i="1">
      <x v="1"/>
    </i>
    <i>
      <x v="427"/>
      <x/>
    </i>
    <i r="1" i="1">
      <x v="1"/>
    </i>
    <i>
      <x v="428"/>
      <x/>
    </i>
    <i r="1" i="1">
      <x v="1"/>
    </i>
    <i>
      <x v="429"/>
      <x/>
    </i>
    <i r="1" i="1">
      <x v="1"/>
    </i>
    <i>
      <x v="430"/>
      <x/>
    </i>
    <i r="1" i="1">
      <x v="1"/>
    </i>
    <i>
      <x v="431"/>
      <x/>
    </i>
    <i r="1" i="1">
      <x v="1"/>
    </i>
    <i>
      <x v="432"/>
      <x/>
    </i>
    <i r="1" i="1">
      <x v="1"/>
    </i>
    <i>
      <x v="433"/>
      <x/>
    </i>
    <i r="1" i="1">
      <x v="1"/>
    </i>
    <i>
      <x v="434"/>
      <x/>
    </i>
    <i r="1" i="1">
      <x v="1"/>
    </i>
    <i>
      <x v="435"/>
      <x/>
    </i>
    <i r="1" i="1">
      <x v="1"/>
    </i>
    <i>
      <x v="436"/>
      <x/>
    </i>
    <i r="1" i="1">
      <x v="1"/>
    </i>
    <i>
      <x v="437"/>
      <x/>
    </i>
    <i r="1" i="1">
      <x v="1"/>
    </i>
    <i>
      <x v="438"/>
      <x/>
    </i>
    <i r="1" i="1">
      <x v="1"/>
    </i>
    <i>
      <x v="439"/>
      <x/>
    </i>
    <i r="1" i="1">
      <x v="1"/>
    </i>
    <i>
      <x v="440"/>
      <x/>
    </i>
    <i r="1" i="1">
      <x v="1"/>
    </i>
    <i>
      <x v="441"/>
      <x/>
    </i>
    <i r="1" i="1">
      <x v="1"/>
    </i>
    <i>
      <x v="442"/>
      <x/>
    </i>
    <i r="1" i="1">
      <x v="1"/>
    </i>
    <i>
      <x v="443"/>
      <x/>
    </i>
    <i r="1" i="1">
      <x v="1"/>
    </i>
    <i>
      <x v="444"/>
      <x/>
    </i>
    <i r="1" i="1">
      <x v="1"/>
    </i>
    <i>
      <x v="445"/>
      <x/>
    </i>
    <i r="1" i="1">
      <x v="1"/>
    </i>
    <i>
      <x v="446"/>
      <x/>
    </i>
    <i r="1" i="1">
      <x v="1"/>
    </i>
    <i>
      <x v="447"/>
      <x/>
    </i>
    <i r="1" i="1">
      <x v="1"/>
    </i>
    <i>
      <x v="448"/>
      <x/>
    </i>
    <i r="1" i="1">
      <x v="1"/>
    </i>
    <i>
      <x v="449"/>
      <x/>
    </i>
    <i r="1" i="1">
      <x v="1"/>
    </i>
    <i>
      <x v="450"/>
      <x/>
    </i>
    <i r="1" i="1">
      <x v="1"/>
    </i>
    <i>
      <x v="451"/>
      <x/>
    </i>
    <i r="1" i="1">
      <x v="1"/>
    </i>
    <i>
      <x v="452"/>
      <x/>
    </i>
    <i r="1" i="1">
      <x v="1"/>
    </i>
    <i>
      <x v="453"/>
      <x/>
    </i>
    <i r="1" i="1">
      <x v="1"/>
    </i>
    <i>
      <x v="454"/>
      <x/>
    </i>
    <i r="1" i="1">
      <x v="1"/>
    </i>
    <i>
      <x v="455"/>
      <x/>
    </i>
    <i r="1" i="1">
      <x v="1"/>
    </i>
    <i>
      <x v="456"/>
      <x/>
    </i>
    <i r="1" i="1">
      <x v="1"/>
    </i>
    <i>
      <x v="457"/>
      <x/>
    </i>
    <i r="1" i="1">
      <x v="1"/>
    </i>
    <i>
      <x v="458"/>
      <x/>
    </i>
    <i r="1" i="1">
      <x v="1"/>
    </i>
    <i>
      <x v="459"/>
      <x/>
    </i>
    <i r="1" i="1">
      <x v="1"/>
    </i>
    <i>
      <x v="460"/>
      <x/>
    </i>
    <i r="1" i="1">
      <x v="1"/>
    </i>
    <i>
      <x v="461"/>
      <x/>
    </i>
    <i r="1" i="1">
      <x v="1"/>
    </i>
  </colItems>
  <dataFields count="2">
    <dataField name="RAZON_p" fld="7" subtotal="average" baseField="0" baseItem="0" numFmtId="2"/>
    <dataField name=" INCIDENCIA" fld="6" subtotal="average" baseField="0" baseItem="0"/>
  </dataFields>
  <formats count="45">
    <format dxfId="156">
      <pivotArea outline="0" collapsedLevelsAreSubtotals="1" fieldPosition="0"/>
    </format>
    <format dxfId="155">
      <pivotArea outline="0" collapsedLevelsAreSubtotals="1" fieldPosition="0"/>
    </format>
    <format dxfId="154">
      <pivotArea outline="0" collapsedLevelsAreSubtotals="1" fieldPosition="0"/>
    </format>
    <format dxfId="153">
      <pivotArea collapsedLevelsAreSubtotals="1" fieldPosition="0">
        <references count="1">
          <reference field="0" count="1">
            <x v="23"/>
          </reference>
        </references>
      </pivotArea>
    </format>
    <format dxfId="152">
      <pivotArea field="0" type="button" dataOnly="0" labelOnly="1" outline="0" axis="axisRow" fieldPosition="0"/>
    </format>
    <format dxfId="151">
      <pivotArea field="0" type="button" dataOnly="0" labelOnly="1" outline="0" axis="axisRow" fieldPosition="0"/>
    </format>
    <format dxfId="150">
      <pivotArea field="0" type="button" dataOnly="0" labelOnly="1" outline="0" axis="axisRow" fieldPosition="0"/>
    </format>
    <format dxfId="149">
      <pivotArea dataOnly="0" labelOnly="1" fieldPosition="0">
        <references count="1">
          <reference field="0" count="0"/>
        </references>
      </pivotArea>
    </format>
    <format dxfId="148">
      <pivotArea dataOnly="0" labelOnly="1" fieldPosition="0">
        <references count="1">
          <reference field="0" count="0"/>
        </references>
      </pivotArea>
    </format>
    <format dxfId="147">
      <pivotArea dataOnly="0" labelOnly="1" fieldPosition="0">
        <references count="1">
          <reference field="0" count="0"/>
        </references>
      </pivotArea>
    </format>
    <format dxfId="146">
      <pivotArea dataOnly="0" labelOnly="1" fieldPosition="0">
        <references count="1">
          <reference field="0" count="0"/>
        </references>
      </pivotArea>
    </format>
    <format dxfId="145">
      <pivotArea dataOnly="0" labelOnly="1" fieldPosition="0">
        <references count="1">
          <reference field="0" count="0"/>
        </references>
      </pivotArea>
    </format>
    <format dxfId="144">
      <pivotArea collapsedLevelsAreSubtotals="1" fieldPosition="0">
        <references count="3">
          <reference field="4294967294" count="1" selected="0">
            <x v="1"/>
          </reference>
          <reference field="0" count="1">
            <x v="0"/>
          </reference>
          <reference field="1" count="1" selected="0">
            <x v="420"/>
          </reference>
        </references>
      </pivotArea>
    </format>
    <format dxfId="143">
      <pivotArea collapsedLevelsAreSubtotals="1" fieldPosition="0">
        <references count="3">
          <reference field="4294967294" count="1" selected="0">
            <x v="1"/>
          </reference>
          <reference field="0" count="1">
            <x v="0"/>
          </reference>
          <reference field="1" count="1" selected="0">
            <x v="421"/>
          </reference>
        </references>
      </pivotArea>
    </format>
    <format dxfId="142">
      <pivotArea collapsedLevelsAreSubtotals="1" fieldPosition="0">
        <references count="3">
          <reference field="4294967294" count="1" selected="0">
            <x v="1"/>
          </reference>
          <reference field="0" count="1">
            <x v="0"/>
          </reference>
          <reference field="1" count="1" selected="0">
            <x v="422"/>
          </reference>
        </references>
      </pivotArea>
    </format>
    <format dxfId="141">
      <pivotArea collapsedLevelsAreSubtotals="1" fieldPosition="0">
        <references count="3">
          <reference field="4294967294" count="1" selected="0">
            <x v="1"/>
          </reference>
          <reference field="0" count="1">
            <x v="0"/>
          </reference>
          <reference field="1" count="1" selected="0">
            <x v="423"/>
          </reference>
        </references>
      </pivotArea>
    </format>
    <format dxfId="140">
      <pivotArea collapsedLevelsAreSubtotals="1" fieldPosition="0">
        <references count="3">
          <reference field="4294967294" count="1" selected="0">
            <x v="1"/>
          </reference>
          <reference field="0" count="1">
            <x v="0"/>
          </reference>
          <reference field="1" count="1" selected="0">
            <x v="433"/>
          </reference>
        </references>
      </pivotArea>
    </format>
    <format dxfId="139">
      <pivotArea collapsedLevelsAreSubtotals="1" fieldPosition="0">
        <references count="3">
          <reference field="4294967294" count="1" selected="0">
            <x v="1"/>
          </reference>
          <reference field="0" count="1">
            <x v="0"/>
          </reference>
          <reference field="1" count="1" selected="0">
            <x v="434"/>
          </reference>
        </references>
      </pivotArea>
    </format>
    <format dxfId="138">
      <pivotArea collapsedLevelsAreSubtotals="1" fieldPosition="0">
        <references count="3">
          <reference field="4294967294" count="1" selected="0">
            <x v="1"/>
          </reference>
          <reference field="0" count="1">
            <x v="0"/>
          </reference>
          <reference field="1" count="1" selected="0">
            <x v="435"/>
          </reference>
        </references>
      </pivotArea>
    </format>
    <format dxfId="137">
      <pivotArea collapsedLevelsAreSubtotals="1" fieldPosition="0">
        <references count="3">
          <reference field="4294967294" count="1" selected="0">
            <x v="1"/>
          </reference>
          <reference field="0" count="1">
            <x v="0"/>
          </reference>
          <reference field="1" count="1" selected="0">
            <x v="457"/>
          </reference>
        </references>
      </pivotArea>
    </format>
    <format dxfId="136">
      <pivotArea collapsedLevelsAreSubtotals="1" fieldPosition="0">
        <references count="3">
          <reference field="4294967294" count="1" selected="0">
            <x v="1"/>
          </reference>
          <reference field="0" count="1">
            <x v="0"/>
          </reference>
          <reference field="1" count="1" selected="0">
            <x v="456"/>
          </reference>
        </references>
      </pivotArea>
    </format>
    <format dxfId="135">
      <pivotArea collapsedLevelsAreSubtotals="1" fieldPosition="0">
        <references count="3">
          <reference field="4294967294" count="1" selected="0">
            <x v="1"/>
          </reference>
          <reference field="0" count="1">
            <x v="0"/>
          </reference>
          <reference field="1" count="1" selected="0">
            <x v="455"/>
          </reference>
        </references>
      </pivotArea>
    </format>
    <format dxfId="134">
      <pivotArea collapsedLevelsAreSubtotals="1" fieldPosition="0">
        <references count="3">
          <reference field="4294967294" count="1" selected="0">
            <x v="1"/>
          </reference>
          <reference field="0" count="1">
            <x v="0"/>
          </reference>
          <reference field="1" count="1" selected="0">
            <x v="454"/>
          </reference>
        </references>
      </pivotArea>
    </format>
    <format dxfId="133">
      <pivotArea collapsedLevelsAreSubtotals="1" fieldPosition="0">
        <references count="3">
          <reference field="4294967294" count="1" selected="0">
            <x v="1"/>
          </reference>
          <reference field="0" count="1">
            <x v="0"/>
          </reference>
          <reference field="1" count="1" selected="0">
            <x v="453"/>
          </reference>
        </references>
      </pivotArea>
    </format>
    <format dxfId="132">
      <pivotArea collapsedLevelsAreSubtotals="1" fieldPosition="0">
        <references count="3">
          <reference field="4294967294" count="1" selected="0">
            <x v="1"/>
          </reference>
          <reference field="0" count="1">
            <x v="0"/>
          </reference>
          <reference field="1" count="1" selected="0">
            <x v="452"/>
          </reference>
        </references>
      </pivotArea>
    </format>
    <format dxfId="131">
      <pivotArea collapsedLevelsAreSubtotals="1" fieldPosition="0">
        <references count="3">
          <reference field="4294967294" count="1" selected="0">
            <x v="1"/>
          </reference>
          <reference field="0" count="1">
            <x v="0"/>
          </reference>
          <reference field="1" count="1" selected="0">
            <x v="451"/>
          </reference>
        </references>
      </pivotArea>
    </format>
    <format dxfId="130">
      <pivotArea collapsedLevelsAreSubtotals="1" fieldPosition="0">
        <references count="3">
          <reference field="4294967294" count="1" selected="0">
            <x v="1"/>
          </reference>
          <reference field="0" count="1">
            <x v="0"/>
          </reference>
          <reference field="1" count="1" selected="0">
            <x v="450"/>
          </reference>
        </references>
      </pivotArea>
    </format>
    <format dxfId="129">
      <pivotArea collapsedLevelsAreSubtotals="1" fieldPosition="0">
        <references count="3">
          <reference field="4294967294" count="1" selected="0">
            <x v="1"/>
          </reference>
          <reference field="0" count="1">
            <x v="0"/>
          </reference>
          <reference field="1" count="1" selected="0">
            <x v="449"/>
          </reference>
        </references>
      </pivotArea>
    </format>
    <format dxfId="128">
      <pivotArea collapsedLevelsAreSubtotals="1" fieldPosition="0">
        <references count="3">
          <reference field="4294967294" count="1" selected="0">
            <x v="1"/>
          </reference>
          <reference field="0" count="1">
            <x v="0"/>
          </reference>
          <reference field="1" count="1" selected="0">
            <x v="448"/>
          </reference>
        </references>
      </pivotArea>
    </format>
    <format dxfId="127">
      <pivotArea collapsedLevelsAreSubtotals="1" fieldPosition="0">
        <references count="3">
          <reference field="4294967294" count="1" selected="0">
            <x v="1"/>
          </reference>
          <reference field="0" count="1">
            <x v="0"/>
          </reference>
          <reference field="1" count="1" selected="0">
            <x v="447"/>
          </reference>
        </references>
      </pivotArea>
    </format>
    <format dxfId="126">
      <pivotArea collapsedLevelsAreSubtotals="1" fieldPosition="0">
        <references count="3">
          <reference field="4294967294" count="1" selected="0">
            <x v="1"/>
          </reference>
          <reference field="0" count="1">
            <x v="0"/>
          </reference>
          <reference field="1" count="1" selected="0">
            <x v="446"/>
          </reference>
        </references>
      </pivotArea>
    </format>
    <format dxfId="125">
      <pivotArea collapsedLevelsAreSubtotals="1" fieldPosition="0">
        <references count="3">
          <reference field="4294967294" count="1" selected="0">
            <x v="1"/>
          </reference>
          <reference field="0" count="1">
            <x v="0"/>
          </reference>
          <reference field="1" count="1" selected="0">
            <x v="445"/>
          </reference>
        </references>
      </pivotArea>
    </format>
    <format dxfId="124">
      <pivotArea collapsedLevelsAreSubtotals="1" fieldPosition="0">
        <references count="3">
          <reference field="4294967294" count="1" selected="0">
            <x v="1"/>
          </reference>
          <reference field="0" count="1">
            <x v="0"/>
          </reference>
          <reference field="1" count="1" selected="0">
            <x v="444"/>
          </reference>
        </references>
      </pivotArea>
    </format>
    <format dxfId="123">
      <pivotArea collapsedLevelsAreSubtotals="1" fieldPosition="0">
        <references count="3">
          <reference field="4294967294" count="1" selected="0">
            <x v="1"/>
          </reference>
          <reference field="0" count="1">
            <x v="0"/>
          </reference>
          <reference field="1" count="1" selected="0">
            <x v="443"/>
          </reference>
        </references>
      </pivotArea>
    </format>
    <format dxfId="122">
      <pivotArea collapsedLevelsAreSubtotals="1" fieldPosition="0">
        <references count="3">
          <reference field="4294967294" count="1" selected="0">
            <x v="1"/>
          </reference>
          <reference field="0" count="1">
            <x v="0"/>
          </reference>
          <reference field="1" count="1" selected="0">
            <x v="442"/>
          </reference>
        </references>
      </pivotArea>
    </format>
    <format dxfId="121">
      <pivotArea collapsedLevelsAreSubtotals="1" fieldPosition="0">
        <references count="3">
          <reference field="4294967294" count="1" selected="0">
            <x v="1"/>
          </reference>
          <reference field="0" count="1">
            <x v="0"/>
          </reference>
          <reference field="1" count="1" selected="0">
            <x v="441"/>
          </reference>
        </references>
      </pivotArea>
    </format>
    <format dxfId="120">
      <pivotArea collapsedLevelsAreSubtotals="1" fieldPosition="0">
        <references count="3">
          <reference field="4294967294" count="1" selected="0">
            <x v="1"/>
          </reference>
          <reference field="0" count="1">
            <x v="0"/>
          </reference>
          <reference field="1" count="1" selected="0">
            <x v="440"/>
          </reference>
        </references>
      </pivotArea>
    </format>
    <format dxfId="119">
      <pivotArea collapsedLevelsAreSubtotals="1" fieldPosition="0">
        <references count="3">
          <reference field="4294967294" count="1" selected="0">
            <x v="1"/>
          </reference>
          <reference field="0" count="1">
            <x v="0"/>
          </reference>
          <reference field="1" count="1" selected="0">
            <x v="439"/>
          </reference>
        </references>
      </pivotArea>
    </format>
    <format dxfId="118">
      <pivotArea collapsedLevelsAreSubtotals="1" fieldPosition="0">
        <references count="3">
          <reference field="4294967294" count="1" selected="0">
            <x v="1"/>
          </reference>
          <reference field="0" count="1">
            <x v="0"/>
          </reference>
          <reference field="1" count="1" selected="0">
            <x v="438"/>
          </reference>
        </references>
      </pivotArea>
    </format>
    <format dxfId="117">
      <pivotArea collapsedLevelsAreSubtotals="1" fieldPosition="0">
        <references count="3">
          <reference field="4294967294" count="1" selected="0">
            <x v="1"/>
          </reference>
          <reference field="0" count="1">
            <x v="0"/>
          </reference>
          <reference field="1" count="1" selected="0">
            <x v="437"/>
          </reference>
        </references>
      </pivotArea>
    </format>
    <format dxfId="116">
      <pivotArea collapsedLevelsAreSubtotals="1" fieldPosition="0">
        <references count="3">
          <reference field="4294967294" count="1" selected="0">
            <x v="1"/>
          </reference>
          <reference field="0" count="1">
            <x v="0"/>
          </reference>
          <reference field="1" count="1" selected="0">
            <x v="436"/>
          </reference>
        </references>
      </pivotArea>
    </format>
    <format dxfId="115">
      <pivotArea outline="0" collapsedLevelsAreSubtotals="1" fieldPosition="0">
        <references count="2">
          <reference field="4294967294" count="1" selected="0">
            <x v="1"/>
          </reference>
          <reference field="1" count="1" selected="0">
            <x v="458"/>
          </reference>
        </references>
      </pivotArea>
    </format>
    <format dxfId="114">
      <pivotArea collapsedLevelsAreSubtotals="1" fieldPosition="0">
        <references count="3">
          <reference field="4294967294" count="1" selected="0">
            <x v="1"/>
          </reference>
          <reference field="0" count="1">
            <x v="0"/>
          </reference>
          <reference field="1" count="1" selected="0">
            <x v="459"/>
          </reference>
        </references>
      </pivotArea>
    </format>
    <format dxfId="113">
      <pivotArea collapsedLevelsAreSubtotals="1" fieldPosition="0">
        <references count="3">
          <reference field="4294967294" count="1" selected="0">
            <x v="1"/>
          </reference>
          <reference field="0" count="1">
            <x v="0"/>
          </reference>
          <reference field="1" count="1" selected="0">
            <x v="460"/>
          </reference>
        </references>
      </pivotArea>
    </format>
    <format dxfId="112">
      <pivotArea collapsedLevelsAreSubtotals="1" fieldPosition="0">
        <references count="3">
          <reference field="4294967294" count="1" selected="0">
            <x v="1"/>
          </reference>
          <reference field="0" count="1">
            <x v="0"/>
          </reference>
          <reference field="1" count="1" selected="0">
            <x v="461"/>
          </reference>
        </references>
      </pivotArea>
    </format>
  </formats>
  <conditionalFormats count="36">
    <conditionalFormat priority="1">
      <pivotAreas count="1">
        <pivotArea type="data" outline="0" collapsedLevelsAreSubtotals="1" fieldPosition="0">
          <references count="2">
            <reference field="4294967294" count="1" selected="0">
              <x v="1"/>
            </reference>
            <reference field="1" count="1" selected="0">
              <x v="445"/>
            </reference>
          </references>
        </pivotArea>
      </pivotAreas>
    </conditionalFormat>
    <conditionalFormat priority="4">
      <pivotAreas count="1">
        <pivotArea type="data" outline="0" collapsedLevelsAreSubtotals="1" fieldPosition="0">
          <references count="2">
            <reference field="4294967294" count="1" selected="0">
              <x v="1"/>
            </reference>
            <reference field="1" count="1" selected="0">
              <x v="446"/>
            </reference>
          </references>
        </pivotArea>
      </pivotAreas>
    </conditionalFormat>
    <conditionalFormat priority="7">
      <pivotAreas count="1">
        <pivotArea type="data" outline="0" collapsedLevelsAreSubtotals="1" fieldPosition="0">
          <references count="2">
            <reference field="4294967294" count="1" selected="0">
              <x v="1"/>
            </reference>
            <reference field="1" count="1" selected="0">
              <x v="447"/>
            </reference>
          </references>
        </pivotArea>
      </pivotAreas>
    </conditionalFormat>
    <conditionalFormat priority="10">
      <pivotAreas count="1">
        <pivotArea type="data" outline="0" collapsedLevelsAreSubtotals="1" fieldPosition="0">
          <references count="2">
            <reference field="4294967294" count="1" selected="0">
              <x v="1"/>
            </reference>
            <reference field="1" count="1" selected="0">
              <x v="448"/>
            </reference>
          </references>
        </pivotArea>
      </pivotAreas>
    </conditionalFormat>
    <conditionalFormat priority="13">
      <pivotAreas count="1">
        <pivotArea type="data" outline="0" collapsedLevelsAreSubtotals="1" fieldPosition="0">
          <references count="2">
            <reference field="4294967294" count="1" selected="0">
              <x v="1"/>
            </reference>
            <reference field="1" count="1" selected="0">
              <x v="449"/>
            </reference>
          </references>
        </pivotArea>
      </pivotAreas>
    </conditionalFormat>
    <conditionalFormat priority="16">
      <pivotAreas count="1">
        <pivotArea type="data" outline="0" collapsedLevelsAreSubtotals="1" fieldPosition="0">
          <references count="2">
            <reference field="4294967294" count="1" selected="0">
              <x v="1"/>
            </reference>
            <reference field="1" count="1" selected="0">
              <x v="450"/>
            </reference>
          </references>
        </pivotArea>
      </pivotAreas>
    </conditionalFormat>
    <conditionalFormat priority="19">
      <pivotAreas count="1">
        <pivotArea type="data" outline="0" collapsedLevelsAreSubtotals="1" fieldPosition="0">
          <references count="2">
            <reference field="4294967294" count="1" selected="0">
              <x v="1"/>
            </reference>
            <reference field="1" count="1" selected="0">
              <x v="451"/>
            </reference>
          </references>
        </pivotArea>
      </pivotAreas>
    </conditionalFormat>
    <conditionalFormat priority="22">
      <pivotAreas count="1">
        <pivotArea type="data" outline="0" collapsedLevelsAreSubtotals="1" fieldPosition="0">
          <references count="2">
            <reference field="4294967294" count="1" selected="0">
              <x v="1"/>
            </reference>
            <reference field="1" count="1" selected="0">
              <x v="452"/>
            </reference>
          </references>
        </pivotArea>
      </pivotAreas>
    </conditionalFormat>
    <conditionalFormat priority="25">
      <pivotAreas count="1">
        <pivotArea type="data" outline="0" collapsedLevelsAreSubtotals="1" fieldPosition="0">
          <references count="2">
            <reference field="4294967294" count="1" selected="0">
              <x v="1"/>
            </reference>
            <reference field="1" count="1" selected="0">
              <x v="453"/>
            </reference>
          </references>
        </pivotArea>
      </pivotAreas>
    </conditionalFormat>
    <conditionalFormat priority="28">
      <pivotAreas count="1">
        <pivotArea type="data" outline="0" collapsedLevelsAreSubtotals="1" fieldPosition="0">
          <references count="2">
            <reference field="4294967294" count="1" selected="0">
              <x v="1"/>
            </reference>
            <reference field="1" count="1" selected="0">
              <x v="454"/>
            </reference>
          </references>
        </pivotArea>
      </pivotAreas>
    </conditionalFormat>
    <conditionalFormat priority="31">
      <pivotAreas count="1">
        <pivotArea type="data" outline="0" collapsedLevelsAreSubtotals="1" fieldPosition="0">
          <references count="2">
            <reference field="4294967294" count="1" selected="0">
              <x v="1"/>
            </reference>
            <reference field="1" count="1" selected="0">
              <x v="455"/>
            </reference>
          </references>
        </pivotArea>
      </pivotAreas>
    </conditionalFormat>
    <conditionalFormat priority="34">
      <pivotAreas count="1">
        <pivotArea type="data" outline="0" collapsedLevelsAreSubtotals="1" fieldPosition="0">
          <references count="2">
            <reference field="4294967294" count="1" selected="0">
              <x v="1"/>
            </reference>
            <reference field="1" count="1" selected="0">
              <x v="456"/>
            </reference>
          </references>
        </pivotArea>
      </pivotAreas>
    </conditionalFormat>
    <conditionalFormat priority="37">
      <pivotAreas count="1">
        <pivotArea type="data" outline="0" collapsedLevelsAreSubtotals="1" fieldPosition="0">
          <references count="2">
            <reference field="4294967294" count="1" selected="0">
              <x v="1"/>
            </reference>
            <reference field="1" count="1" selected="0">
              <x v="457"/>
            </reference>
          </references>
        </pivotArea>
      </pivotAreas>
    </conditionalFormat>
    <conditionalFormat priority="40">
      <pivotAreas count="1">
        <pivotArea type="data" outline="0" collapsedLevelsAreSubtotals="1" fieldPosition="0">
          <references count="2">
            <reference field="4294967294" count="1" selected="0">
              <x v="1"/>
            </reference>
            <reference field="1" count="1" selected="0">
              <x v="461"/>
            </reference>
          </references>
        </pivotArea>
      </pivotAreas>
    </conditionalFormat>
    <conditionalFormat priority="43">
      <pivotAreas count="1">
        <pivotArea type="data" outline="0" collapsedLevelsAreSubtotals="1" fieldPosition="0">
          <references count="2">
            <reference field="4294967294" count="1" selected="0">
              <x v="1"/>
            </reference>
            <reference field="1" count="1" selected="0">
              <x v="460"/>
            </reference>
          </references>
        </pivotArea>
      </pivotAreas>
    </conditionalFormat>
    <conditionalFormat priority="46">
      <pivotAreas count="1">
        <pivotArea type="data" outline="0" collapsedLevelsAreSubtotals="1" fieldPosition="0">
          <references count="2">
            <reference field="4294967294" count="1" selected="0">
              <x v="1"/>
            </reference>
            <reference field="1" count="1" selected="0">
              <x v="459"/>
            </reference>
          </references>
        </pivotArea>
      </pivotAreas>
    </conditionalFormat>
    <conditionalFormat priority="49">
      <pivotAreas count="1">
        <pivotArea type="data" outline="0" collapsedLevelsAreSubtotals="1" fieldPosition="0">
          <references count="2">
            <reference field="4294967294" count="1" selected="0">
              <x v="1"/>
            </reference>
            <reference field="1" count="1" selected="0">
              <x v="458"/>
            </reference>
          </references>
        </pivotArea>
      </pivotAreas>
    </conditionalFormat>
    <conditionalFormat priority="142">
      <pivotAreas count="1">
        <pivotArea type="data" collapsedLevelsAreSubtotals="1" fieldPosition="0">
          <references count="2">
            <reference field="4294967294" count="1" selected="0">
              <x v="0"/>
            </reference>
            <reference field="0" count="1">
              <x v="23"/>
            </reference>
          </references>
        </pivotArea>
      </pivotAreas>
    </conditionalFormat>
    <conditionalFormat priority="145">
      <pivotAreas count="1">
        <pivotArea type="data" collapsedLevelsAreSubtotals="1" fieldPosition="0">
          <references count="2">
            <reference field="4294967294" count="1" selected="0">
              <x v="0"/>
            </reference>
            <reference field="0" count="23">
              <x v="0"/>
              <x v="1"/>
              <x v="2"/>
              <x v="3"/>
              <x v="4"/>
              <x v="5"/>
              <x v="6"/>
              <x v="7"/>
              <x v="8"/>
              <x v="9"/>
              <x v="10"/>
              <x v="11"/>
              <x v="12"/>
              <x v="13"/>
              <x v="14"/>
              <x v="15"/>
              <x v="16"/>
              <x v="17"/>
              <x v="18"/>
              <x v="19"/>
              <x v="20"/>
              <x v="21"/>
              <x v="22"/>
            </reference>
          </references>
        </pivotArea>
      </pivotAreas>
    </conditionalFormat>
    <conditionalFormat priority="139">
      <pivotAreas count="1">
        <pivotArea type="data" outline="0" collapsedLevelsAreSubtotals="1" fieldPosition="0">
          <references count="2">
            <reference field="4294967294" count="1" selected="0">
              <x v="1"/>
            </reference>
            <reference field="1" count="1" selected="0">
              <x v="419"/>
            </reference>
          </references>
        </pivotArea>
      </pivotAreas>
    </conditionalFormat>
    <conditionalFormat priority="136">
      <pivotAreas count="1">
        <pivotArea type="data" outline="0" collapsedLevelsAreSubtotals="1" fieldPosition="0">
          <references count="2">
            <reference field="4294967294" count="1" selected="0">
              <x v="1"/>
            </reference>
            <reference field="1" count="1" selected="0">
              <x v="420"/>
            </reference>
          </references>
        </pivotArea>
      </pivotAreas>
    </conditionalFormat>
    <conditionalFormat priority="133">
      <pivotAreas count="1">
        <pivotArea type="data" outline="0" collapsedLevelsAreSubtotals="1" fieldPosition="0">
          <references count="2">
            <reference field="4294967294" count="1" selected="0">
              <x v="1"/>
            </reference>
            <reference field="1" count="1" selected="0">
              <x v="421"/>
            </reference>
          </references>
        </pivotArea>
      </pivotAreas>
    </conditionalFormat>
    <conditionalFormat priority="130">
      <pivotAreas count="1">
        <pivotArea type="data" outline="0" collapsedLevelsAreSubtotals="1" fieldPosition="0">
          <references count="2">
            <reference field="4294967294" count="1" selected="0">
              <x v="1"/>
            </reference>
            <reference field="1" count="1" selected="0">
              <x v="422"/>
            </reference>
          </references>
        </pivotArea>
      </pivotAreas>
    </conditionalFormat>
    <conditionalFormat priority="127">
      <pivotAreas count="1">
        <pivotArea type="data" outline="0" collapsedLevelsAreSubtotals="1" fieldPosition="0">
          <references count="2">
            <reference field="4294967294" count="1" selected="0">
              <x v="1"/>
            </reference>
            <reference field="1" count="1" selected="0">
              <x v="423"/>
            </reference>
          </references>
        </pivotArea>
      </pivotAreas>
    </conditionalFormat>
    <conditionalFormat priority="124">
      <pivotAreas count="1">
        <pivotArea type="data" outline="0" collapsedLevelsAreSubtotals="1" fieldPosition="0">
          <references count="2">
            <reference field="4294967294" count="1" selected="0">
              <x v="1"/>
            </reference>
            <reference field="1" count="1" selected="0">
              <x v="433"/>
            </reference>
          </references>
        </pivotArea>
      </pivotAreas>
    </conditionalFormat>
    <conditionalFormat priority="121">
      <pivotAreas count="1">
        <pivotArea type="data" outline="0" collapsedLevelsAreSubtotals="1" fieldPosition="0">
          <references count="2">
            <reference field="4294967294" count="1" selected="0">
              <x v="1"/>
            </reference>
            <reference field="1" count="1" selected="0">
              <x v="434"/>
            </reference>
          </references>
        </pivotArea>
      </pivotAreas>
    </conditionalFormat>
    <conditionalFormat priority="118">
      <pivotAreas count="1">
        <pivotArea type="data" outline="0" collapsedLevelsAreSubtotals="1" fieldPosition="0">
          <references count="2">
            <reference field="4294967294" count="1" selected="0">
              <x v="1"/>
            </reference>
            <reference field="1" count="1" selected="0">
              <x v="435"/>
            </reference>
          </references>
        </pivotArea>
      </pivotAreas>
    </conditionalFormat>
    <conditionalFormat priority="76">
      <pivotAreas count="1">
        <pivotArea type="data" outline="0" collapsedLevelsAreSubtotals="1" fieldPosition="0">
          <references count="2">
            <reference field="4294967294" count="1" selected="0">
              <x v="1"/>
            </reference>
            <reference field="1" count="1" selected="0">
              <x v="444"/>
            </reference>
          </references>
        </pivotArea>
      </pivotAreas>
    </conditionalFormat>
    <conditionalFormat priority="73">
      <pivotAreas count="1">
        <pivotArea type="data" outline="0" collapsedLevelsAreSubtotals="1" fieldPosition="0">
          <references count="2">
            <reference field="4294967294" count="1" selected="0">
              <x v="1"/>
            </reference>
            <reference field="1" count="1" selected="0">
              <x v="443"/>
            </reference>
          </references>
        </pivotArea>
      </pivotAreas>
    </conditionalFormat>
    <conditionalFormat priority="70">
      <pivotAreas count="1">
        <pivotArea type="data" outline="0" collapsedLevelsAreSubtotals="1" fieldPosition="0">
          <references count="2">
            <reference field="4294967294" count="1" selected="0">
              <x v="1"/>
            </reference>
            <reference field="1" count="1" selected="0">
              <x v="442"/>
            </reference>
          </references>
        </pivotArea>
      </pivotAreas>
    </conditionalFormat>
    <conditionalFormat priority="67">
      <pivotAreas count="1">
        <pivotArea type="data" outline="0" collapsedLevelsAreSubtotals="1" fieldPosition="0">
          <references count="2">
            <reference field="4294967294" count="1" selected="0">
              <x v="1"/>
            </reference>
            <reference field="1" count="1" selected="0">
              <x v="441"/>
            </reference>
          </references>
        </pivotArea>
      </pivotAreas>
    </conditionalFormat>
    <conditionalFormat priority="64">
      <pivotAreas count="1">
        <pivotArea type="data" outline="0" collapsedLevelsAreSubtotals="1" fieldPosition="0">
          <references count="2">
            <reference field="4294967294" count="1" selected="0">
              <x v="1"/>
            </reference>
            <reference field="1" count="1" selected="0">
              <x v="440"/>
            </reference>
          </references>
        </pivotArea>
      </pivotAreas>
    </conditionalFormat>
    <conditionalFormat priority="61">
      <pivotAreas count="1">
        <pivotArea type="data" outline="0" collapsedLevelsAreSubtotals="1" fieldPosition="0">
          <references count="2">
            <reference field="4294967294" count="1" selected="0">
              <x v="1"/>
            </reference>
            <reference field="1" count="1" selected="0">
              <x v="439"/>
            </reference>
          </references>
        </pivotArea>
      </pivotAreas>
    </conditionalFormat>
    <conditionalFormat priority="58">
      <pivotAreas count="1">
        <pivotArea type="data" outline="0" collapsedLevelsAreSubtotals="1" fieldPosition="0">
          <references count="2">
            <reference field="4294967294" count="1" selected="0">
              <x v="1"/>
            </reference>
            <reference field="1" count="1" selected="0">
              <x v="438"/>
            </reference>
          </references>
        </pivotArea>
      </pivotAreas>
    </conditionalFormat>
    <conditionalFormat priority="55">
      <pivotAreas count="1">
        <pivotArea type="data" outline="0" collapsedLevelsAreSubtotals="1" fieldPosition="0">
          <references count="2">
            <reference field="4294967294" count="1" selected="0">
              <x v="1"/>
            </reference>
            <reference field="1" count="1" selected="0">
              <x v="437"/>
            </reference>
          </references>
        </pivotArea>
      </pivotAreas>
    </conditionalFormat>
    <conditionalFormat priority="52">
      <pivotAreas count="1">
        <pivotArea type="data" outline="0" collapsedLevelsAreSubtotals="1" fieldPosition="0">
          <references count="2">
            <reference field="4294967294" count="1" selected="0">
              <x v="1"/>
            </reference>
            <reference field="1" count="1" selected="0">
              <x v="436"/>
            </reference>
          </references>
        </pivotArea>
      </pivotAreas>
    </conditionalFormat>
  </conditionalFormats>
  <pivotTableStyleInfo name="PivotStyleLight16" showRowHeaders="1" showColHeaders="1" showRowStripes="0" showColStripes="0" showLastColumn="1"/>
  <filters count="1">
    <filter fld="1" type="dateNewerThan" evalOrder="-1" id="1">
      <autoFilter ref="A1">
        <filterColumn colId="0">
          <customFilters>
            <customFilter operator="greaterThan" val="44287"/>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Y465"/>
  <sheetViews>
    <sheetView zoomScale="85" zoomScaleNormal="85" workbookViewId="0">
      <pane ySplit="1" topLeftCell="A446" activePane="bottomLeft" state="frozen"/>
      <selection activeCell="H388" sqref="H388"/>
      <selection pane="bottomLeft" activeCell="I465" sqref="I459:I465"/>
    </sheetView>
  </sheetViews>
  <sheetFormatPr baseColWidth="10" defaultRowHeight="15" x14ac:dyDescent="0.25"/>
  <cols>
    <col min="1" max="1" width="11" style="37" customWidth="1"/>
    <col min="2" max="2" width="8.28515625" style="143" customWidth="1"/>
    <col min="3" max="3" width="11.28515625" style="143" customWidth="1"/>
    <col min="4" max="4" width="5.85546875" style="143" customWidth="1"/>
    <col min="5" max="5" width="8" style="143" customWidth="1"/>
    <col min="6" max="6" width="8.42578125" style="143" customWidth="1"/>
    <col min="7" max="7" width="11.28515625" style="159" customWidth="1"/>
    <col min="8" max="8" width="7.85546875" style="143" customWidth="1"/>
    <col min="9" max="9" width="9.7109375" style="546" customWidth="1"/>
    <col min="10" max="10" width="11.140625" style="546" customWidth="1"/>
    <col min="11" max="11" width="8.42578125" style="23" customWidth="1"/>
    <col min="12" max="12" width="10.42578125" style="23" customWidth="1"/>
    <col min="13" max="13" width="11" style="42" customWidth="1"/>
    <col min="14" max="14" width="10" style="42" hidden="1" customWidth="1"/>
    <col min="15" max="15" width="8.7109375" style="42" hidden="1" customWidth="1"/>
    <col min="16" max="16" width="10.28515625" style="42" hidden="1" customWidth="1"/>
    <col min="17" max="17" width="5.5703125" style="42" hidden="1" customWidth="1"/>
    <col min="18" max="18" width="9.140625" style="42" customWidth="1"/>
    <col min="19" max="19" width="5.28515625" style="17" customWidth="1"/>
    <col min="20" max="20" width="9.140625" style="42" customWidth="1"/>
    <col min="21" max="21" width="8.42578125" style="6" customWidth="1"/>
    <col min="22" max="22" width="9.42578125" style="6" customWidth="1"/>
    <col min="23" max="23" width="11.42578125" style="6"/>
    <col min="24" max="24" width="13.7109375" style="6" customWidth="1"/>
    <col min="25" max="16384" width="11.42578125" style="6"/>
  </cols>
  <sheetData>
    <row r="1" spans="1:20" s="165" customFormat="1" ht="42.75" customHeight="1" x14ac:dyDescent="0.25">
      <c r="A1" s="160" t="s">
        <v>42</v>
      </c>
      <c r="B1" s="161" t="s">
        <v>0</v>
      </c>
      <c r="C1" s="161" t="s">
        <v>1</v>
      </c>
      <c r="D1" s="161" t="s">
        <v>2</v>
      </c>
      <c r="E1" s="161" t="s">
        <v>3</v>
      </c>
      <c r="F1" s="161" t="s">
        <v>109</v>
      </c>
      <c r="G1" s="162" t="s">
        <v>4</v>
      </c>
      <c r="H1" s="161" t="s">
        <v>5</v>
      </c>
      <c r="I1" s="163" t="s">
        <v>6</v>
      </c>
      <c r="J1" s="163" t="s">
        <v>7</v>
      </c>
      <c r="K1" s="164" t="s">
        <v>8</v>
      </c>
      <c r="L1" s="164" t="s">
        <v>9</v>
      </c>
      <c r="M1" s="163" t="s">
        <v>10</v>
      </c>
      <c r="N1" s="163" t="s">
        <v>11</v>
      </c>
      <c r="O1" s="163" t="s">
        <v>12</v>
      </c>
      <c r="P1" s="163" t="s">
        <v>13</v>
      </c>
      <c r="Q1" s="163" t="s">
        <v>14</v>
      </c>
      <c r="R1" s="163" t="s">
        <v>108</v>
      </c>
      <c r="S1" s="163" t="s">
        <v>110</v>
      </c>
      <c r="T1" s="163" t="s">
        <v>111</v>
      </c>
    </row>
    <row r="2" spans="1:20" x14ac:dyDescent="0.25">
      <c r="A2" s="2">
        <v>43893</v>
      </c>
      <c r="B2" s="124">
        <v>1</v>
      </c>
      <c r="C2" s="124">
        <v>1</v>
      </c>
      <c r="D2" s="124">
        <v>0</v>
      </c>
      <c r="E2" s="124">
        <v>0</v>
      </c>
      <c r="F2" s="124"/>
      <c r="G2" s="149">
        <v>0</v>
      </c>
      <c r="H2" s="124"/>
      <c r="I2" s="124"/>
      <c r="J2" s="1"/>
      <c r="K2" s="14"/>
      <c r="L2" s="14"/>
      <c r="M2" s="1"/>
      <c r="N2" s="1">
        <v>1</v>
      </c>
      <c r="O2" s="1">
        <v>0</v>
      </c>
      <c r="P2" s="1">
        <v>0</v>
      </c>
      <c r="Q2" s="1">
        <v>0</v>
      </c>
      <c r="R2" s="15"/>
      <c r="S2" s="1"/>
      <c r="T2" s="4"/>
    </row>
    <row r="3" spans="1:20" x14ac:dyDescent="0.25">
      <c r="A3" s="2">
        <v>43894</v>
      </c>
      <c r="B3" s="124">
        <v>0</v>
      </c>
      <c r="C3" s="124">
        <v>1</v>
      </c>
      <c r="D3" s="124">
        <v>0</v>
      </c>
      <c r="E3" s="124">
        <v>0</v>
      </c>
      <c r="F3" s="126">
        <f t="shared" ref="F3:F66" si="0">G3-G2</f>
        <v>0</v>
      </c>
      <c r="G3" s="149">
        <v>0</v>
      </c>
      <c r="H3" s="124"/>
      <c r="I3" s="124"/>
      <c r="J3" s="1"/>
      <c r="K3" s="14"/>
      <c r="L3" s="14"/>
      <c r="M3" s="1"/>
      <c r="N3" s="1">
        <v>1</v>
      </c>
      <c r="O3" s="1">
        <v>0</v>
      </c>
      <c r="P3" s="1">
        <v>0</v>
      </c>
      <c r="Q3" s="1">
        <v>0</v>
      </c>
      <c r="R3" s="1"/>
      <c r="S3" s="1"/>
      <c r="T3" s="4"/>
    </row>
    <row r="4" spans="1:20" x14ac:dyDescent="0.25">
      <c r="A4" s="2">
        <v>43895</v>
      </c>
      <c r="B4" s="124">
        <v>1</v>
      </c>
      <c r="C4" s="124">
        <v>2</v>
      </c>
      <c r="D4" s="124">
        <v>0</v>
      </c>
      <c r="E4" s="124">
        <v>0</v>
      </c>
      <c r="F4" s="126">
        <f t="shared" si="0"/>
        <v>0</v>
      </c>
      <c r="G4" s="149">
        <v>0</v>
      </c>
      <c r="H4" s="124"/>
      <c r="I4" s="124"/>
      <c r="J4" s="1"/>
      <c r="K4" s="14"/>
      <c r="L4" s="14"/>
      <c r="M4" s="1"/>
      <c r="N4" s="1">
        <v>2</v>
      </c>
      <c r="O4" s="1">
        <v>0</v>
      </c>
      <c r="P4" s="1">
        <v>0</v>
      </c>
      <c r="Q4" s="1">
        <v>0</v>
      </c>
      <c r="R4" s="1"/>
      <c r="S4" s="1"/>
      <c r="T4" s="4"/>
    </row>
    <row r="5" spans="1:20" x14ac:dyDescent="0.25">
      <c r="A5" s="2">
        <v>43896</v>
      </c>
      <c r="B5" s="124">
        <v>6</v>
      </c>
      <c r="C5" s="124">
        <v>8</v>
      </c>
      <c r="D5" s="124">
        <v>0</v>
      </c>
      <c r="E5" s="124">
        <v>0</v>
      </c>
      <c r="F5" s="126">
        <f t="shared" si="0"/>
        <v>0</v>
      </c>
      <c r="G5" s="149">
        <v>0</v>
      </c>
      <c r="H5" s="124"/>
      <c r="I5" s="124"/>
      <c r="J5" s="1"/>
      <c r="K5" s="14"/>
      <c r="L5" s="14"/>
      <c r="M5" s="1"/>
      <c r="N5" s="1">
        <v>8</v>
      </c>
      <c r="O5" s="1">
        <v>0</v>
      </c>
      <c r="P5" s="1">
        <v>0</v>
      </c>
      <c r="Q5" s="1">
        <v>0</v>
      </c>
      <c r="R5" s="1"/>
      <c r="S5" s="1"/>
      <c r="T5" s="4"/>
    </row>
    <row r="6" spans="1:20" x14ac:dyDescent="0.25">
      <c r="A6" s="2">
        <v>43897</v>
      </c>
      <c r="B6" s="124">
        <v>1</v>
      </c>
      <c r="C6" s="124">
        <v>9</v>
      </c>
      <c r="D6" s="124">
        <v>1</v>
      </c>
      <c r="E6" s="124">
        <v>1</v>
      </c>
      <c r="F6" s="126">
        <f t="shared" si="0"/>
        <v>0</v>
      </c>
      <c r="G6" s="149">
        <v>0</v>
      </c>
      <c r="H6" s="124"/>
      <c r="I6" s="124"/>
      <c r="J6" s="1"/>
      <c r="K6" s="14"/>
      <c r="L6" s="14"/>
      <c r="M6" s="1"/>
      <c r="N6" s="1">
        <v>9</v>
      </c>
      <c r="O6" s="1">
        <v>0</v>
      </c>
      <c r="P6" s="1">
        <v>0</v>
      </c>
      <c r="Q6" s="1">
        <v>0</v>
      </c>
      <c r="R6" s="20">
        <f t="shared" ref="R6:R69" si="1">G6-G5</f>
        <v>0</v>
      </c>
      <c r="S6" s="1"/>
      <c r="T6" s="4"/>
    </row>
    <row r="7" spans="1:20" x14ac:dyDescent="0.25">
      <c r="A7" s="2">
        <v>43898</v>
      </c>
      <c r="B7" s="124">
        <v>3</v>
      </c>
      <c r="C7" s="124">
        <v>12</v>
      </c>
      <c r="D7" s="124">
        <v>0</v>
      </c>
      <c r="E7" s="124">
        <v>1</v>
      </c>
      <c r="F7" s="126">
        <f t="shared" si="0"/>
        <v>0</v>
      </c>
      <c r="G7" s="149">
        <v>0</v>
      </c>
      <c r="H7" s="124"/>
      <c r="I7" s="124"/>
      <c r="J7" s="1"/>
      <c r="K7" s="14"/>
      <c r="L7" s="14"/>
      <c r="M7" s="1"/>
      <c r="N7" s="1">
        <v>12</v>
      </c>
      <c r="O7" s="1">
        <v>0</v>
      </c>
      <c r="P7" s="1">
        <v>0</v>
      </c>
      <c r="Q7" s="1">
        <v>0</v>
      </c>
      <c r="R7" s="20">
        <f t="shared" si="1"/>
        <v>0</v>
      </c>
      <c r="S7" s="1"/>
      <c r="T7" s="4"/>
    </row>
    <row r="8" spans="1:20" x14ac:dyDescent="0.25">
      <c r="A8" s="2">
        <v>43899</v>
      </c>
      <c r="B8" s="124">
        <v>5</v>
      </c>
      <c r="C8" s="124">
        <v>17</v>
      </c>
      <c r="D8" s="124">
        <v>0</v>
      </c>
      <c r="E8" s="124">
        <v>1</v>
      </c>
      <c r="F8" s="126">
        <f t="shared" si="0"/>
        <v>0</v>
      </c>
      <c r="G8" s="149">
        <v>0</v>
      </c>
      <c r="H8" s="124"/>
      <c r="I8" s="124"/>
      <c r="J8" s="1"/>
      <c r="K8" s="14"/>
      <c r="L8" s="14"/>
      <c r="M8" s="1"/>
      <c r="N8" s="1">
        <v>17</v>
      </c>
      <c r="O8" s="1">
        <v>0</v>
      </c>
      <c r="P8" s="1">
        <v>0</v>
      </c>
      <c r="Q8" s="1">
        <v>0</v>
      </c>
      <c r="R8" s="20">
        <f t="shared" si="1"/>
        <v>0</v>
      </c>
      <c r="S8" s="1"/>
      <c r="T8" s="4"/>
    </row>
    <row r="9" spans="1:20" x14ac:dyDescent="0.25">
      <c r="A9" s="2">
        <v>43900</v>
      </c>
      <c r="B9" s="124">
        <v>2</v>
      </c>
      <c r="C9" s="124">
        <v>19</v>
      </c>
      <c r="D9" s="124">
        <v>0</v>
      </c>
      <c r="E9" s="124">
        <v>1</v>
      </c>
      <c r="F9" s="126">
        <f t="shared" si="0"/>
        <v>0</v>
      </c>
      <c r="G9" s="149">
        <v>0</v>
      </c>
      <c r="H9" s="124"/>
      <c r="I9" s="124"/>
      <c r="J9" s="1"/>
      <c r="K9" s="14"/>
      <c r="L9" s="14"/>
      <c r="M9" s="1"/>
      <c r="N9" s="1">
        <v>19</v>
      </c>
      <c r="O9" s="1">
        <v>0</v>
      </c>
      <c r="P9" s="1">
        <v>0</v>
      </c>
      <c r="Q9" s="1">
        <v>0</v>
      </c>
      <c r="R9" s="20">
        <f t="shared" si="1"/>
        <v>0</v>
      </c>
      <c r="S9" s="1"/>
      <c r="T9" s="4"/>
    </row>
    <row r="10" spans="1:20" x14ac:dyDescent="0.25">
      <c r="A10" s="2">
        <v>43901</v>
      </c>
      <c r="B10" s="124">
        <v>2</v>
      </c>
      <c r="C10" s="124">
        <v>21</v>
      </c>
      <c r="D10" s="124">
        <v>0</v>
      </c>
      <c r="E10" s="124">
        <v>1</v>
      </c>
      <c r="F10" s="126">
        <f t="shared" si="0"/>
        <v>0</v>
      </c>
      <c r="G10" s="149">
        <v>0</v>
      </c>
      <c r="H10" s="124"/>
      <c r="I10" s="124"/>
      <c r="J10" s="1"/>
      <c r="K10" s="14"/>
      <c r="L10" s="14"/>
      <c r="M10" s="1"/>
      <c r="N10" s="1">
        <v>21</v>
      </c>
      <c r="O10" s="1">
        <v>0</v>
      </c>
      <c r="P10" s="1">
        <v>0</v>
      </c>
      <c r="Q10" s="1">
        <v>0</v>
      </c>
      <c r="R10" s="20">
        <f t="shared" si="1"/>
        <v>0</v>
      </c>
      <c r="S10" s="1"/>
      <c r="T10" s="4"/>
    </row>
    <row r="11" spans="1:20" x14ac:dyDescent="0.25">
      <c r="A11" s="2">
        <v>43902</v>
      </c>
      <c r="B11" s="124">
        <v>10</v>
      </c>
      <c r="C11" s="124">
        <v>31</v>
      </c>
      <c r="D11" s="124">
        <v>0</v>
      </c>
      <c r="E11" s="124">
        <v>1</v>
      </c>
      <c r="F11" s="126">
        <f t="shared" si="0"/>
        <v>0</v>
      </c>
      <c r="G11" s="149">
        <v>0</v>
      </c>
      <c r="H11" s="124"/>
      <c r="I11" s="124"/>
      <c r="J11" s="1"/>
      <c r="K11" s="14"/>
      <c r="L11" s="14"/>
      <c r="M11" s="1"/>
      <c r="N11" s="1">
        <v>28</v>
      </c>
      <c r="O11" s="1">
        <v>3</v>
      </c>
      <c r="P11" s="1">
        <v>0</v>
      </c>
      <c r="Q11" s="1">
        <v>0</v>
      </c>
      <c r="R11" s="20">
        <f t="shared" si="1"/>
        <v>0</v>
      </c>
      <c r="S11" s="1"/>
      <c r="T11" s="4"/>
    </row>
    <row r="12" spans="1:20" x14ac:dyDescent="0.25">
      <c r="A12" s="2">
        <v>43903</v>
      </c>
      <c r="B12" s="124">
        <v>3</v>
      </c>
      <c r="C12" s="124">
        <v>34</v>
      </c>
      <c r="D12" s="124">
        <v>1</v>
      </c>
      <c r="E12" s="124">
        <v>2</v>
      </c>
      <c r="F12" s="126">
        <f t="shared" si="0"/>
        <v>0</v>
      </c>
      <c r="G12" s="149">
        <v>0</v>
      </c>
      <c r="H12" s="124"/>
      <c r="I12" s="124"/>
      <c r="J12" s="1"/>
      <c r="K12" s="14"/>
      <c r="L12" s="14"/>
      <c r="M12" s="1"/>
      <c r="N12" s="1">
        <v>30</v>
      </c>
      <c r="O12" s="1">
        <v>4</v>
      </c>
      <c r="P12" s="1">
        <v>0</v>
      </c>
      <c r="Q12" s="1">
        <v>0</v>
      </c>
      <c r="R12" s="20">
        <f t="shared" si="1"/>
        <v>0</v>
      </c>
      <c r="S12" s="1"/>
      <c r="T12" s="4"/>
    </row>
    <row r="13" spans="1:20" x14ac:dyDescent="0.25">
      <c r="A13" s="2">
        <v>43904</v>
      </c>
      <c r="B13" s="124">
        <v>11</v>
      </c>
      <c r="C13" s="124">
        <v>45</v>
      </c>
      <c r="D13" s="124">
        <v>0</v>
      </c>
      <c r="E13" s="124">
        <v>2</v>
      </c>
      <c r="F13" s="126">
        <f t="shared" si="0"/>
        <v>0</v>
      </c>
      <c r="G13" s="149">
        <v>0</v>
      </c>
      <c r="H13" s="124"/>
      <c r="I13" s="124"/>
      <c r="J13" s="1"/>
      <c r="K13" s="14"/>
      <c r="L13" s="14"/>
      <c r="M13" s="1"/>
      <c r="N13" s="1">
        <v>40</v>
      </c>
      <c r="O13" s="1">
        <v>5</v>
      </c>
      <c r="P13" s="1">
        <v>0</v>
      </c>
      <c r="Q13" s="1">
        <v>0</v>
      </c>
      <c r="R13" s="20">
        <f t="shared" si="1"/>
        <v>0</v>
      </c>
      <c r="S13" s="1"/>
      <c r="T13" s="4"/>
    </row>
    <row r="14" spans="1:20" x14ac:dyDescent="0.25">
      <c r="A14" s="2">
        <v>43905</v>
      </c>
      <c r="B14" s="124">
        <v>11</v>
      </c>
      <c r="C14" s="124">
        <v>56</v>
      </c>
      <c r="D14" s="124">
        <v>0</v>
      </c>
      <c r="E14" s="124">
        <v>2</v>
      </c>
      <c r="F14" s="126">
        <f t="shared" si="0"/>
        <v>0</v>
      </c>
      <c r="G14" s="149">
        <v>0</v>
      </c>
      <c r="H14" s="124"/>
      <c r="I14" s="124"/>
      <c r="J14" s="1"/>
      <c r="K14" s="14"/>
      <c r="L14" s="14"/>
      <c r="M14" s="1"/>
      <c r="N14" s="1">
        <v>48</v>
      </c>
      <c r="O14" s="1">
        <v>8</v>
      </c>
      <c r="P14" s="1">
        <v>0</v>
      </c>
      <c r="Q14" s="1">
        <v>0</v>
      </c>
      <c r="R14" s="20">
        <f t="shared" si="1"/>
        <v>0</v>
      </c>
      <c r="S14" s="35">
        <f t="shared" ref="S14:S77" si="2">H14/(C14-E14-G14)</f>
        <v>0</v>
      </c>
      <c r="T14" s="28">
        <f>E14/C14</f>
        <v>3.5714285714285712E-2</v>
      </c>
    </row>
    <row r="15" spans="1:20" x14ac:dyDescent="0.25">
      <c r="A15" s="2">
        <v>43906</v>
      </c>
      <c r="B15" s="124">
        <v>9</v>
      </c>
      <c r="C15" s="124">
        <v>65</v>
      </c>
      <c r="D15" s="124">
        <v>0</v>
      </c>
      <c r="E15" s="124">
        <v>2</v>
      </c>
      <c r="F15" s="126">
        <f t="shared" si="0"/>
        <v>0</v>
      </c>
      <c r="G15" s="149">
        <v>0</v>
      </c>
      <c r="H15" s="124"/>
      <c r="I15" s="124"/>
      <c r="J15" s="1"/>
      <c r="K15" s="14"/>
      <c r="L15" s="14"/>
      <c r="M15" s="1">
        <v>464</v>
      </c>
      <c r="N15" s="1">
        <v>56</v>
      </c>
      <c r="O15" s="1">
        <v>9</v>
      </c>
      <c r="P15" s="1">
        <v>0</v>
      </c>
      <c r="Q15" s="1">
        <v>0</v>
      </c>
      <c r="R15" s="20">
        <f t="shared" si="1"/>
        <v>0</v>
      </c>
      <c r="S15" s="35">
        <f t="shared" si="2"/>
        <v>0</v>
      </c>
      <c r="T15" s="28">
        <f t="shared" ref="T15:T78" si="3">E15/C15</f>
        <v>3.0769230769230771E-2</v>
      </c>
    </row>
    <row r="16" spans="1:20" x14ac:dyDescent="0.25">
      <c r="A16" s="2">
        <v>43907</v>
      </c>
      <c r="B16" s="124">
        <v>13</v>
      </c>
      <c r="C16" s="124">
        <v>78</v>
      </c>
      <c r="D16" s="124">
        <v>0</v>
      </c>
      <c r="E16" s="124">
        <v>2</v>
      </c>
      <c r="F16" s="126">
        <f t="shared" si="0"/>
        <v>0</v>
      </c>
      <c r="G16" s="149">
        <v>0</v>
      </c>
      <c r="H16" s="124"/>
      <c r="I16" s="124"/>
      <c r="J16" s="1"/>
      <c r="K16" s="14">
        <v>686</v>
      </c>
      <c r="L16" s="14">
        <v>496</v>
      </c>
      <c r="M16" s="1">
        <v>496</v>
      </c>
      <c r="N16" s="1">
        <v>67</v>
      </c>
      <c r="O16" s="1">
        <v>11</v>
      </c>
      <c r="P16" s="1">
        <v>0</v>
      </c>
      <c r="Q16" s="1">
        <v>0</v>
      </c>
      <c r="R16" s="20">
        <f t="shared" si="1"/>
        <v>0</v>
      </c>
      <c r="S16" s="35">
        <f t="shared" si="2"/>
        <v>0</v>
      </c>
      <c r="T16" s="28">
        <f t="shared" si="3"/>
        <v>2.564102564102564E-2</v>
      </c>
    </row>
    <row r="17" spans="1:20" x14ac:dyDescent="0.25">
      <c r="A17" s="2">
        <v>43908</v>
      </c>
      <c r="B17" s="124">
        <v>19</v>
      </c>
      <c r="C17" s="124">
        <v>97</v>
      </c>
      <c r="D17" s="124">
        <v>1</v>
      </c>
      <c r="E17" s="124">
        <v>3</v>
      </c>
      <c r="F17" s="126">
        <f t="shared" si="0"/>
        <v>18</v>
      </c>
      <c r="G17" s="149">
        <v>18</v>
      </c>
      <c r="H17" s="124"/>
      <c r="I17" s="124"/>
      <c r="J17" s="1"/>
      <c r="K17" s="14"/>
      <c r="L17" s="14">
        <v>562</v>
      </c>
      <c r="M17" s="1">
        <v>562</v>
      </c>
      <c r="N17" s="1">
        <v>80</v>
      </c>
      <c r="O17" s="1">
        <v>16</v>
      </c>
      <c r="P17" s="1">
        <v>0</v>
      </c>
      <c r="Q17" s="12">
        <f t="shared" ref="Q17:Q80" si="4">C17-P17-O17-N17</f>
        <v>1</v>
      </c>
      <c r="R17" s="20">
        <f t="shared" si="1"/>
        <v>18</v>
      </c>
      <c r="S17" s="35">
        <f t="shared" si="2"/>
        <v>0</v>
      </c>
      <c r="T17" s="28">
        <f t="shared" si="3"/>
        <v>3.0927835051546393E-2</v>
      </c>
    </row>
    <row r="18" spans="1:20" x14ac:dyDescent="0.25">
      <c r="A18" s="2">
        <v>43909</v>
      </c>
      <c r="B18" s="124">
        <v>31</v>
      </c>
      <c r="C18" s="124">
        <v>128</v>
      </c>
      <c r="D18" s="124">
        <v>0</v>
      </c>
      <c r="E18" s="124">
        <v>3</v>
      </c>
      <c r="F18" s="126">
        <f t="shared" si="0"/>
        <v>5</v>
      </c>
      <c r="G18" s="149">
        <v>23</v>
      </c>
      <c r="H18" s="124"/>
      <c r="I18" s="124"/>
      <c r="J18" s="1"/>
      <c r="K18" s="14"/>
      <c r="L18" s="14">
        <v>705</v>
      </c>
      <c r="M18" s="1">
        <v>705</v>
      </c>
      <c r="N18" s="1">
        <v>100</v>
      </c>
      <c r="O18" s="1">
        <v>22</v>
      </c>
      <c r="P18" s="1">
        <v>0</v>
      </c>
      <c r="Q18" s="12">
        <f t="shared" si="4"/>
        <v>6</v>
      </c>
      <c r="R18" s="20">
        <f t="shared" si="1"/>
        <v>5</v>
      </c>
      <c r="S18" s="35">
        <f t="shared" si="2"/>
        <v>0</v>
      </c>
      <c r="T18" s="28">
        <f t="shared" si="3"/>
        <v>2.34375E-2</v>
      </c>
    </row>
    <row r="19" spans="1:20" x14ac:dyDescent="0.25">
      <c r="A19" s="2">
        <v>43910</v>
      </c>
      <c r="B19" s="124">
        <v>30</v>
      </c>
      <c r="C19" s="124">
        <v>158</v>
      </c>
      <c r="D19" s="124">
        <v>0</v>
      </c>
      <c r="E19" s="124">
        <v>3</v>
      </c>
      <c r="F19" s="126">
        <f t="shared" si="0"/>
        <v>4</v>
      </c>
      <c r="G19" s="149">
        <v>27</v>
      </c>
      <c r="H19" s="124"/>
      <c r="I19" s="124"/>
      <c r="J19" s="1"/>
      <c r="K19" s="14"/>
      <c r="L19" s="14">
        <v>872</v>
      </c>
      <c r="M19" s="1">
        <v>872</v>
      </c>
      <c r="N19" s="1">
        <v>122</v>
      </c>
      <c r="O19" s="1">
        <v>26</v>
      </c>
      <c r="P19" s="1">
        <v>0</v>
      </c>
      <c r="Q19" s="12">
        <f t="shared" si="4"/>
        <v>10</v>
      </c>
      <c r="R19" s="20">
        <f t="shared" si="1"/>
        <v>4</v>
      </c>
      <c r="S19" s="35">
        <f t="shared" si="2"/>
        <v>0</v>
      </c>
      <c r="T19" s="28">
        <f t="shared" si="3"/>
        <v>1.8987341772151899E-2</v>
      </c>
    </row>
    <row r="20" spans="1:20" x14ac:dyDescent="0.25">
      <c r="A20" s="2">
        <v>43911</v>
      </c>
      <c r="B20" s="124">
        <v>67</v>
      </c>
      <c r="C20" s="124">
        <v>225</v>
      </c>
      <c r="D20" s="124">
        <v>1</v>
      </c>
      <c r="E20" s="124">
        <v>4</v>
      </c>
      <c r="F20" s="126">
        <f t="shared" si="0"/>
        <v>4</v>
      </c>
      <c r="G20" s="149">
        <v>31</v>
      </c>
      <c r="H20" s="124"/>
      <c r="I20" s="124"/>
      <c r="J20" s="1"/>
      <c r="K20" s="14"/>
      <c r="L20" s="14">
        <v>1028</v>
      </c>
      <c r="M20" s="1">
        <v>1028</v>
      </c>
      <c r="N20" s="1">
        <v>167</v>
      </c>
      <c r="O20" s="1">
        <v>38</v>
      </c>
      <c r="P20" s="1">
        <v>0</v>
      </c>
      <c r="Q20" s="12">
        <f t="shared" si="4"/>
        <v>20</v>
      </c>
      <c r="R20" s="20">
        <f t="shared" si="1"/>
        <v>4</v>
      </c>
      <c r="S20" s="35">
        <f t="shared" si="2"/>
        <v>0</v>
      </c>
      <c r="T20" s="28">
        <f t="shared" si="3"/>
        <v>1.7777777777777778E-2</v>
      </c>
    </row>
    <row r="21" spans="1:20" x14ac:dyDescent="0.25">
      <c r="A21" s="2">
        <v>43912</v>
      </c>
      <c r="B21" s="124">
        <v>41</v>
      </c>
      <c r="C21" s="124">
        <v>266</v>
      </c>
      <c r="D21" s="124">
        <v>0</v>
      </c>
      <c r="E21" s="124">
        <v>4</v>
      </c>
      <c r="F21" s="126">
        <f t="shared" si="0"/>
        <v>20</v>
      </c>
      <c r="G21" s="149">
        <v>51</v>
      </c>
      <c r="H21" s="124"/>
      <c r="I21" s="124"/>
      <c r="J21" s="1"/>
      <c r="K21" s="14"/>
      <c r="L21" s="14">
        <v>1271</v>
      </c>
      <c r="M21" s="1">
        <v>1271</v>
      </c>
      <c r="N21" s="1">
        <v>189</v>
      </c>
      <c r="O21" s="1">
        <v>59</v>
      </c>
      <c r="P21" s="1">
        <v>1</v>
      </c>
      <c r="Q21" s="12">
        <f t="shared" si="4"/>
        <v>17</v>
      </c>
      <c r="R21" s="20">
        <f t="shared" si="1"/>
        <v>20</v>
      </c>
      <c r="S21" s="35">
        <f t="shared" si="2"/>
        <v>0</v>
      </c>
      <c r="T21" s="28">
        <f t="shared" si="3"/>
        <v>1.5037593984962405E-2</v>
      </c>
    </row>
    <row r="22" spans="1:20" x14ac:dyDescent="0.25">
      <c r="A22" s="2">
        <v>43913</v>
      </c>
      <c r="B22" s="125">
        <v>36</v>
      </c>
      <c r="C22" s="125">
        <v>301</v>
      </c>
      <c r="D22" s="125">
        <v>0</v>
      </c>
      <c r="E22" s="124">
        <v>4</v>
      </c>
      <c r="F22" s="126">
        <f t="shared" si="0"/>
        <v>1</v>
      </c>
      <c r="G22" s="149">
        <v>52</v>
      </c>
      <c r="H22" s="124"/>
      <c r="I22" s="124"/>
      <c r="J22" s="1"/>
      <c r="K22" s="14"/>
      <c r="L22" s="14">
        <v>1453</v>
      </c>
      <c r="M22" s="1">
        <v>1453</v>
      </c>
      <c r="N22" s="1">
        <v>206</v>
      </c>
      <c r="O22" s="1">
        <v>64</v>
      </c>
      <c r="P22" s="1">
        <v>1</v>
      </c>
      <c r="Q22" s="12">
        <f t="shared" si="4"/>
        <v>30</v>
      </c>
      <c r="R22" s="20">
        <f t="shared" si="1"/>
        <v>1</v>
      </c>
      <c r="S22" s="35">
        <f t="shared" si="2"/>
        <v>0</v>
      </c>
      <c r="T22" s="28">
        <f t="shared" si="3"/>
        <v>1.3289036544850499E-2</v>
      </c>
    </row>
    <row r="23" spans="1:20" x14ac:dyDescent="0.25">
      <c r="A23" s="2">
        <v>43914</v>
      </c>
      <c r="B23" s="124">
        <v>86</v>
      </c>
      <c r="C23" s="124">
        <v>387</v>
      </c>
      <c r="D23" s="125">
        <v>2</v>
      </c>
      <c r="E23" s="124">
        <v>6</v>
      </c>
      <c r="F23" s="126">
        <f t="shared" si="0"/>
        <v>11</v>
      </c>
      <c r="G23" s="149">
        <v>63</v>
      </c>
      <c r="H23" s="124"/>
      <c r="I23" s="124"/>
      <c r="J23" s="1"/>
      <c r="K23" s="14"/>
      <c r="L23" s="14">
        <v>1453</v>
      </c>
      <c r="M23" s="1">
        <v>1453</v>
      </c>
      <c r="N23" s="1">
        <v>247</v>
      </c>
      <c r="O23" s="1">
        <v>84</v>
      </c>
      <c r="P23" s="1">
        <v>1</v>
      </c>
      <c r="Q23" s="12">
        <f t="shared" si="4"/>
        <v>55</v>
      </c>
      <c r="R23" s="20">
        <f t="shared" si="1"/>
        <v>11</v>
      </c>
      <c r="S23" s="35">
        <f t="shared" si="2"/>
        <v>0</v>
      </c>
      <c r="T23" s="28">
        <f t="shared" si="3"/>
        <v>1.5503875968992248E-2</v>
      </c>
    </row>
    <row r="24" spans="1:20" x14ac:dyDescent="0.25">
      <c r="A24" s="2">
        <v>43915</v>
      </c>
      <c r="B24" s="124">
        <v>117</v>
      </c>
      <c r="C24" s="124">
        <v>503</v>
      </c>
      <c r="D24" s="124">
        <v>2</v>
      </c>
      <c r="E24" s="124">
        <v>8</v>
      </c>
      <c r="F24" s="126">
        <f t="shared" si="0"/>
        <v>9</v>
      </c>
      <c r="G24" s="149">
        <v>72</v>
      </c>
      <c r="H24" s="124"/>
      <c r="I24" s="124"/>
      <c r="J24" s="1"/>
      <c r="K24" s="14"/>
      <c r="L24" s="14">
        <v>1946</v>
      </c>
      <c r="M24" s="1">
        <v>1946</v>
      </c>
      <c r="N24" s="1">
        <v>250</v>
      </c>
      <c r="O24" s="1">
        <v>102</v>
      </c>
      <c r="P24" s="1">
        <v>1</v>
      </c>
      <c r="Q24" s="12">
        <f t="shared" si="4"/>
        <v>150</v>
      </c>
      <c r="R24" s="20">
        <f t="shared" si="1"/>
        <v>9</v>
      </c>
      <c r="S24" s="35">
        <f t="shared" si="2"/>
        <v>0</v>
      </c>
      <c r="T24" s="28">
        <f t="shared" si="3"/>
        <v>1.5904572564612324E-2</v>
      </c>
    </row>
    <row r="25" spans="1:20" x14ac:dyDescent="0.25">
      <c r="A25" s="2">
        <v>43916</v>
      </c>
      <c r="B25" s="124">
        <v>87</v>
      </c>
      <c r="C25" s="124">
        <v>589</v>
      </c>
      <c r="D25" s="124">
        <v>4</v>
      </c>
      <c r="E25" s="124">
        <v>12</v>
      </c>
      <c r="F25" s="126">
        <f t="shared" si="0"/>
        <v>3</v>
      </c>
      <c r="G25" s="149">
        <v>75</v>
      </c>
      <c r="H25" s="124">
        <v>25</v>
      </c>
      <c r="I25" s="124"/>
      <c r="J25" s="1"/>
      <c r="K25" s="14"/>
      <c r="L25" s="14">
        <v>2558</v>
      </c>
      <c r="M25" s="1">
        <v>2558</v>
      </c>
      <c r="N25" s="1">
        <v>287</v>
      </c>
      <c r="O25" s="1">
        <v>126</v>
      </c>
      <c r="P25" s="1">
        <v>1</v>
      </c>
      <c r="Q25" s="12">
        <f t="shared" si="4"/>
        <v>175</v>
      </c>
      <c r="R25" s="20">
        <f t="shared" si="1"/>
        <v>3</v>
      </c>
      <c r="S25" s="35">
        <f t="shared" si="2"/>
        <v>4.9800796812749001E-2</v>
      </c>
      <c r="T25" s="28">
        <f t="shared" si="3"/>
        <v>2.037351443123939E-2</v>
      </c>
    </row>
    <row r="26" spans="1:20" x14ac:dyDescent="0.25">
      <c r="A26" s="2">
        <v>43917</v>
      </c>
      <c r="B26" s="124">
        <v>101</v>
      </c>
      <c r="C26" s="124">
        <v>690</v>
      </c>
      <c r="D26" s="124">
        <v>5</v>
      </c>
      <c r="E26" s="124">
        <v>17</v>
      </c>
      <c r="F26" s="126">
        <f t="shared" si="0"/>
        <v>5</v>
      </c>
      <c r="G26" s="149">
        <v>80</v>
      </c>
      <c r="H26" s="124"/>
      <c r="I26" s="124"/>
      <c r="J26" s="1"/>
      <c r="K26" s="14"/>
      <c r="L26" s="14">
        <v>2817</v>
      </c>
      <c r="M26" s="1">
        <v>2817</v>
      </c>
      <c r="N26" s="1">
        <v>387</v>
      </c>
      <c r="O26" s="1">
        <v>167</v>
      </c>
      <c r="P26" s="1">
        <v>1</v>
      </c>
      <c r="Q26" s="12">
        <f t="shared" si="4"/>
        <v>135</v>
      </c>
      <c r="R26" s="20">
        <f t="shared" si="1"/>
        <v>5</v>
      </c>
      <c r="S26" s="35">
        <f t="shared" si="2"/>
        <v>0</v>
      </c>
      <c r="T26" s="28">
        <f t="shared" si="3"/>
        <v>2.4637681159420291E-2</v>
      </c>
    </row>
    <row r="27" spans="1:20" x14ac:dyDescent="0.25">
      <c r="A27" s="2">
        <v>43918</v>
      </c>
      <c r="B27" s="124">
        <v>55</v>
      </c>
      <c r="C27" s="124">
        <v>745</v>
      </c>
      <c r="D27" s="124">
        <v>2</v>
      </c>
      <c r="E27" s="124">
        <v>19</v>
      </c>
      <c r="F27" s="126">
        <f t="shared" si="0"/>
        <v>11</v>
      </c>
      <c r="G27" s="149">
        <v>91</v>
      </c>
      <c r="H27" s="124">
        <v>44</v>
      </c>
      <c r="I27" s="124"/>
      <c r="J27" s="1"/>
      <c r="K27" s="14"/>
      <c r="L27" s="14">
        <v>3215</v>
      </c>
      <c r="M27" s="1">
        <v>3215</v>
      </c>
      <c r="N27" s="1">
        <v>408</v>
      </c>
      <c r="O27" s="1">
        <v>185</v>
      </c>
      <c r="P27" s="1">
        <v>1</v>
      </c>
      <c r="Q27" s="12">
        <f t="shared" si="4"/>
        <v>151</v>
      </c>
      <c r="R27" s="20">
        <f t="shared" si="1"/>
        <v>11</v>
      </c>
      <c r="S27" s="35">
        <f t="shared" si="2"/>
        <v>6.9291338582677164E-2</v>
      </c>
      <c r="T27" s="28">
        <f t="shared" si="3"/>
        <v>2.5503355704697986E-2</v>
      </c>
    </row>
    <row r="28" spans="1:20" x14ac:dyDescent="0.25">
      <c r="A28" s="2">
        <v>43919</v>
      </c>
      <c r="B28" s="124">
        <v>75</v>
      </c>
      <c r="C28" s="124">
        <v>820</v>
      </c>
      <c r="D28" s="124">
        <v>1</v>
      </c>
      <c r="E28" s="124">
        <v>20</v>
      </c>
      <c r="F28" s="126">
        <f t="shared" si="0"/>
        <v>137</v>
      </c>
      <c r="G28" s="149">
        <v>228</v>
      </c>
      <c r="H28" s="124">
        <v>53</v>
      </c>
      <c r="I28" s="124"/>
      <c r="J28" s="1"/>
      <c r="K28" s="14"/>
      <c r="L28" s="14">
        <v>3580</v>
      </c>
      <c r="M28" s="1">
        <v>3580</v>
      </c>
      <c r="N28" s="1">
        <v>442</v>
      </c>
      <c r="O28" s="1">
        <v>207</v>
      </c>
      <c r="P28" s="1">
        <v>1</v>
      </c>
      <c r="Q28" s="12">
        <f t="shared" si="4"/>
        <v>170</v>
      </c>
      <c r="R28" s="20">
        <f t="shared" si="1"/>
        <v>137</v>
      </c>
      <c r="S28" s="35">
        <f t="shared" si="2"/>
        <v>9.2657342657342656E-2</v>
      </c>
      <c r="T28" s="28">
        <f t="shared" si="3"/>
        <v>2.4390243902439025E-2</v>
      </c>
    </row>
    <row r="29" spans="1:20" x14ac:dyDescent="0.25">
      <c r="A29" s="2">
        <v>43920</v>
      </c>
      <c r="B29" s="124">
        <v>146</v>
      </c>
      <c r="C29" s="124">
        <v>966</v>
      </c>
      <c r="D29" s="124">
        <v>5</v>
      </c>
      <c r="E29" s="124">
        <v>25</v>
      </c>
      <c r="F29" s="126">
        <f t="shared" si="0"/>
        <v>12</v>
      </c>
      <c r="G29" s="149">
        <v>240</v>
      </c>
      <c r="H29" s="124">
        <v>55</v>
      </c>
      <c r="I29" s="124"/>
      <c r="J29" s="1"/>
      <c r="K29" s="14"/>
      <c r="L29" s="14">
        <v>4065</v>
      </c>
      <c r="M29" s="1">
        <v>4065</v>
      </c>
      <c r="N29" s="1">
        <v>489</v>
      </c>
      <c r="O29" s="1">
        <v>207</v>
      </c>
      <c r="P29" s="1">
        <v>1</v>
      </c>
      <c r="Q29" s="12">
        <f t="shared" si="4"/>
        <v>269</v>
      </c>
      <c r="R29" s="20">
        <f t="shared" si="1"/>
        <v>12</v>
      </c>
      <c r="S29" s="35">
        <f t="shared" si="2"/>
        <v>7.8459343794579167E-2</v>
      </c>
      <c r="T29" s="28">
        <f t="shared" si="3"/>
        <v>2.5879917184265012E-2</v>
      </c>
    </row>
    <row r="30" spans="1:20" x14ac:dyDescent="0.25">
      <c r="A30" s="2">
        <v>43921</v>
      </c>
      <c r="B30" s="124">
        <v>88</v>
      </c>
      <c r="C30" s="124">
        <v>1054</v>
      </c>
      <c r="D30" s="124">
        <v>3</v>
      </c>
      <c r="E30" s="124">
        <v>28</v>
      </c>
      <c r="F30" s="126">
        <f t="shared" si="0"/>
        <v>8</v>
      </c>
      <c r="G30" s="149">
        <v>248</v>
      </c>
      <c r="H30" s="124">
        <v>55</v>
      </c>
      <c r="I30" s="124"/>
      <c r="J30" s="1"/>
      <c r="K30" s="14"/>
      <c r="L30" s="14">
        <v>4597</v>
      </c>
      <c r="M30" s="1">
        <v>4597</v>
      </c>
      <c r="N30" s="1">
        <v>529</v>
      </c>
      <c r="O30" s="1">
        <v>295</v>
      </c>
      <c r="P30" s="1">
        <v>1</v>
      </c>
      <c r="Q30" s="12">
        <f t="shared" si="4"/>
        <v>229</v>
      </c>
      <c r="R30" s="20">
        <f t="shared" si="1"/>
        <v>8</v>
      </c>
      <c r="S30" s="35">
        <f t="shared" si="2"/>
        <v>7.0694087403598976E-2</v>
      </c>
      <c r="T30" s="28">
        <f t="shared" si="3"/>
        <v>2.6565464895635674E-2</v>
      </c>
    </row>
    <row r="31" spans="1:20" x14ac:dyDescent="0.25">
      <c r="A31" s="2">
        <v>43922</v>
      </c>
      <c r="B31" s="124">
        <v>79</v>
      </c>
      <c r="C31" s="124">
        <v>1133</v>
      </c>
      <c r="D31" s="124">
        <v>5</v>
      </c>
      <c r="E31" s="124">
        <v>33</v>
      </c>
      <c r="F31" s="126">
        <f t="shared" si="0"/>
        <v>8</v>
      </c>
      <c r="G31" s="149">
        <v>256</v>
      </c>
      <c r="H31" s="124">
        <v>72</v>
      </c>
      <c r="I31" s="124"/>
      <c r="J31" s="1"/>
      <c r="K31" s="14"/>
      <c r="L31" s="14">
        <v>5144</v>
      </c>
      <c r="M31" s="1">
        <v>5144</v>
      </c>
      <c r="N31" s="1">
        <v>580</v>
      </c>
      <c r="O31" s="1">
        <v>349</v>
      </c>
      <c r="P31" s="1">
        <v>1</v>
      </c>
      <c r="Q31" s="12">
        <f t="shared" si="4"/>
        <v>203</v>
      </c>
      <c r="R31" s="20">
        <f t="shared" si="1"/>
        <v>8</v>
      </c>
      <c r="S31" s="35">
        <f t="shared" si="2"/>
        <v>8.5308056872037921E-2</v>
      </c>
      <c r="T31" s="28">
        <f t="shared" si="3"/>
        <v>2.9126213592233011E-2</v>
      </c>
    </row>
    <row r="32" spans="1:20" x14ac:dyDescent="0.25">
      <c r="A32" s="2">
        <v>43923</v>
      </c>
      <c r="B32" s="124">
        <v>132</v>
      </c>
      <c r="C32" s="124">
        <v>1265</v>
      </c>
      <c r="D32" s="124">
        <v>4</v>
      </c>
      <c r="E32" s="124">
        <v>37</v>
      </c>
      <c r="F32" s="126">
        <f t="shared" si="0"/>
        <v>10</v>
      </c>
      <c r="G32" s="149">
        <v>266</v>
      </c>
      <c r="H32" s="124">
        <v>82</v>
      </c>
      <c r="I32" s="124"/>
      <c r="J32" s="1"/>
      <c r="K32" s="14"/>
      <c r="L32" s="14">
        <v>6120</v>
      </c>
      <c r="M32" s="1">
        <v>6120</v>
      </c>
      <c r="N32" s="1">
        <v>622</v>
      </c>
      <c r="O32" s="1">
        <v>397</v>
      </c>
      <c r="P32" s="1">
        <v>103</v>
      </c>
      <c r="Q32" s="12">
        <f t="shared" si="4"/>
        <v>143</v>
      </c>
      <c r="R32" s="20">
        <f t="shared" si="1"/>
        <v>10</v>
      </c>
      <c r="S32" s="35">
        <f t="shared" si="2"/>
        <v>8.5239085239085244E-2</v>
      </c>
      <c r="T32" s="28">
        <f t="shared" si="3"/>
        <v>2.9249011857707511E-2</v>
      </c>
    </row>
    <row r="33" spans="1:20" x14ac:dyDescent="0.25">
      <c r="A33" s="2">
        <v>43924</v>
      </c>
      <c r="B33" s="124">
        <v>88</v>
      </c>
      <c r="C33" s="124">
        <v>1353</v>
      </c>
      <c r="D33" s="124">
        <v>5</v>
      </c>
      <c r="E33" s="124">
        <v>42</v>
      </c>
      <c r="F33" s="126">
        <f t="shared" si="0"/>
        <v>13</v>
      </c>
      <c r="G33" s="149">
        <v>279</v>
      </c>
      <c r="H33" s="124">
        <v>86</v>
      </c>
      <c r="I33" s="124"/>
      <c r="J33" s="1"/>
      <c r="K33" s="14"/>
      <c r="L33" s="14">
        <v>7135</v>
      </c>
      <c r="M33" s="1">
        <v>7135</v>
      </c>
      <c r="N33" s="1">
        <v>656</v>
      </c>
      <c r="O33" s="1">
        <v>460</v>
      </c>
      <c r="P33" s="1">
        <v>113</v>
      </c>
      <c r="Q33" s="12">
        <f t="shared" si="4"/>
        <v>124</v>
      </c>
      <c r="R33" s="20">
        <f t="shared" si="1"/>
        <v>13</v>
      </c>
      <c r="S33" s="35">
        <f t="shared" si="2"/>
        <v>8.3333333333333329E-2</v>
      </c>
      <c r="T33" s="28">
        <f t="shared" si="3"/>
        <v>3.1042128603104215E-2</v>
      </c>
    </row>
    <row r="34" spans="1:20" x14ac:dyDescent="0.25">
      <c r="A34" s="2">
        <v>43925</v>
      </c>
      <c r="B34" s="124">
        <v>98</v>
      </c>
      <c r="C34" s="124">
        <v>1451</v>
      </c>
      <c r="D34" s="124">
        <v>1</v>
      </c>
      <c r="E34" s="124">
        <v>43</v>
      </c>
      <c r="F34" s="126">
        <f t="shared" si="0"/>
        <v>1</v>
      </c>
      <c r="G34" s="149">
        <v>280</v>
      </c>
      <c r="H34" s="124">
        <v>87</v>
      </c>
      <c r="I34" s="124"/>
      <c r="J34" s="1"/>
      <c r="K34" s="14">
        <v>394</v>
      </c>
      <c r="L34" s="14">
        <v>7494</v>
      </c>
      <c r="M34" s="1">
        <v>7888</v>
      </c>
      <c r="N34" s="1">
        <v>674</v>
      </c>
      <c r="O34" s="1">
        <v>490</v>
      </c>
      <c r="P34" s="1">
        <v>119</v>
      </c>
      <c r="Q34" s="12">
        <f t="shared" si="4"/>
        <v>168</v>
      </c>
      <c r="R34" s="20">
        <f t="shared" si="1"/>
        <v>1</v>
      </c>
      <c r="S34" s="35">
        <f t="shared" si="2"/>
        <v>7.7127659574468085E-2</v>
      </c>
      <c r="T34" s="28">
        <f t="shared" si="3"/>
        <v>2.9634734665747762E-2</v>
      </c>
    </row>
    <row r="35" spans="1:20" x14ac:dyDescent="0.25">
      <c r="A35" s="2">
        <v>43926</v>
      </c>
      <c r="B35" s="124">
        <v>103</v>
      </c>
      <c r="C35" s="124">
        <v>1554</v>
      </c>
      <c r="D35" s="124">
        <v>3</v>
      </c>
      <c r="E35" s="124">
        <v>46</v>
      </c>
      <c r="F35" s="126">
        <f t="shared" si="0"/>
        <v>45</v>
      </c>
      <c r="G35" s="149">
        <v>325</v>
      </c>
      <c r="H35" s="124">
        <v>94</v>
      </c>
      <c r="I35" s="124"/>
      <c r="J35" s="1"/>
      <c r="K35" s="14">
        <v>383</v>
      </c>
      <c r="L35" s="14">
        <v>8125</v>
      </c>
      <c r="M35" s="1">
        <v>8508</v>
      </c>
      <c r="N35" s="1">
        <v>695</v>
      </c>
      <c r="O35" s="1">
        <v>536</v>
      </c>
      <c r="P35" s="1">
        <v>148</v>
      </c>
      <c r="Q35" s="12">
        <f t="shared" si="4"/>
        <v>175</v>
      </c>
      <c r="R35" s="20">
        <f t="shared" si="1"/>
        <v>45</v>
      </c>
      <c r="S35" s="35">
        <f t="shared" si="2"/>
        <v>7.945900253592561E-2</v>
      </c>
      <c r="T35" s="28">
        <f t="shared" si="3"/>
        <v>2.9601029601029602E-2</v>
      </c>
    </row>
    <row r="36" spans="1:20" x14ac:dyDescent="0.25">
      <c r="A36" s="2">
        <v>43927</v>
      </c>
      <c r="B36" s="124">
        <v>74</v>
      </c>
      <c r="C36" s="124">
        <v>1628</v>
      </c>
      <c r="D36" s="124">
        <v>7</v>
      </c>
      <c r="E36" s="124">
        <v>53</v>
      </c>
      <c r="F36" s="126">
        <f t="shared" si="0"/>
        <v>13</v>
      </c>
      <c r="G36" s="149">
        <v>338</v>
      </c>
      <c r="H36" s="124">
        <v>96</v>
      </c>
      <c r="I36" s="124"/>
      <c r="J36" s="1"/>
      <c r="K36" s="14">
        <v>458</v>
      </c>
      <c r="L36" s="14">
        <v>8707</v>
      </c>
      <c r="M36" s="1">
        <v>9165</v>
      </c>
      <c r="N36" s="1">
        <v>718</v>
      </c>
      <c r="O36" s="1">
        <v>563</v>
      </c>
      <c r="P36" s="1">
        <v>175</v>
      </c>
      <c r="Q36" s="12">
        <f t="shared" si="4"/>
        <v>172</v>
      </c>
      <c r="R36" s="20">
        <f t="shared" si="1"/>
        <v>13</v>
      </c>
      <c r="S36" s="35">
        <f t="shared" si="2"/>
        <v>7.7607113985448672E-2</v>
      </c>
      <c r="T36" s="28">
        <f t="shared" si="3"/>
        <v>3.2555282555282554E-2</v>
      </c>
    </row>
    <row r="37" spans="1:20" x14ac:dyDescent="0.25">
      <c r="A37" s="2">
        <v>43928</v>
      </c>
      <c r="B37" s="124">
        <v>87</v>
      </c>
      <c r="C37" s="124">
        <v>1715</v>
      </c>
      <c r="D37" s="124">
        <v>7</v>
      </c>
      <c r="E37" s="124">
        <v>60</v>
      </c>
      <c r="F37" s="126">
        <f t="shared" si="0"/>
        <v>20</v>
      </c>
      <c r="G37" s="149">
        <v>358</v>
      </c>
      <c r="H37" s="124">
        <v>98</v>
      </c>
      <c r="I37" s="124">
        <v>1552</v>
      </c>
      <c r="J37" s="1"/>
      <c r="K37" s="14">
        <v>418</v>
      </c>
      <c r="L37" s="14">
        <v>10020</v>
      </c>
      <c r="M37" s="1">
        <v>10438</v>
      </c>
      <c r="N37" s="1">
        <v>738</v>
      </c>
      <c r="O37" s="1">
        <v>588</v>
      </c>
      <c r="P37" s="1">
        <v>205</v>
      </c>
      <c r="Q37" s="12">
        <f t="shared" si="4"/>
        <v>184</v>
      </c>
      <c r="R37" s="20">
        <f t="shared" si="1"/>
        <v>20</v>
      </c>
      <c r="S37" s="35">
        <f t="shared" si="2"/>
        <v>7.5558982266769464E-2</v>
      </c>
      <c r="T37" s="28">
        <f t="shared" si="3"/>
        <v>3.4985422740524783E-2</v>
      </c>
    </row>
    <row r="38" spans="1:20" x14ac:dyDescent="0.25">
      <c r="A38" s="2">
        <v>43929</v>
      </c>
      <c r="B38" s="124">
        <v>80</v>
      </c>
      <c r="C38" s="124">
        <v>1795</v>
      </c>
      <c r="D38" s="124">
        <v>5</v>
      </c>
      <c r="E38" s="124">
        <v>65</v>
      </c>
      <c r="F38" s="126">
        <f t="shared" si="0"/>
        <v>7</v>
      </c>
      <c r="G38" s="149">
        <v>365</v>
      </c>
      <c r="H38" s="124">
        <v>98</v>
      </c>
      <c r="I38" s="124">
        <v>1520</v>
      </c>
      <c r="J38" s="1"/>
      <c r="K38" s="14">
        <v>450</v>
      </c>
      <c r="L38" s="14">
        <v>11385</v>
      </c>
      <c r="M38" s="1">
        <v>11835</v>
      </c>
      <c r="N38" s="1">
        <v>767</v>
      </c>
      <c r="O38" s="1">
        <v>618</v>
      </c>
      <c r="P38" s="1">
        <v>224</v>
      </c>
      <c r="Q38" s="12">
        <f t="shared" si="4"/>
        <v>186</v>
      </c>
      <c r="R38" s="20">
        <f t="shared" si="1"/>
        <v>7</v>
      </c>
      <c r="S38" s="35">
        <f t="shared" si="2"/>
        <v>7.179487179487179E-2</v>
      </c>
      <c r="T38" s="28">
        <f t="shared" si="3"/>
        <v>3.6211699164345405E-2</v>
      </c>
    </row>
    <row r="39" spans="1:20" x14ac:dyDescent="0.25">
      <c r="A39" s="2">
        <v>43930</v>
      </c>
      <c r="B39" s="124">
        <v>99</v>
      </c>
      <c r="C39" s="124">
        <v>1894</v>
      </c>
      <c r="D39" s="124">
        <v>14</v>
      </c>
      <c r="E39" s="124">
        <v>79</v>
      </c>
      <c r="F39" s="126">
        <f t="shared" si="0"/>
        <v>10</v>
      </c>
      <c r="G39" s="149">
        <v>375</v>
      </c>
      <c r="H39" s="124">
        <v>98</v>
      </c>
      <c r="I39" s="124">
        <v>1529</v>
      </c>
      <c r="J39" s="1">
        <v>16379</v>
      </c>
      <c r="K39" s="14"/>
      <c r="L39" s="14"/>
      <c r="M39" s="1">
        <v>12983</v>
      </c>
      <c r="N39" s="1">
        <v>785</v>
      </c>
      <c r="O39" s="1">
        <v>641</v>
      </c>
      <c r="P39" s="1">
        <v>261</v>
      </c>
      <c r="Q39" s="12">
        <f t="shared" si="4"/>
        <v>207</v>
      </c>
      <c r="R39" s="20">
        <f t="shared" si="1"/>
        <v>10</v>
      </c>
      <c r="S39" s="35">
        <f t="shared" si="2"/>
        <v>6.805555555555555E-2</v>
      </c>
      <c r="T39" s="28">
        <f t="shared" si="3"/>
        <v>4.171066525871172E-2</v>
      </c>
    </row>
    <row r="40" spans="1:20" x14ac:dyDescent="0.25">
      <c r="A40" s="2">
        <v>43931</v>
      </c>
      <c r="B40" s="124">
        <v>81</v>
      </c>
      <c r="C40" s="124">
        <v>1975</v>
      </c>
      <c r="D40" s="124">
        <v>3</v>
      </c>
      <c r="E40" s="124">
        <v>82</v>
      </c>
      <c r="F40" s="126">
        <f t="shared" si="0"/>
        <v>65</v>
      </c>
      <c r="G40" s="149">
        <v>440</v>
      </c>
      <c r="H40" s="124">
        <v>115</v>
      </c>
      <c r="I40" s="124">
        <v>1648</v>
      </c>
      <c r="J40" s="1">
        <v>18027</v>
      </c>
      <c r="K40" s="14">
        <v>566</v>
      </c>
      <c r="L40" s="14">
        <v>13584</v>
      </c>
      <c r="M40" s="1">
        <v>14150</v>
      </c>
      <c r="N40" s="1">
        <v>790</v>
      </c>
      <c r="O40" s="1">
        <v>672</v>
      </c>
      <c r="P40" s="1">
        <v>290</v>
      </c>
      <c r="Q40" s="12">
        <f t="shared" si="4"/>
        <v>223</v>
      </c>
      <c r="R40" s="20">
        <f t="shared" si="1"/>
        <v>65</v>
      </c>
      <c r="S40" s="35">
        <f t="shared" si="2"/>
        <v>7.9146593255333797E-2</v>
      </c>
      <c r="T40" s="28">
        <f t="shared" si="3"/>
        <v>4.1518987341772152E-2</v>
      </c>
    </row>
    <row r="41" spans="1:20" x14ac:dyDescent="0.25">
      <c r="A41" s="2">
        <v>43932</v>
      </c>
      <c r="B41" s="124">
        <v>167</v>
      </c>
      <c r="C41" s="124">
        <v>2142</v>
      </c>
      <c r="D41" s="124">
        <v>7</v>
      </c>
      <c r="E41" s="124">
        <v>89</v>
      </c>
      <c r="F41" s="126">
        <f t="shared" si="0"/>
        <v>28</v>
      </c>
      <c r="G41" s="149">
        <v>468</v>
      </c>
      <c r="H41" s="124">
        <v>83</v>
      </c>
      <c r="I41" s="124">
        <v>1731</v>
      </c>
      <c r="J41" s="1">
        <v>19758</v>
      </c>
      <c r="K41" s="14">
        <v>464</v>
      </c>
      <c r="L41" s="14">
        <v>15016</v>
      </c>
      <c r="M41" s="1">
        <v>15480</v>
      </c>
      <c r="N41" s="1">
        <v>816</v>
      </c>
      <c r="O41" s="1">
        <v>712</v>
      </c>
      <c r="P41" s="1">
        <v>304</v>
      </c>
      <c r="Q41" s="12">
        <f t="shared" si="4"/>
        <v>310</v>
      </c>
      <c r="R41" s="20">
        <f t="shared" si="1"/>
        <v>28</v>
      </c>
      <c r="S41" s="35">
        <f t="shared" si="2"/>
        <v>5.2365930599369087E-2</v>
      </c>
      <c r="T41" s="28">
        <f t="shared" si="3"/>
        <v>4.1549953314659195E-2</v>
      </c>
    </row>
    <row r="42" spans="1:20" x14ac:dyDescent="0.25">
      <c r="A42" s="2">
        <v>43933</v>
      </c>
      <c r="B42" s="124">
        <v>66</v>
      </c>
      <c r="C42" s="124">
        <v>2208</v>
      </c>
      <c r="D42" s="124">
        <v>6</v>
      </c>
      <c r="E42" s="124">
        <v>95</v>
      </c>
      <c r="F42" s="126">
        <f t="shared" si="0"/>
        <v>47</v>
      </c>
      <c r="G42" s="149">
        <v>515</v>
      </c>
      <c r="H42" s="124">
        <v>113</v>
      </c>
      <c r="I42" s="124">
        <v>1435</v>
      </c>
      <c r="J42" s="1">
        <v>21193</v>
      </c>
      <c r="K42" s="14">
        <v>477</v>
      </c>
      <c r="L42" s="14">
        <v>15939</v>
      </c>
      <c r="M42" s="1">
        <v>16416</v>
      </c>
      <c r="N42" s="1">
        <v>821</v>
      </c>
      <c r="O42" s="1">
        <v>766</v>
      </c>
      <c r="P42" s="1">
        <v>318</v>
      </c>
      <c r="Q42" s="12">
        <f t="shared" si="4"/>
        <v>303</v>
      </c>
      <c r="R42" s="20">
        <f t="shared" si="1"/>
        <v>47</v>
      </c>
      <c r="S42" s="35">
        <f t="shared" si="2"/>
        <v>7.07133917396746E-2</v>
      </c>
      <c r="T42" s="28">
        <f t="shared" si="3"/>
        <v>4.3025362318840576E-2</v>
      </c>
    </row>
    <row r="43" spans="1:20" x14ac:dyDescent="0.25">
      <c r="A43" s="2">
        <v>43934</v>
      </c>
      <c r="B43" s="124">
        <v>69</v>
      </c>
      <c r="C43" s="124">
        <v>2277</v>
      </c>
      <c r="D43" s="124">
        <v>3</v>
      </c>
      <c r="E43" s="124">
        <v>98</v>
      </c>
      <c r="F43" s="126">
        <f t="shared" si="0"/>
        <v>44</v>
      </c>
      <c r="G43" s="149">
        <v>559</v>
      </c>
      <c r="H43" s="124">
        <v>116</v>
      </c>
      <c r="I43" s="124">
        <v>1612</v>
      </c>
      <c r="J43" s="1">
        <v>22805</v>
      </c>
      <c r="K43" s="14">
        <v>479</v>
      </c>
      <c r="L43" s="14">
        <v>17245</v>
      </c>
      <c r="M43" s="1">
        <v>17724</v>
      </c>
      <c r="N43" s="1">
        <v>830</v>
      </c>
      <c r="O43" s="1">
        <v>790</v>
      </c>
      <c r="P43" s="1">
        <v>354</v>
      </c>
      <c r="Q43" s="12">
        <f t="shared" si="4"/>
        <v>303</v>
      </c>
      <c r="R43" s="20">
        <f t="shared" si="1"/>
        <v>44</v>
      </c>
      <c r="S43" s="35">
        <f t="shared" si="2"/>
        <v>7.160493827160494E-2</v>
      </c>
      <c r="T43" s="28">
        <f t="shared" si="3"/>
        <v>4.3039086517347384E-2</v>
      </c>
    </row>
    <row r="44" spans="1:20" x14ac:dyDescent="0.25">
      <c r="A44" s="2">
        <v>43935</v>
      </c>
      <c r="B44" s="124">
        <v>166</v>
      </c>
      <c r="C44" s="124">
        <v>2443</v>
      </c>
      <c r="D44" s="124">
        <v>7</v>
      </c>
      <c r="E44" s="124">
        <v>105</v>
      </c>
      <c r="F44" s="126">
        <f t="shared" si="0"/>
        <v>37</v>
      </c>
      <c r="G44" s="149">
        <v>596</v>
      </c>
      <c r="H44" s="124">
        <v>117</v>
      </c>
      <c r="I44" s="124">
        <v>1569</v>
      </c>
      <c r="J44" s="1">
        <v>24374</v>
      </c>
      <c r="K44" s="14">
        <v>486</v>
      </c>
      <c r="L44" s="14">
        <v>18415</v>
      </c>
      <c r="M44" s="1">
        <v>18901</v>
      </c>
      <c r="N44" s="1">
        <v>833</v>
      </c>
      <c r="O44" s="1">
        <v>857</v>
      </c>
      <c r="P44" s="1">
        <v>393</v>
      </c>
      <c r="Q44" s="12">
        <f t="shared" si="4"/>
        <v>360</v>
      </c>
      <c r="R44" s="20">
        <f t="shared" si="1"/>
        <v>37</v>
      </c>
      <c r="S44" s="35">
        <f t="shared" si="2"/>
        <v>6.7164179104477612E-2</v>
      </c>
      <c r="T44" s="28">
        <f t="shared" si="3"/>
        <v>4.2979942693409739E-2</v>
      </c>
    </row>
    <row r="45" spans="1:20" x14ac:dyDescent="0.25">
      <c r="A45" s="2">
        <v>43936</v>
      </c>
      <c r="B45" s="124">
        <v>128</v>
      </c>
      <c r="C45" s="124">
        <v>2571</v>
      </c>
      <c r="D45" s="124">
        <v>7</v>
      </c>
      <c r="E45" s="124">
        <v>112</v>
      </c>
      <c r="F45" s="126">
        <f t="shared" si="0"/>
        <v>35</v>
      </c>
      <c r="G45" s="149">
        <v>631</v>
      </c>
      <c r="H45" s="124">
        <v>121</v>
      </c>
      <c r="I45" s="124">
        <v>2083</v>
      </c>
      <c r="J45" s="1">
        <v>26457</v>
      </c>
      <c r="K45" s="14">
        <v>497</v>
      </c>
      <c r="L45" s="14">
        <v>20148</v>
      </c>
      <c r="M45" s="1">
        <v>20645</v>
      </c>
      <c r="N45" s="1">
        <v>840</v>
      </c>
      <c r="O45" s="1">
        <v>903</v>
      </c>
      <c r="P45" s="1">
        <v>425</v>
      </c>
      <c r="Q45" s="12">
        <f t="shared" si="4"/>
        <v>403</v>
      </c>
      <c r="R45" s="20">
        <f t="shared" si="1"/>
        <v>35</v>
      </c>
      <c r="S45" s="35">
        <f t="shared" si="2"/>
        <v>6.6192560175054704E-2</v>
      </c>
      <c r="T45" s="28">
        <f t="shared" si="3"/>
        <v>4.3562816024893036E-2</v>
      </c>
    </row>
    <row r="46" spans="1:20" x14ac:dyDescent="0.25">
      <c r="A46" s="2">
        <v>43937</v>
      </c>
      <c r="B46" s="124">
        <v>98</v>
      </c>
      <c r="C46" s="124">
        <v>2669</v>
      </c>
      <c r="D46" s="124">
        <v>10</v>
      </c>
      <c r="E46" s="124">
        <v>122</v>
      </c>
      <c r="F46" s="126">
        <f t="shared" si="0"/>
        <v>35</v>
      </c>
      <c r="G46" s="149">
        <v>666</v>
      </c>
      <c r="H46" s="124">
        <v>126</v>
      </c>
      <c r="I46" s="124">
        <v>2193</v>
      </c>
      <c r="J46" s="1">
        <v>28650</v>
      </c>
      <c r="K46" s="14">
        <v>508</v>
      </c>
      <c r="L46" s="14">
        <v>21802</v>
      </c>
      <c r="M46" s="1">
        <v>22310</v>
      </c>
      <c r="N46" s="1">
        <v>845</v>
      </c>
      <c r="O46" s="1">
        <v>951</v>
      </c>
      <c r="P46" s="1">
        <v>448</v>
      </c>
      <c r="Q46" s="12">
        <f t="shared" si="4"/>
        <v>425</v>
      </c>
      <c r="R46" s="20">
        <f t="shared" si="1"/>
        <v>35</v>
      </c>
      <c r="S46" s="35">
        <f t="shared" si="2"/>
        <v>6.6985645933014357E-2</v>
      </c>
      <c r="T46" s="28">
        <f t="shared" si="3"/>
        <v>4.5710003746721621E-2</v>
      </c>
    </row>
    <row r="47" spans="1:20" x14ac:dyDescent="0.25">
      <c r="A47" s="2">
        <v>43938</v>
      </c>
      <c r="B47" s="124">
        <v>89</v>
      </c>
      <c r="C47" s="124">
        <v>2758</v>
      </c>
      <c r="D47" s="124">
        <v>7</v>
      </c>
      <c r="E47" s="124">
        <v>129</v>
      </c>
      <c r="F47" s="126">
        <f t="shared" si="0"/>
        <v>19</v>
      </c>
      <c r="G47" s="149">
        <v>685</v>
      </c>
      <c r="H47" s="124">
        <v>127</v>
      </c>
      <c r="I47" s="124">
        <v>2292</v>
      </c>
      <c r="J47" s="1">
        <v>30942</v>
      </c>
      <c r="K47" s="14">
        <v>505</v>
      </c>
      <c r="L47" s="14">
        <v>23291</v>
      </c>
      <c r="M47" s="1">
        <v>23796</v>
      </c>
      <c r="N47" s="1">
        <v>851</v>
      </c>
      <c r="O47" s="1">
        <v>997</v>
      </c>
      <c r="P47" s="1">
        <v>474</v>
      </c>
      <c r="Q47" s="12">
        <f t="shared" si="4"/>
        <v>436</v>
      </c>
      <c r="R47" s="20">
        <f t="shared" si="1"/>
        <v>19</v>
      </c>
      <c r="S47" s="35">
        <f t="shared" si="2"/>
        <v>6.5329218106995879E-2</v>
      </c>
      <c r="T47" s="28">
        <f t="shared" si="3"/>
        <v>4.6773023930384336E-2</v>
      </c>
    </row>
    <row r="48" spans="1:20" x14ac:dyDescent="0.25">
      <c r="A48" s="2">
        <v>43939</v>
      </c>
      <c r="B48" s="124">
        <v>81</v>
      </c>
      <c r="C48" s="124">
        <v>2839</v>
      </c>
      <c r="D48" s="124">
        <v>3</v>
      </c>
      <c r="E48" s="124">
        <v>132</v>
      </c>
      <c r="F48" s="126">
        <f t="shared" si="0"/>
        <v>24</v>
      </c>
      <c r="G48" s="149">
        <v>709</v>
      </c>
      <c r="H48" s="124">
        <v>123</v>
      </c>
      <c r="I48" s="124">
        <v>1770</v>
      </c>
      <c r="J48" s="1">
        <v>32712</v>
      </c>
      <c r="K48" s="14">
        <v>503</v>
      </c>
      <c r="L48" s="14">
        <v>24756</v>
      </c>
      <c r="M48" s="1">
        <v>25259</v>
      </c>
      <c r="N48" s="1">
        <v>856</v>
      </c>
      <c r="O48" s="1">
        <v>1184</v>
      </c>
      <c r="P48" s="1">
        <v>496</v>
      </c>
      <c r="Q48" s="12">
        <f t="shared" si="4"/>
        <v>303</v>
      </c>
      <c r="R48" s="20">
        <f t="shared" si="1"/>
        <v>24</v>
      </c>
      <c r="S48" s="35">
        <f t="shared" si="2"/>
        <v>6.1561561561561562E-2</v>
      </c>
      <c r="T48" s="28">
        <f t="shared" si="3"/>
        <v>4.6495244804508631E-2</v>
      </c>
    </row>
    <row r="49" spans="1:21" x14ac:dyDescent="0.25">
      <c r="A49" s="2">
        <v>43940</v>
      </c>
      <c r="B49" s="124">
        <v>102</v>
      </c>
      <c r="C49" s="124">
        <v>2941</v>
      </c>
      <c r="D49" s="124">
        <v>2</v>
      </c>
      <c r="E49" s="124">
        <v>134</v>
      </c>
      <c r="F49" s="126">
        <f t="shared" si="0"/>
        <v>28</v>
      </c>
      <c r="G49" s="149">
        <v>737</v>
      </c>
      <c r="H49" s="124">
        <v>126</v>
      </c>
      <c r="I49" s="124">
        <v>1856</v>
      </c>
      <c r="J49" s="1">
        <v>34568</v>
      </c>
      <c r="K49" s="14">
        <v>536</v>
      </c>
      <c r="L49" s="14">
        <v>26122</v>
      </c>
      <c r="M49" s="1">
        <v>26658</v>
      </c>
      <c r="N49" s="1">
        <v>858</v>
      </c>
      <c r="O49" s="1">
        <v>1235</v>
      </c>
      <c r="P49" s="1">
        <v>538</v>
      </c>
      <c r="Q49" s="12">
        <f t="shared" si="4"/>
        <v>310</v>
      </c>
      <c r="R49" s="20">
        <f t="shared" si="1"/>
        <v>28</v>
      </c>
      <c r="S49" s="35">
        <f t="shared" si="2"/>
        <v>6.0869565217391307E-2</v>
      </c>
      <c r="T49" s="28">
        <f t="shared" si="3"/>
        <v>4.5562733764025844E-2</v>
      </c>
    </row>
    <row r="50" spans="1:21" x14ac:dyDescent="0.25">
      <c r="A50" s="2">
        <v>43941</v>
      </c>
      <c r="B50" s="124">
        <v>90</v>
      </c>
      <c r="C50" s="124">
        <v>3031</v>
      </c>
      <c r="D50" s="124">
        <v>8</v>
      </c>
      <c r="E50" s="124">
        <v>142</v>
      </c>
      <c r="F50" s="126">
        <f t="shared" si="0"/>
        <v>103</v>
      </c>
      <c r="G50" s="149">
        <v>840</v>
      </c>
      <c r="H50" s="124">
        <v>129</v>
      </c>
      <c r="I50" s="124">
        <v>2043</v>
      </c>
      <c r="J50" s="1">
        <v>36611</v>
      </c>
      <c r="K50" s="14">
        <v>566</v>
      </c>
      <c r="L50" s="14">
        <v>27732</v>
      </c>
      <c r="M50" s="1">
        <v>28298</v>
      </c>
      <c r="N50" s="1">
        <v>863</v>
      </c>
      <c r="O50" s="1">
        <v>1293</v>
      </c>
      <c r="P50" s="1">
        <v>576</v>
      </c>
      <c r="Q50" s="12">
        <f t="shared" si="4"/>
        <v>299</v>
      </c>
      <c r="R50" s="20">
        <f t="shared" si="1"/>
        <v>103</v>
      </c>
      <c r="S50" s="35">
        <f t="shared" si="2"/>
        <v>6.2957540263543194E-2</v>
      </c>
      <c r="T50" s="28">
        <f t="shared" si="3"/>
        <v>4.6849224678323982E-2</v>
      </c>
    </row>
    <row r="51" spans="1:21" x14ac:dyDescent="0.25">
      <c r="A51" s="2">
        <v>43942</v>
      </c>
      <c r="B51" s="124">
        <v>113</v>
      </c>
      <c r="C51" s="124">
        <v>3144</v>
      </c>
      <c r="D51" s="124">
        <v>9</v>
      </c>
      <c r="E51" s="124">
        <v>151</v>
      </c>
      <c r="F51" s="126">
        <f t="shared" si="0"/>
        <v>32</v>
      </c>
      <c r="G51" s="149">
        <v>872</v>
      </c>
      <c r="H51" s="124">
        <v>131</v>
      </c>
      <c r="I51" s="124">
        <v>2617</v>
      </c>
      <c r="J51" s="1">
        <v>39228</v>
      </c>
      <c r="K51" s="14">
        <v>533</v>
      </c>
      <c r="L51" s="14">
        <v>29829</v>
      </c>
      <c r="M51" s="1">
        <v>30362</v>
      </c>
      <c r="N51" s="1">
        <v>866</v>
      </c>
      <c r="O51" s="1">
        <v>1346</v>
      </c>
      <c r="P51" s="1">
        <v>618</v>
      </c>
      <c r="Q51" s="12">
        <f t="shared" si="4"/>
        <v>314</v>
      </c>
      <c r="R51" s="20">
        <f t="shared" si="1"/>
        <v>32</v>
      </c>
      <c r="S51" s="35">
        <f t="shared" si="2"/>
        <v>6.1763319189061763E-2</v>
      </c>
      <c r="T51" s="28">
        <f t="shared" si="3"/>
        <v>4.8027989821882951E-2</v>
      </c>
    </row>
    <row r="52" spans="1:21" x14ac:dyDescent="0.25">
      <c r="A52" s="2">
        <v>43943</v>
      </c>
      <c r="B52" s="124">
        <v>144</v>
      </c>
      <c r="C52" s="124">
        <v>3288</v>
      </c>
      <c r="D52" s="124">
        <v>8</v>
      </c>
      <c r="E52" s="124">
        <v>159</v>
      </c>
      <c r="F52" s="126">
        <f t="shared" si="0"/>
        <v>47</v>
      </c>
      <c r="G52" s="149">
        <v>919</v>
      </c>
      <c r="H52" s="124">
        <v>136</v>
      </c>
      <c r="I52" s="124">
        <v>2558</v>
      </c>
      <c r="J52" s="1">
        <v>41786</v>
      </c>
      <c r="K52" s="14">
        <v>569</v>
      </c>
      <c r="L52" s="14">
        <v>31845</v>
      </c>
      <c r="M52" s="1">
        <v>32414</v>
      </c>
      <c r="N52" s="1">
        <v>870</v>
      </c>
      <c r="O52" s="1">
        <v>1408</v>
      </c>
      <c r="P52" s="1">
        <v>669</v>
      </c>
      <c r="Q52" s="12">
        <f t="shared" si="4"/>
        <v>341</v>
      </c>
      <c r="R52" s="20">
        <f t="shared" si="1"/>
        <v>47</v>
      </c>
      <c r="S52" s="35">
        <f t="shared" si="2"/>
        <v>6.1538461538461542E-2</v>
      </c>
      <c r="T52" s="28">
        <f t="shared" si="3"/>
        <v>4.8357664233576646E-2</v>
      </c>
    </row>
    <row r="53" spans="1:21" x14ac:dyDescent="0.25">
      <c r="A53" s="2">
        <v>43944</v>
      </c>
      <c r="B53" s="124">
        <v>147</v>
      </c>
      <c r="C53" s="124">
        <v>3435</v>
      </c>
      <c r="D53" s="124">
        <v>6</v>
      </c>
      <c r="E53" s="124">
        <v>165</v>
      </c>
      <c r="F53" s="126">
        <f t="shared" si="0"/>
        <v>57</v>
      </c>
      <c r="G53" s="149">
        <v>976</v>
      </c>
      <c r="H53" s="124">
        <v>141</v>
      </c>
      <c r="I53" s="124">
        <v>2868</v>
      </c>
      <c r="J53" s="1">
        <v>44654</v>
      </c>
      <c r="K53" s="14">
        <v>557</v>
      </c>
      <c r="L53" s="14">
        <v>33874</v>
      </c>
      <c r="M53" s="1">
        <v>34431</v>
      </c>
      <c r="N53" s="1">
        <v>875</v>
      </c>
      <c r="O53" s="1">
        <v>1490</v>
      </c>
      <c r="P53" s="1">
        <v>722</v>
      </c>
      <c r="Q53" s="12">
        <f t="shared" si="4"/>
        <v>348</v>
      </c>
      <c r="R53" s="20">
        <f t="shared" si="1"/>
        <v>57</v>
      </c>
      <c r="S53" s="35">
        <f t="shared" si="2"/>
        <v>6.1464690496948561E-2</v>
      </c>
      <c r="T53" s="28">
        <f t="shared" si="3"/>
        <v>4.8034934497816595E-2</v>
      </c>
    </row>
    <row r="54" spans="1:21" x14ac:dyDescent="0.25">
      <c r="A54" s="2">
        <v>43945</v>
      </c>
      <c r="B54" s="124">
        <v>172</v>
      </c>
      <c r="C54" s="124">
        <v>3607</v>
      </c>
      <c r="D54" s="124">
        <v>11</v>
      </c>
      <c r="E54" s="124">
        <v>176</v>
      </c>
      <c r="F54" s="126">
        <f t="shared" si="0"/>
        <v>54</v>
      </c>
      <c r="G54" s="149">
        <v>1030</v>
      </c>
      <c r="H54" s="124">
        <v>144</v>
      </c>
      <c r="I54" s="124">
        <v>2752</v>
      </c>
      <c r="J54" s="1">
        <v>47406</v>
      </c>
      <c r="K54" s="14">
        <v>543</v>
      </c>
      <c r="L54" s="14">
        <v>36067</v>
      </c>
      <c r="M54" s="1">
        <v>36610</v>
      </c>
      <c r="N54" s="1">
        <v>887</v>
      </c>
      <c r="O54" s="1">
        <v>1562</v>
      </c>
      <c r="P54" s="1">
        <v>755</v>
      </c>
      <c r="Q54" s="12">
        <f t="shared" si="4"/>
        <v>403</v>
      </c>
      <c r="R54" s="20">
        <f t="shared" si="1"/>
        <v>54</v>
      </c>
      <c r="S54" s="35">
        <f t="shared" si="2"/>
        <v>5.9975010412328195E-2</v>
      </c>
      <c r="T54" s="28">
        <f t="shared" si="3"/>
        <v>4.8794011644025505E-2</v>
      </c>
      <c r="U54" s="68"/>
    </row>
    <row r="55" spans="1:21" x14ac:dyDescent="0.25">
      <c r="A55" s="2">
        <v>43946</v>
      </c>
      <c r="B55" s="124">
        <v>173</v>
      </c>
      <c r="C55" s="124">
        <v>3780</v>
      </c>
      <c r="D55" s="124">
        <v>9</v>
      </c>
      <c r="E55" s="124">
        <v>185</v>
      </c>
      <c r="F55" s="126">
        <f t="shared" si="0"/>
        <v>77</v>
      </c>
      <c r="G55" s="149">
        <v>1107</v>
      </c>
      <c r="H55" s="124">
        <v>139</v>
      </c>
      <c r="I55" s="124">
        <v>2499</v>
      </c>
      <c r="J55" s="1">
        <v>49905</v>
      </c>
      <c r="K55" s="14">
        <v>561</v>
      </c>
      <c r="L55" s="14">
        <v>37654</v>
      </c>
      <c r="M55" s="1">
        <v>38215</v>
      </c>
      <c r="N55" s="1">
        <v>888</v>
      </c>
      <c r="O55" s="1">
        <v>1641</v>
      </c>
      <c r="P55" s="1">
        <v>797</v>
      </c>
      <c r="Q55" s="12">
        <f t="shared" si="4"/>
        <v>454</v>
      </c>
      <c r="R55" s="20">
        <f t="shared" si="1"/>
        <v>77</v>
      </c>
      <c r="S55" s="35">
        <f t="shared" si="2"/>
        <v>5.5868167202572344E-2</v>
      </c>
      <c r="T55" s="28">
        <f t="shared" si="3"/>
        <v>4.8941798941798939E-2</v>
      </c>
      <c r="U55" s="68"/>
    </row>
    <row r="56" spans="1:21" x14ac:dyDescent="0.25">
      <c r="A56" s="2">
        <v>43947</v>
      </c>
      <c r="B56" s="124">
        <v>112</v>
      </c>
      <c r="C56" s="124">
        <v>3892</v>
      </c>
      <c r="D56" s="124">
        <v>7</v>
      </c>
      <c r="E56" s="124">
        <v>192</v>
      </c>
      <c r="F56" s="126">
        <f t="shared" si="0"/>
        <v>33</v>
      </c>
      <c r="G56" s="149">
        <v>1140</v>
      </c>
      <c r="H56" s="124">
        <v>151</v>
      </c>
      <c r="I56" s="124">
        <v>1995</v>
      </c>
      <c r="J56" s="1">
        <v>51900</v>
      </c>
      <c r="K56" s="14">
        <v>570</v>
      </c>
      <c r="L56" s="14">
        <v>39420</v>
      </c>
      <c r="M56" s="1">
        <v>39990</v>
      </c>
      <c r="N56" s="1">
        <v>900</v>
      </c>
      <c r="O56" s="1">
        <v>1684</v>
      </c>
      <c r="P56" s="1">
        <v>829</v>
      </c>
      <c r="Q56" s="12">
        <f t="shared" si="4"/>
        <v>479</v>
      </c>
      <c r="R56" s="20">
        <f t="shared" si="1"/>
        <v>33</v>
      </c>
      <c r="S56" s="35">
        <f t="shared" si="2"/>
        <v>5.8984374999999999E-2</v>
      </c>
      <c r="T56" s="28">
        <f t="shared" si="3"/>
        <v>4.9331963001027747E-2</v>
      </c>
      <c r="U56" s="68"/>
    </row>
    <row r="57" spans="1:21" x14ac:dyDescent="0.25">
      <c r="A57" s="2">
        <v>43948</v>
      </c>
      <c r="B57" s="124">
        <v>111</v>
      </c>
      <c r="C57" s="124">
        <v>4003</v>
      </c>
      <c r="D57" s="124">
        <v>5</v>
      </c>
      <c r="E57" s="124">
        <v>197</v>
      </c>
      <c r="F57" s="126">
        <f t="shared" si="0"/>
        <v>22</v>
      </c>
      <c r="G57" s="149">
        <v>1162</v>
      </c>
      <c r="H57" s="124">
        <v>155</v>
      </c>
      <c r="I57" s="124">
        <v>1700</v>
      </c>
      <c r="J57" s="1">
        <v>53600</v>
      </c>
      <c r="K57" s="14">
        <v>600</v>
      </c>
      <c r="L57" s="14">
        <v>40959</v>
      </c>
      <c r="M57" s="1">
        <v>41559</v>
      </c>
      <c r="N57" s="1">
        <v>905</v>
      </c>
      <c r="O57" s="1">
        <v>1725</v>
      </c>
      <c r="P57" s="1">
        <v>897</v>
      </c>
      <c r="Q57" s="12">
        <f t="shared" si="4"/>
        <v>476</v>
      </c>
      <c r="R57" s="20">
        <f t="shared" si="1"/>
        <v>22</v>
      </c>
      <c r="S57" s="35">
        <f t="shared" si="2"/>
        <v>5.8623298033282902E-2</v>
      </c>
      <c r="T57" s="28">
        <f t="shared" si="3"/>
        <v>4.921309018236323E-2</v>
      </c>
      <c r="U57" s="68"/>
    </row>
    <row r="58" spans="1:21" x14ac:dyDescent="0.25">
      <c r="A58" s="2">
        <v>43949</v>
      </c>
      <c r="B58" s="124">
        <v>124</v>
      </c>
      <c r="C58" s="124">
        <v>4127</v>
      </c>
      <c r="D58" s="124">
        <v>10</v>
      </c>
      <c r="E58" s="124">
        <v>207</v>
      </c>
      <c r="F58" s="126">
        <f t="shared" si="0"/>
        <v>30</v>
      </c>
      <c r="G58" s="149">
        <v>1192</v>
      </c>
      <c r="H58" s="124">
        <v>154</v>
      </c>
      <c r="I58" s="124">
        <v>2458</v>
      </c>
      <c r="J58" s="1">
        <v>56058</v>
      </c>
      <c r="K58" s="14">
        <v>612</v>
      </c>
      <c r="L58" s="14">
        <v>42710</v>
      </c>
      <c r="M58" s="1">
        <v>43322</v>
      </c>
      <c r="N58" s="1">
        <v>909</v>
      </c>
      <c r="O58" s="1">
        <v>1766</v>
      </c>
      <c r="P58" s="1">
        <v>984</v>
      </c>
      <c r="Q58" s="12">
        <f t="shared" si="4"/>
        <v>468</v>
      </c>
      <c r="R58" s="20">
        <f t="shared" si="1"/>
        <v>30</v>
      </c>
      <c r="S58" s="35">
        <f t="shared" si="2"/>
        <v>5.6451612903225805E-2</v>
      </c>
      <c r="T58" s="28">
        <f t="shared" si="3"/>
        <v>5.0157499394233099E-2</v>
      </c>
      <c r="U58" s="68"/>
    </row>
    <row r="59" spans="1:21" x14ac:dyDescent="0.25">
      <c r="A59" s="2">
        <v>43950</v>
      </c>
      <c r="B59" s="124">
        <v>158</v>
      </c>
      <c r="C59" s="124">
        <v>4285</v>
      </c>
      <c r="D59" s="124">
        <v>7</v>
      </c>
      <c r="E59" s="124">
        <v>214</v>
      </c>
      <c r="F59" s="126">
        <f t="shared" si="0"/>
        <v>64</v>
      </c>
      <c r="G59" s="149">
        <v>1256</v>
      </c>
      <c r="H59" s="124">
        <v>157</v>
      </c>
      <c r="I59" s="124">
        <v>2627</v>
      </c>
      <c r="J59" s="1">
        <v>58685</v>
      </c>
      <c r="K59" s="14">
        <v>618</v>
      </c>
      <c r="L59" s="14">
        <v>44828</v>
      </c>
      <c r="M59" s="1">
        <v>45446</v>
      </c>
      <c r="N59" s="1">
        <v>912</v>
      </c>
      <c r="O59" s="1">
        <v>1835</v>
      </c>
      <c r="P59" s="1">
        <v>1041</v>
      </c>
      <c r="Q59" s="12">
        <f t="shared" si="4"/>
        <v>497</v>
      </c>
      <c r="R59" s="20">
        <f t="shared" si="1"/>
        <v>64</v>
      </c>
      <c r="S59" s="35">
        <f t="shared" si="2"/>
        <v>5.5772646536412077E-2</v>
      </c>
      <c r="T59" s="28">
        <f t="shared" si="3"/>
        <v>4.9941656942823806E-2</v>
      </c>
      <c r="U59" s="68"/>
    </row>
    <row r="60" spans="1:21" x14ac:dyDescent="0.25">
      <c r="A60" s="2">
        <v>43951</v>
      </c>
      <c r="B60" s="124">
        <v>143</v>
      </c>
      <c r="C60" s="124">
        <v>4428</v>
      </c>
      <c r="D60" s="124">
        <v>4</v>
      </c>
      <c r="E60" s="124">
        <v>218</v>
      </c>
      <c r="F60" s="126">
        <f t="shared" si="0"/>
        <v>36</v>
      </c>
      <c r="G60" s="149">
        <v>1292</v>
      </c>
      <c r="H60" s="124">
        <v>157</v>
      </c>
      <c r="I60" s="124">
        <v>2845</v>
      </c>
      <c r="J60" s="1">
        <v>61530</v>
      </c>
      <c r="K60" s="14">
        <v>638</v>
      </c>
      <c r="L60" s="14">
        <v>46829</v>
      </c>
      <c r="M60" s="1">
        <v>47467</v>
      </c>
      <c r="N60" s="1">
        <v>915</v>
      </c>
      <c r="O60" s="1">
        <v>1904</v>
      </c>
      <c r="P60" s="1">
        <v>1149</v>
      </c>
      <c r="Q60" s="12">
        <f t="shared" si="4"/>
        <v>460</v>
      </c>
      <c r="R60" s="20">
        <f t="shared" si="1"/>
        <v>36</v>
      </c>
      <c r="S60" s="35">
        <f t="shared" si="2"/>
        <v>5.3803975325565453E-2</v>
      </c>
      <c r="T60" s="28">
        <f t="shared" si="3"/>
        <v>4.9232158988256551E-2</v>
      </c>
      <c r="U60" s="68"/>
    </row>
    <row r="61" spans="1:21" x14ac:dyDescent="0.25">
      <c r="A61" s="2">
        <v>43952</v>
      </c>
      <c r="B61" s="124">
        <v>105</v>
      </c>
      <c r="C61" s="124">
        <v>4532</v>
      </c>
      <c r="D61" s="124">
        <v>7</v>
      </c>
      <c r="E61" s="124">
        <v>225</v>
      </c>
      <c r="F61" s="126">
        <f t="shared" si="0"/>
        <v>28</v>
      </c>
      <c r="G61" s="149">
        <v>1320</v>
      </c>
      <c r="H61" s="124">
        <v>164</v>
      </c>
      <c r="I61" s="124">
        <v>2336</v>
      </c>
      <c r="J61" s="1">
        <v>63866</v>
      </c>
      <c r="K61" s="14">
        <v>656</v>
      </c>
      <c r="L61" s="14">
        <v>48591</v>
      </c>
      <c r="M61" s="1">
        <v>49247</v>
      </c>
      <c r="N61" s="1">
        <v>916</v>
      </c>
      <c r="O61" s="1">
        <v>1949</v>
      </c>
      <c r="P61" s="1">
        <v>1224</v>
      </c>
      <c r="Q61" s="12">
        <f t="shared" si="4"/>
        <v>443</v>
      </c>
      <c r="R61" s="20">
        <f t="shared" si="1"/>
        <v>28</v>
      </c>
      <c r="S61" s="35">
        <f t="shared" si="2"/>
        <v>5.4904586541680615E-2</v>
      </c>
      <c r="T61" s="28">
        <f t="shared" si="3"/>
        <v>4.9646954986760812E-2</v>
      </c>
      <c r="U61" s="68"/>
    </row>
    <row r="62" spans="1:21" x14ac:dyDescent="0.25">
      <c r="A62" s="2">
        <v>43953</v>
      </c>
      <c r="B62" s="124">
        <v>149</v>
      </c>
      <c r="C62" s="124">
        <v>4681</v>
      </c>
      <c r="D62" s="124">
        <v>12</v>
      </c>
      <c r="E62" s="124">
        <v>237</v>
      </c>
      <c r="F62" s="126">
        <f t="shared" si="0"/>
        <v>34</v>
      </c>
      <c r="G62" s="149">
        <v>1354</v>
      </c>
      <c r="H62" s="124">
        <v>164</v>
      </c>
      <c r="I62" s="124">
        <v>1947</v>
      </c>
      <c r="J62" s="1">
        <v>65813</v>
      </c>
      <c r="K62" s="14">
        <v>681</v>
      </c>
      <c r="L62" s="14">
        <v>50098</v>
      </c>
      <c r="M62" s="1">
        <v>50779</v>
      </c>
      <c r="N62" s="1">
        <v>917</v>
      </c>
      <c r="O62" s="1">
        <v>2012</v>
      </c>
      <c r="P62" s="1">
        <v>1267</v>
      </c>
      <c r="Q62" s="12">
        <f t="shared" si="4"/>
        <v>485</v>
      </c>
      <c r="R62" s="20">
        <f t="shared" si="1"/>
        <v>34</v>
      </c>
      <c r="S62" s="35">
        <f t="shared" si="2"/>
        <v>5.307443365695793E-2</v>
      </c>
      <c r="T62" s="28">
        <f t="shared" si="3"/>
        <v>5.0630207220679339E-2</v>
      </c>
      <c r="U62" s="68"/>
    </row>
    <row r="63" spans="1:21" x14ac:dyDescent="0.25">
      <c r="A63" s="2">
        <v>43954</v>
      </c>
      <c r="B63" s="124">
        <v>103</v>
      </c>
      <c r="C63" s="124">
        <v>4784</v>
      </c>
      <c r="D63" s="124">
        <v>9</v>
      </c>
      <c r="E63" s="124">
        <v>246</v>
      </c>
      <c r="F63" s="126">
        <f t="shared" si="0"/>
        <v>88</v>
      </c>
      <c r="G63" s="149">
        <v>1442</v>
      </c>
      <c r="H63" s="124">
        <v>146</v>
      </c>
      <c r="I63" s="124">
        <v>1497</v>
      </c>
      <c r="J63" s="1">
        <v>67920</v>
      </c>
      <c r="K63" s="14">
        <v>674</v>
      </c>
      <c r="L63" s="14">
        <v>51590</v>
      </c>
      <c r="M63" s="1">
        <v>52264</v>
      </c>
      <c r="N63" s="1">
        <v>920</v>
      </c>
      <c r="O63" s="1">
        <v>2076</v>
      </c>
      <c r="P63" s="1">
        <v>1314</v>
      </c>
      <c r="Q63" s="12">
        <f t="shared" si="4"/>
        <v>474</v>
      </c>
      <c r="R63" s="20">
        <f t="shared" si="1"/>
        <v>88</v>
      </c>
      <c r="S63" s="35">
        <f t="shared" si="2"/>
        <v>4.7157622739018086E-2</v>
      </c>
      <c r="T63" s="28">
        <f t="shared" si="3"/>
        <v>5.1421404682274248E-2</v>
      </c>
      <c r="U63" s="68"/>
    </row>
    <row r="64" spans="1:21" x14ac:dyDescent="0.25">
      <c r="A64" s="2">
        <v>43955</v>
      </c>
      <c r="B64" s="124">
        <v>104</v>
      </c>
      <c r="C64" s="124">
        <v>4887</v>
      </c>
      <c r="D64" s="124">
        <v>14</v>
      </c>
      <c r="E64" s="124">
        <v>260</v>
      </c>
      <c r="F64" s="126">
        <f t="shared" si="0"/>
        <v>30</v>
      </c>
      <c r="G64" s="149">
        <v>1472</v>
      </c>
      <c r="H64" s="124">
        <v>148</v>
      </c>
      <c r="I64" s="124">
        <v>1798</v>
      </c>
      <c r="J64" s="1">
        <v>69718</v>
      </c>
      <c r="K64" s="14">
        <v>692</v>
      </c>
      <c r="L64" s="14">
        <v>53203</v>
      </c>
      <c r="M64" s="1">
        <v>53895</v>
      </c>
      <c r="N64" s="1">
        <v>924</v>
      </c>
      <c r="O64" s="1">
        <v>2136</v>
      </c>
      <c r="P64" s="1">
        <v>1378</v>
      </c>
      <c r="Q64" s="12">
        <f t="shared" si="4"/>
        <v>449</v>
      </c>
      <c r="R64" s="20">
        <f t="shared" si="1"/>
        <v>30</v>
      </c>
      <c r="S64" s="35">
        <f t="shared" si="2"/>
        <v>4.6909667194928686E-2</v>
      </c>
      <c r="T64" s="28">
        <f t="shared" si="3"/>
        <v>5.3202373644362595E-2</v>
      </c>
      <c r="U64" s="68"/>
    </row>
    <row r="65" spans="1:21" x14ac:dyDescent="0.25">
      <c r="A65" s="2">
        <v>43956</v>
      </c>
      <c r="B65" s="124">
        <v>134</v>
      </c>
      <c r="C65" s="124">
        <v>5020</v>
      </c>
      <c r="D65" s="124">
        <v>4</v>
      </c>
      <c r="E65" s="124">
        <v>264</v>
      </c>
      <c r="F65" s="126">
        <f t="shared" si="0"/>
        <v>52</v>
      </c>
      <c r="G65" s="149">
        <v>1524</v>
      </c>
      <c r="H65" s="124">
        <v>143</v>
      </c>
      <c r="I65" s="124">
        <v>2597</v>
      </c>
      <c r="J65" s="1">
        <v>72315</v>
      </c>
      <c r="K65" s="14">
        <v>666</v>
      </c>
      <c r="L65" s="14">
        <v>55227</v>
      </c>
      <c r="M65" s="1">
        <v>55893</v>
      </c>
      <c r="N65" s="1">
        <v>929</v>
      </c>
      <c r="O65" s="1">
        <v>2204</v>
      </c>
      <c r="P65" s="1">
        <v>1446</v>
      </c>
      <c r="Q65" s="12">
        <f t="shared" si="4"/>
        <v>441</v>
      </c>
      <c r="R65" s="20">
        <f t="shared" si="1"/>
        <v>52</v>
      </c>
      <c r="S65" s="35">
        <f t="shared" si="2"/>
        <v>4.4245049504950493E-2</v>
      </c>
      <c r="T65" s="28">
        <f t="shared" si="3"/>
        <v>5.2589641434262951E-2</v>
      </c>
      <c r="U65" s="68"/>
    </row>
    <row r="66" spans="1:21" x14ac:dyDescent="0.25">
      <c r="A66" s="2">
        <v>43957</v>
      </c>
      <c r="B66" s="124">
        <v>188</v>
      </c>
      <c r="C66" s="124">
        <v>5208</v>
      </c>
      <c r="D66" s="124">
        <v>9</v>
      </c>
      <c r="E66" s="124">
        <v>273</v>
      </c>
      <c r="F66" s="126">
        <f t="shared" si="0"/>
        <v>77</v>
      </c>
      <c r="G66" s="149">
        <v>1601</v>
      </c>
      <c r="H66" s="124">
        <v>151</v>
      </c>
      <c r="I66" s="124">
        <v>2883</v>
      </c>
      <c r="J66" s="1">
        <v>75198</v>
      </c>
      <c r="K66" s="14">
        <v>652</v>
      </c>
      <c r="L66" s="14">
        <v>57176</v>
      </c>
      <c r="M66" s="1">
        <v>57828</v>
      </c>
      <c r="N66" s="1">
        <v>927</v>
      </c>
      <c r="O66" s="1">
        <v>2292</v>
      </c>
      <c r="P66" s="1">
        <v>1510</v>
      </c>
      <c r="Q66" s="12">
        <f t="shared" si="4"/>
        <v>479</v>
      </c>
      <c r="R66" s="20">
        <f t="shared" si="1"/>
        <v>77</v>
      </c>
      <c r="S66" s="35">
        <f t="shared" si="2"/>
        <v>4.5290941811637675E-2</v>
      </c>
      <c r="T66" s="28">
        <f t="shared" si="3"/>
        <v>5.2419354838709679E-2</v>
      </c>
      <c r="U66" s="68"/>
    </row>
    <row r="67" spans="1:21" x14ac:dyDescent="0.25">
      <c r="A67" s="2">
        <v>43958</v>
      </c>
      <c r="B67" s="124">
        <v>163</v>
      </c>
      <c r="C67" s="124">
        <v>5371</v>
      </c>
      <c r="D67" s="124">
        <v>9</v>
      </c>
      <c r="E67" s="124">
        <v>282</v>
      </c>
      <c r="F67" s="126">
        <f t="shared" ref="F67:F130" si="5">G67-G66</f>
        <v>0</v>
      </c>
      <c r="G67" s="149">
        <v>1601</v>
      </c>
      <c r="H67" s="124">
        <v>151</v>
      </c>
      <c r="I67" s="124">
        <v>2703</v>
      </c>
      <c r="J67" s="1">
        <v>77901</v>
      </c>
      <c r="K67" s="14">
        <v>688</v>
      </c>
      <c r="L67" s="14">
        <v>59080</v>
      </c>
      <c r="M67" s="1">
        <v>59768</v>
      </c>
      <c r="N67" s="1">
        <v>929</v>
      </c>
      <c r="O67" s="1">
        <v>2374</v>
      </c>
      <c r="P67" s="1">
        <v>1595</v>
      </c>
      <c r="Q67" s="12">
        <f t="shared" si="4"/>
        <v>473</v>
      </c>
      <c r="R67" s="20">
        <f t="shared" si="1"/>
        <v>0</v>
      </c>
      <c r="S67" s="35">
        <f t="shared" si="2"/>
        <v>4.3291284403669722E-2</v>
      </c>
      <c r="T67" s="28">
        <f t="shared" si="3"/>
        <v>5.2504189164029047E-2</v>
      </c>
      <c r="U67" s="68"/>
    </row>
    <row r="68" spans="1:21" x14ac:dyDescent="0.25">
      <c r="A68" s="2">
        <v>43959</v>
      </c>
      <c r="B68" s="124">
        <v>240</v>
      </c>
      <c r="C68" s="124">
        <v>5611</v>
      </c>
      <c r="D68" s="124">
        <v>11</v>
      </c>
      <c r="E68" s="124">
        <v>293</v>
      </c>
      <c r="F68" s="126">
        <f t="shared" si="5"/>
        <v>127</v>
      </c>
      <c r="G68" s="149">
        <v>1728</v>
      </c>
      <c r="H68" s="124">
        <v>157</v>
      </c>
      <c r="I68" s="124">
        <v>2828</v>
      </c>
      <c r="J68" s="1">
        <v>80729</v>
      </c>
      <c r="K68" s="14">
        <v>678</v>
      </c>
      <c r="L68" s="14">
        <v>61025</v>
      </c>
      <c r="M68" s="1">
        <v>61703</v>
      </c>
      <c r="N68" s="1">
        <v>931</v>
      </c>
      <c r="O68" s="1">
        <v>2469</v>
      </c>
      <c r="P68" s="1">
        <v>1644</v>
      </c>
      <c r="Q68" s="12">
        <f t="shared" si="4"/>
        <v>567</v>
      </c>
      <c r="R68" s="20">
        <f t="shared" si="1"/>
        <v>127</v>
      </c>
      <c r="S68" s="35">
        <f t="shared" si="2"/>
        <v>4.3732590529247911E-2</v>
      </c>
      <c r="T68" s="28">
        <f t="shared" si="3"/>
        <v>5.2218855818927108E-2</v>
      </c>
      <c r="U68" s="68"/>
    </row>
    <row r="69" spans="1:21" x14ac:dyDescent="0.25">
      <c r="A69" s="2">
        <v>43960</v>
      </c>
      <c r="B69" s="124">
        <v>165</v>
      </c>
      <c r="C69" s="124">
        <v>5776</v>
      </c>
      <c r="D69" s="124">
        <v>7</v>
      </c>
      <c r="E69" s="124">
        <v>300</v>
      </c>
      <c r="F69" s="126">
        <f t="shared" si="5"/>
        <v>29</v>
      </c>
      <c r="G69" s="149">
        <v>1757</v>
      </c>
      <c r="H69" s="124">
        <v>160</v>
      </c>
      <c r="I69" s="124">
        <v>2289</v>
      </c>
      <c r="J69" s="1">
        <v>83018</v>
      </c>
      <c r="K69" s="14">
        <v>698</v>
      </c>
      <c r="L69" s="14">
        <v>62760</v>
      </c>
      <c r="M69" s="1">
        <v>63458</v>
      </c>
      <c r="N69" s="1">
        <v>930</v>
      </c>
      <c r="O69" s="1">
        <v>2530</v>
      </c>
      <c r="P69" s="1">
        <v>1703</v>
      </c>
      <c r="Q69" s="12">
        <f t="shared" si="4"/>
        <v>613</v>
      </c>
      <c r="R69" s="20">
        <f t="shared" si="1"/>
        <v>29</v>
      </c>
      <c r="S69" s="35">
        <f t="shared" si="2"/>
        <v>4.3022317827372952E-2</v>
      </c>
      <c r="T69" s="28">
        <f t="shared" si="3"/>
        <v>5.1939058171745149E-2</v>
      </c>
      <c r="U69" s="68"/>
    </row>
    <row r="70" spans="1:21" x14ac:dyDescent="0.25">
      <c r="A70" s="2">
        <v>43961</v>
      </c>
      <c r="B70" s="124">
        <v>258</v>
      </c>
      <c r="C70" s="124">
        <v>6034</v>
      </c>
      <c r="D70" s="124">
        <v>5</v>
      </c>
      <c r="E70" s="124">
        <v>305</v>
      </c>
      <c r="F70" s="126">
        <f t="shared" si="5"/>
        <v>80</v>
      </c>
      <c r="G70" s="149">
        <v>1837</v>
      </c>
      <c r="H70" s="124">
        <v>164</v>
      </c>
      <c r="I70" s="124">
        <v>2140</v>
      </c>
      <c r="J70" s="1">
        <v>85158</v>
      </c>
      <c r="K70" s="14">
        <v>713</v>
      </c>
      <c r="L70" s="14">
        <v>64104</v>
      </c>
      <c r="M70" s="1">
        <v>64817</v>
      </c>
      <c r="N70" s="1">
        <v>929</v>
      </c>
      <c r="O70" s="1">
        <v>2667</v>
      </c>
      <c r="P70" s="1">
        <v>1768</v>
      </c>
      <c r="Q70" s="12">
        <f t="shared" si="4"/>
        <v>670</v>
      </c>
      <c r="R70" s="20">
        <f t="shared" ref="R70:R133" si="6">G70-G69</f>
        <v>80</v>
      </c>
      <c r="S70" s="35">
        <f t="shared" si="2"/>
        <v>4.2137718396711203E-2</v>
      </c>
      <c r="T70" s="28">
        <f t="shared" si="3"/>
        <v>5.0546900894928734E-2</v>
      </c>
      <c r="U70" s="68"/>
    </row>
    <row r="71" spans="1:21" x14ac:dyDescent="0.25">
      <c r="A71" s="2">
        <v>43962</v>
      </c>
      <c r="B71" s="124">
        <v>244</v>
      </c>
      <c r="C71" s="124">
        <v>6278</v>
      </c>
      <c r="D71" s="124">
        <v>9</v>
      </c>
      <c r="E71" s="124">
        <v>314</v>
      </c>
      <c r="F71" s="126">
        <f t="shared" si="5"/>
        <v>25</v>
      </c>
      <c r="G71" s="149">
        <v>1862</v>
      </c>
      <c r="H71" s="124">
        <v>170</v>
      </c>
      <c r="I71" s="124">
        <v>2389</v>
      </c>
      <c r="J71" s="1">
        <v>87547</v>
      </c>
      <c r="K71" s="14">
        <v>733</v>
      </c>
      <c r="L71" s="14">
        <v>65976</v>
      </c>
      <c r="M71" s="1">
        <v>66709</v>
      </c>
      <c r="N71" s="1">
        <v>929</v>
      </c>
      <c r="O71" s="1">
        <v>2800</v>
      </c>
      <c r="P71" s="1">
        <v>1833</v>
      </c>
      <c r="Q71" s="12">
        <f t="shared" si="4"/>
        <v>716</v>
      </c>
      <c r="R71" s="20">
        <f t="shared" si="6"/>
        <v>25</v>
      </c>
      <c r="S71" s="35">
        <f t="shared" si="2"/>
        <v>4.1443198439785472E-2</v>
      </c>
      <c r="T71" s="28">
        <f t="shared" si="3"/>
        <v>5.0015928639694167E-2</v>
      </c>
      <c r="U71" s="68"/>
    </row>
    <row r="72" spans="1:21" x14ac:dyDescent="0.25">
      <c r="A72" s="2">
        <v>43963</v>
      </c>
      <c r="B72" s="124">
        <v>285</v>
      </c>
      <c r="C72" s="124">
        <v>6563</v>
      </c>
      <c r="D72" s="124">
        <v>5</v>
      </c>
      <c r="E72" s="124">
        <v>319</v>
      </c>
      <c r="F72" s="126">
        <f t="shared" si="5"/>
        <v>404</v>
      </c>
      <c r="G72" s="149">
        <v>2266</v>
      </c>
      <c r="H72" s="124">
        <v>147</v>
      </c>
      <c r="I72" s="124">
        <v>2927</v>
      </c>
      <c r="J72" s="1">
        <v>90474</v>
      </c>
      <c r="K72" s="14">
        <v>689</v>
      </c>
      <c r="L72" s="14">
        <v>68237</v>
      </c>
      <c r="M72" s="1">
        <v>68926</v>
      </c>
      <c r="N72" s="1">
        <v>932</v>
      </c>
      <c r="O72" s="1">
        <v>2973</v>
      </c>
      <c r="P72" s="1">
        <v>1923</v>
      </c>
      <c r="Q72" s="12">
        <f t="shared" si="4"/>
        <v>735</v>
      </c>
      <c r="R72" s="20">
        <f t="shared" si="6"/>
        <v>404</v>
      </c>
      <c r="S72" s="35">
        <f t="shared" si="2"/>
        <v>3.6953242835595777E-2</v>
      </c>
      <c r="T72" s="28">
        <f t="shared" si="3"/>
        <v>4.8605820508913607E-2</v>
      </c>
      <c r="U72" s="68"/>
    </row>
    <row r="73" spans="1:21" x14ac:dyDescent="0.25">
      <c r="A73" s="2">
        <v>43964</v>
      </c>
      <c r="B73" s="124">
        <v>316</v>
      </c>
      <c r="C73" s="124">
        <v>6879</v>
      </c>
      <c r="D73" s="124">
        <v>10</v>
      </c>
      <c r="E73" s="124">
        <v>329</v>
      </c>
      <c r="F73" s="126">
        <f t="shared" si="5"/>
        <v>119</v>
      </c>
      <c r="G73" s="149">
        <v>2385</v>
      </c>
      <c r="H73" s="124">
        <v>147</v>
      </c>
      <c r="I73" s="124">
        <v>3199</v>
      </c>
      <c r="J73" s="1">
        <v>93673</v>
      </c>
      <c r="K73" s="14">
        <v>712</v>
      </c>
      <c r="L73" s="14">
        <v>70497</v>
      </c>
      <c r="M73" s="1">
        <v>71209</v>
      </c>
      <c r="N73" s="1">
        <v>936</v>
      </c>
      <c r="O73" s="1">
        <v>3109</v>
      </c>
      <c r="P73" s="1">
        <v>2036</v>
      </c>
      <c r="Q73" s="12">
        <f t="shared" si="4"/>
        <v>798</v>
      </c>
      <c r="R73" s="20">
        <f t="shared" si="6"/>
        <v>119</v>
      </c>
      <c r="S73" s="35">
        <f t="shared" si="2"/>
        <v>3.5294117647058823E-2</v>
      </c>
      <c r="T73" s="28">
        <f t="shared" si="3"/>
        <v>4.7826718999854627E-2</v>
      </c>
      <c r="U73" s="68"/>
    </row>
    <row r="74" spans="1:21" x14ac:dyDescent="0.25">
      <c r="A74" s="2">
        <v>43965</v>
      </c>
      <c r="B74" s="124">
        <v>255</v>
      </c>
      <c r="C74" s="124">
        <v>7134</v>
      </c>
      <c r="D74" s="124">
        <v>24</v>
      </c>
      <c r="E74" s="124">
        <v>353</v>
      </c>
      <c r="F74" s="126">
        <f t="shared" si="5"/>
        <v>112</v>
      </c>
      <c r="G74" s="149">
        <v>2497</v>
      </c>
      <c r="H74" s="124">
        <v>149</v>
      </c>
      <c r="I74" s="124">
        <v>3220</v>
      </c>
      <c r="J74" s="1">
        <v>96893</v>
      </c>
      <c r="K74" s="14">
        <v>737</v>
      </c>
      <c r="L74" s="14">
        <v>72972</v>
      </c>
      <c r="M74" s="1">
        <v>73709</v>
      </c>
      <c r="N74" s="1">
        <v>935</v>
      </c>
      <c r="O74" s="1">
        <v>3225</v>
      </c>
      <c r="P74" s="1">
        <v>2169</v>
      </c>
      <c r="Q74" s="12">
        <f t="shared" si="4"/>
        <v>805</v>
      </c>
      <c r="R74" s="20">
        <f t="shared" si="6"/>
        <v>112</v>
      </c>
      <c r="S74" s="35">
        <f t="shared" si="2"/>
        <v>3.4780578898225958E-2</v>
      </c>
      <c r="T74" s="28">
        <f t="shared" si="3"/>
        <v>4.9481356882534341E-2</v>
      </c>
      <c r="U74" s="68"/>
    </row>
    <row r="75" spans="1:21" x14ac:dyDescent="0.25">
      <c r="A75" s="2">
        <v>43966</v>
      </c>
      <c r="B75" s="124">
        <v>345</v>
      </c>
      <c r="C75" s="124">
        <v>7479</v>
      </c>
      <c r="D75" s="124">
        <v>3</v>
      </c>
      <c r="E75" s="124">
        <v>356</v>
      </c>
      <c r="F75" s="126">
        <f t="shared" si="5"/>
        <v>37</v>
      </c>
      <c r="G75" s="149">
        <v>2534</v>
      </c>
      <c r="H75" s="124">
        <v>151</v>
      </c>
      <c r="I75" s="124">
        <v>3469</v>
      </c>
      <c r="J75" s="1">
        <v>100362</v>
      </c>
      <c r="K75" s="14">
        <v>610</v>
      </c>
      <c r="L75" s="14">
        <v>75647</v>
      </c>
      <c r="M75" s="1">
        <v>76257</v>
      </c>
      <c r="N75" s="1">
        <v>937</v>
      </c>
      <c r="O75" s="1">
        <v>3367</v>
      </c>
      <c r="P75" s="1">
        <v>2272</v>
      </c>
      <c r="Q75" s="12">
        <f t="shared" si="4"/>
        <v>903</v>
      </c>
      <c r="R75" s="20">
        <f t="shared" si="6"/>
        <v>37</v>
      </c>
      <c r="S75" s="35">
        <f t="shared" si="2"/>
        <v>3.2904772281542823E-2</v>
      </c>
      <c r="T75" s="28">
        <f t="shared" si="3"/>
        <v>4.7599946516914023E-2</v>
      </c>
      <c r="U75" s="68"/>
    </row>
    <row r="76" spans="1:21" x14ac:dyDescent="0.25">
      <c r="A76" s="2">
        <v>43967</v>
      </c>
      <c r="B76" s="124">
        <v>327</v>
      </c>
      <c r="C76" s="124">
        <v>7805</v>
      </c>
      <c r="D76" s="124">
        <v>7</v>
      </c>
      <c r="E76" s="124">
        <v>363</v>
      </c>
      <c r="F76" s="126">
        <f t="shared" si="5"/>
        <v>35</v>
      </c>
      <c r="G76" s="149">
        <v>2569</v>
      </c>
      <c r="H76" s="124">
        <v>154</v>
      </c>
      <c r="I76" s="124">
        <v>2858</v>
      </c>
      <c r="J76" s="1">
        <v>103220</v>
      </c>
      <c r="K76" s="14">
        <v>626</v>
      </c>
      <c r="L76" s="14">
        <v>77581</v>
      </c>
      <c r="M76" s="1">
        <v>78207</v>
      </c>
      <c r="N76" s="1">
        <v>987</v>
      </c>
      <c r="O76" s="1">
        <v>3482</v>
      </c>
      <c r="P76" s="1">
        <v>2372</v>
      </c>
      <c r="Q76" s="12">
        <f t="shared" si="4"/>
        <v>964</v>
      </c>
      <c r="R76" s="20">
        <f t="shared" si="6"/>
        <v>35</v>
      </c>
      <c r="S76" s="35">
        <f t="shared" si="2"/>
        <v>3.160270880361174E-2</v>
      </c>
      <c r="T76" s="28">
        <f t="shared" si="3"/>
        <v>4.6508648302370274E-2</v>
      </c>
      <c r="U76" s="68"/>
    </row>
    <row r="77" spans="1:21" x14ac:dyDescent="0.25">
      <c r="A77" s="2">
        <v>43968</v>
      </c>
      <c r="B77" s="124">
        <v>263</v>
      </c>
      <c r="C77" s="124">
        <v>8086</v>
      </c>
      <c r="D77" s="124">
        <v>10</v>
      </c>
      <c r="E77" s="124">
        <v>373</v>
      </c>
      <c r="F77" s="126">
        <f t="shared" si="5"/>
        <v>56</v>
      </c>
      <c r="G77" s="149">
        <v>2625</v>
      </c>
      <c r="H77" s="124">
        <v>159</v>
      </c>
      <c r="I77" s="124">
        <v>2609</v>
      </c>
      <c r="J77" s="1">
        <v>105829</v>
      </c>
      <c r="K77" s="14">
        <v>640</v>
      </c>
      <c r="L77" s="14">
        <v>79462</v>
      </c>
      <c r="M77" s="1">
        <v>80102</v>
      </c>
      <c r="N77" s="1">
        <v>939</v>
      </c>
      <c r="O77" s="1">
        <v>3561</v>
      </c>
      <c r="P77" s="1">
        <v>2468</v>
      </c>
      <c r="Q77" s="12">
        <f t="shared" si="4"/>
        <v>1118</v>
      </c>
      <c r="R77" s="20">
        <f t="shared" si="6"/>
        <v>56</v>
      </c>
      <c r="S77" s="35">
        <f t="shared" si="2"/>
        <v>3.125E-2</v>
      </c>
      <c r="T77" s="28">
        <f t="shared" si="3"/>
        <v>4.6129112045510762E-2</v>
      </c>
      <c r="U77" s="68"/>
    </row>
    <row r="78" spans="1:21" x14ac:dyDescent="0.25">
      <c r="A78" s="2">
        <v>43969</v>
      </c>
      <c r="B78" s="124">
        <v>303</v>
      </c>
      <c r="C78" s="124">
        <v>8371</v>
      </c>
      <c r="D78" s="124">
        <v>9</v>
      </c>
      <c r="E78" s="124">
        <v>382</v>
      </c>
      <c r="F78" s="126">
        <f t="shared" si="5"/>
        <v>247</v>
      </c>
      <c r="G78" s="149">
        <v>2872</v>
      </c>
      <c r="H78" s="124">
        <v>156</v>
      </c>
      <c r="I78" s="124">
        <v>2805</v>
      </c>
      <c r="J78" s="1">
        <v>108634</v>
      </c>
      <c r="K78" s="14">
        <v>657</v>
      </c>
      <c r="L78" s="14">
        <v>81466</v>
      </c>
      <c r="M78" s="1">
        <v>82123</v>
      </c>
      <c r="N78" s="1">
        <v>939</v>
      </c>
      <c r="O78" s="1">
        <v>3718</v>
      </c>
      <c r="P78" s="1">
        <v>2607</v>
      </c>
      <c r="Q78" s="12">
        <f t="shared" si="4"/>
        <v>1107</v>
      </c>
      <c r="R78" s="20">
        <f t="shared" si="6"/>
        <v>247</v>
      </c>
      <c r="S78" s="35">
        <f t="shared" ref="S78:S141" si="7">H78/(C78-E78-G78)</f>
        <v>3.0486613249951142E-2</v>
      </c>
      <c r="T78" s="28">
        <f t="shared" si="3"/>
        <v>4.5633735515470078E-2</v>
      </c>
      <c r="U78" s="68"/>
    </row>
    <row r="79" spans="1:21" x14ac:dyDescent="0.25">
      <c r="A79" s="2">
        <v>43970</v>
      </c>
      <c r="B79" s="124">
        <v>438</v>
      </c>
      <c r="C79" s="124">
        <v>8809</v>
      </c>
      <c r="D79" s="124">
        <v>11</v>
      </c>
      <c r="E79" s="124">
        <v>393</v>
      </c>
      <c r="F79" s="126">
        <f t="shared" si="5"/>
        <v>61</v>
      </c>
      <c r="G79" s="149">
        <v>2933</v>
      </c>
      <c r="H79" s="124">
        <v>161</v>
      </c>
      <c r="I79" s="124">
        <v>3736</v>
      </c>
      <c r="J79" s="1">
        <v>112370</v>
      </c>
      <c r="K79" s="14">
        <v>681</v>
      </c>
      <c r="L79" s="14">
        <v>84449</v>
      </c>
      <c r="M79" s="1">
        <v>85130</v>
      </c>
      <c r="N79" s="1">
        <v>940</v>
      </c>
      <c r="O79" s="1">
        <v>3879</v>
      </c>
      <c r="P79" s="1">
        <v>2758</v>
      </c>
      <c r="Q79" s="12">
        <f t="shared" si="4"/>
        <v>1232</v>
      </c>
      <c r="R79" s="20">
        <f t="shared" si="6"/>
        <v>61</v>
      </c>
      <c r="S79" s="35">
        <f t="shared" si="7"/>
        <v>2.9363487142075505E-2</v>
      </c>
      <c r="T79" s="28">
        <f t="shared" ref="T79:T142" si="8">E79/C79</f>
        <v>4.4613463503235327E-2</v>
      </c>
      <c r="U79" s="68"/>
    </row>
    <row r="80" spans="1:21" x14ac:dyDescent="0.25">
      <c r="A80" s="2">
        <v>43971</v>
      </c>
      <c r="B80" s="124">
        <v>474</v>
      </c>
      <c r="C80" s="124">
        <v>9283</v>
      </c>
      <c r="D80" s="124">
        <v>10</v>
      </c>
      <c r="E80" s="124">
        <v>403</v>
      </c>
      <c r="F80" s="126">
        <f t="shared" si="5"/>
        <v>99</v>
      </c>
      <c r="G80" s="149">
        <v>3032</v>
      </c>
      <c r="H80" s="124">
        <v>171</v>
      </c>
      <c r="I80" s="124">
        <v>4319</v>
      </c>
      <c r="J80" s="1">
        <v>116689</v>
      </c>
      <c r="K80" s="14">
        <v>705</v>
      </c>
      <c r="L80" s="14">
        <v>87447</v>
      </c>
      <c r="M80" s="1">
        <v>88152</v>
      </c>
      <c r="N80" s="1">
        <v>945</v>
      </c>
      <c r="O80" s="1">
        <v>4068</v>
      </c>
      <c r="P80" s="1">
        <v>2919</v>
      </c>
      <c r="Q80" s="12">
        <f t="shared" si="4"/>
        <v>1351</v>
      </c>
      <c r="R80" s="20">
        <f t="shared" si="6"/>
        <v>99</v>
      </c>
      <c r="S80" s="35">
        <f t="shared" si="7"/>
        <v>2.924076607387141E-2</v>
      </c>
      <c r="T80" s="28">
        <f t="shared" si="8"/>
        <v>4.341268986319078E-2</v>
      </c>
      <c r="U80" s="68"/>
    </row>
    <row r="81" spans="1:21" x14ac:dyDescent="0.25">
      <c r="A81" s="2">
        <v>43972</v>
      </c>
      <c r="B81" s="124">
        <v>648</v>
      </c>
      <c r="C81" s="124">
        <v>9931</v>
      </c>
      <c r="D81" s="124">
        <v>13</v>
      </c>
      <c r="E81" s="124">
        <v>416</v>
      </c>
      <c r="F81" s="126">
        <f t="shared" si="5"/>
        <v>30</v>
      </c>
      <c r="G81" s="149">
        <v>3062</v>
      </c>
      <c r="H81" s="124">
        <v>172</v>
      </c>
      <c r="I81" s="124">
        <v>4589</v>
      </c>
      <c r="J81" s="1">
        <v>121278</v>
      </c>
      <c r="K81" s="14">
        <v>731</v>
      </c>
      <c r="L81" s="14">
        <v>90667</v>
      </c>
      <c r="M81" s="1">
        <v>91398</v>
      </c>
      <c r="N81" s="1">
        <v>947</v>
      </c>
      <c r="O81" s="1">
        <v>4334</v>
      </c>
      <c r="P81" s="1">
        <v>3154</v>
      </c>
      <c r="Q81" s="12">
        <f t="shared" ref="Q81:Q89" si="9">C81-P81-O81-N81</f>
        <v>1496</v>
      </c>
      <c r="R81" s="20">
        <f t="shared" si="6"/>
        <v>30</v>
      </c>
      <c r="S81" s="35">
        <f t="shared" si="7"/>
        <v>2.66542693320936E-2</v>
      </c>
      <c r="T81" s="28">
        <f t="shared" si="8"/>
        <v>4.1889034336924778E-2</v>
      </c>
      <c r="U81" s="68"/>
    </row>
    <row r="82" spans="1:21" x14ac:dyDescent="0.25">
      <c r="A82" s="2">
        <v>43973</v>
      </c>
      <c r="B82" s="124">
        <v>718</v>
      </c>
      <c r="C82" s="124">
        <v>10649</v>
      </c>
      <c r="D82" s="124">
        <v>18</v>
      </c>
      <c r="E82" s="124">
        <v>433</v>
      </c>
      <c r="F82" s="126">
        <f t="shared" si="5"/>
        <v>468</v>
      </c>
      <c r="G82" s="149">
        <v>3530</v>
      </c>
      <c r="H82" s="124">
        <v>173</v>
      </c>
      <c r="I82" s="124">
        <v>4615</v>
      </c>
      <c r="J82" s="1">
        <v>125893</v>
      </c>
      <c r="K82" s="14">
        <v>754</v>
      </c>
      <c r="L82" s="14">
        <v>93528</v>
      </c>
      <c r="M82" s="1">
        <v>94282</v>
      </c>
      <c r="N82" s="1">
        <v>948</v>
      </c>
      <c r="O82" s="1">
        <v>4648</v>
      </c>
      <c r="P82" s="1">
        <v>3314</v>
      </c>
      <c r="Q82" s="12">
        <f t="shared" si="9"/>
        <v>1739</v>
      </c>
      <c r="R82" s="20">
        <f t="shared" si="6"/>
        <v>468</v>
      </c>
      <c r="S82" s="35">
        <f t="shared" si="7"/>
        <v>2.5874962608435536E-2</v>
      </c>
      <c r="T82" s="28">
        <f t="shared" si="8"/>
        <v>4.0661094938491876E-2</v>
      </c>
      <c r="U82" s="68"/>
    </row>
    <row r="83" spans="1:21" x14ac:dyDescent="0.25">
      <c r="A83" s="2">
        <v>43974</v>
      </c>
      <c r="B83" s="124">
        <v>704</v>
      </c>
      <c r="C83" s="124">
        <v>11353</v>
      </c>
      <c r="D83" s="124">
        <v>12</v>
      </c>
      <c r="E83" s="124">
        <v>445</v>
      </c>
      <c r="F83" s="126">
        <f t="shared" si="5"/>
        <v>202</v>
      </c>
      <c r="G83" s="149">
        <v>3732</v>
      </c>
      <c r="H83" s="124">
        <v>181</v>
      </c>
      <c r="I83" s="124">
        <v>3525</v>
      </c>
      <c r="J83" s="1">
        <v>129418</v>
      </c>
      <c r="K83" s="14">
        <v>773</v>
      </c>
      <c r="L83" s="14">
        <v>95859</v>
      </c>
      <c r="M83" s="1">
        <v>96632</v>
      </c>
      <c r="N83" s="1">
        <v>951</v>
      </c>
      <c r="O83" s="1">
        <v>4955</v>
      </c>
      <c r="P83" s="1">
        <v>3540</v>
      </c>
      <c r="Q83" s="12">
        <f t="shared" si="9"/>
        <v>1907</v>
      </c>
      <c r="R83" s="20">
        <f t="shared" si="6"/>
        <v>202</v>
      </c>
      <c r="S83" s="35">
        <f t="shared" si="7"/>
        <v>2.5222965440356744E-2</v>
      </c>
      <c r="T83" s="28">
        <f t="shared" si="8"/>
        <v>3.9196688100061661E-2</v>
      </c>
      <c r="U83" s="68"/>
    </row>
    <row r="84" spans="1:21" x14ac:dyDescent="0.25">
      <c r="A84" s="2">
        <v>43975</v>
      </c>
      <c r="B84" s="124">
        <v>723</v>
      </c>
      <c r="C84" s="124">
        <v>12076</v>
      </c>
      <c r="D84" s="124">
        <v>8</v>
      </c>
      <c r="E84" s="124">
        <v>452</v>
      </c>
      <c r="F84" s="126">
        <f t="shared" si="5"/>
        <v>267</v>
      </c>
      <c r="G84" s="149">
        <v>3999</v>
      </c>
      <c r="H84" s="124">
        <v>181</v>
      </c>
      <c r="I84" s="124">
        <v>4050</v>
      </c>
      <c r="J84" s="1">
        <v>133468</v>
      </c>
      <c r="K84" s="14">
        <v>793</v>
      </c>
      <c r="L84" s="14">
        <v>98352</v>
      </c>
      <c r="M84" s="1">
        <v>99145</v>
      </c>
      <c r="N84" s="1">
        <v>955</v>
      </c>
      <c r="O84" s="1">
        <v>5302</v>
      </c>
      <c r="P84" s="1">
        <v>3766</v>
      </c>
      <c r="Q84" s="12">
        <f t="shared" si="9"/>
        <v>2053</v>
      </c>
      <c r="R84" s="20">
        <f t="shared" si="6"/>
        <v>267</v>
      </c>
      <c r="S84" s="35">
        <f t="shared" si="7"/>
        <v>2.3737704918032787E-2</v>
      </c>
      <c r="T84" s="28">
        <f t="shared" si="8"/>
        <v>3.742961245445512E-2</v>
      </c>
      <c r="U84" s="68"/>
    </row>
    <row r="85" spans="1:21" x14ac:dyDescent="0.25">
      <c r="A85" s="2">
        <v>43976</v>
      </c>
      <c r="B85" s="124">
        <v>552</v>
      </c>
      <c r="C85" s="124">
        <v>12628</v>
      </c>
      <c r="D85" s="124">
        <v>15</v>
      </c>
      <c r="E85" s="124">
        <v>467</v>
      </c>
      <c r="F85" s="126">
        <f t="shared" si="5"/>
        <v>168</v>
      </c>
      <c r="G85" s="149">
        <v>4167</v>
      </c>
      <c r="H85" s="124">
        <v>203</v>
      </c>
      <c r="I85" s="124">
        <v>3194</v>
      </c>
      <c r="J85" s="1">
        <v>136662</v>
      </c>
      <c r="K85" s="14">
        <v>709</v>
      </c>
      <c r="L85" s="14">
        <v>100639</v>
      </c>
      <c r="M85" s="1">
        <v>101348</v>
      </c>
      <c r="N85" s="1">
        <v>956</v>
      </c>
      <c r="O85" s="1">
        <v>5563</v>
      </c>
      <c r="P85" s="1">
        <v>4057</v>
      </c>
      <c r="Q85" s="12">
        <f t="shared" si="9"/>
        <v>2052</v>
      </c>
      <c r="R85" s="20">
        <f t="shared" si="6"/>
        <v>168</v>
      </c>
      <c r="S85" s="35">
        <f t="shared" si="7"/>
        <v>2.5394045534150613E-2</v>
      </c>
      <c r="T85" s="28">
        <f t="shared" si="8"/>
        <v>3.6981311371555275E-2</v>
      </c>
      <c r="U85" s="68"/>
    </row>
    <row r="86" spans="1:21" x14ac:dyDescent="0.25">
      <c r="A86" s="2">
        <v>43977</v>
      </c>
      <c r="B86" s="124">
        <v>600</v>
      </c>
      <c r="C86" s="124">
        <v>13228</v>
      </c>
      <c r="D86" s="124">
        <v>23</v>
      </c>
      <c r="E86" s="124">
        <v>490</v>
      </c>
      <c r="F86" s="126">
        <f t="shared" si="5"/>
        <v>182</v>
      </c>
      <c r="G86" s="149">
        <v>4349</v>
      </c>
      <c r="H86" s="124">
        <v>250</v>
      </c>
      <c r="I86" s="124">
        <v>3556</v>
      </c>
      <c r="J86" s="1">
        <v>140218</v>
      </c>
      <c r="K86" s="14">
        <v>727</v>
      </c>
      <c r="L86" s="14">
        <v>103173</v>
      </c>
      <c r="M86" s="1">
        <v>103900</v>
      </c>
      <c r="N86" s="3">
        <v>959</v>
      </c>
      <c r="O86" s="3">
        <v>5813</v>
      </c>
      <c r="P86" s="3">
        <v>4354</v>
      </c>
      <c r="Q86" s="12">
        <f t="shared" si="9"/>
        <v>2102</v>
      </c>
      <c r="R86" s="20">
        <f t="shared" si="6"/>
        <v>182</v>
      </c>
      <c r="S86" s="35">
        <f t="shared" si="7"/>
        <v>2.9800929789009417E-2</v>
      </c>
      <c r="T86" s="28">
        <f t="shared" si="8"/>
        <v>3.704263683096462E-2</v>
      </c>
      <c r="U86" s="68"/>
    </row>
    <row r="87" spans="1:21" x14ac:dyDescent="0.25">
      <c r="A87" s="2">
        <v>43978</v>
      </c>
      <c r="B87" s="124">
        <v>706</v>
      </c>
      <c r="C87" s="124">
        <v>13933</v>
      </c>
      <c r="D87" s="124">
        <v>10</v>
      </c>
      <c r="E87" s="124">
        <v>500</v>
      </c>
      <c r="F87" s="126">
        <f t="shared" si="5"/>
        <v>268</v>
      </c>
      <c r="G87" s="149">
        <v>4617</v>
      </c>
      <c r="H87" s="124">
        <v>254</v>
      </c>
      <c r="I87" s="124">
        <v>4863</v>
      </c>
      <c r="J87" s="1">
        <v>145081</v>
      </c>
      <c r="K87" s="14">
        <v>642</v>
      </c>
      <c r="L87" s="14">
        <v>106456</v>
      </c>
      <c r="M87" s="1">
        <v>107098</v>
      </c>
      <c r="N87" s="1">
        <v>961</v>
      </c>
      <c r="O87" s="1">
        <v>6091</v>
      </c>
      <c r="P87" s="1">
        <v>4694</v>
      </c>
      <c r="Q87" s="12">
        <f t="shared" si="9"/>
        <v>2187</v>
      </c>
      <c r="R87" s="20">
        <f t="shared" si="6"/>
        <v>268</v>
      </c>
      <c r="S87" s="35">
        <f t="shared" si="7"/>
        <v>2.8811252268602542E-2</v>
      </c>
      <c r="T87" s="28">
        <f t="shared" si="8"/>
        <v>3.5886025981482814E-2</v>
      </c>
      <c r="U87" s="68"/>
    </row>
    <row r="88" spans="1:21" x14ac:dyDescent="0.25">
      <c r="A88" s="2">
        <v>43979</v>
      </c>
      <c r="B88" s="124">
        <v>769</v>
      </c>
      <c r="C88" s="124">
        <v>14702</v>
      </c>
      <c r="D88" s="124">
        <v>8</v>
      </c>
      <c r="E88" s="124">
        <v>508</v>
      </c>
      <c r="F88" s="126">
        <f t="shared" si="5"/>
        <v>171</v>
      </c>
      <c r="G88" s="149">
        <v>4788</v>
      </c>
      <c r="H88" s="124">
        <v>259</v>
      </c>
      <c r="I88" s="124">
        <v>5405</v>
      </c>
      <c r="J88" s="1">
        <v>150486</v>
      </c>
      <c r="K88" s="14">
        <v>664</v>
      </c>
      <c r="L88" s="14">
        <v>110132</v>
      </c>
      <c r="M88" s="4">
        <v>110796</v>
      </c>
      <c r="N88" s="1">
        <v>967</v>
      </c>
      <c r="O88" s="1">
        <v>6450</v>
      </c>
      <c r="P88" s="1">
        <v>5051</v>
      </c>
      <c r="Q88" s="12">
        <f t="shared" si="9"/>
        <v>2234</v>
      </c>
      <c r="R88" s="20">
        <f t="shared" si="6"/>
        <v>171</v>
      </c>
      <c r="S88" s="35">
        <f t="shared" si="7"/>
        <v>2.7535615564533277E-2</v>
      </c>
      <c r="T88" s="28">
        <f t="shared" si="8"/>
        <v>3.4553122024214393E-2</v>
      </c>
      <c r="U88" s="68"/>
    </row>
    <row r="89" spans="1:21" x14ac:dyDescent="0.25">
      <c r="A89" s="2">
        <v>43980</v>
      </c>
      <c r="B89" s="126">
        <v>717</v>
      </c>
      <c r="C89" s="126">
        <v>15419</v>
      </c>
      <c r="D89" s="126">
        <v>12</v>
      </c>
      <c r="E89" s="124">
        <v>520</v>
      </c>
      <c r="F89" s="126">
        <f t="shared" si="5"/>
        <v>312</v>
      </c>
      <c r="G89" s="149">
        <v>5100</v>
      </c>
      <c r="H89" s="124">
        <v>244</v>
      </c>
      <c r="I89" s="126">
        <v>4921</v>
      </c>
      <c r="J89" s="4">
        <v>155400</v>
      </c>
      <c r="K89" s="7">
        <v>798</v>
      </c>
      <c r="L89" s="7">
        <v>113314</v>
      </c>
      <c r="M89" s="4">
        <v>114112</v>
      </c>
      <c r="N89" s="4">
        <v>968</v>
      </c>
      <c r="O89" s="4">
        <v>6727</v>
      </c>
      <c r="P89" s="4">
        <v>5408</v>
      </c>
      <c r="Q89" s="12">
        <f t="shared" si="9"/>
        <v>2316</v>
      </c>
      <c r="R89" s="20">
        <f t="shared" si="6"/>
        <v>312</v>
      </c>
      <c r="S89" s="35">
        <f t="shared" si="7"/>
        <v>2.4900500051025613E-2</v>
      </c>
      <c r="T89" s="28">
        <f t="shared" si="8"/>
        <v>3.3724625462092227E-2</v>
      </c>
      <c r="U89" s="68"/>
    </row>
    <row r="90" spans="1:21" x14ac:dyDescent="0.25">
      <c r="A90" s="2">
        <v>43981</v>
      </c>
      <c r="B90" s="124">
        <v>795</v>
      </c>
      <c r="C90" s="124">
        <v>16214</v>
      </c>
      <c r="D90" s="124">
        <v>8</v>
      </c>
      <c r="E90" s="124">
        <v>528</v>
      </c>
      <c r="F90" s="126">
        <f t="shared" si="5"/>
        <v>236</v>
      </c>
      <c r="G90" s="149">
        <v>5336</v>
      </c>
      <c r="H90" s="124">
        <v>256</v>
      </c>
      <c r="I90" s="126">
        <v>4663</v>
      </c>
      <c r="J90" s="4">
        <v>160070</v>
      </c>
      <c r="K90" s="7">
        <v>819</v>
      </c>
      <c r="L90" s="7">
        <v>116215</v>
      </c>
      <c r="M90" s="4">
        <v>117034</v>
      </c>
      <c r="N90" s="1">
        <v>969</v>
      </c>
      <c r="O90" s="1">
        <v>7030</v>
      </c>
      <c r="P90" s="1">
        <v>5724</v>
      </c>
      <c r="Q90" s="12">
        <f t="shared" ref="Q90:Q95" si="10">C90-P90-O90-N90</f>
        <v>2491</v>
      </c>
      <c r="R90" s="20">
        <f t="shared" si="6"/>
        <v>236</v>
      </c>
      <c r="S90" s="35">
        <f t="shared" si="7"/>
        <v>2.4734299516908212E-2</v>
      </c>
      <c r="T90" s="28">
        <f t="shared" si="8"/>
        <v>3.2564450474898234E-2</v>
      </c>
      <c r="U90" s="68"/>
    </row>
    <row r="91" spans="1:21" x14ac:dyDescent="0.25">
      <c r="A91" s="2">
        <v>43982</v>
      </c>
      <c r="B91" s="124">
        <v>637</v>
      </c>
      <c r="C91" s="124">
        <v>16851</v>
      </c>
      <c r="D91" s="124">
        <v>11</v>
      </c>
      <c r="E91" s="124">
        <v>539</v>
      </c>
      <c r="F91" s="126">
        <f t="shared" si="5"/>
        <v>185</v>
      </c>
      <c r="G91" s="149">
        <v>5521</v>
      </c>
      <c r="H91" s="124">
        <v>272</v>
      </c>
      <c r="I91" s="126">
        <v>4014</v>
      </c>
      <c r="J91" s="4">
        <v>164084</v>
      </c>
      <c r="K91" s="7">
        <v>837.57099999999627</v>
      </c>
      <c r="L91" s="7">
        <v>118815.429</v>
      </c>
      <c r="M91" s="4">
        <v>119653</v>
      </c>
      <c r="N91" s="4">
        <v>970</v>
      </c>
      <c r="O91" s="4">
        <v>7308</v>
      </c>
      <c r="P91" s="4">
        <v>5975</v>
      </c>
      <c r="Q91" s="12">
        <f t="shared" si="10"/>
        <v>2598</v>
      </c>
      <c r="R91" s="20">
        <f t="shared" si="6"/>
        <v>185</v>
      </c>
      <c r="S91" s="35">
        <f t="shared" si="7"/>
        <v>2.5206190343805022E-2</v>
      </c>
      <c r="T91" s="28">
        <f t="shared" si="8"/>
        <v>3.1986232271081834E-2</v>
      </c>
      <c r="U91" s="68"/>
    </row>
    <row r="92" spans="1:21" x14ac:dyDescent="0.25">
      <c r="A92" s="2">
        <v>43983</v>
      </c>
      <c r="B92" s="124">
        <v>564</v>
      </c>
      <c r="C92" s="124">
        <v>17415</v>
      </c>
      <c r="D92" s="124">
        <v>17</v>
      </c>
      <c r="E92" s="124">
        <v>556</v>
      </c>
      <c r="F92" s="126">
        <f t="shared" si="5"/>
        <v>188</v>
      </c>
      <c r="G92" s="149">
        <v>5709</v>
      </c>
      <c r="H92" s="124">
        <v>271</v>
      </c>
      <c r="I92" s="126">
        <v>3715</v>
      </c>
      <c r="J92" s="4">
        <v>167799</v>
      </c>
      <c r="K92" s="7">
        <v>732</v>
      </c>
      <c r="L92" s="7">
        <v>121411</v>
      </c>
      <c r="M92" s="4">
        <v>122143</v>
      </c>
      <c r="N92" s="1">
        <v>974</v>
      </c>
      <c r="O92" s="1">
        <v>7532</v>
      </c>
      <c r="P92" s="1">
        <v>6263</v>
      </c>
      <c r="Q92" s="12">
        <f t="shared" si="10"/>
        <v>2646</v>
      </c>
      <c r="R92" s="20">
        <f t="shared" si="6"/>
        <v>188</v>
      </c>
      <c r="S92" s="35">
        <f t="shared" si="7"/>
        <v>2.430493273542601E-2</v>
      </c>
      <c r="T92" s="28">
        <f t="shared" si="8"/>
        <v>3.1926500143554408E-2</v>
      </c>
      <c r="U92" s="68"/>
    </row>
    <row r="93" spans="1:21" x14ac:dyDescent="0.25">
      <c r="A93" s="2">
        <v>43984</v>
      </c>
      <c r="B93" s="124">
        <v>904</v>
      </c>
      <c r="C93" s="124">
        <v>18319</v>
      </c>
      <c r="D93" s="124">
        <v>13</v>
      </c>
      <c r="E93" s="124">
        <v>569</v>
      </c>
      <c r="F93" s="126">
        <f t="shared" si="5"/>
        <v>187</v>
      </c>
      <c r="G93" s="149">
        <v>5896</v>
      </c>
      <c r="H93" s="124">
        <v>288</v>
      </c>
      <c r="I93" s="126">
        <v>5148</v>
      </c>
      <c r="J93" s="4">
        <v>172947</v>
      </c>
      <c r="K93" s="7">
        <v>879</v>
      </c>
      <c r="L93" s="7">
        <v>124692</v>
      </c>
      <c r="M93" s="4">
        <v>125571</v>
      </c>
      <c r="N93" s="1">
        <v>974</v>
      </c>
      <c r="O93" s="4">
        <v>7854</v>
      </c>
      <c r="P93" s="4">
        <v>6596</v>
      </c>
      <c r="Q93" s="12">
        <f t="shared" si="10"/>
        <v>2895</v>
      </c>
      <c r="R93" s="20">
        <f t="shared" si="6"/>
        <v>187</v>
      </c>
      <c r="S93" s="35">
        <f t="shared" si="7"/>
        <v>2.4295596423148304E-2</v>
      </c>
      <c r="T93" s="28">
        <f t="shared" si="8"/>
        <v>3.1060647415251923E-2</v>
      </c>
      <c r="U93" s="68"/>
    </row>
    <row r="94" spans="1:21" x14ac:dyDescent="0.25">
      <c r="A94" s="2">
        <v>43985</v>
      </c>
      <c r="B94" s="124">
        <v>949</v>
      </c>
      <c r="C94" s="124">
        <v>19268</v>
      </c>
      <c r="D94" s="126">
        <v>14</v>
      </c>
      <c r="E94" s="126">
        <v>583</v>
      </c>
      <c r="F94" s="126">
        <f t="shared" si="5"/>
        <v>97</v>
      </c>
      <c r="G94" s="149">
        <v>5993</v>
      </c>
      <c r="H94" s="124">
        <v>293</v>
      </c>
      <c r="I94" s="126">
        <v>5501</v>
      </c>
      <c r="J94" s="4">
        <v>178448</v>
      </c>
      <c r="K94" s="7">
        <v>902</v>
      </c>
      <c r="L94" s="7">
        <v>128031</v>
      </c>
      <c r="M94" s="4">
        <v>128933</v>
      </c>
      <c r="N94" s="1">
        <v>977</v>
      </c>
      <c r="O94" s="1">
        <v>8217</v>
      </c>
      <c r="P94" s="1">
        <v>6941</v>
      </c>
      <c r="Q94" s="12">
        <f t="shared" si="10"/>
        <v>3133</v>
      </c>
      <c r="R94" s="20">
        <f t="shared" si="6"/>
        <v>97</v>
      </c>
      <c r="S94" s="35">
        <f t="shared" si="7"/>
        <v>2.3085408131106207E-2</v>
      </c>
      <c r="T94" s="28">
        <f t="shared" si="8"/>
        <v>3.0257421631720988E-2</v>
      </c>
      <c r="U94" s="68"/>
    </row>
    <row r="95" spans="1:21" x14ac:dyDescent="0.25">
      <c r="A95" s="2">
        <v>43986</v>
      </c>
      <c r="B95" s="124">
        <v>929</v>
      </c>
      <c r="C95" s="126">
        <v>20197</v>
      </c>
      <c r="D95" s="126">
        <v>25</v>
      </c>
      <c r="E95" s="126">
        <v>608</v>
      </c>
      <c r="F95" s="126">
        <f t="shared" si="5"/>
        <v>95</v>
      </c>
      <c r="G95" s="149">
        <v>6088</v>
      </c>
      <c r="H95" s="124">
        <v>248</v>
      </c>
      <c r="I95" s="126">
        <v>5414</v>
      </c>
      <c r="J95" s="4">
        <v>183862</v>
      </c>
      <c r="K95" s="7">
        <v>794</v>
      </c>
      <c r="L95" s="7">
        <v>131608</v>
      </c>
      <c r="M95" s="4">
        <v>132402</v>
      </c>
      <c r="N95" s="1">
        <v>978</v>
      </c>
      <c r="O95" s="4">
        <v>8541</v>
      </c>
      <c r="P95" s="4">
        <v>7349</v>
      </c>
      <c r="Q95" s="12">
        <f t="shared" si="10"/>
        <v>3329</v>
      </c>
      <c r="R95" s="20">
        <f t="shared" si="6"/>
        <v>95</v>
      </c>
      <c r="S95" s="35">
        <f t="shared" si="7"/>
        <v>1.8369009702984964E-2</v>
      </c>
      <c r="T95" s="28">
        <f t="shared" si="8"/>
        <v>3.0103480714957668E-2</v>
      </c>
      <c r="U95" s="68"/>
    </row>
    <row r="96" spans="1:21" x14ac:dyDescent="0.25">
      <c r="A96" s="2">
        <v>43987</v>
      </c>
      <c r="B96" s="124">
        <v>840</v>
      </c>
      <c r="C96" s="124">
        <v>21037</v>
      </c>
      <c r="D96" s="124">
        <v>24</v>
      </c>
      <c r="E96" s="126">
        <v>632</v>
      </c>
      <c r="F96" s="126">
        <f t="shared" si="5"/>
        <v>92</v>
      </c>
      <c r="G96" s="149">
        <v>6180</v>
      </c>
      <c r="H96" s="124">
        <v>249</v>
      </c>
      <c r="I96" s="126">
        <v>5416</v>
      </c>
      <c r="J96" s="4">
        <v>189278</v>
      </c>
      <c r="K96" s="7">
        <v>812</v>
      </c>
      <c r="L96" s="7">
        <v>134642</v>
      </c>
      <c r="M96" s="4">
        <v>135454</v>
      </c>
      <c r="N96" s="8">
        <v>980</v>
      </c>
      <c r="O96" s="8">
        <v>8883</v>
      </c>
      <c r="P96" s="8">
        <v>7770</v>
      </c>
      <c r="Q96" s="12">
        <f>C96-P96-O96-N96</f>
        <v>3404</v>
      </c>
      <c r="R96" s="20">
        <f t="shared" si="6"/>
        <v>92</v>
      </c>
      <c r="S96" s="35">
        <f t="shared" si="7"/>
        <v>1.750439367311072E-2</v>
      </c>
      <c r="T96" s="28">
        <f t="shared" si="8"/>
        <v>3.004230641251129E-2</v>
      </c>
      <c r="U96" s="68"/>
    </row>
    <row r="97" spans="1:21" x14ac:dyDescent="0.25">
      <c r="A97" s="2">
        <v>43988</v>
      </c>
      <c r="B97" s="124">
        <v>983</v>
      </c>
      <c r="C97" s="124">
        <v>22020</v>
      </c>
      <c r="D97" s="126">
        <v>16</v>
      </c>
      <c r="E97" s="126">
        <v>648</v>
      </c>
      <c r="F97" s="126">
        <f t="shared" si="5"/>
        <v>729</v>
      </c>
      <c r="G97" s="149">
        <v>6909</v>
      </c>
      <c r="H97" s="124">
        <v>247</v>
      </c>
      <c r="I97" s="126">
        <v>4635</v>
      </c>
      <c r="J97" s="4">
        <v>193923</v>
      </c>
      <c r="K97" s="7">
        <v>832</v>
      </c>
      <c r="L97" s="7">
        <v>137840</v>
      </c>
      <c r="M97" s="4">
        <v>138672</v>
      </c>
      <c r="N97" s="4">
        <v>983</v>
      </c>
      <c r="O97" s="4">
        <v>9219</v>
      </c>
      <c r="P97" s="4">
        <v>8141</v>
      </c>
      <c r="Q97" s="12">
        <f>C97-P97-O97-N97</f>
        <v>3677</v>
      </c>
      <c r="R97" s="20">
        <f t="shared" si="6"/>
        <v>729</v>
      </c>
      <c r="S97" s="35">
        <f t="shared" si="7"/>
        <v>1.7078061259766301E-2</v>
      </c>
      <c r="T97" s="28">
        <f t="shared" si="8"/>
        <v>2.9427792915531336E-2</v>
      </c>
      <c r="U97" s="68"/>
    </row>
    <row r="98" spans="1:21" x14ac:dyDescent="0.25">
      <c r="A98" s="2">
        <v>43989</v>
      </c>
      <c r="B98" s="124">
        <v>774</v>
      </c>
      <c r="C98" s="124">
        <v>22794</v>
      </c>
      <c r="D98" s="126">
        <v>15</v>
      </c>
      <c r="E98" s="126">
        <v>664</v>
      </c>
      <c r="F98" s="126">
        <f t="shared" si="5"/>
        <v>396</v>
      </c>
      <c r="G98" s="149">
        <v>7305</v>
      </c>
      <c r="H98" s="124">
        <v>235</v>
      </c>
      <c r="I98" s="126">
        <v>4607</v>
      </c>
      <c r="J98" s="4">
        <v>198520</v>
      </c>
      <c r="K98" s="7">
        <v>847.49400000000605</v>
      </c>
      <c r="L98" s="7">
        <v>140401.50599999999</v>
      </c>
      <c r="M98" s="4">
        <v>141249</v>
      </c>
      <c r="N98" s="4">
        <v>985</v>
      </c>
      <c r="O98" s="4">
        <v>9476</v>
      </c>
      <c r="P98" s="4">
        <v>8441</v>
      </c>
      <c r="Q98" s="12">
        <f>C98-P98-O98-N98</f>
        <v>3892</v>
      </c>
      <c r="R98" s="20">
        <f t="shared" si="6"/>
        <v>396</v>
      </c>
      <c r="S98" s="35">
        <f t="shared" si="7"/>
        <v>1.5851602023608771E-2</v>
      </c>
      <c r="T98" s="28">
        <f t="shared" si="8"/>
        <v>2.9130472931473195E-2</v>
      </c>
      <c r="U98" s="68"/>
    </row>
    <row r="99" spans="1:21" x14ac:dyDescent="0.25">
      <c r="A99" s="2">
        <v>43990</v>
      </c>
      <c r="B99" s="127">
        <v>826</v>
      </c>
      <c r="C99" s="127">
        <v>23620</v>
      </c>
      <c r="D99" s="126">
        <v>29</v>
      </c>
      <c r="E99" s="126">
        <v>693</v>
      </c>
      <c r="F99" s="126">
        <f t="shared" si="5"/>
        <v>263</v>
      </c>
      <c r="G99" s="149">
        <v>7568</v>
      </c>
      <c r="H99" s="124">
        <v>265</v>
      </c>
      <c r="I99" s="126">
        <v>4531</v>
      </c>
      <c r="J99" s="4">
        <v>203810</v>
      </c>
      <c r="K99" s="7">
        <v>866</v>
      </c>
      <c r="L99" s="7">
        <v>143482</v>
      </c>
      <c r="M99" s="4">
        <v>144348</v>
      </c>
      <c r="N99" s="4">
        <v>986</v>
      </c>
      <c r="O99" s="11">
        <v>9822</v>
      </c>
      <c r="P99" s="11">
        <v>8919</v>
      </c>
      <c r="Q99" s="12">
        <f>C99-P99-O99-N99</f>
        <v>3893</v>
      </c>
      <c r="R99" s="20">
        <f t="shared" si="6"/>
        <v>263</v>
      </c>
      <c r="S99" s="35">
        <f t="shared" si="7"/>
        <v>1.7253727456214597E-2</v>
      </c>
      <c r="T99" s="28">
        <f t="shared" si="8"/>
        <v>2.9339542760372567E-2</v>
      </c>
      <c r="U99" s="68"/>
    </row>
    <row r="100" spans="1:21" x14ac:dyDescent="0.25">
      <c r="A100" s="2">
        <v>43991</v>
      </c>
      <c r="B100" s="127">
        <v>1141</v>
      </c>
      <c r="C100" s="127">
        <v>24761</v>
      </c>
      <c r="D100" s="126">
        <v>24</v>
      </c>
      <c r="E100" s="129">
        <v>717</v>
      </c>
      <c r="F100" s="126">
        <f t="shared" si="5"/>
        <v>423</v>
      </c>
      <c r="G100" s="149">
        <v>7991</v>
      </c>
      <c r="H100" s="124">
        <v>263</v>
      </c>
      <c r="I100" s="126">
        <v>5468</v>
      </c>
      <c r="J100" s="4">
        <v>208519</v>
      </c>
      <c r="K100" s="7">
        <v>739</v>
      </c>
      <c r="L100" s="7">
        <v>147178</v>
      </c>
      <c r="M100" s="4">
        <v>147917</v>
      </c>
      <c r="N100" s="11">
        <v>992</v>
      </c>
      <c r="O100" s="11">
        <v>10260</v>
      </c>
      <c r="P100" s="11">
        <v>9406</v>
      </c>
      <c r="Q100" s="12">
        <f>C100-P100-O100-N100</f>
        <v>4103</v>
      </c>
      <c r="R100" s="20">
        <f t="shared" si="6"/>
        <v>423</v>
      </c>
      <c r="S100" s="35">
        <f t="shared" si="7"/>
        <v>1.6383230548807078E-2</v>
      </c>
      <c r="T100" s="28">
        <f t="shared" si="8"/>
        <v>2.8956827268688663E-2</v>
      </c>
      <c r="U100" s="68"/>
    </row>
    <row r="101" spans="1:21" x14ac:dyDescent="0.25">
      <c r="A101" s="2">
        <v>43992</v>
      </c>
      <c r="B101" s="127">
        <v>1226</v>
      </c>
      <c r="C101" s="126">
        <v>25987</v>
      </c>
      <c r="D101" s="126">
        <v>18</v>
      </c>
      <c r="E101" s="129">
        <v>735</v>
      </c>
      <c r="F101" s="126">
        <f t="shared" si="5"/>
        <v>341</v>
      </c>
      <c r="G101" s="149">
        <v>8332</v>
      </c>
      <c r="H101" s="124">
        <v>325</v>
      </c>
      <c r="I101" s="126">
        <v>6288</v>
      </c>
      <c r="J101" s="4">
        <v>214807</v>
      </c>
      <c r="K101" s="7">
        <v>757</v>
      </c>
      <c r="L101" s="7">
        <v>150755</v>
      </c>
      <c r="M101" s="4">
        <v>151512</v>
      </c>
      <c r="N101" s="4">
        <v>996</v>
      </c>
      <c r="O101" s="4">
        <v>10657</v>
      </c>
      <c r="P101" s="4">
        <v>9948</v>
      </c>
      <c r="Q101" s="12">
        <f t="shared" ref="Q101:Q124" si="11">C101-P101-O101-N101</f>
        <v>4386</v>
      </c>
      <c r="R101" s="20">
        <f t="shared" si="6"/>
        <v>341</v>
      </c>
      <c r="S101" s="35">
        <f t="shared" si="7"/>
        <v>1.9208037825059102E-2</v>
      </c>
      <c r="T101" s="28">
        <f t="shared" si="8"/>
        <v>2.8283372455458498E-2</v>
      </c>
      <c r="U101" s="68"/>
    </row>
    <row r="102" spans="1:21" x14ac:dyDescent="0.25">
      <c r="A102" s="2">
        <v>43993</v>
      </c>
      <c r="B102" s="127">
        <v>1386</v>
      </c>
      <c r="C102" s="126">
        <v>27373</v>
      </c>
      <c r="D102" s="126">
        <v>30</v>
      </c>
      <c r="E102" s="129">
        <v>765</v>
      </c>
      <c r="F102" s="126">
        <f t="shared" si="5"/>
        <v>411</v>
      </c>
      <c r="G102" s="149">
        <v>8743</v>
      </c>
      <c r="H102" s="124">
        <v>295</v>
      </c>
      <c r="I102" s="126">
        <v>6498</v>
      </c>
      <c r="J102" s="4">
        <v>221305</v>
      </c>
      <c r="K102" s="7">
        <v>777</v>
      </c>
      <c r="L102" s="7">
        <v>154725</v>
      </c>
      <c r="M102" s="4">
        <v>155502</v>
      </c>
      <c r="N102" s="4">
        <v>999</v>
      </c>
      <c r="O102" s="4">
        <v>11091</v>
      </c>
      <c r="P102" s="4">
        <v>10542</v>
      </c>
      <c r="Q102" s="12">
        <f t="shared" si="11"/>
        <v>4741</v>
      </c>
      <c r="R102" s="20">
        <f t="shared" si="6"/>
        <v>411</v>
      </c>
      <c r="S102" s="35">
        <f t="shared" si="7"/>
        <v>1.6512734396865379E-2</v>
      </c>
      <c r="T102" s="28">
        <f t="shared" si="8"/>
        <v>2.7947247287473057E-2</v>
      </c>
      <c r="U102" s="68"/>
    </row>
    <row r="103" spans="1:21" x14ac:dyDescent="0.25">
      <c r="A103" s="2">
        <v>43994</v>
      </c>
      <c r="B103" s="127">
        <v>1391</v>
      </c>
      <c r="C103" s="126">
        <v>28764</v>
      </c>
      <c r="D103" s="126">
        <v>20</v>
      </c>
      <c r="E103" s="129">
        <v>785</v>
      </c>
      <c r="F103" s="126">
        <f t="shared" si="5"/>
        <v>340</v>
      </c>
      <c r="G103" s="149">
        <v>9083</v>
      </c>
      <c r="H103" s="124">
        <v>280</v>
      </c>
      <c r="I103" s="126">
        <v>7019</v>
      </c>
      <c r="J103" s="4">
        <v>228324</v>
      </c>
      <c r="K103" s="7">
        <v>797</v>
      </c>
      <c r="L103" s="24">
        <v>158691</v>
      </c>
      <c r="M103" s="4">
        <v>159488</v>
      </c>
      <c r="N103" s="4">
        <v>1005</v>
      </c>
      <c r="O103" s="4">
        <v>11529</v>
      </c>
      <c r="P103" s="4">
        <v>11161</v>
      </c>
      <c r="Q103" s="12">
        <f t="shared" si="11"/>
        <v>5069</v>
      </c>
      <c r="R103" s="20">
        <f t="shared" si="6"/>
        <v>340</v>
      </c>
      <c r="S103" s="35">
        <f t="shared" si="7"/>
        <v>1.4817950889077053E-2</v>
      </c>
      <c r="T103" s="28">
        <f t="shared" si="8"/>
        <v>2.7291058267278543E-2</v>
      </c>
      <c r="U103" s="68"/>
    </row>
    <row r="104" spans="1:21" x14ac:dyDescent="0.25">
      <c r="A104" s="2">
        <v>43995</v>
      </c>
      <c r="B104" s="128">
        <v>1531</v>
      </c>
      <c r="C104" s="126">
        <v>30295</v>
      </c>
      <c r="D104" s="126">
        <v>30</v>
      </c>
      <c r="E104" s="126">
        <v>815</v>
      </c>
      <c r="F104" s="126">
        <f t="shared" si="5"/>
        <v>481</v>
      </c>
      <c r="G104" s="150">
        <v>9564</v>
      </c>
      <c r="H104" s="151">
        <v>293</v>
      </c>
      <c r="I104" s="126">
        <v>6046</v>
      </c>
      <c r="J104" s="4">
        <v>234370</v>
      </c>
      <c r="K104" s="7">
        <v>815</v>
      </c>
      <c r="L104" s="24">
        <v>162346</v>
      </c>
      <c r="M104" s="4">
        <v>163161</v>
      </c>
      <c r="N104" s="4">
        <v>1011</v>
      </c>
      <c r="O104" s="4">
        <v>11950</v>
      </c>
      <c r="P104" s="4">
        <v>11707</v>
      </c>
      <c r="Q104" s="12">
        <f t="shared" si="11"/>
        <v>5627</v>
      </c>
      <c r="R104" s="20">
        <f t="shared" si="6"/>
        <v>481</v>
      </c>
      <c r="S104" s="35">
        <f t="shared" si="7"/>
        <v>1.4711789515967062E-2</v>
      </c>
      <c r="T104" s="28">
        <f t="shared" si="8"/>
        <v>2.6902129064202012E-2</v>
      </c>
      <c r="U104" s="68"/>
    </row>
    <row r="105" spans="1:21" x14ac:dyDescent="0.25">
      <c r="A105" s="2">
        <v>43996</v>
      </c>
      <c r="B105" s="127">
        <v>1282</v>
      </c>
      <c r="C105" s="126">
        <v>31577</v>
      </c>
      <c r="D105" s="126">
        <v>18</v>
      </c>
      <c r="E105" s="126">
        <v>833</v>
      </c>
      <c r="F105" s="126">
        <f t="shared" si="5"/>
        <v>327</v>
      </c>
      <c r="G105" s="150">
        <v>9891</v>
      </c>
      <c r="H105" s="152">
        <v>316</v>
      </c>
      <c r="I105" s="126">
        <v>5571</v>
      </c>
      <c r="J105" s="4">
        <v>239941</v>
      </c>
      <c r="K105" s="7">
        <v>832</v>
      </c>
      <c r="L105" s="7">
        <v>165611</v>
      </c>
      <c r="M105" s="4">
        <v>166443</v>
      </c>
      <c r="N105" s="11">
        <v>1022</v>
      </c>
      <c r="O105" s="11">
        <v>12386</v>
      </c>
      <c r="P105" s="11">
        <v>12167</v>
      </c>
      <c r="Q105" s="12">
        <f t="shared" si="11"/>
        <v>6002</v>
      </c>
      <c r="R105" s="20">
        <f t="shared" si="6"/>
        <v>327</v>
      </c>
      <c r="S105" s="35">
        <f t="shared" si="7"/>
        <v>1.5153694912003069E-2</v>
      </c>
      <c r="T105" s="28">
        <f t="shared" si="8"/>
        <v>2.6379960097539349E-2</v>
      </c>
      <c r="U105" s="68"/>
    </row>
    <row r="106" spans="1:21" x14ac:dyDescent="0.25">
      <c r="A106" s="2">
        <v>43997</v>
      </c>
      <c r="B106" s="127">
        <v>1208</v>
      </c>
      <c r="C106" s="126">
        <v>32785</v>
      </c>
      <c r="D106" s="126">
        <v>21</v>
      </c>
      <c r="E106" s="126">
        <v>854</v>
      </c>
      <c r="F106" s="126">
        <f t="shared" si="5"/>
        <v>273</v>
      </c>
      <c r="G106" s="150">
        <v>10164</v>
      </c>
      <c r="H106" s="153">
        <v>324</v>
      </c>
      <c r="I106" s="126">
        <v>5118</v>
      </c>
      <c r="J106" s="4">
        <v>245059</v>
      </c>
      <c r="K106" s="7">
        <v>847</v>
      </c>
      <c r="L106" s="7">
        <v>168596</v>
      </c>
      <c r="M106" s="4">
        <v>169443</v>
      </c>
      <c r="N106" s="11">
        <v>1028</v>
      </c>
      <c r="O106" s="11">
        <v>12835</v>
      </c>
      <c r="P106" s="11">
        <v>12828</v>
      </c>
      <c r="Q106" s="12">
        <f t="shared" si="11"/>
        <v>6094</v>
      </c>
      <c r="R106" s="20">
        <f t="shared" si="6"/>
        <v>273</v>
      </c>
      <c r="S106" s="35">
        <f t="shared" si="7"/>
        <v>1.4884917535719208E-2</v>
      </c>
      <c r="T106" s="28">
        <f t="shared" si="8"/>
        <v>2.6048497788622844E-2</v>
      </c>
      <c r="U106" s="68"/>
    </row>
    <row r="107" spans="1:21" x14ac:dyDescent="0.25">
      <c r="A107" s="2">
        <v>43998</v>
      </c>
      <c r="B107" s="127">
        <v>1374</v>
      </c>
      <c r="C107" s="126">
        <v>34159</v>
      </c>
      <c r="D107" s="126">
        <v>24</v>
      </c>
      <c r="E107" s="129">
        <v>878</v>
      </c>
      <c r="F107" s="126">
        <f t="shared" si="5"/>
        <v>348</v>
      </c>
      <c r="G107" s="150">
        <v>10512</v>
      </c>
      <c r="H107" s="153">
        <v>345</v>
      </c>
      <c r="I107" s="129">
        <v>5556</v>
      </c>
      <c r="J107" s="11">
        <v>250615</v>
      </c>
      <c r="K107" s="7">
        <v>863</v>
      </c>
      <c r="L107" s="7">
        <v>171855</v>
      </c>
      <c r="M107" s="4">
        <v>172718</v>
      </c>
      <c r="N107" s="11">
        <v>1030</v>
      </c>
      <c r="O107" s="11">
        <v>13340</v>
      </c>
      <c r="P107" s="11">
        <v>13602</v>
      </c>
      <c r="Q107" s="12">
        <f t="shared" si="11"/>
        <v>6187</v>
      </c>
      <c r="R107" s="20">
        <f t="shared" si="6"/>
        <v>348</v>
      </c>
      <c r="S107" s="35">
        <f t="shared" si="7"/>
        <v>1.5152180596424964E-2</v>
      </c>
      <c r="T107" s="28">
        <f t="shared" si="8"/>
        <v>2.5703328551772594E-2</v>
      </c>
      <c r="U107" s="68"/>
    </row>
    <row r="108" spans="1:21" x14ac:dyDescent="0.25">
      <c r="A108" s="2">
        <v>43999</v>
      </c>
      <c r="B108" s="126">
        <v>1393</v>
      </c>
      <c r="C108" s="126">
        <v>35552</v>
      </c>
      <c r="D108" s="126">
        <v>35</v>
      </c>
      <c r="E108" s="129">
        <v>913</v>
      </c>
      <c r="F108" s="126">
        <f t="shared" si="5"/>
        <v>209</v>
      </c>
      <c r="G108" s="150">
        <v>10721</v>
      </c>
      <c r="H108" s="153">
        <v>353</v>
      </c>
      <c r="I108" s="126">
        <v>6477</v>
      </c>
      <c r="J108" s="4">
        <v>257092</v>
      </c>
      <c r="K108" s="7">
        <v>882</v>
      </c>
      <c r="L108" s="7">
        <v>175554</v>
      </c>
      <c r="M108" s="4">
        <v>176436</v>
      </c>
      <c r="N108" s="11">
        <v>1036</v>
      </c>
      <c r="O108" s="11">
        <v>13805</v>
      </c>
      <c r="P108" s="11">
        <v>14433</v>
      </c>
      <c r="Q108" s="12">
        <f t="shared" si="11"/>
        <v>6278</v>
      </c>
      <c r="R108" s="20">
        <f t="shared" si="6"/>
        <v>209</v>
      </c>
      <c r="S108" s="35">
        <f t="shared" si="7"/>
        <v>1.4758759093569697E-2</v>
      </c>
      <c r="T108" s="28">
        <f t="shared" si="8"/>
        <v>2.5680693069306929E-2</v>
      </c>
      <c r="U108" s="68"/>
    </row>
    <row r="109" spans="1:21" x14ac:dyDescent="0.25">
      <c r="A109" s="2">
        <v>44000</v>
      </c>
      <c r="B109" s="127">
        <v>1958</v>
      </c>
      <c r="C109" s="126">
        <v>37510</v>
      </c>
      <c r="D109" s="126">
        <v>35</v>
      </c>
      <c r="E109" s="129">
        <v>948</v>
      </c>
      <c r="F109" s="126">
        <f t="shared" si="5"/>
        <v>1130</v>
      </c>
      <c r="G109" s="150">
        <v>11851</v>
      </c>
      <c r="H109" s="126">
        <v>364</v>
      </c>
      <c r="I109" s="126">
        <v>7512</v>
      </c>
      <c r="J109" s="4">
        <v>264604</v>
      </c>
      <c r="K109" s="7">
        <v>906</v>
      </c>
      <c r="L109" s="7">
        <v>180447</v>
      </c>
      <c r="M109" s="4">
        <v>181353</v>
      </c>
      <c r="N109" s="11">
        <v>1049</v>
      </c>
      <c r="O109" s="11">
        <v>14420</v>
      </c>
      <c r="P109" s="11">
        <v>15347</v>
      </c>
      <c r="Q109" s="12">
        <f t="shared" si="11"/>
        <v>6694</v>
      </c>
      <c r="R109" s="20">
        <f t="shared" si="6"/>
        <v>1130</v>
      </c>
      <c r="S109" s="35">
        <f t="shared" si="7"/>
        <v>1.4730282060620777E-2</v>
      </c>
      <c r="T109" s="28">
        <f t="shared" si="8"/>
        <v>2.5273260463876301E-2</v>
      </c>
      <c r="U109" s="68"/>
    </row>
    <row r="110" spans="1:21" x14ac:dyDescent="0.25">
      <c r="A110" s="2">
        <v>44001</v>
      </c>
      <c r="B110" s="127">
        <v>2060</v>
      </c>
      <c r="C110" s="126">
        <v>39570</v>
      </c>
      <c r="D110" s="126">
        <v>31</v>
      </c>
      <c r="E110" s="129">
        <v>979</v>
      </c>
      <c r="F110" s="126">
        <f t="shared" si="5"/>
        <v>355</v>
      </c>
      <c r="G110" s="150">
        <v>12206</v>
      </c>
      <c r="H110" s="126">
        <v>364</v>
      </c>
      <c r="I110" s="126">
        <v>8625</v>
      </c>
      <c r="J110" s="4">
        <v>273229</v>
      </c>
      <c r="K110" s="7">
        <v>931</v>
      </c>
      <c r="L110" s="7">
        <v>185302</v>
      </c>
      <c r="M110" s="4">
        <v>186233</v>
      </c>
      <c r="N110" s="11">
        <v>1044</v>
      </c>
      <c r="O110" s="11">
        <v>15003</v>
      </c>
      <c r="P110" s="11">
        <v>16383</v>
      </c>
      <c r="Q110" s="12">
        <f t="shared" si="11"/>
        <v>7140</v>
      </c>
      <c r="R110" s="20">
        <f t="shared" si="6"/>
        <v>355</v>
      </c>
      <c r="S110" s="35">
        <f t="shared" si="7"/>
        <v>1.3795717263596741E-2</v>
      </c>
      <c r="T110" s="28">
        <f t="shared" si="8"/>
        <v>2.4740965377811473E-2</v>
      </c>
      <c r="U110" s="68"/>
    </row>
    <row r="111" spans="1:21" x14ac:dyDescent="0.25">
      <c r="A111" s="2">
        <v>44002</v>
      </c>
      <c r="B111" s="127">
        <v>1634</v>
      </c>
      <c r="C111" s="129">
        <v>41204</v>
      </c>
      <c r="D111" s="129">
        <v>12</v>
      </c>
      <c r="E111" s="129">
        <v>991</v>
      </c>
      <c r="F111" s="126">
        <f t="shared" si="5"/>
        <v>522</v>
      </c>
      <c r="G111" s="150">
        <v>12728</v>
      </c>
      <c r="H111" s="126">
        <v>381</v>
      </c>
      <c r="I111" s="126">
        <v>6443</v>
      </c>
      <c r="J111" s="4">
        <v>279672</v>
      </c>
      <c r="K111" s="7">
        <v>950</v>
      </c>
      <c r="L111" s="7">
        <v>188951</v>
      </c>
      <c r="M111" s="4">
        <v>189901</v>
      </c>
      <c r="N111" s="4">
        <v>1046</v>
      </c>
      <c r="O111" s="4">
        <v>15528</v>
      </c>
      <c r="P111" s="4">
        <v>17095</v>
      </c>
      <c r="Q111" s="12">
        <f t="shared" si="11"/>
        <v>7535</v>
      </c>
      <c r="R111" s="20">
        <f t="shared" si="6"/>
        <v>522</v>
      </c>
      <c r="S111" s="35">
        <f t="shared" si="7"/>
        <v>1.3862106603601964E-2</v>
      </c>
      <c r="T111" s="28">
        <f t="shared" si="8"/>
        <v>2.4051063003591885E-2</v>
      </c>
      <c r="U111" s="68"/>
    </row>
    <row r="112" spans="1:21" x14ac:dyDescent="0.25">
      <c r="A112" s="2">
        <v>44003</v>
      </c>
      <c r="B112" s="127">
        <v>1581</v>
      </c>
      <c r="C112" s="126">
        <v>42785</v>
      </c>
      <c r="D112" s="129">
        <v>19</v>
      </c>
      <c r="E112" s="126">
        <v>1011</v>
      </c>
      <c r="F112" s="126">
        <f t="shared" si="5"/>
        <v>425</v>
      </c>
      <c r="G112" s="154">
        <v>13153</v>
      </c>
      <c r="H112" s="126">
        <v>397</v>
      </c>
      <c r="I112" s="126">
        <v>5719</v>
      </c>
      <c r="J112" s="7">
        <v>285391</v>
      </c>
      <c r="K112" s="7">
        <v>773.26800000001094</v>
      </c>
      <c r="L112" s="7">
        <v>192543.73199999999</v>
      </c>
      <c r="M112" s="4">
        <v>193317</v>
      </c>
      <c r="N112" s="4">
        <v>1047</v>
      </c>
      <c r="O112" s="4">
        <v>16101</v>
      </c>
      <c r="P112" s="4">
        <v>17750</v>
      </c>
      <c r="Q112" s="12">
        <f t="shared" si="11"/>
        <v>7887</v>
      </c>
      <c r="R112" s="20">
        <f t="shared" si="6"/>
        <v>425</v>
      </c>
      <c r="S112" s="35">
        <f t="shared" si="7"/>
        <v>1.3870933929632089E-2</v>
      </c>
      <c r="T112" s="28">
        <f t="shared" si="8"/>
        <v>2.3629776790931402E-2</v>
      </c>
      <c r="U112" s="68"/>
    </row>
    <row r="113" spans="1:22" x14ac:dyDescent="0.25">
      <c r="A113" s="2">
        <v>44004</v>
      </c>
      <c r="B113" s="127">
        <v>2146</v>
      </c>
      <c r="C113" s="129">
        <v>44931</v>
      </c>
      <c r="D113" s="126">
        <v>32</v>
      </c>
      <c r="E113" s="126">
        <f>E112+D113</f>
        <v>1043</v>
      </c>
      <c r="F113" s="126">
        <f t="shared" si="5"/>
        <v>423</v>
      </c>
      <c r="G113" s="154">
        <v>13576</v>
      </c>
      <c r="H113" s="126">
        <v>414</v>
      </c>
      <c r="I113" s="126">
        <v>7120</v>
      </c>
      <c r="J113" s="7">
        <v>292511</v>
      </c>
      <c r="K113" s="14">
        <v>790</v>
      </c>
      <c r="L113" s="14">
        <v>196839</v>
      </c>
      <c r="M113" s="4">
        <v>197629</v>
      </c>
      <c r="N113" s="12">
        <v>1050</v>
      </c>
      <c r="O113" s="12">
        <v>16924</v>
      </c>
      <c r="P113" s="12">
        <v>18537</v>
      </c>
      <c r="Q113" s="12">
        <f t="shared" si="11"/>
        <v>8420</v>
      </c>
      <c r="R113" s="20">
        <f t="shared" si="6"/>
        <v>423</v>
      </c>
      <c r="S113" s="35">
        <f t="shared" si="7"/>
        <v>1.3657957244655582E-2</v>
      </c>
      <c r="T113" s="28">
        <f t="shared" si="8"/>
        <v>2.3213371614252964E-2</v>
      </c>
      <c r="U113" s="68"/>
    </row>
    <row r="114" spans="1:22" x14ac:dyDescent="0.25">
      <c r="A114" s="2">
        <v>44005</v>
      </c>
      <c r="B114" s="126">
        <v>2285</v>
      </c>
      <c r="C114" s="126">
        <f>C113+B114</f>
        <v>47216</v>
      </c>
      <c r="D114" s="126">
        <v>35</v>
      </c>
      <c r="E114" s="126">
        <f>E113+D114</f>
        <v>1078</v>
      </c>
      <c r="F114" s="126">
        <f t="shared" si="5"/>
        <v>240</v>
      </c>
      <c r="G114" s="154">
        <v>13816</v>
      </c>
      <c r="H114" s="126">
        <v>433</v>
      </c>
      <c r="I114" s="126">
        <v>7832</v>
      </c>
      <c r="J114" s="12">
        <v>300343</v>
      </c>
      <c r="K114" s="14">
        <v>812</v>
      </c>
      <c r="L114" s="31">
        <v>202380</v>
      </c>
      <c r="M114" s="12">
        <v>203192</v>
      </c>
      <c r="N114" s="11">
        <v>1052</v>
      </c>
      <c r="O114" s="12">
        <v>17655</v>
      </c>
      <c r="P114" s="12">
        <v>19603</v>
      </c>
      <c r="Q114" s="12">
        <f t="shared" si="11"/>
        <v>8906</v>
      </c>
      <c r="R114" s="20">
        <f t="shared" si="6"/>
        <v>240</v>
      </c>
      <c r="S114" s="35">
        <f t="shared" si="7"/>
        <v>1.3396448239589135E-2</v>
      </c>
      <c r="T114" s="28">
        <f t="shared" si="8"/>
        <v>2.2831243646221619E-2</v>
      </c>
      <c r="U114" s="68"/>
    </row>
    <row r="115" spans="1:22" x14ac:dyDescent="0.25">
      <c r="A115" s="2">
        <v>44006</v>
      </c>
      <c r="B115" s="127">
        <v>2635</v>
      </c>
      <c r="C115" s="126">
        <v>49851</v>
      </c>
      <c r="D115" s="126">
        <v>38</v>
      </c>
      <c r="E115" s="126">
        <v>1116</v>
      </c>
      <c r="F115" s="126">
        <f t="shared" si="5"/>
        <v>972</v>
      </c>
      <c r="G115" s="154">
        <v>14788</v>
      </c>
      <c r="H115" s="126">
        <v>457</v>
      </c>
      <c r="I115" s="126">
        <v>9258</v>
      </c>
      <c r="J115" s="4">
        <v>309601</v>
      </c>
      <c r="K115" s="14">
        <v>832.92800000001444</v>
      </c>
      <c r="L115" s="14">
        <v>207399.07199999999</v>
      </c>
      <c r="M115" s="1">
        <v>208232</v>
      </c>
      <c r="N115" s="10">
        <v>1060</v>
      </c>
      <c r="O115" s="10">
        <v>18460</v>
      </c>
      <c r="P115" s="10">
        <v>20816</v>
      </c>
      <c r="Q115" s="12">
        <f t="shared" si="11"/>
        <v>9515</v>
      </c>
      <c r="R115" s="20">
        <f t="shared" si="6"/>
        <v>972</v>
      </c>
      <c r="S115" s="35">
        <f t="shared" si="7"/>
        <v>1.3462161604854627E-2</v>
      </c>
      <c r="T115" s="28">
        <f t="shared" si="8"/>
        <v>2.2386712402960824E-2</v>
      </c>
      <c r="U115" s="68"/>
    </row>
    <row r="116" spans="1:22" x14ac:dyDescent="0.25">
      <c r="A116" s="2">
        <v>44007</v>
      </c>
      <c r="B116" s="126">
        <v>2606</v>
      </c>
      <c r="C116" s="129">
        <v>52457</v>
      </c>
      <c r="D116" s="126">
        <v>34</v>
      </c>
      <c r="E116" s="126">
        <v>1150</v>
      </c>
      <c r="F116" s="126">
        <f t="shared" si="5"/>
        <v>3628</v>
      </c>
      <c r="G116" s="154">
        <v>18416</v>
      </c>
      <c r="H116" s="126">
        <v>472</v>
      </c>
      <c r="I116" s="126">
        <v>9120</v>
      </c>
      <c r="J116" s="4">
        <v>318721</v>
      </c>
      <c r="K116" s="7">
        <v>852</v>
      </c>
      <c r="L116" s="7">
        <v>212323</v>
      </c>
      <c r="M116" s="4">
        <v>213175</v>
      </c>
      <c r="N116" s="4">
        <v>1061</v>
      </c>
      <c r="O116" s="4">
        <v>19202</v>
      </c>
      <c r="P116" s="4">
        <v>22078</v>
      </c>
      <c r="Q116" s="12">
        <f t="shared" si="11"/>
        <v>10116</v>
      </c>
      <c r="R116" s="20">
        <f t="shared" si="6"/>
        <v>3628</v>
      </c>
      <c r="S116" s="35">
        <f t="shared" si="7"/>
        <v>1.4350430208871728E-2</v>
      </c>
      <c r="T116" s="28">
        <f t="shared" si="8"/>
        <v>2.1922717654459842E-2</v>
      </c>
      <c r="U116" s="68"/>
    </row>
    <row r="117" spans="1:22" x14ac:dyDescent="0.25">
      <c r="A117" s="2">
        <v>44008</v>
      </c>
      <c r="B117" s="127">
        <v>2886</v>
      </c>
      <c r="C117" s="126">
        <v>55343</v>
      </c>
      <c r="D117" s="129">
        <v>34</v>
      </c>
      <c r="E117" s="129">
        <v>1184</v>
      </c>
      <c r="F117" s="126">
        <f t="shared" si="5"/>
        <v>727</v>
      </c>
      <c r="G117" s="154">
        <v>19143</v>
      </c>
      <c r="H117" s="126">
        <v>507</v>
      </c>
      <c r="I117" s="126">
        <v>10315</v>
      </c>
      <c r="J117" s="4">
        <v>329036</v>
      </c>
      <c r="K117" s="7">
        <v>874</v>
      </c>
      <c r="L117" s="7">
        <v>217766</v>
      </c>
      <c r="M117" s="4">
        <v>218640</v>
      </c>
      <c r="N117" s="11">
        <v>1061</v>
      </c>
      <c r="O117" s="11">
        <v>20095</v>
      </c>
      <c r="P117" s="11">
        <v>23464</v>
      </c>
      <c r="Q117" s="12">
        <f t="shared" si="11"/>
        <v>10723</v>
      </c>
      <c r="R117" s="20">
        <f t="shared" si="6"/>
        <v>727</v>
      </c>
      <c r="S117" s="35">
        <f t="shared" si="7"/>
        <v>1.4479095270733379E-2</v>
      </c>
      <c r="T117" s="28">
        <f t="shared" si="8"/>
        <v>2.1393852881123176E-2</v>
      </c>
      <c r="U117" s="68"/>
    </row>
    <row r="118" spans="1:22" x14ac:dyDescent="0.25">
      <c r="A118" s="2">
        <v>44009</v>
      </c>
      <c r="B118" s="129">
        <v>2401</v>
      </c>
      <c r="C118" s="126">
        <v>57744</v>
      </c>
      <c r="D118" s="126">
        <v>23</v>
      </c>
      <c r="E118" s="129">
        <v>1207</v>
      </c>
      <c r="F118" s="126">
        <f t="shared" si="5"/>
        <v>991</v>
      </c>
      <c r="G118" s="154">
        <v>20134</v>
      </c>
      <c r="H118" s="126">
        <v>542</v>
      </c>
      <c r="I118" s="126">
        <v>7915</v>
      </c>
      <c r="J118" s="4">
        <v>336951</v>
      </c>
      <c r="K118" s="7">
        <v>892.88399999999092</v>
      </c>
      <c r="L118" s="7">
        <v>222328.11600000001</v>
      </c>
      <c r="M118" s="4">
        <v>223221</v>
      </c>
      <c r="N118" s="11">
        <v>1062</v>
      </c>
      <c r="O118" s="4">
        <v>20807</v>
      </c>
      <c r="P118" s="4">
        <v>24743</v>
      </c>
      <c r="Q118" s="12">
        <f t="shared" si="11"/>
        <v>11132</v>
      </c>
      <c r="R118" s="20">
        <f t="shared" si="6"/>
        <v>991</v>
      </c>
      <c r="S118" s="35">
        <f t="shared" si="7"/>
        <v>1.4888882784385903E-2</v>
      </c>
      <c r="T118" s="28">
        <f t="shared" si="8"/>
        <v>2.090260459961208E-2</v>
      </c>
      <c r="U118" s="68"/>
    </row>
    <row r="119" spans="1:22" x14ac:dyDescent="0.25">
      <c r="A119" s="2">
        <v>44010</v>
      </c>
      <c r="B119" s="127">
        <v>2189</v>
      </c>
      <c r="C119" s="126">
        <f>C118+B119</f>
        <v>59933</v>
      </c>
      <c r="D119" s="126">
        <v>26</v>
      </c>
      <c r="E119" s="126">
        <f>E118+D119</f>
        <v>1233</v>
      </c>
      <c r="F119" s="126">
        <f t="shared" si="5"/>
        <v>1004</v>
      </c>
      <c r="G119" s="154">
        <v>21138</v>
      </c>
      <c r="H119" s="126">
        <v>535</v>
      </c>
      <c r="I119" s="126">
        <v>7458</v>
      </c>
      <c r="J119" s="4">
        <v>344409</v>
      </c>
      <c r="K119" s="7">
        <v>908</v>
      </c>
      <c r="L119" s="7">
        <v>226138</v>
      </c>
      <c r="M119" s="4">
        <v>227046</v>
      </c>
      <c r="N119" s="4">
        <v>1063</v>
      </c>
      <c r="O119" s="4">
        <v>21599</v>
      </c>
      <c r="P119" s="4">
        <v>25600</v>
      </c>
      <c r="Q119" s="12">
        <f t="shared" si="11"/>
        <v>11671</v>
      </c>
      <c r="R119" s="20">
        <f t="shared" si="6"/>
        <v>1004</v>
      </c>
      <c r="S119" s="35">
        <f t="shared" si="7"/>
        <v>1.4243118044832543E-2</v>
      </c>
      <c r="T119" s="28">
        <f t="shared" si="8"/>
        <v>2.057297315335458E-2</v>
      </c>
      <c r="U119" s="68"/>
      <c r="V119" s="198"/>
    </row>
    <row r="120" spans="1:22" x14ac:dyDescent="0.25">
      <c r="A120" s="36">
        <v>44011</v>
      </c>
      <c r="B120" s="129">
        <v>2335</v>
      </c>
      <c r="C120" s="126">
        <f>C119+B120</f>
        <v>62268</v>
      </c>
      <c r="D120" s="126">
        <v>48</v>
      </c>
      <c r="E120" s="126">
        <f>E119+D120</f>
        <v>1281</v>
      </c>
      <c r="F120" s="126">
        <f t="shared" si="5"/>
        <v>890</v>
      </c>
      <c r="G120" s="154">
        <v>22028</v>
      </c>
      <c r="H120" s="126">
        <v>555</v>
      </c>
      <c r="I120" s="126">
        <v>7933</v>
      </c>
      <c r="J120" s="4">
        <v>350402</v>
      </c>
      <c r="K120" s="7">
        <v>928</v>
      </c>
      <c r="L120" s="7">
        <f>M120-K120</f>
        <v>231088</v>
      </c>
      <c r="M120" s="4">
        <v>232016</v>
      </c>
      <c r="N120" s="4">
        <v>1064</v>
      </c>
      <c r="O120" s="4">
        <v>22481</v>
      </c>
      <c r="P120" s="4">
        <v>27136</v>
      </c>
      <c r="Q120" s="12">
        <f t="shared" si="11"/>
        <v>11587</v>
      </c>
      <c r="R120" s="20">
        <f t="shared" si="6"/>
        <v>890</v>
      </c>
      <c r="S120" s="35">
        <f t="shared" si="7"/>
        <v>1.4245745527349264E-2</v>
      </c>
      <c r="T120" s="28">
        <f t="shared" si="8"/>
        <v>2.0572364617460013E-2</v>
      </c>
      <c r="U120" s="68"/>
      <c r="V120" s="198"/>
    </row>
    <row r="121" spans="1:22" x14ac:dyDescent="0.25">
      <c r="A121" s="2">
        <v>44012</v>
      </c>
      <c r="B121" s="126">
        <v>2262</v>
      </c>
      <c r="C121" s="126">
        <v>64530</v>
      </c>
      <c r="D121" s="126">
        <v>27</v>
      </c>
      <c r="E121" s="126">
        <v>1307</v>
      </c>
      <c r="F121" s="126">
        <f t="shared" si="5"/>
        <v>1012</v>
      </c>
      <c r="G121" s="154">
        <v>23040</v>
      </c>
      <c r="H121" s="126">
        <v>576</v>
      </c>
      <c r="I121" s="126">
        <v>10506</v>
      </c>
      <c r="J121" s="4">
        <v>362908</v>
      </c>
      <c r="K121" s="7">
        <v>946</v>
      </c>
      <c r="L121" s="7">
        <f>M121-K121</f>
        <v>235617</v>
      </c>
      <c r="M121" s="4">
        <v>236563</v>
      </c>
      <c r="N121" s="12">
        <v>1065</v>
      </c>
      <c r="O121" s="4">
        <v>23565</v>
      </c>
      <c r="P121" s="12">
        <v>28732</v>
      </c>
      <c r="Q121" s="12">
        <f t="shared" si="11"/>
        <v>11168</v>
      </c>
      <c r="R121" s="20">
        <f t="shared" si="6"/>
        <v>1012</v>
      </c>
      <c r="S121" s="35">
        <f t="shared" si="7"/>
        <v>1.4334420028370206E-2</v>
      </c>
      <c r="T121" s="28">
        <f t="shared" si="8"/>
        <v>2.0254145358747869E-2</v>
      </c>
      <c r="U121" s="68"/>
      <c r="V121" s="198"/>
    </row>
    <row r="122" spans="1:22" x14ac:dyDescent="0.25">
      <c r="A122" s="2">
        <v>44013</v>
      </c>
      <c r="B122" s="129">
        <v>2667</v>
      </c>
      <c r="C122" s="126">
        <f>C121+B122</f>
        <v>67197</v>
      </c>
      <c r="D122" s="126">
        <v>44</v>
      </c>
      <c r="E122" s="126">
        <f>E121+D122</f>
        <v>1351</v>
      </c>
      <c r="F122" s="126">
        <f t="shared" si="5"/>
        <v>1146</v>
      </c>
      <c r="G122" s="154">
        <v>24186</v>
      </c>
      <c r="H122" s="126">
        <v>594</v>
      </c>
      <c r="I122" s="126">
        <v>9200</v>
      </c>
      <c r="J122" s="4">
        <v>372108</v>
      </c>
      <c r="K122" s="7">
        <v>966</v>
      </c>
      <c r="L122" s="7">
        <v>240610</v>
      </c>
      <c r="M122" s="4">
        <v>246576</v>
      </c>
      <c r="N122" s="11">
        <v>1066</v>
      </c>
      <c r="O122" s="11">
        <v>24124</v>
      </c>
      <c r="P122" s="11">
        <v>30493</v>
      </c>
      <c r="Q122" s="12">
        <f t="shared" si="11"/>
        <v>11514</v>
      </c>
      <c r="R122" s="20">
        <f t="shared" si="6"/>
        <v>1146</v>
      </c>
      <c r="S122" s="35">
        <f t="shared" si="7"/>
        <v>1.4258281325012001E-2</v>
      </c>
      <c r="T122" s="28">
        <f t="shared" si="8"/>
        <v>2.0105064214176228E-2</v>
      </c>
      <c r="U122" s="68"/>
      <c r="V122" s="198"/>
    </row>
    <row r="123" spans="1:22" x14ac:dyDescent="0.25">
      <c r="A123" s="2">
        <v>44014</v>
      </c>
      <c r="B123" s="129">
        <v>2744</v>
      </c>
      <c r="C123" s="126">
        <f>C122+B123</f>
        <v>69941</v>
      </c>
      <c r="D123" s="126">
        <v>34</v>
      </c>
      <c r="E123" s="126">
        <f>D123+E122</f>
        <v>1385</v>
      </c>
      <c r="F123" s="126">
        <f t="shared" si="5"/>
        <v>1038</v>
      </c>
      <c r="G123" s="154">
        <v>25224</v>
      </c>
      <c r="H123" s="126">
        <v>620</v>
      </c>
      <c r="I123" s="126">
        <v>9323</v>
      </c>
      <c r="J123" s="4">
        <v>381431</v>
      </c>
      <c r="K123" s="7">
        <f>M123-L123</f>
        <v>737.55600000001141</v>
      </c>
      <c r="L123" s="7">
        <f>M123*0.997</f>
        <v>245114.44399999999</v>
      </c>
      <c r="M123" s="4">
        <v>245852</v>
      </c>
      <c r="N123" s="4">
        <v>1067</v>
      </c>
      <c r="O123" s="4">
        <v>24969</v>
      </c>
      <c r="P123" s="4">
        <v>32144</v>
      </c>
      <c r="Q123" s="12">
        <f t="shared" si="11"/>
        <v>11761</v>
      </c>
      <c r="R123" s="20">
        <f t="shared" si="6"/>
        <v>1038</v>
      </c>
      <c r="S123" s="35">
        <f t="shared" si="7"/>
        <v>1.4308132557924859E-2</v>
      </c>
      <c r="T123" s="28">
        <f t="shared" si="8"/>
        <v>1.9802404884116612E-2</v>
      </c>
      <c r="U123" s="68"/>
      <c r="V123" s="198"/>
    </row>
    <row r="124" spans="1:22" ht="16.5" customHeight="1" x14ac:dyDescent="0.25">
      <c r="A124" s="2">
        <v>44015</v>
      </c>
      <c r="B124" s="127">
        <v>2845</v>
      </c>
      <c r="C124" s="124">
        <f>C123+B124</f>
        <v>72786</v>
      </c>
      <c r="D124" s="124">
        <v>52</v>
      </c>
      <c r="E124" s="124">
        <f>E123+D124</f>
        <v>1437</v>
      </c>
      <c r="F124" s="126">
        <f t="shared" si="5"/>
        <v>706</v>
      </c>
      <c r="G124" s="154">
        <v>25930</v>
      </c>
      <c r="H124" s="124">
        <v>637</v>
      </c>
      <c r="I124" s="126">
        <v>8951</v>
      </c>
      <c r="J124" s="4">
        <v>390382</v>
      </c>
      <c r="K124" s="7">
        <v>751</v>
      </c>
      <c r="L124" s="7">
        <v>249794</v>
      </c>
      <c r="M124" s="4">
        <f>L124+K124</f>
        <v>250545</v>
      </c>
      <c r="N124" s="11">
        <v>1068</v>
      </c>
      <c r="O124" s="11">
        <v>25848</v>
      </c>
      <c r="P124" s="11">
        <v>33867</v>
      </c>
      <c r="Q124" s="12">
        <f t="shared" si="11"/>
        <v>12003</v>
      </c>
      <c r="R124" s="20">
        <f t="shared" si="6"/>
        <v>706</v>
      </c>
      <c r="S124" s="35">
        <f t="shared" si="7"/>
        <v>1.4024967524604241E-2</v>
      </c>
      <c r="T124" s="28">
        <f t="shared" si="8"/>
        <v>1.9742807682796144E-2</v>
      </c>
      <c r="U124" s="68"/>
      <c r="V124" s="198"/>
    </row>
    <row r="125" spans="1:22" x14ac:dyDescent="0.25">
      <c r="A125" s="2">
        <v>44016</v>
      </c>
      <c r="B125" s="127">
        <v>2590</v>
      </c>
      <c r="C125" s="124">
        <f>C124+B125</f>
        <v>75376</v>
      </c>
      <c r="D125" s="124">
        <v>44</v>
      </c>
      <c r="E125" s="124">
        <f>E124+D125</f>
        <v>1481</v>
      </c>
      <c r="F125" s="126">
        <f t="shared" si="5"/>
        <v>1667</v>
      </c>
      <c r="G125" s="154">
        <v>27597</v>
      </c>
      <c r="H125" s="124">
        <v>658</v>
      </c>
      <c r="I125" s="126">
        <v>9072</v>
      </c>
      <c r="J125" s="4">
        <v>399454</v>
      </c>
      <c r="K125" s="7">
        <v>765</v>
      </c>
      <c r="L125" s="7">
        <v>254498</v>
      </c>
      <c r="M125" s="4">
        <v>255263</v>
      </c>
      <c r="N125" s="4">
        <v>1069</v>
      </c>
      <c r="O125" s="4">
        <v>26548</v>
      </c>
      <c r="P125" s="4">
        <v>35186</v>
      </c>
      <c r="Q125" s="12">
        <f>C125-P125-O125-N125</f>
        <v>12573</v>
      </c>
      <c r="R125" s="20">
        <f t="shared" si="6"/>
        <v>1667</v>
      </c>
      <c r="S125" s="35">
        <f t="shared" si="7"/>
        <v>1.4212276988206833E-2</v>
      </c>
      <c r="T125" s="28">
        <f t="shared" si="8"/>
        <v>1.9648163871789429E-2</v>
      </c>
      <c r="U125" s="68"/>
      <c r="V125" s="198"/>
    </row>
    <row r="126" spans="1:22" x14ac:dyDescent="0.25">
      <c r="A126" s="2">
        <v>44017</v>
      </c>
      <c r="B126" s="129">
        <v>2439</v>
      </c>
      <c r="C126" s="126">
        <v>77815</v>
      </c>
      <c r="D126" s="126">
        <v>26</v>
      </c>
      <c r="E126" s="126">
        <f>E125+D126</f>
        <v>1507</v>
      </c>
      <c r="F126" s="126">
        <f t="shared" si="5"/>
        <v>934</v>
      </c>
      <c r="G126" s="154">
        <v>28531</v>
      </c>
      <c r="H126" s="124">
        <v>676</v>
      </c>
      <c r="I126" s="126">
        <v>6756</v>
      </c>
      <c r="J126" s="4">
        <v>406210</v>
      </c>
      <c r="K126" s="7">
        <v>776</v>
      </c>
      <c r="L126" s="7">
        <v>258025</v>
      </c>
      <c r="M126" s="4">
        <v>258801</v>
      </c>
      <c r="N126" s="11">
        <v>1072</v>
      </c>
      <c r="O126" s="11">
        <v>27239</v>
      </c>
      <c r="P126" s="11">
        <v>36235</v>
      </c>
      <c r="Q126" s="4">
        <f>77815-P126-O126-N126</f>
        <v>13269</v>
      </c>
      <c r="R126" s="20">
        <f t="shared" si="6"/>
        <v>934</v>
      </c>
      <c r="S126" s="35">
        <f t="shared" si="7"/>
        <v>1.4149067542960001E-2</v>
      </c>
      <c r="T126" s="28">
        <f t="shared" si="8"/>
        <v>1.9366446057957978E-2</v>
      </c>
      <c r="U126" s="68"/>
      <c r="V126" s="198"/>
    </row>
    <row r="127" spans="1:22" x14ac:dyDescent="0.25">
      <c r="A127" s="36">
        <v>44018</v>
      </c>
      <c r="B127" s="126">
        <v>2632</v>
      </c>
      <c r="C127" s="126">
        <v>80447</v>
      </c>
      <c r="D127" s="126">
        <v>75</v>
      </c>
      <c r="E127" s="126">
        <v>1582</v>
      </c>
      <c r="F127" s="126">
        <f t="shared" si="5"/>
        <v>1564</v>
      </c>
      <c r="G127" s="154">
        <v>30095</v>
      </c>
      <c r="H127" s="124">
        <v>688</v>
      </c>
      <c r="I127" s="126">
        <v>8487</v>
      </c>
      <c r="J127" s="13">
        <v>414697</v>
      </c>
      <c r="K127" s="7">
        <v>789</v>
      </c>
      <c r="L127" s="7">
        <f>M127-K127</f>
        <v>262367</v>
      </c>
      <c r="M127" s="4">
        <v>263156</v>
      </c>
      <c r="N127" s="4">
        <v>1073</v>
      </c>
      <c r="O127" s="4">
        <v>27991</v>
      </c>
      <c r="P127" s="4">
        <v>38006</v>
      </c>
      <c r="Q127" s="4">
        <f>80447-P127-O127-N127</f>
        <v>13377</v>
      </c>
      <c r="R127" s="20">
        <f t="shared" si="6"/>
        <v>1564</v>
      </c>
      <c r="S127" s="35">
        <f t="shared" si="7"/>
        <v>1.41070330120976E-2</v>
      </c>
      <c r="T127" s="28">
        <f t="shared" si="8"/>
        <v>1.966512113565453E-2</v>
      </c>
      <c r="U127" s="68"/>
      <c r="V127" s="198"/>
    </row>
    <row r="128" spans="1:22" x14ac:dyDescent="0.25">
      <c r="A128" s="2">
        <v>44019</v>
      </c>
      <c r="B128" s="126">
        <v>2979</v>
      </c>
      <c r="C128" s="126">
        <v>83426</v>
      </c>
      <c r="D128" s="126">
        <v>62</v>
      </c>
      <c r="E128" s="129">
        <v>1644</v>
      </c>
      <c r="F128" s="126">
        <f t="shared" si="5"/>
        <v>6407</v>
      </c>
      <c r="G128" s="154">
        <v>36502</v>
      </c>
      <c r="H128" s="126">
        <v>646</v>
      </c>
      <c r="I128" s="126">
        <v>9805</v>
      </c>
      <c r="J128" s="13">
        <v>423782</v>
      </c>
      <c r="K128" s="7">
        <v>803</v>
      </c>
      <c r="L128" s="7">
        <v>266938</v>
      </c>
      <c r="M128" s="4">
        <v>267741</v>
      </c>
      <c r="N128" s="11">
        <v>1074</v>
      </c>
      <c r="O128" s="11">
        <v>28792</v>
      </c>
      <c r="P128" s="11">
        <v>39718</v>
      </c>
      <c r="Q128" s="4">
        <f>83426-P128-O128-N128</f>
        <v>13842</v>
      </c>
      <c r="R128" s="20">
        <f t="shared" si="6"/>
        <v>6407</v>
      </c>
      <c r="S128" s="35">
        <f t="shared" si="7"/>
        <v>1.4266784452296819E-2</v>
      </c>
      <c r="T128" s="28">
        <f t="shared" si="8"/>
        <v>1.9706086831443436E-2</v>
      </c>
      <c r="U128" s="68"/>
      <c r="V128" s="198"/>
    </row>
    <row r="129" spans="1:22" x14ac:dyDescent="0.25">
      <c r="A129" s="2">
        <v>44020</v>
      </c>
      <c r="B129" s="126">
        <v>3604</v>
      </c>
      <c r="C129" s="129">
        <v>87030</v>
      </c>
      <c r="D129" s="126">
        <v>51</v>
      </c>
      <c r="E129" s="144">
        <v>1695</v>
      </c>
      <c r="F129" s="126">
        <f t="shared" si="5"/>
        <v>1811</v>
      </c>
      <c r="G129" s="154">
        <v>38313</v>
      </c>
      <c r="H129" s="126">
        <v>671</v>
      </c>
      <c r="I129" s="126">
        <v>10910</v>
      </c>
      <c r="J129" s="13">
        <v>434692</v>
      </c>
      <c r="K129" s="7">
        <v>819</v>
      </c>
      <c r="L129" s="7">
        <v>272349</v>
      </c>
      <c r="M129" s="4">
        <v>273168</v>
      </c>
      <c r="N129" s="11">
        <v>1074</v>
      </c>
      <c r="O129" s="11">
        <v>29747</v>
      </c>
      <c r="P129" s="11">
        <v>41495</v>
      </c>
      <c r="Q129" s="4">
        <f>87030-P129-O129-N129</f>
        <v>14714</v>
      </c>
      <c r="R129" s="20">
        <f t="shared" si="6"/>
        <v>1811</v>
      </c>
      <c r="S129" s="35">
        <f t="shared" si="7"/>
        <v>1.4269916209433882E-2</v>
      </c>
      <c r="T129" s="28">
        <f t="shared" si="8"/>
        <v>1.9476042743881421E-2</v>
      </c>
      <c r="U129" s="68"/>
      <c r="V129" s="198"/>
    </row>
    <row r="130" spans="1:22" x14ac:dyDescent="0.25">
      <c r="A130" s="2">
        <v>44021</v>
      </c>
      <c r="B130" s="129">
        <v>3663</v>
      </c>
      <c r="C130" s="129">
        <v>90693</v>
      </c>
      <c r="D130" s="126">
        <v>26</v>
      </c>
      <c r="E130" s="129">
        <v>1721</v>
      </c>
      <c r="F130" s="126">
        <f t="shared" si="5"/>
        <v>671</v>
      </c>
      <c r="G130" s="154">
        <v>38984</v>
      </c>
      <c r="H130" s="126">
        <v>662</v>
      </c>
      <c r="I130" s="126">
        <v>11041</v>
      </c>
      <c r="J130" s="13">
        <v>445733</v>
      </c>
      <c r="K130" s="7">
        <v>836</v>
      </c>
      <c r="L130" s="7">
        <v>277811</v>
      </c>
      <c r="M130" s="4">
        <v>278647</v>
      </c>
      <c r="N130" s="11">
        <v>1076</v>
      </c>
      <c r="O130" s="11">
        <v>30597</v>
      </c>
      <c r="P130" s="11">
        <v>43374</v>
      </c>
      <c r="Q130" s="4">
        <f>90693-P130-O130-N130</f>
        <v>15646</v>
      </c>
      <c r="R130" s="20">
        <f t="shared" si="6"/>
        <v>671</v>
      </c>
      <c r="S130" s="35">
        <f t="shared" si="7"/>
        <v>1.3243178362807074E-2</v>
      </c>
      <c r="T130" s="28">
        <f t="shared" si="8"/>
        <v>1.8976106204447972E-2</v>
      </c>
      <c r="U130" s="68"/>
      <c r="V130" s="198"/>
    </row>
    <row r="131" spans="1:22" x14ac:dyDescent="0.25">
      <c r="A131" s="2">
        <v>44022</v>
      </c>
      <c r="B131" s="129">
        <v>3367</v>
      </c>
      <c r="C131" s="126">
        <v>94060</v>
      </c>
      <c r="D131" s="126">
        <v>54</v>
      </c>
      <c r="E131" s="129">
        <v>1775</v>
      </c>
      <c r="F131" s="126">
        <f t="shared" ref="F131:F194" si="12">G131-G130</f>
        <v>2424</v>
      </c>
      <c r="G131" s="154">
        <v>41408</v>
      </c>
      <c r="H131" s="126">
        <v>686</v>
      </c>
      <c r="I131" s="126">
        <v>10309</v>
      </c>
      <c r="J131" s="13">
        <v>456042</v>
      </c>
      <c r="K131" s="7">
        <v>851</v>
      </c>
      <c r="L131" s="7">
        <v>283021</v>
      </c>
      <c r="M131" s="4">
        <f>L131+K131</f>
        <v>283872</v>
      </c>
      <c r="N131" s="4">
        <v>1078</v>
      </c>
      <c r="O131" s="4">
        <v>31739</v>
      </c>
      <c r="P131" s="4">
        <v>45328</v>
      </c>
      <c r="Q131" s="4">
        <v>15915</v>
      </c>
      <c r="R131" s="20">
        <f t="shared" si="6"/>
        <v>2424</v>
      </c>
      <c r="S131" s="35">
        <f t="shared" si="7"/>
        <v>1.3483499420170214E-2</v>
      </c>
      <c r="T131" s="28">
        <f t="shared" si="8"/>
        <v>1.8870933446736127E-2</v>
      </c>
      <c r="U131" s="68"/>
      <c r="V131" s="198"/>
    </row>
    <row r="132" spans="1:22" x14ac:dyDescent="0.25">
      <c r="A132" s="2">
        <v>44023</v>
      </c>
      <c r="B132" s="129">
        <v>3449</v>
      </c>
      <c r="C132" s="129">
        <v>97509</v>
      </c>
      <c r="D132" s="126">
        <v>36</v>
      </c>
      <c r="E132" s="129">
        <v>1811</v>
      </c>
      <c r="F132" s="126">
        <f t="shared" si="12"/>
        <v>1286</v>
      </c>
      <c r="G132" s="154">
        <v>42694</v>
      </c>
      <c r="H132" s="126">
        <v>701</v>
      </c>
      <c r="I132" s="126">
        <v>10266</v>
      </c>
      <c r="J132" s="4">
        <v>466308</v>
      </c>
      <c r="K132" s="7">
        <v>867</v>
      </c>
      <c r="L132" s="7">
        <v>288165</v>
      </c>
      <c r="M132" s="4">
        <f>L132+K132</f>
        <v>289032</v>
      </c>
      <c r="N132" s="11">
        <v>1080</v>
      </c>
      <c r="O132" s="11">
        <v>32616</v>
      </c>
      <c r="P132" s="11">
        <v>46824</v>
      </c>
      <c r="Q132" s="11">
        <v>16989</v>
      </c>
      <c r="R132" s="20">
        <f t="shared" si="6"/>
        <v>1286</v>
      </c>
      <c r="S132" s="35">
        <f t="shared" si="7"/>
        <v>1.3225416949664176E-2</v>
      </c>
      <c r="T132" s="28">
        <f t="shared" si="8"/>
        <v>1.8572644576398074E-2</v>
      </c>
      <c r="U132" s="68"/>
      <c r="V132" s="198"/>
    </row>
    <row r="133" spans="1:22" x14ac:dyDescent="0.25">
      <c r="A133" s="2">
        <v>44024</v>
      </c>
      <c r="B133" s="129">
        <v>2657</v>
      </c>
      <c r="C133" s="129">
        <v>100166</v>
      </c>
      <c r="D133" s="129">
        <v>34</v>
      </c>
      <c r="E133" s="129">
        <v>1845</v>
      </c>
      <c r="F133" s="126">
        <f t="shared" si="12"/>
        <v>1479</v>
      </c>
      <c r="G133" s="154">
        <v>44173</v>
      </c>
      <c r="H133" s="126">
        <v>735</v>
      </c>
      <c r="I133" s="126">
        <v>8114</v>
      </c>
      <c r="J133" s="4">
        <v>474422</v>
      </c>
      <c r="K133" s="7">
        <v>879</v>
      </c>
      <c r="L133" s="7">
        <v>292418</v>
      </c>
      <c r="M133" s="4">
        <f>L133+K133</f>
        <v>293297</v>
      </c>
      <c r="N133" s="11">
        <v>1081</v>
      </c>
      <c r="O133" s="11">
        <v>33376</v>
      </c>
      <c r="P133" s="11">
        <v>48213</v>
      </c>
      <c r="Q133" s="4">
        <f>100166-P133-O133-N133</f>
        <v>17496</v>
      </c>
      <c r="R133" s="20">
        <f t="shared" si="6"/>
        <v>1479</v>
      </c>
      <c r="S133" s="35">
        <f t="shared" si="7"/>
        <v>1.3573908546945408E-2</v>
      </c>
      <c r="T133" s="28">
        <f t="shared" si="8"/>
        <v>1.8419423756564104E-2</v>
      </c>
      <c r="U133" s="68"/>
      <c r="V133" s="198"/>
    </row>
    <row r="134" spans="1:22" x14ac:dyDescent="0.25">
      <c r="A134" s="36">
        <v>44025</v>
      </c>
      <c r="B134" s="126">
        <v>3099</v>
      </c>
      <c r="C134" s="126">
        <v>103265</v>
      </c>
      <c r="D134" s="126">
        <v>58</v>
      </c>
      <c r="E134" s="126">
        <v>1903</v>
      </c>
      <c r="F134" s="126">
        <f t="shared" si="12"/>
        <v>1294</v>
      </c>
      <c r="G134" s="154">
        <v>45467</v>
      </c>
      <c r="H134" s="126">
        <v>752</v>
      </c>
      <c r="I134" s="126">
        <v>9377</v>
      </c>
      <c r="J134" s="4">
        <v>483799</v>
      </c>
      <c r="K134" s="7">
        <v>894</v>
      </c>
      <c r="L134" s="7">
        <f>M134-K134</f>
        <v>297192</v>
      </c>
      <c r="M134" s="4">
        <v>298086</v>
      </c>
      <c r="N134" s="4">
        <v>1082</v>
      </c>
      <c r="O134" s="4">
        <v>34293</v>
      </c>
      <c r="P134" s="4">
        <v>50637</v>
      </c>
      <c r="Q134" s="4">
        <f>103265-P134-O134-N134</f>
        <v>17253</v>
      </c>
      <c r="R134" s="20">
        <f t="shared" ref="R134:R157" si="13">G134-G133</f>
        <v>1294</v>
      </c>
      <c r="S134" s="35">
        <f t="shared" si="7"/>
        <v>1.3453797298506128E-2</v>
      </c>
      <c r="T134" s="28">
        <f t="shared" si="8"/>
        <v>1.8428315498958989E-2</v>
      </c>
      <c r="U134" s="68"/>
      <c r="V134" s="198"/>
    </row>
    <row r="135" spans="1:22" x14ac:dyDescent="0.25">
      <c r="A135" s="2">
        <v>44026</v>
      </c>
      <c r="B135" s="126">
        <v>3645</v>
      </c>
      <c r="C135" s="129">
        <v>106910</v>
      </c>
      <c r="D135" s="126">
        <v>65</v>
      </c>
      <c r="E135" s="126">
        <v>1968</v>
      </c>
      <c r="F135" s="126">
        <f t="shared" si="12"/>
        <v>1831</v>
      </c>
      <c r="G135" s="154">
        <v>47298</v>
      </c>
      <c r="H135" s="126">
        <v>772</v>
      </c>
      <c r="I135" s="126">
        <v>11266</v>
      </c>
      <c r="J135" s="4">
        <v>495065</v>
      </c>
      <c r="K135" s="7">
        <v>912</v>
      </c>
      <c r="L135" s="7">
        <f>M135-K135</f>
        <v>303075</v>
      </c>
      <c r="M135" s="4">
        <v>303987</v>
      </c>
      <c r="N135" s="4">
        <v>1083</v>
      </c>
      <c r="O135" s="4">
        <v>35260</v>
      </c>
      <c r="P135" s="4">
        <v>53247</v>
      </c>
      <c r="Q135" s="4">
        <f>106910-P135-O135-N135</f>
        <v>17320</v>
      </c>
      <c r="R135" s="20">
        <f t="shared" si="13"/>
        <v>1831</v>
      </c>
      <c r="S135" s="35">
        <f t="shared" si="7"/>
        <v>1.3392547359655818E-2</v>
      </c>
      <c r="T135" s="28">
        <f t="shared" si="8"/>
        <v>1.840800673463661E-2</v>
      </c>
      <c r="U135" s="68"/>
      <c r="V135" s="198"/>
    </row>
    <row r="136" spans="1:22" x14ac:dyDescent="0.25">
      <c r="A136" s="2">
        <v>44027</v>
      </c>
      <c r="B136" s="129">
        <v>4250</v>
      </c>
      <c r="C136" s="126">
        <f>C135+B136</f>
        <v>111160</v>
      </c>
      <c r="D136" s="126">
        <v>82</v>
      </c>
      <c r="E136" s="126">
        <v>2050</v>
      </c>
      <c r="F136" s="126">
        <f t="shared" si="12"/>
        <v>1822</v>
      </c>
      <c r="G136" s="154">
        <v>49120</v>
      </c>
      <c r="H136" s="126">
        <v>783</v>
      </c>
      <c r="I136" s="126">
        <v>13163</v>
      </c>
      <c r="J136" s="4">
        <v>508228</v>
      </c>
      <c r="K136" s="7">
        <v>932</v>
      </c>
      <c r="L136" s="7">
        <f>M136-K136</f>
        <v>308815</v>
      </c>
      <c r="M136" s="4">
        <v>309747</v>
      </c>
      <c r="N136" s="4">
        <v>1085</v>
      </c>
      <c r="O136" s="4">
        <v>36398</v>
      </c>
      <c r="P136" s="4">
        <v>55836</v>
      </c>
      <c r="Q136" s="4">
        <v>17841</v>
      </c>
      <c r="R136" s="20">
        <f t="shared" si="13"/>
        <v>1822</v>
      </c>
      <c r="S136" s="35">
        <f t="shared" si="7"/>
        <v>1.3052175362560427E-2</v>
      </c>
      <c r="T136" s="28">
        <f t="shared" si="8"/>
        <v>1.8441885570349047E-2</v>
      </c>
      <c r="U136" s="68"/>
      <c r="V136" s="198"/>
    </row>
    <row r="137" spans="1:22" s="23" customFormat="1" x14ac:dyDescent="0.25">
      <c r="A137" s="2">
        <v>44028</v>
      </c>
      <c r="B137" s="126">
        <v>3624</v>
      </c>
      <c r="C137" s="127">
        <v>114783</v>
      </c>
      <c r="D137" s="126">
        <v>62</v>
      </c>
      <c r="E137" s="126">
        <v>2112</v>
      </c>
      <c r="F137" s="126">
        <f t="shared" si="12"/>
        <v>660</v>
      </c>
      <c r="G137" s="154">
        <v>49780</v>
      </c>
      <c r="H137" s="126">
        <v>793</v>
      </c>
      <c r="I137" s="126">
        <v>11053</v>
      </c>
      <c r="J137" s="7">
        <v>519281</v>
      </c>
      <c r="K137" s="7">
        <f>M137-L137</f>
        <v>949.03800000000047</v>
      </c>
      <c r="L137" s="7">
        <f>M137*0.997</f>
        <v>315396.962</v>
      </c>
      <c r="M137" s="7">
        <v>316346</v>
      </c>
      <c r="N137" s="7">
        <v>1086</v>
      </c>
      <c r="O137" s="7">
        <v>37225</v>
      </c>
      <c r="P137" s="7">
        <v>57961</v>
      </c>
      <c r="Q137" s="7">
        <f>114783-P137-O137-N137</f>
        <v>18511</v>
      </c>
      <c r="R137" s="20">
        <f t="shared" si="13"/>
        <v>660</v>
      </c>
      <c r="S137" s="35">
        <f t="shared" si="7"/>
        <v>1.2609117361784675E-2</v>
      </c>
      <c r="T137" s="28">
        <f t="shared" si="8"/>
        <v>1.8399937272941116E-2</v>
      </c>
      <c r="U137" s="68"/>
      <c r="V137" s="198"/>
    </row>
    <row r="138" spans="1:22" x14ac:dyDescent="0.25">
      <c r="A138" s="2">
        <v>44029</v>
      </c>
      <c r="B138" s="129">
        <v>4518</v>
      </c>
      <c r="C138" s="126">
        <f>C137+B138</f>
        <v>119301</v>
      </c>
      <c r="D138" s="126">
        <v>66</v>
      </c>
      <c r="E138" s="126">
        <v>2178</v>
      </c>
      <c r="F138" s="126">
        <f t="shared" si="12"/>
        <v>0</v>
      </c>
      <c r="G138" s="154">
        <v>49780</v>
      </c>
      <c r="H138" s="126">
        <v>823</v>
      </c>
      <c r="I138" s="126">
        <v>12472</v>
      </c>
      <c r="J138" s="7">
        <v>531753</v>
      </c>
      <c r="K138" s="7">
        <v>967</v>
      </c>
      <c r="L138" s="7">
        <v>321616</v>
      </c>
      <c r="M138" s="7">
        <v>322583</v>
      </c>
      <c r="N138" s="7">
        <v>1093</v>
      </c>
      <c r="O138" s="7">
        <v>38304</v>
      </c>
      <c r="P138" s="7">
        <v>60041</v>
      </c>
      <c r="Q138" s="4">
        <f>119301-P138-O138-N138</f>
        <v>19863</v>
      </c>
      <c r="R138" s="20">
        <f t="shared" si="13"/>
        <v>0</v>
      </c>
      <c r="S138" s="35">
        <f t="shared" si="7"/>
        <v>1.2221017774675913E-2</v>
      </c>
      <c r="T138" s="28">
        <f t="shared" si="8"/>
        <v>1.825634319913496E-2</v>
      </c>
      <c r="U138" s="68"/>
      <c r="V138" s="198"/>
    </row>
    <row r="139" spans="1:22" x14ac:dyDescent="0.25">
      <c r="A139" s="2">
        <v>44030</v>
      </c>
      <c r="B139" s="126">
        <f>3223+82</f>
        <v>3305</v>
      </c>
      <c r="C139" s="126">
        <f>C138+B139</f>
        <v>122606</v>
      </c>
      <c r="D139" s="126">
        <v>42</v>
      </c>
      <c r="E139" s="126">
        <v>2220</v>
      </c>
      <c r="F139" s="126">
        <f t="shared" si="12"/>
        <v>2827</v>
      </c>
      <c r="G139" s="154">
        <v>52607</v>
      </c>
      <c r="H139" s="126">
        <v>824</v>
      </c>
      <c r="I139" s="194">
        <v>9485</v>
      </c>
      <c r="J139" s="7">
        <v>541238</v>
      </c>
      <c r="K139" s="7">
        <v>980</v>
      </c>
      <c r="L139" s="7">
        <f>M139-K139</f>
        <v>325386</v>
      </c>
      <c r="M139" s="7">
        <v>326366</v>
      </c>
      <c r="N139" s="7">
        <v>1093</v>
      </c>
      <c r="O139" s="7">
        <v>39113</v>
      </c>
      <c r="P139" s="7">
        <v>62057</v>
      </c>
      <c r="Q139" s="7">
        <v>20261</v>
      </c>
      <c r="R139" s="20">
        <f t="shared" si="13"/>
        <v>2827</v>
      </c>
      <c r="S139" s="35">
        <f t="shared" si="7"/>
        <v>1.2157157821744199E-2</v>
      </c>
      <c r="T139" s="28">
        <f t="shared" si="8"/>
        <v>1.8106781071073195E-2</v>
      </c>
      <c r="U139" s="68"/>
      <c r="V139" s="198"/>
    </row>
    <row r="140" spans="1:22" x14ac:dyDescent="0.25">
      <c r="A140" s="2">
        <v>44031</v>
      </c>
      <c r="B140" s="126">
        <v>4231</v>
      </c>
      <c r="C140" s="126">
        <f>C139+B140</f>
        <v>126837</v>
      </c>
      <c r="D140" s="126">
        <v>40</v>
      </c>
      <c r="E140" s="126">
        <v>2260</v>
      </c>
      <c r="F140" s="126">
        <f t="shared" si="12"/>
        <v>3306</v>
      </c>
      <c r="G140" s="154">
        <v>55913</v>
      </c>
      <c r="H140" s="126">
        <v>842</v>
      </c>
      <c r="I140" s="194">
        <v>11068</v>
      </c>
      <c r="J140" s="4">
        <v>552306</v>
      </c>
      <c r="K140" s="7">
        <v>997</v>
      </c>
      <c r="L140" s="7">
        <v>331436</v>
      </c>
      <c r="M140" s="4">
        <v>332433</v>
      </c>
      <c r="N140" s="4">
        <v>1095</v>
      </c>
      <c r="O140" s="4">
        <v>40138</v>
      </c>
      <c r="P140" s="4">
        <v>63648</v>
      </c>
      <c r="Q140" s="4">
        <f>126755-P140-O140-N140</f>
        <v>21874</v>
      </c>
      <c r="R140" s="20">
        <f t="shared" si="13"/>
        <v>3306</v>
      </c>
      <c r="S140" s="35">
        <f t="shared" si="7"/>
        <v>1.2262612140277292E-2</v>
      </c>
      <c r="T140" s="28">
        <f t="shared" si="8"/>
        <v>1.7818144547726608E-2</v>
      </c>
      <c r="U140" s="68"/>
      <c r="V140" s="198"/>
    </row>
    <row r="141" spans="1:22" x14ac:dyDescent="0.25">
      <c r="A141" s="36">
        <v>44032</v>
      </c>
      <c r="B141" s="126">
        <v>3937</v>
      </c>
      <c r="C141" s="126">
        <v>130774</v>
      </c>
      <c r="D141" s="126">
        <v>113</v>
      </c>
      <c r="E141" s="126">
        <f t="shared" ref="E141:E146" si="14">E140+D141</f>
        <v>2373</v>
      </c>
      <c r="F141" s="126">
        <f t="shared" si="12"/>
        <v>2685</v>
      </c>
      <c r="G141" s="154">
        <v>58598</v>
      </c>
      <c r="H141" s="126">
        <v>853</v>
      </c>
      <c r="I141" s="126">
        <v>11207</v>
      </c>
      <c r="J141" s="4">
        <v>563513</v>
      </c>
      <c r="K141" s="7">
        <v>1014</v>
      </c>
      <c r="L141" s="7">
        <v>337237</v>
      </c>
      <c r="M141" s="4">
        <v>338251</v>
      </c>
      <c r="N141" s="4">
        <v>1095</v>
      </c>
      <c r="O141" s="4">
        <v>41086</v>
      </c>
      <c r="P141" s="4">
        <v>66293</v>
      </c>
      <c r="Q141" s="4">
        <f>130744-P141-N141-O141</f>
        <v>22270</v>
      </c>
      <c r="R141" s="20">
        <f t="shared" si="13"/>
        <v>2685</v>
      </c>
      <c r="S141" s="35">
        <f t="shared" si="7"/>
        <v>1.2220105153073649E-2</v>
      </c>
      <c r="T141" s="28">
        <f t="shared" si="8"/>
        <v>1.8145808799914356E-2</v>
      </c>
      <c r="U141" s="68"/>
      <c r="V141" s="198"/>
    </row>
    <row r="142" spans="1:22" x14ac:dyDescent="0.25">
      <c r="A142" s="2">
        <v>44033</v>
      </c>
      <c r="B142" s="126">
        <v>5344</v>
      </c>
      <c r="C142" s="126">
        <f t="shared" ref="C142:C154" si="15">C141+B142</f>
        <v>136118</v>
      </c>
      <c r="D142" s="126">
        <v>117</v>
      </c>
      <c r="E142" s="126">
        <f t="shared" si="14"/>
        <v>2490</v>
      </c>
      <c r="F142" s="126">
        <f t="shared" si="12"/>
        <v>1933</v>
      </c>
      <c r="G142" s="154">
        <v>60531</v>
      </c>
      <c r="H142" s="126">
        <v>890</v>
      </c>
      <c r="I142" s="126">
        <v>14689</v>
      </c>
      <c r="J142" s="4">
        <v>578202</v>
      </c>
      <c r="K142" s="7">
        <v>1037</v>
      </c>
      <c r="L142" s="7">
        <v>344681</v>
      </c>
      <c r="M142" s="4">
        <v>345718</v>
      </c>
      <c r="N142" s="4">
        <v>1096</v>
      </c>
      <c r="O142" s="4">
        <v>42253</v>
      </c>
      <c r="P142" s="4">
        <v>69442</v>
      </c>
      <c r="Q142" s="4">
        <v>23327</v>
      </c>
      <c r="R142" s="20">
        <f t="shared" si="13"/>
        <v>1933</v>
      </c>
      <c r="S142" s="35">
        <f t="shared" ref="S142:S147" si="16">H142/(C142-E142-G142)</f>
        <v>1.2175602281899393E-2</v>
      </c>
      <c r="T142" s="28">
        <f t="shared" si="8"/>
        <v>1.8292951703668875E-2</v>
      </c>
      <c r="U142" s="68"/>
      <c r="V142" s="198"/>
    </row>
    <row r="143" spans="1:22" x14ac:dyDescent="0.25">
      <c r="A143" s="2">
        <v>44034</v>
      </c>
      <c r="B143" s="126">
        <v>5782</v>
      </c>
      <c r="C143" s="126">
        <f t="shared" si="15"/>
        <v>141900</v>
      </c>
      <c r="D143" s="126">
        <v>98</v>
      </c>
      <c r="E143" s="126">
        <f t="shared" si="14"/>
        <v>2588</v>
      </c>
      <c r="F143" s="126">
        <f t="shared" si="12"/>
        <v>2284</v>
      </c>
      <c r="G143" s="154">
        <v>62815</v>
      </c>
      <c r="H143" s="126">
        <v>902</v>
      </c>
      <c r="I143" s="126">
        <v>14842</v>
      </c>
      <c r="J143" s="4">
        <f>J142+I143</f>
        <v>593044</v>
      </c>
      <c r="K143" s="7">
        <v>1058</v>
      </c>
      <c r="L143" s="7">
        <v>351858</v>
      </c>
      <c r="M143" s="4">
        <v>352916</v>
      </c>
      <c r="N143" s="4">
        <v>1096</v>
      </c>
      <c r="O143" s="4">
        <v>43748</v>
      </c>
      <c r="P143" s="4">
        <v>72527</v>
      </c>
      <c r="Q143" s="4">
        <f>141900-P143-O143-N143</f>
        <v>24529</v>
      </c>
      <c r="R143" s="20">
        <f t="shared" si="13"/>
        <v>2284</v>
      </c>
      <c r="S143" s="35">
        <f t="shared" si="16"/>
        <v>1.1791312077597814E-2</v>
      </c>
      <c r="T143" s="28">
        <f t="shared" ref="T143:T196" si="17">E143/C143</f>
        <v>1.8238195912614517E-2</v>
      </c>
      <c r="U143" s="68"/>
      <c r="V143" s="198"/>
    </row>
    <row r="144" spans="1:22" x14ac:dyDescent="0.25">
      <c r="A144" s="2">
        <v>44035</v>
      </c>
      <c r="B144" s="130">
        <v>6127</v>
      </c>
      <c r="C144" s="126">
        <f t="shared" si="15"/>
        <v>148027</v>
      </c>
      <c r="D144" s="126">
        <f>29+85</f>
        <v>114</v>
      </c>
      <c r="E144" s="126">
        <f t="shared" si="14"/>
        <v>2702</v>
      </c>
      <c r="F144" s="126">
        <f t="shared" si="12"/>
        <v>2632</v>
      </c>
      <c r="G144" s="154">
        <v>65447</v>
      </c>
      <c r="H144" s="126">
        <v>913</v>
      </c>
      <c r="I144" s="129">
        <v>16218</v>
      </c>
      <c r="J144" s="4">
        <v>609262</v>
      </c>
      <c r="K144" s="7">
        <v>1082</v>
      </c>
      <c r="L144" s="7">
        <v>359756</v>
      </c>
      <c r="M144" s="4">
        <v>360838</v>
      </c>
      <c r="N144" s="4">
        <v>1101</v>
      </c>
      <c r="O144" s="4">
        <v>45026</v>
      </c>
      <c r="P144" s="4">
        <v>76114</v>
      </c>
      <c r="Q144" s="4">
        <f>148027-P144-O144-N144</f>
        <v>25786</v>
      </c>
      <c r="R144" s="20">
        <f t="shared" si="13"/>
        <v>2632</v>
      </c>
      <c r="S144" s="35">
        <f t="shared" si="16"/>
        <v>1.1429930644232455E-2</v>
      </c>
      <c r="T144" s="28">
        <f t="shared" si="17"/>
        <v>1.8253426739716402E-2</v>
      </c>
      <c r="U144" s="68"/>
      <c r="V144" s="198"/>
    </row>
    <row r="145" spans="1:22" x14ac:dyDescent="0.25">
      <c r="A145" s="2">
        <v>44036</v>
      </c>
      <c r="B145" s="126">
        <v>5493</v>
      </c>
      <c r="C145" s="126">
        <f t="shared" si="15"/>
        <v>153520</v>
      </c>
      <c r="D145" s="126">
        <f>20+85</f>
        <v>105</v>
      </c>
      <c r="E145" s="126">
        <f t="shared" si="14"/>
        <v>2807</v>
      </c>
      <c r="F145" s="126">
        <f t="shared" si="12"/>
        <v>2575</v>
      </c>
      <c r="G145" s="154">
        <v>68022</v>
      </c>
      <c r="H145" s="126">
        <v>955</v>
      </c>
      <c r="I145" s="194">
        <v>14631</v>
      </c>
      <c r="J145" s="4">
        <f>J144+I145</f>
        <v>623893</v>
      </c>
      <c r="K145" s="7">
        <v>736</v>
      </c>
      <c r="L145" s="7">
        <v>367243</v>
      </c>
      <c r="M145" s="4">
        <v>367979</v>
      </c>
      <c r="N145" s="4">
        <v>1105</v>
      </c>
      <c r="O145" s="4">
        <v>46528</v>
      </c>
      <c r="P145" s="4">
        <v>79424</v>
      </c>
      <c r="Q145" s="4">
        <f>153520-P145-O145-N145</f>
        <v>26463</v>
      </c>
      <c r="R145" s="20">
        <f t="shared" si="13"/>
        <v>2575</v>
      </c>
      <c r="S145" s="35">
        <f t="shared" si="16"/>
        <v>1.1549019844964991E-2</v>
      </c>
      <c r="T145" s="28">
        <f t="shared" si="17"/>
        <v>1.8284262636789995E-2</v>
      </c>
      <c r="U145" s="68"/>
      <c r="V145" s="198"/>
    </row>
    <row r="146" spans="1:22" x14ac:dyDescent="0.25">
      <c r="A146" s="2">
        <v>44037</v>
      </c>
      <c r="B146" s="126">
        <v>4814</v>
      </c>
      <c r="C146" s="126">
        <f t="shared" si="15"/>
        <v>158334</v>
      </c>
      <c r="D146" s="126">
        <v>86</v>
      </c>
      <c r="E146" s="126">
        <f t="shared" si="14"/>
        <v>2893</v>
      </c>
      <c r="F146" s="126">
        <f t="shared" si="12"/>
        <v>2496</v>
      </c>
      <c r="G146" s="154">
        <v>70518</v>
      </c>
      <c r="H146" s="126">
        <v>980</v>
      </c>
      <c r="I146" s="126">
        <v>12951</v>
      </c>
      <c r="J146" s="4">
        <v>636844</v>
      </c>
      <c r="K146" s="7">
        <f>M146-L146</f>
        <v>748.94599999999627</v>
      </c>
      <c r="L146" s="7">
        <f>M146*0.998</f>
        <v>373724.054</v>
      </c>
      <c r="M146" s="4">
        <v>374473</v>
      </c>
      <c r="N146" s="4">
        <v>1107</v>
      </c>
      <c r="O146" s="4">
        <v>47659</v>
      </c>
      <c r="P146" s="4">
        <v>81828</v>
      </c>
      <c r="Q146" s="4">
        <f>158334-P146-O146-N146</f>
        <v>27740</v>
      </c>
      <c r="R146" s="20">
        <f t="shared" si="13"/>
        <v>2496</v>
      </c>
      <c r="S146" s="35">
        <f t="shared" si="16"/>
        <v>1.1539865525240512E-2</v>
      </c>
      <c r="T146" s="28">
        <f t="shared" si="17"/>
        <v>1.8271502014728359E-2</v>
      </c>
      <c r="U146" s="68"/>
      <c r="V146" s="198"/>
    </row>
    <row r="147" spans="1:22" x14ac:dyDescent="0.25">
      <c r="A147" s="2">
        <v>44038</v>
      </c>
      <c r="B147" s="126">
        <v>4192</v>
      </c>
      <c r="C147" s="126">
        <f t="shared" si="15"/>
        <v>162526</v>
      </c>
      <c r="D147" s="126">
        <v>45</v>
      </c>
      <c r="E147" s="126">
        <f>E146+D147</f>
        <v>2938</v>
      </c>
      <c r="F147" s="126">
        <f t="shared" si="12"/>
        <v>2057</v>
      </c>
      <c r="G147" s="154">
        <v>72575</v>
      </c>
      <c r="H147" s="126">
        <v>993</v>
      </c>
      <c r="I147" s="126">
        <v>10870</v>
      </c>
      <c r="J147" s="13">
        <v>647714</v>
      </c>
      <c r="K147" s="7">
        <f>M147-L147</f>
        <v>759.3979999999865</v>
      </c>
      <c r="L147" s="7">
        <f>0.998*M147</f>
        <v>378939.60200000001</v>
      </c>
      <c r="M147" s="4">
        <v>379699</v>
      </c>
      <c r="N147" s="4">
        <v>1109</v>
      </c>
      <c r="O147" s="4">
        <v>46698</v>
      </c>
      <c r="P147" s="4">
        <v>84358</v>
      </c>
      <c r="Q147" s="4">
        <f>162526-P147-O147-N147</f>
        <v>30361</v>
      </c>
      <c r="R147" s="20">
        <f t="shared" si="13"/>
        <v>2057</v>
      </c>
      <c r="S147" s="35">
        <f t="shared" si="16"/>
        <v>1.1412087848942112E-2</v>
      </c>
      <c r="T147" s="28">
        <f t="shared" si="17"/>
        <v>1.8077107662773956E-2</v>
      </c>
      <c r="U147" s="68"/>
      <c r="V147" s="198"/>
    </row>
    <row r="148" spans="1:22" x14ac:dyDescent="0.25">
      <c r="A148" s="36">
        <v>44039</v>
      </c>
      <c r="B148" s="126">
        <v>4890</v>
      </c>
      <c r="C148" s="126">
        <f t="shared" si="15"/>
        <v>167416</v>
      </c>
      <c r="D148" s="126">
        <f>17+104</f>
        <v>121</v>
      </c>
      <c r="E148" s="126">
        <f>E147+D148</f>
        <v>3059</v>
      </c>
      <c r="F148" s="126">
        <f t="shared" si="12"/>
        <v>2508</v>
      </c>
      <c r="G148" s="154">
        <v>75083</v>
      </c>
      <c r="H148" s="126">
        <v>1002</v>
      </c>
      <c r="I148" s="126">
        <v>12398</v>
      </c>
      <c r="J148" s="13">
        <f>J147+I148</f>
        <v>660112</v>
      </c>
      <c r="K148" s="7">
        <v>771</v>
      </c>
      <c r="L148" s="7">
        <f>M148-K148</f>
        <v>384872</v>
      </c>
      <c r="M148" s="4">
        <v>385643</v>
      </c>
      <c r="N148" s="4">
        <v>1112</v>
      </c>
      <c r="O148" s="4">
        <v>49648</v>
      </c>
      <c r="P148" s="4">
        <v>88238</v>
      </c>
      <c r="Q148" s="4">
        <f>167416-P148-O148-N148</f>
        <v>28418</v>
      </c>
      <c r="R148" s="20">
        <f t="shared" si="13"/>
        <v>2508</v>
      </c>
      <c r="S148" s="35">
        <f t="shared" ref="S148:S160" si="18">H148/(C148-E148-G148)</f>
        <v>1.1223872572081458E-2</v>
      </c>
      <c r="T148" s="28">
        <f t="shared" si="17"/>
        <v>1.8271849763463469E-2</v>
      </c>
      <c r="U148" s="68"/>
      <c r="V148" s="198"/>
    </row>
    <row r="149" spans="1:22" x14ac:dyDescent="0.25">
      <c r="A149" s="2">
        <v>44040</v>
      </c>
      <c r="B149" s="126">
        <v>5939</v>
      </c>
      <c r="C149" s="126">
        <f t="shared" si="15"/>
        <v>173355</v>
      </c>
      <c r="D149" s="126">
        <f>23+97</f>
        <v>120</v>
      </c>
      <c r="E149" s="126">
        <v>3178</v>
      </c>
      <c r="F149" s="126">
        <f t="shared" si="12"/>
        <v>2772</v>
      </c>
      <c r="G149" s="154">
        <v>77855</v>
      </c>
      <c r="H149" s="126">
        <v>1024</v>
      </c>
      <c r="I149" s="126">
        <v>14899</v>
      </c>
      <c r="J149" s="13">
        <v>675011</v>
      </c>
      <c r="K149" s="7">
        <f t="shared" ref="K149:K180" si="19">M149-L149</f>
        <v>785.48800000001211</v>
      </c>
      <c r="L149" s="7">
        <f t="shared" ref="L149:L160" si="20">0.998*M149</f>
        <v>391958.51199999999</v>
      </c>
      <c r="M149" s="4">
        <v>392744</v>
      </c>
      <c r="N149" s="4">
        <v>1119</v>
      </c>
      <c r="O149" s="4">
        <v>51090</v>
      </c>
      <c r="P149" s="4">
        <v>92345</v>
      </c>
      <c r="Q149" s="4">
        <f>173355-P149-O149-N149</f>
        <v>28801</v>
      </c>
      <c r="R149" s="20">
        <f t="shared" si="13"/>
        <v>2772</v>
      </c>
      <c r="S149" s="35">
        <f t="shared" si="18"/>
        <v>1.1091614133142696E-2</v>
      </c>
      <c r="T149" s="28">
        <f t="shared" si="17"/>
        <v>1.8332323844134867E-2</v>
      </c>
      <c r="U149" s="68"/>
      <c r="V149" s="198"/>
    </row>
    <row r="150" spans="1:22" x14ac:dyDescent="0.25">
      <c r="A150" s="2">
        <v>44041</v>
      </c>
      <c r="B150" s="126">
        <v>5641</v>
      </c>
      <c r="C150" s="126">
        <f t="shared" si="15"/>
        <v>178996</v>
      </c>
      <c r="D150" s="126">
        <v>110</v>
      </c>
      <c r="E150" s="126">
        <f>E149+D150</f>
        <v>3288</v>
      </c>
      <c r="F150" s="126">
        <f t="shared" si="12"/>
        <v>2741</v>
      </c>
      <c r="G150" s="154">
        <v>80596</v>
      </c>
      <c r="H150" s="126">
        <v>1057</v>
      </c>
      <c r="I150" s="126">
        <v>15812</v>
      </c>
      <c r="J150" s="13">
        <v>690823</v>
      </c>
      <c r="K150" s="7">
        <f t="shared" si="19"/>
        <v>801.66200000001118</v>
      </c>
      <c r="L150" s="7">
        <f t="shared" si="20"/>
        <v>400029.33799999999</v>
      </c>
      <c r="M150" s="4">
        <v>400831</v>
      </c>
      <c r="N150" s="4">
        <v>1115</v>
      </c>
      <c r="O150" s="4">
        <v>52375</v>
      </c>
      <c r="P150" s="4">
        <v>96710</v>
      </c>
      <c r="Q150" s="4">
        <f>178996-P150-O150-N150</f>
        <v>28796</v>
      </c>
      <c r="R150" s="20">
        <f t="shared" si="13"/>
        <v>2741</v>
      </c>
      <c r="S150" s="35">
        <f t="shared" si="18"/>
        <v>1.1113213895197241E-2</v>
      </c>
      <c r="T150" s="28">
        <f t="shared" si="17"/>
        <v>1.8369125567051777E-2</v>
      </c>
      <c r="U150" s="68"/>
      <c r="V150" s="198"/>
    </row>
    <row r="151" spans="1:22" x14ac:dyDescent="0.25">
      <c r="A151" s="2">
        <v>44042</v>
      </c>
      <c r="B151" s="126">
        <v>6377</v>
      </c>
      <c r="C151" s="126">
        <f t="shared" si="15"/>
        <v>185373</v>
      </c>
      <c r="D151" s="126">
        <f>23+131</f>
        <v>154</v>
      </c>
      <c r="E151" s="126">
        <f>E150+D151</f>
        <v>3442</v>
      </c>
      <c r="F151" s="126">
        <f t="shared" si="12"/>
        <v>3184</v>
      </c>
      <c r="G151" s="154">
        <v>83780</v>
      </c>
      <c r="H151" s="126">
        <v>1076</v>
      </c>
      <c r="I151" s="126">
        <v>16685</v>
      </c>
      <c r="J151" s="4">
        <v>707508</v>
      </c>
      <c r="K151" s="7">
        <f t="shared" si="19"/>
        <v>818.0800000000163</v>
      </c>
      <c r="L151" s="7">
        <f t="shared" si="20"/>
        <v>408221.92</v>
      </c>
      <c r="M151" s="4">
        <v>409040</v>
      </c>
      <c r="N151" s="4">
        <v>1117</v>
      </c>
      <c r="O151" s="4">
        <v>53660</v>
      </c>
      <c r="P151" s="4">
        <v>100811</v>
      </c>
      <c r="Q151" s="4">
        <f>185373-P151-O151-N151</f>
        <v>29785</v>
      </c>
      <c r="R151" s="20">
        <f t="shared" si="13"/>
        <v>3184</v>
      </c>
      <c r="S151" s="35">
        <f t="shared" si="18"/>
        <v>1.0962700329084777E-2</v>
      </c>
      <c r="T151" s="28">
        <f t="shared" si="17"/>
        <v>1.8567968366482713E-2</v>
      </c>
      <c r="U151" s="68"/>
      <c r="V151" s="198"/>
    </row>
    <row r="152" spans="1:22" x14ac:dyDescent="0.25">
      <c r="A152" s="2">
        <v>44043</v>
      </c>
      <c r="B152" s="126">
        <v>5929</v>
      </c>
      <c r="C152" s="126">
        <f t="shared" si="15"/>
        <v>191302</v>
      </c>
      <c r="D152" s="126">
        <f>25+77</f>
        <v>102</v>
      </c>
      <c r="E152" s="126">
        <f>E151+D152</f>
        <v>3544</v>
      </c>
      <c r="F152" s="126">
        <f t="shared" si="12"/>
        <v>2719</v>
      </c>
      <c r="G152" s="154">
        <v>86499</v>
      </c>
      <c r="H152" s="126">
        <v>1104</v>
      </c>
      <c r="I152" s="126">
        <v>15442</v>
      </c>
      <c r="J152" s="4">
        <f>J151+I152</f>
        <v>722950</v>
      </c>
      <c r="K152" s="7">
        <f t="shared" si="19"/>
        <v>833.97600000002421</v>
      </c>
      <c r="L152" s="7">
        <f t="shared" si="20"/>
        <v>416154.02399999998</v>
      </c>
      <c r="M152" s="4">
        <v>416988</v>
      </c>
      <c r="N152" s="4">
        <v>1122</v>
      </c>
      <c r="O152" s="4">
        <v>54915</v>
      </c>
      <c r="P152" s="4">
        <v>104695</v>
      </c>
      <c r="Q152" s="4">
        <f>191302-P152-O152-N152</f>
        <v>30570</v>
      </c>
      <c r="R152" s="20">
        <f t="shared" si="13"/>
        <v>2719</v>
      </c>
      <c r="S152" s="35">
        <f t="shared" si="18"/>
        <v>1.0902734571741771E-2</v>
      </c>
      <c r="T152" s="28">
        <f t="shared" si="17"/>
        <v>1.852568190609612E-2</v>
      </c>
      <c r="U152" s="68"/>
      <c r="V152" s="198"/>
    </row>
    <row r="153" spans="1:22" x14ac:dyDescent="0.25">
      <c r="A153" s="2">
        <v>44044</v>
      </c>
      <c r="B153" s="126">
        <v>5241</v>
      </c>
      <c r="C153" s="126">
        <f t="shared" si="15"/>
        <v>196543</v>
      </c>
      <c r="D153" s="126">
        <f>15+38</f>
        <v>53</v>
      </c>
      <c r="E153" s="126">
        <v>3596</v>
      </c>
      <c r="F153" s="126">
        <f t="shared" si="12"/>
        <v>2527</v>
      </c>
      <c r="G153" s="154">
        <v>89026</v>
      </c>
      <c r="H153" s="126">
        <v>1128</v>
      </c>
      <c r="I153" s="126">
        <v>13057</v>
      </c>
      <c r="J153" s="4">
        <v>736007</v>
      </c>
      <c r="K153" s="7">
        <f t="shared" si="19"/>
        <v>846.24599999998463</v>
      </c>
      <c r="L153" s="7">
        <f t="shared" si="20"/>
        <v>422276.75400000002</v>
      </c>
      <c r="M153" s="4">
        <v>423123</v>
      </c>
      <c r="N153" s="4">
        <v>1123</v>
      </c>
      <c r="O153" s="4">
        <v>55946</v>
      </c>
      <c r="P153" s="4">
        <v>107909</v>
      </c>
      <c r="Q153" s="4">
        <f>196543-P153-O153-N153</f>
        <v>31565</v>
      </c>
      <c r="R153" s="20">
        <f t="shared" si="13"/>
        <v>2527</v>
      </c>
      <c r="S153" s="35">
        <f t="shared" si="18"/>
        <v>1.0854399014636118E-2</v>
      </c>
      <c r="T153" s="28">
        <f t="shared" si="17"/>
        <v>1.8296250693232523E-2</v>
      </c>
      <c r="U153" s="68"/>
      <c r="V153" s="198"/>
    </row>
    <row r="154" spans="1:22" x14ac:dyDescent="0.25">
      <c r="A154" s="2">
        <v>44045</v>
      </c>
      <c r="B154" s="126">
        <v>5376</v>
      </c>
      <c r="C154" s="126">
        <f t="shared" si="15"/>
        <v>201919</v>
      </c>
      <c r="D154" s="126">
        <f>15+36</f>
        <v>51</v>
      </c>
      <c r="E154" s="126">
        <f t="shared" ref="E154:E159" si="21">E153+D154</f>
        <v>3647</v>
      </c>
      <c r="F154" s="126">
        <f t="shared" si="12"/>
        <v>2276</v>
      </c>
      <c r="G154" s="154">
        <v>91302</v>
      </c>
      <c r="H154" s="126">
        <v>1112</v>
      </c>
      <c r="I154" s="126">
        <v>11900</v>
      </c>
      <c r="J154" s="4">
        <v>747907</v>
      </c>
      <c r="K154" s="7">
        <f t="shared" si="19"/>
        <v>856.68800000002375</v>
      </c>
      <c r="L154" s="7">
        <f t="shared" si="20"/>
        <v>427487.31199999998</v>
      </c>
      <c r="M154" s="4">
        <v>428344</v>
      </c>
      <c r="N154" s="4">
        <v>1123</v>
      </c>
      <c r="O154" s="4">
        <v>56975</v>
      </c>
      <c r="P154" s="4">
        <v>110459</v>
      </c>
      <c r="Q154" s="4">
        <f>201919-P154-O154-N154</f>
        <v>33362</v>
      </c>
      <c r="R154" s="20">
        <f t="shared" si="13"/>
        <v>2276</v>
      </c>
      <c r="S154" s="35">
        <f t="shared" si="18"/>
        <v>1.0395437973263533E-2</v>
      </c>
      <c r="T154" s="28">
        <f t="shared" si="17"/>
        <v>1.8061698007616915E-2</v>
      </c>
      <c r="U154" s="68"/>
      <c r="V154" s="198"/>
    </row>
    <row r="155" spans="1:22" x14ac:dyDescent="0.25">
      <c r="A155" s="36">
        <v>44046</v>
      </c>
      <c r="B155" s="129">
        <v>4824</v>
      </c>
      <c r="C155" s="126">
        <f>C154+B155</f>
        <v>206743</v>
      </c>
      <c r="D155" s="126">
        <v>164</v>
      </c>
      <c r="E155" s="126">
        <f t="shared" si="21"/>
        <v>3811</v>
      </c>
      <c r="F155" s="126">
        <f t="shared" si="12"/>
        <v>2827</v>
      </c>
      <c r="G155" s="154">
        <v>94129</v>
      </c>
      <c r="H155" s="126">
        <v>1150</v>
      </c>
      <c r="I155" s="126">
        <v>12839</v>
      </c>
      <c r="J155" s="4">
        <v>760746</v>
      </c>
      <c r="K155" s="7">
        <f t="shared" si="19"/>
        <v>869.87800000002608</v>
      </c>
      <c r="L155" s="7">
        <f t="shared" si="20"/>
        <v>434069.12199999997</v>
      </c>
      <c r="M155" s="4">
        <v>434939</v>
      </c>
      <c r="N155" s="4">
        <v>1123</v>
      </c>
      <c r="O155" s="4">
        <v>58084</v>
      </c>
      <c r="P155" s="4">
        <v>114826</v>
      </c>
      <c r="Q155" s="4">
        <f>206743-N155-O155-P155</f>
        <v>32710</v>
      </c>
      <c r="R155" s="20">
        <f t="shared" si="13"/>
        <v>2827</v>
      </c>
      <c r="S155" s="35">
        <f t="shared" si="18"/>
        <v>1.0569561501061552E-2</v>
      </c>
      <c r="T155" s="28">
        <f t="shared" si="17"/>
        <v>1.8433514073027867E-2</v>
      </c>
      <c r="U155" s="68"/>
      <c r="V155" s="198"/>
    </row>
    <row r="156" spans="1:22" x14ac:dyDescent="0.25">
      <c r="A156" s="2">
        <v>44047</v>
      </c>
      <c r="B156" s="129">
        <v>6792</v>
      </c>
      <c r="C156" s="126">
        <f>C155+B156</f>
        <v>213535</v>
      </c>
      <c r="D156" s="145">
        <f>116+52</f>
        <v>168</v>
      </c>
      <c r="E156" s="126">
        <f t="shared" si="21"/>
        <v>3979</v>
      </c>
      <c r="F156" s="126">
        <f t="shared" si="12"/>
        <v>2819</v>
      </c>
      <c r="G156" s="154">
        <v>96948</v>
      </c>
      <c r="H156" s="126">
        <v>1207</v>
      </c>
      <c r="I156" s="126">
        <v>16532</v>
      </c>
      <c r="J156" s="4">
        <f>J155+I156</f>
        <v>777278</v>
      </c>
      <c r="K156" s="7">
        <f t="shared" si="19"/>
        <v>885.76199999998789</v>
      </c>
      <c r="L156" s="7">
        <f t="shared" si="20"/>
        <v>441995.23800000001</v>
      </c>
      <c r="M156" s="4">
        <v>442881</v>
      </c>
      <c r="N156" s="4">
        <v>1123</v>
      </c>
      <c r="O156" s="4">
        <v>59408</v>
      </c>
      <c r="P156" s="4">
        <v>119544</v>
      </c>
      <c r="Q156" s="4">
        <f>213535-P156-O156-N156</f>
        <v>33460</v>
      </c>
      <c r="R156" s="20">
        <f t="shared" si="13"/>
        <v>2819</v>
      </c>
      <c r="S156" s="35">
        <f t="shared" si="18"/>
        <v>1.0718599033816426E-2</v>
      </c>
      <c r="T156" s="28">
        <f t="shared" si="17"/>
        <v>1.8633947596412764E-2</v>
      </c>
      <c r="U156" s="68"/>
      <c r="V156" s="198"/>
    </row>
    <row r="157" spans="1:22" x14ac:dyDescent="0.25">
      <c r="A157" s="2">
        <v>44048</v>
      </c>
      <c r="B157" s="129">
        <v>7147</v>
      </c>
      <c r="C157" s="126">
        <f>C156+B157</f>
        <v>220682</v>
      </c>
      <c r="D157" s="126">
        <f>30+97</f>
        <v>127</v>
      </c>
      <c r="E157" s="126">
        <f t="shared" si="21"/>
        <v>4106</v>
      </c>
      <c r="F157" s="126">
        <f t="shared" si="12"/>
        <v>2904</v>
      </c>
      <c r="G157" s="154">
        <v>99852</v>
      </c>
      <c r="H157" s="126">
        <v>1219</v>
      </c>
      <c r="I157" s="126">
        <v>17266</v>
      </c>
      <c r="J157" s="4">
        <f>J156+I157</f>
        <v>794544</v>
      </c>
      <c r="K157" s="7">
        <f t="shared" si="19"/>
        <v>902.90999999997439</v>
      </c>
      <c r="L157" s="7">
        <f t="shared" si="20"/>
        <v>450552.09</v>
      </c>
      <c r="M157" s="4">
        <v>451455</v>
      </c>
      <c r="N157" s="4">
        <v>1124</v>
      </c>
      <c r="O157" s="4">
        <v>60922</v>
      </c>
      <c r="P157" s="4">
        <v>124163</v>
      </c>
      <c r="Q157" s="4">
        <f>220682-P157-O157-N157</f>
        <v>34473</v>
      </c>
      <c r="R157" s="20">
        <f t="shared" si="13"/>
        <v>2904</v>
      </c>
      <c r="S157" s="35">
        <f t="shared" si="18"/>
        <v>1.0443439224152702E-2</v>
      </c>
      <c r="T157" s="28">
        <f t="shared" si="17"/>
        <v>1.8605957894164454E-2</v>
      </c>
      <c r="U157" s="68"/>
      <c r="V157" s="198"/>
    </row>
    <row r="158" spans="1:22" x14ac:dyDescent="0.25">
      <c r="A158" s="2">
        <v>44049</v>
      </c>
      <c r="B158" s="129">
        <v>7513</v>
      </c>
      <c r="C158" s="126">
        <f>C157+B158</f>
        <v>228195</v>
      </c>
      <c r="D158" s="126">
        <v>145</v>
      </c>
      <c r="E158" s="126">
        <f t="shared" si="21"/>
        <v>4251</v>
      </c>
      <c r="F158" s="126">
        <f t="shared" si="12"/>
        <v>3445</v>
      </c>
      <c r="G158" s="154">
        <v>103297</v>
      </c>
      <c r="H158" s="126">
        <v>1245</v>
      </c>
      <c r="I158" s="126">
        <v>18020</v>
      </c>
      <c r="J158" s="4">
        <v>812564</v>
      </c>
      <c r="K158" s="7">
        <f t="shared" si="19"/>
        <v>919.37199999997392</v>
      </c>
      <c r="L158" s="7">
        <f t="shared" si="20"/>
        <v>458766.62800000003</v>
      </c>
      <c r="M158" s="4">
        <v>459686</v>
      </c>
      <c r="N158" s="4">
        <v>1127</v>
      </c>
      <c r="O158" s="4">
        <v>62150</v>
      </c>
      <c r="P158" s="4">
        <v>128781</v>
      </c>
      <c r="Q158" s="4">
        <f>228195-P158-O158-N158</f>
        <v>36137</v>
      </c>
      <c r="R158" s="96">
        <f t="shared" ref="R158:R221" si="22">C158-E158-G158</f>
        <v>120647</v>
      </c>
      <c r="S158" s="35">
        <f t="shared" si="18"/>
        <v>1.0319361442887101E-2</v>
      </c>
      <c r="T158" s="28">
        <f t="shared" si="17"/>
        <v>1.8628804312101493E-2</v>
      </c>
      <c r="U158" s="68"/>
      <c r="V158" s="198"/>
    </row>
    <row r="159" spans="1:22" x14ac:dyDescent="0.25">
      <c r="A159" s="2">
        <v>44050</v>
      </c>
      <c r="B159" s="129">
        <v>7482</v>
      </c>
      <c r="C159" s="126">
        <f>C158+B159</f>
        <v>235677</v>
      </c>
      <c r="D159" s="126">
        <v>160</v>
      </c>
      <c r="E159" s="126">
        <f t="shared" si="21"/>
        <v>4411</v>
      </c>
      <c r="F159" s="126">
        <f t="shared" si="12"/>
        <v>4945</v>
      </c>
      <c r="G159" s="154">
        <v>108242</v>
      </c>
      <c r="H159" s="126">
        <v>1293</v>
      </c>
      <c r="I159" s="126">
        <v>17493</v>
      </c>
      <c r="J159" s="4">
        <f>J158+I159</f>
        <v>830057</v>
      </c>
      <c r="K159" s="7">
        <f t="shared" si="19"/>
        <v>940.32600000000093</v>
      </c>
      <c r="L159" s="7">
        <f t="shared" si="20"/>
        <v>469222.674</v>
      </c>
      <c r="M159" s="4">
        <v>470163</v>
      </c>
      <c r="N159" s="4">
        <v>1130</v>
      </c>
      <c r="O159" s="4">
        <v>63695</v>
      </c>
      <c r="P159" s="4">
        <v>133585</v>
      </c>
      <c r="Q159" s="4">
        <f>235677-P159-O159-N159</f>
        <v>37267</v>
      </c>
      <c r="R159" s="96">
        <f t="shared" si="22"/>
        <v>123024</v>
      </c>
      <c r="S159" s="35">
        <f t="shared" si="18"/>
        <v>1.0510144362075693E-2</v>
      </c>
      <c r="T159" s="28">
        <f t="shared" si="17"/>
        <v>1.8716293910733758E-2</v>
      </c>
      <c r="U159" s="68"/>
      <c r="V159" s="198"/>
    </row>
    <row r="160" spans="1:22" x14ac:dyDescent="0.25">
      <c r="A160" s="2">
        <v>44051</v>
      </c>
      <c r="B160" s="129">
        <v>6134</v>
      </c>
      <c r="C160" s="126">
        <f>B160+C159</f>
        <v>241811</v>
      </c>
      <c r="D160" s="126">
        <v>112</v>
      </c>
      <c r="E160" s="126">
        <f t="shared" ref="E160:E165" si="23">E159+D160</f>
        <v>4523</v>
      </c>
      <c r="F160" s="126">
        <f t="shared" si="12"/>
        <v>61867</v>
      </c>
      <c r="G160" s="154">
        <v>170109</v>
      </c>
      <c r="H160" s="126">
        <v>1502</v>
      </c>
      <c r="I160" s="126">
        <v>15163</v>
      </c>
      <c r="J160" s="4">
        <v>845220</v>
      </c>
      <c r="K160" s="7">
        <f t="shared" si="19"/>
        <v>955.79399999999441</v>
      </c>
      <c r="L160" s="7">
        <f t="shared" si="20"/>
        <v>476941.20600000001</v>
      </c>
      <c r="M160" s="4">
        <v>477897</v>
      </c>
      <c r="N160" s="4">
        <v>1130</v>
      </c>
      <c r="O160" s="4">
        <v>64762</v>
      </c>
      <c r="P160" s="4">
        <v>136987</v>
      </c>
      <c r="Q160" s="4">
        <f>241811-P160-O160-N160</f>
        <v>38932</v>
      </c>
      <c r="R160" s="96">
        <f t="shared" si="22"/>
        <v>67179</v>
      </c>
      <c r="S160" s="35">
        <f t="shared" si="18"/>
        <v>2.2358177406630049E-2</v>
      </c>
      <c r="T160" s="28">
        <f t="shared" si="17"/>
        <v>1.870469085360054E-2</v>
      </c>
      <c r="U160" s="68"/>
      <c r="V160" s="198"/>
    </row>
    <row r="161" spans="1:22" x14ac:dyDescent="0.25">
      <c r="A161" s="2">
        <v>44052</v>
      </c>
      <c r="B161" s="129">
        <v>4688</v>
      </c>
      <c r="C161" s="126">
        <f t="shared" ref="C161:C169" si="24">C160+B161</f>
        <v>246499</v>
      </c>
      <c r="D161" s="126">
        <v>83</v>
      </c>
      <c r="E161" s="126">
        <f t="shared" si="23"/>
        <v>4606</v>
      </c>
      <c r="F161" s="126">
        <f t="shared" si="12"/>
        <v>4865</v>
      </c>
      <c r="G161" s="154">
        <v>174974</v>
      </c>
      <c r="H161" s="126">
        <v>1565</v>
      </c>
      <c r="I161" s="126">
        <v>10835</v>
      </c>
      <c r="J161" s="4">
        <v>856055</v>
      </c>
      <c r="K161" s="7">
        <f t="shared" si="19"/>
        <v>966.1020000000135</v>
      </c>
      <c r="L161" s="7">
        <f t="shared" ref="L161:L178" si="25">0.998*M161</f>
        <v>482084.89799999999</v>
      </c>
      <c r="M161" s="4">
        <v>483051</v>
      </c>
      <c r="N161" s="4">
        <v>1131</v>
      </c>
      <c r="O161" s="4">
        <v>65737</v>
      </c>
      <c r="P161" s="4">
        <v>139746</v>
      </c>
      <c r="Q161" s="4">
        <f>246499-P161-O161-N161</f>
        <v>39885</v>
      </c>
      <c r="R161" s="96">
        <f t="shared" si="22"/>
        <v>66919</v>
      </c>
      <c r="S161" s="35">
        <f>H161/(C161-E161-G161)</f>
        <v>2.3386482165005454E-2</v>
      </c>
      <c r="T161" s="28">
        <f t="shared" si="17"/>
        <v>1.8685674181233999E-2</v>
      </c>
      <c r="U161" s="68"/>
      <c r="V161" s="198"/>
    </row>
    <row r="162" spans="1:22" x14ac:dyDescent="0.25">
      <c r="A162" s="36">
        <v>44053</v>
      </c>
      <c r="B162" s="129">
        <v>7369</v>
      </c>
      <c r="C162" s="126">
        <f t="shared" si="24"/>
        <v>253868</v>
      </c>
      <c r="D162" s="126">
        <f>27+131</f>
        <v>158</v>
      </c>
      <c r="E162" s="126">
        <f t="shared" si="23"/>
        <v>4764</v>
      </c>
      <c r="F162" s="126">
        <f t="shared" si="12"/>
        <v>6424</v>
      </c>
      <c r="G162" s="154">
        <v>181398</v>
      </c>
      <c r="H162" s="126">
        <v>1569</v>
      </c>
      <c r="I162" s="126">
        <v>16588</v>
      </c>
      <c r="J162" s="4">
        <v>872643</v>
      </c>
      <c r="K162" s="7">
        <f t="shared" si="19"/>
        <v>983.05200000002515</v>
      </c>
      <c r="L162" s="7">
        <f t="shared" si="25"/>
        <v>490542.94799999997</v>
      </c>
      <c r="M162" s="4">
        <v>491526</v>
      </c>
      <c r="N162" s="4">
        <v>1136</v>
      </c>
      <c r="O162" s="4">
        <v>67245</v>
      </c>
      <c r="P162" s="4">
        <v>144896</v>
      </c>
      <c r="Q162" s="4">
        <f>253686-P162-O162-N162</f>
        <v>40409</v>
      </c>
      <c r="R162" s="96">
        <f t="shared" si="22"/>
        <v>67706</v>
      </c>
      <c r="S162" s="35">
        <f t="shared" ref="S162:S205" si="26">H162/(C162-E162-G162)</f>
        <v>2.3173721679024015E-2</v>
      </c>
      <c r="T162" s="28">
        <f t="shared" si="17"/>
        <v>1.8765657743394205E-2</v>
      </c>
      <c r="U162" s="68"/>
      <c r="V162" s="198"/>
    </row>
    <row r="163" spans="1:22" x14ac:dyDescent="0.25">
      <c r="A163" s="2">
        <v>44054</v>
      </c>
      <c r="B163" s="129">
        <v>7043</v>
      </c>
      <c r="C163" s="126">
        <f t="shared" si="24"/>
        <v>260911</v>
      </c>
      <c r="D163" s="126">
        <f>21+220</f>
        <v>241</v>
      </c>
      <c r="E163" s="126">
        <f t="shared" si="23"/>
        <v>5005</v>
      </c>
      <c r="F163" s="126">
        <f t="shared" si="12"/>
        <v>5885</v>
      </c>
      <c r="G163" s="154">
        <v>187283</v>
      </c>
      <c r="H163" s="126">
        <v>1585</v>
      </c>
      <c r="I163" s="126">
        <v>19174</v>
      </c>
      <c r="J163" s="4">
        <f>J162+I163</f>
        <v>891817</v>
      </c>
      <c r="K163" s="7">
        <f t="shared" si="19"/>
        <v>1003.3040000000037</v>
      </c>
      <c r="L163" s="7">
        <f t="shared" si="25"/>
        <v>500648.696</v>
      </c>
      <c r="M163" s="4">
        <v>501652</v>
      </c>
      <c r="N163" s="4">
        <v>1137</v>
      </c>
      <c r="O163" s="4">
        <v>68717</v>
      </c>
      <c r="P163" s="4">
        <v>151086</v>
      </c>
      <c r="Q163" s="4">
        <f>260911-P163-O163-N163</f>
        <v>39971</v>
      </c>
      <c r="R163" s="96">
        <f t="shared" si="22"/>
        <v>68623</v>
      </c>
      <c r="S163" s="35">
        <f t="shared" si="26"/>
        <v>2.3097212304912348E-2</v>
      </c>
      <c r="T163" s="28">
        <f t="shared" si="17"/>
        <v>1.9182786467416092E-2</v>
      </c>
      <c r="U163" s="68"/>
      <c r="V163" s="198"/>
    </row>
    <row r="164" spans="1:22" x14ac:dyDescent="0.25">
      <c r="A164" s="2">
        <v>44055</v>
      </c>
      <c r="B164" s="129">
        <v>7663</v>
      </c>
      <c r="C164" s="126">
        <f t="shared" si="24"/>
        <v>268574</v>
      </c>
      <c r="D164" s="126">
        <f>84+125</f>
        <v>209</v>
      </c>
      <c r="E164" s="126">
        <f t="shared" si="23"/>
        <v>5214</v>
      </c>
      <c r="F164" s="126">
        <f t="shared" si="12"/>
        <v>5151</v>
      </c>
      <c r="G164" s="154">
        <v>192434</v>
      </c>
      <c r="H164" s="126">
        <v>1662</v>
      </c>
      <c r="I164" s="126">
        <v>19779</v>
      </c>
      <c r="J164" s="4">
        <v>911596</v>
      </c>
      <c r="K164" s="7">
        <f t="shared" si="19"/>
        <v>1024.2339999999967</v>
      </c>
      <c r="L164" s="7">
        <f t="shared" si="25"/>
        <v>511092.766</v>
      </c>
      <c r="M164" s="4">
        <v>512117</v>
      </c>
      <c r="N164" s="4">
        <v>1142</v>
      </c>
      <c r="O164" s="4">
        <v>70280</v>
      </c>
      <c r="P164" s="4">
        <v>156764</v>
      </c>
      <c r="Q164" s="4">
        <f>268574-P164-O164-N164</f>
        <v>40388</v>
      </c>
      <c r="R164" s="96">
        <f t="shared" si="22"/>
        <v>70926</v>
      </c>
      <c r="S164" s="35">
        <f t="shared" si="26"/>
        <v>2.3432873699348617E-2</v>
      </c>
      <c r="T164" s="28">
        <f t="shared" si="17"/>
        <v>1.9413643911919992E-2</v>
      </c>
      <c r="U164" s="68"/>
      <c r="V164" s="198"/>
    </row>
    <row r="165" spans="1:22" x14ac:dyDescent="0.25">
      <c r="A165" s="2">
        <v>44056</v>
      </c>
      <c r="B165" s="129">
        <v>7498</v>
      </c>
      <c r="C165" s="126">
        <f t="shared" si="24"/>
        <v>276072</v>
      </c>
      <c r="D165" s="126">
        <f>33+116</f>
        <v>149</v>
      </c>
      <c r="E165" s="126">
        <f t="shared" si="23"/>
        <v>5363</v>
      </c>
      <c r="F165" s="126">
        <f t="shared" si="12"/>
        <v>6571</v>
      </c>
      <c r="G165" s="154">
        <v>199005</v>
      </c>
      <c r="H165" s="126">
        <v>1682</v>
      </c>
      <c r="I165" s="126">
        <v>18501</v>
      </c>
      <c r="J165" s="4">
        <v>930097</v>
      </c>
      <c r="K165" s="7">
        <f t="shared" si="19"/>
        <v>1045.8319999999949</v>
      </c>
      <c r="L165" s="7">
        <f t="shared" si="25"/>
        <v>521870.16800000001</v>
      </c>
      <c r="M165" s="4">
        <v>522916</v>
      </c>
      <c r="N165" s="4">
        <v>1143</v>
      </c>
      <c r="O165" s="4">
        <v>71620</v>
      </c>
      <c r="P165" s="4">
        <v>162959</v>
      </c>
      <c r="Q165" s="4">
        <f>276072-P165-O165-N165</f>
        <v>40350</v>
      </c>
      <c r="R165" s="96">
        <f t="shared" si="22"/>
        <v>71704</v>
      </c>
      <c r="S165" s="35">
        <f t="shared" si="26"/>
        <v>2.3457547696083901E-2</v>
      </c>
      <c r="T165" s="28">
        <f t="shared" si="17"/>
        <v>1.9426091744182677E-2</v>
      </c>
      <c r="U165" s="68"/>
      <c r="V165" s="198"/>
    </row>
    <row r="166" spans="1:22" x14ac:dyDescent="0.25">
      <c r="A166" s="2">
        <v>44057</v>
      </c>
      <c r="B166" s="129">
        <v>6365</v>
      </c>
      <c r="C166" s="126">
        <f t="shared" si="24"/>
        <v>282437</v>
      </c>
      <c r="D166" s="126">
        <f>66+99</f>
        <v>165</v>
      </c>
      <c r="E166" s="126">
        <f t="shared" ref="E166:E171" si="27">E165+D166</f>
        <v>5528</v>
      </c>
      <c r="F166" s="126">
        <f t="shared" si="12"/>
        <v>6692</v>
      </c>
      <c r="G166" s="154">
        <v>205697</v>
      </c>
      <c r="H166" s="126">
        <v>1718</v>
      </c>
      <c r="I166" s="126">
        <v>19073</v>
      </c>
      <c r="J166" s="4">
        <v>949170</v>
      </c>
      <c r="K166" s="7">
        <f t="shared" si="19"/>
        <v>1066.9579999999842</v>
      </c>
      <c r="L166" s="7">
        <f t="shared" si="25"/>
        <v>532412.04200000002</v>
      </c>
      <c r="M166" s="4">
        <v>533479</v>
      </c>
      <c r="N166" s="4">
        <v>1148</v>
      </c>
      <c r="O166" s="4">
        <v>72902</v>
      </c>
      <c r="P166" s="4">
        <v>168252</v>
      </c>
      <c r="Q166" s="4">
        <f>282437-P166-O166-N166</f>
        <v>40135</v>
      </c>
      <c r="R166" s="96">
        <f t="shared" si="22"/>
        <v>71212</v>
      </c>
      <c r="S166" s="35">
        <f t="shared" si="26"/>
        <v>2.4125147447059483E-2</v>
      </c>
      <c r="T166" s="28">
        <f t="shared" si="17"/>
        <v>1.9572506435063395E-2</v>
      </c>
      <c r="U166" s="68"/>
      <c r="V166" s="198"/>
    </row>
    <row r="167" spans="1:22" x14ac:dyDescent="0.25">
      <c r="A167" s="29">
        <v>44058</v>
      </c>
      <c r="B167" s="126">
        <v>6663</v>
      </c>
      <c r="C167" s="126">
        <f t="shared" si="24"/>
        <v>289100</v>
      </c>
      <c r="D167" s="126">
        <f>38+72-1</f>
        <v>109</v>
      </c>
      <c r="E167" s="126">
        <f t="shared" si="27"/>
        <v>5637</v>
      </c>
      <c r="F167" s="126">
        <f t="shared" si="12"/>
        <v>6005</v>
      </c>
      <c r="G167" s="154">
        <v>211702</v>
      </c>
      <c r="H167" s="126">
        <v>1716</v>
      </c>
      <c r="I167" s="126">
        <v>17756</v>
      </c>
      <c r="J167" s="4">
        <f>J166+I167</f>
        <v>966926</v>
      </c>
      <c r="K167" s="7">
        <f t="shared" si="19"/>
        <v>1086.1879999999655</v>
      </c>
      <c r="L167" s="7">
        <f t="shared" si="25"/>
        <v>542007.81200000003</v>
      </c>
      <c r="M167" s="4">
        <v>543094</v>
      </c>
      <c r="N167" s="4">
        <v>1151</v>
      </c>
      <c r="O167" s="4">
        <v>74109</v>
      </c>
      <c r="P167" s="4">
        <v>171954</v>
      </c>
      <c r="Q167" s="4">
        <f>289100-P167-O167-N167</f>
        <v>41886</v>
      </c>
      <c r="R167" s="96">
        <f t="shared" si="22"/>
        <v>71761</v>
      </c>
      <c r="S167" s="35">
        <f t="shared" si="26"/>
        <v>2.3912710246512731E-2</v>
      </c>
      <c r="T167" s="28">
        <f t="shared" si="17"/>
        <v>1.9498443445174679E-2</v>
      </c>
      <c r="U167" s="68"/>
      <c r="V167" s="198"/>
    </row>
    <row r="168" spans="1:22" x14ac:dyDescent="0.25">
      <c r="A168" s="29">
        <v>44059</v>
      </c>
      <c r="B168" s="126">
        <v>5469</v>
      </c>
      <c r="C168" s="126">
        <f t="shared" si="24"/>
        <v>294569</v>
      </c>
      <c r="D168" s="126">
        <f>20+46</f>
        <v>66</v>
      </c>
      <c r="E168" s="126">
        <f t="shared" si="27"/>
        <v>5703</v>
      </c>
      <c r="F168" s="126">
        <f t="shared" si="12"/>
        <v>6148</v>
      </c>
      <c r="G168" s="154">
        <v>217850</v>
      </c>
      <c r="H168" s="126">
        <v>1708</v>
      </c>
      <c r="I168" s="126">
        <v>14533</v>
      </c>
      <c r="J168" s="222">
        <v>981459</v>
      </c>
      <c r="K168" s="7">
        <f t="shared" si="19"/>
        <v>1101.25</v>
      </c>
      <c r="L168" s="7">
        <f t="shared" si="25"/>
        <v>549523.75</v>
      </c>
      <c r="M168" s="4">
        <v>550625</v>
      </c>
      <c r="N168" s="4">
        <v>1154</v>
      </c>
      <c r="O168" s="4">
        <v>75051</v>
      </c>
      <c r="P168" s="4">
        <v>175520</v>
      </c>
      <c r="Q168" s="4">
        <f>294569-P168-O168-N168</f>
        <v>42844</v>
      </c>
      <c r="R168" s="96">
        <f t="shared" si="22"/>
        <v>71016</v>
      </c>
      <c r="S168" s="35">
        <f t="shared" si="26"/>
        <v>2.4050918102962712E-2</v>
      </c>
      <c r="T168" s="28">
        <f t="shared" si="17"/>
        <v>1.9360489392977537E-2</v>
      </c>
      <c r="U168" s="68"/>
      <c r="V168" s="198"/>
    </row>
    <row r="169" spans="1:22" x14ac:dyDescent="0.25">
      <c r="A169" s="36">
        <v>44060</v>
      </c>
      <c r="B169" s="126">
        <v>4557</v>
      </c>
      <c r="C169" s="126">
        <f t="shared" si="24"/>
        <v>299126</v>
      </c>
      <c r="D169" s="126">
        <f>47+64</f>
        <v>111</v>
      </c>
      <c r="E169" s="126">
        <f t="shared" si="27"/>
        <v>5814</v>
      </c>
      <c r="F169" s="126">
        <f t="shared" si="12"/>
        <v>5681</v>
      </c>
      <c r="G169" s="154">
        <v>223531</v>
      </c>
      <c r="H169" s="133">
        <v>1749</v>
      </c>
      <c r="I169" s="133">
        <v>13483</v>
      </c>
      <c r="J169" s="27">
        <f>J168+I169</f>
        <v>994942</v>
      </c>
      <c r="K169" s="7">
        <f t="shared" si="19"/>
        <v>1116.6300000000047</v>
      </c>
      <c r="L169" s="7">
        <f t="shared" si="25"/>
        <v>557198.37</v>
      </c>
      <c r="M169" s="4">
        <v>558315</v>
      </c>
      <c r="N169" s="4">
        <v>1157</v>
      </c>
      <c r="O169" s="4">
        <v>76226</v>
      </c>
      <c r="P169" s="4">
        <v>180483</v>
      </c>
      <c r="Q169" s="4">
        <f>299126-P169-O169-N169</f>
        <v>41260</v>
      </c>
      <c r="R169" s="96">
        <f t="shared" si="22"/>
        <v>69781</v>
      </c>
      <c r="S169" s="35">
        <f t="shared" si="26"/>
        <v>2.5064129204224645E-2</v>
      </c>
      <c r="T169" s="28">
        <f t="shared" si="17"/>
        <v>1.9436625368573778E-2</v>
      </c>
      <c r="U169" s="68"/>
      <c r="V169" s="198"/>
    </row>
    <row r="170" spans="1:22" x14ac:dyDescent="0.25">
      <c r="A170" s="2">
        <v>44061</v>
      </c>
      <c r="B170" s="126">
        <v>6840</v>
      </c>
      <c r="C170" s="126">
        <f t="shared" ref="C170:C177" si="28">C169+B170</f>
        <v>305966</v>
      </c>
      <c r="D170" s="126">
        <f>63+170</f>
        <v>233</v>
      </c>
      <c r="E170" s="126">
        <f t="shared" si="27"/>
        <v>6047</v>
      </c>
      <c r="F170" s="126">
        <f t="shared" si="12"/>
        <v>5194</v>
      </c>
      <c r="G170" s="154">
        <v>228725</v>
      </c>
      <c r="H170" s="126">
        <v>1799</v>
      </c>
      <c r="I170" s="126">
        <v>18037</v>
      </c>
      <c r="J170" s="4">
        <f t="shared" ref="J170:J233" si="29">J171-I171</f>
        <v>969683</v>
      </c>
      <c r="K170" s="7">
        <f t="shared" si="19"/>
        <v>1136.4399999999441</v>
      </c>
      <c r="L170" s="7">
        <f t="shared" si="25"/>
        <v>567083.56000000006</v>
      </c>
      <c r="M170" s="4">
        <v>568220</v>
      </c>
      <c r="N170" s="4">
        <v>1161</v>
      </c>
      <c r="O170" s="4">
        <v>77895</v>
      </c>
      <c r="P170" s="4">
        <v>185880</v>
      </c>
      <c r="Q170" s="4">
        <f>305966-P170-O170-N170</f>
        <v>41030</v>
      </c>
      <c r="R170" s="96">
        <f t="shared" si="22"/>
        <v>71194</v>
      </c>
      <c r="S170" s="35">
        <f t="shared" si="26"/>
        <v>2.5268983341292805E-2</v>
      </c>
      <c r="T170" s="28">
        <f t="shared" si="17"/>
        <v>1.9763633867815378E-2</v>
      </c>
      <c r="U170" s="68"/>
      <c r="V170" s="198"/>
    </row>
    <row r="171" spans="1:22" x14ac:dyDescent="0.25">
      <c r="A171" s="2">
        <v>44062</v>
      </c>
      <c r="B171" s="126">
        <v>6693</v>
      </c>
      <c r="C171" s="126">
        <f t="shared" si="28"/>
        <v>312659</v>
      </c>
      <c r="D171" s="126">
        <f>217+66</f>
        <v>283</v>
      </c>
      <c r="E171" s="126">
        <f t="shared" si="27"/>
        <v>6330</v>
      </c>
      <c r="F171" s="126">
        <f t="shared" si="12"/>
        <v>4926</v>
      </c>
      <c r="G171" s="154">
        <v>233651</v>
      </c>
      <c r="H171" s="126">
        <v>1795</v>
      </c>
      <c r="I171" s="126">
        <v>18013</v>
      </c>
      <c r="J171" s="4">
        <f t="shared" si="29"/>
        <v>987696</v>
      </c>
      <c r="K171" s="7">
        <f t="shared" si="19"/>
        <v>1156.0860000000102</v>
      </c>
      <c r="L171" s="7">
        <f t="shared" si="25"/>
        <v>576886.91399999999</v>
      </c>
      <c r="M171" s="4">
        <v>578043</v>
      </c>
      <c r="N171" s="4">
        <v>1163</v>
      </c>
      <c r="O171" s="4">
        <v>79219</v>
      </c>
      <c r="P171" s="4">
        <v>191037</v>
      </c>
      <c r="Q171" s="7">
        <f>C171-P171-O171-N171</f>
        <v>41240</v>
      </c>
      <c r="R171" s="96">
        <f t="shared" si="22"/>
        <v>72678</v>
      </c>
      <c r="S171" s="35">
        <f t="shared" si="26"/>
        <v>2.4697982883403507E-2</v>
      </c>
      <c r="T171" s="28">
        <f t="shared" si="17"/>
        <v>2.0245698988354724E-2</v>
      </c>
      <c r="U171" s="68"/>
      <c r="V171" s="198"/>
    </row>
    <row r="172" spans="1:22" x14ac:dyDescent="0.25">
      <c r="A172" s="2">
        <v>44063</v>
      </c>
      <c r="B172" s="131">
        <v>8225</v>
      </c>
      <c r="C172" s="126">
        <f t="shared" si="28"/>
        <v>320884</v>
      </c>
      <c r="D172" s="126">
        <f>111+75</f>
        <v>186</v>
      </c>
      <c r="E172" s="126">
        <f>E171+D172</f>
        <v>6516</v>
      </c>
      <c r="F172" s="126">
        <f t="shared" si="12"/>
        <v>6155</v>
      </c>
      <c r="G172" s="154">
        <v>239806</v>
      </c>
      <c r="H172" s="126">
        <v>1832</v>
      </c>
      <c r="I172" s="126">
        <v>21695</v>
      </c>
      <c r="J172" s="4">
        <f t="shared" si="29"/>
        <v>1009391</v>
      </c>
      <c r="K172" s="7">
        <f t="shared" si="19"/>
        <v>1178.905999999959</v>
      </c>
      <c r="L172" s="7">
        <f t="shared" si="25"/>
        <v>588274.09400000004</v>
      </c>
      <c r="M172" s="4">
        <v>589453</v>
      </c>
      <c r="N172" s="4">
        <v>1172</v>
      </c>
      <c r="O172" s="4">
        <v>80662</v>
      </c>
      <c r="P172" s="4">
        <v>196370</v>
      </c>
      <c r="Q172" s="7">
        <f>C172-P172-O172-N172</f>
        <v>42680</v>
      </c>
      <c r="R172" s="96">
        <f t="shared" si="22"/>
        <v>74562</v>
      </c>
      <c r="S172" s="35">
        <f t="shared" si="26"/>
        <v>2.4570156379925431E-2</v>
      </c>
      <c r="T172" s="28">
        <f t="shared" si="17"/>
        <v>2.0306403560165043E-2</v>
      </c>
      <c r="U172" s="68"/>
      <c r="V172" s="198"/>
    </row>
    <row r="173" spans="1:22" x14ac:dyDescent="0.25">
      <c r="A173" s="2">
        <v>44064</v>
      </c>
      <c r="B173" s="126">
        <v>8159</v>
      </c>
      <c r="C173" s="126">
        <f t="shared" si="28"/>
        <v>329043</v>
      </c>
      <c r="D173" s="126">
        <f>50+164</f>
        <v>214</v>
      </c>
      <c r="E173" s="126">
        <f>E172+D173</f>
        <v>6730</v>
      </c>
      <c r="F173" s="126">
        <f t="shared" si="12"/>
        <v>5975</v>
      </c>
      <c r="G173" s="154">
        <v>245781</v>
      </c>
      <c r="H173" s="133">
        <v>1853</v>
      </c>
      <c r="I173" s="133">
        <v>21032</v>
      </c>
      <c r="J173" s="4">
        <f t="shared" si="29"/>
        <v>1030423</v>
      </c>
      <c r="K173" s="7">
        <f t="shared" si="19"/>
        <v>1201.0119999999879</v>
      </c>
      <c r="L173" s="7">
        <f t="shared" si="25"/>
        <v>599304.98800000001</v>
      </c>
      <c r="M173" s="4">
        <v>600506</v>
      </c>
      <c r="N173" s="4">
        <v>1175</v>
      </c>
      <c r="O173" s="4">
        <v>82187</v>
      </c>
      <c r="P173" s="4">
        <v>201933</v>
      </c>
      <c r="Q173" s="7">
        <f>C173-P173-O173-N173</f>
        <v>43748</v>
      </c>
      <c r="R173" s="96">
        <f t="shared" si="22"/>
        <v>76532</v>
      </c>
      <c r="S173" s="35">
        <f t="shared" si="26"/>
        <v>2.4212094287356923E-2</v>
      </c>
      <c r="T173" s="28">
        <f t="shared" si="17"/>
        <v>2.0453253830046529E-2</v>
      </c>
      <c r="U173" s="68"/>
      <c r="V173" s="198"/>
    </row>
    <row r="174" spans="1:22" x14ac:dyDescent="0.25">
      <c r="A174" s="2">
        <v>44065</v>
      </c>
      <c r="B174" s="126">
        <v>7759</v>
      </c>
      <c r="C174" s="126">
        <f t="shared" si="28"/>
        <v>336802</v>
      </c>
      <c r="D174" s="126">
        <v>118</v>
      </c>
      <c r="E174" s="126">
        <f>E173+D174</f>
        <v>6848</v>
      </c>
      <c r="F174" s="126">
        <f t="shared" si="12"/>
        <v>5619</v>
      </c>
      <c r="G174" s="154">
        <v>251400</v>
      </c>
      <c r="H174" s="133">
        <v>1907</v>
      </c>
      <c r="I174" s="133">
        <v>18837</v>
      </c>
      <c r="J174" s="4">
        <f t="shared" si="29"/>
        <v>1049260</v>
      </c>
      <c r="K174" s="7">
        <f t="shared" si="19"/>
        <v>1220.3220000000438</v>
      </c>
      <c r="L174" s="7">
        <f t="shared" si="25"/>
        <v>608940.67799999996</v>
      </c>
      <c r="M174" s="4">
        <v>610161</v>
      </c>
      <c r="N174" s="4">
        <v>1178</v>
      </c>
      <c r="O174" s="4">
        <v>83443</v>
      </c>
      <c r="P174" s="4">
        <v>205996</v>
      </c>
      <c r="Q174" s="7">
        <f>C174-P174-O174-N174</f>
        <v>46185</v>
      </c>
      <c r="R174" s="96">
        <f t="shared" si="22"/>
        <v>78554</v>
      </c>
      <c r="S174" s="35">
        <f t="shared" si="26"/>
        <v>2.4276294014308628E-2</v>
      </c>
      <c r="T174" s="28">
        <f t="shared" si="17"/>
        <v>2.0332420828854936E-2</v>
      </c>
      <c r="U174" s="68"/>
      <c r="V174" s="198"/>
    </row>
    <row r="175" spans="1:22" x14ac:dyDescent="0.25">
      <c r="A175" s="2">
        <v>44066</v>
      </c>
      <c r="B175" s="126">
        <v>5352</v>
      </c>
      <c r="C175" s="126">
        <f t="shared" si="28"/>
        <v>342154</v>
      </c>
      <c r="D175" s="126">
        <f>99+37</f>
        <v>136</v>
      </c>
      <c r="E175" s="126">
        <f>E174+D175</f>
        <v>6984</v>
      </c>
      <c r="F175" s="126">
        <f t="shared" si="12"/>
        <v>5389</v>
      </c>
      <c r="G175" s="154">
        <v>256789</v>
      </c>
      <c r="H175" s="126">
        <v>1922</v>
      </c>
      <c r="I175" s="126">
        <v>13322</v>
      </c>
      <c r="J175" s="4">
        <f t="shared" si="29"/>
        <v>1062582</v>
      </c>
      <c r="K175" s="7">
        <f t="shared" si="19"/>
        <v>1234.4039999999804</v>
      </c>
      <c r="L175" s="7">
        <f t="shared" si="25"/>
        <v>615967.59600000002</v>
      </c>
      <c r="M175" s="4">
        <v>617202</v>
      </c>
      <c r="N175" s="4">
        <v>1179</v>
      </c>
      <c r="O175" s="4">
        <v>84223</v>
      </c>
      <c r="P175" s="4">
        <v>209236</v>
      </c>
      <c r="Q175" s="7">
        <f t="shared" ref="Q175:Q198" si="30">C175-P175-O175-N175</f>
        <v>47516</v>
      </c>
      <c r="R175" s="96">
        <f t="shared" si="22"/>
        <v>78381</v>
      </c>
      <c r="S175" s="35">
        <f t="shared" si="26"/>
        <v>2.4521248772023833E-2</v>
      </c>
      <c r="T175" s="28">
        <f t="shared" si="17"/>
        <v>2.041186132560192E-2</v>
      </c>
      <c r="U175" s="68"/>
      <c r="V175" s="198"/>
    </row>
    <row r="176" spans="1:22" x14ac:dyDescent="0.25">
      <c r="A176" s="36">
        <v>44067</v>
      </c>
      <c r="B176" s="126">
        <v>8713</v>
      </c>
      <c r="C176" s="126">
        <f t="shared" si="28"/>
        <v>350867</v>
      </c>
      <c r="D176" s="126">
        <f>95+286</f>
        <v>381</v>
      </c>
      <c r="E176" s="126">
        <f>D176+E175</f>
        <v>7365</v>
      </c>
      <c r="F176" s="126">
        <f t="shared" si="12"/>
        <v>6413</v>
      </c>
      <c r="G176" s="154">
        <v>263202</v>
      </c>
      <c r="H176" s="126">
        <v>1960</v>
      </c>
      <c r="I176" s="126">
        <v>21220</v>
      </c>
      <c r="J176" s="4">
        <f t="shared" si="29"/>
        <v>1083802</v>
      </c>
      <c r="K176" s="7">
        <f t="shared" si="19"/>
        <v>1256.7859999999637</v>
      </c>
      <c r="L176" s="7">
        <f t="shared" si="25"/>
        <v>627136.21400000004</v>
      </c>
      <c r="M176" s="4">
        <v>628393</v>
      </c>
      <c r="N176" s="4">
        <v>1180</v>
      </c>
      <c r="O176" s="4">
        <v>85600</v>
      </c>
      <c r="P176" s="4">
        <v>213348</v>
      </c>
      <c r="Q176" s="7">
        <f t="shared" si="30"/>
        <v>50739</v>
      </c>
      <c r="R176" s="96">
        <f t="shared" si="22"/>
        <v>80300</v>
      </c>
      <c r="S176" s="35">
        <f t="shared" si="26"/>
        <v>2.4408468244084682E-2</v>
      </c>
      <c r="T176" s="28">
        <f t="shared" si="17"/>
        <v>2.0990859784476738E-2</v>
      </c>
      <c r="U176" s="68"/>
      <c r="V176" s="198"/>
    </row>
    <row r="177" spans="1:22" s="32" customFormat="1" x14ac:dyDescent="0.25">
      <c r="A177" s="2">
        <v>44068</v>
      </c>
      <c r="B177" s="126">
        <v>8771</v>
      </c>
      <c r="C177" s="126">
        <f t="shared" si="28"/>
        <v>359638</v>
      </c>
      <c r="D177" s="126">
        <f>36+162</f>
        <v>198</v>
      </c>
      <c r="E177" s="126">
        <f t="shared" ref="E177:E192" si="31">E176+D177</f>
        <v>7563</v>
      </c>
      <c r="F177" s="126">
        <f t="shared" si="12"/>
        <v>5599</v>
      </c>
      <c r="G177" s="154">
        <v>268801</v>
      </c>
      <c r="H177" s="126">
        <v>1990</v>
      </c>
      <c r="I177" s="126">
        <v>21476</v>
      </c>
      <c r="J177" s="4">
        <f t="shared" si="29"/>
        <v>1105278</v>
      </c>
      <c r="K177" s="7">
        <f t="shared" si="19"/>
        <v>1278.204000000027</v>
      </c>
      <c r="L177" s="7">
        <f t="shared" si="25"/>
        <v>637823.79599999997</v>
      </c>
      <c r="M177" s="4">
        <v>639102</v>
      </c>
      <c r="N177" s="4">
        <v>1183</v>
      </c>
      <c r="O177" s="4">
        <v>87216</v>
      </c>
      <c r="P177" s="4">
        <v>219449</v>
      </c>
      <c r="Q177" s="4">
        <f t="shared" si="30"/>
        <v>51790</v>
      </c>
      <c r="R177" s="96">
        <f t="shared" si="22"/>
        <v>83274</v>
      </c>
      <c r="S177" s="35">
        <f t="shared" si="26"/>
        <v>2.3897014674448207E-2</v>
      </c>
      <c r="T177" s="28">
        <f t="shared" si="17"/>
        <v>2.1029479643419217E-2</v>
      </c>
      <c r="U177" s="68"/>
      <c r="V177" s="198"/>
    </row>
    <row r="178" spans="1:22" x14ac:dyDescent="0.25">
      <c r="A178" s="2">
        <v>44069</v>
      </c>
      <c r="B178" s="126">
        <v>10550</v>
      </c>
      <c r="C178" s="126">
        <f t="shared" ref="C178:C192" si="32">C177+B178</f>
        <v>370188</v>
      </c>
      <c r="D178" s="126">
        <f>98+178</f>
        <v>276</v>
      </c>
      <c r="E178" s="126">
        <f t="shared" si="31"/>
        <v>7839</v>
      </c>
      <c r="F178" s="126">
        <f t="shared" si="12"/>
        <v>5657</v>
      </c>
      <c r="G178" s="154">
        <v>274458</v>
      </c>
      <c r="H178" s="126">
        <v>2022</v>
      </c>
      <c r="I178" s="126">
        <v>24237</v>
      </c>
      <c r="J178" s="4">
        <f t="shared" si="29"/>
        <v>1129515</v>
      </c>
      <c r="K178" s="7">
        <f t="shared" si="19"/>
        <v>1301.7900000000373</v>
      </c>
      <c r="L178" s="7">
        <f t="shared" si="25"/>
        <v>649593.21</v>
      </c>
      <c r="M178" s="4">
        <v>650895</v>
      </c>
      <c r="N178" s="4">
        <v>1187</v>
      </c>
      <c r="O178" s="4">
        <v>88811</v>
      </c>
      <c r="P178" s="4">
        <v>226073</v>
      </c>
      <c r="Q178" s="4">
        <f t="shared" si="30"/>
        <v>54117</v>
      </c>
      <c r="R178" s="96">
        <f t="shared" si="22"/>
        <v>87891</v>
      </c>
      <c r="S178" s="35">
        <f t="shared" si="26"/>
        <v>2.300576850872103E-2</v>
      </c>
      <c r="T178" s="28">
        <f t="shared" si="17"/>
        <v>2.1175726927939318E-2</v>
      </c>
      <c r="U178" s="68"/>
      <c r="V178" s="198"/>
    </row>
    <row r="179" spans="1:22" x14ac:dyDescent="0.25">
      <c r="A179" s="2">
        <v>44070</v>
      </c>
      <c r="B179" s="126">
        <v>10104</v>
      </c>
      <c r="C179" s="126">
        <f t="shared" si="32"/>
        <v>380292</v>
      </c>
      <c r="D179" s="126">
        <f>105+106</f>
        <v>211</v>
      </c>
      <c r="E179" s="126">
        <f t="shared" si="31"/>
        <v>8050</v>
      </c>
      <c r="F179" s="126">
        <f t="shared" si="12"/>
        <v>0</v>
      </c>
      <c r="G179" s="154">
        <v>274458</v>
      </c>
      <c r="H179" s="126">
        <v>2075</v>
      </c>
      <c r="I179" s="126">
        <v>24067</v>
      </c>
      <c r="J179" s="4">
        <f t="shared" si="29"/>
        <v>1153582</v>
      </c>
      <c r="K179" s="7">
        <f t="shared" si="19"/>
        <v>1061.1663999999873</v>
      </c>
      <c r="L179" s="7">
        <f t="shared" ref="L179:L190" si="33">0.9984*M179</f>
        <v>662167.83360000001</v>
      </c>
      <c r="M179" s="4">
        <v>663229</v>
      </c>
      <c r="N179" s="4">
        <v>1187</v>
      </c>
      <c r="O179" s="4">
        <v>90269</v>
      </c>
      <c r="P179" s="4">
        <v>232379</v>
      </c>
      <c r="Q179" s="4">
        <f t="shared" si="30"/>
        <v>56457</v>
      </c>
      <c r="R179" s="96">
        <f t="shared" si="22"/>
        <v>97784</v>
      </c>
      <c r="S179" s="35">
        <f t="shared" si="26"/>
        <v>2.1220240530148083E-2</v>
      </c>
      <c r="T179" s="28">
        <f t="shared" si="17"/>
        <v>2.1167944632019604E-2</v>
      </c>
      <c r="U179" s="68"/>
      <c r="V179" s="198"/>
    </row>
    <row r="180" spans="1:22" x14ac:dyDescent="0.25">
      <c r="A180" s="2">
        <v>44071</v>
      </c>
      <c r="B180" s="132">
        <v>11717</v>
      </c>
      <c r="C180" s="133">
        <f t="shared" si="32"/>
        <v>392009</v>
      </c>
      <c r="D180" s="133">
        <f>80+142</f>
        <v>222</v>
      </c>
      <c r="E180" s="133">
        <f t="shared" si="31"/>
        <v>8272</v>
      </c>
      <c r="F180" s="126">
        <f t="shared" si="12"/>
        <v>12762</v>
      </c>
      <c r="G180" s="154">
        <v>287220</v>
      </c>
      <c r="H180" s="133">
        <v>2114</v>
      </c>
      <c r="I180" s="133">
        <v>25481</v>
      </c>
      <c r="J180" s="4">
        <f t="shared" si="29"/>
        <v>1179063</v>
      </c>
      <c r="K180" s="7">
        <f t="shared" si="19"/>
        <v>1081.8352000000887</v>
      </c>
      <c r="L180" s="7">
        <f t="shared" si="33"/>
        <v>675065.16479999991</v>
      </c>
      <c r="M180" s="4">
        <v>676147</v>
      </c>
      <c r="N180" s="4">
        <v>1190</v>
      </c>
      <c r="O180" s="4">
        <v>92043</v>
      </c>
      <c r="P180" s="4">
        <v>239019</v>
      </c>
      <c r="Q180" s="4">
        <f t="shared" si="30"/>
        <v>59757</v>
      </c>
      <c r="R180" s="96">
        <f t="shared" si="22"/>
        <v>96517</v>
      </c>
      <c r="S180" s="35">
        <f t="shared" si="26"/>
        <v>2.1902877213340655E-2</v>
      </c>
      <c r="T180" s="28">
        <f t="shared" si="17"/>
        <v>2.1101556341818681E-2</v>
      </c>
      <c r="U180" s="68"/>
      <c r="V180" s="198"/>
    </row>
    <row r="181" spans="1:22" x14ac:dyDescent="0.25">
      <c r="A181" s="34">
        <v>44072</v>
      </c>
      <c r="B181" s="133">
        <v>9230</v>
      </c>
      <c r="C181" s="133">
        <f t="shared" si="32"/>
        <v>401239</v>
      </c>
      <c r="D181" s="133">
        <f>34+47</f>
        <v>81</v>
      </c>
      <c r="E181" s="133">
        <f t="shared" si="31"/>
        <v>8353</v>
      </c>
      <c r="F181" s="126">
        <f t="shared" si="12"/>
        <v>6787</v>
      </c>
      <c r="G181" s="154">
        <v>294007</v>
      </c>
      <c r="H181" s="133">
        <v>2192</v>
      </c>
      <c r="I181" s="133">
        <v>19910</v>
      </c>
      <c r="J181" s="4">
        <f t="shared" si="29"/>
        <v>1198973</v>
      </c>
      <c r="K181" s="7">
        <f t="shared" ref="K181:K193" si="34">M181-L181</f>
        <v>1097.3584000000264</v>
      </c>
      <c r="L181" s="7">
        <f t="shared" si="33"/>
        <v>684751.64159999997</v>
      </c>
      <c r="M181" s="7">
        <v>685849</v>
      </c>
      <c r="N181" s="4">
        <v>1191</v>
      </c>
      <c r="O181" s="4">
        <v>93278</v>
      </c>
      <c r="P181" s="4">
        <v>244308</v>
      </c>
      <c r="Q181" s="4">
        <f t="shared" si="30"/>
        <v>62462</v>
      </c>
      <c r="R181" s="96">
        <f t="shared" si="22"/>
        <v>98879</v>
      </c>
      <c r="S181" s="35">
        <f t="shared" si="26"/>
        <v>2.2168508985730032E-2</v>
      </c>
      <c r="T181" s="28">
        <f t="shared" si="17"/>
        <v>2.0818016194836492E-2</v>
      </c>
      <c r="U181" s="68"/>
      <c r="V181" s="198"/>
    </row>
    <row r="182" spans="1:22" x14ac:dyDescent="0.25">
      <c r="A182" s="2">
        <v>44073</v>
      </c>
      <c r="B182" s="126">
        <v>7187</v>
      </c>
      <c r="C182" s="126">
        <f t="shared" si="32"/>
        <v>408426</v>
      </c>
      <c r="D182" s="126">
        <f>48+55</f>
        <v>103</v>
      </c>
      <c r="E182" s="126">
        <f t="shared" si="31"/>
        <v>8456</v>
      </c>
      <c r="F182" s="126">
        <f t="shared" si="12"/>
        <v>6188</v>
      </c>
      <c r="G182" s="154">
        <v>300195</v>
      </c>
      <c r="H182" s="126">
        <v>2232</v>
      </c>
      <c r="I182" s="126">
        <v>15637</v>
      </c>
      <c r="J182" s="4">
        <f t="shared" si="29"/>
        <v>1214610</v>
      </c>
      <c r="K182" s="7">
        <f t="shared" si="34"/>
        <v>1109.0415999999968</v>
      </c>
      <c r="L182" s="7">
        <f t="shared" si="33"/>
        <v>692041.9584</v>
      </c>
      <c r="M182" s="4">
        <v>693151</v>
      </c>
      <c r="N182" s="4">
        <v>1191</v>
      </c>
      <c r="O182" s="4">
        <v>94301</v>
      </c>
      <c r="P182" s="4">
        <v>247931</v>
      </c>
      <c r="Q182" s="4">
        <f t="shared" si="30"/>
        <v>65003</v>
      </c>
      <c r="R182" s="96">
        <f t="shared" si="22"/>
        <v>99775</v>
      </c>
      <c r="S182" s="35">
        <f t="shared" si="26"/>
        <v>2.2370333249812076E-2</v>
      </c>
      <c r="T182" s="28">
        <f t="shared" si="17"/>
        <v>2.0703872917003326E-2</v>
      </c>
      <c r="U182" s="68"/>
      <c r="V182" s="198"/>
    </row>
    <row r="183" spans="1:22" x14ac:dyDescent="0.25">
      <c r="A183" s="36">
        <v>44074</v>
      </c>
      <c r="B183" s="133">
        <v>9309</v>
      </c>
      <c r="C183" s="133">
        <f t="shared" si="32"/>
        <v>417735</v>
      </c>
      <c r="D183" s="133">
        <f>41+162</f>
        <v>203</v>
      </c>
      <c r="E183" s="133">
        <f t="shared" si="31"/>
        <v>8659</v>
      </c>
      <c r="F183" s="126">
        <f t="shared" si="12"/>
        <v>8181</v>
      </c>
      <c r="G183" s="154">
        <v>308376</v>
      </c>
      <c r="H183" s="133">
        <v>2273</v>
      </c>
      <c r="I183" s="133">
        <v>19845</v>
      </c>
      <c r="J183" s="4">
        <f t="shared" si="29"/>
        <v>1234455</v>
      </c>
      <c r="K183" s="7">
        <f t="shared" si="34"/>
        <v>1125.2863999999827</v>
      </c>
      <c r="L183" s="7">
        <f t="shared" si="33"/>
        <v>702178.71360000002</v>
      </c>
      <c r="M183" s="4">
        <v>703304</v>
      </c>
      <c r="N183" s="4">
        <v>1197</v>
      </c>
      <c r="O183" s="4">
        <v>95857</v>
      </c>
      <c r="P183" s="4">
        <v>255688</v>
      </c>
      <c r="Q183" s="4">
        <f t="shared" si="30"/>
        <v>64993</v>
      </c>
      <c r="R183" s="96">
        <f t="shared" si="22"/>
        <v>100700</v>
      </c>
      <c r="S183" s="35">
        <f t="shared" si="26"/>
        <v>2.2571996027805363E-2</v>
      </c>
      <c r="T183" s="28">
        <f t="shared" si="17"/>
        <v>2.0728452248435014E-2</v>
      </c>
      <c r="U183" s="68"/>
      <c r="V183" s="198"/>
    </row>
    <row r="184" spans="1:22" x14ac:dyDescent="0.25">
      <c r="A184" s="38">
        <v>44075</v>
      </c>
      <c r="B184" s="126">
        <v>10504</v>
      </c>
      <c r="C184" s="126">
        <f t="shared" si="32"/>
        <v>428239</v>
      </c>
      <c r="D184" s="126">
        <f>70+189</f>
        <v>259</v>
      </c>
      <c r="E184" s="126">
        <f t="shared" si="31"/>
        <v>8918</v>
      </c>
      <c r="F184" s="126">
        <f t="shared" si="12"/>
        <v>7154</v>
      </c>
      <c r="G184" s="154">
        <v>315530</v>
      </c>
      <c r="H184" s="126">
        <v>2314</v>
      </c>
      <c r="I184" s="126">
        <v>23115</v>
      </c>
      <c r="J184" s="4">
        <f t="shared" si="29"/>
        <v>1257570</v>
      </c>
      <c r="K184" s="7">
        <f t="shared" si="34"/>
        <v>1148.1040000000503</v>
      </c>
      <c r="L184" s="7">
        <f t="shared" si="33"/>
        <v>716416.89599999995</v>
      </c>
      <c r="M184" s="4">
        <v>717565</v>
      </c>
      <c r="N184" s="4">
        <v>1200</v>
      </c>
      <c r="O184" s="4">
        <v>97726</v>
      </c>
      <c r="P184" s="4">
        <v>263555</v>
      </c>
      <c r="Q184" s="4">
        <f t="shared" si="30"/>
        <v>65758</v>
      </c>
      <c r="R184" s="96">
        <f t="shared" si="22"/>
        <v>103791</v>
      </c>
      <c r="S184" s="35">
        <f t="shared" si="26"/>
        <v>2.2294803981077357E-2</v>
      </c>
      <c r="T184" s="28">
        <f t="shared" si="17"/>
        <v>2.0824819785213396E-2</v>
      </c>
      <c r="U184" s="68"/>
      <c r="V184" s="198"/>
    </row>
    <row r="185" spans="1:22" x14ac:dyDescent="0.25">
      <c r="A185" s="38">
        <v>44076</v>
      </c>
      <c r="B185" s="126">
        <v>10933</v>
      </c>
      <c r="C185" s="126">
        <f t="shared" si="32"/>
        <v>439172</v>
      </c>
      <c r="D185" s="126">
        <f>52+146</f>
        <v>198</v>
      </c>
      <c r="E185" s="126">
        <f t="shared" si="31"/>
        <v>9116</v>
      </c>
      <c r="F185" s="126">
        <f t="shared" si="12"/>
        <v>6931</v>
      </c>
      <c r="G185" s="154">
        <v>322461</v>
      </c>
      <c r="H185" s="126">
        <v>2359</v>
      </c>
      <c r="I185" s="126">
        <v>23821</v>
      </c>
      <c r="J185" s="4">
        <f t="shared" si="29"/>
        <v>1281391</v>
      </c>
      <c r="K185" s="7">
        <f t="shared" si="34"/>
        <v>1166.611200000043</v>
      </c>
      <c r="L185" s="7">
        <f t="shared" si="33"/>
        <v>727965.38879999996</v>
      </c>
      <c r="M185" s="4">
        <v>729132</v>
      </c>
      <c r="N185" s="4">
        <v>1200</v>
      </c>
      <c r="O185" s="4">
        <v>99630</v>
      </c>
      <c r="P185" s="4">
        <v>272419</v>
      </c>
      <c r="Q185" s="4">
        <f t="shared" si="30"/>
        <v>65923</v>
      </c>
      <c r="R185" s="96">
        <f t="shared" si="22"/>
        <v>107595</v>
      </c>
      <c r="S185" s="35">
        <f t="shared" si="26"/>
        <v>2.1924810632464334E-2</v>
      </c>
      <c r="T185" s="28">
        <f t="shared" si="17"/>
        <v>2.075724317579445E-2</v>
      </c>
      <c r="U185" s="68"/>
      <c r="V185" s="198"/>
    </row>
    <row r="186" spans="1:22" x14ac:dyDescent="0.25">
      <c r="A186" s="38">
        <v>44077</v>
      </c>
      <c r="B186" s="134">
        <v>12026</v>
      </c>
      <c r="C186" s="126">
        <f t="shared" si="32"/>
        <v>451198</v>
      </c>
      <c r="D186" s="126">
        <f>38+206</f>
        <v>244</v>
      </c>
      <c r="E186" s="126">
        <f t="shared" si="31"/>
        <v>9360</v>
      </c>
      <c r="F186" s="126">
        <f t="shared" si="12"/>
        <v>9160</v>
      </c>
      <c r="G186" s="154">
        <v>331621</v>
      </c>
      <c r="H186" s="126">
        <v>2394</v>
      </c>
      <c r="I186" s="126">
        <v>25351</v>
      </c>
      <c r="J186" s="4">
        <f t="shared" si="29"/>
        <v>1306742</v>
      </c>
      <c r="K186" s="7">
        <f t="shared" si="34"/>
        <v>1185.8656000000192</v>
      </c>
      <c r="L186" s="7">
        <f t="shared" si="33"/>
        <v>739980.13439999998</v>
      </c>
      <c r="M186" s="4">
        <v>741166</v>
      </c>
      <c r="N186" s="4">
        <v>1202</v>
      </c>
      <c r="O186" s="4">
        <v>101394</v>
      </c>
      <c r="P186" s="4">
        <v>280927</v>
      </c>
      <c r="Q186" s="4">
        <f t="shared" si="30"/>
        <v>67675</v>
      </c>
      <c r="R186" s="96">
        <f t="shared" si="22"/>
        <v>110217</v>
      </c>
      <c r="S186" s="35">
        <f t="shared" si="26"/>
        <v>2.1720787174392336E-2</v>
      </c>
      <c r="T186" s="28">
        <f t="shared" si="17"/>
        <v>2.0744772804843992E-2</v>
      </c>
      <c r="U186" s="68"/>
      <c r="V186" s="198"/>
    </row>
    <row r="187" spans="1:22" x14ac:dyDescent="0.25">
      <c r="A187" s="38">
        <v>44078</v>
      </c>
      <c r="B187" s="126">
        <v>10684</v>
      </c>
      <c r="C187" s="126">
        <f t="shared" si="32"/>
        <v>461882</v>
      </c>
      <c r="D187" s="126">
        <f>107+155</f>
        <v>262</v>
      </c>
      <c r="E187" s="126">
        <f t="shared" si="31"/>
        <v>9622</v>
      </c>
      <c r="F187" s="126">
        <f t="shared" si="12"/>
        <v>8760</v>
      </c>
      <c r="G187" s="154">
        <v>340381</v>
      </c>
      <c r="H187" s="126">
        <v>2425</v>
      </c>
      <c r="I187" s="126">
        <v>24486</v>
      </c>
      <c r="J187" s="4">
        <f t="shared" si="29"/>
        <v>1331228</v>
      </c>
      <c r="K187" s="7">
        <f t="shared" si="34"/>
        <v>1205.8336000000127</v>
      </c>
      <c r="L187" s="7">
        <f t="shared" si="33"/>
        <v>752440.16639999999</v>
      </c>
      <c r="M187" s="4">
        <v>753646</v>
      </c>
      <c r="N187" s="4">
        <v>1205</v>
      </c>
      <c r="O187" s="4">
        <v>103049</v>
      </c>
      <c r="P187" s="4">
        <v>289005</v>
      </c>
      <c r="Q187" s="4">
        <f t="shared" si="30"/>
        <v>68623</v>
      </c>
      <c r="R187" s="96">
        <f t="shared" si="22"/>
        <v>111879</v>
      </c>
      <c r="S187" s="35">
        <f t="shared" si="26"/>
        <v>2.167520267431779E-2</v>
      </c>
      <c r="T187" s="28">
        <f t="shared" si="17"/>
        <v>2.0832160595130357E-2</v>
      </c>
      <c r="U187" s="68"/>
      <c r="V187" s="198"/>
    </row>
    <row r="188" spans="1:22" x14ac:dyDescent="0.25">
      <c r="A188" s="38">
        <v>44079</v>
      </c>
      <c r="B188" s="133">
        <v>9924</v>
      </c>
      <c r="C188" s="133">
        <f t="shared" si="32"/>
        <v>471806</v>
      </c>
      <c r="D188" s="133">
        <f>62+55</f>
        <v>117</v>
      </c>
      <c r="E188" s="133">
        <f t="shared" si="31"/>
        <v>9739</v>
      </c>
      <c r="F188" s="126">
        <f t="shared" si="12"/>
        <v>8751</v>
      </c>
      <c r="G188" s="154">
        <v>349132</v>
      </c>
      <c r="H188" s="133">
        <v>2456</v>
      </c>
      <c r="I188" s="133">
        <v>22363</v>
      </c>
      <c r="J188" s="4">
        <f t="shared" si="29"/>
        <v>1353591</v>
      </c>
      <c r="K188" s="7">
        <f t="shared" si="34"/>
        <v>1223.704000000027</v>
      </c>
      <c r="L188" s="7">
        <f t="shared" si="33"/>
        <v>763591.29599999997</v>
      </c>
      <c r="M188" s="7">
        <v>764815</v>
      </c>
      <c r="N188" s="4">
        <v>1207</v>
      </c>
      <c r="O188" s="4">
        <v>104581</v>
      </c>
      <c r="P188" s="4">
        <v>294844</v>
      </c>
      <c r="Q188" s="4">
        <f t="shared" si="30"/>
        <v>71174</v>
      </c>
      <c r="R188" s="96">
        <f t="shared" si="22"/>
        <v>112935</v>
      </c>
      <c r="S188" s="35">
        <f t="shared" si="26"/>
        <v>2.1747022623633063E-2</v>
      </c>
      <c r="T188" s="28">
        <f t="shared" si="17"/>
        <v>2.0641958771189853E-2</v>
      </c>
      <c r="U188" s="68"/>
      <c r="V188" s="198"/>
    </row>
    <row r="189" spans="1:22" x14ac:dyDescent="0.25">
      <c r="A189" s="38">
        <v>44080</v>
      </c>
      <c r="B189" s="126">
        <v>6986</v>
      </c>
      <c r="C189" s="126">
        <f t="shared" si="32"/>
        <v>478792</v>
      </c>
      <c r="D189" s="126">
        <f>67+51+1</f>
        <v>119</v>
      </c>
      <c r="E189" s="126">
        <f t="shared" si="31"/>
        <v>9858</v>
      </c>
      <c r="F189" s="126">
        <f t="shared" si="12"/>
        <v>8256</v>
      </c>
      <c r="G189" s="154">
        <v>357388</v>
      </c>
      <c r="H189" s="126">
        <v>2512</v>
      </c>
      <c r="I189" s="126">
        <v>15262</v>
      </c>
      <c r="J189" s="4">
        <f t="shared" si="29"/>
        <v>1368853</v>
      </c>
      <c r="K189" s="7">
        <f t="shared" si="34"/>
        <v>1235.9904000000097</v>
      </c>
      <c r="L189" s="7">
        <f t="shared" si="33"/>
        <v>771258.00959999999</v>
      </c>
      <c r="M189" s="7">
        <v>772494</v>
      </c>
      <c r="N189" s="4">
        <v>1210</v>
      </c>
      <c r="O189" s="4">
        <v>105702</v>
      </c>
      <c r="P189" s="4">
        <v>299270</v>
      </c>
      <c r="Q189" s="4">
        <f t="shared" si="30"/>
        <v>72610</v>
      </c>
      <c r="R189" s="96">
        <f t="shared" si="22"/>
        <v>111546</v>
      </c>
      <c r="S189" s="35">
        <f t="shared" si="26"/>
        <v>2.2519857278611513E-2</v>
      </c>
      <c r="T189" s="28">
        <f t="shared" si="17"/>
        <v>2.0589316446390081E-2</v>
      </c>
      <c r="U189" s="68"/>
      <c r="V189" s="198"/>
    </row>
    <row r="190" spans="1:22" x14ac:dyDescent="0.25">
      <c r="A190" s="40">
        <v>44081</v>
      </c>
      <c r="B190" s="133">
        <v>9215</v>
      </c>
      <c r="C190" s="133">
        <f t="shared" si="32"/>
        <v>488007</v>
      </c>
      <c r="D190" s="133">
        <f>53+215</f>
        <v>268</v>
      </c>
      <c r="E190" s="133">
        <f t="shared" si="31"/>
        <v>10126</v>
      </c>
      <c r="F190" s="126">
        <f t="shared" si="12"/>
        <v>9202</v>
      </c>
      <c r="G190" s="154">
        <v>366590</v>
      </c>
      <c r="H190" s="133">
        <v>2698</v>
      </c>
      <c r="I190" s="133">
        <v>20475</v>
      </c>
      <c r="J190" s="4">
        <f t="shared" si="29"/>
        <v>1389328</v>
      </c>
      <c r="K190" s="7">
        <f t="shared" si="34"/>
        <v>1252.6800000000512</v>
      </c>
      <c r="L190" s="7">
        <f t="shared" si="33"/>
        <v>781672.32</v>
      </c>
      <c r="M190" s="4">
        <v>782925</v>
      </c>
      <c r="N190" s="4">
        <v>1217</v>
      </c>
      <c r="O190" s="4">
        <v>107504</v>
      </c>
      <c r="P190" s="4">
        <v>307566</v>
      </c>
      <c r="Q190" s="4">
        <f t="shared" si="30"/>
        <v>71720</v>
      </c>
      <c r="R190" s="96">
        <f t="shared" si="22"/>
        <v>111291</v>
      </c>
      <c r="S190" s="35">
        <f t="shared" si="26"/>
        <v>2.4242750986153416E-2</v>
      </c>
      <c r="T190" s="28">
        <f t="shared" si="17"/>
        <v>2.074970236082679E-2</v>
      </c>
      <c r="U190" s="68"/>
      <c r="V190" s="198"/>
    </row>
    <row r="191" spans="1:22" x14ac:dyDescent="0.25">
      <c r="A191" s="38">
        <v>44082</v>
      </c>
      <c r="B191" s="126">
        <v>12027</v>
      </c>
      <c r="C191" s="126">
        <f t="shared" si="32"/>
        <v>500034</v>
      </c>
      <c r="D191" s="126">
        <f>50+227</f>
        <v>277</v>
      </c>
      <c r="E191" s="126">
        <f t="shared" si="31"/>
        <v>10403</v>
      </c>
      <c r="F191" s="126">
        <f t="shared" si="12"/>
        <v>15900</v>
      </c>
      <c r="G191" s="154">
        <v>382490</v>
      </c>
      <c r="H191" s="126">
        <v>2719</v>
      </c>
      <c r="I191" s="126">
        <v>25995</v>
      </c>
      <c r="J191" s="4">
        <f t="shared" si="29"/>
        <v>1415323</v>
      </c>
      <c r="K191" s="7">
        <f t="shared" si="34"/>
        <v>1273.516799999983</v>
      </c>
      <c r="L191" s="7">
        <f t="shared" ref="L191:L202" si="35">0.9984*M191</f>
        <v>794674.48320000002</v>
      </c>
      <c r="M191" s="4">
        <v>795948</v>
      </c>
      <c r="N191" s="4">
        <v>1221</v>
      </c>
      <c r="O191" s="4">
        <v>109701</v>
      </c>
      <c r="P191" s="4">
        <v>316074</v>
      </c>
      <c r="Q191" s="4">
        <f t="shared" si="30"/>
        <v>73038</v>
      </c>
      <c r="R191" s="96">
        <f t="shared" si="22"/>
        <v>107141</v>
      </c>
      <c r="S191" s="35">
        <f t="shared" si="26"/>
        <v>2.5377773214735722E-2</v>
      </c>
      <c r="T191" s="28">
        <f t="shared" si="17"/>
        <v>2.0804585288200401E-2</v>
      </c>
      <c r="U191" s="68"/>
      <c r="V191" s="198"/>
    </row>
    <row r="192" spans="1:22" x14ac:dyDescent="0.25">
      <c r="A192" s="38">
        <v>44083</v>
      </c>
      <c r="B192" s="126">
        <v>12259</v>
      </c>
      <c r="C192" s="126">
        <f t="shared" si="32"/>
        <v>512293</v>
      </c>
      <c r="D192" s="126">
        <f>52+202</f>
        <v>254</v>
      </c>
      <c r="E192" s="126">
        <f t="shared" si="31"/>
        <v>10657</v>
      </c>
      <c r="F192" s="126">
        <f t="shared" si="12"/>
        <v>7608</v>
      </c>
      <c r="G192" s="154">
        <v>390098</v>
      </c>
      <c r="H192" s="126">
        <v>2829</v>
      </c>
      <c r="I192" s="126">
        <v>27171</v>
      </c>
      <c r="J192" s="4">
        <f t="shared" si="29"/>
        <v>1442494</v>
      </c>
      <c r="K192" s="7">
        <f t="shared" si="34"/>
        <v>1293.7232000000076</v>
      </c>
      <c r="L192" s="7">
        <f t="shared" si="35"/>
        <v>807283.27679999999</v>
      </c>
      <c r="M192" s="4">
        <v>808577</v>
      </c>
      <c r="N192" s="4">
        <v>1222</v>
      </c>
      <c r="O192" s="4">
        <v>112220</v>
      </c>
      <c r="P192" s="4">
        <v>324064</v>
      </c>
      <c r="Q192" s="4">
        <f t="shared" si="30"/>
        <v>74787</v>
      </c>
      <c r="R192" s="96">
        <f t="shared" si="22"/>
        <v>111538</v>
      </c>
      <c r="S192" s="35">
        <f t="shared" si="26"/>
        <v>2.5363553228496118E-2</v>
      </c>
      <c r="T192" s="28">
        <f t="shared" si="17"/>
        <v>2.0802548541557272E-2</v>
      </c>
      <c r="U192" s="68"/>
      <c r="V192" s="198"/>
    </row>
    <row r="193" spans="1:22" x14ac:dyDescent="0.25">
      <c r="A193" s="38">
        <v>44084</v>
      </c>
      <c r="B193" s="126">
        <v>11905</v>
      </c>
      <c r="C193" s="126">
        <f t="shared" ref="C193:C207" si="36">C192+B193</f>
        <v>524198</v>
      </c>
      <c r="D193" s="126">
        <f>55+195</f>
        <v>250</v>
      </c>
      <c r="E193" s="126">
        <f t="shared" ref="E193:E206" si="37">E192+D193</f>
        <v>10907</v>
      </c>
      <c r="F193" s="126">
        <f t="shared" si="12"/>
        <v>10023</v>
      </c>
      <c r="G193" s="154">
        <v>400121</v>
      </c>
      <c r="H193" s="126">
        <v>2880</v>
      </c>
      <c r="I193" s="126">
        <v>28057</v>
      </c>
      <c r="J193" s="4">
        <f t="shared" si="29"/>
        <v>1470551</v>
      </c>
      <c r="K193" s="7">
        <f t="shared" si="34"/>
        <v>1315.7488000000594</v>
      </c>
      <c r="L193" s="7">
        <f t="shared" si="35"/>
        <v>821027.25119999994</v>
      </c>
      <c r="M193" s="4">
        <v>822343</v>
      </c>
      <c r="N193" s="4">
        <v>1227</v>
      </c>
      <c r="O193" s="4">
        <v>114335</v>
      </c>
      <c r="P193" s="4">
        <v>332280</v>
      </c>
      <c r="Q193" s="4">
        <f t="shared" si="30"/>
        <v>76356</v>
      </c>
      <c r="R193" s="96">
        <f t="shared" si="22"/>
        <v>113170</v>
      </c>
      <c r="S193" s="35">
        <f t="shared" si="26"/>
        <v>2.5448440399399135E-2</v>
      </c>
      <c r="T193" s="28">
        <f t="shared" si="17"/>
        <v>2.0807023300355974E-2</v>
      </c>
      <c r="U193" s="68"/>
      <c r="V193" s="198"/>
    </row>
    <row r="194" spans="1:22" s="42" customFormat="1" x14ac:dyDescent="0.25">
      <c r="A194" s="40">
        <v>44085</v>
      </c>
      <c r="B194" s="124">
        <v>11507</v>
      </c>
      <c r="C194" s="124">
        <f t="shared" si="36"/>
        <v>535705</v>
      </c>
      <c r="D194" s="124">
        <f>87+154</f>
        <v>241</v>
      </c>
      <c r="E194" s="124">
        <f t="shared" si="37"/>
        <v>11148</v>
      </c>
      <c r="F194" s="126">
        <f t="shared" si="12"/>
        <v>9650</v>
      </c>
      <c r="G194" s="154">
        <v>409771</v>
      </c>
      <c r="H194" s="124">
        <v>3093</v>
      </c>
      <c r="I194" s="126">
        <v>26254</v>
      </c>
      <c r="J194" s="4">
        <f t="shared" si="29"/>
        <v>1496805</v>
      </c>
      <c r="K194" s="7">
        <f t="shared" ref="K194:K202" si="38">M194-L194</f>
        <v>1338.017600000021</v>
      </c>
      <c r="L194" s="7">
        <f t="shared" si="35"/>
        <v>834922.98239999998</v>
      </c>
      <c r="M194" s="4">
        <v>836261</v>
      </c>
      <c r="N194" s="4">
        <v>1229</v>
      </c>
      <c r="O194" s="4">
        <v>116159</v>
      </c>
      <c r="P194" s="4">
        <v>340885</v>
      </c>
      <c r="Q194" s="4">
        <f t="shared" si="30"/>
        <v>77432</v>
      </c>
      <c r="R194" s="96">
        <f t="shared" si="22"/>
        <v>114786</v>
      </c>
      <c r="S194" s="35">
        <f t="shared" si="26"/>
        <v>2.6945794783335947E-2</v>
      </c>
      <c r="T194" s="28">
        <f t="shared" si="17"/>
        <v>2.0809960705985571E-2</v>
      </c>
      <c r="U194" s="68"/>
      <c r="V194" s="198"/>
    </row>
    <row r="195" spans="1:22" x14ac:dyDescent="0.25">
      <c r="A195" s="38">
        <v>44086</v>
      </c>
      <c r="B195" s="124">
        <v>10776</v>
      </c>
      <c r="C195" s="124">
        <f t="shared" si="36"/>
        <v>546481</v>
      </c>
      <c r="D195" s="124">
        <f>57+58</f>
        <v>115</v>
      </c>
      <c r="E195" s="124">
        <f t="shared" si="37"/>
        <v>11263</v>
      </c>
      <c r="F195" s="126">
        <f t="shared" ref="F195:F258" si="39">G195-G194</f>
        <v>9742</v>
      </c>
      <c r="G195" s="154">
        <v>419513</v>
      </c>
      <c r="H195" s="124">
        <v>2962</v>
      </c>
      <c r="I195" s="126">
        <v>23140</v>
      </c>
      <c r="J195" s="4">
        <f t="shared" si="29"/>
        <v>1519945</v>
      </c>
      <c r="K195" s="7">
        <f t="shared" si="38"/>
        <v>1355.5903999999864</v>
      </c>
      <c r="L195" s="7">
        <f t="shared" si="35"/>
        <v>845888.40960000001</v>
      </c>
      <c r="M195" s="4">
        <v>847244</v>
      </c>
      <c r="N195" s="4">
        <v>1232</v>
      </c>
      <c r="O195" s="4">
        <v>117339</v>
      </c>
      <c r="P195" s="4">
        <v>347893</v>
      </c>
      <c r="Q195" s="4">
        <f t="shared" si="30"/>
        <v>80017</v>
      </c>
      <c r="R195" s="96">
        <f t="shared" si="22"/>
        <v>115705</v>
      </c>
      <c r="S195" s="35">
        <f t="shared" si="26"/>
        <v>2.5599585151894904E-2</v>
      </c>
      <c r="T195" s="28">
        <f t="shared" si="17"/>
        <v>2.0610048656769402E-2</v>
      </c>
      <c r="U195" s="68"/>
      <c r="V195" s="198"/>
    </row>
    <row r="196" spans="1:22" ht="16.5" x14ac:dyDescent="0.25">
      <c r="A196" s="38">
        <v>44087</v>
      </c>
      <c r="B196" s="124">
        <v>9056</v>
      </c>
      <c r="C196" s="146">
        <f t="shared" si="36"/>
        <v>555537</v>
      </c>
      <c r="D196" s="124">
        <f>44+45</f>
        <v>89</v>
      </c>
      <c r="E196" s="124">
        <f t="shared" si="37"/>
        <v>11352</v>
      </c>
      <c r="F196" s="126">
        <f t="shared" si="39"/>
        <v>9440</v>
      </c>
      <c r="G196" s="154">
        <v>428953</v>
      </c>
      <c r="H196" s="124">
        <v>2984</v>
      </c>
      <c r="I196" s="126">
        <v>17955</v>
      </c>
      <c r="J196" s="4">
        <f t="shared" si="29"/>
        <v>1537900</v>
      </c>
      <c r="K196" s="7">
        <f t="shared" si="38"/>
        <v>1368.1983999999939</v>
      </c>
      <c r="L196" s="7">
        <f t="shared" si="35"/>
        <v>853755.80160000001</v>
      </c>
      <c r="M196" s="4">
        <v>855124</v>
      </c>
      <c r="N196" s="4">
        <v>1235</v>
      </c>
      <c r="O196" s="4">
        <v>118561</v>
      </c>
      <c r="P196" s="4">
        <v>353007</v>
      </c>
      <c r="Q196" s="4">
        <f t="shared" si="30"/>
        <v>82734</v>
      </c>
      <c r="R196" s="96">
        <f t="shared" si="22"/>
        <v>115232</v>
      </c>
      <c r="S196" s="35">
        <f t="shared" si="26"/>
        <v>2.5895584559844486E-2</v>
      </c>
      <c r="T196" s="28">
        <f t="shared" si="17"/>
        <v>2.0434282505035668E-2</v>
      </c>
      <c r="U196" s="68"/>
      <c r="V196" s="198"/>
    </row>
    <row r="197" spans="1:22" ht="16.5" x14ac:dyDescent="0.25">
      <c r="A197" s="40">
        <v>44088</v>
      </c>
      <c r="B197" s="126">
        <v>9909</v>
      </c>
      <c r="C197" s="146">
        <f t="shared" si="36"/>
        <v>565446</v>
      </c>
      <c r="D197" s="126">
        <f>60+254</f>
        <v>314</v>
      </c>
      <c r="E197" s="126">
        <f t="shared" si="37"/>
        <v>11666</v>
      </c>
      <c r="F197" s="126">
        <f t="shared" si="39"/>
        <v>9930</v>
      </c>
      <c r="G197" s="154">
        <v>438883</v>
      </c>
      <c r="H197" s="126">
        <v>2992</v>
      </c>
      <c r="I197" s="126">
        <v>21207</v>
      </c>
      <c r="J197" s="4">
        <f t="shared" si="29"/>
        <v>1559107</v>
      </c>
      <c r="K197" s="7">
        <f t="shared" si="38"/>
        <v>1385.3168000000296</v>
      </c>
      <c r="L197" s="7">
        <f t="shared" si="35"/>
        <v>864437.68319999997</v>
      </c>
      <c r="M197" s="4">
        <v>865823</v>
      </c>
      <c r="N197" s="4">
        <v>1236</v>
      </c>
      <c r="O197" s="4">
        <v>120192</v>
      </c>
      <c r="P197" s="4">
        <v>361677</v>
      </c>
      <c r="Q197" s="4">
        <f t="shared" si="30"/>
        <v>82341</v>
      </c>
      <c r="R197" s="96">
        <f t="shared" si="22"/>
        <v>114897</v>
      </c>
      <c r="S197" s="35">
        <f t="shared" si="26"/>
        <v>2.6040714727103405E-2</v>
      </c>
      <c r="T197" s="28">
        <f t="shared" ref="T197:T210" si="40">E197/C187</f>
        <v>2.525753330937339E-2</v>
      </c>
      <c r="U197" s="68"/>
      <c r="V197" s="198"/>
    </row>
    <row r="198" spans="1:22" ht="16.5" x14ac:dyDescent="0.25">
      <c r="A198" s="38">
        <v>44089</v>
      </c>
      <c r="B198" s="126">
        <v>11892</v>
      </c>
      <c r="C198" s="146">
        <f t="shared" si="36"/>
        <v>577338</v>
      </c>
      <c r="D198" s="126">
        <f>43+142</f>
        <v>185</v>
      </c>
      <c r="E198" s="126">
        <f t="shared" si="37"/>
        <v>11851</v>
      </c>
      <c r="F198" s="126">
        <f t="shared" si="39"/>
        <v>9380</v>
      </c>
      <c r="G198" s="154">
        <v>448263</v>
      </c>
      <c r="H198" s="126">
        <v>3049</v>
      </c>
      <c r="I198" s="126">
        <v>25791</v>
      </c>
      <c r="J198" s="4">
        <f t="shared" si="29"/>
        <v>1584898</v>
      </c>
      <c r="K198" s="7">
        <f t="shared" si="38"/>
        <v>1407.344000000041</v>
      </c>
      <c r="L198" s="7">
        <f t="shared" si="35"/>
        <v>878182.65599999996</v>
      </c>
      <c r="M198" s="4">
        <v>879590</v>
      </c>
      <c r="N198" s="4">
        <v>1242</v>
      </c>
      <c r="O198" s="4">
        <v>125970</v>
      </c>
      <c r="P198" s="4">
        <v>371507</v>
      </c>
      <c r="Q198" s="4">
        <f t="shared" si="30"/>
        <v>78619</v>
      </c>
      <c r="R198" s="96">
        <f t="shared" si="22"/>
        <v>117224</v>
      </c>
      <c r="S198" s="35">
        <f t="shared" si="26"/>
        <v>2.6010032075342932E-2</v>
      </c>
      <c r="T198" s="28">
        <f t="shared" si="40"/>
        <v>2.5118374925287089E-2</v>
      </c>
      <c r="U198" s="68"/>
      <c r="V198" s="198"/>
    </row>
    <row r="199" spans="1:22" ht="16.5" x14ac:dyDescent="0.25">
      <c r="A199" s="38">
        <v>44090</v>
      </c>
      <c r="B199" s="126">
        <v>11674</v>
      </c>
      <c r="C199" s="146">
        <f t="shared" si="36"/>
        <v>589012</v>
      </c>
      <c r="D199" s="126">
        <f>58+206</f>
        <v>264</v>
      </c>
      <c r="E199" s="126">
        <f t="shared" si="37"/>
        <v>12115</v>
      </c>
      <c r="F199" s="126">
        <f t="shared" si="39"/>
        <v>8084</v>
      </c>
      <c r="G199" s="154">
        <v>456347</v>
      </c>
      <c r="H199" s="126">
        <v>3118</v>
      </c>
      <c r="I199" s="126">
        <v>25422</v>
      </c>
      <c r="J199" s="4">
        <f t="shared" si="29"/>
        <v>1610320</v>
      </c>
      <c r="K199" s="7">
        <f t="shared" si="38"/>
        <v>1429.5023999999976</v>
      </c>
      <c r="L199" s="7">
        <f t="shared" si="35"/>
        <v>892009.4976</v>
      </c>
      <c r="M199" s="4">
        <v>893439</v>
      </c>
      <c r="N199" s="4">
        <v>1247</v>
      </c>
      <c r="O199" s="4">
        <v>128236</v>
      </c>
      <c r="P199" s="4">
        <v>380805</v>
      </c>
      <c r="Q199" s="7">
        <f>C199-P199-O199-N199</f>
        <v>78724</v>
      </c>
      <c r="R199" s="96">
        <f t="shared" si="22"/>
        <v>120550</v>
      </c>
      <c r="S199" s="35">
        <f t="shared" si="26"/>
        <v>2.5864786395686436E-2</v>
      </c>
      <c r="T199" s="28">
        <f t="shared" si="40"/>
        <v>2.530326321241792E-2</v>
      </c>
      <c r="U199" s="68"/>
      <c r="V199" s="198"/>
    </row>
    <row r="200" spans="1:22" ht="16.5" x14ac:dyDescent="0.25">
      <c r="A200" s="38">
        <v>44091</v>
      </c>
      <c r="B200" s="126">
        <v>12701</v>
      </c>
      <c r="C200" s="146">
        <f t="shared" si="36"/>
        <v>601713</v>
      </c>
      <c r="D200" s="126">
        <v>345</v>
      </c>
      <c r="E200" s="126">
        <f t="shared" si="37"/>
        <v>12460</v>
      </c>
      <c r="F200" s="126">
        <f t="shared" si="39"/>
        <v>10939</v>
      </c>
      <c r="G200" s="154">
        <v>467286</v>
      </c>
      <c r="H200" s="126">
        <v>3108</v>
      </c>
      <c r="I200" s="126">
        <v>28633</v>
      </c>
      <c r="J200" s="4">
        <f t="shared" si="29"/>
        <v>1638953</v>
      </c>
      <c r="K200" s="7">
        <f t="shared" si="38"/>
        <v>1451.9024000000209</v>
      </c>
      <c r="L200" s="7">
        <f t="shared" si="35"/>
        <v>905987.09759999998</v>
      </c>
      <c r="M200" s="4">
        <v>907439</v>
      </c>
      <c r="N200" s="4">
        <v>1251</v>
      </c>
      <c r="O200" s="4">
        <v>130230</v>
      </c>
      <c r="P200" s="4">
        <v>390634</v>
      </c>
      <c r="Q200" s="4">
        <f>C200-P200-O200-N200</f>
        <v>79598</v>
      </c>
      <c r="R200" s="96">
        <f t="shared" si="22"/>
        <v>121967</v>
      </c>
      <c r="S200" s="35">
        <f t="shared" si="26"/>
        <v>2.5482302590044848E-2</v>
      </c>
      <c r="T200" s="28">
        <f t="shared" si="40"/>
        <v>2.5532420641507191E-2</v>
      </c>
      <c r="U200" s="68"/>
      <c r="V200" s="198"/>
    </row>
    <row r="201" spans="1:22" ht="16.5" x14ac:dyDescent="0.25">
      <c r="A201" s="38">
        <v>44092</v>
      </c>
      <c r="B201" s="126">
        <v>11945</v>
      </c>
      <c r="C201" s="146">
        <f t="shared" si="36"/>
        <v>613658</v>
      </c>
      <c r="D201" s="126">
        <f>31+166</f>
        <v>197</v>
      </c>
      <c r="E201" s="126">
        <f t="shared" si="37"/>
        <v>12657</v>
      </c>
      <c r="F201" s="126">
        <f t="shared" si="39"/>
        <v>10791</v>
      </c>
      <c r="G201" s="154">
        <v>478077</v>
      </c>
      <c r="H201" s="126">
        <v>3225</v>
      </c>
      <c r="I201" s="126">
        <v>25698</v>
      </c>
      <c r="J201" s="4">
        <f t="shared" si="29"/>
        <v>1664651</v>
      </c>
      <c r="K201" s="7">
        <f t="shared" si="38"/>
        <v>1474.3456000000006</v>
      </c>
      <c r="L201" s="7">
        <f t="shared" si="35"/>
        <v>919991.6544</v>
      </c>
      <c r="M201" s="4">
        <v>921466</v>
      </c>
      <c r="N201" s="4">
        <v>1254</v>
      </c>
      <c r="O201" s="4">
        <v>132427</v>
      </c>
      <c r="P201" s="4">
        <v>400216</v>
      </c>
      <c r="Q201" s="4">
        <f>C201-P201-O201-N201</f>
        <v>79761</v>
      </c>
      <c r="R201" s="96">
        <f t="shared" si="22"/>
        <v>122924</v>
      </c>
      <c r="S201" s="35">
        <f t="shared" si="26"/>
        <v>2.6235722885685465E-2</v>
      </c>
      <c r="T201" s="28">
        <f t="shared" si="40"/>
        <v>2.5312278765043977E-2</v>
      </c>
      <c r="U201" s="68"/>
      <c r="V201" s="198"/>
    </row>
    <row r="202" spans="1:22" x14ac:dyDescent="0.25">
      <c r="A202" s="38">
        <v>44093</v>
      </c>
      <c r="B202" s="126">
        <v>9276</v>
      </c>
      <c r="C202" s="126">
        <f t="shared" si="36"/>
        <v>622934</v>
      </c>
      <c r="D202" s="126">
        <f>49+94</f>
        <v>143</v>
      </c>
      <c r="E202" s="126">
        <f t="shared" si="37"/>
        <v>12800</v>
      </c>
      <c r="F202" s="126">
        <f t="shared" si="39"/>
        <v>10154</v>
      </c>
      <c r="G202" s="154">
        <v>488231</v>
      </c>
      <c r="H202" s="126">
        <v>3213</v>
      </c>
      <c r="I202" s="126">
        <v>21093</v>
      </c>
      <c r="J202" s="4">
        <f t="shared" si="29"/>
        <v>1685744</v>
      </c>
      <c r="K202" s="7">
        <f t="shared" si="38"/>
        <v>1492.0336000000825</v>
      </c>
      <c r="L202" s="7">
        <f t="shared" si="35"/>
        <v>931028.96639999992</v>
      </c>
      <c r="M202" s="4">
        <v>932521</v>
      </c>
      <c r="N202" s="27">
        <v>1261</v>
      </c>
      <c r="O202" s="27">
        <v>133793</v>
      </c>
      <c r="P202" s="27">
        <v>406757</v>
      </c>
      <c r="Q202" s="27">
        <f>C202-P202-O202-N202</f>
        <v>81123</v>
      </c>
      <c r="R202" s="96">
        <f t="shared" si="22"/>
        <v>121903</v>
      </c>
      <c r="S202" s="71">
        <f t="shared" si="26"/>
        <v>2.6357021566327327E-2</v>
      </c>
      <c r="T202" s="72">
        <f t="shared" si="40"/>
        <v>2.4985701541891066E-2</v>
      </c>
      <c r="U202" s="68"/>
      <c r="V202" s="198"/>
    </row>
    <row r="203" spans="1:22" x14ac:dyDescent="0.25">
      <c r="A203" s="38">
        <v>44094</v>
      </c>
      <c r="B203" s="126">
        <v>8431</v>
      </c>
      <c r="C203" s="126">
        <f t="shared" si="36"/>
        <v>631365</v>
      </c>
      <c r="D203" s="126">
        <f>110+143</f>
        <v>253</v>
      </c>
      <c r="E203" s="126">
        <f t="shared" si="37"/>
        <v>13053</v>
      </c>
      <c r="F203" s="126">
        <f t="shared" si="39"/>
        <v>10148</v>
      </c>
      <c r="G203" s="154">
        <v>498379</v>
      </c>
      <c r="H203" s="126">
        <v>3261</v>
      </c>
      <c r="I203" s="126">
        <v>15454</v>
      </c>
      <c r="J203" s="4">
        <f t="shared" si="29"/>
        <v>1701198</v>
      </c>
      <c r="K203" s="7">
        <v>1348</v>
      </c>
      <c r="L203" s="7">
        <v>939868</v>
      </c>
      <c r="M203" s="70">
        <f t="shared" ref="M203:M213" si="41">L203+K203</f>
        <v>941216</v>
      </c>
      <c r="N203" s="77">
        <v>1262</v>
      </c>
      <c r="O203" s="77">
        <v>134820</v>
      </c>
      <c r="P203" s="77">
        <v>412203</v>
      </c>
      <c r="Q203" s="77">
        <f>C203-P203-O203-N203</f>
        <v>83080</v>
      </c>
      <c r="R203" s="96">
        <f t="shared" si="22"/>
        <v>119933</v>
      </c>
      <c r="S203" s="82">
        <f t="shared" si="26"/>
        <v>2.7190181184494677E-2</v>
      </c>
      <c r="T203" s="83">
        <f t="shared" si="40"/>
        <v>2.4900896226235127E-2</v>
      </c>
      <c r="U203" s="68"/>
      <c r="V203" s="198"/>
    </row>
    <row r="204" spans="1:22" x14ac:dyDescent="0.25">
      <c r="A204" s="38">
        <v>44095</v>
      </c>
      <c r="B204" s="126">
        <v>8782</v>
      </c>
      <c r="C204" s="126">
        <f t="shared" si="36"/>
        <v>640147</v>
      </c>
      <c r="D204" s="126">
        <v>427</v>
      </c>
      <c r="E204" s="126">
        <f t="shared" si="37"/>
        <v>13480</v>
      </c>
      <c r="F204" s="126">
        <f t="shared" si="39"/>
        <v>10184</v>
      </c>
      <c r="G204" s="154">
        <v>508563</v>
      </c>
      <c r="H204" s="126">
        <v>3387</v>
      </c>
      <c r="I204" s="126">
        <v>18575</v>
      </c>
      <c r="J204" s="4">
        <f t="shared" si="29"/>
        <v>1719773</v>
      </c>
      <c r="K204" s="7">
        <v>1383</v>
      </c>
      <c r="L204" s="7">
        <v>949102</v>
      </c>
      <c r="M204" s="70">
        <f t="shared" si="41"/>
        <v>950485</v>
      </c>
      <c r="N204" s="84">
        <v>6401</v>
      </c>
      <c r="O204" s="84">
        <v>138272</v>
      </c>
      <c r="P204" s="94">
        <v>417376</v>
      </c>
      <c r="Q204" s="77">
        <f t="shared" ref="Q204:Q231" si="42">C204-P204-O204-N204</f>
        <v>78098</v>
      </c>
      <c r="R204" s="96">
        <f t="shared" si="22"/>
        <v>118104</v>
      </c>
      <c r="S204" s="82">
        <f t="shared" si="26"/>
        <v>2.8678114204429995E-2</v>
      </c>
      <c r="T204" s="83">
        <f t="shared" si="40"/>
        <v>2.5163102827115671E-2</v>
      </c>
      <c r="U204" s="68"/>
      <c r="V204" s="198"/>
    </row>
    <row r="205" spans="1:22" x14ac:dyDescent="0.25">
      <c r="A205" s="38">
        <v>44096</v>
      </c>
      <c r="B205" s="126">
        <v>12027</v>
      </c>
      <c r="C205" s="126">
        <f t="shared" si="36"/>
        <v>652174</v>
      </c>
      <c r="D205" s="126">
        <v>469</v>
      </c>
      <c r="E205" s="126">
        <f t="shared" si="37"/>
        <v>13949</v>
      </c>
      <c r="F205" s="126">
        <f t="shared" si="39"/>
        <v>8665</v>
      </c>
      <c r="G205" s="154">
        <v>517228</v>
      </c>
      <c r="H205" s="126">
        <v>3362</v>
      </c>
      <c r="I205" s="126">
        <v>25766</v>
      </c>
      <c r="J205" s="4">
        <f t="shared" si="29"/>
        <v>1745539</v>
      </c>
      <c r="K205" s="7">
        <v>1448</v>
      </c>
      <c r="L205" s="7">
        <v>961776</v>
      </c>
      <c r="M205" s="70">
        <f t="shared" si="41"/>
        <v>963224</v>
      </c>
      <c r="N205" s="85">
        <v>6521</v>
      </c>
      <c r="O205" s="85">
        <v>140870</v>
      </c>
      <c r="P205" s="85">
        <v>425218</v>
      </c>
      <c r="Q205" s="77">
        <f t="shared" si="42"/>
        <v>79565</v>
      </c>
      <c r="R205" s="96">
        <f t="shared" si="22"/>
        <v>120997</v>
      </c>
      <c r="S205" s="82">
        <f t="shared" si="26"/>
        <v>2.7785812871393506E-2</v>
      </c>
      <c r="T205" s="83">
        <f t="shared" si="40"/>
        <v>2.5525132621262221E-2</v>
      </c>
      <c r="U205" s="68"/>
      <c r="V205" s="198"/>
    </row>
    <row r="206" spans="1:22" x14ac:dyDescent="0.25">
      <c r="A206" s="38">
        <v>44097</v>
      </c>
      <c r="B206" s="126">
        <v>12625</v>
      </c>
      <c r="C206" s="126">
        <f t="shared" si="36"/>
        <v>664799</v>
      </c>
      <c r="D206" s="126">
        <v>423</v>
      </c>
      <c r="E206" s="126">
        <f t="shared" si="37"/>
        <v>14372</v>
      </c>
      <c r="F206" s="126">
        <f t="shared" si="39"/>
        <v>8258</v>
      </c>
      <c r="G206" s="154">
        <v>525486</v>
      </c>
      <c r="H206" s="126">
        <v>3511</v>
      </c>
      <c r="I206" s="126">
        <v>24903</v>
      </c>
      <c r="J206" s="4">
        <f t="shared" si="29"/>
        <v>1770442</v>
      </c>
      <c r="K206" s="7">
        <v>1456</v>
      </c>
      <c r="L206" s="7">
        <v>974788</v>
      </c>
      <c r="M206" s="70">
        <f t="shared" si="41"/>
        <v>976244</v>
      </c>
      <c r="N206" s="85">
        <v>6647</v>
      </c>
      <c r="O206" s="85">
        <v>143597</v>
      </c>
      <c r="P206" s="85">
        <v>433450</v>
      </c>
      <c r="Q206" s="77">
        <f t="shared" si="42"/>
        <v>81105</v>
      </c>
      <c r="R206" s="96">
        <f t="shared" si="22"/>
        <v>124941</v>
      </c>
      <c r="S206" s="82">
        <f t="shared" ref="S206:S211" si="43">H206/(C206-E206-G206)</f>
        <v>2.8101263796511955E-2</v>
      </c>
      <c r="T206" s="83">
        <f t="shared" si="40"/>
        <v>2.5870464073500056E-2</v>
      </c>
      <c r="U206" s="68"/>
      <c r="V206" s="198"/>
    </row>
    <row r="207" spans="1:22" x14ac:dyDescent="0.25">
      <c r="A207" s="38">
        <v>44098</v>
      </c>
      <c r="B207" s="135">
        <v>13467</v>
      </c>
      <c r="C207" s="136">
        <f t="shared" si="36"/>
        <v>678266</v>
      </c>
      <c r="D207" s="126">
        <v>391</v>
      </c>
      <c r="E207" s="126">
        <f t="shared" ref="E207:E230" si="44">E206+D207</f>
        <v>14763</v>
      </c>
      <c r="F207" s="126">
        <f t="shared" si="39"/>
        <v>11103</v>
      </c>
      <c r="G207" s="154">
        <v>536589</v>
      </c>
      <c r="H207" s="126">
        <v>3527</v>
      </c>
      <c r="I207" s="126">
        <v>27253</v>
      </c>
      <c r="J207" s="4">
        <f t="shared" si="29"/>
        <v>1797695</v>
      </c>
      <c r="K207" s="7">
        <v>1488</v>
      </c>
      <c r="L207" s="7">
        <v>988976</v>
      </c>
      <c r="M207" s="26">
        <f t="shared" si="41"/>
        <v>990464</v>
      </c>
      <c r="N207" s="85">
        <v>6740</v>
      </c>
      <c r="O207" s="85">
        <v>143045</v>
      </c>
      <c r="P207" s="85">
        <v>449054</v>
      </c>
      <c r="Q207" s="77">
        <f t="shared" si="42"/>
        <v>79427</v>
      </c>
      <c r="R207" s="96">
        <f t="shared" si="22"/>
        <v>126914</v>
      </c>
      <c r="S207" s="82">
        <f t="shared" si="43"/>
        <v>2.7790472288321225E-2</v>
      </c>
      <c r="T207" s="83">
        <f t="shared" si="40"/>
        <v>2.6108593924088243E-2</v>
      </c>
      <c r="U207" s="68"/>
      <c r="V207" s="198"/>
    </row>
    <row r="208" spans="1:22" x14ac:dyDescent="0.25">
      <c r="A208" s="38">
        <v>44099</v>
      </c>
      <c r="B208" s="126">
        <v>12969</v>
      </c>
      <c r="C208" s="126">
        <f t="shared" ref="C208:C230" si="45">C207+B208</f>
        <v>691235</v>
      </c>
      <c r="D208" s="126">
        <v>442</v>
      </c>
      <c r="E208" s="126">
        <f t="shared" si="44"/>
        <v>15205</v>
      </c>
      <c r="F208" s="126">
        <f t="shared" si="39"/>
        <v>10335</v>
      </c>
      <c r="G208" s="154">
        <v>546924</v>
      </c>
      <c r="H208" s="126">
        <v>3595</v>
      </c>
      <c r="I208" s="126">
        <v>25098</v>
      </c>
      <c r="J208" s="4">
        <f t="shared" si="29"/>
        <v>1822793</v>
      </c>
      <c r="K208" s="7">
        <v>1500</v>
      </c>
      <c r="L208" s="7">
        <v>1001959</v>
      </c>
      <c r="M208" s="26">
        <f t="shared" si="41"/>
        <v>1003459</v>
      </c>
      <c r="N208" s="85">
        <v>6798</v>
      </c>
      <c r="O208" s="85">
        <v>145075</v>
      </c>
      <c r="P208" s="85">
        <v>458440</v>
      </c>
      <c r="Q208" s="77">
        <f t="shared" si="42"/>
        <v>80922</v>
      </c>
      <c r="R208" s="96">
        <f t="shared" si="22"/>
        <v>129106</v>
      </c>
      <c r="S208" s="82">
        <f t="shared" si="43"/>
        <v>2.7845336390252971E-2</v>
      </c>
      <c r="T208" s="83">
        <f t="shared" si="40"/>
        <v>2.633639220006305E-2</v>
      </c>
      <c r="U208" s="68"/>
      <c r="V208" s="198"/>
    </row>
    <row r="209" spans="1:22" x14ac:dyDescent="0.25">
      <c r="A209" s="38">
        <v>44100</v>
      </c>
      <c r="B209" s="126">
        <v>11249</v>
      </c>
      <c r="C209" s="126">
        <f t="shared" si="45"/>
        <v>702484</v>
      </c>
      <c r="D209" s="126">
        <v>337</v>
      </c>
      <c r="E209" s="126">
        <f t="shared" si="44"/>
        <v>15542</v>
      </c>
      <c r="F209" s="126">
        <f t="shared" si="39"/>
        <v>9565</v>
      </c>
      <c r="G209" s="154">
        <v>556489</v>
      </c>
      <c r="H209" s="126">
        <v>3633</v>
      </c>
      <c r="I209" s="126">
        <v>22101</v>
      </c>
      <c r="J209" s="4">
        <f t="shared" si="29"/>
        <v>1844894</v>
      </c>
      <c r="K209" s="7">
        <v>1537</v>
      </c>
      <c r="L209" s="7">
        <v>1014163</v>
      </c>
      <c r="M209" s="26">
        <f t="shared" si="41"/>
        <v>1015700</v>
      </c>
      <c r="N209" s="85">
        <v>6835</v>
      </c>
      <c r="O209" s="85">
        <v>146416</v>
      </c>
      <c r="P209" s="85">
        <v>464913</v>
      </c>
      <c r="Q209" s="77">
        <f t="shared" si="42"/>
        <v>84320</v>
      </c>
      <c r="R209" s="96">
        <f t="shared" si="22"/>
        <v>130453</v>
      </c>
      <c r="S209" s="82">
        <f t="shared" si="43"/>
        <v>2.7849110407579741E-2</v>
      </c>
      <c r="T209" s="83">
        <f t="shared" si="40"/>
        <v>2.6386559187249158E-2</v>
      </c>
      <c r="U209" s="68"/>
      <c r="V209" s="198"/>
    </row>
    <row r="210" spans="1:22" x14ac:dyDescent="0.25">
      <c r="A210" s="38">
        <v>44101</v>
      </c>
      <c r="B210" s="126">
        <v>8841</v>
      </c>
      <c r="C210" s="126">
        <f t="shared" si="45"/>
        <v>711325</v>
      </c>
      <c r="D210" s="126">
        <v>206</v>
      </c>
      <c r="E210" s="126">
        <f t="shared" si="44"/>
        <v>15748</v>
      </c>
      <c r="F210" s="126">
        <f t="shared" si="39"/>
        <v>9446</v>
      </c>
      <c r="G210" s="154">
        <v>565935</v>
      </c>
      <c r="H210" s="126">
        <v>3604</v>
      </c>
      <c r="I210" s="126">
        <v>15171</v>
      </c>
      <c r="J210" s="4">
        <f t="shared" si="29"/>
        <v>1860065</v>
      </c>
      <c r="K210" s="7">
        <v>1567</v>
      </c>
      <c r="L210" s="7">
        <v>1021244</v>
      </c>
      <c r="M210" s="26">
        <f t="shared" si="41"/>
        <v>1022811</v>
      </c>
      <c r="N210" s="85">
        <v>6874</v>
      </c>
      <c r="O210" s="85">
        <v>147538</v>
      </c>
      <c r="P210" s="85">
        <v>469799</v>
      </c>
      <c r="Q210" s="77">
        <f t="shared" si="42"/>
        <v>87114</v>
      </c>
      <c r="R210" s="96">
        <f t="shared" si="22"/>
        <v>129642</v>
      </c>
      <c r="S210" s="82">
        <f t="shared" si="43"/>
        <v>2.779963283503803E-2</v>
      </c>
      <c r="T210" s="83">
        <f t="shared" si="40"/>
        <v>2.6171945761517535E-2</v>
      </c>
      <c r="U210" s="68"/>
      <c r="V210" s="198"/>
    </row>
    <row r="211" spans="1:22" x14ac:dyDescent="0.25">
      <c r="A211" s="38">
        <v>44102</v>
      </c>
      <c r="B211" s="126">
        <v>11807</v>
      </c>
      <c r="C211" s="126">
        <f t="shared" si="45"/>
        <v>723132</v>
      </c>
      <c r="D211" s="126">
        <v>365</v>
      </c>
      <c r="E211" s="126">
        <f t="shared" si="44"/>
        <v>16113</v>
      </c>
      <c r="F211" s="126">
        <f t="shared" si="39"/>
        <v>10780</v>
      </c>
      <c r="G211" s="154">
        <v>576715</v>
      </c>
      <c r="H211" s="126">
        <v>3678</v>
      </c>
      <c r="I211" s="126">
        <v>21356</v>
      </c>
      <c r="J211" s="4">
        <f t="shared" si="29"/>
        <v>1881421</v>
      </c>
      <c r="K211" s="7">
        <v>1611</v>
      </c>
      <c r="L211" s="7">
        <v>1031143</v>
      </c>
      <c r="M211" s="26">
        <f t="shared" si="41"/>
        <v>1032754</v>
      </c>
      <c r="N211" s="85">
        <v>6984</v>
      </c>
      <c r="O211" s="85">
        <v>149538</v>
      </c>
      <c r="P211" s="85">
        <v>478119</v>
      </c>
      <c r="Q211" s="77">
        <f t="shared" si="42"/>
        <v>88491</v>
      </c>
      <c r="R211" s="96">
        <f t="shared" si="22"/>
        <v>130304</v>
      </c>
      <c r="S211" s="82">
        <f t="shared" si="43"/>
        <v>2.8226301571709234E-2</v>
      </c>
      <c r="T211" s="83">
        <f>E211/C201</f>
        <v>2.6257296409400676E-2</v>
      </c>
      <c r="U211" s="68"/>
      <c r="V211" s="198"/>
    </row>
    <row r="212" spans="1:22" x14ac:dyDescent="0.25">
      <c r="A212" s="38">
        <v>44103</v>
      </c>
      <c r="B212" s="126">
        <v>13477</v>
      </c>
      <c r="C212" s="126">
        <f t="shared" si="45"/>
        <v>736609</v>
      </c>
      <c r="D212" s="126">
        <v>405</v>
      </c>
      <c r="E212" s="126">
        <f t="shared" si="44"/>
        <v>16518</v>
      </c>
      <c r="F212" s="126">
        <f t="shared" si="39"/>
        <v>9142</v>
      </c>
      <c r="G212" s="154">
        <v>585857</v>
      </c>
      <c r="H212" s="126">
        <v>3768</v>
      </c>
      <c r="I212" s="126">
        <v>25072</v>
      </c>
      <c r="J212" s="4">
        <f t="shared" si="29"/>
        <v>1906493</v>
      </c>
      <c r="K212" s="7">
        <v>1774</v>
      </c>
      <c r="L212" s="30">
        <v>1043210</v>
      </c>
      <c r="M212" s="26">
        <f t="shared" si="41"/>
        <v>1044984</v>
      </c>
      <c r="N212" s="85">
        <v>7083</v>
      </c>
      <c r="O212" s="85">
        <v>151787</v>
      </c>
      <c r="P212" s="85">
        <v>487971</v>
      </c>
      <c r="Q212" s="77">
        <f t="shared" si="42"/>
        <v>89768</v>
      </c>
      <c r="R212" s="96">
        <f t="shared" si="22"/>
        <v>134234</v>
      </c>
      <c r="S212" s="82">
        <f t="shared" ref="S212:S220" si="46">H212/(C212-E212-G212)</f>
        <v>2.8070384552348882E-2</v>
      </c>
      <c r="T212" s="83">
        <f>E212/C202</f>
        <v>2.6516452786330493E-2</v>
      </c>
      <c r="U212" s="68"/>
      <c r="V212" s="198"/>
    </row>
    <row r="213" spans="1:22" x14ac:dyDescent="0.25">
      <c r="A213" s="38">
        <v>44104</v>
      </c>
      <c r="B213" s="126">
        <v>14392</v>
      </c>
      <c r="C213" s="126">
        <f t="shared" si="45"/>
        <v>751001</v>
      </c>
      <c r="D213" s="126">
        <v>418</v>
      </c>
      <c r="E213" s="126">
        <f t="shared" si="44"/>
        <v>16936</v>
      </c>
      <c r="F213" s="126">
        <f t="shared" si="39"/>
        <v>8788</v>
      </c>
      <c r="G213" s="154">
        <v>594645</v>
      </c>
      <c r="H213" s="126">
        <v>3792</v>
      </c>
      <c r="I213" s="126">
        <v>26524</v>
      </c>
      <c r="J213" s="4">
        <f t="shared" si="29"/>
        <v>1933017</v>
      </c>
      <c r="K213" s="70">
        <v>2013</v>
      </c>
      <c r="L213" s="8">
        <v>1055774</v>
      </c>
      <c r="M213" s="79">
        <f t="shared" si="41"/>
        <v>1057787</v>
      </c>
      <c r="N213" s="85">
        <v>7162</v>
      </c>
      <c r="O213" s="85">
        <v>153949</v>
      </c>
      <c r="P213" s="85">
        <v>498519</v>
      </c>
      <c r="Q213" s="77">
        <f t="shared" si="42"/>
        <v>91371</v>
      </c>
      <c r="R213" s="96">
        <f t="shared" si="22"/>
        <v>139420</v>
      </c>
      <c r="S213" s="82">
        <f t="shared" si="46"/>
        <v>2.7198393343853107E-2</v>
      </c>
      <c r="T213" s="83">
        <f>E213/C203</f>
        <v>2.682442010564412E-2</v>
      </c>
      <c r="U213" s="68"/>
      <c r="V213" s="198"/>
    </row>
    <row r="214" spans="1:22" x14ac:dyDescent="0.25">
      <c r="A214" s="38">
        <v>44105</v>
      </c>
      <c r="B214" s="126">
        <v>14001</v>
      </c>
      <c r="C214" s="126">
        <f t="shared" si="45"/>
        <v>765002</v>
      </c>
      <c r="D214" s="139">
        <v>3348</v>
      </c>
      <c r="E214" s="126">
        <f t="shared" si="44"/>
        <v>20284</v>
      </c>
      <c r="F214" s="126">
        <f t="shared" si="39"/>
        <v>8495</v>
      </c>
      <c r="G214" s="154">
        <v>603140</v>
      </c>
      <c r="H214" s="137">
        <v>3799</v>
      </c>
      <c r="I214" s="126">
        <v>26662</v>
      </c>
      <c r="J214" s="4">
        <f t="shared" si="29"/>
        <v>1959679</v>
      </c>
      <c r="K214" s="70">
        <v>1482</v>
      </c>
      <c r="L214" s="8">
        <v>1068705</v>
      </c>
      <c r="M214" s="79">
        <f t="shared" ref="M214:M225" si="47">L214+K214</f>
        <v>1070187</v>
      </c>
      <c r="N214" s="85">
        <v>7226</v>
      </c>
      <c r="O214" s="85">
        <v>155848</v>
      </c>
      <c r="P214" s="85">
        <v>508945</v>
      </c>
      <c r="Q214" s="77">
        <f t="shared" si="42"/>
        <v>92983</v>
      </c>
      <c r="R214" s="96">
        <f t="shared" si="22"/>
        <v>141578</v>
      </c>
      <c r="S214" s="82">
        <f t="shared" si="46"/>
        <v>2.6833265055305203E-2</v>
      </c>
      <c r="T214" s="83">
        <f>E214/C204</f>
        <v>3.1686472013459407E-2</v>
      </c>
      <c r="U214" s="68"/>
      <c r="V214" s="198"/>
    </row>
    <row r="215" spans="1:22" x14ac:dyDescent="0.25">
      <c r="A215" s="38">
        <v>44106</v>
      </c>
      <c r="B215" s="135">
        <v>14687</v>
      </c>
      <c r="C215" s="126">
        <f t="shared" si="45"/>
        <v>779689</v>
      </c>
      <c r="D215" s="126">
        <v>309</v>
      </c>
      <c r="E215" s="126">
        <f t="shared" si="44"/>
        <v>20593</v>
      </c>
      <c r="F215" s="126">
        <f t="shared" si="39"/>
        <v>11375</v>
      </c>
      <c r="G215" s="154">
        <v>614515</v>
      </c>
      <c r="H215" s="137">
        <v>3828</v>
      </c>
      <c r="I215" s="126">
        <v>27537</v>
      </c>
      <c r="J215" s="4">
        <f t="shared" si="29"/>
        <v>1987216</v>
      </c>
      <c r="K215" s="7">
        <v>1492</v>
      </c>
      <c r="L215" s="8">
        <v>1082729</v>
      </c>
      <c r="M215" s="26">
        <f t="shared" si="47"/>
        <v>1084221</v>
      </c>
      <c r="N215" s="85">
        <v>7323</v>
      </c>
      <c r="O215" s="85">
        <v>158001</v>
      </c>
      <c r="P215" s="85">
        <v>520163</v>
      </c>
      <c r="Q215" s="77">
        <f t="shared" si="42"/>
        <v>94202</v>
      </c>
      <c r="R215" s="96">
        <f t="shared" si="22"/>
        <v>144581</v>
      </c>
      <c r="S215" s="82">
        <f t="shared" si="46"/>
        <v>2.6476507978226739E-2</v>
      </c>
      <c r="T215" s="28">
        <f t="shared" ref="T215:T232" si="48">E215/C195</f>
        <v>3.7682920357706852E-2</v>
      </c>
      <c r="U215" s="68"/>
      <c r="V215" s="198"/>
    </row>
    <row r="216" spans="1:22" x14ac:dyDescent="0.25">
      <c r="A216" s="40">
        <v>44107</v>
      </c>
      <c r="B216" s="133">
        <v>11129</v>
      </c>
      <c r="C216" s="133">
        <f t="shared" si="45"/>
        <v>790818</v>
      </c>
      <c r="D216" s="133">
        <v>195</v>
      </c>
      <c r="E216" s="133">
        <f t="shared" si="44"/>
        <v>20788</v>
      </c>
      <c r="F216" s="126">
        <f t="shared" si="39"/>
        <v>11599</v>
      </c>
      <c r="G216" s="154">
        <v>626114</v>
      </c>
      <c r="H216" s="137">
        <v>3820</v>
      </c>
      <c r="I216" s="133">
        <v>20525</v>
      </c>
      <c r="J216" s="4">
        <f t="shared" si="29"/>
        <v>2007741</v>
      </c>
      <c r="K216" s="30">
        <v>1499</v>
      </c>
      <c r="L216" s="30">
        <v>1095695</v>
      </c>
      <c r="M216" s="80">
        <f t="shared" si="47"/>
        <v>1097194</v>
      </c>
      <c r="N216" s="85">
        <v>7387</v>
      </c>
      <c r="O216" s="85">
        <v>159347</v>
      </c>
      <c r="P216" s="85">
        <v>527803</v>
      </c>
      <c r="Q216" s="77">
        <f t="shared" si="42"/>
        <v>96281</v>
      </c>
      <c r="R216" s="96">
        <f t="shared" si="22"/>
        <v>143916</v>
      </c>
      <c r="S216" s="82">
        <f t="shared" si="46"/>
        <v>2.6543261346896802E-2</v>
      </c>
      <c r="T216" s="28">
        <f t="shared" si="48"/>
        <v>3.7419649816303864E-2</v>
      </c>
      <c r="U216" s="68"/>
      <c r="V216" s="198"/>
    </row>
    <row r="217" spans="1:22" x14ac:dyDescent="0.25">
      <c r="A217" s="38">
        <v>44108</v>
      </c>
      <c r="B217" s="126">
        <v>7668</v>
      </c>
      <c r="C217" s="126">
        <f t="shared" si="45"/>
        <v>798486</v>
      </c>
      <c r="D217" s="126">
        <v>222</v>
      </c>
      <c r="E217" s="126">
        <f t="shared" si="44"/>
        <v>21010</v>
      </c>
      <c r="F217" s="126">
        <f t="shared" si="39"/>
        <v>10558</v>
      </c>
      <c r="G217" s="154">
        <v>636672</v>
      </c>
      <c r="H217" s="137">
        <v>3950</v>
      </c>
      <c r="I217" s="126">
        <v>13213</v>
      </c>
      <c r="J217" s="4">
        <f t="shared" si="29"/>
        <v>2020954</v>
      </c>
      <c r="K217" s="7">
        <v>1504</v>
      </c>
      <c r="L217" s="7">
        <v>1103068</v>
      </c>
      <c r="M217" s="26">
        <f t="shared" si="47"/>
        <v>1104572</v>
      </c>
      <c r="N217" s="85">
        <v>7425</v>
      </c>
      <c r="O217" s="85">
        <v>160401</v>
      </c>
      <c r="P217" s="85">
        <v>533573</v>
      </c>
      <c r="Q217" s="77">
        <f t="shared" si="42"/>
        <v>97087</v>
      </c>
      <c r="R217" s="96">
        <f t="shared" si="22"/>
        <v>140804</v>
      </c>
      <c r="S217" s="82">
        <f t="shared" si="46"/>
        <v>2.8053180307377631E-2</v>
      </c>
      <c r="T217" s="28">
        <f t="shared" si="48"/>
        <v>3.7156510082306707E-2</v>
      </c>
      <c r="U217" s="68"/>
      <c r="V217" s="198"/>
    </row>
    <row r="218" spans="1:22" x14ac:dyDescent="0.25">
      <c r="A218" s="38">
        <v>44109</v>
      </c>
      <c r="B218" s="136">
        <v>11242</v>
      </c>
      <c r="C218" s="126">
        <f t="shared" si="45"/>
        <v>809728</v>
      </c>
      <c r="D218" s="126">
        <v>450</v>
      </c>
      <c r="E218" s="126">
        <f t="shared" si="44"/>
        <v>21460</v>
      </c>
      <c r="F218" s="126">
        <f t="shared" si="39"/>
        <v>12345</v>
      </c>
      <c r="G218" s="154">
        <v>649017</v>
      </c>
      <c r="H218" s="137">
        <v>3978</v>
      </c>
      <c r="I218" s="126">
        <v>20263</v>
      </c>
      <c r="J218" s="4">
        <f t="shared" si="29"/>
        <v>2041217</v>
      </c>
      <c r="K218" s="7">
        <v>1508</v>
      </c>
      <c r="L218" s="7">
        <v>1113469</v>
      </c>
      <c r="M218" s="26">
        <f t="shared" si="47"/>
        <v>1114977</v>
      </c>
      <c r="N218" s="85">
        <v>7503</v>
      </c>
      <c r="O218" s="85">
        <v>162682</v>
      </c>
      <c r="P218" s="85">
        <v>544916</v>
      </c>
      <c r="Q218" s="77">
        <f t="shared" si="42"/>
        <v>94627</v>
      </c>
      <c r="R218" s="96">
        <f t="shared" si="22"/>
        <v>139251</v>
      </c>
      <c r="S218" s="82">
        <f t="shared" si="46"/>
        <v>2.8567119805243769E-2</v>
      </c>
      <c r="T218" s="28">
        <f t="shared" si="48"/>
        <v>3.7170600237642418E-2</v>
      </c>
      <c r="U218" s="68"/>
      <c r="V218" s="198"/>
    </row>
    <row r="219" spans="1:22" x14ac:dyDescent="0.25">
      <c r="A219" s="38">
        <v>44110</v>
      </c>
      <c r="B219" s="136">
        <v>14740</v>
      </c>
      <c r="C219" s="126">
        <f t="shared" si="45"/>
        <v>824468</v>
      </c>
      <c r="D219" s="126">
        <v>359</v>
      </c>
      <c r="E219" s="126">
        <f t="shared" si="44"/>
        <v>21819</v>
      </c>
      <c r="F219" s="126">
        <f t="shared" si="39"/>
        <v>11255</v>
      </c>
      <c r="G219" s="154">
        <v>660272</v>
      </c>
      <c r="H219" s="137">
        <v>4007</v>
      </c>
      <c r="I219" s="126">
        <v>26481</v>
      </c>
      <c r="J219" s="4">
        <f t="shared" si="29"/>
        <v>2067698</v>
      </c>
      <c r="K219" s="7">
        <v>1528</v>
      </c>
      <c r="L219" s="7">
        <v>1127417</v>
      </c>
      <c r="M219" s="26">
        <f t="shared" si="47"/>
        <v>1128945</v>
      </c>
      <c r="N219" s="85">
        <v>7581</v>
      </c>
      <c r="O219" s="85">
        <v>165737</v>
      </c>
      <c r="P219" s="85">
        <v>556132</v>
      </c>
      <c r="Q219" s="77">
        <f t="shared" si="42"/>
        <v>95018</v>
      </c>
      <c r="R219" s="96">
        <f t="shared" si="22"/>
        <v>142377</v>
      </c>
      <c r="S219" s="82">
        <f t="shared" si="46"/>
        <v>2.8143590608033602E-2</v>
      </c>
      <c r="T219" s="28">
        <f t="shared" si="48"/>
        <v>3.704338791060284E-2</v>
      </c>
      <c r="U219" s="68"/>
      <c r="V219" s="198"/>
    </row>
    <row r="220" spans="1:22" x14ac:dyDescent="0.25">
      <c r="A220" s="38">
        <v>44111</v>
      </c>
      <c r="B220" s="136">
        <v>16447</v>
      </c>
      <c r="C220" s="126">
        <f t="shared" si="45"/>
        <v>840915</v>
      </c>
      <c r="D220" s="126">
        <v>401</v>
      </c>
      <c r="E220" s="126">
        <f t="shared" si="44"/>
        <v>22220</v>
      </c>
      <c r="F220" s="126">
        <f t="shared" si="39"/>
        <v>10453</v>
      </c>
      <c r="G220" s="154">
        <v>670725</v>
      </c>
      <c r="H220" s="137">
        <v>3997</v>
      </c>
      <c r="I220" s="195">
        <v>29441</v>
      </c>
      <c r="J220" s="4">
        <f t="shared" si="29"/>
        <v>2097139</v>
      </c>
      <c r="K220" s="7">
        <v>1542</v>
      </c>
      <c r="L220" s="7">
        <v>1142661</v>
      </c>
      <c r="M220" s="26">
        <f t="shared" si="47"/>
        <v>1144203</v>
      </c>
      <c r="N220" s="85">
        <v>7669</v>
      </c>
      <c r="O220" s="85">
        <v>168593</v>
      </c>
      <c r="P220" s="85">
        <v>568246</v>
      </c>
      <c r="Q220" s="77">
        <f t="shared" si="42"/>
        <v>96407</v>
      </c>
      <c r="R220" s="96">
        <f t="shared" si="22"/>
        <v>147970</v>
      </c>
      <c r="S220" s="82">
        <f t="shared" si="46"/>
        <v>2.7012232209231601E-2</v>
      </c>
      <c r="T220" s="28">
        <f t="shared" si="48"/>
        <v>3.6927904166936726E-2</v>
      </c>
      <c r="U220" s="68"/>
      <c r="V220" s="198"/>
    </row>
    <row r="221" spans="1:22" x14ac:dyDescent="0.25">
      <c r="A221" s="38">
        <v>44112</v>
      </c>
      <c r="B221" s="126">
        <v>15454</v>
      </c>
      <c r="C221" s="126">
        <f t="shared" si="45"/>
        <v>856369</v>
      </c>
      <c r="D221" s="126">
        <v>484</v>
      </c>
      <c r="E221" s="126">
        <f t="shared" si="44"/>
        <v>22704</v>
      </c>
      <c r="F221" s="126">
        <f t="shared" si="39"/>
        <v>14119</v>
      </c>
      <c r="G221" s="154">
        <v>684844</v>
      </c>
      <c r="H221" s="137">
        <v>4043</v>
      </c>
      <c r="I221" s="126">
        <v>25841</v>
      </c>
      <c r="J221" s="4">
        <f t="shared" si="29"/>
        <v>2122980</v>
      </c>
      <c r="K221" s="7">
        <v>1544</v>
      </c>
      <c r="L221" s="7">
        <v>1155668</v>
      </c>
      <c r="M221" s="26">
        <f t="shared" si="47"/>
        <v>1157212</v>
      </c>
      <c r="N221" s="85">
        <v>7761</v>
      </c>
      <c r="O221" s="85">
        <v>171322</v>
      </c>
      <c r="P221" s="85">
        <v>578517</v>
      </c>
      <c r="Q221" s="77">
        <f t="shared" si="42"/>
        <v>98769</v>
      </c>
      <c r="R221" s="96">
        <f t="shared" si="22"/>
        <v>148821</v>
      </c>
      <c r="S221" s="82">
        <f t="shared" ref="S221:S227" si="49">H221/(C221-E221-G221)</f>
        <v>2.7166864891379577E-2</v>
      </c>
      <c r="T221" s="28">
        <f t="shared" si="48"/>
        <v>3.6997806595856324E-2</v>
      </c>
      <c r="U221" s="68"/>
      <c r="V221" s="198"/>
    </row>
    <row r="222" spans="1:22" x14ac:dyDescent="0.25">
      <c r="A222" s="75">
        <v>44113</v>
      </c>
      <c r="B222" s="133">
        <v>15099</v>
      </c>
      <c r="C222" s="126">
        <f t="shared" si="45"/>
        <v>871468</v>
      </c>
      <c r="D222" s="147">
        <v>514</v>
      </c>
      <c r="E222" s="133">
        <f t="shared" si="44"/>
        <v>23218</v>
      </c>
      <c r="F222" s="126">
        <f t="shared" si="39"/>
        <v>12297</v>
      </c>
      <c r="G222" s="154">
        <v>697141</v>
      </c>
      <c r="H222" s="137">
        <v>4092</v>
      </c>
      <c r="I222" s="133">
        <v>25174</v>
      </c>
      <c r="J222" s="4">
        <f t="shared" si="29"/>
        <v>2148154</v>
      </c>
      <c r="K222" s="30">
        <v>1564</v>
      </c>
      <c r="L222" s="30">
        <v>1172099</v>
      </c>
      <c r="M222" s="80">
        <f t="shared" si="47"/>
        <v>1173663</v>
      </c>
      <c r="N222" s="85">
        <v>7817</v>
      </c>
      <c r="O222" s="85">
        <v>174267</v>
      </c>
      <c r="P222" s="85">
        <v>588788</v>
      </c>
      <c r="Q222" s="77">
        <f t="shared" si="42"/>
        <v>100596</v>
      </c>
      <c r="R222" s="96">
        <f t="shared" ref="R222:R247" si="50">C222-E222-G222</f>
        <v>151109</v>
      </c>
      <c r="S222" s="82">
        <f t="shared" si="49"/>
        <v>2.7079790085302664E-2</v>
      </c>
      <c r="T222" s="28">
        <f t="shared" si="48"/>
        <v>3.7272006344171292E-2</v>
      </c>
      <c r="U222" s="68"/>
      <c r="V222" s="198"/>
    </row>
    <row r="223" spans="1:22" x14ac:dyDescent="0.25">
      <c r="A223" s="76">
        <v>44114</v>
      </c>
      <c r="B223" s="137">
        <v>12414</v>
      </c>
      <c r="C223" s="126">
        <f t="shared" si="45"/>
        <v>883882</v>
      </c>
      <c r="D223" s="137">
        <v>357</v>
      </c>
      <c r="E223" s="137">
        <f t="shared" si="44"/>
        <v>23575</v>
      </c>
      <c r="F223" s="126">
        <f t="shared" si="39"/>
        <v>12323</v>
      </c>
      <c r="G223" s="154">
        <v>709464</v>
      </c>
      <c r="H223" s="137">
        <v>4200</v>
      </c>
      <c r="I223" s="137">
        <v>19871</v>
      </c>
      <c r="J223" s="4">
        <f t="shared" si="29"/>
        <v>2168025</v>
      </c>
      <c r="K223" s="78">
        <v>1566</v>
      </c>
      <c r="L223" s="78">
        <v>1182752</v>
      </c>
      <c r="M223" s="81">
        <f t="shared" si="47"/>
        <v>1184318</v>
      </c>
      <c r="N223" s="85">
        <v>7886</v>
      </c>
      <c r="O223" s="85">
        <v>176230</v>
      </c>
      <c r="P223" s="85">
        <v>594738</v>
      </c>
      <c r="Q223" s="77">
        <f t="shared" si="42"/>
        <v>105028</v>
      </c>
      <c r="R223" s="96">
        <f t="shared" si="50"/>
        <v>150843</v>
      </c>
      <c r="S223" s="82">
        <f t="shared" si="49"/>
        <v>2.7843519420854796E-2</v>
      </c>
      <c r="T223" s="28">
        <f t="shared" si="48"/>
        <v>3.7339732167605111E-2</v>
      </c>
      <c r="U223" s="68"/>
      <c r="V223" s="198"/>
    </row>
    <row r="224" spans="1:22" x14ac:dyDescent="0.25">
      <c r="A224" s="86">
        <v>44115</v>
      </c>
      <c r="B224" s="138">
        <v>10324</v>
      </c>
      <c r="C224" s="133">
        <f t="shared" si="45"/>
        <v>894206</v>
      </c>
      <c r="D224" s="138">
        <v>283</v>
      </c>
      <c r="E224" s="138">
        <f t="shared" si="44"/>
        <v>23858</v>
      </c>
      <c r="F224" s="126">
        <f t="shared" si="39"/>
        <v>11916</v>
      </c>
      <c r="G224" s="154">
        <v>721380</v>
      </c>
      <c r="H224" s="138">
        <v>4237</v>
      </c>
      <c r="I224" s="138">
        <v>14237</v>
      </c>
      <c r="J224" s="4">
        <f t="shared" si="29"/>
        <v>2182262</v>
      </c>
      <c r="K224" s="88">
        <v>1567</v>
      </c>
      <c r="L224" s="88">
        <v>1189378</v>
      </c>
      <c r="M224" s="93">
        <f t="shared" si="47"/>
        <v>1190945</v>
      </c>
      <c r="N224" s="89">
        <v>7932</v>
      </c>
      <c r="O224" s="89">
        <v>177557</v>
      </c>
      <c r="P224" s="89">
        <v>599352</v>
      </c>
      <c r="Q224" s="87">
        <f t="shared" si="42"/>
        <v>109365</v>
      </c>
      <c r="R224" s="96">
        <f t="shared" si="50"/>
        <v>148968</v>
      </c>
      <c r="S224" s="90">
        <f t="shared" si="49"/>
        <v>2.8442350034906826E-2</v>
      </c>
      <c r="T224" s="72">
        <f t="shared" si="48"/>
        <v>3.7269564646870174E-2</v>
      </c>
      <c r="U224" s="68"/>
      <c r="V224" s="198"/>
    </row>
    <row r="225" spans="1:22" x14ac:dyDescent="0.25">
      <c r="A225" s="74">
        <v>44116</v>
      </c>
      <c r="B225" s="126">
        <v>9524</v>
      </c>
      <c r="C225" s="126">
        <f t="shared" si="45"/>
        <v>903730</v>
      </c>
      <c r="D225" s="126">
        <v>318</v>
      </c>
      <c r="E225" s="126">
        <f t="shared" si="44"/>
        <v>24176</v>
      </c>
      <c r="F225" s="126">
        <f t="shared" si="39"/>
        <v>11202</v>
      </c>
      <c r="G225" s="155">
        <v>732582</v>
      </c>
      <c r="H225" s="126">
        <v>4287</v>
      </c>
      <c r="I225" s="126">
        <v>13956</v>
      </c>
      <c r="J225" s="4">
        <f t="shared" si="29"/>
        <v>2196218</v>
      </c>
      <c r="K225" s="7">
        <v>1567</v>
      </c>
      <c r="L225" s="7">
        <v>1196534</v>
      </c>
      <c r="M225" s="11">
        <f t="shared" si="47"/>
        <v>1198101</v>
      </c>
      <c r="N225" s="8">
        <v>7963</v>
      </c>
      <c r="O225" s="8">
        <v>179298</v>
      </c>
      <c r="P225" s="8">
        <v>608522</v>
      </c>
      <c r="Q225" s="4">
        <f t="shared" si="42"/>
        <v>107947</v>
      </c>
      <c r="R225" s="96">
        <f t="shared" si="50"/>
        <v>146972</v>
      </c>
      <c r="S225" s="35">
        <f t="shared" si="49"/>
        <v>2.9168821272079034E-2</v>
      </c>
      <c r="T225" s="28">
        <f t="shared" si="48"/>
        <v>3.7069861724018438E-2</v>
      </c>
      <c r="U225" s="68"/>
      <c r="V225" s="198"/>
    </row>
    <row r="226" spans="1:22" x14ac:dyDescent="0.25">
      <c r="A226" s="74">
        <v>44117</v>
      </c>
      <c r="B226" s="126">
        <v>13305</v>
      </c>
      <c r="C226" s="126">
        <f t="shared" si="45"/>
        <v>917035</v>
      </c>
      <c r="D226" s="126">
        <v>384</v>
      </c>
      <c r="E226" s="126">
        <f t="shared" si="44"/>
        <v>24560</v>
      </c>
      <c r="F226" s="126">
        <f t="shared" si="39"/>
        <v>9653</v>
      </c>
      <c r="G226" s="155">
        <v>742235</v>
      </c>
      <c r="H226" s="126">
        <v>4294</v>
      </c>
      <c r="I226" s="126">
        <v>20544</v>
      </c>
      <c r="J226" s="4">
        <f t="shared" si="29"/>
        <v>2216762</v>
      </c>
      <c r="K226" s="7">
        <v>1574</v>
      </c>
      <c r="L226" s="7">
        <v>1207475</v>
      </c>
      <c r="M226" s="7">
        <f t="shared" ref="M226:M231" si="51">K226+L226</f>
        <v>1209049</v>
      </c>
      <c r="N226" s="8">
        <v>8033</v>
      </c>
      <c r="O226" s="8">
        <v>182045</v>
      </c>
      <c r="P226" s="8">
        <v>619199</v>
      </c>
      <c r="Q226" s="4">
        <f t="shared" si="42"/>
        <v>107758</v>
      </c>
      <c r="R226" s="96">
        <f t="shared" si="50"/>
        <v>150240</v>
      </c>
      <c r="S226" s="35">
        <f t="shared" si="49"/>
        <v>2.8580937167199148E-2</v>
      </c>
      <c r="T226" s="28">
        <f t="shared" si="48"/>
        <v>3.6943497207426602E-2</v>
      </c>
      <c r="U226" s="68"/>
      <c r="V226" s="198"/>
    </row>
    <row r="227" spans="1:22" x14ac:dyDescent="0.25">
      <c r="A227" s="74">
        <v>44118</v>
      </c>
      <c r="B227" s="126">
        <v>14932</v>
      </c>
      <c r="C227" s="126">
        <f t="shared" si="45"/>
        <v>931967</v>
      </c>
      <c r="D227" s="126">
        <v>350</v>
      </c>
      <c r="E227" s="126">
        <f t="shared" si="44"/>
        <v>24910</v>
      </c>
      <c r="F227" s="126">
        <f t="shared" si="39"/>
        <v>8911</v>
      </c>
      <c r="G227" s="155">
        <v>751146</v>
      </c>
      <c r="H227" s="126">
        <v>4316</v>
      </c>
      <c r="I227" s="126">
        <v>23519</v>
      </c>
      <c r="J227" s="4">
        <f t="shared" si="29"/>
        <v>2240281</v>
      </c>
      <c r="K227" s="7">
        <v>1574</v>
      </c>
      <c r="L227" s="7">
        <v>1219715</v>
      </c>
      <c r="M227" s="7">
        <f t="shared" si="51"/>
        <v>1221289</v>
      </c>
      <c r="N227" s="8">
        <v>8098</v>
      </c>
      <c r="O227" s="8">
        <v>184890</v>
      </c>
      <c r="P227" s="8">
        <v>629734</v>
      </c>
      <c r="Q227" s="4">
        <f t="shared" si="42"/>
        <v>109245</v>
      </c>
      <c r="R227" s="96">
        <f t="shared" si="50"/>
        <v>155911</v>
      </c>
      <c r="S227" s="35">
        <f t="shared" si="49"/>
        <v>2.7682459864922938E-2</v>
      </c>
      <c r="T227" s="28">
        <f t="shared" si="48"/>
        <v>3.672600425201912E-2</v>
      </c>
      <c r="U227" s="68"/>
      <c r="V227" s="198"/>
    </row>
    <row r="228" spans="1:22" x14ac:dyDescent="0.25">
      <c r="A228" s="74">
        <v>44119</v>
      </c>
      <c r="B228" s="139">
        <v>17096</v>
      </c>
      <c r="C228" s="126">
        <f t="shared" si="45"/>
        <v>949063</v>
      </c>
      <c r="D228" s="126">
        <v>421</v>
      </c>
      <c r="E228" s="126">
        <f t="shared" si="44"/>
        <v>25331</v>
      </c>
      <c r="F228" s="126">
        <f t="shared" si="39"/>
        <v>13713</v>
      </c>
      <c r="G228" s="155">
        <v>764859</v>
      </c>
      <c r="H228" s="126">
        <v>4278</v>
      </c>
      <c r="I228" s="126">
        <v>27662</v>
      </c>
      <c r="J228" s="4">
        <f t="shared" si="29"/>
        <v>2267943</v>
      </c>
      <c r="K228" s="7">
        <v>1575</v>
      </c>
      <c r="L228" s="7">
        <v>1234321</v>
      </c>
      <c r="M228" s="7">
        <f t="shared" si="51"/>
        <v>1235896</v>
      </c>
      <c r="N228" s="8">
        <v>8172</v>
      </c>
      <c r="O228" s="8">
        <v>187747</v>
      </c>
      <c r="P228" s="8">
        <v>642465</v>
      </c>
      <c r="Q228" s="4">
        <f t="shared" si="42"/>
        <v>110679</v>
      </c>
      <c r="R228" s="96">
        <f t="shared" si="50"/>
        <v>158873</v>
      </c>
      <c r="S228" s="35">
        <f t="shared" ref="S228:S245" si="52">H228/(C228-E228-G228)</f>
        <v>2.6927168241299655E-2</v>
      </c>
      <c r="T228" s="28">
        <f t="shared" si="48"/>
        <v>3.6646003168242347E-2</v>
      </c>
      <c r="U228" s="68"/>
      <c r="V228" s="198"/>
    </row>
    <row r="229" spans="1:22" x14ac:dyDescent="0.25">
      <c r="A229" s="74">
        <v>44120</v>
      </c>
      <c r="B229" s="126">
        <v>16546</v>
      </c>
      <c r="C229" s="126">
        <f t="shared" si="45"/>
        <v>965609</v>
      </c>
      <c r="D229" s="126">
        <v>379</v>
      </c>
      <c r="E229" s="126">
        <f t="shared" si="44"/>
        <v>25710</v>
      </c>
      <c r="F229" s="126">
        <f t="shared" si="39"/>
        <v>13642</v>
      </c>
      <c r="G229" s="155">
        <v>778501</v>
      </c>
      <c r="H229" s="126">
        <v>4346</v>
      </c>
      <c r="I229" s="126">
        <v>27412</v>
      </c>
      <c r="J229" s="4">
        <f t="shared" si="29"/>
        <v>2295355</v>
      </c>
      <c r="K229" s="7">
        <v>1597</v>
      </c>
      <c r="L229" s="7">
        <v>1248101</v>
      </c>
      <c r="M229" s="7">
        <f t="shared" si="51"/>
        <v>1249698</v>
      </c>
      <c r="N229" s="8">
        <v>8249</v>
      </c>
      <c r="O229" s="8">
        <v>190484</v>
      </c>
      <c r="P229" s="8">
        <v>653179</v>
      </c>
      <c r="Q229" s="4">
        <f t="shared" si="42"/>
        <v>113697</v>
      </c>
      <c r="R229" s="96">
        <f t="shared" si="50"/>
        <v>161398</v>
      </c>
      <c r="S229" s="35">
        <f t="shared" si="52"/>
        <v>2.6927223385667727E-2</v>
      </c>
      <c r="T229" s="28">
        <f t="shared" si="48"/>
        <v>3.6598698333342825E-2</v>
      </c>
      <c r="U229" s="68"/>
      <c r="V229" s="198"/>
    </row>
    <row r="230" spans="1:22" x14ac:dyDescent="0.25">
      <c r="A230" s="74">
        <v>44121</v>
      </c>
      <c r="B230" s="126">
        <v>13510</v>
      </c>
      <c r="C230" s="126">
        <f t="shared" si="45"/>
        <v>979119</v>
      </c>
      <c r="D230" s="126">
        <v>383</v>
      </c>
      <c r="E230" s="126">
        <f t="shared" si="44"/>
        <v>26093</v>
      </c>
      <c r="F230" s="126">
        <f t="shared" si="39"/>
        <v>12673</v>
      </c>
      <c r="G230" s="155">
        <v>791174</v>
      </c>
      <c r="H230" s="126">
        <v>4386</v>
      </c>
      <c r="I230" s="126">
        <v>20955</v>
      </c>
      <c r="J230" s="4">
        <f t="shared" si="29"/>
        <v>2316310</v>
      </c>
      <c r="K230" s="7">
        <v>1611</v>
      </c>
      <c r="L230" s="7">
        <v>1260920</v>
      </c>
      <c r="M230" s="7">
        <f t="shared" si="51"/>
        <v>1262531</v>
      </c>
      <c r="N230" s="8">
        <v>8311</v>
      </c>
      <c r="O230" s="8">
        <v>192192</v>
      </c>
      <c r="P230" s="8">
        <v>661955</v>
      </c>
      <c r="Q230" s="4">
        <f t="shared" si="42"/>
        <v>116661</v>
      </c>
      <c r="R230" s="96">
        <f t="shared" si="50"/>
        <v>161852</v>
      </c>
      <c r="S230" s="35">
        <f t="shared" si="52"/>
        <v>2.7098831030818279E-2</v>
      </c>
      <c r="T230" s="28">
        <f t="shared" si="48"/>
        <v>3.6682247917618531E-2</v>
      </c>
      <c r="U230" s="68"/>
      <c r="V230" s="198"/>
    </row>
    <row r="231" spans="1:22" x14ac:dyDescent="0.25">
      <c r="A231" s="74">
        <v>44122</v>
      </c>
      <c r="B231" s="126">
        <v>10561</v>
      </c>
      <c r="C231" s="126">
        <f t="shared" ref="C231:C241" si="53">C230+B231</f>
        <v>989680</v>
      </c>
      <c r="D231" s="126">
        <v>159</v>
      </c>
      <c r="E231" s="126">
        <f t="shared" ref="E231:E239" si="54">E230+D231</f>
        <v>26252</v>
      </c>
      <c r="F231" s="126">
        <f t="shared" si="39"/>
        <v>12791</v>
      </c>
      <c r="G231" s="155">
        <v>803965</v>
      </c>
      <c r="H231" s="126">
        <v>4387</v>
      </c>
      <c r="I231" s="126">
        <v>13890</v>
      </c>
      <c r="J231" s="4">
        <f t="shared" si="29"/>
        <v>2330200</v>
      </c>
      <c r="K231" s="7">
        <v>1617</v>
      </c>
      <c r="L231" s="7">
        <v>1269203</v>
      </c>
      <c r="M231" s="4">
        <f t="shared" si="51"/>
        <v>1270820</v>
      </c>
      <c r="N231" s="8">
        <v>8370</v>
      </c>
      <c r="O231" s="8">
        <v>193297</v>
      </c>
      <c r="P231" s="8">
        <v>669231</v>
      </c>
      <c r="Q231" s="4">
        <f t="shared" si="42"/>
        <v>118782</v>
      </c>
      <c r="R231" s="96">
        <f t="shared" si="50"/>
        <v>159463</v>
      </c>
      <c r="S231" s="35">
        <f t="shared" si="52"/>
        <v>2.751108407592984E-2</v>
      </c>
      <c r="T231" s="28">
        <f t="shared" si="48"/>
        <v>3.6303192224932654E-2</v>
      </c>
      <c r="U231" s="68"/>
      <c r="V231" s="198"/>
    </row>
    <row r="232" spans="1:22" x14ac:dyDescent="0.25">
      <c r="A232" s="74">
        <v>44123</v>
      </c>
      <c r="B232" s="126">
        <v>12982</v>
      </c>
      <c r="C232" s="126">
        <f t="shared" si="53"/>
        <v>1002662</v>
      </c>
      <c r="D232" s="126">
        <v>448</v>
      </c>
      <c r="E232" s="126">
        <f t="shared" si="54"/>
        <v>26700</v>
      </c>
      <c r="F232" s="126">
        <f t="shared" si="39"/>
        <v>12282</v>
      </c>
      <c r="G232" s="155">
        <v>816247</v>
      </c>
      <c r="H232" s="126">
        <v>4392</v>
      </c>
      <c r="I232" s="126">
        <v>28395</v>
      </c>
      <c r="J232" s="4">
        <f t="shared" si="29"/>
        <v>2358595</v>
      </c>
      <c r="K232" s="7">
        <v>1656</v>
      </c>
      <c r="L232" s="7">
        <v>1281757</v>
      </c>
      <c r="M232" s="4">
        <v>1283413</v>
      </c>
      <c r="N232" s="4">
        <v>8406</v>
      </c>
      <c r="O232" s="4">
        <v>195959</v>
      </c>
      <c r="P232" s="4">
        <v>676839</v>
      </c>
      <c r="Q232" s="4">
        <v>121458</v>
      </c>
      <c r="R232" s="96">
        <f t="shared" si="50"/>
        <v>159715</v>
      </c>
      <c r="S232" s="35">
        <f t="shared" si="52"/>
        <v>2.7498982562689792E-2</v>
      </c>
      <c r="T232" s="28">
        <f t="shared" si="48"/>
        <v>3.624718134043977E-2</v>
      </c>
      <c r="U232" s="68"/>
      <c r="V232" s="198"/>
    </row>
    <row r="233" spans="1:22" x14ac:dyDescent="0.25">
      <c r="A233" s="74">
        <v>44124</v>
      </c>
      <c r="B233" s="126">
        <v>16337</v>
      </c>
      <c r="C233" s="126">
        <f t="shared" si="53"/>
        <v>1018999</v>
      </c>
      <c r="D233" s="126">
        <v>381</v>
      </c>
      <c r="E233" s="126">
        <f t="shared" si="54"/>
        <v>27081</v>
      </c>
      <c r="F233" s="126">
        <f t="shared" si="39"/>
        <v>13400</v>
      </c>
      <c r="G233" s="155">
        <v>829647</v>
      </c>
      <c r="H233" s="126">
        <v>4451</v>
      </c>
      <c r="I233" s="126">
        <v>37474</v>
      </c>
      <c r="J233" s="4">
        <f t="shared" si="29"/>
        <v>2396069</v>
      </c>
      <c r="K233" s="7">
        <v>1707</v>
      </c>
      <c r="L233" s="7">
        <v>1298433</v>
      </c>
      <c r="M233" s="4">
        <v>1283413</v>
      </c>
      <c r="N233" s="4">
        <v>8482</v>
      </c>
      <c r="O233" s="4">
        <v>199382</v>
      </c>
      <c r="P233" s="4">
        <v>689632</v>
      </c>
      <c r="Q233" s="12">
        <f>C233-N233-O233-P233</f>
        <v>121503</v>
      </c>
      <c r="R233" s="96">
        <f t="shared" si="50"/>
        <v>162271</v>
      </c>
      <c r="S233" s="35">
        <f t="shared" si="52"/>
        <v>2.7429423618514706E-2</v>
      </c>
      <c r="T233" s="28">
        <f t="shared" ref="T233:T245" si="55">E233/C213</f>
        <v>3.6059872090716261E-2</v>
      </c>
      <c r="U233" s="68"/>
      <c r="V233" s="198"/>
    </row>
    <row r="234" spans="1:22" x14ac:dyDescent="0.25">
      <c r="A234" s="74">
        <v>44125</v>
      </c>
      <c r="B234" s="139">
        <v>18326</v>
      </c>
      <c r="C234" s="126">
        <f t="shared" si="53"/>
        <v>1037325</v>
      </c>
      <c r="D234" s="126">
        <v>421</v>
      </c>
      <c r="E234" s="126">
        <f t="shared" si="54"/>
        <v>27502</v>
      </c>
      <c r="F234" s="126">
        <f t="shared" si="39"/>
        <v>10873</v>
      </c>
      <c r="G234" s="155">
        <v>840520</v>
      </c>
      <c r="H234" s="126">
        <v>4573</v>
      </c>
      <c r="I234" s="126">
        <v>38340</v>
      </c>
      <c r="J234" s="4">
        <f t="shared" ref="J234:J297" si="56">J235-I235</f>
        <v>2434409</v>
      </c>
      <c r="K234" s="7">
        <v>1753</v>
      </c>
      <c r="L234" s="7">
        <v>1314443</v>
      </c>
      <c r="M234" s="7">
        <f>K234+L234</f>
        <v>1316196</v>
      </c>
      <c r="N234" s="4">
        <v>8552</v>
      </c>
      <c r="O234" s="4">
        <v>202216</v>
      </c>
      <c r="P234" s="4">
        <v>702103</v>
      </c>
      <c r="Q234" s="12">
        <f>C234-N234-O234-P234</f>
        <v>124454</v>
      </c>
      <c r="R234" s="96">
        <f t="shared" si="50"/>
        <v>169303</v>
      </c>
      <c r="S234" s="35">
        <f t="shared" si="52"/>
        <v>2.701074405060749E-2</v>
      </c>
      <c r="T234" s="28">
        <f t="shared" si="55"/>
        <v>3.595023280984886E-2</v>
      </c>
      <c r="U234" s="68"/>
      <c r="V234" s="198"/>
    </row>
    <row r="235" spans="1:22" x14ac:dyDescent="0.25">
      <c r="A235" s="74">
        <v>44126</v>
      </c>
      <c r="B235" s="126">
        <v>16325</v>
      </c>
      <c r="C235" s="126">
        <f t="shared" si="53"/>
        <v>1053650</v>
      </c>
      <c r="D235" s="124">
        <v>437</v>
      </c>
      <c r="E235" s="124">
        <f t="shared" si="54"/>
        <v>27939</v>
      </c>
      <c r="F235" s="126">
        <f t="shared" si="39"/>
        <v>11334</v>
      </c>
      <c r="G235" s="149">
        <v>851854</v>
      </c>
      <c r="H235" s="124">
        <v>4611</v>
      </c>
      <c r="I235" s="124">
        <v>39196</v>
      </c>
      <c r="J235" s="4">
        <f t="shared" si="56"/>
        <v>2473605</v>
      </c>
      <c r="K235" s="95">
        <v>1832</v>
      </c>
      <c r="L235" s="95">
        <v>1332741</v>
      </c>
      <c r="M235" s="95">
        <f>L235+K235</f>
        <v>1334573</v>
      </c>
      <c r="N235" s="95">
        <v>8614</v>
      </c>
      <c r="O235" s="95">
        <v>205085</v>
      </c>
      <c r="P235" s="95">
        <v>714929</v>
      </c>
      <c r="Q235" s="95">
        <f>C235-N235-O235-P235</f>
        <v>125022</v>
      </c>
      <c r="R235" s="96">
        <f t="shared" si="50"/>
        <v>173857</v>
      </c>
      <c r="S235" s="35">
        <f t="shared" si="52"/>
        <v>2.6521796648970131E-2</v>
      </c>
      <c r="T235" s="28">
        <f t="shared" si="55"/>
        <v>3.5833518236117218E-2</v>
      </c>
      <c r="U235" s="68"/>
      <c r="V235" s="198"/>
    </row>
    <row r="236" spans="1:22" x14ac:dyDescent="0.25">
      <c r="A236" s="74">
        <v>44127</v>
      </c>
      <c r="B236" s="126">
        <v>15718</v>
      </c>
      <c r="C236" s="126">
        <f t="shared" si="53"/>
        <v>1069368</v>
      </c>
      <c r="D236" s="124">
        <v>380</v>
      </c>
      <c r="E236" s="124">
        <f t="shared" si="54"/>
        <v>28319</v>
      </c>
      <c r="F236" s="126">
        <f t="shared" si="39"/>
        <v>14841</v>
      </c>
      <c r="G236" s="149">
        <v>866695</v>
      </c>
      <c r="H236" s="124">
        <v>4696</v>
      </c>
      <c r="I236" s="124">
        <v>35671</v>
      </c>
      <c r="J236" s="4">
        <f t="shared" si="56"/>
        <v>2509276</v>
      </c>
      <c r="K236" s="95">
        <v>1839</v>
      </c>
      <c r="L236" s="95">
        <v>1348372</v>
      </c>
      <c r="M236" s="95">
        <f t="shared" ref="M236:M299" si="57">L236+K236</f>
        <v>1350211</v>
      </c>
      <c r="N236" s="95">
        <v>8671</v>
      </c>
      <c r="O236" s="97">
        <v>208116</v>
      </c>
      <c r="P236" s="97">
        <v>727467</v>
      </c>
      <c r="Q236" s="95">
        <f t="shared" ref="Q236:Q299" si="58">C236-N236-O236-P236</f>
        <v>125114</v>
      </c>
      <c r="R236" s="96">
        <f t="shared" si="50"/>
        <v>174354</v>
      </c>
      <c r="S236" s="35">
        <f t="shared" si="52"/>
        <v>2.6933709579361528E-2</v>
      </c>
      <c r="T236" s="28">
        <f t="shared" si="55"/>
        <v>3.5809756479999191E-2</v>
      </c>
      <c r="U236" s="68"/>
      <c r="V236" s="198"/>
    </row>
    <row r="237" spans="1:22" x14ac:dyDescent="0.25">
      <c r="A237" s="74">
        <v>44128</v>
      </c>
      <c r="B237" s="126">
        <v>11968</v>
      </c>
      <c r="C237" s="126">
        <f t="shared" si="53"/>
        <v>1081336</v>
      </c>
      <c r="D237" s="124">
        <v>273</v>
      </c>
      <c r="E237" s="124">
        <f t="shared" si="54"/>
        <v>28592</v>
      </c>
      <c r="F237" s="126">
        <f t="shared" si="39"/>
        <v>14418</v>
      </c>
      <c r="G237" s="149">
        <v>881113</v>
      </c>
      <c r="H237" s="124">
        <v>4850</v>
      </c>
      <c r="I237" s="124">
        <v>27027</v>
      </c>
      <c r="J237" s="4">
        <f t="shared" si="56"/>
        <v>2536303</v>
      </c>
      <c r="K237" s="95">
        <v>1868</v>
      </c>
      <c r="L237" s="95">
        <v>1359984</v>
      </c>
      <c r="M237" s="95">
        <f t="shared" si="57"/>
        <v>1361852</v>
      </c>
      <c r="N237" s="95">
        <v>8708</v>
      </c>
      <c r="O237" s="97">
        <v>210053</v>
      </c>
      <c r="P237" s="97">
        <v>735763</v>
      </c>
      <c r="Q237" s="95">
        <f t="shared" si="58"/>
        <v>126812</v>
      </c>
      <c r="R237" s="96">
        <f t="shared" si="50"/>
        <v>171631</v>
      </c>
      <c r="S237" s="35">
        <f t="shared" si="52"/>
        <v>2.8258298326059979E-2</v>
      </c>
      <c r="T237" s="28">
        <f t="shared" si="55"/>
        <v>3.5807766197528824E-2</v>
      </c>
      <c r="U237" s="68"/>
      <c r="V237" s="198"/>
    </row>
    <row r="238" spans="1:22" x14ac:dyDescent="0.25">
      <c r="A238" s="74">
        <v>44129</v>
      </c>
      <c r="B238" s="126">
        <v>9253</v>
      </c>
      <c r="C238" s="126">
        <f t="shared" si="53"/>
        <v>1090589</v>
      </c>
      <c r="D238" s="124">
        <v>282</v>
      </c>
      <c r="E238" s="124">
        <f t="shared" si="54"/>
        <v>28874</v>
      </c>
      <c r="F238" s="126">
        <f t="shared" si="39"/>
        <v>13706</v>
      </c>
      <c r="G238" s="149">
        <v>894819</v>
      </c>
      <c r="H238" s="124">
        <v>4863</v>
      </c>
      <c r="I238" s="124">
        <v>20303</v>
      </c>
      <c r="J238" s="4">
        <f t="shared" si="56"/>
        <v>2556606</v>
      </c>
      <c r="K238" s="95">
        <v>1904</v>
      </c>
      <c r="L238" s="95">
        <v>1367953</v>
      </c>
      <c r="M238" s="95">
        <f t="shared" si="57"/>
        <v>1369857</v>
      </c>
      <c r="N238" s="95">
        <v>8749</v>
      </c>
      <c r="O238" s="95">
        <v>211123</v>
      </c>
      <c r="P238" s="95">
        <v>741313</v>
      </c>
      <c r="Q238" s="95">
        <f t="shared" si="58"/>
        <v>129404</v>
      </c>
      <c r="R238" s="96">
        <f t="shared" si="50"/>
        <v>166896</v>
      </c>
      <c r="S238" s="35">
        <f t="shared" si="52"/>
        <v>2.9137906241012368E-2</v>
      </c>
      <c r="T238" s="28">
        <f t="shared" si="55"/>
        <v>3.5658887922858047E-2</v>
      </c>
      <c r="U238" s="68"/>
      <c r="V238" s="198"/>
    </row>
    <row r="239" spans="1:22" x14ac:dyDescent="0.25">
      <c r="A239" s="74">
        <v>44130</v>
      </c>
      <c r="B239" s="126">
        <v>11712</v>
      </c>
      <c r="C239" s="126">
        <f t="shared" si="53"/>
        <v>1102301</v>
      </c>
      <c r="D239" s="124">
        <v>405</v>
      </c>
      <c r="E239" s="124">
        <f t="shared" si="54"/>
        <v>29279</v>
      </c>
      <c r="F239" s="126">
        <f t="shared" si="39"/>
        <v>14767</v>
      </c>
      <c r="G239" s="149">
        <v>909586</v>
      </c>
      <c r="H239" s="124">
        <v>5038</v>
      </c>
      <c r="I239" s="124">
        <v>26448</v>
      </c>
      <c r="J239" s="4">
        <f t="shared" si="56"/>
        <v>2583054</v>
      </c>
      <c r="K239" s="95">
        <v>1956</v>
      </c>
      <c r="L239" s="95">
        <v>1378916</v>
      </c>
      <c r="M239" s="95">
        <f t="shared" si="57"/>
        <v>1380872</v>
      </c>
      <c r="N239" s="97">
        <v>8816</v>
      </c>
      <c r="O239" s="97">
        <v>213578</v>
      </c>
      <c r="P239" s="97">
        <v>753406</v>
      </c>
      <c r="Q239" s="95">
        <f t="shared" si="58"/>
        <v>126501</v>
      </c>
      <c r="R239" s="96">
        <f t="shared" si="50"/>
        <v>163436</v>
      </c>
      <c r="S239" s="35">
        <f t="shared" si="52"/>
        <v>3.0825521916835949E-2</v>
      </c>
      <c r="T239" s="28">
        <f t="shared" si="55"/>
        <v>3.5512597214203585E-2</v>
      </c>
      <c r="U239" s="68"/>
      <c r="V239" s="198"/>
    </row>
    <row r="240" spans="1:22" x14ac:dyDescent="0.25">
      <c r="A240" s="74">
        <v>44131</v>
      </c>
      <c r="B240" s="126">
        <v>14308</v>
      </c>
      <c r="C240" s="126">
        <f t="shared" si="53"/>
        <v>1116609</v>
      </c>
      <c r="D240" s="124">
        <v>425</v>
      </c>
      <c r="E240" s="124">
        <f>E239+D240</f>
        <v>29704</v>
      </c>
      <c r="F240" s="126">
        <f t="shared" si="39"/>
        <v>11758</v>
      </c>
      <c r="G240" s="149">
        <v>921344</v>
      </c>
      <c r="H240" s="124">
        <v>4952</v>
      </c>
      <c r="I240" s="124">
        <v>32847</v>
      </c>
      <c r="J240" s="4">
        <f t="shared" si="56"/>
        <v>2615901</v>
      </c>
      <c r="K240" s="95">
        <v>2043</v>
      </c>
      <c r="L240" s="95">
        <v>1392805</v>
      </c>
      <c r="M240" s="95">
        <f t="shared" si="57"/>
        <v>1394848</v>
      </c>
      <c r="N240" s="95">
        <v>8868</v>
      </c>
      <c r="O240" s="95">
        <v>216480</v>
      </c>
      <c r="P240" s="95">
        <v>765831</v>
      </c>
      <c r="Q240" s="95">
        <f t="shared" si="58"/>
        <v>125430</v>
      </c>
      <c r="R240" s="96">
        <f t="shared" si="50"/>
        <v>165561</v>
      </c>
      <c r="S240" s="35">
        <f t="shared" si="52"/>
        <v>2.9910425764521839E-2</v>
      </c>
      <c r="T240" s="28">
        <f t="shared" si="55"/>
        <v>3.5323427456996251E-2</v>
      </c>
      <c r="U240" s="68"/>
      <c r="V240" s="198"/>
    </row>
    <row r="241" spans="1:24" x14ac:dyDescent="0.25">
      <c r="A241" s="74">
        <v>44132</v>
      </c>
      <c r="B241" s="126">
        <v>13924</v>
      </c>
      <c r="C241" s="126">
        <f t="shared" si="53"/>
        <v>1130533</v>
      </c>
      <c r="D241" s="124">
        <v>345</v>
      </c>
      <c r="E241" s="124">
        <f t="shared" ref="E241:E256" si="59">E240+D241</f>
        <v>30049</v>
      </c>
      <c r="F241" s="126">
        <f t="shared" si="39"/>
        <v>9803</v>
      </c>
      <c r="G241" s="149">
        <v>931147</v>
      </c>
      <c r="H241" s="124">
        <v>5037</v>
      </c>
      <c r="I241" s="124">
        <v>32827</v>
      </c>
      <c r="J241" s="4">
        <f t="shared" si="56"/>
        <v>2648728</v>
      </c>
      <c r="K241" s="95">
        <v>2109</v>
      </c>
      <c r="L241" s="95">
        <v>1406416</v>
      </c>
      <c r="M241" s="95">
        <f t="shared" si="57"/>
        <v>1408525</v>
      </c>
      <c r="N241" s="97">
        <v>8959</v>
      </c>
      <c r="O241" s="97">
        <v>219233</v>
      </c>
      <c r="P241" s="97">
        <v>777424</v>
      </c>
      <c r="Q241" s="95">
        <f t="shared" si="58"/>
        <v>124917</v>
      </c>
      <c r="R241" s="96">
        <f t="shared" si="50"/>
        <v>169337</v>
      </c>
      <c r="S241" s="35">
        <f t="shared" si="52"/>
        <v>2.9745418898409679E-2</v>
      </c>
      <c r="T241" s="28">
        <f t="shared" si="55"/>
        <v>3.5088846046505653E-2</v>
      </c>
      <c r="U241" s="68"/>
      <c r="V241" s="198"/>
      <c r="W241" s="42"/>
      <c r="X241" s="101"/>
    </row>
    <row r="242" spans="1:24" x14ac:dyDescent="0.25">
      <c r="A242" s="74">
        <v>44133</v>
      </c>
      <c r="B242" s="126">
        <v>13267</v>
      </c>
      <c r="C242" s="126">
        <f>C241+B242</f>
        <v>1143800</v>
      </c>
      <c r="D242" s="124">
        <v>370</v>
      </c>
      <c r="E242" s="124">
        <f t="shared" si="59"/>
        <v>30419</v>
      </c>
      <c r="F242" s="126">
        <f t="shared" si="39"/>
        <v>14987</v>
      </c>
      <c r="G242" s="149">
        <v>946134</v>
      </c>
      <c r="H242" s="124">
        <v>4981</v>
      </c>
      <c r="I242" s="124">
        <v>31568</v>
      </c>
      <c r="J242" s="4">
        <f t="shared" si="56"/>
        <v>2680296</v>
      </c>
      <c r="K242" s="95">
        <v>2160</v>
      </c>
      <c r="L242" s="95">
        <v>1420288</v>
      </c>
      <c r="M242" s="95">
        <f t="shared" si="57"/>
        <v>1422448</v>
      </c>
      <c r="N242" s="95">
        <v>9010</v>
      </c>
      <c r="O242" s="95">
        <v>221851</v>
      </c>
      <c r="P242" s="95">
        <v>788337</v>
      </c>
      <c r="Q242" s="95">
        <f t="shared" si="58"/>
        <v>124602</v>
      </c>
      <c r="R242" s="96">
        <f t="shared" si="50"/>
        <v>167247</v>
      </c>
      <c r="S242" s="35">
        <f t="shared" si="52"/>
        <v>2.9782298038230879E-2</v>
      </c>
      <c r="T242" s="28">
        <f t="shared" si="55"/>
        <v>3.4905469850872319E-2</v>
      </c>
      <c r="U242" s="68"/>
      <c r="V242" s="198"/>
      <c r="W242" s="42"/>
      <c r="X242" s="101"/>
    </row>
    <row r="243" spans="1:24" x14ac:dyDescent="0.25">
      <c r="A243" s="74">
        <v>44134</v>
      </c>
      <c r="B243" s="126">
        <v>13379</v>
      </c>
      <c r="C243" s="126">
        <f>C242+B243</f>
        <v>1157179</v>
      </c>
      <c r="D243" s="124">
        <v>349</v>
      </c>
      <c r="E243" s="124">
        <f t="shared" si="59"/>
        <v>30768</v>
      </c>
      <c r="F243" s="126">
        <f t="shared" si="39"/>
        <v>14967</v>
      </c>
      <c r="G243" s="149">
        <v>961101</v>
      </c>
      <c r="H243" s="124">
        <v>4981</v>
      </c>
      <c r="I243" s="124">
        <v>32761</v>
      </c>
      <c r="J243" s="4">
        <f t="shared" si="56"/>
        <v>2713057</v>
      </c>
      <c r="K243" s="95">
        <v>2198</v>
      </c>
      <c r="L243" s="95">
        <v>1435121</v>
      </c>
      <c r="M243" s="95">
        <f t="shared" si="57"/>
        <v>1437319</v>
      </c>
      <c r="N243" s="95">
        <v>9073</v>
      </c>
      <c r="O243" s="95">
        <v>224367</v>
      </c>
      <c r="P243" s="95">
        <v>799735</v>
      </c>
      <c r="Q243" s="95">
        <f t="shared" si="58"/>
        <v>124004</v>
      </c>
      <c r="R243" s="96">
        <f t="shared" si="50"/>
        <v>165310</v>
      </c>
      <c r="S243" s="35">
        <f t="shared" si="52"/>
        <v>3.013126852580001E-2</v>
      </c>
      <c r="T243" s="28">
        <f t="shared" si="55"/>
        <v>3.4810076458169754E-2</v>
      </c>
      <c r="U243" s="68"/>
      <c r="V243" s="198"/>
      <c r="W243" s="42"/>
      <c r="X243" s="101"/>
    </row>
    <row r="244" spans="1:24" x14ac:dyDescent="0.25">
      <c r="A244" s="105">
        <v>44135</v>
      </c>
      <c r="B244" s="126">
        <v>9745</v>
      </c>
      <c r="C244" s="126">
        <f t="shared" ref="C244:C256" si="60">C243+B244</f>
        <v>1166924</v>
      </c>
      <c r="D244" s="124">
        <v>210</v>
      </c>
      <c r="E244" s="124">
        <f t="shared" si="59"/>
        <v>30978</v>
      </c>
      <c r="F244" s="126">
        <f t="shared" si="39"/>
        <v>12838</v>
      </c>
      <c r="G244" s="149">
        <v>973939</v>
      </c>
      <c r="H244" s="124">
        <v>4969</v>
      </c>
      <c r="I244" s="124">
        <v>26699</v>
      </c>
      <c r="J244" s="4">
        <f t="shared" si="56"/>
        <v>2739756</v>
      </c>
      <c r="K244" s="97">
        <v>2357</v>
      </c>
      <c r="L244" s="98">
        <v>1447945</v>
      </c>
      <c r="M244" s="95">
        <f t="shared" si="57"/>
        <v>1450302</v>
      </c>
      <c r="N244" s="97">
        <v>9103</v>
      </c>
      <c r="O244" s="97">
        <v>225845</v>
      </c>
      <c r="P244" s="97">
        <v>808139</v>
      </c>
      <c r="Q244" s="95">
        <f t="shared" si="58"/>
        <v>123837</v>
      </c>
      <c r="R244" s="96">
        <f t="shared" si="50"/>
        <v>162007</v>
      </c>
      <c r="S244" s="35">
        <f t="shared" si="52"/>
        <v>3.0671514193831132E-2</v>
      </c>
      <c r="T244" s="28">
        <f t="shared" si="55"/>
        <v>3.4643024090645777E-2</v>
      </c>
      <c r="U244" s="68"/>
      <c r="V244" s="198"/>
      <c r="W244" s="42"/>
      <c r="X244" s="101"/>
    </row>
    <row r="245" spans="1:24" x14ac:dyDescent="0.25">
      <c r="A245" s="105">
        <v>44136</v>
      </c>
      <c r="B245" s="126">
        <v>6609</v>
      </c>
      <c r="C245" s="126">
        <f t="shared" si="60"/>
        <v>1173533</v>
      </c>
      <c r="D245" s="124">
        <v>135</v>
      </c>
      <c r="E245" s="124">
        <f t="shared" si="59"/>
        <v>31113</v>
      </c>
      <c r="F245" s="126">
        <f t="shared" si="39"/>
        <v>11377</v>
      </c>
      <c r="G245" s="149">
        <v>985316</v>
      </c>
      <c r="H245" s="124">
        <v>5119</v>
      </c>
      <c r="I245" s="124">
        <v>15645</v>
      </c>
      <c r="J245" s="4">
        <f t="shared" si="56"/>
        <v>2755401</v>
      </c>
      <c r="K245" s="97">
        <v>2393</v>
      </c>
      <c r="L245" s="97">
        <v>1455146</v>
      </c>
      <c r="M245" s="95">
        <f t="shared" si="57"/>
        <v>1457539</v>
      </c>
      <c r="N245" s="97">
        <v>9123</v>
      </c>
      <c r="O245" s="97">
        <v>226864</v>
      </c>
      <c r="P245" s="97">
        <v>813376</v>
      </c>
      <c r="Q245" s="95">
        <f t="shared" si="58"/>
        <v>124170</v>
      </c>
      <c r="R245" s="96">
        <f t="shared" si="50"/>
        <v>157104</v>
      </c>
      <c r="S245" s="35">
        <f t="shared" si="52"/>
        <v>3.2583511559221914E-2</v>
      </c>
      <c r="T245" s="28">
        <f t="shared" si="55"/>
        <v>3.4427317893618671E-2</v>
      </c>
      <c r="U245" s="68"/>
      <c r="V245" s="198"/>
      <c r="W245" s="42"/>
      <c r="X245" s="101"/>
    </row>
    <row r="246" spans="1:24" x14ac:dyDescent="0.25">
      <c r="A246" s="74">
        <v>44137</v>
      </c>
      <c r="B246" s="126">
        <v>9598</v>
      </c>
      <c r="C246" s="126">
        <f t="shared" si="60"/>
        <v>1183131</v>
      </c>
      <c r="D246" s="124">
        <v>479</v>
      </c>
      <c r="E246" s="124">
        <f t="shared" si="59"/>
        <v>31592</v>
      </c>
      <c r="F246" s="126">
        <f t="shared" si="39"/>
        <v>12700</v>
      </c>
      <c r="G246" s="149">
        <v>998016</v>
      </c>
      <c r="H246" s="124">
        <v>4992</v>
      </c>
      <c r="I246" s="124">
        <v>249864</v>
      </c>
      <c r="J246" s="4">
        <f t="shared" si="56"/>
        <v>3005265</v>
      </c>
      <c r="K246" s="97">
        <v>2514</v>
      </c>
      <c r="L246" s="97">
        <v>1467420</v>
      </c>
      <c r="M246" s="95">
        <f t="shared" si="57"/>
        <v>1469934</v>
      </c>
      <c r="N246" s="97">
        <v>9159</v>
      </c>
      <c r="O246" s="97">
        <v>229301</v>
      </c>
      <c r="P246" s="97">
        <v>822808</v>
      </c>
      <c r="Q246" s="95">
        <f t="shared" si="58"/>
        <v>121863</v>
      </c>
      <c r="R246" s="96">
        <f t="shared" si="50"/>
        <v>153523</v>
      </c>
      <c r="S246" s="8">
        <f t="shared" ref="S246:S252" si="61">H246-H245</f>
        <v>-127</v>
      </c>
      <c r="T246" s="4"/>
      <c r="U246" s="68"/>
      <c r="V246" s="198"/>
      <c r="W246" s="42"/>
      <c r="X246" s="101"/>
    </row>
    <row r="247" spans="1:24" x14ac:dyDescent="0.25">
      <c r="A247" s="74">
        <v>44138</v>
      </c>
      <c r="B247" s="126">
        <v>12145</v>
      </c>
      <c r="C247" s="126">
        <f t="shared" si="60"/>
        <v>1195276</v>
      </c>
      <c r="D247" s="124">
        <v>429</v>
      </c>
      <c r="E247" s="124">
        <f t="shared" si="59"/>
        <v>32021</v>
      </c>
      <c r="F247" s="126">
        <f t="shared" si="39"/>
        <v>11262</v>
      </c>
      <c r="G247" s="149">
        <v>1009278</v>
      </c>
      <c r="H247" s="124">
        <v>4854</v>
      </c>
      <c r="I247" s="124">
        <v>30999</v>
      </c>
      <c r="J247" s="4">
        <f t="shared" si="56"/>
        <v>3036264</v>
      </c>
      <c r="K247" s="97">
        <v>2583</v>
      </c>
      <c r="L247" s="97">
        <v>1482833</v>
      </c>
      <c r="M247" s="95">
        <f t="shared" si="57"/>
        <v>1485416</v>
      </c>
      <c r="N247" s="97">
        <v>9211</v>
      </c>
      <c r="O247" s="97">
        <v>232229</v>
      </c>
      <c r="P247" s="97">
        <v>832741</v>
      </c>
      <c r="Q247" s="95">
        <f t="shared" si="58"/>
        <v>121095</v>
      </c>
      <c r="R247" s="96">
        <f t="shared" si="50"/>
        <v>153977</v>
      </c>
      <c r="S247" s="8">
        <f t="shared" si="61"/>
        <v>-138</v>
      </c>
      <c r="T247" s="4"/>
      <c r="U247" s="68"/>
      <c r="V247" s="198"/>
      <c r="W247" s="42"/>
      <c r="X247" s="101"/>
    </row>
    <row r="248" spans="1:24" x14ac:dyDescent="0.25">
      <c r="A248" s="74">
        <v>44139</v>
      </c>
      <c r="B248" s="126">
        <v>10652</v>
      </c>
      <c r="C248" s="126">
        <f t="shared" si="60"/>
        <v>1205928</v>
      </c>
      <c r="D248" s="124">
        <v>464</v>
      </c>
      <c r="E248" s="124">
        <f t="shared" si="59"/>
        <v>32485</v>
      </c>
      <c r="F248" s="126">
        <f t="shared" si="39"/>
        <v>8369</v>
      </c>
      <c r="G248" s="149">
        <v>1017647</v>
      </c>
      <c r="H248" s="124">
        <v>4816</v>
      </c>
      <c r="I248" s="124">
        <v>36435</v>
      </c>
      <c r="J248" s="4">
        <f t="shared" si="56"/>
        <v>3072699</v>
      </c>
      <c r="K248" s="97">
        <v>2640</v>
      </c>
      <c r="L248" s="97">
        <v>1503103</v>
      </c>
      <c r="M248" s="95">
        <f t="shared" si="57"/>
        <v>1505743</v>
      </c>
      <c r="N248" s="97">
        <v>9251</v>
      </c>
      <c r="O248" s="97">
        <v>234718</v>
      </c>
      <c r="P248" s="97">
        <v>842950</v>
      </c>
      <c r="Q248" s="95">
        <f t="shared" si="58"/>
        <v>119009</v>
      </c>
      <c r="R248" s="96">
        <f t="shared" ref="R248:R309" si="62">C248-E248-G248</f>
        <v>155796</v>
      </c>
      <c r="S248" s="39">
        <f t="shared" si="61"/>
        <v>-38</v>
      </c>
      <c r="T248" s="4"/>
      <c r="U248" s="68"/>
      <c r="V248" s="198"/>
      <c r="W248" s="42"/>
      <c r="X248" s="101"/>
    </row>
    <row r="249" spans="1:24" x14ac:dyDescent="0.25">
      <c r="A249" s="74">
        <v>44140</v>
      </c>
      <c r="B249" s="126">
        <v>11100</v>
      </c>
      <c r="C249" s="126">
        <f t="shared" si="60"/>
        <v>1217028</v>
      </c>
      <c r="D249" s="124">
        <v>246</v>
      </c>
      <c r="E249" s="124">
        <f t="shared" si="59"/>
        <v>32731</v>
      </c>
      <c r="F249" s="126">
        <f t="shared" si="39"/>
        <v>12490</v>
      </c>
      <c r="G249" s="149">
        <v>1030137</v>
      </c>
      <c r="H249" s="124">
        <v>4713</v>
      </c>
      <c r="I249" s="124">
        <v>28900</v>
      </c>
      <c r="J249" s="4">
        <f t="shared" si="56"/>
        <v>3101599</v>
      </c>
      <c r="K249" s="97">
        <v>2667</v>
      </c>
      <c r="L249" s="97">
        <v>1516132</v>
      </c>
      <c r="M249" s="95">
        <f t="shared" si="57"/>
        <v>1518799</v>
      </c>
      <c r="N249" s="97">
        <v>9294</v>
      </c>
      <c r="O249" s="97">
        <v>237018</v>
      </c>
      <c r="P249" s="97">
        <v>851916</v>
      </c>
      <c r="Q249" s="95">
        <f t="shared" si="58"/>
        <v>118800</v>
      </c>
      <c r="R249" s="96">
        <f t="shared" si="62"/>
        <v>154160</v>
      </c>
      <c r="S249" s="39">
        <f t="shared" si="61"/>
        <v>-103</v>
      </c>
      <c r="T249" s="4"/>
      <c r="U249" s="68"/>
      <c r="V249" s="198"/>
      <c r="W249" s="42"/>
      <c r="X249" s="101"/>
    </row>
    <row r="250" spans="1:24" x14ac:dyDescent="0.25">
      <c r="A250" s="74">
        <v>44141</v>
      </c>
      <c r="B250" s="126">
        <v>11786</v>
      </c>
      <c r="C250" s="126">
        <f t="shared" si="60"/>
        <v>1228814</v>
      </c>
      <c r="D250" s="124">
        <v>369</v>
      </c>
      <c r="E250" s="124">
        <f t="shared" si="59"/>
        <v>33100</v>
      </c>
      <c r="F250" s="126">
        <f t="shared" si="39"/>
        <v>12100</v>
      </c>
      <c r="G250" s="149">
        <v>1042237</v>
      </c>
      <c r="H250" s="124">
        <v>4666</v>
      </c>
      <c r="I250" s="124">
        <v>34727</v>
      </c>
      <c r="J250" s="4">
        <f t="shared" si="56"/>
        <v>3136326</v>
      </c>
      <c r="K250" s="97">
        <v>2702</v>
      </c>
      <c r="L250" s="97">
        <v>1534460</v>
      </c>
      <c r="M250" s="95">
        <f t="shared" si="57"/>
        <v>1537162</v>
      </c>
      <c r="N250" s="97">
        <v>9349</v>
      </c>
      <c r="O250" s="97">
        <v>239488</v>
      </c>
      <c r="P250" s="97">
        <v>861070</v>
      </c>
      <c r="Q250" s="95">
        <f t="shared" si="58"/>
        <v>118907</v>
      </c>
      <c r="R250" s="96">
        <f t="shared" si="62"/>
        <v>153477</v>
      </c>
      <c r="S250" s="39">
        <f t="shared" si="61"/>
        <v>-47</v>
      </c>
      <c r="T250" s="4"/>
      <c r="U250" s="68"/>
      <c r="V250" s="198"/>
      <c r="W250" s="42"/>
      <c r="X250" s="101"/>
    </row>
    <row r="251" spans="1:24" x14ac:dyDescent="0.25">
      <c r="A251" s="105">
        <v>44142</v>
      </c>
      <c r="B251" s="126">
        <v>8037</v>
      </c>
      <c r="C251" s="126">
        <f t="shared" si="60"/>
        <v>1236851</v>
      </c>
      <c r="D251" s="124">
        <v>212</v>
      </c>
      <c r="E251" s="124">
        <f t="shared" si="59"/>
        <v>33312</v>
      </c>
      <c r="F251" s="126">
        <f t="shared" si="39"/>
        <v>11076</v>
      </c>
      <c r="G251" s="149">
        <v>1053313</v>
      </c>
      <c r="H251" s="124">
        <v>4593</v>
      </c>
      <c r="I251" s="124">
        <v>37062</v>
      </c>
      <c r="J251" s="4">
        <f t="shared" si="56"/>
        <v>3173388</v>
      </c>
      <c r="K251" s="97">
        <v>2727</v>
      </c>
      <c r="L251" s="97">
        <v>1559126</v>
      </c>
      <c r="M251" s="95">
        <f t="shared" si="57"/>
        <v>1561853</v>
      </c>
      <c r="N251" s="97">
        <v>9387</v>
      </c>
      <c r="O251" s="97">
        <v>240865</v>
      </c>
      <c r="P251" s="97">
        <v>866690</v>
      </c>
      <c r="Q251" s="95">
        <f t="shared" si="58"/>
        <v>119909</v>
      </c>
      <c r="R251" s="96">
        <f t="shared" si="62"/>
        <v>150226</v>
      </c>
      <c r="S251" s="39">
        <f t="shared" si="61"/>
        <v>-73</v>
      </c>
      <c r="T251" s="4"/>
      <c r="U251" s="68"/>
      <c r="V251" s="198"/>
      <c r="W251" s="42"/>
      <c r="X251" s="101"/>
    </row>
    <row r="252" spans="1:24" x14ac:dyDescent="0.25">
      <c r="A252" s="105">
        <v>44143</v>
      </c>
      <c r="B252" s="126">
        <v>5331</v>
      </c>
      <c r="C252" s="126">
        <f t="shared" si="60"/>
        <v>1242182</v>
      </c>
      <c r="D252" s="124">
        <v>211</v>
      </c>
      <c r="E252" s="124">
        <f t="shared" si="59"/>
        <v>33523</v>
      </c>
      <c r="F252" s="126">
        <f t="shared" si="39"/>
        <v>9598</v>
      </c>
      <c r="G252" s="149">
        <v>1062911</v>
      </c>
      <c r="H252" s="124">
        <v>4608</v>
      </c>
      <c r="I252" s="124">
        <v>14025</v>
      </c>
      <c r="J252" s="4">
        <f t="shared" si="56"/>
        <v>3187413</v>
      </c>
      <c r="K252" s="97">
        <v>2760</v>
      </c>
      <c r="L252" s="97">
        <v>1566231</v>
      </c>
      <c r="M252" s="95">
        <f t="shared" si="57"/>
        <v>1568991</v>
      </c>
      <c r="N252" s="97">
        <v>9403</v>
      </c>
      <c r="O252" s="97">
        <v>241673</v>
      </c>
      <c r="P252" s="97">
        <v>871132</v>
      </c>
      <c r="Q252" s="95">
        <f t="shared" si="58"/>
        <v>119974</v>
      </c>
      <c r="R252" s="96">
        <f t="shared" si="62"/>
        <v>145748</v>
      </c>
      <c r="S252" s="39">
        <f t="shared" si="61"/>
        <v>15</v>
      </c>
      <c r="T252" s="4"/>
      <c r="U252" s="68"/>
      <c r="V252" s="198"/>
      <c r="W252" s="42"/>
      <c r="X252" s="101"/>
    </row>
    <row r="253" spans="1:24" x14ac:dyDescent="0.25">
      <c r="A253" s="74">
        <v>44144</v>
      </c>
      <c r="B253" s="126">
        <v>8317</v>
      </c>
      <c r="C253" s="126">
        <f t="shared" si="60"/>
        <v>1250499</v>
      </c>
      <c r="D253" s="124">
        <v>348</v>
      </c>
      <c r="E253" s="124">
        <f t="shared" si="59"/>
        <v>33871</v>
      </c>
      <c r="F253" s="126">
        <f t="shared" si="39"/>
        <v>10666</v>
      </c>
      <c r="G253" s="149">
        <v>1073577</v>
      </c>
      <c r="H253" s="124">
        <v>4577</v>
      </c>
      <c r="I253" s="124">
        <v>29570</v>
      </c>
      <c r="J253" s="4">
        <f t="shared" si="56"/>
        <v>3216983</v>
      </c>
      <c r="K253" s="97">
        <v>2798</v>
      </c>
      <c r="L253" s="97">
        <v>1581460</v>
      </c>
      <c r="M253" s="95">
        <f t="shared" si="57"/>
        <v>1584258</v>
      </c>
      <c r="N253" s="97">
        <v>9444</v>
      </c>
      <c r="O253" s="97">
        <v>243982</v>
      </c>
      <c r="P253" s="97">
        <v>878724</v>
      </c>
      <c r="Q253" s="95">
        <f t="shared" si="58"/>
        <v>118349</v>
      </c>
      <c r="R253" s="96">
        <f t="shared" si="62"/>
        <v>143051</v>
      </c>
      <c r="S253" s="39">
        <f t="shared" ref="S253:S261" si="63">H253-H252</f>
        <v>-31</v>
      </c>
      <c r="T253" s="4"/>
      <c r="U253" s="68"/>
      <c r="V253" s="198"/>
      <c r="W253" s="42"/>
      <c r="X253" s="101"/>
    </row>
    <row r="254" spans="1:24" x14ac:dyDescent="0.25">
      <c r="A254" s="74">
        <v>44145</v>
      </c>
      <c r="B254" s="126">
        <v>11977</v>
      </c>
      <c r="C254" s="126">
        <f t="shared" si="60"/>
        <v>1262476</v>
      </c>
      <c r="D254" s="126">
        <v>279</v>
      </c>
      <c r="E254" s="124">
        <f t="shared" si="59"/>
        <v>34150</v>
      </c>
      <c r="F254" s="126">
        <f t="shared" si="39"/>
        <v>8320</v>
      </c>
      <c r="G254" s="149">
        <v>1081897</v>
      </c>
      <c r="H254" s="126">
        <v>4494</v>
      </c>
      <c r="I254" s="126">
        <v>31535</v>
      </c>
      <c r="J254" s="4">
        <f t="shared" si="56"/>
        <v>3248518</v>
      </c>
      <c r="K254" s="7">
        <v>2879</v>
      </c>
      <c r="L254" s="7">
        <v>1599337</v>
      </c>
      <c r="M254" s="100">
        <f t="shared" si="57"/>
        <v>1602216</v>
      </c>
      <c r="N254" s="27">
        <v>9481</v>
      </c>
      <c r="O254" s="27">
        <v>246898</v>
      </c>
      <c r="P254" s="27">
        <v>885833</v>
      </c>
      <c r="Q254" s="100">
        <f t="shared" si="58"/>
        <v>120264</v>
      </c>
      <c r="R254" s="96">
        <f t="shared" si="62"/>
        <v>146429</v>
      </c>
      <c r="S254" s="67">
        <f t="shared" si="63"/>
        <v>-83</v>
      </c>
      <c r="T254" s="4"/>
      <c r="U254" s="68"/>
      <c r="V254" s="198"/>
      <c r="W254" s="42"/>
      <c r="X254" s="101"/>
    </row>
    <row r="255" spans="1:24" x14ac:dyDescent="0.25">
      <c r="A255" s="74">
        <v>44146</v>
      </c>
      <c r="B255" s="126">
        <v>10880</v>
      </c>
      <c r="C255" s="126">
        <f t="shared" si="60"/>
        <v>1273356</v>
      </c>
      <c r="D255" s="126">
        <v>348</v>
      </c>
      <c r="E255" s="124">
        <f t="shared" si="59"/>
        <v>34498</v>
      </c>
      <c r="F255" s="126">
        <f t="shared" si="39"/>
        <v>7632</v>
      </c>
      <c r="G255" s="155">
        <v>1089529</v>
      </c>
      <c r="H255" s="126">
        <v>4418</v>
      </c>
      <c r="I255" s="126">
        <v>56473</v>
      </c>
      <c r="J255" s="4">
        <f t="shared" si="56"/>
        <v>3304991</v>
      </c>
      <c r="K255" s="7">
        <v>2939</v>
      </c>
      <c r="L255" s="7">
        <v>1635003</v>
      </c>
      <c r="M255" s="95">
        <f t="shared" si="57"/>
        <v>1637942</v>
      </c>
      <c r="N255" s="4">
        <v>9521</v>
      </c>
      <c r="O255" s="4">
        <v>249148</v>
      </c>
      <c r="P255" s="4">
        <v>892532</v>
      </c>
      <c r="Q255" s="95">
        <f t="shared" si="58"/>
        <v>122155</v>
      </c>
      <c r="R255" s="96">
        <f t="shared" si="62"/>
        <v>149329</v>
      </c>
      <c r="S255" s="39">
        <f t="shared" si="63"/>
        <v>-76</v>
      </c>
      <c r="T255" s="4"/>
      <c r="U255" s="68"/>
      <c r="V255" s="198"/>
      <c r="W255" s="42"/>
      <c r="X255" s="101"/>
    </row>
    <row r="256" spans="1:24" x14ac:dyDescent="0.25">
      <c r="A256" s="74">
        <v>44147</v>
      </c>
      <c r="B256" s="126">
        <v>11163</v>
      </c>
      <c r="C256" s="126">
        <f t="shared" si="60"/>
        <v>1284519</v>
      </c>
      <c r="D256" s="126">
        <v>249</v>
      </c>
      <c r="E256" s="124">
        <f t="shared" si="59"/>
        <v>34747</v>
      </c>
      <c r="F256" s="126">
        <f t="shared" si="39"/>
        <v>10651</v>
      </c>
      <c r="G256" s="155">
        <v>1100180</v>
      </c>
      <c r="H256" s="126">
        <v>4397</v>
      </c>
      <c r="I256" s="126">
        <v>31520</v>
      </c>
      <c r="J256" s="4">
        <f t="shared" si="56"/>
        <v>3336511</v>
      </c>
      <c r="K256" s="7">
        <v>2991</v>
      </c>
      <c r="L256" s="7">
        <v>1655824</v>
      </c>
      <c r="M256" s="95">
        <f t="shared" si="57"/>
        <v>1658815</v>
      </c>
      <c r="N256" s="4">
        <v>9553</v>
      </c>
      <c r="O256" s="4">
        <v>251515</v>
      </c>
      <c r="P256" s="4">
        <v>901700</v>
      </c>
      <c r="Q256" s="95">
        <f t="shared" si="58"/>
        <v>121751</v>
      </c>
      <c r="R256" s="96">
        <f t="shared" si="62"/>
        <v>149592</v>
      </c>
      <c r="S256" s="39">
        <f t="shared" si="63"/>
        <v>-21</v>
      </c>
      <c r="T256" s="4"/>
      <c r="U256" s="68"/>
      <c r="V256" s="198"/>
      <c r="W256" s="42"/>
      <c r="X256" s="101"/>
    </row>
    <row r="257" spans="1:24" x14ac:dyDescent="0.25">
      <c r="A257" s="74">
        <v>44148</v>
      </c>
      <c r="B257" s="126">
        <v>11859</v>
      </c>
      <c r="C257" s="126">
        <f t="shared" ref="C257:C282" si="64">C256+B257</f>
        <v>1296378</v>
      </c>
      <c r="D257" s="126">
        <v>264</v>
      </c>
      <c r="E257" s="126">
        <f t="shared" ref="E257:E282" si="65">E256+D257</f>
        <v>35011</v>
      </c>
      <c r="F257" s="126">
        <f t="shared" si="39"/>
        <v>10297</v>
      </c>
      <c r="G257" s="155">
        <v>1110477</v>
      </c>
      <c r="H257" s="126">
        <v>4381</v>
      </c>
      <c r="I257" s="126">
        <v>31738</v>
      </c>
      <c r="J257" s="4">
        <f t="shared" si="56"/>
        <v>3368249</v>
      </c>
      <c r="K257" s="99">
        <v>3104</v>
      </c>
      <c r="L257" s="99">
        <v>1671421</v>
      </c>
      <c r="M257" s="95">
        <f t="shared" si="57"/>
        <v>1674525</v>
      </c>
      <c r="N257" s="8">
        <v>9613</v>
      </c>
      <c r="O257" s="8">
        <v>253981</v>
      </c>
      <c r="P257" s="8">
        <v>910204</v>
      </c>
      <c r="Q257" s="95">
        <f t="shared" si="58"/>
        <v>122580</v>
      </c>
      <c r="R257" s="96">
        <f t="shared" si="62"/>
        <v>150890</v>
      </c>
      <c r="S257" s="39">
        <f t="shared" si="63"/>
        <v>-16</v>
      </c>
      <c r="T257" s="4"/>
      <c r="U257" s="68"/>
      <c r="V257" s="198"/>
      <c r="W257" s="42"/>
      <c r="X257" s="101"/>
    </row>
    <row r="258" spans="1:24" x14ac:dyDescent="0.25">
      <c r="A258" s="105">
        <v>44149</v>
      </c>
      <c r="B258" s="126">
        <v>8468</v>
      </c>
      <c r="C258" s="126">
        <f t="shared" si="64"/>
        <v>1304846</v>
      </c>
      <c r="D258" s="126">
        <v>262</v>
      </c>
      <c r="E258" s="126">
        <f t="shared" si="65"/>
        <v>35273</v>
      </c>
      <c r="F258" s="126">
        <f t="shared" si="39"/>
        <v>8889</v>
      </c>
      <c r="G258" s="155">
        <v>1119366</v>
      </c>
      <c r="H258" s="126">
        <v>4346</v>
      </c>
      <c r="I258" s="126">
        <v>25314</v>
      </c>
      <c r="J258" s="4">
        <f t="shared" si="56"/>
        <v>3393563</v>
      </c>
      <c r="K258" s="8">
        <v>3156</v>
      </c>
      <c r="L258" s="8">
        <v>1683861</v>
      </c>
      <c r="M258" s="95">
        <f t="shared" si="57"/>
        <v>1687017</v>
      </c>
      <c r="N258" s="8">
        <v>9646</v>
      </c>
      <c r="O258" s="8">
        <v>255493</v>
      </c>
      <c r="P258" s="8">
        <v>915339</v>
      </c>
      <c r="Q258" s="95">
        <f t="shared" si="58"/>
        <v>124368</v>
      </c>
      <c r="R258" s="96">
        <f t="shared" si="62"/>
        <v>150207</v>
      </c>
      <c r="S258" s="39">
        <f t="shared" si="63"/>
        <v>-35</v>
      </c>
      <c r="T258" s="4"/>
      <c r="U258" s="68"/>
      <c r="V258" s="198"/>
      <c r="W258" s="42"/>
      <c r="X258" s="101"/>
    </row>
    <row r="259" spans="1:24" x14ac:dyDescent="0.25">
      <c r="A259" s="105">
        <v>44150</v>
      </c>
      <c r="B259" s="126">
        <v>5645</v>
      </c>
      <c r="C259" s="126">
        <f t="shared" si="64"/>
        <v>1310491</v>
      </c>
      <c r="D259" s="126">
        <v>128</v>
      </c>
      <c r="E259" s="126">
        <f t="shared" si="65"/>
        <v>35401</v>
      </c>
      <c r="F259" s="126">
        <f t="shared" ref="F259:F286" si="66">G259-G258</f>
        <v>9736</v>
      </c>
      <c r="G259" s="155">
        <v>1129102</v>
      </c>
      <c r="H259" s="126">
        <v>4365</v>
      </c>
      <c r="I259" s="126">
        <v>17718</v>
      </c>
      <c r="J259" s="4">
        <f t="shared" si="56"/>
        <v>3411281</v>
      </c>
      <c r="K259" s="8">
        <v>3168</v>
      </c>
      <c r="L259" s="8">
        <v>1693448</v>
      </c>
      <c r="M259" s="95">
        <f t="shared" si="57"/>
        <v>1696616</v>
      </c>
      <c r="N259" s="8">
        <v>9672</v>
      </c>
      <c r="O259" s="8">
        <v>256696</v>
      </c>
      <c r="P259" s="8">
        <v>918729</v>
      </c>
      <c r="Q259" s="95">
        <f t="shared" si="58"/>
        <v>125394</v>
      </c>
      <c r="R259" s="96">
        <f t="shared" si="62"/>
        <v>145988</v>
      </c>
      <c r="S259" s="39">
        <f t="shared" si="63"/>
        <v>19</v>
      </c>
      <c r="T259" s="4"/>
      <c r="U259" s="68"/>
      <c r="V259" s="198"/>
      <c r="W259" s="42"/>
      <c r="X259" s="101"/>
    </row>
    <row r="260" spans="1:24" x14ac:dyDescent="0.25">
      <c r="A260" s="74">
        <v>44151</v>
      </c>
      <c r="B260" s="126">
        <v>7893</v>
      </c>
      <c r="C260" s="126">
        <f t="shared" si="64"/>
        <v>1318384</v>
      </c>
      <c r="D260" s="126">
        <v>292</v>
      </c>
      <c r="E260" s="126">
        <f t="shared" si="65"/>
        <v>35693</v>
      </c>
      <c r="F260" s="126">
        <f t="shared" si="66"/>
        <v>11094</v>
      </c>
      <c r="G260" s="155">
        <v>1140196</v>
      </c>
      <c r="H260" s="126">
        <v>4322</v>
      </c>
      <c r="I260" s="126">
        <v>21572</v>
      </c>
      <c r="J260" s="4">
        <f t="shared" si="56"/>
        <v>3432853</v>
      </c>
      <c r="K260" s="7">
        <v>3225</v>
      </c>
      <c r="L260" s="7">
        <v>1704129</v>
      </c>
      <c r="M260" s="95">
        <f t="shared" si="57"/>
        <v>1707354</v>
      </c>
      <c r="N260" s="4">
        <v>9692</v>
      </c>
      <c r="O260" s="4">
        <v>258870</v>
      </c>
      <c r="P260" s="4">
        <v>926820</v>
      </c>
      <c r="Q260" s="95">
        <f t="shared" si="58"/>
        <v>123002</v>
      </c>
      <c r="R260" s="96">
        <f t="shared" si="62"/>
        <v>142495</v>
      </c>
      <c r="S260" s="39">
        <f t="shared" si="63"/>
        <v>-43</v>
      </c>
      <c r="T260" s="4"/>
      <c r="U260" s="68"/>
      <c r="V260" s="198"/>
      <c r="W260" s="42"/>
      <c r="X260" s="101"/>
    </row>
    <row r="261" spans="1:24" x14ac:dyDescent="0.25">
      <c r="A261" s="74">
        <v>44152</v>
      </c>
      <c r="B261" s="126">
        <v>10621</v>
      </c>
      <c r="C261" s="126">
        <f t="shared" si="64"/>
        <v>1329005</v>
      </c>
      <c r="D261" s="126">
        <v>378</v>
      </c>
      <c r="E261" s="126">
        <f t="shared" si="65"/>
        <v>36071</v>
      </c>
      <c r="F261" s="126">
        <f t="shared" si="66"/>
        <v>8637</v>
      </c>
      <c r="G261" s="155">
        <v>1148833</v>
      </c>
      <c r="H261" s="126">
        <v>4379</v>
      </c>
      <c r="I261" s="126">
        <v>34573</v>
      </c>
      <c r="J261" s="4">
        <f t="shared" si="56"/>
        <v>3467426</v>
      </c>
      <c r="K261" s="7">
        <v>3279</v>
      </c>
      <c r="L261" s="7">
        <v>1716729</v>
      </c>
      <c r="M261" s="95">
        <f t="shared" si="57"/>
        <v>1720008</v>
      </c>
      <c r="N261" s="4">
        <v>9722</v>
      </c>
      <c r="O261" s="4">
        <v>261348</v>
      </c>
      <c r="P261" s="4">
        <v>934997</v>
      </c>
      <c r="Q261" s="95">
        <f t="shared" si="58"/>
        <v>122938</v>
      </c>
      <c r="R261" s="96">
        <f t="shared" si="62"/>
        <v>144101</v>
      </c>
      <c r="S261" s="39">
        <f t="shared" si="63"/>
        <v>57</v>
      </c>
      <c r="T261" s="4"/>
      <c r="U261" s="68"/>
      <c r="V261" s="198"/>
      <c r="W261" s="42"/>
      <c r="X261" s="101"/>
    </row>
    <row r="262" spans="1:24" x14ac:dyDescent="0.25">
      <c r="A262" s="74">
        <v>44153</v>
      </c>
      <c r="B262" s="126">
        <v>10332</v>
      </c>
      <c r="C262" s="126">
        <f t="shared" si="64"/>
        <v>1339337</v>
      </c>
      <c r="D262" s="126">
        <v>240</v>
      </c>
      <c r="E262" s="126">
        <f t="shared" si="65"/>
        <v>36311</v>
      </c>
      <c r="F262" s="126">
        <f t="shared" si="66"/>
        <v>7641</v>
      </c>
      <c r="G262" s="155">
        <v>1156474</v>
      </c>
      <c r="H262" s="126">
        <v>4267</v>
      </c>
      <c r="I262" s="126">
        <v>34573</v>
      </c>
      <c r="J262" s="4">
        <f t="shared" si="56"/>
        <v>3501999</v>
      </c>
      <c r="K262" s="7">
        <v>3346</v>
      </c>
      <c r="L262" s="7">
        <v>1734731</v>
      </c>
      <c r="M262" s="95">
        <f t="shared" si="57"/>
        <v>1738077</v>
      </c>
      <c r="N262" s="4">
        <v>9766</v>
      </c>
      <c r="O262" s="4">
        <v>264014</v>
      </c>
      <c r="P262" s="4">
        <v>943339</v>
      </c>
      <c r="Q262" s="95">
        <f t="shared" si="58"/>
        <v>122218</v>
      </c>
      <c r="R262" s="96">
        <f t="shared" si="62"/>
        <v>146552</v>
      </c>
      <c r="S262" s="39">
        <f t="shared" ref="S262:S287" si="67">H262-H261</f>
        <v>-112</v>
      </c>
      <c r="T262" s="4"/>
      <c r="U262" s="68"/>
      <c r="V262" s="198"/>
      <c r="W262" s="42"/>
      <c r="X262" s="101"/>
    </row>
    <row r="263" spans="1:24" x14ac:dyDescent="0.25">
      <c r="A263" s="74">
        <v>44154</v>
      </c>
      <c r="B263" s="126">
        <v>10097</v>
      </c>
      <c r="C263" s="126">
        <f t="shared" si="64"/>
        <v>1349434</v>
      </c>
      <c r="D263" s="126">
        <v>184</v>
      </c>
      <c r="E263" s="126">
        <f t="shared" si="65"/>
        <v>36495</v>
      </c>
      <c r="F263" s="126">
        <f t="shared" si="66"/>
        <v>11040</v>
      </c>
      <c r="G263" s="155">
        <v>1167514</v>
      </c>
      <c r="H263" s="126">
        <v>4292</v>
      </c>
      <c r="I263" s="126">
        <v>48691</v>
      </c>
      <c r="J263" s="4">
        <f t="shared" si="56"/>
        <v>3550690</v>
      </c>
      <c r="K263" s="7">
        <v>3474</v>
      </c>
      <c r="L263" s="7">
        <v>1767560</v>
      </c>
      <c r="M263" s="95">
        <f t="shared" si="57"/>
        <v>1771034</v>
      </c>
      <c r="N263" s="4">
        <v>9802</v>
      </c>
      <c r="O263" s="4">
        <v>266642</v>
      </c>
      <c r="P263" s="4">
        <v>951081</v>
      </c>
      <c r="Q263" s="95">
        <f t="shared" si="58"/>
        <v>121909</v>
      </c>
      <c r="R263" s="96">
        <f t="shared" si="62"/>
        <v>145425</v>
      </c>
      <c r="S263" s="39">
        <f t="shared" si="67"/>
        <v>25</v>
      </c>
      <c r="T263" s="4"/>
      <c r="U263" s="68"/>
      <c r="V263" s="198"/>
      <c r="W263" s="42"/>
      <c r="X263" s="101"/>
    </row>
    <row r="264" spans="1:24" x14ac:dyDescent="0.25">
      <c r="A264" s="74">
        <v>44155</v>
      </c>
      <c r="B264" s="126">
        <v>9608</v>
      </c>
      <c r="C264" s="126">
        <f t="shared" si="64"/>
        <v>1359042</v>
      </c>
      <c r="D264" s="126">
        <v>260</v>
      </c>
      <c r="E264" s="126">
        <f t="shared" si="65"/>
        <v>36755</v>
      </c>
      <c r="F264" s="126">
        <f t="shared" si="66"/>
        <v>10305</v>
      </c>
      <c r="G264" s="155">
        <v>1177819</v>
      </c>
      <c r="H264" s="126">
        <v>4187</v>
      </c>
      <c r="I264" s="126">
        <v>37816</v>
      </c>
      <c r="J264" s="4">
        <f t="shared" si="56"/>
        <v>3588506</v>
      </c>
      <c r="K264" s="7">
        <v>3601</v>
      </c>
      <c r="L264" s="7">
        <v>1789964</v>
      </c>
      <c r="M264" s="95">
        <f t="shared" si="57"/>
        <v>1793565</v>
      </c>
      <c r="N264" s="4">
        <v>9840</v>
      </c>
      <c r="O264" s="4">
        <v>268940</v>
      </c>
      <c r="P264" s="4">
        <v>957937</v>
      </c>
      <c r="Q264" s="95">
        <f t="shared" si="58"/>
        <v>122325</v>
      </c>
      <c r="R264" s="96">
        <f t="shared" si="62"/>
        <v>144468</v>
      </c>
      <c r="S264" s="39">
        <f t="shared" si="67"/>
        <v>-105</v>
      </c>
      <c r="T264" s="4"/>
      <c r="U264" s="68"/>
      <c r="V264" s="198"/>
      <c r="W264" s="42"/>
      <c r="X264" s="101"/>
    </row>
    <row r="265" spans="1:24" x14ac:dyDescent="0.25">
      <c r="A265" s="105">
        <v>44156</v>
      </c>
      <c r="B265" s="126">
        <v>7140</v>
      </c>
      <c r="C265" s="126">
        <f t="shared" si="64"/>
        <v>1366182</v>
      </c>
      <c r="D265" s="126">
        <v>112</v>
      </c>
      <c r="E265" s="126">
        <f t="shared" si="65"/>
        <v>36867</v>
      </c>
      <c r="F265" s="126">
        <f t="shared" si="66"/>
        <v>9234</v>
      </c>
      <c r="G265" s="155">
        <v>1187053</v>
      </c>
      <c r="H265" s="126">
        <v>4132</v>
      </c>
      <c r="I265" s="126">
        <v>39055</v>
      </c>
      <c r="J265" s="4">
        <f t="shared" si="56"/>
        <v>3627561</v>
      </c>
      <c r="K265" s="7">
        <v>3625</v>
      </c>
      <c r="L265" s="7">
        <v>1815364</v>
      </c>
      <c r="M265" s="95">
        <f t="shared" si="57"/>
        <v>1818989</v>
      </c>
      <c r="N265" s="4">
        <v>9862</v>
      </c>
      <c r="O265" s="4">
        <v>270149</v>
      </c>
      <c r="P265" s="4">
        <v>962192</v>
      </c>
      <c r="Q265" s="95">
        <f t="shared" si="58"/>
        <v>123979</v>
      </c>
      <c r="R265" s="96">
        <f t="shared" si="62"/>
        <v>142262</v>
      </c>
      <c r="S265" s="39">
        <f t="shared" si="67"/>
        <v>-55</v>
      </c>
      <c r="T265" s="4"/>
      <c r="U265" s="68"/>
      <c r="V265" s="198"/>
      <c r="W265" s="42"/>
      <c r="X265" s="101"/>
    </row>
    <row r="266" spans="1:24" x14ac:dyDescent="0.25">
      <c r="A266" s="105">
        <v>44157</v>
      </c>
      <c r="B266" s="126">
        <v>4184</v>
      </c>
      <c r="C266" s="126">
        <f t="shared" si="64"/>
        <v>1370366</v>
      </c>
      <c r="D266" s="126">
        <v>100</v>
      </c>
      <c r="E266" s="126">
        <f t="shared" si="65"/>
        <v>36967</v>
      </c>
      <c r="F266" s="126">
        <f t="shared" si="66"/>
        <v>8439</v>
      </c>
      <c r="G266" s="155">
        <v>1195492</v>
      </c>
      <c r="H266" s="126">
        <v>4245</v>
      </c>
      <c r="I266" s="126">
        <v>15740</v>
      </c>
      <c r="J266" s="4">
        <f t="shared" si="56"/>
        <v>3643301</v>
      </c>
      <c r="K266" s="7">
        <v>3691</v>
      </c>
      <c r="L266" s="7">
        <v>1823849</v>
      </c>
      <c r="M266" s="95">
        <f t="shared" si="57"/>
        <v>1827540</v>
      </c>
      <c r="N266" s="4">
        <v>9876</v>
      </c>
      <c r="O266" s="4">
        <v>270893</v>
      </c>
      <c r="P266" s="4">
        <v>965274</v>
      </c>
      <c r="Q266" s="95">
        <f t="shared" si="58"/>
        <v>124323</v>
      </c>
      <c r="R266" s="96">
        <f t="shared" si="62"/>
        <v>137907</v>
      </c>
      <c r="S266" s="39">
        <f t="shared" si="67"/>
        <v>113</v>
      </c>
      <c r="T266" s="4"/>
      <c r="U266" s="68"/>
      <c r="V266" s="198"/>
      <c r="W266" s="42"/>
      <c r="X266" s="101"/>
    </row>
    <row r="267" spans="1:24" x14ac:dyDescent="0.25">
      <c r="A267" s="74">
        <v>44158</v>
      </c>
      <c r="B267" s="126">
        <v>4265</v>
      </c>
      <c r="C267" s="126">
        <f t="shared" si="64"/>
        <v>1374631</v>
      </c>
      <c r="D267" s="126">
        <v>119</v>
      </c>
      <c r="E267" s="126">
        <f t="shared" si="65"/>
        <v>37086</v>
      </c>
      <c r="F267" s="126">
        <f t="shared" si="66"/>
        <v>8308</v>
      </c>
      <c r="G267" s="155">
        <v>1203800</v>
      </c>
      <c r="H267" s="126">
        <v>4165</v>
      </c>
      <c r="I267" s="126">
        <v>13149</v>
      </c>
      <c r="J267" s="4">
        <f t="shared" si="56"/>
        <v>3656450</v>
      </c>
      <c r="K267" s="7">
        <v>3798</v>
      </c>
      <c r="L267" s="7">
        <v>1830584</v>
      </c>
      <c r="M267" s="95">
        <f t="shared" si="57"/>
        <v>1834382</v>
      </c>
      <c r="N267" s="4">
        <v>9894</v>
      </c>
      <c r="O267" s="4">
        <v>272054</v>
      </c>
      <c r="P267" s="4">
        <v>972396</v>
      </c>
      <c r="Q267" s="95">
        <f t="shared" si="58"/>
        <v>120287</v>
      </c>
      <c r="R267" s="96">
        <f t="shared" si="62"/>
        <v>133745</v>
      </c>
      <c r="S267" s="39">
        <f t="shared" si="67"/>
        <v>-80</v>
      </c>
      <c r="T267" s="4"/>
      <c r="U267" s="68"/>
      <c r="V267" s="198"/>
      <c r="W267" s="42"/>
      <c r="X267" s="101"/>
    </row>
    <row r="268" spans="1:24" x14ac:dyDescent="0.25">
      <c r="A268" s="74">
        <v>44159</v>
      </c>
      <c r="B268" s="126">
        <v>7164</v>
      </c>
      <c r="C268" s="126">
        <f t="shared" si="64"/>
        <v>1381795</v>
      </c>
      <c r="D268" s="126">
        <v>311</v>
      </c>
      <c r="E268" s="126">
        <f t="shared" si="65"/>
        <v>37397</v>
      </c>
      <c r="F268" s="126">
        <f t="shared" si="66"/>
        <v>6834</v>
      </c>
      <c r="G268" s="155">
        <v>1210634</v>
      </c>
      <c r="H268" s="126">
        <v>4148</v>
      </c>
      <c r="I268" s="126">
        <v>22043</v>
      </c>
      <c r="J268" s="4">
        <f t="shared" si="56"/>
        <v>3678493</v>
      </c>
      <c r="K268" s="8">
        <v>3828</v>
      </c>
      <c r="L268" s="8">
        <v>1842058</v>
      </c>
      <c r="M268" s="95">
        <f t="shared" si="57"/>
        <v>1845886</v>
      </c>
      <c r="N268" s="4">
        <v>9912</v>
      </c>
      <c r="O268" s="4">
        <v>273939</v>
      </c>
      <c r="P268" s="4">
        <v>979797</v>
      </c>
      <c r="Q268" s="95">
        <f t="shared" si="58"/>
        <v>118147</v>
      </c>
      <c r="R268" s="96">
        <f t="shared" si="62"/>
        <v>133764</v>
      </c>
      <c r="S268" s="39">
        <f t="shared" si="67"/>
        <v>-17</v>
      </c>
      <c r="T268" s="4"/>
      <c r="U268" s="68"/>
      <c r="V268" s="198"/>
      <c r="W268" s="42"/>
      <c r="X268" s="101"/>
    </row>
    <row r="269" spans="1:24" x14ac:dyDescent="0.25">
      <c r="A269" s="74">
        <v>44160</v>
      </c>
      <c r="B269" s="126">
        <v>8593</v>
      </c>
      <c r="C269" s="126">
        <f t="shared" si="64"/>
        <v>1390388</v>
      </c>
      <c r="D269" s="126">
        <v>280</v>
      </c>
      <c r="E269" s="126">
        <f t="shared" si="65"/>
        <v>37677</v>
      </c>
      <c r="F269" s="126">
        <f t="shared" si="66"/>
        <v>6650</v>
      </c>
      <c r="G269" s="155">
        <v>1217284</v>
      </c>
      <c r="H269" s="126">
        <v>4039</v>
      </c>
      <c r="I269" s="126">
        <v>29437</v>
      </c>
      <c r="J269" s="4">
        <f t="shared" si="56"/>
        <v>3707930</v>
      </c>
      <c r="K269" s="8">
        <v>3872</v>
      </c>
      <c r="L269" s="8">
        <v>1855809</v>
      </c>
      <c r="M269" s="95">
        <f t="shared" si="57"/>
        <v>1859681</v>
      </c>
      <c r="N269" s="4">
        <v>9949</v>
      </c>
      <c r="O269" s="4">
        <v>275968</v>
      </c>
      <c r="P269" s="4">
        <v>986401</v>
      </c>
      <c r="Q269" s="95">
        <f t="shared" si="58"/>
        <v>118070</v>
      </c>
      <c r="R269" s="96">
        <f t="shared" si="62"/>
        <v>135427</v>
      </c>
      <c r="S269" s="39">
        <f t="shared" si="67"/>
        <v>-109</v>
      </c>
      <c r="T269" s="4"/>
      <c r="U269" s="68"/>
      <c r="V269" s="198"/>
      <c r="W269" s="42"/>
      <c r="X269" s="101"/>
    </row>
    <row r="270" spans="1:24" x14ac:dyDescent="0.25">
      <c r="A270" s="74">
        <v>44161</v>
      </c>
      <c r="B270" s="126">
        <v>9043</v>
      </c>
      <c r="C270" s="126">
        <f t="shared" si="64"/>
        <v>1399431</v>
      </c>
      <c r="D270" s="126">
        <v>229</v>
      </c>
      <c r="E270" s="126">
        <f t="shared" si="65"/>
        <v>37906</v>
      </c>
      <c r="F270" s="126">
        <f t="shared" si="66"/>
        <v>9378</v>
      </c>
      <c r="G270" s="155">
        <v>1226662</v>
      </c>
      <c r="H270" s="126">
        <v>3960</v>
      </c>
      <c r="I270" s="126">
        <v>32781</v>
      </c>
      <c r="J270" s="4">
        <f t="shared" si="56"/>
        <v>3740711</v>
      </c>
      <c r="K270" s="8">
        <v>3941</v>
      </c>
      <c r="L270" s="8">
        <v>1871509</v>
      </c>
      <c r="M270" s="95">
        <f t="shared" si="57"/>
        <v>1875450</v>
      </c>
      <c r="N270" s="4">
        <v>9979</v>
      </c>
      <c r="O270" s="4">
        <v>278371</v>
      </c>
      <c r="P270" s="4">
        <v>992925</v>
      </c>
      <c r="Q270" s="95">
        <f t="shared" si="58"/>
        <v>118156</v>
      </c>
      <c r="R270" s="96">
        <f t="shared" si="62"/>
        <v>134863</v>
      </c>
      <c r="S270" s="39">
        <f t="shared" si="67"/>
        <v>-79</v>
      </c>
      <c r="T270" s="4"/>
      <c r="U270" s="68"/>
      <c r="V270" s="198"/>
      <c r="W270" s="42"/>
      <c r="X270" s="101"/>
    </row>
    <row r="271" spans="1:24" x14ac:dyDescent="0.25">
      <c r="A271" s="74">
        <v>44162</v>
      </c>
      <c r="B271" s="126">
        <v>7846</v>
      </c>
      <c r="C271" s="126">
        <f t="shared" si="64"/>
        <v>1407277</v>
      </c>
      <c r="D271" s="126">
        <v>275</v>
      </c>
      <c r="E271" s="126">
        <f t="shared" si="65"/>
        <v>38181</v>
      </c>
      <c r="F271" s="126">
        <f t="shared" si="66"/>
        <v>8595</v>
      </c>
      <c r="G271" s="155">
        <v>1235257</v>
      </c>
      <c r="H271" s="126">
        <v>4120</v>
      </c>
      <c r="I271" s="126">
        <v>55323</v>
      </c>
      <c r="J271" s="4">
        <f t="shared" si="56"/>
        <v>3796034</v>
      </c>
      <c r="K271" s="7">
        <v>4020</v>
      </c>
      <c r="L271" s="8">
        <v>1912056</v>
      </c>
      <c r="M271" s="95">
        <f t="shared" si="57"/>
        <v>1916076</v>
      </c>
      <c r="N271" s="4">
        <v>10016</v>
      </c>
      <c r="O271" s="4">
        <v>280344</v>
      </c>
      <c r="P271" s="4">
        <v>999456</v>
      </c>
      <c r="Q271" s="95">
        <f t="shared" si="58"/>
        <v>117461</v>
      </c>
      <c r="R271" s="96">
        <f t="shared" si="62"/>
        <v>133839</v>
      </c>
      <c r="S271" s="39">
        <f t="shared" si="67"/>
        <v>160</v>
      </c>
      <c r="T271" s="4"/>
      <c r="U271" s="68"/>
      <c r="V271" s="198"/>
      <c r="W271" s="42"/>
      <c r="X271" s="101"/>
    </row>
    <row r="272" spans="1:24" x14ac:dyDescent="0.25">
      <c r="A272" s="105">
        <v>44163</v>
      </c>
      <c r="B272" s="126">
        <v>6098</v>
      </c>
      <c r="C272" s="126">
        <f t="shared" si="64"/>
        <v>1413375</v>
      </c>
      <c r="D272" s="126">
        <v>106</v>
      </c>
      <c r="E272" s="126">
        <f t="shared" si="65"/>
        <v>38287</v>
      </c>
      <c r="F272" s="126">
        <f t="shared" si="66"/>
        <v>7620</v>
      </c>
      <c r="G272" s="155">
        <v>1242877</v>
      </c>
      <c r="H272" s="126">
        <v>4021</v>
      </c>
      <c r="I272" s="126">
        <v>25472</v>
      </c>
      <c r="J272" s="4">
        <f t="shared" si="56"/>
        <v>3821506</v>
      </c>
      <c r="K272" s="7">
        <v>4105</v>
      </c>
      <c r="L272" s="8">
        <v>1926130</v>
      </c>
      <c r="M272" s="95">
        <f t="shared" si="57"/>
        <v>1930235</v>
      </c>
      <c r="N272" s="4">
        <v>10046</v>
      </c>
      <c r="O272" s="4">
        <v>281257</v>
      </c>
      <c r="P272" s="4">
        <v>1003512</v>
      </c>
      <c r="Q272" s="95">
        <f t="shared" si="58"/>
        <v>118560</v>
      </c>
      <c r="R272" s="96">
        <f t="shared" si="62"/>
        <v>132211</v>
      </c>
      <c r="S272" s="39">
        <f t="shared" si="67"/>
        <v>-99</v>
      </c>
      <c r="T272" s="4"/>
      <c r="U272" s="68"/>
      <c r="V272" s="198"/>
      <c r="W272" s="42"/>
      <c r="X272" s="101"/>
    </row>
    <row r="273" spans="1:25" x14ac:dyDescent="0.25">
      <c r="A273" s="105">
        <v>44164</v>
      </c>
      <c r="B273" s="126">
        <v>5432</v>
      </c>
      <c r="C273" s="126">
        <f t="shared" si="64"/>
        <v>1418807</v>
      </c>
      <c r="D273" s="126">
        <v>151</v>
      </c>
      <c r="E273" s="126">
        <f t="shared" si="65"/>
        <v>38438</v>
      </c>
      <c r="F273" s="126">
        <f t="shared" si="66"/>
        <v>6966</v>
      </c>
      <c r="G273" s="155">
        <v>1249843</v>
      </c>
      <c r="H273" s="126">
        <v>4013</v>
      </c>
      <c r="I273" s="126">
        <v>17338</v>
      </c>
      <c r="J273" s="4">
        <f t="shared" si="56"/>
        <v>3838844</v>
      </c>
      <c r="K273" s="7">
        <v>4139</v>
      </c>
      <c r="L273" s="7">
        <v>1935553</v>
      </c>
      <c r="M273" s="95">
        <f t="shared" si="57"/>
        <v>1939692</v>
      </c>
      <c r="N273" s="4">
        <v>10067</v>
      </c>
      <c r="O273" s="4">
        <v>281995</v>
      </c>
      <c r="P273" s="4">
        <v>1006055</v>
      </c>
      <c r="Q273" s="95">
        <f t="shared" si="58"/>
        <v>120690</v>
      </c>
      <c r="R273" s="96">
        <f t="shared" si="62"/>
        <v>130526</v>
      </c>
      <c r="S273" s="39">
        <f t="shared" si="67"/>
        <v>-8</v>
      </c>
      <c r="T273" s="4"/>
      <c r="U273" s="68"/>
      <c r="V273" s="198"/>
      <c r="W273" s="42"/>
      <c r="X273" s="101"/>
    </row>
    <row r="274" spans="1:25" x14ac:dyDescent="0.25">
      <c r="A274" s="74">
        <v>44165</v>
      </c>
      <c r="B274" s="126">
        <v>5726</v>
      </c>
      <c r="C274" s="126">
        <f t="shared" si="64"/>
        <v>1424533</v>
      </c>
      <c r="D274" s="126">
        <v>257</v>
      </c>
      <c r="E274" s="126">
        <f t="shared" si="65"/>
        <v>38695</v>
      </c>
      <c r="F274" s="126">
        <f t="shared" si="66"/>
        <v>7384</v>
      </c>
      <c r="G274" s="155">
        <v>1257227</v>
      </c>
      <c r="H274" s="126">
        <v>4062</v>
      </c>
      <c r="I274" s="126">
        <v>19291</v>
      </c>
      <c r="J274" s="4">
        <f t="shared" si="56"/>
        <v>3858135</v>
      </c>
      <c r="K274" s="7">
        <v>4209</v>
      </c>
      <c r="L274" s="7">
        <v>1945524</v>
      </c>
      <c r="M274" s="95">
        <f t="shared" si="57"/>
        <v>1949733</v>
      </c>
      <c r="N274" s="4">
        <v>10089</v>
      </c>
      <c r="O274" s="4">
        <v>283567</v>
      </c>
      <c r="P274" s="4">
        <v>1009382</v>
      </c>
      <c r="Q274" s="95">
        <f t="shared" si="58"/>
        <v>121495</v>
      </c>
      <c r="R274" s="96">
        <f t="shared" si="62"/>
        <v>128611</v>
      </c>
      <c r="S274" s="39">
        <f t="shared" si="67"/>
        <v>49</v>
      </c>
      <c r="T274" s="4"/>
      <c r="U274" s="68"/>
      <c r="V274" s="198"/>
      <c r="W274" s="42"/>
      <c r="X274" s="101"/>
    </row>
    <row r="275" spans="1:25" x14ac:dyDescent="0.25">
      <c r="A275" s="74">
        <v>44166</v>
      </c>
      <c r="B275" s="126">
        <v>8037</v>
      </c>
      <c r="C275" s="126">
        <f t="shared" si="64"/>
        <v>1432570</v>
      </c>
      <c r="D275" s="126">
        <v>198</v>
      </c>
      <c r="E275" s="126">
        <f t="shared" si="65"/>
        <v>38893</v>
      </c>
      <c r="F275" s="126">
        <f t="shared" si="66"/>
        <v>6024</v>
      </c>
      <c r="G275" s="155">
        <v>1263251</v>
      </c>
      <c r="H275" s="126">
        <v>3946</v>
      </c>
      <c r="I275" s="126">
        <v>33764</v>
      </c>
      <c r="J275" s="4">
        <f t="shared" si="56"/>
        <v>3891899</v>
      </c>
      <c r="K275" s="7">
        <v>4328</v>
      </c>
      <c r="L275" s="7">
        <v>1964346</v>
      </c>
      <c r="M275" s="95">
        <f t="shared" si="57"/>
        <v>1968674</v>
      </c>
      <c r="N275" s="4">
        <v>10120</v>
      </c>
      <c r="O275" s="4">
        <v>285518</v>
      </c>
      <c r="P275" s="4">
        <v>1015923</v>
      </c>
      <c r="Q275" s="95">
        <f t="shared" si="58"/>
        <v>121009</v>
      </c>
      <c r="R275" s="96">
        <f t="shared" si="62"/>
        <v>130426</v>
      </c>
      <c r="S275" s="39">
        <f t="shared" si="67"/>
        <v>-116</v>
      </c>
      <c r="T275" s="4"/>
      <c r="U275" s="68"/>
      <c r="V275" s="198"/>
      <c r="W275" s="42"/>
      <c r="X275" s="101"/>
    </row>
    <row r="276" spans="1:25" x14ac:dyDescent="0.25">
      <c r="A276" s="74">
        <v>44167</v>
      </c>
      <c r="B276" s="126">
        <v>7533</v>
      </c>
      <c r="C276" s="126">
        <f t="shared" si="64"/>
        <v>1440103</v>
      </c>
      <c r="D276" s="126">
        <v>228</v>
      </c>
      <c r="E276" s="126">
        <f t="shared" si="65"/>
        <v>39121</v>
      </c>
      <c r="F276" s="126">
        <f t="shared" si="66"/>
        <v>5107</v>
      </c>
      <c r="G276" s="155">
        <v>1268358</v>
      </c>
      <c r="H276" s="126">
        <v>3983</v>
      </c>
      <c r="I276" s="126">
        <v>49474</v>
      </c>
      <c r="J276" s="4">
        <f t="shared" si="56"/>
        <v>3941373</v>
      </c>
      <c r="K276" s="102">
        <v>4476</v>
      </c>
      <c r="L276" s="102">
        <v>2000098</v>
      </c>
      <c r="M276" s="103">
        <f t="shared" si="57"/>
        <v>2004574</v>
      </c>
      <c r="N276" s="69">
        <v>10155</v>
      </c>
      <c r="O276" s="69">
        <v>287233</v>
      </c>
      <c r="P276" s="69">
        <v>1022204</v>
      </c>
      <c r="Q276" s="103">
        <f t="shared" si="58"/>
        <v>120511</v>
      </c>
      <c r="R276" s="96">
        <f t="shared" si="62"/>
        <v>132624</v>
      </c>
      <c r="S276" s="104">
        <f t="shared" si="67"/>
        <v>37</v>
      </c>
      <c r="T276" s="4"/>
      <c r="U276" s="68"/>
      <c r="V276" s="198"/>
      <c r="W276" s="42"/>
      <c r="X276" s="101"/>
    </row>
    <row r="277" spans="1:25" x14ac:dyDescent="0.25">
      <c r="A277" s="74">
        <v>44168</v>
      </c>
      <c r="B277" s="126">
        <v>7629</v>
      </c>
      <c r="C277" s="126">
        <f t="shared" si="64"/>
        <v>1447732</v>
      </c>
      <c r="D277" s="126">
        <v>148</v>
      </c>
      <c r="E277" s="126">
        <f t="shared" si="65"/>
        <v>39269</v>
      </c>
      <c r="F277" s="126">
        <f t="shared" si="66"/>
        <v>6317</v>
      </c>
      <c r="G277" s="155">
        <v>1274675</v>
      </c>
      <c r="H277" s="126">
        <v>3916</v>
      </c>
      <c r="I277" s="126">
        <v>47112</v>
      </c>
      <c r="J277" s="4">
        <f t="shared" si="56"/>
        <v>3988485</v>
      </c>
      <c r="K277" s="102">
        <v>4554</v>
      </c>
      <c r="L277" s="102">
        <v>2033435</v>
      </c>
      <c r="M277" s="103">
        <f t="shared" si="57"/>
        <v>2037989</v>
      </c>
      <c r="N277" s="69">
        <v>10186</v>
      </c>
      <c r="O277" s="69">
        <v>288999</v>
      </c>
      <c r="P277" s="69">
        <v>1028077</v>
      </c>
      <c r="Q277" s="103">
        <f t="shared" si="58"/>
        <v>120470</v>
      </c>
      <c r="R277" s="96">
        <f t="shared" si="62"/>
        <v>133788</v>
      </c>
      <c r="S277" s="104">
        <f t="shared" si="67"/>
        <v>-67</v>
      </c>
      <c r="T277" s="4"/>
      <c r="U277" s="68"/>
      <c r="V277" s="198"/>
      <c r="W277" s="42"/>
      <c r="X277" s="101"/>
    </row>
    <row r="278" spans="1:25" x14ac:dyDescent="0.25">
      <c r="A278" s="74">
        <v>44169</v>
      </c>
      <c r="B278" s="126">
        <v>6899</v>
      </c>
      <c r="C278" s="126">
        <f t="shared" si="64"/>
        <v>1454631</v>
      </c>
      <c r="D278" s="144">
        <v>207</v>
      </c>
      <c r="E278" s="126">
        <f t="shared" si="65"/>
        <v>39476</v>
      </c>
      <c r="F278" s="126">
        <f t="shared" si="66"/>
        <v>7280</v>
      </c>
      <c r="G278" s="155">
        <v>1281955</v>
      </c>
      <c r="H278" s="126">
        <v>3929</v>
      </c>
      <c r="I278" s="126">
        <v>32923</v>
      </c>
      <c r="J278" s="4">
        <f t="shared" si="56"/>
        <v>4021408</v>
      </c>
      <c r="K278" s="102">
        <v>4609</v>
      </c>
      <c r="L278" s="102">
        <v>2054205</v>
      </c>
      <c r="M278" s="103">
        <f t="shared" si="57"/>
        <v>2058814</v>
      </c>
      <c r="N278" s="69">
        <v>10211</v>
      </c>
      <c r="O278" s="69">
        <v>290538</v>
      </c>
      <c r="P278" s="69">
        <v>1033772</v>
      </c>
      <c r="Q278" s="103">
        <f t="shared" si="58"/>
        <v>120110</v>
      </c>
      <c r="R278" s="96">
        <f t="shared" si="62"/>
        <v>133200</v>
      </c>
      <c r="S278" s="104">
        <f t="shared" si="67"/>
        <v>13</v>
      </c>
      <c r="T278" s="12">
        <f t="shared" ref="T278:T287" si="68">(C278-G278-E278)-(C277-E277-G277)</f>
        <v>-588</v>
      </c>
      <c r="U278" s="68"/>
      <c r="V278" s="198"/>
      <c r="W278" s="42"/>
      <c r="X278" s="101"/>
    </row>
    <row r="279" spans="1:25" x14ac:dyDescent="0.25">
      <c r="A279" s="105">
        <v>44170</v>
      </c>
      <c r="B279" s="126">
        <v>5201</v>
      </c>
      <c r="C279" s="126">
        <f t="shared" si="64"/>
        <v>1459832</v>
      </c>
      <c r="D279" s="126">
        <v>121</v>
      </c>
      <c r="E279" s="126">
        <f t="shared" si="65"/>
        <v>39597</v>
      </c>
      <c r="F279" s="126">
        <f t="shared" si="66"/>
        <v>6830</v>
      </c>
      <c r="G279" s="155">
        <v>1288785</v>
      </c>
      <c r="H279" s="126">
        <v>3757</v>
      </c>
      <c r="I279" s="126">
        <v>28567</v>
      </c>
      <c r="J279" s="4">
        <f t="shared" si="56"/>
        <v>4049975</v>
      </c>
      <c r="K279" s="102">
        <v>4687</v>
      </c>
      <c r="L279" s="102">
        <v>2072109</v>
      </c>
      <c r="M279" s="103">
        <f t="shared" si="57"/>
        <v>2076796</v>
      </c>
      <c r="N279" s="69">
        <v>10228</v>
      </c>
      <c r="O279" s="69">
        <v>291315</v>
      </c>
      <c r="P279" s="69">
        <v>1037782</v>
      </c>
      <c r="Q279" s="103">
        <f t="shared" si="58"/>
        <v>120507</v>
      </c>
      <c r="R279" s="96">
        <f t="shared" si="62"/>
        <v>131450</v>
      </c>
      <c r="S279" s="104">
        <f t="shared" si="67"/>
        <v>-172</v>
      </c>
      <c r="T279" s="12">
        <f t="shared" si="68"/>
        <v>-1750</v>
      </c>
      <c r="U279" s="68"/>
      <c r="V279" s="198"/>
      <c r="W279" s="42"/>
      <c r="X279" s="101"/>
    </row>
    <row r="280" spans="1:25" x14ac:dyDescent="0.25">
      <c r="A280" s="105">
        <v>44171</v>
      </c>
      <c r="B280" s="126">
        <v>3278</v>
      </c>
      <c r="C280" s="126">
        <f t="shared" si="64"/>
        <v>1463110</v>
      </c>
      <c r="D280" s="126">
        <v>138</v>
      </c>
      <c r="E280" s="126">
        <f t="shared" si="65"/>
        <v>39735</v>
      </c>
      <c r="F280" s="126">
        <f t="shared" si="66"/>
        <v>5907</v>
      </c>
      <c r="G280" s="155">
        <v>1294692</v>
      </c>
      <c r="H280" s="126">
        <v>3735</v>
      </c>
      <c r="I280" s="126">
        <v>16826</v>
      </c>
      <c r="J280" s="4">
        <f t="shared" si="56"/>
        <v>4066801</v>
      </c>
      <c r="K280" s="102">
        <v>4696</v>
      </c>
      <c r="L280" s="102">
        <v>2083087</v>
      </c>
      <c r="M280" s="103">
        <f t="shared" si="57"/>
        <v>2087783</v>
      </c>
      <c r="N280" s="69">
        <v>10245</v>
      </c>
      <c r="O280" s="69">
        <v>291769</v>
      </c>
      <c r="P280" s="69">
        <v>1041718</v>
      </c>
      <c r="Q280" s="103">
        <f t="shared" si="58"/>
        <v>119378</v>
      </c>
      <c r="R280" s="96">
        <f t="shared" si="62"/>
        <v>128683</v>
      </c>
      <c r="S280" s="104">
        <f t="shared" si="67"/>
        <v>-22</v>
      </c>
      <c r="T280" s="12">
        <f t="shared" si="68"/>
        <v>-2767</v>
      </c>
      <c r="U280" s="68"/>
      <c r="V280" s="198"/>
      <c r="W280" s="42"/>
      <c r="X280" s="101"/>
    </row>
    <row r="281" spans="1:25" x14ac:dyDescent="0.25">
      <c r="A281" s="105">
        <v>44172</v>
      </c>
      <c r="B281" s="126">
        <v>3199</v>
      </c>
      <c r="C281" s="148">
        <f t="shared" si="64"/>
        <v>1466309</v>
      </c>
      <c r="D281" s="126">
        <v>118</v>
      </c>
      <c r="E281" s="126">
        <f t="shared" si="65"/>
        <v>39853</v>
      </c>
      <c r="F281" s="126">
        <f t="shared" si="66"/>
        <v>6004</v>
      </c>
      <c r="G281" s="155">
        <v>1300696</v>
      </c>
      <c r="H281" s="126">
        <v>3723</v>
      </c>
      <c r="I281" s="126">
        <v>9951</v>
      </c>
      <c r="J281" s="4">
        <f t="shared" si="56"/>
        <v>4076752</v>
      </c>
      <c r="K281" s="7">
        <v>4703</v>
      </c>
      <c r="L281" s="7">
        <v>2088287</v>
      </c>
      <c r="M281" s="103">
        <f t="shared" si="57"/>
        <v>2092990</v>
      </c>
      <c r="N281" s="4">
        <v>10262</v>
      </c>
      <c r="O281" s="4">
        <v>292290</v>
      </c>
      <c r="P281" s="4">
        <v>1047405</v>
      </c>
      <c r="Q281" s="103">
        <f t="shared" si="58"/>
        <v>116352</v>
      </c>
      <c r="R281" s="96">
        <f t="shared" si="62"/>
        <v>125760</v>
      </c>
      <c r="S281" s="104">
        <f t="shared" si="67"/>
        <v>-12</v>
      </c>
      <c r="T281" s="12">
        <f t="shared" si="68"/>
        <v>-2923</v>
      </c>
      <c r="U281" s="68"/>
      <c r="V281" s="198"/>
      <c r="W281" s="42"/>
      <c r="X281" s="101"/>
    </row>
    <row r="282" spans="1:25" x14ac:dyDescent="0.25">
      <c r="A282" s="105">
        <v>44173</v>
      </c>
      <c r="B282" s="126">
        <v>3610</v>
      </c>
      <c r="C282" s="126">
        <f t="shared" si="64"/>
        <v>1469919</v>
      </c>
      <c r="D282" s="126">
        <v>120</v>
      </c>
      <c r="E282" s="126">
        <f t="shared" si="65"/>
        <v>39973</v>
      </c>
      <c r="F282" s="126">
        <f t="shared" si="66"/>
        <v>4891</v>
      </c>
      <c r="G282" s="155">
        <v>1305587</v>
      </c>
      <c r="H282" s="126">
        <v>3715</v>
      </c>
      <c r="I282" s="126">
        <v>13302</v>
      </c>
      <c r="J282" s="4">
        <f t="shared" si="56"/>
        <v>4090054</v>
      </c>
      <c r="K282" s="7">
        <v>4726</v>
      </c>
      <c r="L282" s="7">
        <v>2095475</v>
      </c>
      <c r="M282" s="103">
        <f t="shared" si="57"/>
        <v>2100201</v>
      </c>
      <c r="N282" s="4">
        <v>10276</v>
      </c>
      <c r="O282" s="4">
        <v>292866</v>
      </c>
      <c r="P282" s="4">
        <v>1053314</v>
      </c>
      <c r="Q282" s="103">
        <f t="shared" si="58"/>
        <v>113463</v>
      </c>
      <c r="R282" s="96">
        <f t="shared" si="62"/>
        <v>124359</v>
      </c>
      <c r="S282" s="104">
        <f t="shared" si="67"/>
        <v>-8</v>
      </c>
      <c r="T282" s="12">
        <f t="shared" si="68"/>
        <v>-1401</v>
      </c>
      <c r="U282" s="68"/>
      <c r="V282" s="198"/>
      <c r="X282" s="101"/>
    </row>
    <row r="283" spans="1:25" x14ac:dyDescent="0.25">
      <c r="A283" s="74">
        <v>44174</v>
      </c>
      <c r="B283" s="126">
        <v>5303</v>
      </c>
      <c r="C283" s="126">
        <f t="shared" ref="C283:C289" si="69">C282+B283</f>
        <v>1475222</v>
      </c>
      <c r="D283" s="126">
        <v>212</v>
      </c>
      <c r="E283" s="126">
        <f t="shared" ref="E283:E289" si="70">E282+D283</f>
        <v>40185</v>
      </c>
      <c r="F283" s="126">
        <f t="shared" si="66"/>
        <v>5901</v>
      </c>
      <c r="G283" s="155">
        <v>1311488</v>
      </c>
      <c r="H283" s="126">
        <v>3688</v>
      </c>
      <c r="I283" s="126">
        <v>20785</v>
      </c>
      <c r="J283" s="4">
        <f t="shared" si="56"/>
        <v>4110839</v>
      </c>
      <c r="K283" s="7">
        <v>4782</v>
      </c>
      <c r="L283" s="7">
        <v>2108441</v>
      </c>
      <c r="M283" s="103">
        <f t="shared" si="57"/>
        <v>2113223</v>
      </c>
      <c r="N283" s="4">
        <v>10316</v>
      </c>
      <c r="O283" s="4">
        <v>294068</v>
      </c>
      <c r="P283" s="4">
        <v>1058646</v>
      </c>
      <c r="Q283" s="103">
        <f t="shared" si="58"/>
        <v>112192</v>
      </c>
      <c r="R283" s="96">
        <f t="shared" si="62"/>
        <v>123549</v>
      </c>
      <c r="S283" s="104">
        <f t="shared" si="67"/>
        <v>-27</v>
      </c>
      <c r="T283" s="12">
        <f t="shared" si="68"/>
        <v>-810</v>
      </c>
      <c r="U283" s="68"/>
      <c r="V283" s="198"/>
      <c r="X283" s="37"/>
    </row>
    <row r="284" spans="1:25" x14ac:dyDescent="0.25">
      <c r="A284" s="74">
        <v>44175</v>
      </c>
      <c r="B284" s="126">
        <v>6994</v>
      </c>
      <c r="C284" s="126">
        <f t="shared" si="69"/>
        <v>1482216</v>
      </c>
      <c r="D284" s="126">
        <v>209</v>
      </c>
      <c r="E284" s="126">
        <f t="shared" si="70"/>
        <v>40394</v>
      </c>
      <c r="F284" s="126">
        <f t="shared" si="66"/>
        <v>6699</v>
      </c>
      <c r="G284" s="155">
        <v>1318187</v>
      </c>
      <c r="H284" s="126">
        <v>3665</v>
      </c>
      <c r="I284" s="126">
        <v>28166</v>
      </c>
      <c r="J284" s="4">
        <f t="shared" si="56"/>
        <v>4139005</v>
      </c>
      <c r="K284" s="7">
        <v>4881</v>
      </c>
      <c r="L284" s="7">
        <v>2124880</v>
      </c>
      <c r="M284" s="103">
        <f t="shared" si="57"/>
        <v>2129761</v>
      </c>
      <c r="N284" s="4">
        <v>10335</v>
      </c>
      <c r="O284" s="4">
        <v>295491</v>
      </c>
      <c r="P284" s="4">
        <v>1064115</v>
      </c>
      <c r="Q284" s="103">
        <f t="shared" si="58"/>
        <v>112275</v>
      </c>
      <c r="R284" s="96">
        <f t="shared" si="62"/>
        <v>123635</v>
      </c>
      <c r="S284" s="104">
        <f t="shared" si="67"/>
        <v>-23</v>
      </c>
      <c r="T284" s="12">
        <f t="shared" si="68"/>
        <v>86</v>
      </c>
      <c r="U284" s="68"/>
      <c r="V284" s="198"/>
      <c r="X284" s="37"/>
    </row>
    <row r="285" spans="1:25" x14ac:dyDescent="0.25">
      <c r="A285" s="74">
        <v>44176</v>
      </c>
      <c r="B285" s="126">
        <v>7112</v>
      </c>
      <c r="C285" s="126">
        <f t="shared" si="69"/>
        <v>1489328</v>
      </c>
      <c r="D285" s="126">
        <v>177</v>
      </c>
      <c r="E285" s="126">
        <f t="shared" si="70"/>
        <v>40571</v>
      </c>
      <c r="F285" s="126">
        <f t="shared" si="66"/>
        <v>6605</v>
      </c>
      <c r="G285" s="155">
        <v>1324792</v>
      </c>
      <c r="H285" s="126">
        <v>3620</v>
      </c>
      <c r="I285" s="126">
        <v>36805</v>
      </c>
      <c r="J285" s="4">
        <f t="shared" si="56"/>
        <v>4175810</v>
      </c>
      <c r="K285" s="7">
        <v>4940</v>
      </c>
      <c r="L285" s="7">
        <v>2147972</v>
      </c>
      <c r="M285" s="103">
        <f t="shared" si="57"/>
        <v>2152912</v>
      </c>
      <c r="N285" s="4">
        <v>10375</v>
      </c>
      <c r="O285" s="4">
        <v>296884</v>
      </c>
      <c r="P285" s="4">
        <v>1068414</v>
      </c>
      <c r="Q285" s="103">
        <f t="shared" si="58"/>
        <v>113655</v>
      </c>
      <c r="R285" s="96">
        <f t="shared" si="62"/>
        <v>123965</v>
      </c>
      <c r="S285" s="104">
        <f t="shared" si="67"/>
        <v>-45</v>
      </c>
      <c r="T285" s="12">
        <f t="shared" si="68"/>
        <v>330</v>
      </c>
      <c r="U285" s="68"/>
      <c r="V285" s="198"/>
      <c r="W285" s="42"/>
      <c r="X285" s="37"/>
      <c r="Y285" s="42"/>
    </row>
    <row r="286" spans="1:25" x14ac:dyDescent="0.25">
      <c r="A286" s="106">
        <v>44177</v>
      </c>
      <c r="B286" s="126">
        <v>5274</v>
      </c>
      <c r="C286" s="126">
        <f t="shared" si="69"/>
        <v>1494602</v>
      </c>
      <c r="D286" s="126">
        <v>62</v>
      </c>
      <c r="E286" s="126">
        <f t="shared" si="70"/>
        <v>40633</v>
      </c>
      <c r="F286" s="126">
        <f t="shared" si="66"/>
        <v>5368</v>
      </c>
      <c r="G286" s="155">
        <v>1330160</v>
      </c>
      <c r="H286" s="126">
        <v>3594</v>
      </c>
      <c r="I286" s="126">
        <v>27204</v>
      </c>
      <c r="J286" s="4">
        <f t="shared" si="56"/>
        <v>4203014</v>
      </c>
      <c r="K286" s="7">
        <v>4983</v>
      </c>
      <c r="L286" s="7">
        <v>2164993</v>
      </c>
      <c r="M286" s="103">
        <f t="shared" si="57"/>
        <v>2169976</v>
      </c>
      <c r="N286" s="4">
        <v>10396</v>
      </c>
      <c r="O286" s="4">
        <v>297737</v>
      </c>
      <c r="P286" s="4">
        <v>1071431</v>
      </c>
      <c r="Q286" s="103">
        <f t="shared" si="58"/>
        <v>115038</v>
      </c>
      <c r="R286" s="96">
        <f t="shared" si="62"/>
        <v>123809</v>
      </c>
      <c r="S286" s="104">
        <f t="shared" si="67"/>
        <v>-26</v>
      </c>
      <c r="T286" s="12">
        <f t="shared" si="68"/>
        <v>-156</v>
      </c>
      <c r="U286" s="68"/>
      <c r="V286" s="198"/>
    </row>
    <row r="287" spans="1:25" x14ac:dyDescent="0.25">
      <c r="A287" s="106">
        <v>44178</v>
      </c>
      <c r="B287" s="126">
        <v>3558</v>
      </c>
      <c r="C287" s="126">
        <f t="shared" si="69"/>
        <v>1498160</v>
      </c>
      <c r="D287" s="126">
        <v>98</v>
      </c>
      <c r="E287" s="126">
        <f t="shared" si="70"/>
        <v>40731</v>
      </c>
      <c r="F287" s="126">
        <f t="shared" ref="F287:F332" si="71">G287-G286</f>
        <v>5157</v>
      </c>
      <c r="G287" s="155">
        <v>1335317</v>
      </c>
      <c r="H287" s="126">
        <v>3537</v>
      </c>
      <c r="I287" s="126">
        <v>21793</v>
      </c>
      <c r="J287" s="4">
        <f t="shared" si="56"/>
        <v>4224807</v>
      </c>
      <c r="K287" s="7">
        <v>5042</v>
      </c>
      <c r="L287" s="7">
        <v>2180522</v>
      </c>
      <c r="M287" s="103">
        <f t="shared" si="57"/>
        <v>2185564</v>
      </c>
      <c r="N287" s="4">
        <v>10424</v>
      </c>
      <c r="O287" s="4">
        <v>298310</v>
      </c>
      <c r="P287" s="4">
        <v>1073462</v>
      </c>
      <c r="Q287" s="103">
        <f t="shared" si="58"/>
        <v>115964</v>
      </c>
      <c r="R287" s="96">
        <f t="shared" si="62"/>
        <v>122112</v>
      </c>
      <c r="S287" s="104">
        <f t="shared" si="67"/>
        <v>-57</v>
      </c>
      <c r="T287" s="12">
        <f t="shared" si="68"/>
        <v>-1697</v>
      </c>
      <c r="U287" s="68"/>
      <c r="V287" s="198"/>
    </row>
    <row r="288" spans="1:25" x14ac:dyDescent="0.25">
      <c r="A288" s="107">
        <v>44179</v>
      </c>
      <c r="B288" s="126">
        <v>5062</v>
      </c>
      <c r="C288" s="126">
        <f t="shared" si="69"/>
        <v>1503222</v>
      </c>
      <c r="D288" s="126">
        <v>274</v>
      </c>
      <c r="E288" s="126">
        <f t="shared" si="70"/>
        <v>41005</v>
      </c>
      <c r="F288" s="126">
        <f t="shared" si="71"/>
        <v>4803</v>
      </c>
      <c r="G288" s="155">
        <v>1340120</v>
      </c>
      <c r="H288" s="126">
        <v>3478</v>
      </c>
      <c r="I288" s="126">
        <v>43000</v>
      </c>
      <c r="J288" s="4">
        <f t="shared" si="56"/>
        <v>4267807</v>
      </c>
      <c r="K288" s="7">
        <v>5131</v>
      </c>
      <c r="L288" s="7">
        <v>2215097</v>
      </c>
      <c r="M288" s="103">
        <f t="shared" si="57"/>
        <v>2220228</v>
      </c>
      <c r="N288" s="4">
        <v>10451</v>
      </c>
      <c r="O288" s="4">
        <v>299430</v>
      </c>
      <c r="P288" s="4">
        <v>1076117</v>
      </c>
      <c r="Q288" s="103">
        <f t="shared" si="58"/>
        <v>117224</v>
      </c>
      <c r="R288" s="96">
        <f t="shared" si="62"/>
        <v>122097</v>
      </c>
      <c r="S288" s="104">
        <f t="shared" ref="S288:S295" si="72">H288-H287</f>
        <v>-59</v>
      </c>
      <c r="T288" s="12">
        <f t="shared" ref="T288:T295" si="73">(C288-G288-E288)-(C287-E287-G287)</f>
        <v>-15</v>
      </c>
      <c r="U288" s="68"/>
      <c r="V288" s="198"/>
    </row>
    <row r="289" spans="1:22" x14ac:dyDescent="0.25">
      <c r="A289" s="107">
        <v>44180</v>
      </c>
      <c r="B289" s="126">
        <v>6981</v>
      </c>
      <c r="C289" s="126">
        <f t="shared" si="69"/>
        <v>1510203</v>
      </c>
      <c r="D289" s="126">
        <v>165</v>
      </c>
      <c r="E289" s="126">
        <f t="shared" si="70"/>
        <v>41170</v>
      </c>
      <c r="F289" s="126">
        <f t="shared" si="71"/>
        <v>4180</v>
      </c>
      <c r="G289" s="155">
        <v>1344300</v>
      </c>
      <c r="H289" s="126">
        <v>3475</v>
      </c>
      <c r="I289" s="126">
        <v>36591</v>
      </c>
      <c r="J289" s="4">
        <f t="shared" si="56"/>
        <v>4304398</v>
      </c>
      <c r="K289" s="7">
        <v>5271</v>
      </c>
      <c r="L289" s="7">
        <v>2238751</v>
      </c>
      <c r="M289" s="103">
        <f t="shared" si="57"/>
        <v>2244022</v>
      </c>
      <c r="N289" s="4">
        <v>10483</v>
      </c>
      <c r="O289" s="4">
        <v>301009</v>
      </c>
      <c r="P289" s="4">
        <v>1078240</v>
      </c>
      <c r="Q289" s="103">
        <f t="shared" si="58"/>
        <v>120471</v>
      </c>
      <c r="R289" s="96">
        <f t="shared" si="62"/>
        <v>124733</v>
      </c>
      <c r="S289" s="104">
        <f t="shared" si="72"/>
        <v>-3</v>
      </c>
      <c r="T289" s="12">
        <f t="shared" si="73"/>
        <v>2636</v>
      </c>
      <c r="U289" s="68"/>
      <c r="V289" s="198"/>
    </row>
    <row r="290" spans="1:22" x14ac:dyDescent="0.25">
      <c r="A290" s="107">
        <v>44181</v>
      </c>
      <c r="B290" s="126">
        <v>6843</v>
      </c>
      <c r="C290" s="126">
        <f t="shared" ref="C290:C295" si="74">C289+B290</f>
        <v>1517046</v>
      </c>
      <c r="D290" s="126">
        <v>162</v>
      </c>
      <c r="E290" s="126">
        <f t="shared" ref="E290:E295" si="75">E289+D290</f>
        <v>41332</v>
      </c>
      <c r="F290" s="126">
        <f t="shared" si="71"/>
        <v>3614</v>
      </c>
      <c r="G290" s="155">
        <v>1347914</v>
      </c>
      <c r="H290" s="126">
        <v>3443</v>
      </c>
      <c r="I290" s="126">
        <v>34599</v>
      </c>
      <c r="J290" s="4">
        <f t="shared" si="56"/>
        <v>4338997</v>
      </c>
      <c r="K290" s="7">
        <v>5417</v>
      </c>
      <c r="L290" s="7">
        <v>2259690</v>
      </c>
      <c r="M290" s="103">
        <f t="shared" si="57"/>
        <v>2265107</v>
      </c>
      <c r="N290" s="4">
        <v>10548</v>
      </c>
      <c r="O290" s="4">
        <v>302498</v>
      </c>
      <c r="P290" s="4">
        <v>1083034</v>
      </c>
      <c r="Q290" s="103">
        <f t="shared" si="58"/>
        <v>120966</v>
      </c>
      <c r="R290" s="96">
        <f t="shared" si="62"/>
        <v>127800</v>
      </c>
      <c r="S290" s="104">
        <f t="shared" si="72"/>
        <v>-32</v>
      </c>
      <c r="T290" s="12">
        <f t="shared" si="73"/>
        <v>3067</v>
      </c>
      <c r="U290" s="68"/>
      <c r="V290" s="198"/>
    </row>
    <row r="291" spans="1:22" x14ac:dyDescent="0.25">
      <c r="A291" s="107">
        <v>44182</v>
      </c>
      <c r="B291" s="126">
        <v>7326</v>
      </c>
      <c r="C291" s="126">
        <f t="shared" si="74"/>
        <v>1524372</v>
      </c>
      <c r="D291" s="126">
        <v>169</v>
      </c>
      <c r="E291" s="126">
        <f t="shared" si="75"/>
        <v>41501</v>
      </c>
      <c r="F291" s="126">
        <f t="shared" si="71"/>
        <v>4642</v>
      </c>
      <c r="G291" s="155">
        <v>1352556</v>
      </c>
      <c r="H291" s="126">
        <v>3471</v>
      </c>
      <c r="I291" s="126">
        <v>31936</v>
      </c>
      <c r="J291" s="4">
        <f t="shared" si="56"/>
        <v>4370933</v>
      </c>
      <c r="K291" s="7">
        <v>5509</v>
      </c>
      <c r="L291" s="7">
        <v>2279140</v>
      </c>
      <c r="M291" s="103">
        <f t="shared" si="57"/>
        <v>2284649</v>
      </c>
      <c r="N291" s="4">
        <v>10614</v>
      </c>
      <c r="O291" s="4">
        <v>304151</v>
      </c>
      <c r="P291" s="4">
        <v>1088190</v>
      </c>
      <c r="Q291" s="103">
        <f t="shared" si="58"/>
        <v>121417</v>
      </c>
      <c r="R291" s="96">
        <f t="shared" si="62"/>
        <v>130315</v>
      </c>
      <c r="S291" s="104">
        <f t="shared" si="72"/>
        <v>28</v>
      </c>
      <c r="T291" s="12">
        <f t="shared" si="73"/>
        <v>2515</v>
      </c>
      <c r="U291" s="68"/>
      <c r="V291" s="198"/>
    </row>
    <row r="292" spans="1:22" x14ac:dyDescent="0.25">
      <c r="A292" s="109">
        <v>44183</v>
      </c>
      <c r="B292" s="133">
        <v>7002</v>
      </c>
      <c r="C292" s="133">
        <f t="shared" si="74"/>
        <v>1531374</v>
      </c>
      <c r="D292" s="133">
        <v>138</v>
      </c>
      <c r="E292" s="133">
        <f t="shared" si="75"/>
        <v>41639</v>
      </c>
      <c r="F292" s="133">
        <f t="shared" si="71"/>
        <v>4199</v>
      </c>
      <c r="G292" s="155">
        <v>1356755</v>
      </c>
      <c r="H292" s="133">
        <v>3434</v>
      </c>
      <c r="I292" s="133">
        <v>32002</v>
      </c>
      <c r="J292" s="4">
        <f t="shared" si="56"/>
        <v>4402935</v>
      </c>
      <c r="K292" s="30">
        <v>5573</v>
      </c>
      <c r="L292" s="30">
        <v>2298394</v>
      </c>
      <c r="M292" s="110">
        <f t="shared" si="57"/>
        <v>2303967</v>
      </c>
      <c r="N292" s="27">
        <v>10658</v>
      </c>
      <c r="O292" s="27">
        <v>305458</v>
      </c>
      <c r="P292" s="27">
        <v>1093180</v>
      </c>
      <c r="Q292" s="110">
        <f t="shared" si="58"/>
        <v>122078</v>
      </c>
      <c r="R292" s="96">
        <f t="shared" si="62"/>
        <v>132980</v>
      </c>
      <c r="S292" s="104">
        <f t="shared" si="72"/>
        <v>-37</v>
      </c>
      <c r="T292" s="12">
        <f t="shared" si="73"/>
        <v>2665</v>
      </c>
      <c r="U292" s="68"/>
      <c r="V292" s="198"/>
    </row>
    <row r="293" spans="1:22" x14ac:dyDescent="0.25">
      <c r="A293" s="114">
        <v>44184</v>
      </c>
      <c r="B293" s="140">
        <v>5795</v>
      </c>
      <c r="C293" s="140">
        <f t="shared" si="74"/>
        <v>1537169</v>
      </c>
      <c r="D293" s="140">
        <v>91</v>
      </c>
      <c r="E293" s="140">
        <f t="shared" si="75"/>
        <v>41730</v>
      </c>
      <c r="F293" s="140">
        <f t="shared" si="71"/>
        <v>5862</v>
      </c>
      <c r="G293" s="155">
        <v>1362617</v>
      </c>
      <c r="H293" s="140">
        <v>3452</v>
      </c>
      <c r="I293" s="140">
        <v>27403</v>
      </c>
      <c r="J293" s="4">
        <f t="shared" si="56"/>
        <v>4430338</v>
      </c>
      <c r="K293" s="112">
        <v>5632</v>
      </c>
      <c r="L293" s="112">
        <v>2314565</v>
      </c>
      <c r="M293" s="113">
        <f t="shared" si="57"/>
        <v>2320197</v>
      </c>
      <c r="N293" s="111">
        <v>10688</v>
      </c>
      <c r="O293" s="111">
        <v>306243</v>
      </c>
      <c r="P293" s="111">
        <v>1096091</v>
      </c>
      <c r="Q293" s="113">
        <f t="shared" si="58"/>
        <v>124147</v>
      </c>
      <c r="R293" s="96">
        <f t="shared" si="62"/>
        <v>132822</v>
      </c>
      <c r="S293" s="108">
        <f t="shared" si="72"/>
        <v>18</v>
      </c>
      <c r="T293" s="12">
        <f t="shared" si="73"/>
        <v>-158</v>
      </c>
      <c r="U293" s="68"/>
      <c r="V293" s="198"/>
    </row>
    <row r="294" spans="1:22" x14ac:dyDescent="0.25">
      <c r="A294" s="116">
        <v>44185</v>
      </c>
      <c r="B294" s="133">
        <v>4116</v>
      </c>
      <c r="C294" s="133">
        <f t="shared" si="74"/>
        <v>1541285</v>
      </c>
      <c r="D294" s="133">
        <v>50</v>
      </c>
      <c r="E294" s="133">
        <f t="shared" si="75"/>
        <v>41780</v>
      </c>
      <c r="F294" s="133">
        <f t="shared" si="71"/>
        <v>5729</v>
      </c>
      <c r="G294" s="155">
        <v>1368346</v>
      </c>
      <c r="H294" s="133">
        <v>3462</v>
      </c>
      <c r="I294" s="133">
        <v>32148</v>
      </c>
      <c r="J294" s="4">
        <f t="shared" si="56"/>
        <v>4462486</v>
      </c>
      <c r="K294" s="117">
        <v>5765</v>
      </c>
      <c r="L294" s="118">
        <v>2338847</v>
      </c>
      <c r="M294" s="119">
        <f t="shared" si="57"/>
        <v>2344612</v>
      </c>
      <c r="N294" s="115">
        <v>10715</v>
      </c>
      <c r="O294" s="115">
        <v>306830</v>
      </c>
      <c r="P294" s="115">
        <v>1098359</v>
      </c>
      <c r="Q294" s="119">
        <f t="shared" si="58"/>
        <v>125381</v>
      </c>
      <c r="R294" s="96">
        <f t="shared" si="62"/>
        <v>131159</v>
      </c>
      <c r="S294" s="120">
        <f t="shared" si="72"/>
        <v>10</v>
      </c>
      <c r="T294" s="92">
        <f t="shared" si="73"/>
        <v>-1663</v>
      </c>
      <c r="U294" s="68"/>
      <c r="V294" s="198"/>
    </row>
    <row r="295" spans="1:22" x14ac:dyDescent="0.25">
      <c r="A295" s="107">
        <v>44186</v>
      </c>
      <c r="B295" s="126">
        <v>5853</v>
      </c>
      <c r="C295" s="126">
        <f t="shared" si="74"/>
        <v>1547138</v>
      </c>
      <c r="D295" s="126">
        <v>184</v>
      </c>
      <c r="E295" s="126">
        <f t="shared" si="75"/>
        <v>41964</v>
      </c>
      <c r="F295" s="126">
        <f t="shared" si="71"/>
        <v>6055</v>
      </c>
      <c r="G295" s="155">
        <v>1374401</v>
      </c>
      <c r="H295" s="126">
        <v>3367</v>
      </c>
      <c r="I295" s="126">
        <v>24076</v>
      </c>
      <c r="J295" s="4">
        <f t="shared" si="56"/>
        <v>4486562</v>
      </c>
      <c r="K295" s="7">
        <v>5890</v>
      </c>
      <c r="L295" s="7">
        <v>2353622</v>
      </c>
      <c r="M295" s="103">
        <f t="shared" si="57"/>
        <v>2359512</v>
      </c>
      <c r="N295" s="4">
        <v>10750</v>
      </c>
      <c r="O295" s="4">
        <v>308256</v>
      </c>
      <c r="P295" s="4">
        <v>1103443</v>
      </c>
      <c r="Q295" s="103">
        <f t="shared" si="58"/>
        <v>124689</v>
      </c>
      <c r="R295" s="96">
        <f t="shared" si="62"/>
        <v>130773</v>
      </c>
      <c r="S295" s="104">
        <f t="shared" si="72"/>
        <v>-95</v>
      </c>
      <c r="T295" s="12">
        <f t="shared" si="73"/>
        <v>-386</v>
      </c>
      <c r="U295" s="68"/>
      <c r="V295" s="198"/>
    </row>
    <row r="296" spans="1:22" x14ac:dyDescent="0.25">
      <c r="A296" s="107">
        <v>44187</v>
      </c>
      <c r="B296" s="126">
        <v>8141</v>
      </c>
      <c r="C296" s="126">
        <f t="shared" ref="C296:C332" si="76">C295+B296</f>
        <v>1555279</v>
      </c>
      <c r="D296" s="126">
        <v>255</v>
      </c>
      <c r="E296" s="126">
        <f t="shared" ref="E296:E332" si="77">E295+D296</f>
        <v>42219</v>
      </c>
      <c r="F296" s="126">
        <f t="shared" si="71"/>
        <v>5325</v>
      </c>
      <c r="G296" s="155">
        <v>1379726</v>
      </c>
      <c r="H296" s="126">
        <v>3399</v>
      </c>
      <c r="I296" s="126">
        <v>37688</v>
      </c>
      <c r="J296" s="4">
        <f t="shared" si="56"/>
        <v>4524250</v>
      </c>
      <c r="K296" s="7">
        <v>5936</v>
      </c>
      <c r="L296" s="7">
        <v>2390200</v>
      </c>
      <c r="M296" s="103">
        <f t="shared" si="57"/>
        <v>2396136</v>
      </c>
      <c r="N296" s="4">
        <v>10808</v>
      </c>
      <c r="O296" s="4">
        <v>309842</v>
      </c>
      <c r="P296" s="4">
        <v>1109025</v>
      </c>
      <c r="Q296" s="103">
        <f t="shared" si="58"/>
        <v>125604</v>
      </c>
      <c r="R296" s="96">
        <f t="shared" si="62"/>
        <v>133334</v>
      </c>
      <c r="S296" s="39">
        <f>H296-H295</f>
        <v>32</v>
      </c>
      <c r="T296" s="91">
        <f t="shared" ref="T296:T306" si="78">(C296-G296-E296)-(C295-E295-G295)</f>
        <v>2561</v>
      </c>
      <c r="U296" s="68"/>
      <c r="V296" s="198"/>
    </row>
    <row r="297" spans="1:22" x14ac:dyDescent="0.25">
      <c r="A297" s="107">
        <v>44188</v>
      </c>
      <c r="B297" s="126">
        <v>8586</v>
      </c>
      <c r="C297" s="126">
        <f t="shared" si="76"/>
        <v>1563865</v>
      </c>
      <c r="D297" s="126">
        <v>60</v>
      </c>
      <c r="E297" s="126">
        <f t="shared" si="77"/>
        <v>42279</v>
      </c>
      <c r="F297" s="126">
        <f t="shared" si="71"/>
        <v>4551</v>
      </c>
      <c r="G297" s="155">
        <v>1384277</v>
      </c>
      <c r="H297" s="126">
        <v>3390</v>
      </c>
      <c r="I297" s="126">
        <v>39323</v>
      </c>
      <c r="J297" s="4">
        <f t="shared" si="56"/>
        <v>4563573</v>
      </c>
      <c r="K297" s="7">
        <v>5897</v>
      </c>
      <c r="L297" s="7">
        <v>2402139</v>
      </c>
      <c r="M297" s="103">
        <f t="shared" si="57"/>
        <v>2408036</v>
      </c>
      <c r="N297" s="4">
        <v>10873</v>
      </c>
      <c r="O297" s="4">
        <v>311072</v>
      </c>
      <c r="P297" s="4">
        <v>1114236</v>
      </c>
      <c r="Q297" s="103">
        <f t="shared" si="58"/>
        <v>127684</v>
      </c>
      <c r="R297" s="96">
        <f t="shared" si="62"/>
        <v>137309</v>
      </c>
      <c r="S297" s="39">
        <f>H297-H296</f>
        <v>-9</v>
      </c>
      <c r="T297" s="91">
        <f t="shared" si="78"/>
        <v>3975</v>
      </c>
      <c r="U297" s="68"/>
      <c r="V297" s="198"/>
    </row>
    <row r="298" spans="1:22" x14ac:dyDescent="0.25">
      <c r="A298" s="109">
        <v>44189</v>
      </c>
      <c r="B298" s="133">
        <v>7815</v>
      </c>
      <c r="C298" s="133">
        <f t="shared" si="76"/>
        <v>1571680</v>
      </c>
      <c r="D298" s="133">
        <v>78</v>
      </c>
      <c r="E298" s="133">
        <f t="shared" si="77"/>
        <v>42357</v>
      </c>
      <c r="F298" s="133">
        <f t="shared" si="71"/>
        <v>6439</v>
      </c>
      <c r="G298" s="156">
        <v>1390716</v>
      </c>
      <c r="H298" s="133">
        <v>3390</v>
      </c>
      <c r="I298" s="126">
        <v>24457</v>
      </c>
      <c r="J298" s="4">
        <f t="shared" ref="J298:J361" si="79">J299-I299</f>
        <v>4588030</v>
      </c>
      <c r="K298" s="7">
        <v>5908</v>
      </c>
      <c r="L298" s="7">
        <v>2423214</v>
      </c>
      <c r="M298" s="103">
        <f t="shared" si="57"/>
        <v>2429122</v>
      </c>
      <c r="N298" s="4">
        <v>10910</v>
      </c>
      <c r="O298" s="4">
        <v>311984</v>
      </c>
      <c r="P298" s="4">
        <v>1119801</v>
      </c>
      <c r="Q298" s="103">
        <f t="shared" si="58"/>
        <v>128985</v>
      </c>
      <c r="R298" s="96">
        <f t="shared" si="62"/>
        <v>138607</v>
      </c>
      <c r="S298" s="39">
        <f>H298-H297</f>
        <v>0</v>
      </c>
      <c r="T298" s="91">
        <f t="shared" si="78"/>
        <v>1298</v>
      </c>
      <c r="U298" s="68"/>
      <c r="V298" s="198"/>
    </row>
    <row r="299" spans="1:22" x14ac:dyDescent="0.25">
      <c r="A299" s="122">
        <v>44190</v>
      </c>
      <c r="B299" s="141">
        <v>2874</v>
      </c>
      <c r="C299" s="141">
        <f t="shared" si="76"/>
        <v>1574554</v>
      </c>
      <c r="D299" s="141">
        <v>30</v>
      </c>
      <c r="E299" s="141">
        <f t="shared" si="77"/>
        <v>42387</v>
      </c>
      <c r="F299" s="141">
        <f t="shared" si="71"/>
        <v>5946</v>
      </c>
      <c r="G299" s="157">
        <v>1396662</v>
      </c>
      <c r="H299" s="141">
        <v>3390</v>
      </c>
      <c r="I299" s="194">
        <v>24454</v>
      </c>
      <c r="J299" s="4">
        <f t="shared" si="79"/>
        <v>4612484</v>
      </c>
      <c r="K299" s="7">
        <v>5907</v>
      </c>
      <c r="L299" s="7">
        <v>2430506</v>
      </c>
      <c r="M299" s="103">
        <f t="shared" si="57"/>
        <v>2436413</v>
      </c>
      <c r="N299" s="4">
        <v>10934</v>
      </c>
      <c r="O299" s="4">
        <v>312308</v>
      </c>
      <c r="P299" s="4">
        <v>1125100</v>
      </c>
      <c r="Q299" s="103">
        <f t="shared" si="58"/>
        <v>126212</v>
      </c>
      <c r="R299" s="96">
        <f t="shared" si="62"/>
        <v>135505</v>
      </c>
      <c r="S299" s="39">
        <f>H299-H298</f>
        <v>0</v>
      </c>
      <c r="T299" s="91">
        <f t="shared" si="78"/>
        <v>-3102</v>
      </c>
      <c r="U299" s="68"/>
      <c r="V299" s="198"/>
    </row>
    <row r="300" spans="1:22" x14ac:dyDescent="0.25">
      <c r="A300" s="122">
        <v>44191</v>
      </c>
      <c r="B300" s="141">
        <v>3713</v>
      </c>
      <c r="C300" s="141">
        <f t="shared" si="76"/>
        <v>1578267</v>
      </c>
      <c r="D300" s="141">
        <v>79</v>
      </c>
      <c r="E300" s="141">
        <f t="shared" si="77"/>
        <v>42466</v>
      </c>
      <c r="F300" s="141">
        <f t="shared" si="71"/>
        <v>5565</v>
      </c>
      <c r="G300" s="157">
        <v>1402227</v>
      </c>
      <c r="H300" s="141">
        <v>3262</v>
      </c>
      <c r="I300" s="194">
        <v>14984</v>
      </c>
      <c r="J300" s="4">
        <f t="shared" si="79"/>
        <v>4627468</v>
      </c>
      <c r="K300" s="7">
        <v>5931</v>
      </c>
      <c r="L300" s="7">
        <v>2439459</v>
      </c>
      <c r="M300" s="103">
        <f>L300+K300</f>
        <v>2445390</v>
      </c>
      <c r="N300" s="4">
        <v>10957</v>
      </c>
      <c r="O300" s="4">
        <v>312971</v>
      </c>
      <c r="P300" s="4">
        <v>1128587</v>
      </c>
      <c r="Q300" s="103">
        <f>C300-N300-O300-P300</f>
        <v>125752</v>
      </c>
      <c r="R300" s="96">
        <f t="shared" si="62"/>
        <v>133574</v>
      </c>
      <c r="S300" s="39">
        <f>H300-H297</f>
        <v>-128</v>
      </c>
      <c r="T300" s="91">
        <f t="shared" si="78"/>
        <v>-1931</v>
      </c>
      <c r="U300" s="68"/>
      <c r="V300" s="198"/>
    </row>
    <row r="301" spans="1:22" x14ac:dyDescent="0.25">
      <c r="A301" s="123">
        <v>44192</v>
      </c>
      <c r="B301" s="142">
        <v>5030</v>
      </c>
      <c r="C301" s="142">
        <f t="shared" si="76"/>
        <v>1583297</v>
      </c>
      <c r="D301" s="142">
        <v>149</v>
      </c>
      <c r="E301" s="142">
        <f t="shared" si="77"/>
        <v>42615</v>
      </c>
      <c r="F301" s="142">
        <f t="shared" si="71"/>
        <v>5699</v>
      </c>
      <c r="G301" s="158">
        <v>1407926</v>
      </c>
      <c r="H301" s="142">
        <v>3313</v>
      </c>
      <c r="I301" s="196">
        <v>21455</v>
      </c>
      <c r="J301" s="4">
        <f t="shared" si="79"/>
        <v>4648923</v>
      </c>
      <c r="K301" s="30">
        <v>5941</v>
      </c>
      <c r="L301" s="30">
        <v>2453195</v>
      </c>
      <c r="M301" s="110">
        <f>L301+K301</f>
        <v>2459136</v>
      </c>
      <c r="N301" s="27">
        <v>10979</v>
      </c>
      <c r="O301" s="27">
        <v>313631</v>
      </c>
      <c r="P301" s="27">
        <v>1131589</v>
      </c>
      <c r="Q301" s="110">
        <f>C301-N301-O301-P301</f>
        <v>127098</v>
      </c>
      <c r="R301" s="96">
        <f t="shared" si="62"/>
        <v>132756</v>
      </c>
      <c r="S301" s="67">
        <f t="shared" ref="S301:S306" si="80">H301-H300</f>
        <v>51</v>
      </c>
      <c r="T301" s="121">
        <f t="shared" si="78"/>
        <v>-818</v>
      </c>
      <c r="U301" s="68"/>
      <c r="V301" s="198"/>
    </row>
    <row r="302" spans="1:22" x14ac:dyDescent="0.25">
      <c r="A302" s="107">
        <v>44193</v>
      </c>
      <c r="B302" s="126">
        <v>7216</v>
      </c>
      <c r="C302" s="126">
        <f t="shared" si="76"/>
        <v>1590513</v>
      </c>
      <c r="D302" s="126">
        <v>218</v>
      </c>
      <c r="E302" s="126">
        <f t="shared" si="77"/>
        <v>42833</v>
      </c>
      <c r="F302" s="126">
        <f t="shared" si="71"/>
        <v>6754</v>
      </c>
      <c r="G302" s="155">
        <v>1414680</v>
      </c>
      <c r="H302" s="126">
        <v>3319</v>
      </c>
      <c r="I302" s="126">
        <v>28978</v>
      </c>
      <c r="J302" s="4">
        <f t="shared" si="79"/>
        <v>4677901</v>
      </c>
      <c r="K302" s="7">
        <v>6049</v>
      </c>
      <c r="L302" s="7">
        <v>2470756</v>
      </c>
      <c r="M302" s="103">
        <f>L302+K302</f>
        <v>2476805</v>
      </c>
      <c r="N302" s="4">
        <v>11048</v>
      </c>
      <c r="O302" s="4">
        <v>315189</v>
      </c>
      <c r="P302" s="4">
        <v>1138116</v>
      </c>
      <c r="Q302" s="103">
        <f>C302-N302-O302-P302</f>
        <v>126160</v>
      </c>
      <c r="R302" s="96">
        <f t="shared" si="62"/>
        <v>133000</v>
      </c>
      <c r="S302" s="39">
        <f t="shared" si="80"/>
        <v>6</v>
      </c>
      <c r="T302" s="91">
        <f t="shared" si="78"/>
        <v>244</v>
      </c>
      <c r="U302" s="68"/>
      <c r="V302" s="198"/>
    </row>
    <row r="303" spans="1:22" x14ac:dyDescent="0.25">
      <c r="A303" s="107">
        <v>44194</v>
      </c>
      <c r="B303" s="126">
        <v>11650</v>
      </c>
      <c r="C303" s="126">
        <f t="shared" si="76"/>
        <v>1602163</v>
      </c>
      <c r="D303" s="126">
        <v>151</v>
      </c>
      <c r="E303" s="126">
        <f t="shared" si="77"/>
        <v>42984</v>
      </c>
      <c r="F303" s="126">
        <f t="shared" si="71"/>
        <v>6205</v>
      </c>
      <c r="G303" s="155">
        <v>1420885</v>
      </c>
      <c r="H303" s="126">
        <v>3345</v>
      </c>
      <c r="I303" s="126">
        <v>45084</v>
      </c>
      <c r="J303" s="4">
        <f t="shared" si="79"/>
        <v>4722985</v>
      </c>
      <c r="K303" s="7">
        <v>6141</v>
      </c>
      <c r="L303" s="7">
        <v>2494970</v>
      </c>
      <c r="M303" s="103">
        <f>L303+K303</f>
        <v>2501111</v>
      </c>
      <c r="N303" s="4">
        <v>11121</v>
      </c>
      <c r="O303" s="4">
        <v>316933</v>
      </c>
      <c r="P303" s="4">
        <v>1144766</v>
      </c>
      <c r="Q303" s="103">
        <f>C303-N303-O303-P303</f>
        <v>129343</v>
      </c>
      <c r="R303" s="96">
        <f t="shared" si="62"/>
        <v>138294</v>
      </c>
      <c r="S303" s="39">
        <f t="shared" si="80"/>
        <v>26</v>
      </c>
      <c r="T303" s="91">
        <f t="shared" si="78"/>
        <v>5294</v>
      </c>
      <c r="U303" s="68"/>
      <c r="V303" s="198"/>
    </row>
    <row r="304" spans="1:22" x14ac:dyDescent="0.25">
      <c r="A304" s="107">
        <v>44195</v>
      </c>
      <c r="B304" s="126">
        <v>11765</v>
      </c>
      <c r="C304" s="126">
        <f t="shared" si="76"/>
        <v>1613928</v>
      </c>
      <c r="D304" s="126">
        <v>145</v>
      </c>
      <c r="E304" s="126">
        <f t="shared" si="77"/>
        <v>43129</v>
      </c>
      <c r="F304" s="126">
        <f t="shared" si="71"/>
        <v>5791</v>
      </c>
      <c r="G304" s="155">
        <v>1426676</v>
      </c>
      <c r="H304" s="126">
        <v>3440</v>
      </c>
      <c r="I304" s="126">
        <v>54126</v>
      </c>
      <c r="J304" s="4">
        <f t="shared" si="79"/>
        <v>4777111</v>
      </c>
      <c r="K304" s="7">
        <v>6228</v>
      </c>
      <c r="L304" s="7">
        <v>2530000</v>
      </c>
      <c r="M304" s="4">
        <f>L304+K304</f>
        <v>2536228</v>
      </c>
      <c r="N304" s="4">
        <v>11167</v>
      </c>
      <c r="O304" s="4">
        <v>318837</v>
      </c>
      <c r="P304" s="4">
        <v>1151278</v>
      </c>
      <c r="Q304" s="103">
        <f>C304-N304-O304-P304</f>
        <v>132646</v>
      </c>
      <c r="R304" s="96">
        <f t="shared" si="62"/>
        <v>144123</v>
      </c>
      <c r="S304" s="39">
        <f t="shared" si="80"/>
        <v>95</v>
      </c>
      <c r="T304" s="91">
        <f t="shared" si="78"/>
        <v>5829</v>
      </c>
      <c r="U304" s="68"/>
      <c r="V304" s="198"/>
    </row>
    <row r="305" spans="1:23" x14ac:dyDescent="0.25">
      <c r="A305" s="107">
        <v>44196</v>
      </c>
      <c r="B305" s="126">
        <v>11587</v>
      </c>
      <c r="C305" s="126">
        <f t="shared" si="76"/>
        <v>1625515</v>
      </c>
      <c r="D305" s="126">
        <v>83</v>
      </c>
      <c r="E305" s="126">
        <f t="shared" si="77"/>
        <v>43212</v>
      </c>
      <c r="F305" s="126">
        <f t="shared" si="71"/>
        <v>7240</v>
      </c>
      <c r="G305" s="155">
        <v>1433916</v>
      </c>
      <c r="H305" s="126">
        <v>3440</v>
      </c>
      <c r="I305" s="197">
        <v>42835</v>
      </c>
      <c r="J305" s="4">
        <f t="shared" si="79"/>
        <v>4819946</v>
      </c>
      <c r="K305" s="7">
        <v>6253</v>
      </c>
      <c r="L305" s="7">
        <v>2558714</v>
      </c>
      <c r="M305" s="4">
        <f t="shared" ref="M305:M329" si="81">L305+K305</f>
        <v>2564967</v>
      </c>
      <c r="N305" s="4">
        <v>11236</v>
      </c>
      <c r="O305" s="4">
        <v>320315</v>
      </c>
      <c r="P305" s="4">
        <v>1155875</v>
      </c>
      <c r="Q305" s="103">
        <f t="shared" ref="Q305:Q324" si="82">C305-N305-O305-P305</f>
        <v>138089</v>
      </c>
      <c r="R305" s="96">
        <f t="shared" si="62"/>
        <v>148387</v>
      </c>
      <c r="S305" s="39">
        <f t="shared" si="80"/>
        <v>0</v>
      </c>
      <c r="T305" s="91">
        <f t="shared" si="78"/>
        <v>4264</v>
      </c>
      <c r="U305" s="68"/>
      <c r="V305" s="198"/>
    </row>
    <row r="306" spans="1:23" x14ac:dyDescent="0.25">
      <c r="A306" s="107">
        <v>44197</v>
      </c>
      <c r="B306" s="126">
        <v>4079</v>
      </c>
      <c r="C306" s="126">
        <f t="shared" si="76"/>
        <v>1629594</v>
      </c>
      <c r="D306" s="126">
        <v>73</v>
      </c>
      <c r="E306" s="126">
        <f t="shared" si="77"/>
        <v>43285</v>
      </c>
      <c r="F306" s="126">
        <f t="shared" si="71"/>
        <v>6235</v>
      </c>
      <c r="G306" s="155">
        <v>1440151</v>
      </c>
      <c r="H306" s="126">
        <v>3440</v>
      </c>
      <c r="I306" s="197">
        <v>42835</v>
      </c>
      <c r="J306" s="4">
        <f t="shared" si="79"/>
        <v>4862781</v>
      </c>
      <c r="K306" s="7">
        <v>6254</v>
      </c>
      <c r="L306" s="7">
        <v>2565699</v>
      </c>
      <c r="M306" s="4">
        <f t="shared" si="81"/>
        <v>2571953</v>
      </c>
      <c r="N306" s="4">
        <v>11273</v>
      </c>
      <c r="O306" s="4">
        <v>320768</v>
      </c>
      <c r="P306" s="4">
        <v>1157648</v>
      </c>
      <c r="Q306" s="103">
        <f t="shared" si="82"/>
        <v>139905</v>
      </c>
      <c r="R306" s="96">
        <f t="shared" si="62"/>
        <v>146158</v>
      </c>
      <c r="S306" s="39">
        <f t="shared" si="80"/>
        <v>0</v>
      </c>
      <c r="T306" s="91">
        <f t="shared" si="78"/>
        <v>-2229</v>
      </c>
      <c r="U306" s="68"/>
      <c r="V306" s="198"/>
    </row>
    <row r="307" spans="1:23" x14ac:dyDescent="0.25">
      <c r="A307" s="107">
        <v>44198</v>
      </c>
      <c r="B307" s="126">
        <v>5240</v>
      </c>
      <c r="C307" s="126">
        <f t="shared" si="76"/>
        <v>1634834</v>
      </c>
      <c r="D307" s="126">
        <v>56</v>
      </c>
      <c r="E307" s="126">
        <f t="shared" si="77"/>
        <v>43341</v>
      </c>
      <c r="F307" s="126">
        <f t="shared" si="71"/>
        <v>6941</v>
      </c>
      <c r="G307" s="155">
        <v>1447092</v>
      </c>
      <c r="H307" s="126">
        <v>3438</v>
      </c>
      <c r="I307" s="126">
        <v>17270</v>
      </c>
      <c r="J307" s="4">
        <f t="shared" si="79"/>
        <v>4880051</v>
      </c>
      <c r="K307" s="7"/>
      <c r="L307" s="7"/>
      <c r="M307" s="4"/>
      <c r="N307" s="4">
        <v>11297</v>
      </c>
      <c r="O307" s="4">
        <v>321585</v>
      </c>
      <c r="P307" s="4">
        <v>1162294</v>
      </c>
      <c r="Q307" s="103">
        <f t="shared" si="82"/>
        <v>139658</v>
      </c>
      <c r="R307" s="96">
        <f t="shared" si="62"/>
        <v>144401</v>
      </c>
      <c r="S307" s="39">
        <f t="shared" ref="S307:S350" si="83">H307-H306</f>
        <v>-2</v>
      </c>
      <c r="T307" s="91">
        <f t="shared" ref="T307:T318" si="84">(C307-G307-E307)-(C306-E306-G306)</f>
        <v>-1757</v>
      </c>
      <c r="U307" s="68"/>
      <c r="V307" s="198"/>
    </row>
    <row r="308" spans="1:23" x14ac:dyDescent="0.25">
      <c r="A308" s="107">
        <v>44199</v>
      </c>
      <c r="B308" s="126">
        <v>5884</v>
      </c>
      <c r="C308" s="126">
        <f t="shared" si="76"/>
        <v>1640718</v>
      </c>
      <c r="D308" s="126">
        <v>107</v>
      </c>
      <c r="E308" s="126">
        <f t="shared" si="77"/>
        <v>43448</v>
      </c>
      <c r="F308" s="126">
        <f t="shared" si="71"/>
        <v>5868</v>
      </c>
      <c r="G308" s="155">
        <v>1452960</v>
      </c>
      <c r="H308" s="126">
        <v>3433</v>
      </c>
      <c r="I308" s="126">
        <v>22180</v>
      </c>
      <c r="J308" s="4">
        <f t="shared" si="79"/>
        <v>4902231</v>
      </c>
      <c r="K308" s="7"/>
      <c r="L308" s="7"/>
      <c r="M308" s="4"/>
      <c r="N308" s="4">
        <v>11322</v>
      </c>
      <c r="O308" s="4">
        <v>322365</v>
      </c>
      <c r="P308" s="4">
        <v>1165866</v>
      </c>
      <c r="Q308" s="103">
        <f t="shared" si="82"/>
        <v>141165</v>
      </c>
      <c r="R308" s="96">
        <f t="shared" si="62"/>
        <v>144310</v>
      </c>
      <c r="S308" s="39">
        <f t="shared" si="83"/>
        <v>-5</v>
      </c>
      <c r="T308" s="91">
        <f t="shared" si="84"/>
        <v>-91</v>
      </c>
      <c r="U308" s="68"/>
      <c r="V308" s="198"/>
    </row>
    <row r="309" spans="1:23" x14ac:dyDescent="0.25">
      <c r="A309" s="109">
        <v>44200</v>
      </c>
      <c r="B309" s="133">
        <v>8222</v>
      </c>
      <c r="C309" s="133">
        <f t="shared" si="76"/>
        <v>1648940</v>
      </c>
      <c r="D309" s="133">
        <v>152</v>
      </c>
      <c r="E309" s="133">
        <f t="shared" si="77"/>
        <v>43600</v>
      </c>
      <c r="F309" s="133">
        <f t="shared" si="71"/>
        <v>5123</v>
      </c>
      <c r="G309" s="156">
        <v>1458083</v>
      </c>
      <c r="H309" s="133">
        <v>3502</v>
      </c>
      <c r="I309" s="133">
        <v>31819</v>
      </c>
      <c r="J309" s="4">
        <f t="shared" si="79"/>
        <v>4934050</v>
      </c>
      <c r="K309" s="30">
        <v>6347</v>
      </c>
      <c r="L309" s="30">
        <v>2612496</v>
      </c>
      <c r="M309" s="30">
        <f>L309+K309</f>
        <v>2618843</v>
      </c>
      <c r="N309" s="27">
        <v>11385</v>
      </c>
      <c r="O309" s="27">
        <v>323665</v>
      </c>
      <c r="P309" s="27">
        <v>1174600</v>
      </c>
      <c r="Q309" s="110">
        <f t="shared" si="82"/>
        <v>139290</v>
      </c>
      <c r="R309" s="96">
        <f t="shared" si="62"/>
        <v>147257</v>
      </c>
      <c r="S309" s="67">
        <f t="shared" si="83"/>
        <v>69</v>
      </c>
      <c r="T309" s="121">
        <f t="shared" si="84"/>
        <v>2947</v>
      </c>
      <c r="U309" s="68"/>
      <c r="V309" s="198"/>
    </row>
    <row r="310" spans="1:23" x14ac:dyDescent="0.25">
      <c r="A310" s="107">
        <v>44201</v>
      </c>
      <c r="B310" s="126">
        <v>13790</v>
      </c>
      <c r="C310" s="126">
        <f t="shared" si="76"/>
        <v>1662730</v>
      </c>
      <c r="D310" s="126">
        <v>151</v>
      </c>
      <c r="E310" s="126">
        <f t="shared" si="77"/>
        <v>43751</v>
      </c>
      <c r="F310" s="126">
        <f t="shared" si="71"/>
        <v>8533</v>
      </c>
      <c r="G310" s="155">
        <v>1466616</v>
      </c>
      <c r="H310" s="126">
        <v>3460</v>
      </c>
      <c r="I310" s="126">
        <v>50068</v>
      </c>
      <c r="J310" s="4">
        <f t="shared" si="79"/>
        <v>4984118</v>
      </c>
      <c r="K310" s="7">
        <v>6429</v>
      </c>
      <c r="L310" s="7">
        <v>2640401</v>
      </c>
      <c r="M310" s="4">
        <f t="shared" si="81"/>
        <v>2646830</v>
      </c>
      <c r="N310" s="4">
        <v>11472</v>
      </c>
      <c r="O310" s="4">
        <v>325591</v>
      </c>
      <c r="P310" s="4">
        <v>1184842</v>
      </c>
      <c r="Q310" s="103">
        <f t="shared" si="82"/>
        <v>140825</v>
      </c>
      <c r="R310" s="96">
        <f t="shared" ref="R310:R317" si="85">C310-E310-G310</f>
        <v>152363</v>
      </c>
      <c r="S310" s="39">
        <f t="shared" si="83"/>
        <v>-42</v>
      </c>
      <c r="T310" s="91">
        <f t="shared" si="84"/>
        <v>5106</v>
      </c>
      <c r="U310" s="68"/>
      <c r="V310" s="198"/>
    </row>
    <row r="311" spans="1:23" x14ac:dyDescent="0.25">
      <c r="A311" s="107">
        <v>44202</v>
      </c>
      <c r="B311" s="126">
        <v>13441</v>
      </c>
      <c r="C311" s="126">
        <f t="shared" si="76"/>
        <v>1676171</v>
      </c>
      <c r="D311" s="126">
        <v>191</v>
      </c>
      <c r="E311" s="126">
        <f t="shared" si="77"/>
        <v>43942</v>
      </c>
      <c r="F311" s="126">
        <f t="shared" si="71"/>
        <v>7432</v>
      </c>
      <c r="G311" s="155">
        <v>1474048</v>
      </c>
      <c r="H311" s="126">
        <v>3521</v>
      </c>
      <c r="I311" s="126">
        <v>49116</v>
      </c>
      <c r="J311" s="4">
        <f t="shared" si="79"/>
        <v>5033234</v>
      </c>
      <c r="K311" s="7">
        <v>6530</v>
      </c>
      <c r="L311" s="7">
        <v>2668047</v>
      </c>
      <c r="M311" s="4">
        <f t="shared" si="81"/>
        <v>2674577</v>
      </c>
      <c r="N311" s="4">
        <v>11560</v>
      </c>
      <c r="O311" s="4">
        <v>327631</v>
      </c>
      <c r="P311" s="4">
        <v>1194273</v>
      </c>
      <c r="Q311" s="103">
        <f t="shared" si="82"/>
        <v>142707</v>
      </c>
      <c r="R311" s="96">
        <f t="shared" si="85"/>
        <v>158181</v>
      </c>
      <c r="S311" s="39">
        <f t="shared" si="83"/>
        <v>61</v>
      </c>
      <c r="T311" s="91">
        <f t="shared" si="84"/>
        <v>5818</v>
      </c>
      <c r="U311" s="68"/>
      <c r="V311" s="198"/>
    </row>
    <row r="312" spans="1:23" x14ac:dyDescent="0.25">
      <c r="A312" s="107">
        <v>44203</v>
      </c>
      <c r="B312" s="126">
        <v>13835</v>
      </c>
      <c r="C312" s="126">
        <f t="shared" si="76"/>
        <v>1690006</v>
      </c>
      <c r="D312" s="126">
        <v>146</v>
      </c>
      <c r="E312" s="126">
        <f t="shared" si="77"/>
        <v>44088</v>
      </c>
      <c r="F312" s="126">
        <f t="shared" si="71"/>
        <v>10746</v>
      </c>
      <c r="G312" s="155">
        <v>1484794</v>
      </c>
      <c r="H312" s="126">
        <v>3559</v>
      </c>
      <c r="I312" s="126">
        <v>49166</v>
      </c>
      <c r="J312" s="4">
        <f t="shared" si="79"/>
        <v>5082400</v>
      </c>
      <c r="K312" s="7">
        <v>6628</v>
      </c>
      <c r="L312" s="7">
        <v>2696083</v>
      </c>
      <c r="M312" s="4">
        <f t="shared" si="81"/>
        <v>2702711</v>
      </c>
      <c r="N312" s="4">
        <v>11682</v>
      </c>
      <c r="O312" s="4">
        <v>329806</v>
      </c>
      <c r="P312" s="4">
        <v>1200435</v>
      </c>
      <c r="Q312" s="103">
        <f t="shared" si="82"/>
        <v>148083</v>
      </c>
      <c r="R312" s="96">
        <f t="shared" si="85"/>
        <v>161124</v>
      </c>
      <c r="S312" s="39">
        <f t="shared" si="83"/>
        <v>38</v>
      </c>
      <c r="T312" s="91">
        <f t="shared" si="84"/>
        <v>2943</v>
      </c>
      <c r="U312" s="68"/>
      <c r="V312" s="198"/>
    </row>
    <row r="313" spans="1:23" x14ac:dyDescent="0.25">
      <c r="A313" s="107">
        <v>44204</v>
      </c>
      <c r="B313" s="126">
        <v>13346</v>
      </c>
      <c r="C313" s="126">
        <f t="shared" si="76"/>
        <v>1703352</v>
      </c>
      <c r="D313" s="126">
        <v>151</v>
      </c>
      <c r="E313" s="126">
        <f t="shared" si="77"/>
        <v>44239</v>
      </c>
      <c r="F313" s="126">
        <f t="shared" si="71"/>
        <v>10102</v>
      </c>
      <c r="G313" s="155">
        <v>1494896</v>
      </c>
      <c r="H313" s="126">
        <v>3602</v>
      </c>
      <c r="I313" s="126">
        <v>58329</v>
      </c>
      <c r="J313" s="4">
        <f t="shared" si="79"/>
        <v>5140729</v>
      </c>
      <c r="K313" s="7">
        <v>6768</v>
      </c>
      <c r="L313" s="7">
        <v>2723301</v>
      </c>
      <c r="M313" s="4">
        <f t="shared" si="81"/>
        <v>2730069</v>
      </c>
      <c r="N313" s="4">
        <v>11779</v>
      </c>
      <c r="O313" s="4">
        <v>332037</v>
      </c>
      <c r="P313" s="4">
        <v>1203533</v>
      </c>
      <c r="Q313" s="103">
        <f t="shared" si="82"/>
        <v>156003</v>
      </c>
      <c r="R313" s="96">
        <f t="shared" si="85"/>
        <v>164217</v>
      </c>
      <c r="S313" s="39">
        <f t="shared" si="83"/>
        <v>43</v>
      </c>
      <c r="T313" s="91">
        <f t="shared" si="84"/>
        <v>3093</v>
      </c>
      <c r="U313" s="68"/>
      <c r="V313" s="198"/>
    </row>
    <row r="314" spans="1:23" x14ac:dyDescent="0.25">
      <c r="A314" s="107">
        <v>44205</v>
      </c>
      <c r="B314" s="126">
        <v>11057</v>
      </c>
      <c r="C314" s="126">
        <f t="shared" si="76"/>
        <v>1714409</v>
      </c>
      <c r="D314" s="126">
        <v>143</v>
      </c>
      <c r="E314" s="126">
        <f t="shared" si="77"/>
        <v>44382</v>
      </c>
      <c r="F314" s="126">
        <f t="shared" si="71"/>
        <v>9434</v>
      </c>
      <c r="G314" s="155">
        <v>1504330</v>
      </c>
      <c r="H314" s="126">
        <v>3597</v>
      </c>
      <c r="I314" s="126">
        <v>31990</v>
      </c>
      <c r="J314" s="4">
        <f t="shared" si="79"/>
        <v>5172719</v>
      </c>
      <c r="K314" s="7">
        <v>6802</v>
      </c>
      <c r="L314" s="7">
        <v>2743144</v>
      </c>
      <c r="M314" s="4">
        <f t="shared" si="81"/>
        <v>2749946</v>
      </c>
      <c r="N314" s="4">
        <v>11857</v>
      </c>
      <c r="O314" s="4">
        <v>333247</v>
      </c>
      <c r="P314" s="4">
        <v>1209389</v>
      </c>
      <c r="Q314" s="103">
        <f t="shared" si="82"/>
        <v>159916</v>
      </c>
      <c r="R314" s="96">
        <f t="shared" si="85"/>
        <v>165697</v>
      </c>
      <c r="S314" s="39">
        <f t="shared" si="83"/>
        <v>-5</v>
      </c>
      <c r="T314" s="91">
        <f t="shared" si="84"/>
        <v>1480</v>
      </c>
      <c r="U314" s="68"/>
      <c r="V314" s="198"/>
    </row>
    <row r="315" spans="1:23" x14ac:dyDescent="0.25">
      <c r="A315" s="107">
        <v>44206</v>
      </c>
      <c r="B315" s="126">
        <v>7808</v>
      </c>
      <c r="C315" s="126">
        <f t="shared" si="76"/>
        <v>1722217</v>
      </c>
      <c r="D315" s="126">
        <v>78</v>
      </c>
      <c r="E315" s="126">
        <f t="shared" si="77"/>
        <v>44460</v>
      </c>
      <c r="F315" s="126">
        <f t="shared" si="71"/>
        <v>7420</v>
      </c>
      <c r="G315" s="155">
        <v>1511750</v>
      </c>
      <c r="H315" s="126">
        <v>3612</v>
      </c>
      <c r="I315" s="126">
        <v>38365</v>
      </c>
      <c r="J315" s="4">
        <f t="shared" si="79"/>
        <v>5211084</v>
      </c>
      <c r="K315" s="7">
        <v>6832</v>
      </c>
      <c r="L315" s="7">
        <v>2767568</v>
      </c>
      <c r="M315" s="4">
        <f t="shared" si="81"/>
        <v>2774400</v>
      </c>
      <c r="N315" s="4">
        <v>11922</v>
      </c>
      <c r="O315" s="4">
        <v>334269</v>
      </c>
      <c r="P315" s="4">
        <v>1213524</v>
      </c>
      <c r="Q315" s="103">
        <f t="shared" si="82"/>
        <v>162502</v>
      </c>
      <c r="R315" s="96">
        <f t="shared" si="85"/>
        <v>166007</v>
      </c>
      <c r="S315" s="39">
        <f t="shared" si="83"/>
        <v>15</v>
      </c>
      <c r="T315" s="91">
        <f t="shared" si="84"/>
        <v>310</v>
      </c>
      <c r="U315" s="68"/>
      <c r="V315" s="198"/>
    </row>
    <row r="316" spans="1:23" x14ac:dyDescent="0.25">
      <c r="A316" s="109">
        <v>44207</v>
      </c>
      <c r="B316" s="133">
        <v>8704</v>
      </c>
      <c r="C316" s="133">
        <f t="shared" si="76"/>
        <v>1730921</v>
      </c>
      <c r="D316" s="133">
        <v>160</v>
      </c>
      <c r="E316" s="133">
        <f t="shared" si="77"/>
        <v>44620</v>
      </c>
      <c r="F316" s="133">
        <f t="shared" si="71"/>
        <v>6965</v>
      </c>
      <c r="G316" s="156">
        <v>1518715</v>
      </c>
      <c r="H316" s="133">
        <v>3606</v>
      </c>
      <c r="I316" s="133">
        <v>32363</v>
      </c>
      <c r="J316" s="4">
        <f t="shared" si="79"/>
        <v>5243447</v>
      </c>
      <c r="K316" s="30">
        <v>6966</v>
      </c>
      <c r="L316" s="30">
        <v>2785278</v>
      </c>
      <c r="M316" s="27">
        <f t="shared" si="81"/>
        <v>2792244</v>
      </c>
      <c r="N316" s="27">
        <v>11973</v>
      </c>
      <c r="O316" s="27">
        <v>335669</v>
      </c>
      <c r="P316" s="27">
        <v>1223533</v>
      </c>
      <c r="Q316" s="110">
        <f t="shared" si="82"/>
        <v>159746</v>
      </c>
      <c r="R316" s="96">
        <f t="shared" si="85"/>
        <v>167586</v>
      </c>
      <c r="S316" s="39">
        <f t="shared" si="83"/>
        <v>-6</v>
      </c>
      <c r="T316" s="91">
        <f t="shared" si="84"/>
        <v>1579</v>
      </c>
      <c r="U316" s="68"/>
      <c r="V316" s="198"/>
    </row>
    <row r="317" spans="1:23" x14ac:dyDescent="0.25">
      <c r="A317" s="107">
        <v>44208</v>
      </c>
      <c r="B317" s="126">
        <v>13783</v>
      </c>
      <c r="C317" s="126">
        <f t="shared" si="76"/>
        <v>1744704</v>
      </c>
      <c r="D317" s="126">
        <v>192</v>
      </c>
      <c r="E317" s="126">
        <f t="shared" si="77"/>
        <v>44812</v>
      </c>
      <c r="F317" s="126">
        <f t="shared" si="71"/>
        <v>9146</v>
      </c>
      <c r="G317" s="155">
        <v>1527861</v>
      </c>
      <c r="H317" s="126">
        <v>3619</v>
      </c>
      <c r="I317" s="126">
        <v>54031</v>
      </c>
      <c r="J317" s="4">
        <f t="shared" si="79"/>
        <v>5297478</v>
      </c>
      <c r="K317" s="7">
        <v>7093</v>
      </c>
      <c r="L317" s="7">
        <v>2816031</v>
      </c>
      <c r="M317" s="4">
        <f t="shared" si="81"/>
        <v>2823124</v>
      </c>
      <c r="N317" s="4">
        <v>12085</v>
      </c>
      <c r="O317" s="4">
        <v>337864</v>
      </c>
      <c r="P317" s="4">
        <v>1234734</v>
      </c>
      <c r="Q317" s="103">
        <f t="shared" si="82"/>
        <v>160021</v>
      </c>
      <c r="R317" s="168">
        <f t="shared" si="85"/>
        <v>172031</v>
      </c>
      <c r="S317" s="39">
        <f t="shared" si="83"/>
        <v>13</v>
      </c>
      <c r="T317" s="91">
        <f t="shared" si="84"/>
        <v>4445</v>
      </c>
      <c r="U317" s="68"/>
      <c r="V317" s="198"/>
    </row>
    <row r="318" spans="1:23" x14ac:dyDescent="0.25">
      <c r="A318" s="107">
        <v>44209</v>
      </c>
      <c r="B318" s="126">
        <v>12725</v>
      </c>
      <c r="C318" s="126">
        <f t="shared" si="76"/>
        <v>1757429</v>
      </c>
      <c r="D318" s="126">
        <v>134</v>
      </c>
      <c r="E318" s="126">
        <f t="shared" si="77"/>
        <v>44946</v>
      </c>
      <c r="F318" s="126">
        <f t="shared" si="71"/>
        <v>8562</v>
      </c>
      <c r="G318" s="155">
        <v>1536423</v>
      </c>
      <c r="H318" s="126">
        <v>3636</v>
      </c>
      <c r="I318" s="126">
        <v>50648</v>
      </c>
      <c r="J318" s="4">
        <f t="shared" si="79"/>
        <v>5348126</v>
      </c>
      <c r="K318" s="7">
        <v>7265</v>
      </c>
      <c r="L318" s="7">
        <v>2845101</v>
      </c>
      <c r="M318" s="4">
        <f t="shared" si="81"/>
        <v>2852366</v>
      </c>
      <c r="N318" s="4">
        <v>12177</v>
      </c>
      <c r="O318" s="4">
        <v>339755</v>
      </c>
      <c r="P318" s="4">
        <v>1245296</v>
      </c>
      <c r="Q318" s="103">
        <f t="shared" si="82"/>
        <v>160201</v>
      </c>
      <c r="R318" s="96">
        <f t="shared" ref="R318:R331" si="86">C318-E318-G318</f>
        <v>176060</v>
      </c>
      <c r="S318" s="39">
        <f t="shared" si="83"/>
        <v>17</v>
      </c>
      <c r="T318" s="91">
        <f t="shared" si="84"/>
        <v>4029</v>
      </c>
      <c r="U318" s="68"/>
      <c r="V318" s="198"/>
      <c r="W318" s="68"/>
    </row>
    <row r="319" spans="1:23" x14ac:dyDescent="0.25">
      <c r="A319" s="107">
        <v>44210</v>
      </c>
      <c r="B319" s="126">
        <v>13286</v>
      </c>
      <c r="C319" s="126">
        <f t="shared" si="76"/>
        <v>1770715</v>
      </c>
      <c r="D319" s="174">
        <v>142</v>
      </c>
      <c r="E319" s="126">
        <f t="shared" si="77"/>
        <v>45088</v>
      </c>
      <c r="F319" s="126">
        <f t="shared" si="71"/>
        <v>13067</v>
      </c>
      <c r="G319" s="155">
        <v>1549490</v>
      </c>
      <c r="H319" s="126">
        <v>3634</v>
      </c>
      <c r="I319" s="126">
        <v>50729</v>
      </c>
      <c r="J319" s="4">
        <f t="shared" si="79"/>
        <v>5398855</v>
      </c>
      <c r="K319" s="7">
        <v>7473</v>
      </c>
      <c r="L319" s="7">
        <v>2874691</v>
      </c>
      <c r="M319" s="4">
        <f t="shared" si="81"/>
        <v>2882164</v>
      </c>
      <c r="N319" s="4">
        <v>12303</v>
      </c>
      <c r="O319" s="4">
        <v>342210</v>
      </c>
      <c r="P319" s="4">
        <v>1255146</v>
      </c>
      <c r="Q319" s="103">
        <f t="shared" si="82"/>
        <v>161056</v>
      </c>
      <c r="R319" s="96">
        <f t="shared" si="86"/>
        <v>176137</v>
      </c>
      <c r="S319" s="39">
        <f t="shared" si="83"/>
        <v>-2</v>
      </c>
      <c r="T319" s="91">
        <f t="shared" ref="T319:T334" si="87">(C319-G319-E319)-(C318-E318-G318)</f>
        <v>77</v>
      </c>
      <c r="U319" s="68"/>
      <c r="V319" s="198"/>
    </row>
    <row r="320" spans="1:23" x14ac:dyDescent="0.25">
      <c r="A320" s="107">
        <v>44211</v>
      </c>
      <c r="B320" s="126">
        <v>12332</v>
      </c>
      <c r="C320" s="126">
        <f t="shared" si="76"/>
        <v>1783047</v>
      </c>
      <c r="D320" s="126">
        <v>103</v>
      </c>
      <c r="E320" s="126">
        <f t="shared" si="77"/>
        <v>45191</v>
      </c>
      <c r="F320" s="126">
        <f t="shared" si="71"/>
        <v>12473</v>
      </c>
      <c r="G320" s="155">
        <v>1561963</v>
      </c>
      <c r="H320" s="126">
        <v>3578</v>
      </c>
      <c r="I320" s="126">
        <v>52120</v>
      </c>
      <c r="J320" s="4">
        <f t="shared" si="79"/>
        <v>5450975</v>
      </c>
      <c r="K320" s="7">
        <v>7640</v>
      </c>
      <c r="L320" s="7">
        <v>2906590</v>
      </c>
      <c r="M320" s="4">
        <f t="shared" si="81"/>
        <v>2914230</v>
      </c>
      <c r="N320" s="4">
        <v>12408</v>
      </c>
      <c r="O320" s="4">
        <v>344202</v>
      </c>
      <c r="P320" s="4">
        <v>1264935</v>
      </c>
      <c r="Q320" s="103">
        <f t="shared" si="82"/>
        <v>161502</v>
      </c>
      <c r="R320" s="96">
        <f t="shared" si="86"/>
        <v>175893</v>
      </c>
      <c r="S320" s="39">
        <f t="shared" si="83"/>
        <v>-56</v>
      </c>
      <c r="T320" s="91">
        <f t="shared" si="87"/>
        <v>-244</v>
      </c>
      <c r="U320" s="68"/>
      <c r="V320" s="198"/>
    </row>
    <row r="321" spans="1:22" x14ac:dyDescent="0.25">
      <c r="A321" s="107">
        <v>44212</v>
      </c>
      <c r="B321" s="126">
        <v>8932</v>
      </c>
      <c r="C321" s="126">
        <f t="shared" si="76"/>
        <v>1791979</v>
      </c>
      <c r="D321" s="126">
        <v>68</v>
      </c>
      <c r="E321" s="126">
        <f t="shared" si="77"/>
        <v>45259</v>
      </c>
      <c r="F321" s="126">
        <f t="shared" si="71"/>
        <v>11141</v>
      </c>
      <c r="G321" s="155">
        <v>1573104</v>
      </c>
      <c r="H321" s="126">
        <v>3578</v>
      </c>
      <c r="I321" s="126">
        <v>43513</v>
      </c>
      <c r="J321" s="4">
        <f t="shared" si="79"/>
        <v>5494488</v>
      </c>
      <c r="K321" s="7">
        <v>7674</v>
      </c>
      <c r="L321" s="7">
        <v>2934432</v>
      </c>
      <c r="M321" s="4">
        <f t="shared" si="81"/>
        <v>2942106</v>
      </c>
      <c r="N321" s="4">
        <v>12474</v>
      </c>
      <c r="O321" s="4">
        <v>345365</v>
      </c>
      <c r="P321" s="4">
        <v>1271065</v>
      </c>
      <c r="Q321" s="103">
        <f t="shared" si="82"/>
        <v>163075</v>
      </c>
      <c r="R321" s="96">
        <f t="shared" si="86"/>
        <v>173616</v>
      </c>
      <c r="S321" s="39">
        <f t="shared" si="83"/>
        <v>0</v>
      </c>
      <c r="T321" s="91">
        <f t="shared" si="87"/>
        <v>-2277</v>
      </c>
      <c r="U321" s="68"/>
      <c r="V321" s="198"/>
    </row>
    <row r="322" spans="1:22" x14ac:dyDescent="0.25">
      <c r="A322" s="107">
        <v>44213</v>
      </c>
      <c r="B322" s="126">
        <v>7264</v>
      </c>
      <c r="C322" s="126">
        <f t="shared" si="76"/>
        <v>1799243</v>
      </c>
      <c r="D322" s="126">
        <v>112</v>
      </c>
      <c r="E322" s="126">
        <f t="shared" si="77"/>
        <v>45371</v>
      </c>
      <c r="F322" s="126">
        <f t="shared" si="71"/>
        <v>10361</v>
      </c>
      <c r="G322" s="155">
        <v>1583465</v>
      </c>
      <c r="H322" s="126">
        <v>3547</v>
      </c>
      <c r="I322" s="126">
        <v>39591</v>
      </c>
      <c r="J322" s="4">
        <f t="shared" si="79"/>
        <v>5534079</v>
      </c>
      <c r="K322" s="7">
        <v>7844</v>
      </c>
      <c r="L322" s="7">
        <v>2961095</v>
      </c>
      <c r="M322" s="4">
        <f t="shared" si="81"/>
        <v>2968939</v>
      </c>
      <c r="N322" s="4">
        <v>12530</v>
      </c>
      <c r="O322" s="4">
        <v>346241</v>
      </c>
      <c r="P322" s="4">
        <v>1275780</v>
      </c>
      <c r="Q322" s="103">
        <f t="shared" si="82"/>
        <v>164692</v>
      </c>
      <c r="R322" s="96">
        <f t="shared" si="86"/>
        <v>170407</v>
      </c>
      <c r="S322" s="39">
        <f t="shared" si="83"/>
        <v>-31</v>
      </c>
      <c r="T322" s="91">
        <f t="shared" si="87"/>
        <v>-3209</v>
      </c>
      <c r="U322" s="68"/>
      <c r="V322" s="198"/>
    </row>
    <row r="323" spans="1:22" x14ac:dyDescent="0.25">
      <c r="A323" s="107">
        <v>44214</v>
      </c>
      <c r="B323" s="126">
        <v>8185</v>
      </c>
      <c r="C323" s="126">
        <f t="shared" si="76"/>
        <v>1807428</v>
      </c>
      <c r="D323" s="126">
        <v>423</v>
      </c>
      <c r="E323" s="126">
        <f t="shared" si="77"/>
        <v>45794</v>
      </c>
      <c r="F323" s="126">
        <f t="shared" si="71"/>
        <v>11303</v>
      </c>
      <c r="G323" s="155">
        <v>1594768</v>
      </c>
      <c r="H323" s="126">
        <v>3564</v>
      </c>
      <c r="I323" s="126">
        <v>41451</v>
      </c>
      <c r="J323" s="4">
        <f t="shared" si="79"/>
        <v>5575530</v>
      </c>
      <c r="K323" s="7">
        <v>8070</v>
      </c>
      <c r="L323" s="7">
        <v>2987077</v>
      </c>
      <c r="M323" s="4">
        <f t="shared" si="81"/>
        <v>2995147</v>
      </c>
      <c r="N323" s="4">
        <v>12585</v>
      </c>
      <c r="O323" s="4">
        <v>347936</v>
      </c>
      <c r="P323" s="4">
        <v>1285430</v>
      </c>
      <c r="Q323" s="103">
        <f t="shared" si="82"/>
        <v>161477</v>
      </c>
      <c r="R323" s="96">
        <f t="shared" si="86"/>
        <v>166866</v>
      </c>
      <c r="S323" s="39">
        <f t="shared" si="83"/>
        <v>17</v>
      </c>
      <c r="T323" s="91">
        <f t="shared" si="87"/>
        <v>-3541</v>
      </c>
      <c r="U323" s="68"/>
      <c r="V323" s="198"/>
    </row>
    <row r="324" spans="1:22" x14ac:dyDescent="0.25">
      <c r="A324" s="107">
        <v>44215</v>
      </c>
      <c r="B324" s="126">
        <v>12141</v>
      </c>
      <c r="C324" s="126">
        <f t="shared" si="76"/>
        <v>1819569</v>
      </c>
      <c r="D324" s="126">
        <v>235</v>
      </c>
      <c r="E324" s="126">
        <f t="shared" si="77"/>
        <v>46029</v>
      </c>
      <c r="F324" s="126">
        <f t="shared" si="71"/>
        <v>9605</v>
      </c>
      <c r="G324" s="155">
        <v>1604373</v>
      </c>
      <c r="H324" s="126">
        <v>3562</v>
      </c>
      <c r="I324" s="126">
        <v>49566</v>
      </c>
      <c r="J324" s="4">
        <f t="shared" si="79"/>
        <v>5625096</v>
      </c>
      <c r="K324" s="7">
        <v>8115</v>
      </c>
      <c r="L324" s="7">
        <v>3016503</v>
      </c>
      <c r="M324" s="4">
        <f t="shared" si="81"/>
        <v>3024618</v>
      </c>
      <c r="N324" s="4">
        <v>12688</v>
      </c>
      <c r="O324" s="4">
        <v>349683</v>
      </c>
      <c r="P324" s="4">
        <v>1295213</v>
      </c>
      <c r="Q324" s="103">
        <f t="shared" si="82"/>
        <v>161985</v>
      </c>
      <c r="R324" s="96">
        <f t="shared" si="86"/>
        <v>169167</v>
      </c>
      <c r="S324" s="39">
        <f t="shared" si="83"/>
        <v>-2</v>
      </c>
      <c r="T324" s="91">
        <f t="shared" si="87"/>
        <v>2301</v>
      </c>
      <c r="U324" s="68"/>
      <c r="V324" s="198"/>
    </row>
    <row r="325" spans="1:22" x14ac:dyDescent="0.25">
      <c r="A325" s="182">
        <v>44216</v>
      </c>
      <c r="B325" s="183">
        <v>12112</v>
      </c>
      <c r="C325" s="126">
        <f t="shared" si="76"/>
        <v>1831681</v>
      </c>
      <c r="D325" s="155">
        <v>149</v>
      </c>
      <c r="E325" s="126">
        <f t="shared" si="77"/>
        <v>46178</v>
      </c>
      <c r="F325" s="126">
        <f t="shared" si="71"/>
        <v>9400</v>
      </c>
      <c r="G325" s="155">
        <v>1613773</v>
      </c>
      <c r="H325" s="126">
        <v>3605</v>
      </c>
      <c r="I325" s="126">
        <v>54998</v>
      </c>
      <c r="J325" s="4">
        <f t="shared" si="79"/>
        <v>5680094</v>
      </c>
      <c r="K325" s="7">
        <v>8185</v>
      </c>
      <c r="L325" s="7">
        <v>3071885</v>
      </c>
      <c r="M325" s="4">
        <f t="shared" si="81"/>
        <v>3080070</v>
      </c>
      <c r="N325" s="290">
        <f t="shared" ref="N325:N349" si="88">B325/(B325+(L325-L324))</f>
        <v>0.17945298841378493</v>
      </c>
      <c r="O325" s="202"/>
      <c r="P325" s="4"/>
      <c r="Q325" s="4"/>
      <c r="R325" s="179">
        <f t="shared" si="86"/>
        <v>171730</v>
      </c>
      <c r="S325" s="39">
        <f t="shared" si="83"/>
        <v>43</v>
      </c>
      <c r="T325" s="91">
        <f t="shared" si="87"/>
        <v>2563</v>
      </c>
      <c r="U325" s="68"/>
      <c r="V325" s="198"/>
    </row>
    <row r="326" spans="1:22" x14ac:dyDescent="0.25">
      <c r="A326" s="107">
        <v>44217</v>
      </c>
      <c r="B326" s="148">
        <v>11396</v>
      </c>
      <c r="C326" s="126">
        <f t="shared" si="76"/>
        <v>1843077</v>
      </c>
      <c r="D326" s="126">
        <v>142</v>
      </c>
      <c r="E326" s="126">
        <f t="shared" si="77"/>
        <v>46320</v>
      </c>
      <c r="F326" s="126">
        <f t="shared" si="71"/>
        <v>11982</v>
      </c>
      <c r="G326" s="155">
        <v>1625755</v>
      </c>
      <c r="H326" s="126">
        <v>3616</v>
      </c>
      <c r="I326" s="126">
        <v>53963</v>
      </c>
      <c r="J326" s="4">
        <f t="shared" si="79"/>
        <v>5734057</v>
      </c>
      <c r="K326" s="7">
        <v>8272</v>
      </c>
      <c r="L326" s="7">
        <v>3085519</v>
      </c>
      <c r="M326" s="4">
        <f t="shared" si="81"/>
        <v>3093791</v>
      </c>
      <c r="N326" s="290">
        <f t="shared" si="88"/>
        <v>0.45529364762285257</v>
      </c>
      <c r="O326" s="202"/>
      <c r="P326" s="4"/>
      <c r="Q326" s="4"/>
      <c r="R326" s="179">
        <f t="shared" si="86"/>
        <v>171002</v>
      </c>
      <c r="S326" s="39">
        <f t="shared" si="83"/>
        <v>11</v>
      </c>
      <c r="T326" s="91">
        <f t="shared" si="87"/>
        <v>-728</v>
      </c>
      <c r="U326" s="68"/>
      <c r="V326" s="198"/>
    </row>
    <row r="327" spans="1:22" x14ac:dyDescent="0.25">
      <c r="A327" s="107">
        <v>44218</v>
      </c>
      <c r="B327" s="126">
        <v>10753</v>
      </c>
      <c r="C327" s="126">
        <f t="shared" si="76"/>
        <v>1853830</v>
      </c>
      <c r="D327" s="126">
        <v>220</v>
      </c>
      <c r="E327" s="126">
        <f t="shared" si="77"/>
        <v>46540</v>
      </c>
      <c r="F327" s="126">
        <f t="shared" si="71"/>
        <v>11071</v>
      </c>
      <c r="G327" s="155">
        <v>1636826</v>
      </c>
      <c r="H327" s="126">
        <v>3631</v>
      </c>
      <c r="I327" s="126">
        <v>55439</v>
      </c>
      <c r="J327" s="4">
        <f t="shared" si="79"/>
        <v>5789496</v>
      </c>
      <c r="K327" s="7">
        <v>8396</v>
      </c>
      <c r="L327" s="7">
        <v>3122500</v>
      </c>
      <c r="M327" s="4">
        <f t="shared" si="81"/>
        <v>3130896</v>
      </c>
      <c r="N327" s="290">
        <f t="shared" si="88"/>
        <v>0.22526920015083587</v>
      </c>
      <c r="O327" s="202"/>
      <c r="P327" s="4"/>
      <c r="Q327" s="4"/>
      <c r="R327" s="179">
        <f t="shared" si="86"/>
        <v>170464</v>
      </c>
      <c r="S327" s="39">
        <f t="shared" si="83"/>
        <v>15</v>
      </c>
      <c r="T327" s="91">
        <f t="shared" si="87"/>
        <v>-538</v>
      </c>
      <c r="U327" s="68"/>
      <c r="V327" s="198"/>
    </row>
    <row r="328" spans="1:22" x14ac:dyDescent="0.25">
      <c r="A328" s="107">
        <v>44219</v>
      </c>
      <c r="B328" s="126">
        <v>8362</v>
      </c>
      <c r="C328" s="126">
        <f t="shared" si="76"/>
        <v>1862192</v>
      </c>
      <c r="D328" s="126">
        <v>162</v>
      </c>
      <c r="E328" s="126">
        <f t="shared" si="77"/>
        <v>46702</v>
      </c>
      <c r="F328" s="126">
        <f t="shared" si="71"/>
        <v>9842</v>
      </c>
      <c r="G328" s="155">
        <v>1646668</v>
      </c>
      <c r="H328" s="126">
        <v>3618</v>
      </c>
      <c r="I328" s="126">
        <v>46643</v>
      </c>
      <c r="J328" s="4">
        <f t="shared" si="79"/>
        <v>5836139</v>
      </c>
      <c r="K328" s="7">
        <v>8444</v>
      </c>
      <c r="L328" s="7">
        <v>3152824</v>
      </c>
      <c r="M328" s="4">
        <f t="shared" si="81"/>
        <v>3161268</v>
      </c>
      <c r="N328" s="290">
        <f t="shared" si="88"/>
        <v>0.2161505454169467</v>
      </c>
      <c r="O328" s="202"/>
      <c r="P328" s="4"/>
      <c r="Q328" s="4"/>
      <c r="R328" s="179">
        <f t="shared" si="86"/>
        <v>168822</v>
      </c>
      <c r="S328" s="39">
        <f t="shared" si="83"/>
        <v>-13</v>
      </c>
      <c r="T328" s="91">
        <f t="shared" si="87"/>
        <v>-1642</v>
      </c>
      <c r="U328" s="68"/>
      <c r="V328" s="198"/>
    </row>
    <row r="329" spans="1:22" x14ac:dyDescent="0.25">
      <c r="A329" s="107">
        <v>44220</v>
      </c>
      <c r="B329" s="126">
        <v>5031</v>
      </c>
      <c r="C329" s="126">
        <f t="shared" si="76"/>
        <v>1867223</v>
      </c>
      <c r="D329" s="126">
        <v>90</v>
      </c>
      <c r="E329" s="126">
        <f t="shared" si="77"/>
        <v>46792</v>
      </c>
      <c r="F329" s="126">
        <f t="shared" si="71"/>
        <v>9481</v>
      </c>
      <c r="G329" s="155">
        <v>1656149</v>
      </c>
      <c r="H329" s="126">
        <v>3619</v>
      </c>
      <c r="I329" s="126">
        <v>29659</v>
      </c>
      <c r="J329" s="4">
        <f t="shared" si="79"/>
        <v>5865798</v>
      </c>
      <c r="K329" s="7">
        <v>8475</v>
      </c>
      <c r="L329" s="7">
        <v>3173796</v>
      </c>
      <c r="M329" s="4">
        <f t="shared" si="81"/>
        <v>3182271</v>
      </c>
      <c r="N329" s="290">
        <f t="shared" si="88"/>
        <v>0.19347767565280929</v>
      </c>
      <c r="O329" s="202"/>
      <c r="P329" s="4"/>
      <c r="Q329" s="4"/>
      <c r="R329" s="179">
        <f t="shared" si="86"/>
        <v>164282</v>
      </c>
      <c r="S329" s="39">
        <f t="shared" si="83"/>
        <v>1</v>
      </c>
      <c r="T329" s="91">
        <f t="shared" si="87"/>
        <v>-4540</v>
      </c>
      <c r="U329" s="68"/>
      <c r="V329" s="198"/>
    </row>
    <row r="330" spans="1:22" x14ac:dyDescent="0.25">
      <c r="A330" s="107">
        <v>44221</v>
      </c>
      <c r="B330" s="126">
        <v>7578</v>
      </c>
      <c r="C330" s="126">
        <f t="shared" si="76"/>
        <v>1874801</v>
      </c>
      <c r="D330" s="126">
        <v>208</v>
      </c>
      <c r="E330" s="126">
        <f t="shared" si="77"/>
        <v>47000</v>
      </c>
      <c r="F330" s="126">
        <f t="shared" si="71"/>
        <v>10378</v>
      </c>
      <c r="G330" s="155">
        <v>1666527</v>
      </c>
      <c r="H330" s="126">
        <v>3598</v>
      </c>
      <c r="I330" s="126">
        <v>36906</v>
      </c>
      <c r="J330" s="4">
        <f t="shared" si="79"/>
        <v>5902704</v>
      </c>
      <c r="K330" s="7">
        <v>8672</v>
      </c>
      <c r="L330" s="7">
        <v>3197613</v>
      </c>
      <c r="M330" s="7">
        <f>L330+K330</f>
        <v>3206285</v>
      </c>
      <c r="N330" s="290">
        <f t="shared" si="88"/>
        <v>0.24137601528905878</v>
      </c>
      <c r="O330" s="202"/>
      <c r="P330" s="4"/>
      <c r="Q330" s="4"/>
      <c r="R330" s="179">
        <f t="shared" si="86"/>
        <v>161274</v>
      </c>
      <c r="S330" s="39">
        <f t="shared" si="83"/>
        <v>-21</v>
      </c>
      <c r="T330" s="91">
        <f t="shared" si="87"/>
        <v>-3008</v>
      </c>
      <c r="U330" s="68"/>
      <c r="V330" s="198"/>
    </row>
    <row r="331" spans="1:22" x14ac:dyDescent="0.25">
      <c r="A331" s="107">
        <v>44222</v>
      </c>
      <c r="B331" s="126">
        <v>10409</v>
      </c>
      <c r="C331" s="126">
        <f t="shared" si="76"/>
        <v>1885210</v>
      </c>
      <c r="D331" s="126">
        <v>219</v>
      </c>
      <c r="E331" s="126">
        <f t="shared" si="77"/>
        <v>47219</v>
      </c>
      <c r="F331" s="126">
        <f t="shared" si="71"/>
        <v>8028</v>
      </c>
      <c r="G331" s="155">
        <v>1674555</v>
      </c>
      <c r="H331" s="126">
        <v>3614</v>
      </c>
      <c r="I331" s="126">
        <v>55123</v>
      </c>
      <c r="J331" s="4">
        <f t="shared" si="79"/>
        <v>5957827</v>
      </c>
      <c r="K331" s="7">
        <v>8865</v>
      </c>
      <c r="L331" s="7">
        <v>3232986</v>
      </c>
      <c r="M331" s="7">
        <f t="shared" ref="M331:M395" si="89">L331+K331</f>
        <v>3241851</v>
      </c>
      <c r="N331" s="290">
        <f t="shared" si="88"/>
        <v>0.22736009785505221</v>
      </c>
      <c r="O331" s="202">
        <f t="shared" ref="O331:O376" si="90">AVERAGE(N325:N331)</f>
        <v>0.24834002434304864</v>
      </c>
      <c r="P331" s="4"/>
      <c r="Q331" s="4"/>
      <c r="R331" s="20">
        <f t="shared" si="86"/>
        <v>163436</v>
      </c>
      <c r="S331" s="39">
        <f t="shared" si="83"/>
        <v>16</v>
      </c>
      <c r="T331" s="91">
        <f t="shared" si="87"/>
        <v>2162</v>
      </c>
      <c r="U331" s="68"/>
      <c r="V331" s="198"/>
    </row>
    <row r="332" spans="1:22" x14ac:dyDescent="0.25">
      <c r="A332" s="109">
        <v>44223</v>
      </c>
      <c r="B332" s="143">
        <v>10843</v>
      </c>
      <c r="C332" s="126">
        <f t="shared" si="76"/>
        <v>1896053</v>
      </c>
      <c r="D332" s="126">
        <v>182</v>
      </c>
      <c r="E332" s="126">
        <f t="shared" si="77"/>
        <v>47401</v>
      </c>
      <c r="F332" s="126">
        <f t="shared" si="71"/>
        <v>8008</v>
      </c>
      <c r="G332" s="155">
        <v>1682563</v>
      </c>
      <c r="H332" s="126">
        <v>3627</v>
      </c>
      <c r="I332" s="126">
        <v>49154</v>
      </c>
      <c r="J332" s="4">
        <f t="shared" si="79"/>
        <v>6006981</v>
      </c>
      <c r="K332" s="7">
        <v>8965</v>
      </c>
      <c r="L332" s="7">
        <v>3261828</v>
      </c>
      <c r="M332" s="7">
        <f t="shared" si="89"/>
        <v>3270793</v>
      </c>
      <c r="N332" s="290">
        <f t="shared" si="88"/>
        <v>0.27322665994708328</v>
      </c>
      <c r="O332" s="202">
        <f t="shared" si="90"/>
        <v>0.26173626313351983</v>
      </c>
      <c r="P332" s="4"/>
      <c r="Q332" s="4"/>
      <c r="R332" s="20">
        <f>C332-E332-G332</f>
        <v>166089</v>
      </c>
      <c r="S332" s="39">
        <f t="shared" si="83"/>
        <v>13</v>
      </c>
      <c r="T332" s="91">
        <f t="shared" si="87"/>
        <v>2653</v>
      </c>
      <c r="U332" s="68"/>
      <c r="V332" s="198"/>
    </row>
    <row r="333" spans="1:22" x14ac:dyDescent="0.25">
      <c r="A333" s="107">
        <v>44224</v>
      </c>
      <c r="B333" s="184">
        <v>9471</v>
      </c>
      <c r="C333" s="126">
        <f t="shared" ref="C333:C339" si="91">C332+B333</f>
        <v>1905524</v>
      </c>
      <c r="D333" s="126">
        <v>166</v>
      </c>
      <c r="E333" s="126">
        <f t="shared" ref="E333:E363" si="92">E332+D333</f>
        <v>47567</v>
      </c>
      <c r="F333" s="126">
        <f t="shared" ref="F333:F363" si="93">G333-G332</f>
        <v>10583</v>
      </c>
      <c r="G333" s="155">
        <v>1693146</v>
      </c>
      <c r="H333" s="126">
        <v>3607</v>
      </c>
      <c r="I333" s="126">
        <v>46742</v>
      </c>
      <c r="J333" s="4">
        <f t="shared" si="79"/>
        <v>6053723</v>
      </c>
      <c r="K333" s="7">
        <v>9050</v>
      </c>
      <c r="L333" s="7">
        <v>3289093</v>
      </c>
      <c r="M333" s="7">
        <f t="shared" si="89"/>
        <v>3298143</v>
      </c>
      <c r="N333" s="290">
        <f t="shared" si="88"/>
        <v>0.2578125</v>
      </c>
      <c r="O333" s="202">
        <f t="shared" si="90"/>
        <v>0.23352467061596949</v>
      </c>
      <c r="P333" s="4"/>
      <c r="Q333" s="4"/>
      <c r="R333" s="20">
        <f>C333-E333-G333</f>
        <v>164811</v>
      </c>
      <c r="S333" s="39">
        <f t="shared" si="83"/>
        <v>-20</v>
      </c>
      <c r="T333" s="91">
        <f t="shared" si="87"/>
        <v>-1278</v>
      </c>
      <c r="U333" s="68"/>
      <c r="V333" s="198"/>
    </row>
    <row r="334" spans="1:22" x14ac:dyDescent="0.25">
      <c r="A334" s="107">
        <v>44225</v>
      </c>
      <c r="B334" s="126">
        <v>9838</v>
      </c>
      <c r="C334" s="126">
        <f t="shared" si="91"/>
        <v>1915362</v>
      </c>
      <c r="D334" s="126">
        <v>174</v>
      </c>
      <c r="E334" s="126">
        <f t="shared" si="92"/>
        <v>47741</v>
      </c>
      <c r="F334" s="126">
        <f t="shared" si="93"/>
        <v>10313</v>
      </c>
      <c r="G334" s="155">
        <v>1703459</v>
      </c>
      <c r="H334" s="126">
        <v>3628</v>
      </c>
      <c r="I334" s="126">
        <v>45809</v>
      </c>
      <c r="J334" s="4">
        <f t="shared" si="79"/>
        <v>6099532</v>
      </c>
      <c r="K334" s="7">
        <v>9141</v>
      </c>
      <c r="L334" s="7">
        <v>3315527</v>
      </c>
      <c r="M334" s="7">
        <f t="shared" si="89"/>
        <v>3324668</v>
      </c>
      <c r="N334" s="290">
        <f t="shared" si="88"/>
        <v>0.27122849580943981</v>
      </c>
      <c r="O334" s="202">
        <f t="shared" si="90"/>
        <v>0.24009028428148427</v>
      </c>
      <c r="P334" s="4"/>
      <c r="Q334" s="4"/>
      <c r="R334" s="4">
        <f>C334-E334-G334</f>
        <v>164162</v>
      </c>
      <c r="S334" s="39">
        <f t="shared" si="83"/>
        <v>21</v>
      </c>
      <c r="T334" s="91">
        <f t="shared" si="87"/>
        <v>-649</v>
      </c>
      <c r="U334" s="68"/>
      <c r="V334" s="198"/>
    </row>
    <row r="335" spans="1:22" x14ac:dyDescent="0.25">
      <c r="A335" s="107">
        <v>44226</v>
      </c>
      <c r="B335" s="126">
        <v>6902</v>
      </c>
      <c r="C335" s="126">
        <f t="shared" si="91"/>
        <v>1922264</v>
      </c>
      <c r="D335" s="126">
        <v>156</v>
      </c>
      <c r="E335" s="126">
        <f t="shared" si="92"/>
        <v>47897</v>
      </c>
      <c r="F335" s="126">
        <f t="shared" si="93"/>
        <v>9409</v>
      </c>
      <c r="G335" s="155">
        <v>1712868</v>
      </c>
      <c r="H335" s="126">
        <v>3624</v>
      </c>
      <c r="I335" s="126">
        <v>40578</v>
      </c>
      <c r="J335" s="4">
        <f t="shared" si="79"/>
        <v>6140110</v>
      </c>
      <c r="K335" s="7">
        <v>9295</v>
      </c>
      <c r="L335" s="7">
        <v>3342833</v>
      </c>
      <c r="M335" s="7">
        <f t="shared" si="89"/>
        <v>3352128</v>
      </c>
      <c r="N335" s="290">
        <f t="shared" si="88"/>
        <v>0.20176566884939195</v>
      </c>
      <c r="O335" s="202">
        <f t="shared" si="90"/>
        <v>0.23803530191469077</v>
      </c>
      <c r="P335" s="4"/>
      <c r="Q335" s="4"/>
      <c r="R335" s="4">
        <f t="shared" ref="R335:R345" si="94">C335-E335-G335</f>
        <v>161499</v>
      </c>
      <c r="S335" s="39">
        <f t="shared" si="83"/>
        <v>-4</v>
      </c>
      <c r="T335" s="91">
        <f t="shared" ref="T335:T345" si="95">(C335-G335-E335)-(C334-E334-G334)</f>
        <v>-2663</v>
      </c>
      <c r="U335" s="68"/>
      <c r="V335" s="198"/>
    </row>
    <row r="336" spans="1:22" x14ac:dyDescent="0.25">
      <c r="A336" s="107">
        <v>44227</v>
      </c>
      <c r="B336" s="126">
        <v>4975</v>
      </c>
      <c r="C336" s="126">
        <f t="shared" si="91"/>
        <v>1927239</v>
      </c>
      <c r="D336" s="126">
        <v>43</v>
      </c>
      <c r="E336" s="126">
        <f t="shared" si="92"/>
        <v>47940</v>
      </c>
      <c r="F336" s="126">
        <f t="shared" si="93"/>
        <v>8782</v>
      </c>
      <c r="G336" s="155">
        <v>1721650</v>
      </c>
      <c r="H336" s="126">
        <v>3617</v>
      </c>
      <c r="I336" s="126">
        <v>34412</v>
      </c>
      <c r="J336" s="4">
        <f t="shared" si="79"/>
        <v>6174522</v>
      </c>
      <c r="K336" s="7">
        <v>9403</v>
      </c>
      <c r="L336" s="7">
        <v>3366882</v>
      </c>
      <c r="M336" s="7">
        <f t="shared" si="89"/>
        <v>3376285</v>
      </c>
      <c r="N336" s="290">
        <f t="shared" si="88"/>
        <v>0.1714098676957001</v>
      </c>
      <c r="O336" s="202">
        <f t="shared" si="90"/>
        <v>0.234882757920818</v>
      </c>
      <c r="P336" s="4"/>
      <c r="Q336" s="4"/>
      <c r="R336" s="4">
        <f t="shared" si="94"/>
        <v>157649</v>
      </c>
      <c r="S336" s="39">
        <f t="shared" si="83"/>
        <v>-7</v>
      </c>
      <c r="T336" s="91">
        <f t="shared" si="95"/>
        <v>-3850</v>
      </c>
      <c r="U336" s="68"/>
      <c r="V336" s="198"/>
    </row>
    <row r="337" spans="1:24" x14ac:dyDescent="0.25">
      <c r="A337" s="107">
        <v>44228</v>
      </c>
      <c r="B337" s="126">
        <v>6614</v>
      </c>
      <c r="C337" s="126">
        <f t="shared" si="91"/>
        <v>1933853</v>
      </c>
      <c r="D337" s="126">
        <v>275</v>
      </c>
      <c r="E337" s="126">
        <f t="shared" si="92"/>
        <v>48215</v>
      </c>
      <c r="F337" s="126">
        <f t="shared" si="93"/>
        <v>8349</v>
      </c>
      <c r="G337" s="155">
        <v>1729999</v>
      </c>
      <c r="H337" s="126">
        <v>3554</v>
      </c>
      <c r="I337" s="126">
        <v>34947</v>
      </c>
      <c r="J337" s="4">
        <f t="shared" si="79"/>
        <v>6209469</v>
      </c>
      <c r="K337" s="7">
        <v>9467</v>
      </c>
      <c r="L337" s="7">
        <v>3389599</v>
      </c>
      <c r="M337" s="4">
        <f t="shared" si="89"/>
        <v>3399066</v>
      </c>
      <c r="N337" s="290">
        <f t="shared" si="88"/>
        <v>0.22549520984623778</v>
      </c>
      <c r="O337" s="202">
        <f t="shared" si="90"/>
        <v>0.23261407142898644</v>
      </c>
      <c r="P337" s="4"/>
      <c r="Q337" s="4"/>
      <c r="R337" s="4">
        <f t="shared" si="94"/>
        <v>155639</v>
      </c>
      <c r="S337" s="39">
        <f t="shared" si="83"/>
        <v>-63</v>
      </c>
      <c r="T337" s="91">
        <f t="shared" si="95"/>
        <v>-2010</v>
      </c>
      <c r="U337" s="68"/>
      <c r="V337" s="198"/>
      <c r="W337" s="167"/>
      <c r="X337" s="167"/>
    </row>
    <row r="338" spans="1:24" x14ac:dyDescent="0.25">
      <c r="A338" s="107">
        <v>44229</v>
      </c>
      <c r="B338" s="126">
        <v>9695</v>
      </c>
      <c r="C338" s="126">
        <f t="shared" si="91"/>
        <v>1943548</v>
      </c>
      <c r="D338" s="126">
        <v>176</v>
      </c>
      <c r="E338" s="126">
        <f t="shared" si="92"/>
        <v>48391</v>
      </c>
      <c r="F338" s="126">
        <f t="shared" si="93"/>
        <v>8769</v>
      </c>
      <c r="G338" s="155">
        <v>1738768</v>
      </c>
      <c r="H338" s="126">
        <v>3586</v>
      </c>
      <c r="I338" s="126">
        <v>66202</v>
      </c>
      <c r="J338" s="4">
        <f t="shared" si="79"/>
        <v>6275671</v>
      </c>
      <c r="K338" s="7">
        <v>9653</v>
      </c>
      <c r="L338" s="7">
        <v>3427133</v>
      </c>
      <c r="M338" s="4">
        <f t="shared" si="89"/>
        <v>3436786</v>
      </c>
      <c r="N338" s="290">
        <f t="shared" si="88"/>
        <v>0.20527641914925152</v>
      </c>
      <c r="O338" s="202">
        <f t="shared" si="90"/>
        <v>0.22945926018530066</v>
      </c>
      <c r="P338" s="4"/>
      <c r="Q338" s="4"/>
      <c r="R338" s="4">
        <f t="shared" si="94"/>
        <v>156389</v>
      </c>
      <c r="S338" s="39">
        <f t="shared" si="83"/>
        <v>32</v>
      </c>
      <c r="T338" s="91">
        <f t="shared" si="95"/>
        <v>750</v>
      </c>
      <c r="U338" s="68"/>
      <c r="V338" s="198"/>
    </row>
    <row r="339" spans="1:24" x14ac:dyDescent="0.25">
      <c r="A339" s="107">
        <v>44230</v>
      </c>
      <c r="B339" s="126">
        <v>9196</v>
      </c>
      <c r="C339" s="126">
        <f t="shared" si="91"/>
        <v>1952744</v>
      </c>
      <c r="D339" s="126">
        <v>113</v>
      </c>
      <c r="E339" s="126">
        <f t="shared" si="92"/>
        <v>48504</v>
      </c>
      <c r="F339" s="126">
        <f t="shared" si="93"/>
        <v>6440</v>
      </c>
      <c r="G339" s="155">
        <v>1745208</v>
      </c>
      <c r="H339" s="126">
        <v>3571</v>
      </c>
      <c r="I339" s="126">
        <v>48160</v>
      </c>
      <c r="J339" s="4">
        <f t="shared" si="79"/>
        <v>6323831</v>
      </c>
      <c r="K339" s="7">
        <v>9845</v>
      </c>
      <c r="L339" s="7">
        <v>3462532</v>
      </c>
      <c r="M339" s="4">
        <f t="shared" si="89"/>
        <v>3472377</v>
      </c>
      <c r="N339" s="290">
        <f t="shared" si="88"/>
        <v>0.20621145868370894</v>
      </c>
      <c r="O339" s="202">
        <f t="shared" si="90"/>
        <v>0.2198856600048186</v>
      </c>
      <c r="P339" s="4"/>
      <c r="Q339" s="4"/>
      <c r="R339" s="4">
        <f t="shared" si="94"/>
        <v>159032</v>
      </c>
      <c r="S339" s="39">
        <f t="shared" si="83"/>
        <v>-15</v>
      </c>
      <c r="T339" s="91">
        <f t="shared" si="95"/>
        <v>2643</v>
      </c>
      <c r="U339" s="68"/>
      <c r="V339" s="198"/>
    </row>
    <row r="340" spans="1:24" x14ac:dyDescent="0.25">
      <c r="A340" s="107">
        <v>44231</v>
      </c>
      <c r="B340" s="184">
        <v>8891</v>
      </c>
      <c r="C340" s="126">
        <f t="shared" ref="C340:C374" si="96">C339+B340</f>
        <v>1961635</v>
      </c>
      <c r="D340" s="126">
        <v>162</v>
      </c>
      <c r="E340" s="126">
        <f t="shared" si="92"/>
        <v>48666</v>
      </c>
      <c r="F340" s="126">
        <f t="shared" si="93"/>
        <v>9497</v>
      </c>
      <c r="G340" s="155">
        <v>1754705</v>
      </c>
      <c r="H340" s="126">
        <v>3570</v>
      </c>
      <c r="I340" s="126">
        <v>52557</v>
      </c>
      <c r="J340" s="4">
        <f t="shared" si="79"/>
        <v>6376388</v>
      </c>
      <c r="K340" s="7">
        <v>9900</v>
      </c>
      <c r="L340" s="7">
        <v>3486103</v>
      </c>
      <c r="M340" s="4">
        <f t="shared" si="89"/>
        <v>3496003</v>
      </c>
      <c r="N340" s="290">
        <f t="shared" si="88"/>
        <v>0.27388947076581849</v>
      </c>
      <c r="O340" s="202">
        <f t="shared" si="90"/>
        <v>0.22218237011422121</v>
      </c>
      <c r="P340" s="4"/>
      <c r="Q340" s="4"/>
      <c r="R340" s="4">
        <f t="shared" si="94"/>
        <v>158264</v>
      </c>
      <c r="S340" s="39">
        <f t="shared" si="83"/>
        <v>-1</v>
      </c>
      <c r="T340" s="91">
        <f t="shared" si="95"/>
        <v>-768</v>
      </c>
      <c r="U340" s="68"/>
      <c r="V340" s="198"/>
    </row>
    <row r="341" spans="1:24" x14ac:dyDescent="0.25">
      <c r="A341" s="107">
        <v>44232</v>
      </c>
      <c r="B341" s="126">
        <v>8374</v>
      </c>
      <c r="C341" s="126">
        <f t="shared" si="96"/>
        <v>1970009</v>
      </c>
      <c r="D341" s="126">
        <v>285</v>
      </c>
      <c r="E341" s="126">
        <f t="shared" si="92"/>
        <v>48951</v>
      </c>
      <c r="F341" s="126">
        <f t="shared" si="93"/>
        <v>9057</v>
      </c>
      <c r="G341" s="155">
        <v>1763762</v>
      </c>
      <c r="H341" s="126">
        <v>3550</v>
      </c>
      <c r="I341" s="126">
        <v>47745</v>
      </c>
      <c r="J341" s="4">
        <f t="shared" si="79"/>
        <v>6424133</v>
      </c>
      <c r="K341" s="7">
        <v>10282</v>
      </c>
      <c r="L341" s="7">
        <v>3524708</v>
      </c>
      <c r="M341" s="4">
        <f t="shared" si="89"/>
        <v>3534990</v>
      </c>
      <c r="N341" s="290">
        <f t="shared" si="88"/>
        <v>0.17824985631878074</v>
      </c>
      <c r="O341" s="202">
        <f t="shared" si="90"/>
        <v>0.20889970732984137</v>
      </c>
      <c r="P341" s="4"/>
      <c r="Q341" s="4"/>
      <c r="R341" s="4">
        <f t="shared" si="94"/>
        <v>157296</v>
      </c>
      <c r="S341" s="39">
        <f t="shared" si="83"/>
        <v>-20</v>
      </c>
      <c r="T341" s="91">
        <f t="shared" si="95"/>
        <v>-968</v>
      </c>
      <c r="U341" s="68"/>
      <c r="V341" s="198"/>
    </row>
    <row r="342" spans="1:24" x14ac:dyDescent="0.25">
      <c r="A342" s="107">
        <v>44233</v>
      </c>
      <c r="B342" s="126">
        <v>6680</v>
      </c>
      <c r="C342" s="126">
        <f t="shared" si="96"/>
        <v>1976689</v>
      </c>
      <c r="D342" s="126">
        <v>125</v>
      </c>
      <c r="E342" s="126">
        <f t="shared" si="92"/>
        <v>49076</v>
      </c>
      <c r="F342" s="126">
        <f t="shared" si="93"/>
        <v>8297</v>
      </c>
      <c r="G342" s="155">
        <v>1772059</v>
      </c>
      <c r="H342" s="126">
        <v>3550</v>
      </c>
      <c r="I342" s="126">
        <v>42244</v>
      </c>
      <c r="J342" s="4">
        <f t="shared" si="79"/>
        <v>6466377</v>
      </c>
      <c r="K342" s="7">
        <v>10351</v>
      </c>
      <c r="L342" s="7">
        <v>3551197</v>
      </c>
      <c r="M342" s="4">
        <f t="shared" si="89"/>
        <v>3561548</v>
      </c>
      <c r="N342" s="290">
        <f t="shared" si="88"/>
        <v>0.20139286683348911</v>
      </c>
      <c r="O342" s="202">
        <f t="shared" si="90"/>
        <v>0.20884644989899806</v>
      </c>
      <c r="P342" s="4"/>
      <c r="Q342" s="4"/>
      <c r="R342" s="4">
        <f t="shared" si="94"/>
        <v>155554</v>
      </c>
      <c r="S342" s="39">
        <f t="shared" si="83"/>
        <v>0</v>
      </c>
      <c r="T342" s="91">
        <f t="shared" si="95"/>
        <v>-1742</v>
      </c>
      <c r="U342" s="68"/>
      <c r="V342" s="198"/>
    </row>
    <row r="343" spans="1:24" x14ac:dyDescent="0.25">
      <c r="A343" s="107">
        <v>44234</v>
      </c>
      <c r="B343" s="126">
        <v>3658</v>
      </c>
      <c r="C343" s="126">
        <f t="shared" si="96"/>
        <v>1980347</v>
      </c>
      <c r="D343" s="126">
        <v>61</v>
      </c>
      <c r="E343" s="126">
        <f t="shared" si="92"/>
        <v>49137</v>
      </c>
      <c r="F343" s="126">
        <f t="shared" si="93"/>
        <v>6906</v>
      </c>
      <c r="G343" s="155">
        <v>1778965</v>
      </c>
      <c r="H343" s="126">
        <v>3550</v>
      </c>
      <c r="I343" s="126">
        <v>24721</v>
      </c>
      <c r="J343" s="4">
        <f t="shared" si="79"/>
        <v>6491098</v>
      </c>
      <c r="K343" s="7">
        <v>10480</v>
      </c>
      <c r="L343" s="7">
        <v>3568763</v>
      </c>
      <c r="M343" s="4">
        <f t="shared" si="89"/>
        <v>3579243</v>
      </c>
      <c r="N343" s="290">
        <f t="shared" si="88"/>
        <v>0.17235205427817565</v>
      </c>
      <c r="O343" s="202">
        <f t="shared" si="90"/>
        <v>0.20898104798220887</v>
      </c>
      <c r="P343" s="4"/>
      <c r="Q343" s="4"/>
      <c r="R343" s="4">
        <f t="shared" si="94"/>
        <v>152245</v>
      </c>
      <c r="S343" s="39">
        <f t="shared" si="83"/>
        <v>0</v>
      </c>
      <c r="T343" s="91">
        <f t="shared" si="95"/>
        <v>-3309</v>
      </c>
      <c r="U343" s="167"/>
      <c r="V343" s="198"/>
    </row>
    <row r="344" spans="1:24" x14ac:dyDescent="0.25">
      <c r="A344" s="107">
        <v>44235</v>
      </c>
      <c r="B344" s="126">
        <v>5154</v>
      </c>
      <c r="C344" s="126">
        <f t="shared" si="96"/>
        <v>1985501</v>
      </c>
      <c r="D344" s="126">
        <v>227</v>
      </c>
      <c r="E344" s="126">
        <f t="shared" si="92"/>
        <v>49364</v>
      </c>
      <c r="F344" s="126">
        <f t="shared" si="93"/>
        <v>7213</v>
      </c>
      <c r="G344" s="155">
        <v>1786178</v>
      </c>
      <c r="H344" s="126">
        <v>3526</v>
      </c>
      <c r="I344" s="126">
        <v>30651</v>
      </c>
      <c r="J344" s="4">
        <f t="shared" si="79"/>
        <v>6521749</v>
      </c>
      <c r="K344" s="7">
        <v>10625</v>
      </c>
      <c r="L344" s="7">
        <v>3587360</v>
      </c>
      <c r="M344" s="4">
        <f t="shared" si="89"/>
        <v>3597985</v>
      </c>
      <c r="N344" s="290">
        <f t="shared" si="88"/>
        <v>0.21700138941518252</v>
      </c>
      <c r="O344" s="202">
        <f t="shared" si="90"/>
        <v>0.20776764506348669</v>
      </c>
      <c r="P344" s="4"/>
      <c r="Q344" s="4"/>
      <c r="R344" s="4">
        <f t="shared" si="94"/>
        <v>149959</v>
      </c>
      <c r="S344" s="39">
        <f t="shared" si="83"/>
        <v>-24</v>
      </c>
      <c r="T344" s="91">
        <f t="shared" si="95"/>
        <v>-2286</v>
      </c>
      <c r="U344" s="167"/>
      <c r="V344" s="198"/>
    </row>
    <row r="345" spans="1:24" x14ac:dyDescent="0.25">
      <c r="A345" s="107">
        <v>44236</v>
      </c>
      <c r="B345" s="126">
        <v>7794</v>
      </c>
      <c r="C345" s="126">
        <f t="shared" si="96"/>
        <v>1993295</v>
      </c>
      <c r="D345" s="126">
        <v>168</v>
      </c>
      <c r="E345" s="126">
        <f t="shared" si="92"/>
        <v>49532</v>
      </c>
      <c r="F345" s="126">
        <f t="shared" si="93"/>
        <v>6143</v>
      </c>
      <c r="G345" s="155">
        <v>1792321</v>
      </c>
      <c r="H345" s="126">
        <v>3553</v>
      </c>
      <c r="I345" s="126">
        <v>49781</v>
      </c>
      <c r="J345" s="4">
        <f t="shared" si="79"/>
        <v>6571530</v>
      </c>
      <c r="K345" s="7">
        <v>10844</v>
      </c>
      <c r="L345" s="7">
        <v>3619021</v>
      </c>
      <c r="M345" s="4">
        <f t="shared" si="89"/>
        <v>3629865</v>
      </c>
      <c r="N345" s="290">
        <f t="shared" si="88"/>
        <v>0.19754150297807629</v>
      </c>
      <c r="O345" s="202">
        <f t="shared" si="90"/>
        <v>0.20666265703903311</v>
      </c>
      <c r="P345" s="4"/>
      <c r="Q345" s="4"/>
      <c r="R345" s="4">
        <f t="shared" si="94"/>
        <v>151442</v>
      </c>
      <c r="S345" s="39">
        <f t="shared" si="83"/>
        <v>27</v>
      </c>
      <c r="T345" s="91">
        <f t="shared" si="95"/>
        <v>1483</v>
      </c>
      <c r="U345" s="167"/>
      <c r="V345" s="198"/>
    </row>
    <row r="346" spans="1:24" x14ac:dyDescent="0.25">
      <c r="A346" s="107">
        <v>44237</v>
      </c>
      <c r="B346" s="126">
        <v>7739</v>
      </c>
      <c r="C346" s="126">
        <f t="shared" si="96"/>
        <v>2001034</v>
      </c>
      <c r="D346" s="126">
        <v>109</v>
      </c>
      <c r="E346" s="126">
        <f t="shared" si="92"/>
        <v>49641</v>
      </c>
      <c r="F346" s="126">
        <f t="shared" si="93"/>
        <v>5799</v>
      </c>
      <c r="G346" s="155">
        <v>1798120</v>
      </c>
      <c r="H346" s="126">
        <v>3561</v>
      </c>
      <c r="I346" s="126">
        <v>50352</v>
      </c>
      <c r="J346" s="4">
        <f t="shared" si="79"/>
        <v>6621882</v>
      </c>
      <c r="K346" s="7">
        <v>10852</v>
      </c>
      <c r="L346" s="7">
        <v>3639228</v>
      </c>
      <c r="M346" s="4">
        <f t="shared" si="89"/>
        <v>3650080</v>
      </c>
      <c r="N346" s="290">
        <f t="shared" si="88"/>
        <v>0.27692693050883849</v>
      </c>
      <c r="O346" s="202">
        <f t="shared" si="90"/>
        <v>0.21676486729976591</v>
      </c>
      <c r="P346" s="4"/>
      <c r="Q346" s="4"/>
      <c r="R346" s="4">
        <f t="shared" ref="R346:R352" si="97">C346-E346-G346</f>
        <v>153273</v>
      </c>
      <c r="S346" s="39">
        <f t="shared" si="83"/>
        <v>8</v>
      </c>
      <c r="T346" s="91">
        <f t="shared" ref="T346:T367" si="98">(C346-G346-E346)-(C345-E345-G345)</f>
        <v>1831</v>
      </c>
      <c r="U346" s="167"/>
      <c r="V346" s="198"/>
    </row>
    <row r="347" spans="1:24" x14ac:dyDescent="0.25">
      <c r="A347" s="107">
        <v>44238</v>
      </c>
      <c r="B347" s="148">
        <v>7311</v>
      </c>
      <c r="C347" s="126">
        <f t="shared" si="96"/>
        <v>2008345</v>
      </c>
      <c r="D347" s="148">
        <v>195</v>
      </c>
      <c r="E347" s="126">
        <f t="shared" si="92"/>
        <v>49836</v>
      </c>
      <c r="F347" s="126">
        <f t="shared" si="93"/>
        <v>8140</v>
      </c>
      <c r="G347" s="155">
        <v>1806260</v>
      </c>
      <c r="H347" s="126">
        <v>3541</v>
      </c>
      <c r="I347" s="126">
        <v>51007</v>
      </c>
      <c r="J347" s="4">
        <f t="shared" si="79"/>
        <v>6672889</v>
      </c>
      <c r="K347" s="7">
        <v>11150</v>
      </c>
      <c r="L347" s="7">
        <v>3684608</v>
      </c>
      <c r="M347" s="4">
        <f t="shared" si="89"/>
        <v>3695758</v>
      </c>
      <c r="N347" s="290">
        <f t="shared" si="88"/>
        <v>0.13875234859843236</v>
      </c>
      <c r="O347" s="202">
        <f t="shared" si="90"/>
        <v>0.19745956413299645</v>
      </c>
      <c r="P347" s="4"/>
      <c r="Q347" s="4"/>
      <c r="R347" s="4">
        <f t="shared" si="97"/>
        <v>152249</v>
      </c>
      <c r="S347" s="39">
        <f t="shared" si="83"/>
        <v>-20</v>
      </c>
      <c r="T347" s="91">
        <f t="shared" si="98"/>
        <v>-1024</v>
      </c>
      <c r="U347" s="167"/>
      <c r="V347" s="198"/>
    </row>
    <row r="348" spans="1:24" x14ac:dyDescent="0.25">
      <c r="A348" s="107">
        <v>44239</v>
      </c>
      <c r="B348" s="126">
        <v>7151</v>
      </c>
      <c r="C348" s="126">
        <f t="shared" si="96"/>
        <v>2015496</v>
      </c>
      <c r="D348" s="144">
        <v>155</v>
      </c>
      <c r="E348" s="126">
        <f t="shared" si="92"/>
        <v>49991</v>
      </c>
      <c r="F348" s="126">
        <f t="shared" si="93"/>
        <v>7900</v>
      </c>
      <c r="G348" s="155">
        <v>1814160</v>
      </c>
      <c r="H348" s="126">
        <v>3538</v>
      </c>
      <c r="I348" s="126">
        <v>49074</v>
      </c>
      <c r="J348" s="4">
        <f t="shared" si="79"/>
        <v>6721963</v>
      </c>
      <c r="K348" s="7">
        <v>11298</v>
      </c>
      <c r="L348" s="7">
        <v>3716607</v>
      </c>
      <c r="M348" s="4">
        <f t="shared" si="89"/>
        <v>3727905</v>
      </c>
      <c r="N348" s="290">
        <f t="shared" si="88"/>
        <v>0.18265644955300128</v>
      </c>
      <c r="O348" s="202">
        <f t="shared" si="90"/>
        <v>0.1980890774521708</v>
      </c>
      <c r="P348" s="4"/>
      <c r="Q348" s="4"/>
      <c r="R348" s="20">
        <f t="shared" si="97"/>
        <v>151345</v>
      </c>
      <c r="S348" s="39">
        <f t="shared" si="83"/>
        <v>-3</v>
      </c>
      <c r="T348" s="91">
        <f t="shared" si="98"/>
        <v>-904</v>
      </c>
      <c r="U348" s="167"/>
      <c r="V348" s="198"/>
    </row>
    <row r="349" spans="1:24" x14ac:dyDescent="0.25">
      <c r="A349" s="107">
        <v>44240</v>
      </c>
      <c r="B349" s="126">
        <v>6057</v>
      </c>
      <c r="C349" s="126">
        <f t="shared" si="96"/>
        <v>2021553</v>
      </c>
      <c r="D349" s="144">
        <v>158</v>
      </c>
      <c r="E349" s="126">
        <f t="shared" si="92"/>
        <v>50149</v>
      </c>
      <c r="F349" s="126">
        <f t="shared" si="93"/>
        <v>6805</v>
      </c>
      <c r="G349" s="155">
        <v>1820965</v>
      </c>
      <c r="H349" s="126">
        <v>3514</v>
      </c>
      <c r="I349" s="126">
        <v>54719</v>
      </c>
      <c r="J349" s="4">
        <f t="shared" si="79"/>
        <v>6776682</v>
      </c>
      <c r="K349" s="7">
        <v>11298</v>
      </c>
      <c r="L349" s="7">
        <v>3716607</v>
      </c>
      <c r="M349" s="4">
        <f>L349+K349</f>
        <v>3727905</v>
      </c>
      <c r="N349" s="290">
        <f t="shared" si="88"/>
        <v>1</v>
      </c>
      <c r="O349" s="202">
        <f t="shared" si="90"/>
        <v>0.31217581076167239</v>
      </c>
      <c r="P349" s="4"/>
      <c r="Q349" s="4"/>
      <c r="R349" s="20">
        <f t="shared" si="97"/>
        <v>150439</v>
      </c>
      <c r="S349" s="39">
        <f t="shared" si="83"/>
        <v>-24</v>
      </c>
      <c r="T349" s="91">
        <f t="shared" si="98"/>
        <v>-906</v>
      </c>
      <c r="U349" s="167"/>
      <c r="V349" s="198"/>
    </row>
    <row r="350" spans="1:24" x14ac:dyDescent="0.25">
      <c r="A350" s="107">
        <v>44241</v>
      </c>
      <c r="B350" s="126">
        <v>4245</v>
      </c>
      <c r="C350" s="126">
        <f t="shared" si="96"/>
        <v>2025798</v>
      </c>
      <c r="D350" s="144">
        <v>48</v>
      </c>
      <c r="E350" s="126">
        <f t="shared" si="92"/>
        <v>50197</v>
      </c>
      <c r="F350" s="126">
        <f t="shared" si="93"/>
        <v>6153</v>
      </c>
      <c r="G350" s="155">
        <v>1827118</v>
      </c>
      <c r="H350" s="126">
        <v>3547</v>
      </c>
      <c r="I350" s="126">
        <v>41673</v>
      </c>
      <c r="J350" s="4">
        <f t="shared" si="79"/>
        <v>6818355</v>
      </c>
      <c r="K350" s="7">
        <v>11438</v>
      </c>
      <c r="L350" s="7">
        <v>3778940</v>
      </c>
      <c r="M350" s="4">
        <f t="shared" si="89"/>
        <v>3790378</v>
      </c>
      <c r="N350" s="290">
        <f t="shared" ref="N350:N370" si="99">B350/(B350+(L350-L349))</f>
        <v>6.375980053471117E-2</v>
      </c>
      <c r="O350" s="202">
        <f t="shared" si="90"/>
        <v>0.29666263165546314</v>
      </c>
      <c r="P350" s="4"/>
      <c r="Q350" s="4"/>
      <c r="R350" s="20">
        <f t="shared" si="97"/>
        <v>148483</v>
      </c>
      <c r="S350" s="39">
        <f t="shared" si="83"/>
        <v>33</v>
      </c>
      <c r="T350" s="91">
        <f t="shared" si="98"/>
        <v>-1956</v>
      </c>
      <c r="U350" s="167"/>
      <c r="V350" s="198"/>
    </row>
    <row r="351" spans="1:24" x14ac:dyDescent="0.25">
      <c r="A351" s="107">
        <v>44242</v>
      </c>
      <c r="B351" s="126">
        <v>3259</v>
      </c>
      <c r="C351" s="126">
        <f t="shared" si="96"/>
        <v>2029057</v>
      </c>
      <c r="D351" s="144">
        <v>91</v>
      </c>
      <c r="E351" s="126">
        <f t="shared" si="92"/>
        <v>50288</v>
      </c>
      <c r="F351" s="126">
        <f t="shared" si="93"/>
        <v>6324</v>
      </c>
      <c r="G351" s="155">
        <v>1833442</v>
      </c>
      <c r="H351" s="126">
        <v>3538</v>
      </c>
      <c r="I351" s="126">
        <v>30040</v>
      </c>
      <c r="J351" s="4">
        <f t="shared" si="79"/>
        <v>6848395</v>
      </c>
      <c r="K351" s="7">
        <v>11525</v>
      </c>
      <c r="L351" s="7">
        <v>3807948</v>
      </c>
      <c r="M351" s="4">
        <f t="shared" si="89"/>
        <v>3819473</v>
      </c>
      <c r="N351" s="290">
        <f t="shared" si="99"/>
        <v>0.10100102271670747</v>
      </c>
      <c r="O351" s="202">
        <f t="shared" si="90"/>
        <v>0.28009115069853813</v>
      </c>
      <c r="P351" s="4"/>
      <c r="Q351" s="4"/>
      <c r="R351" s="20">
        <f t="shared" si="97"/>
        <v>145327</v>
      </c>
      <c r="S351" s="39">
        <f t="shared" ref="S351:S367" si="100">H351-H350</f>
        <v>-9</v>
      </c>
      <c r="T351" s="91">
        <f t="shared" si="98"/>
        <v>-3156</v>
      </c>
      <c r="U351" s="167"/>
      <c r="V351" s="198"/>
    </row>
    <row r="352" spans="1:24" x14ac:dyDescent="0.25">
      <c r="A352" s="107">
        <v>44243</v>
      </c>
      <c r="B352" s="126">
        <v>4003</v>
      </c>
      <c r="C352" s="126">
        <f t="shared" si="96"/>
        <v>2033060</v>
      </c>
      <c r="D352" s="144">
        <v>105</v>
      </c>
      <c r="E352" s="126">
        <f t="shared" si="92"/>
        <v>50393</v>
      </c>
      <c r="F352" s="126">
        <f t="shared" si="93"/>
        <v>4849</v>
      </c>
      <c r="G352" s="155">
        <v>1838291</v>
      </c>
      <c r="H352" s="126">
        <v>3581</v>
      </c>
      <c r="I352" s="126">
        <v>36282</v>
      </c>
      <c r="J352" s="4">
        <f t="shared" si="79"/>
        <v>6884677</v>
      </c>
      <c r="K352" s="7">
        <v>11677</v>
      </c>
      <c r="L352" s="7">
        <v>3832083</v>
      </c>
      <c r="M352" s="4">
        <f t="shared" si="89"/>
        <v>3843760</v>
      </c>
      <c r="N352" s="290">
        <f t="shared" si="99"/>
        <v>0.14226313170801053</v>
      </c>
      <c r="O352" s="202">
        <f t="shared" si="90"/>
        <v>0.27219424051710017</v>
      </c>
      <c r="P352" s="4"/>
      <c r="Q352" s="4"/>
      <c r="R352" s="20">
        <f t="shared" si="97"/>
        <v>144376</v>
      </c>
      <c r="S352" s="39">
        <f t="shared" si="100"/>
        <v>43</v>
      </c>
      <c r="T352" s="91">
        <f t="shared" si="98"/>
        <v>-951</v>
      </c>
      <c r="U352" s="167"/>
      <c r="V352" s="198"/>
    </row>
    <row r="353" spans="1:22" x14ac:dyDescent="0.25">
      <c r="A353" s="107">
        <v>44244</v>
      </c>
      <c r="B353" s="126">
        <v>6064</v>
      </c>
      <c r="C353" s="126">
        <f t="shared" si="96"/>
        <v>2039124</v>
      </c>
      <c r="D353" s="126">
        <v>183</v>
      </c>
      <c r="E353" s="126">
        <f t="shared" si="92"/>
        <v>50576</v>
      </c>
      <c r="F353" s="126">
        <f t="shared" si="93"/>
        <v>4587</v>
      </c>
      <c r="G353" s="155">
        <v>1842878</v>
      </c>
      <c r="H353" s="126">
        <v>3573</v>
      </c>
      <c r="I353" s="126">
        <v>45882</v>
      </c>
      <c r="J353" s="4">
        <f t="shared" si="79"/>
        <v>6930559</v>
      </c>
      <c r="K353" s="7">
        <v>11782</v>
      </c>
      <c r="L353" s="7">
        <v>3860961</v>
      </c>
      <c r="M353" s="4">
        <f t="shared" si="89"/>
        <v>3872743</v>
      </c>
      <c r="N353" s="290">
        <f t="shared" si="99"/>
        <v>0.17354473126896</v>
      </c>
      <c r="O353" s="202">
        <f t="shared" si="90"/>
        <v>0.25742535491140328</v>
      </c>
      <c r="P353" s="4"/>
      <c r="Q353" s="4"/>
      <c r="R353" s="20">
        <f t="shared" ref="R353:R367" si="101">C353-E353-G353</f>
        <v>145670</v>
      </c>
      <c r="S353" s="39">
        <f t="shared" si="100"/>
        <v>-8</v>
      </c>
      <c r="T353" s="91">
        <f t="shared" si="98"/>
        <v>1294</v>
      </c>
      <c r="U353" s="167"/>
      <c r="V353" s="198"/>
    </row>
    <row r="354" spans="1:22" x14ac:dyDescent="0.25">
      <c r="A354" s="107">
        <v>44245</v>
      </c>
      <c r="B354" s="126">
        <v>7671</v>
      </c>
      <c r="C354" s="126">
        <f t="shared" si="96"/>
        <v>2046795</v>
      </c>
      <c r="D354" s="126">
        <v>242</v>
      </c>
      <c r="E354" s="126">
        <f t="shared" si="92"/>
        <v>50818</v>
      </c>
      <c r="F354" s="126">
        <f t="shared" si="93"/>
        <v>6573</v>
      </c>
      <c r="G354" s="155">
        <v>1849451</v>
      </c>
      <c r="H354" s="126">
        <v>3595</v>
      </c>
      <c r="I354" s="126">
        <v>54375</v>
      </c>
      <c r="J354" s="4">
        <f t="shared" si="79"/>
        <v>6984934</v>
      </c>
      <c r="K354" s="7">
        <v>11889</v>
      </c>
      <c r="L354" s="7">
        <v>3886419</v>
      </c>
      <c r="M354" s="4">
        <f t="shared" si="89"/>
        <v>3898308</v>
      </c>
      <c r="N354" s="290">
        <f t="shared" si="99"/>
        <v>0.23154939780856651</v>
      </c>
      <c r="O354" s="202">
        <f t="shared" si="90"/>
        <v>0.27068207622713669</v>
      </c>
      <c r="P354" s="4"/>
      <c r="Q354" s="4"/>
      <c r="R354" s="4">
        <f t="shared" si="101"/>
        <v>146526</v>
      </c>
      <c r="S354" s="39">
        <f t="shared" si="100"/>
        <v>22</v>
      </c>
      <c r="T354" s="91">
        <f t="shared" si="98"/>
        <v>856</v>
      </c>
      <c r="U354" s="167"/>
      <c r="V354" s="198"/>
    </row>
    <row r="355" spans="1:22" x14ac:dyDescent="0.25">
      <c r="A355" s="107">
        <v>44246</v>
      </c>
      <c r="B355" s="126">
        <v>7886</v>
      </c>
      <c r="C355" s="126">
        <f t="shared" si="96"/>
        <v>2054681</v>
      </c>
      <c r="D355" s="126">
        <v>143</v>
      </c>
      <c r="E355" s="126">
        <f t="shared" si="92"/>
        <v>50961</v>
      </c>
      <c r="F355" s="126">
        <f t="shared" si="93"/>
        <v>6194</v>
      </c>
      <c r="G355" s="155">
        <v>1855645</v>
      </c>
      <c r="H355" s="126">
        <v>3608</v>
      </c>
      <c r="I355" s="126">
        <v>59570</v>
      </c>
      <c r="J355" s="4">
        <f t="shared" si="79"/>
        <v>7044504</v>
      </c>
      <c r="K355" s="7">
        <v>12025</v>
      </c>
      <c r="L355" s="7">
        <v>3936801</v>
      </c>
      <c r="M355" s="4">
        <f t="shared" si="89"/>
        <v>3948826</v>
      </c>
      <c r="N355" s="290">
        <f t="shared" si="99"/>
        <v>0.13534015239925859</v>
      </c>
      <c r="O355" s="202">
        <f t="shared" si="90"/>
        <v>0.26392260520517347</v>
      </c>
      <c r="P355" s="4"/>
      <c r="Q355" s="4"/>
      <c r="R355" s="4">
        <f t="shared" si="101"/>
        <v>148075</v>
      </c>
      <c r="S355" s="39">
        <f t="shared" si="100"/>
        <v>13</v>
      </c>
      <c r="T355" s="91">
        <f t="shared" si="98"/>
        <v>1549</v>
      </c>
      <c r="U355" s="167"/>
      <c r="V355" s="198"/>
    </row>
    <row r="356" spans="1:22" x14ac:dyDescent="0.25">
      <c r="A356" s="107">
        <v>44247</v>
      </c>
      <c r="B356" s="126">
        <v>5944</v>
      </c>
      <c r="C356" s="126">
        <f t="shared" si="96"/>
        <v>2060625</v>
      </c>
      <c r="D356" s="126">
        <v>122</v>
      </c>
      <c r="E356" s="126">
        <f t="shared" si="92"/>
        <v>51083</v>
      </c>
      <c r="F356" s="126">
        <f t="shared" si="93"/>
        <v>5788</v>
      </c>
      <c r="G356" s="155">
        <v>1861433</v>
      </c>
      <c r="H356" s="126">
        <v>3605</v>
      </c>
      <c r="I356" s="126">
        <v>51122</v>
      </c>
      <c r="J356" s="4">
        <f t="shared" si="79"/>
        <v>7095626</v>
      </c>
      <c r="K356" s="7">
        <v>12151</v>
      </c>
      <c r="L356" s="7">
        <v>3966620</v>
      </c>
      <c r="M356" s="4">
        <f t="shared" si="89"/>
        <v>3978771</v>
      </c>
      <c r="N356" s="290">
        <f t="shared" si="99"/>
        <v>0.16620529597628833</v>
      </c>
      <c r="O356" s="202">
        <f t="shared" si="90"/>
        <v>0.14480907605892893</v>
      </c>
      <c r="P356" s="4"/>
      <c r="Q356" s="4"/>
      <c r="R356" s="4">
        <f t="shared" si="101"/>
        <v>148109</v>
      </c>
      <c r="S356" s="39">
        <f t="shared" si="100"/>
        <v>-3</v>
      </c>
      <c r="T356" s="91">
        <f t="shared" si="98"/>
        <v>34</v>
      </c>
      <c r="U356" s="167"/>
      <c r="V356" s="198"/>
    </row>
    <row r="357" spans="1:22" x14ac:dyDescent="0.25">
      <c r="A357" s="107">
        <v>44248</v>
      </c>
      <c r="B357" s="126">
        <v>3709</v>
      </c>
      <c r="C357" s="126">
        <f t="shared" si="96"/>
        <v>2064334</v>
      </c>
      <c r="D357" s="126">
        <v>77</v>
      </c>
      <c r="E357" s="126">
        <f t="shared" si="92"/>
        <v>51160</v>
      </c>
      <c r="F357" s="126">
        <f t="shared" si="93"/>
        <v>5068</v>
      </c>
      <c r="G357" s="155">
        <v>1866501</v>
      </c>
      <c r="H357" s="126">
        <v>3605</v>
      </c>
      <c r="I357" s="126">
        <v>25350</v>
      </c>
      <c r="J357" s="4">
        <f t="shared" si="79"/>
        <v>7120976</v>
      </c>
      <c r="K357" s="7">
        <v>12205</v>
      </c>
      <c r="L357" s="7">
        <v>3982551</v>
      </c>
      <c r="M357" s="4">
        <f t="shared" si="89"/>
        <v>3994756</v>
      </c>
      <c r="N357" s="290">
        <f t="shared" si="99"/>
        <v>0.18884928716904276</v>
      </c>
      <c r="O357" s="202">
        <f t="shared" si="90"/>
        <v>0.16267900272097632</v>
      </c>
      <c r="P357" s="4"/>
      <c r="Q357" s="4"/>
      <c r="R357" s="4">
        <f t="shared" si="101"/>
        <v>146673</v>
      </c>
      <c r="S357" s="39">
        <f t="shared" si="100"/>
        <v>0</v>
      </c>
      <c r="T357" s="91">
        <f t="shared" si="98"/>
        <v>-1436</v>
      </c>
      <c r="U357" s="167"/>
      <c r="V357" s="198"/>
    </row>
    <row r="358" spans="1:22" x14ac:dyDescent="0.25">
      <c r="A358" s="107">
        <v>44249</v>
      </c>
      <c r="B358" s="126">
        <v>5417</v>
      </c>
      <c r="C358" s="126">
        <f t="shared" si="96"/>
        <v>2069751</v>
      </c>
      <c r="D358" s="126">
        <v>161</v>
      </c>
      <c r="E358" s="126">
        <f t="shared" si="92"/>
        <v>51321</v>
      </c>
      <c r="F358" s="126">
        <f t="shared" si="93"/>
        <v>5712</v>
      </c>
      <c r="G358" s="155">
        <v>1872213</v>
      </c>
      <c r="H358" s="126">
        <v>3550</v>
      </c>
      <c r="I358" s="126">
        <v>42145</v>
      </c>
      <c r="J358" s="4">
        <f t="shared" si="79"/>
        <v>7163121</v>
      </c>
      <c r="K358" s="7">
        <v>12284</v>
      </c>
      <c r="L358" s="7">
        <v>4011747</v>
      </c>
      <c r="M358" s="4">
        <f t="shared" si="89"/>
        <v>4024031</v>
      </c>
      <c r="N358" s="290">
        <f t="shared" si="99"/>
        <v>0.1565018923525843</v>
      </c>
      <c r="O358" s="202">
        <f t="shared" si="90"/>
        <v>0.17060769838324444</v>
      </c>
      <c r="P358" s="4"/>
      <c r="Q358" s="4"/>
      <c r="R358" s="4">
        <f t="shared" si="101"/>
        <v>146217</v>
      </c>
      <c r="S358" s="39">
        <f t="shared" si="100"/>
        <v>-55</v>
      </c>
      <c r="T358" s="91">
        <f t="shared" si="98"/>
        <v>-456</v>
      </c>
      <c r="U358" s="167"/>
      <c r="V358" s="198"/>
    </row>
    <row r="359" spans="1:22" x14ac:dyDescent="0.25">
      <c r="A359" s="107">
        <v>44250</v>
      </c>
      <c r="B359" s="126">
        <v>7477</v>
      </c>
      <c r="C359" s="126">
        <f t="shared" si="96"/>
        <v>2077228</v>
      </c>
      <c r="D359" s="126">
        <v>155</v>
      </c>
      <c r="E359" s="126">
        <f t="shared" si="92"/>
        <v>51476</v>
      </c>
      <c r="F359" s="126">
        <f t="shared" si="93"/>
        <v>5685</v>
      </c>
      <c r="G359" s="155">
        <v>1877898</v>
      </c>
      <c r="H359" s="126">
        <v>3529</v>
      </c>
      <c r="I359" s="126">
        <v>50888</v>
      </c>
      <c r="J359" s="4">
        <f t="shared" si="79"/>
        <v>7214009</v>
      </c>
      <c r="K359" s="23">
        <v>12458</v>
      </c>
      <c r="L359" s="23">
        <v>4042409</v>
      </c>
      <c r="M359" s="4">
        <f t="shared" si="89"/>
        <v>4054867</v>
      </c>
      <c r="N359" s="290">
        <f t="shared" si="99"/>
        <v>0.19604604210912713</v>
      </c>
      <c r="O359" s="202">
        <f t="shared" si="90"/>
        <v>0.17829097129768964</v>
      </c>
      <c r="R359" s="4">
        <f t="shared" si="101"/>
        <v>147854</v>
      </c>
      <c r="S359" s="39">
        <f t="shared" si="100"/>
        <v>-21</v>
      </c>
      <c r="T359" s="91">
        <f t="shared" si="98"/>
        <v>1637</v>
      </c>
      <c r="U359" s="167"/>
      <c r="V359" s="198"/>
    </row>
    <row r="360" spans="1:22" x14ac:dyDescent="0.25">
      <c r="A360" s="109">
        <v>44251</v>
      </c>
      <c r="B360" s="133">
        <v>8183</v>
      </c>
      <c r="C360" s="133">
        <f t="shared" si="96"/>
        <v>2085411</v>
      </c>
      <c r="D360" s="133">
        <v>140</v>
      </c>
      <c r="E360" s="133">
        <f t="shared" si="92"/>
        <v>51616</v>
      </c>
      <c r="F360" s="133">
        <f t="shared" si="93"/>
        <v>4670</v>
      </c>
      <c r="G360" s="156">
        <v>1882568</v>
      </c>
      <c r="H360" s="133">
        <v>3504</v>
      </c>
      <c r="I360" s="133">
        <v>46790</v>
      </c>
      <c r="J360" s="4">
        <f t="shared" si="79"/>
        <v>7260799</v>
      </c>
      <c r="K360" s="23">
        <v>12463</v>
      </c>
      <c r="L360" s="23">
        <v>4062615</v>
      </c>
      <c r="M360" s="27">
        <f t="shared" si="89"/>
        <v>4075078</v>
      </c>
      <c r="N360" s="290">
        <f t="shared" si="99"/>
        <v>0.28824544718024586</v>
      </c>
      <c r="O360" s="202">
        <f t="shared" si="90"/>
        <v>0.19467678785644479</v>
      </c>
      <c r="R360" s="27">
        <f t="shared" si="101"/>
        <v>151227</v>
      </c>
      <c r="S360" s="67">
        <f t="shared" si="100"/>
        <v>-25</v>
      </c>
      <c r="T360" s="121">
        <f t="shared" si="98"/>
        <v>3373</v>
      </c>
      <c r="U360" s="167"/>
      <c r="V360" s="198"/>
    </row>
    <row r="361" spans="1:22" x14ac:dyDescent="0.25">
      <c r="A361" s="107">
        <v>44252</v>
      </c>
      <c r="B361" s="126">
        <v>8234</v>
      </c>
      <c r="C361" s="126">
        <f t="shared" si="96"/>
        <v>2093645</v>
      </c>
      <c r="D361" s="126">
        <v>145</v>
      </c>
      <c r="E361" s="126">
        <f t="shared" si="92"/>
        <v>51761</v>
      </c>
      <c r="F361" s="126">
        <f t="shared" si="93"/>
        <v>5279</v>
      </c>
      <c r="G361" s="155">
        <v>1887847</v>
      </c>
      <c r="H361" s="126">
        <v>3467</v>
      </c>
      <c r="I361" s="126">
        <v>50336</v>
      </c>
      <c r="J361" s="4">
        <f t="shared" si="79"/>
        <v>7311135</v>
      </c>
      <c r="K361" s="7">
        <v>12512</v>
      </c>
      <c r="L361" s="7">
        <v>4093490</v>
      </c>
      <c r="M361" s="4">
        <f t="shared" si="89"/>
        <v>4106002</v>
      </c>
      <c r="N361" s="290">
        <f t="shared" si="99"/>
        <v>0.21053977345368075</v>
      </c>
      <c r="O361" s="202">
        <f t="shared" si="90"/>
        <v>0.19167541294860396</v>
      </c>
      <c r="P361" s="4"/>
      <c r="Q361" s="4"/>
      <c r="R361" s="4">
        <f t="shared" si="101"/>
        <v>154037</v>
      </c>
      <c r="S361" s="39">
        <f t="shared" si="100"/>
        <v>-37</v>
      </c>
      <c r="T361" s="91">
        <f t="shared" si="98"/>
        <v>2810</v>
      </c>
      <c r="U361" s="167"/>
      <c r="V361" s="198"/>
    </row>
    <row r="362" spans="1:22" x14ac:dyDescent="0.25">
      <c r="A362" s="107">
        <v>44253</v>
      </c>
      <c r="B362" s="126">
        <v>5083</v>
      </c>
      <c r="C362" s="126">
        <f t="shared" si="96"/>
        <v>2098728</v>
      </c>
      <c r="D362" s="126">
        <v>92</v>
      </c>
      <c r="E362" s="126">
        <f t="shared" si="92"/>
        <v>51853</v>
      </c>
      <c r="F362" s="126">
        <f t="shared" si="93"/>
        <v>4987</v>
      </c>
      <c r="G362" s="155">
        <v>1892834</v>
      </c>
      <c r="H362" s="126">
        <v>3475</v>
      </c>
      <c r="I362" s="126">
        <v>43445</v>
      </c>
      <c r="J362" s="4">
        <f t="shared" ref="J362:J372" si="102">J363-I363</f>
        <v>7354580</v>
      </c>
      <c r="K362" s="7">
        <v>12668</v>
      </c>
      <c r="L362" s="7">
        <v>4129185</v>
      </c>
      <c r="M362" s="4">
        <f t="shared" si="89"/>
        <v>4141853</v>
      </c>
      <c r="N362" s="290">
        <f t="shared" si="99"/>
        <v>0.12465054686350482</v>
      </c>
      <c r="O362" s="202">
        <f t="shared" si="90"/>
        <v>0.19014832644349627</v>
      </c>
      <c r="P362" s="4"/>
      <c r="Q362" s="4"/>
      <c r="R362" s="4">
        <f t="shared" si="101"/>
        <v>154041</v>
      </c>
      <c r="S362" s="39">
        <f t="shared" si="100"/>
        <v>8</v>
      </c>
      <c r="T362" s="91">
        <f t="shared" si="98"/>
        <v>4</v>
      </c>
      <c r="U362" s="167"/>
      <c r="V362" s="198"/>
    </row>
    <row r="363" spans="1:22" x14ac:dyDescent="0.25">
      <c r="A363" s="107">
        <v>44254</v>
      </c>
      <c r="B363" s="126">
        <v>5469</v>
      </c>
      <c r="C363" s="126">
        <f t="shared" si="96"/>
        <v>2104197</v>
      </c>
      <c r="D363" s="126">
        <v>59</v>
      </c>
      <c r="E363" s="126">
        <f t="shared" si="92"/>
        <v>51912</v>
      </c>
      <c r="F363" s="126">
        <f t="shared" si="93"/>
        <v>6253</v>
      </c>
      <c r="G363" s="155">
        <v>1899087</v>
      </c>
      <c r="H363" s="126">
        <v>3494</v>
      </c>
      <c r="I363" s="126">
        <v>40095</v>
      </c>
      <c r="J363" s="4">
        <f t="shared" si="102"/>
        <v>7394675</v>
      </c>
      <c r="K363" s="7">
        <v>12698</v>
      </c>
      <c r="L363" s="7">
        <v>4146549</v>
      </c>
      <c r="M363" s="4">
        <f t="shared" si="89"/>
        <v>4159247</v>
      </c>
      <c r="N363" s="290">
        <f t="shared" si="99"/>
        <v>0.23952174484299041</v>
      </c>
      <c r="O363" s="202">
        <f t="shared" si="90"/>
        <v>0.20062210485302517</v>
      </c>
      <c r="P363" s="4"/>
      <c r="Q363" s="4"/>
      <c r="R363" s="4">
        <f t="shared" si="101"/>
        <v>153198</v>
      </c>
      <c r="S363" s="39">
        <f t="shared" si="100"/>
        <v>19</v>
      </c>
      <c r="T363" s="91">
        <f t="shared" si="98"/>
        <v>-843</v>
      </c>
      <c r="U363" s="167"/>
      <c r="V363" s="198"/>
    </row>
    <row r="364" spans="1:22" x14ac:dyDescent="0.25">
      <c r="A364" s="107">
        <v>44255</v>
      </c>
      <c r="B364" s="126">
        <v>3168</v>
      </c>
      <c r="C364" s="126">
        <f t="shared" si="96"/>
        <v>2107365</v>
      </c>
      <c r="D364" s="126">
        <v>19</v>
      </c>
      <c r="E364" s="126">
        <f t="shared" ref="E364:E378" si="103">E363+D364</f>
        <v>51931</v>
      </c>
      <c r="F364" s="126">
        <f t="shared" ref="F364:F378" si="104">G364-G363</f>
        <v>5934</v>
      </c>
      <c r="G364" s="155">
        <v>1905021</v>
      </c>
      <c r="H364" s="126">
        <v>3505</v>
      </c>
      <c r="I364" s="126">
        <v>30915</v>
      </c>
      <c r="J364" s="4">
        <f t="shared" si="102"/>
        <v>7425590</v>
      </c>
      <c r="K364" s="7">
        <v>12841</v>
      </c>
      <c r="L364" s="7">
        <v>4175784</v>
      </c>
      <c r="M364" s="4">
        <f t="shared" si="89"/>
        <v>4188625</v>
      </c>
      <c r="N364" s="290">
        <f t="shared" si="99"/>
        <v>9.776872511804463E-2</v>
      </c>
      <c r="O364" s="202">
        <f t="shared" si="90"/>
        <v>0.18761059598859683</v>
      </c>
      <c r="P364" s="4"/>
      <c r="Q364" s="4"/>
      <c r="R364" s="4">
        <f t="shared" si="101"/>
        <v>150413</v>
      </c>
      <c r="S364" s="39">
        <f t="shared" si="100"/>
        <v>11</v>
      </c>
      <c r="T364" s="91">
        <f t="shared" si="98"/>
        <v>-2785</v>
      </c>
      <c r="U364" s="167"/>
      <c r="V364" s="198"/>
    </row>
    <row r="365" spans="1:22" x14ac:dyDescent="0.25">
      <c r="A365" s="107">
        <v>44256</v>
      </c>
      <c r="B365" s="126">
        <v>4658</v>
      </c>
      <c r="C365" s="126">
        <f t="shared" si="96"/>
        <v>2112023</v>
      </c>
      <c r="D365" s="126">
        <v>112</v>
      </c>
      <c r="E365" s="126">
        <f t="shared" si="103"/>
        <v>52043</v>
      </c>
      <c r="F365" s="126">
        <f t="shared" si="104"/>
        <v>6317</v>
      </c>
      <c r="G365" s="155">
        <v>1911338</v>
      </c>
      <c r="H365" s="126">
        <v>3505</v>
      </c>
      <c r="I365" s="126">
        <v>30136</v>
      </c>
      <c r="J365" s="4">
        <f t="shared" si="102"/>
        <v>7455726</v>
      </c>
      <c r="K365" s="7">
        <v>12890</v>
      </c>
      <c r="L365" s="7">
        <v>4195306</v>
      </c>
      <c r="M365" s="4">
        <f t="shared" si="89"/>
        <v>4208196</v>
      </c>
      <c r="N365" s="290">
        <f t="shared" si="99"/>
        <v>0.19263854425144747</v>
      </c>
      <c r="O365" s="202">
        <f t="shared" si="90"/>
        <v>0.1927729748312916</v>
      </c>
      <c r="P365" s="4"/>
      <c r="Q365" s="4"/>
      <c r="R365" s="4">
        <f t="shared" si="101"/>
        <v>148642</v>
      </c>
      <c r="S365" s="39">
        <f t="shared" si="100"/>
        <v>0</v>
      </c>
      <c r="T365" s="91">
        <f t="shared" si="98"/>
        <v>-1771</v>
      </c>
      <c r="U365" s="167"/>
      <c r="V365" s="198"/>
    </row>
    <row r="366" spans="1:22" x14ac:dyDescent="0.25">
      <c r="A366" s="107">
        <v>44257</v>
      </c>
      <c r="B366" s="126">
        <v>6653</v>
      </c>
      <c r="C366" s="126">
        <f t="shared" si="96"/>
        <v>2118676</v>
      </c>
      <c r="D366" s="126">
        <v>116</v>
      </c>
      <c r="E366" s="126">
        <f t="shared" si="103"/>
        <v>52159</v>
      </c>
      <c r="F366" s="126">
        <f t="shared" si="104"/>
        <v>5598</v>
      </c>
      <c r="G366" s="155">
        <v>1916936</v>
      </c>
      <c r="H366" s="126">
        <v>3527</v>
      </c>
      <c r="I366" s="126">
        <v>43912</v>
      </c>
      <c r="J366" s="4">
        <f t="shared" si="102"/>
        <v>7499638</v>
      </c>
      <c r="K366" s="7">
        <v>12962</v>
      </c>
      <c r="L366" s="7">
        <v>4221954</v>
      </c>
      <c r="M366" s="4">
        <f t="shared" si="89"/>
        <v>4234916</v>
      </c>
      <c r="N366" s="290">
        <f t="shared" si="99"/>
        <v>0.19978379027656828</v>
      </c>
      <c r="O366" s="202">
        <f t="shared" si="90"/>
        <v>0.19330693885521175</v>
      </c>
      <c r="P366" s="4"/>
      <c r="Q366" s="4"/>
      <c r="R366" s="4">
        <f t="shared" si="101"/>
        <v>149581</v>
      </c>
      <c r="S366" s="39">
        <f t="shared" si="100"/>
        <v>22</v>
      </c>
      <c r="T366" s="91">
        <f t="shared" si="98"/>
        <v>939</v>
      </c>
      <c r="U366" s="167"/>
      <c r="V366" s="198"/>
    </row>
    <row r="367" spans="1:22" x14ac:dyDescent="0.25">
      <c r="A367" s="107">
        <v>44258</v>
      </c>
      <c r="B367" s="126">
        <v>7855</v>
      </c>
      <c r="C367" s="126">
        <f t="shared" si="96"/>
        <v>2126531</v>
      </c>
      <c r="D367" s="126">
        <v>262</v>
      </c>
      <c r="E367" s="126">
        <f t="shared" si="103"/>
        <v>52421</v>
      </c>
      <c r="F367" s="126">
        <f t="shared" si="104"/>
        <v>4653</v>
      </c>
      <c r="G367" s="155">
        <v>1921589</v>
      </c>
      <c r="H367" s="126">
        <v>3521</v>
      </c>
      <c r="I367" s="126">
        <v>54559</v>
      </c>
      <c r="J367" s="4">
        <f t="shared" si="102"/>
        <v>7554197</v>
      </c>
      <c r="K367" s="7">
        <v>13013</v>
      </c>
      <c r="L367" s="7">
        <v>4258155</v>
      </c>
      <c r="M367" s="4">
        <f t="shared" si="89"/>
        <v>4271168</v>
      </c>
      <c r="N367" s="290">
        <f t="shared" si="99"/>
        <v>0.17829580533865988</v>
      </c>
      <c r="O367" s="202">
        <f t="shared" si="90"/>
        <v>0.17759984716355662</v>
      </c>
      <c r="P367" s="4"/>
      <c r="Q367" s="4"/>
      <c r="R367" s="4">
        <f t="shared" si="101"/>
        <v>152521</v>
      </c>
      <c r="S367" s="39">
        <f t="shared" si="100"/>
        <v>-6</v>
      </c>
      <c r="T367" s="91">
        <f t="shared" si="98"/>
        <v>2940</v>
      </c>
      <c r="U367" s="167"/>
      <c r="V367" s="198"/>
    </row>
    <row r="368" spans="1:22" x14ac:dyDescent="0.25">
      <c r="A368" s="107">
        <v>44259</v>
      </c>
      <c r="B368" s="126">
        <v>7432</v>
      </c>
      <c r="C368" s="126">
        <f t="shared" si="96"/>
        <v>2133963</v>
      </c>
      <c r="D368" s="126">
        <v>191</v>
      </c>
      <c r="E368" s="126">
        <f t="shared" si="103"/>
        <v>52612</v>
      </c>
      <c r="F368" s="126">
        <f t="shared" si="104"/>
        <v>6788</v>
      </c>
      <c r="G368" s="155">
        <v>1928377</v>
      </c>
      <c r="H368" s="126">
        <v>3489</v>
      </c>
      <c r="I368" s="126">
        <v>52553</v>
      </c>
      <c r="J368" s="4">
        <f t="shared" si="102"/>
        <v>7606750</v>
      </c>
      <c r="K368" s="7">
        <v>13099</v>
      </c>
      <c r="L368" s="7">
        <v>4288679</v>
      </c>
      <c r="M368" s="4">
        <f t="shared" si="89"/>
        <v>4301778</v>
      </c>
      <c r="N368" s="290">
        <f t="shared" si="99"/>
        <v>0.19580566972283697</v>
      </c>
      <c r="O368" s="202">
        <f t="shared" si="90"/>
        <v>0.17549497520200749</v>
      </c>
      <c r="P368" s="4"/>
      <c r="Q368" s="4"/>
      <c r="R368" s="4">
        <f t="shared" ref="R368:R383" si="105">C368-E368-G368</f>
        <v>152974</v>
      </c>
      <c r="S368" s="39">
        <f t="shared" ref="S368:S382" si="106">H368-H367</f>
        <v>-32</v>
      </c>
      <c r="T368" s="91">
        <f t="shared" ref="T368:T382" si="107">(C368-G368-E368)-(C367-E367-G367)</f>
        <v>453</v>
      </c>
      <c r="U368" s="167"/>
      <c r="V368" s="198"/>
    </row>
    <row r="369" spans="1:22" x14ac:dyDescent="0.25">
      <c r="A369" s="107">
        <v>44260</v>
      </c>
      <c r="B369" s="126">
        <v>7891</v>
      </c>
      <c r="C369" s="126">
        <f t="shared" si="96"/>
        <v>2141854</v>
      </c>
      <c r="D369" s="126">
        <v>140</v>
      </c>
      <c r="E369" s="126">
        <f t="shared" si="103"/>
        <v>52752</v>
      </c>
      <c r="F369" s="126">
        <f t="shared" si="104"/>
        <v>6468</v>
      </c>
      <c r="G369" s="155">
        <v>1934845</v>
      </c>
      <c r="H369" s="126">
        <v>3485</v>
      </c>
      <c r="I369" s="126">
        <v>42063</v>
      </c>
      <c r="J369" s="4">
        <f t="shared" si="102"/>
        <v>7648813</v>
      </c>
      <c r="K369" s="7">
        <v>13197</v>
      </c>
      <c r="L369" s="7">
        <v>4316933</v>
      </c>
      <c r="M369" s="4">
        <f t="shared" si="89"/>
        <v>4330130</v>
      </c>
      <c r="N369" s="290">
        <f t="shared" si="99"/>
        <v>0.21831511965693734</v>
      </c>
      <c r="O369" s="202">
        <f t="shared" si="90"/>
        <v>0.18887562845821212</v>
      </c>
      <c r="P369" s="4"/>
      <c r="Q369" s="4"/>
      <c r="R369" s="4">
        <f t="shared" si="105"/>
        <v>154257</v>
      </c>
      <c r="S369" s="39">
        <f t="shared" si="106"/>
        <v>-4</v>
      </c>
      <c r="T369" s="91">
        <f t="shared" si="107"/>
        <v>1283</v>
      </c>
      <c r="U369" s="167"/>
      <c r="V369" s="198"/>
    </row>
    <row r="370" spans="1:22" x14ac:dyDescent="0.25">
      <c r="A370" s="107">
        <v>44261</v>
      </c>
      <c r="B370" s="126">
        <v>4860</v>
      </c>
      <c r="C370" s="126">
        <f t="shared" si="96"/>
        <v>2146714</v>
      </c>
      <c r="D370" s="126">
        <v>86</v>
      </c>
      <c r="E370" s="126">
        <f t="shared" si="103"/>
        <v>52838</v>
      </c>
      <c r="F370" s="126">
        <f t="shared" si="104"/>
        <v>5472</v>
      </c>
      <c r="G370" s="155">
        <v>1940317</v>
      </c>
      <c r="H370" s="126">
        <v>3475</v>
      </c>
      <c r="I370" s="126">
        <v>37730</v>
      </c>
      <c r="J370" s="4">
        <f t="shared" si="102"/>
        <v>7686543</v>
      </c>
      <c r="K370" s="7">
        <v>13197</v>
      </c>
      <c r="L370" s="7">
        <v>4316933</v>
      </c>
      <c r="M370" s="4">
        <f>L370+K370</f>
        <v>4330130</v>
      </c>
      <c r="N370" s="290">
        <f t="shared" si="99"/>
        <v>1</v>
      </c>
      <c r="O370" s="202">
        <f t="shared" si="90"/>
        <v>0.29751537919492776</v>
      </c>
      <c r="P370" s="4"/>
      <c r="Q370" s="4"/>
      <c r="R370" s="4">
        <f t="shared" si="105"/>
        <v>153559</v>
      </c>
      <c r="S370" s="39">
        <f t="shared" si="106"/>
        <v>-10</v>
      </c>
      <c r="T370" s="91">
        <f t="shared" si="107"/>
        <v>-698</v>
      </c>
      <c r="U370" s="167"/>
      <c r="V370" s="198"/>
    </row>
    <row r="371" spans="1:22" x14ac:dyDescent="0.25">
      <c r="A371" s="107">
        <v>44262</v>
      </c>
      <c r="B371" s="126">
        <v>2922</v>
      </c>
      <c r="C371" s="126">
        <f t="shared" si="96"/>
        <v>2149636</v>
      </c>
      <c r="D371" s="126">
        <v>10</v>
      </c>
      <c r="E371" s="126">
        <f t="shared" si="103"/>
        <v>52848</v>
      </c>
      <c r="F371" s="126">
        <f t="shared" si="104"/>
        <v>5499</v>
      </c>
      <c r="G371" s="155">
        <v>1945816</v>
      </c>
      <c r="H371" s="126">
        <v>3467</v>
      </c>
      <c r="I371" s="126">
        <v>22839</v>
      </c>
      <c r="J371" s="4">
        <f t="shared" si="102"/>
        <v>7709382</v>
      </c>
      <c r="K371" s="7">
        <v>13283</v>
      </c>
      <c r="L371" s="7">
        <v>4351403</v>
      </c>
      <c r="M371" s="4">
        <f t="shared" si="89"/>
        <v>4364686</v>
      </c>
      <c r="N371" s="290">
        <f t="shared" ref="N371:N396" si="108">B371/(B371+(L371-L370))</f>
        <v>7.814505776636714E-2</v>
      </c>
      <c r="O371" s="202">
        <f t="shared" si="90"/>
        <v>0.29471199814468813</v>
      </c>
      <c r="P371" s="4"/>
      <c r="Q371" s="4"/>
      <c r="R371" s="4">
        <f t="shared" si="105"/>
        <v>150972</v>
      </c>
      <c r="S371" s="39">
        <f t="shared" si="106"/>
        <v>-8</v>
      </c>
      <c r="T371" s="91">
        <f t="shared" si="107"/>
        <v>-2587</v>
      </c>
      <c r="U371" s="167"/>
      <c r="V371" s="198"/>
    </row>
    <row r="372" spans="1:22" x14ac:dyDescent="0.25">
      <c r="A372" s="107">
        <v>44263</v>
      </c>
      <c r="B372" s="126">
        <v>5058</v>
      </c>
      <c r="C372" s="126">
        <f t="shared" si="96"/>
        <v>2154694</v>
      </c>
      <c r="D372" s="199">
        <v>239</v>
      </c>
      <c r="E372" s="126">
        <f t="shared" si="103"/>
        <v>53087</v>
      </c>
      <c r="F372" s="126">
        <f t="shared" si="104"/>
        <v>5724</v>
      </c>
      <c r="G372" s="155">
        <v>1951540</v>
      </c>
      <c r="H372" s="126">
        <v>3484</v>
      </c>
      <c r="I372" s="126">
        <v>28407</v>
      </c>
      <c r="J372" s="4">
        <f t="shared" si="102"/>
        <v>7737789</v>
      </c>
      <c r="K372" s="7">
        <v>13343</v>
      </c>
      <c r="L372" s="7">
        <v>4368459</v>
      </c>
      <c r="M372" s="4">
        <f t="shared" si="89"/>
        <v>4381802</v>
      </c>
      <c r="N372" s="42">
        <f t="shared" si="108"/>
        <v>0.22872388532151577</v>
      </c>
      <c r="O372" s="202">
        <f t="shared" si="90"/>
        <v>0.29986704686898363</v>
      </c>
      <c r="P372" s="4"/>
      <c r="Q372" s="4"/>
      <c r="R372" s="4">
        <f t="shared" si="105"/>
        <v>150067</v>
      </c>
      <c r="S372" s="39">
        <f t="shared" si="106"/>
        <v>17</v>
      </c>
      <c r="T372" s="91">
        <f t="shared" si="107"/>
        <v>-905</v>
      </c>
      <c r="U372" s="167"/>
      <c r="V372" s="198"/>
    </row>
    <row r="373" spans="1:22" x14ac:dyDescent="0.25">
      <c r="A373" s="107">
        <v>44264</v>
      </c>
      <c r="B373" s="126">
        <v>7307</v>
      </c>
      <c r="C373" s="126">
        <f t="shared" si="96"/>
        <v>2162001</v>
      </c>
      <c r="D373" s="126">
        <v>131</v>
      </c>
      <c r="E373" s="126">
        <f t="shared" si="103"/>
        <v>53218</v>
      </c>
      <c r="F373" s="126">
        <f t="shared" si="104"/>
        <v>5051</v>
      </c>
      <c r="G373" s="155">
        <v>1956591</v>
      </c>
      <c r="H373" s="126">
        <v>3525</v>
      </c>
      <c r="I373" s="126">
        <v>42565</v>
      </c>
      <c r="J373" s="4">
        <f t="shared" ref="J373:J387" si="109">J374-I374</f>
        <v>7780354</v>
      </c>
      <c r="K373" s="7">
        <v>13426</v>
      </c>
      <c r="L373" s="7">
        <v>4392812</v>
      </c>
      <c r="M373" s="4">
        <f t="shared" si="89"/>
        <v>4406238</v>
      </c>
      <c r="N373" s="42">
        <f t="shared" si="108"/>
        <v>0.23079595704358813</v>
      </c>
      <c r="O373" s="202">
        <f t="shared" si="90"/>
        <v>0.30429735640712929</v>
      </c>
      <c r="P373" s="4"/>
      <c r="Q373" s="4"/>
      <c r="R373" s="4">
        <f t="shared" si="105"/>
        <v>152192</v>
      </c>
      <c r="S373" s="39">
        <f t="shared" si="106"/>
        <v>41</v>
      </c>
      <c r="T373" s="91">
        <f t="shared" si="107"/>
        <v>2125</v>
      </c>
      <c r="U373" s="167"/>
      <c r="V373" s="198"/>
    </row>
    <row r="374" spans="1:22" x14ac:dyDescent="0.25">
      <c r="A374" s="107">
        <v>44265</v>
      </c>
      <c r="B374" s="126">
        <v>7693</v>
      </c>
      <c r="C374" s="126">
        <f t="shared" si="96"/>
        <v>2169694</v>
      </c>
      <c r="D374" s="126">
        <v>107</v>
      </c>
      <c r="E374" s="126">
        <f t="shared" si="103"/>
        <v>53325</v>
      </c>
      <c r="F374" s="126">
        <f t="shared" si="104"/>
        <v>5049</v>
      </c>
      <c r="G374" s="155">
        <v>1961640</v>
      </c>
      <c r="H374" s="126">
        <v>3491</v>
      </c>
      <c r="I374" s="126">
        <v>45460</v>
      </c>
      <c r="J374" s="4">
        <f t="shared" si="109"/>
        <v>7825814</v>
      </c>
      <c r="K374" s="7">
        <v>13539</v>
      </c>
      <c r="L374" s="7">
        <v>4419508</v>
      </c>
      <c r="M374" s="4">
        <f t="shared" si="89"/>
        <v>4433047</v>
      </c>
      <c r="N374" s="42">
        <f t="shared" si="108"/>
        <v>0.22370525458722265</v>
      </c>
      <c r="O374" s="202">
        <f t="shared" si="90"/>
        <v>0.31078442058549538</v>
      </c>
      <c r="P374" s="4"/>
      <c r="Q374" s="4"/>
      <c r="R374" s="4">
        <f t="shared" si="105"/>
        <v>154729</v>
      </c>
      <c r="S374" s="39">
        <f t="shared" si="106"/>
        <v>-34</v>
      </c>
      <c r="T374" s="91">
        <f t="shared" si="107"/>
        <v>2537</v>
      </c>
      <c r="U374" s="167"/>
      <c r="V374" s="198"/>
    </row>
    <row r="375" spans="1:22" x14ac:dyDescent="0.25">
      <c r="A375" s="107">
        <v>44266</v>
      </c>
      <c r="B375" s="126">
        <v>8204</v>
      </c>
      <c r="C375" s="126">
        <f t="shared" ref="C375:C392" si="110">C374+B375</f>
        <v>2177898</v>
      </c>
      <c r="D375" s="126">
        <v>133</v>
      </c>
      <c r="E375" s="126">
        <f t="shared" si="103"/>
        <v>53458</v>
      </c>
      <c r="F375" s="126">
        <f t="shared" si="104"/>
        <v>6822</v>
      </c>
      <c r="G375" s="155">
        <v>1968462</v>
      </c>
      <c r="H375" s="126">
        <v>3438</v>
      </c>
      <c r="I375" s="126">
        <v>50248</v>
      </c>
      <c r="J375" s="4">
        <f t="shared" si="109"/>
        <v>7876062</v>
      </c>
      <c r="K375" s="7">
        <v>13624</v>
      </c>
      <c r="L375" s="7">
        <v>4452083</v>
      </c>
      <c r="M375" s="4">
        <f t="shared" si="89"/>
        <v>4465707</v>
      </c>
      <c r="N375" s="42">
        <f t="shared" si="108"/>
        <v>0.20118198092155276</v>
      </c>
      <c r="O375" s="202">
        <f t="shared" si="90"/>
        <v>0.31155246504245487</v>
      </c>
      <c r="P375" s="4"/>
      <c r="Q375" s="4"/>
      <c r="R375" s="4">
        <f t="shared" si="105"/>
        <v>155978</v>
      </c>
      <c r="S375" s="39">
        <f t="shared" si="106"/>
        <v>-53</v>
      </c>
      <c r="T375" s="91">
        <f t="shared" si="107"/>
        <v>1249</v>
      </c>
      <c r="U375" s="167"/>
      <c r="V375" s="198"/>
    </row>
    <row r="376" spans="1:22" x14ac:dyDescent="0.25">
      <c r="A376" s="107">
        <v>44267</v>
      </c>
      <c r="B376" s="126">
        <v>7849</v>
      </c>
      <c r="C376" s="126">
        <f t="shared" si="110"/>
        <v>2185747</v>
      </c>
      <c r="D376" s="126">
        <v>86</v>
      </c>
      <c r="E376" s="126">
        <f t="shared" si="103"/>
        <v>53544</v>
      </c>
      <c r="F376" s="126">
        <f t="shared" si="104"/>
        <v>6404</v>
      </c>
      <c r="G376" s="155">
        <v>1974866</v>
      </c>
      <c r="H376" s="126">
        <v>3417</v>
      </c>
      <c r="I376" s="126">
        <v>53578</v>
      </c>
      <c r="J376" s="4">
        <f t="shared" si="109"/>
        <v>7929640</v>
      </c>
      <c r="K376" s="7">
        <v>13823</v>
      </c>
      <c r="L376" s="7">
        <v>4476389</v>
      </c>
      <c r="M376" s="4">
        <f t="shared" si="89"/>
        <v>4490212</v>
      </c>
      <c r="N376" s="42">
        <f t="shared" si="108"/>
        <v>0.24409889597263257</v>
      </c>
      <c r="O376" s="202">
        <f t="shared" si="90"/>
        <v>0.31523586165898271</v>
      </c>
      <c r="P376" s="4"/>
      <c r="Q376" s="4"/>
      <c r="R376" s="4">
        <f t="shared" si="105"/>
        <v>157337</v>
      </c>
      <c r="S376" s="39">
        <f t="shared" si="106"/>
        <v>-21</v>
      </c>
      <c r="T376" s="91">
        <f t="shared" si="107"/>
        <v>1359</v>
      </c>
      <c r="U376" s="167"/>
      <c r="V376" s="198"/>
    </row>
    <row r="377" spans="1:22" x14ac:dyDescent="0.25">
      <c r="A377" s="107">
        <v>44268</v>
      </c>
      <c r="B377" s="126">
        <v>6278</v>
      </c>
      <c r="C377" s="126">
        <f t="shared" si="110"/>
        <v>2192025</v>
      </c>
      <c r="D377" s="126">
        <v>68</v>
      </c>
      <c r="E377" s="126">
        <f t="shared" si="103"/>
        <v>53612</v>
      </c>
      <c r="F377" s="126">
        <f t="shared" si="104"/>
        <v>6291</v>
      </c>
      <c r="G377" s="155">
        <v>1981157</v>
      </c>
      <c r="H377" s="126">
        <v>3454</v>
      </c>
      <c r="I377" s="126">
        <v>42812</v>
      </c>
      <c r="J377" s="4">
        <f t="shared" si="109"/>
        <v>7972452</v>
      </c>
      <c r="K377" s="7">
        <v>13891</v>
      </c>
      <c r="L377" s="7">
        <v>4502329</v>
      </c>
      <c r="M377" s="4">
        <f t="shared" si="89"/>
        <v>4516220</v>
      </c>
      <c r="N377" s="42">
        <f t="shared" si="108"/>
        <v>0.19486001614004594</v>
      </c>
      <c r="O377" s="202">
        <f>AVERAGE(N371:N377)</f>
        <v>0.20021586396470356</v>
      </c>
      <c r="P377" s="4"/>
      <c r="Q377" s="4"/>
      <c r="R377" s="4">
        <f t="shared" si="105"/>
        <v>157256</v>
      </c>
      <c r="S377" s="39">
        <f t="shared" si="106"/>
        <v>37</v>
      </c>
      <c r="T377" s="91">
        <f t="shared" si="107"/>
        <v>-81</v>
      </c>
      <c r="U377" s="167"/>
      <c r="V377" s="198"/>
    </row>
    <row r="378" spans="1:22" x14ac:dyDescent="0.25">
      <c r="A378" s="107">
        <v>44269</v>
      </c>
      <c r="B378" s="126">
        <v>3697</v>
      </c>
      <c r="C378" s="126">
        <f t="shared" si="110"/>
        <v>2195722</v>
      </c>
      <c r="D378" s="126">
        <v>24</v>
      </c>
      <c r="E378" s="126">
        <f t="shared" si="103"/>
        <v>53636</v>
      </c>
      <c r="F378" s="126">
        <f t="shared" si="104"/>
        <v>5746</v>
      </c>
      <c r="G378" s="155">
        <v>1986903</v>
      </c>
      <c r="H378" s="126">
        <v>3479</v>
      </c>
      <c r="I378" s="4">
        <v>26221</v>
      </c>
      <c r="J378" s="4">
        <f t="shared" si="109"/>
        <v>7998673</v>
      </c>
      <c r="K378" s="7">
        <v>13964</v>
      </c>
      <c r="L378" s="7">
        <v>4518854</v>
      </c>
      <c r="M378" s="4">
        <f t="shared" si="89"/>
        <v>4532818</v>
      </c>
      <c r="N378" s="42">
        <f t="shared" si="108"/>
        <v>0.18282069033725645</v>
      </c>
      <c r="O378" s="202">
        <f t="shared" ref="O378:O413" si="111">AVERAGE(N372:N378)</f>
        <v>0.21516952576054491</v>
      </c>
      <c r="P378" s="4"/>
      <c r="Q378" s="4"/>
      <c r="R378" s="4">
        <f t="shared" si="105"/>
        <v>155183</v>
      </c>
      <c r="S378" s="39">
        <f t="shared" si="106"/>
        <v>25</v>
      </c>
      <c r="T378" s="91">
        <f t="shared" si="107"/>
        <v>-2073</v>
      </c>
      <c r="U378" s="167"/>
      <c r="V378" s="198"/>
    </row>
    <row r="379" spans="1:22" x14ac:dyDescent="0.25">
      <c r="A379" s="107">
        <v>44270</v>
      </c>
      <c r="B379" s="126">
        <v>6164</v>
      </c>
      <c r="C379" s="126">
        <f t="shared" si="110"/>
        <v>2201886</v>
      </c>
      <c r="D379" s="126">
        <v>166</v>
      </c>
      <c r="E379" s="126">
        <f t="shared" ref="E379:E398" si="112">E378+D379</f>
        <v>53802</v>
      </c>
      <c r="F379" s="126">
        <f t="shared" ref="F379:F384" si="113">G379-G378</f>
        <v>6312</v>
      </c>
      <c r="G379" s="155">
        <v>1993215</v>
      </c>
      <c r="H379" s="126">
        <v>3469</v>
      </c>
      <c r="I379" s="4">
        <v>34040</v>
      </c>
      <c r="J379" s="4">
        <f t="shared" si="109"/>
        <v>8032713</v>
      </c>
      <c r="K379" s="7">
        <v>14058</v>
      </c>
      <c r="L379" s="7">
        <v>4540295</v>
      </c>
      <c r="M379" s="4">
        <f t="shared" si="89"/>
        <v>4554353</v>
      </c>
      <c r="N379" s="42">
        <f t="shared" si="108"/>
        <v>0.22329288172432529</v>
      </c>
      <c r="O379" s="202">
        <f t="shared" si="111"/>
        <v>0.21439366810380342</v>
      </c>
      <c r="P379" s="4"/>
      <c r="Q379" s="4"/>
      <c r="R379" s="4">
        <f t="shared" si="105"/>
        <v>154869</v>
      </c>
      <c r="S379" s="39">
        <f t="shared" si="106"/>
        <v>-10</v>
      </c>
      <c r="T379" s="91">
        <f t="shared" si="107"/>
        <v>-314</v>
      </c>
      <c r="U379" s="167"/>
      <c r="V379" s="198"/>
    </row>
    <row r="380" spans="1:22" x14ac:dyDescent="0.25">
      <c r="A380" s="107">
        <v>44271</v>
      </c>
      <c r="B380" s="126">
        <v>8235</v>
      </c>
      <c r="C380" s="126">
        <f t="shared" si="110"/>
        <v>2210121</v>
      </c>
      <c r="D380" s="126">
        <v>202</v>
      </c>
      <c r="E380" s="126">
        <f t="shared" si="112"/>
        <v>54004</v>
      </c>
      <c r="F380" s="126">
        <f t="shared" si="113"/>
        <v>5379</v>
      </c>
      <c r="G380" s="155">
        <v>1998594</v>
      </c>
      <c r="H380" s="126">
        <v>3469</v>
      </c>
      <c r="I380" s="4">
        <v>49875</v>
      </c>
      <c r="J380" s="4">
        <f t="shared" si="109"/>
        <v>8082588</v>
      </c>
      <c r="K380" s="7">
        <v>14170</v>
      </c>
      <c r="L380" s="7">
        <v>4569928</v>
      </c>
      <c r="M380" s="4">
        <f t="shared" si="89"/>
        <v>4584098</v>
      </c>
      <c r="N380" s="42">
        <f t="shared" si="108"/>
        <v>0.21746593429808808</v>
      </c>
      <c r="O380" s="202">
        <f t="shared" si="111"/>
        <v>0.21248937914016053</v>
      </c>
      <c r="P380" s="4"/>
      <c r="Q380" s="4"/>
      <c r="R380" s="4">
        <f t="shared" si="105"/>
        <v>157523</v>
      </c>
      <c r="S380" s="39">
        <f t="shared" si="106"/>
        <v>0</v>
      </c>
      <c r="T380" s="91">
        <f t="shared" si="107"/>
        <v>2654</v>
      </c>
      <c r="U380" s="167"/>
    </row>
    <row r="381" spans="1:22" x14ac:dyDescent="0.25">
      <c r="A381" s="107">
        <v>44272</v>
      </c>
      <c r="B381" s="126">
        <v>8304</v>
      </c>
      <c r="C381" s="126">
        <f t="shared" si="110"/>
        <v>2218425</v>
      </c>
      <c r="D381" s="126">
        <v>195</v>
      </c>
      <c r="E381" s="126">
        <f t="shared" si="112"/>
        <v>54199</v>
      </c>
      <c r="F381" s="126">
        <f t="shared" si="113"/>
        <v>4527</v>
      </c>
      <c r="G381" s="155">
        <v>2003121</v>
      </c>
      <c r="H381" s="126">
        <v>3485</v>
      </c>
      <c r="I381" s="4">
        <v>55017</v>
      </c>
      <c r="J381" s="4">
        <f t="shared" si="109"/>
        <v>8137605</v>
      </c>
      <c r="K381" s="7">
        <v>14274</v>
      </c>
      <c r="L381" s="7">
        <v>4602424</v>
      </c>
      <c r="M381" s="4">
        <f t="shared" si="89"/>
        <v>4616698</v>
      </c>
      <c r="N381" s="42">
        <f t="shared" si="108"/>
        <v>0.20352941176470588</v>
      </c>
      <c r="O381" s="202">
        <f t="shared" si="111"/>
        <v>0.20960711587980099</v>
      </c>
      <c r="P381" s="4"/>
      <c r="Q381" s="4"/>
      <c r="R381" s="4">
        <f t="shared" si="105"/>
        <v>161105</v>
      </c>
      <c r="S381" s="39">
        <f t="shared" si="106"/>
        <v>16</v>
      </c>
      <c r="T381" s="91">
        <f t="shared" si="107"/>
        <v>3582</v>
      </c>
      <c r="U381" s="167"/>
    </row>
    <row r="382" spans="1:22" x14ac:dyDescent="0.25">
      <c r="A382" s="107">
        <v>44273</v>
      </c>
      <c r="B382" s="126">
        <v>8328</v>
      </c>
      <c r="C382" s="126">
        <f t="shared" si="110"/>
        <v>2226753</v>
      </c>
      <c r="D382" s="256">
        <v>153</v>
      </c>
      <c r="E382" s="126">
        <f t="shared" si="112"/>
        <v>54352</v>
      </c>
      <c r="F382" s="126">
        <f t="shared" si="113"/>
        <v>6756</v>
      </c>
      <c r="G382" s="155">
        <v>2009877</v>
      </c>
      <c r="H382" s="126">
        <v>3522</v>
      </c>
      <c r="I382" s="4">
        <v>52192</v>
      </c>
      <c r="J382" s="4">
        <f t="shared" si="109"/>
        <v>8189797</v>
      </c>
      <c r="K382" s="7">
        <v>14378</v>
      </c>
      <c r="L382" s="7">
        <v>4634650</v>
      </c>
      <c r="M382" s="4">
        <f t="shared" si="89"/>
        <v>4649028</v>
      </c>
      <c r="N382" s="42">
        <f t="shared" si="108"/>
        <v>0.2053558218671401</v>
      </c>
      <c r="O382" s="202">
        <f t="shared" si="111"/>
        <v>0.21020337887202775</v>
      </c>
      <c r="P382" s="4"/>
      <c r="Q382" s="4"/>
      <c r="R382" s="4">
        <f t="shared" si="105"/>
        <v>162524</v>
      </c>
      <c r="S382" s="39">
        <f t="shared" si="106"/>
        <v>37</v>
      </c>
      <c r="T382" s="91">
        <f t="shared" si="107"/>
        <v>1419</v>
      </c>
      <c r="U382" s="167"/>
      <c r="V382" s="167"/>
    </row>
    <row r="383" spans="1:22" x14ac:dyDescent="0.25">
      <c r="A383" s="107">
        <v>44274</v>
      </c>
      <c r="B383" s="126">
        <v>8160</v>
      </c>
      <c r="C383" s="126">
        <f t="shared" si="110"/>
        <v>2234913</v>
      </c>
      <c r="D383" s="126">
        <v>113</v>
      </c>
      <c r="E383" s="126">
        <f t="shared" si="112"/>
        <v>54465</v>
      </c>
      <c r="F383" s="126">
        <f t="shared" si="113"/>
        <v>6852</v>
      </c>
      <c r="G383" s="155">
        <v>2016729</v>
      </c>
      <c r="H383" s="126">
        <v>3534</v>
      </c>
      <c r="I383" s="4">
        <v>61579</v>
      </c>
      <c r="J383" s="4">
        <f t="shared" si="109"/>
        <v>8251376</v>
      </c>
      <c r="K383" s="7">
        <v>14496</v>
      </c>
      <c r="L383" s="7">
        <v>4671212</v>
      </c>
      <c r="M383" s="4">
        <f t="shared" si="89"/>
        <v>4685708</v>
      </c>
      <c r="N383" s="42">
        <f t="shared" si="108"/>
        <v>0.18246053396538617</v>
      </c>
      <c r="O383" s="202">
        <f t="shared" si="111"/>
        <v>0.20139789858527829</v>
      </c>
      <c r="P383" s="4"/>
      <c r="Q383" s="4"/>
      <c r="R383" s="4">
        <f t="shared" si="105"/>
        <v>163719</v>
      </c>
      <c r="S383" s="39">
        <f t="shared" ref="S383:S398" si="114">H383-H382</f>
        <v>12</v>
      </c>
      <c r="T383" s="91">
        <f t="shared" ref="T383:T397" si="115">(C383-G383-E383)-(C382-E382-G382)</f>
        <v>1195</v>
      </c>
      <c r="U383" s="167"/>
    </row>
    <row r="384" spans="1:22" x14ac:dyDescent="0.25">
      <c r="A384" s="107">
        <v>44275</v>
      </c>
      <c r="B384" s="126">
        <v>6826</v>
      </c>
      <c r="C384" s="126">
        <f t="shared" si="110"/>
        <v>2241739</v>
      </c>
      <c r="D384" s="126">
        <v>42</v>
      </c>
      <c r="E384" s="126">
        <f t="shared" si="112"/>
        <v>54507</v>
      </c>
      <c r="F384" s="126">
        <f t="shared" si="113"/>
        <v>6935</v>
      </c>
      <c r="G384" s="155">
        <v>2023664</v>
      </c>
      <c r="H384" s="126">
        <v>3534</v>
      </c>
      <c r="I384" s="4">
        <v>57789</v>
      </c>
      <c r="J384" s="4">
        <f t="shared" si="109"/>
        <v>8309165</v>
      </c>
      <c r="K384" s="7">
        <v>14641</v>
      </c>
      <c r="L384" s="7">
        <v>4709648</v>
      </c>
      <c r="M384" s="4">
        <f t="shared" si="89"/>
        <v>4724289</v>
      </c>
      <c r="N384" s="42">
        <f t="shared" si="108"/>
        <v>0.15081083469577128</v>
      </c>
      <c r="O384" s="202">
        <f t="shared" si="111"/>
        <v>0.19510515837895334</v>
      </c>
      <c r="P384" s="4"/>
      <c r="Q384" s="4"/>
      <c r="R384" s="4">
        <f t="shared" ref="R384:R397" si="116">C384-E384-G384</f>
        <v>163568</v>
      </c>
      <c r="S384" s="39">
        <f t="shared" si="114"/>
        <v>0</v>
      </c>
      <c r="T384" s="91">
        <f t="shared" si="115"/>
        <v>-151</v>
      </c>
      <c r="U384" s="167"/>
    </row>
    <row r="385" spans="1:21" x14ac:dyDescent="0.25">
      <c r="A385" s="107">
        <v>44276</v>
      </c>
      <c r="B385" s="126">
        <v>4032</v>
      </c>
      <c r="C385" s="126">
        <f t="shared" si="110"/>
        <v>2245771</v>
      </c>
      <c r="D385" s="126">
        <v>28</v>
      </c>
      <c r="E385" s="126">
        <f t="shared" si="112"/>
        <v>54535</v>
      </c>
      <c r="F385" s="126">
        <f t="shared" ref="F385:F398" si="117">G385-G384</f>
        <v>6489</v>
      </c>
      <c r="G385" s="155">
        <v>2030153</v>
      </c>
      <c r="H385" s="126">
        <v>3534</v>
      </c>
      <c r="I385" s="4">
        <v>31233</v>
      </c>
      <c r="J385" s="4">
        <f t="shared" si="109"/>
        <v>8340398</v>
      </c>
      <c r="K385" s="7">
        <v>14672</v>
      </c>
      <c r="L385" s="7">
        <v>4732074</v>
      </c>
      <c r="M385" s="4">
        <f t="shared" si="89"/>
        <v>4746746</v>
      </c>
      <c r="N385" s="42">
        <f t="shared" si="108"/>
        <v>0.1523924710862499</v>
      </c>
      <c r="O385" s="202">
        <f t="shared" si="111"/>
        <v>0.1907582699145238</v>
      </c>
      <c r="P385" s="4"/>
      <c r="Q385" s="4"/>
      <c r="R385" s="4">
        <f t="shared" si="116"/>
        <v>161083</v>
      </c>
      <c r="S385" s="39">
        <f t="shared" si="114"/>
        <v>0</v>
      </c>
      <c r="T385" s="91">
        <f t="shared" si="115"/>
        <v>-2485</v>
      </c>
      <c r="U385" s="167"/>
    </row>
    <row r="386" spans="1:21" x14ac:dyDescent="0.25">
      <c r="A386" s="107">
        <v>44277</v>
      </c>
      <c r="B386" s="126">
        <v>6401</v>
      </c>
      <c r="C386" s="126">
        <f t="shared" si="110"/>
        <v>2252172</v>
      </c>
      <c r="D386" s="126">
        <v>125</v>
      </c>
      <c r="E386" s="126">
        <f t="shared" si="112"/>
        <v>54660</v>
      </c>
      <c r="F386" s="126">
        <f t="shared" si="117"/>
        <v>7533</v>
      </c>
      <c r="G386" s="155">
        <v>2037686</v>
      </c>
      <c r="H386" s="126">
        <v>3530</v>
      </c>
      <c r="I386" s="4">
        <v>43438</v>
      </c>
      <c r="J386" s="4">
        <f t="shared" si="109"/>
        <v>8383836</v>
      </c>
      <c r="K386" s="7">
        <v>14773</v>
      </c>
      <c r="L386" s="7">
        <v>4756568</v>
      </c>
      <c r="M386" s="4">
        <f t="shared" si="89"/>
        <v>4771341</v>
      </c>
      <c r="N386" s="42">
        <f t="shared" si="108"/>
        <v>0.20718562874251498</v>
      </c>
      <c r="O386" s="202">
        <f t="shared" si="111"/>
        <v>0.18845723377426518</v>
      </c>
      <c r="P386" s="4"/>
      <c r="Q386" s="4"/>
      <c r="R386" s="4">
        <f t="shared" si="116"/>
        <v>159826</v>
      </c>
      <c r="S386" s="39">
        <f t="shared" si="114"/>
        <v>-4</v>
      </c>
      <c r="T386" s="91">
        <f t="shared" si="115"/>
        <v>-1257</v>
      </c>
      <c r="U386" s="167"/>
    </row>
    <row r="387" spans="1:21" x14ac:dyDescent="0.25">
      <c r="A387" s="107">
        <v>44278</v>
      </c>
      <c r="B387" s="126">
        <v>9405</v>
      </c>
      <c r="C387" s="126">
        <f t="shared" si="110"/>
        <v>2261577</v>
      </c>
      <c r="D387" s="126">
        <v>153</v>
      </c>
      <c r="E387" s="126">
        <f t="shared" si="112"/>
        <v>54813</v>
      </c>
      <c r="F387" s="126">
        <f t="shared" si="117"/>
        <v>6271</v>
      </c>
      <c r="G387" s="155">
        <v>2043957</v>
      </c>
      <c r="H387" s="126">
        <v>3591</v>
      </c>
      <c r="I387" s="4">
        <v>49703</v>
      </c>
      <c r="J387" s="4">
        <f t="shared" si="109"/>
        <v>8433539</v>
      </c>
      <c r="K387" s="7">
        <v>14892</v>
      </c>
      <c r="L387" s="7">
        <v>4786032</v>
      </c>
      <c r="M387" s="4">
        <f t="shared" si="89"/>
        <v>4800924</v>
      </c>
      <c r="N387" s="42">
        <f t="shared" si="108"/>
        <v>0.2419666057783838</v>
      </c>
      <c r="O387" s="202">
        <f t="shared" si="111"/>
        <v>0.19195732970002172</v>
      </c>
      <c r="P387" s="4"/>
      <c r="Q387" s="4"/>
      <c r="R387" s="4">
        <f t="shared" si="116"/>
        <v>162807</v>
      </c>
      <c r="S387" s="39">
        <f t="shared" si="114"/>
        <v>61</v>
      </c>
      <c r="T387" s="91">
        <f t="shared" si="115"/>
        <v>2981</v>
      </c>
      <c r="U387" s="167"/>
    </row>
    <row r="388" spans="1:21" x14ac:dyDescent="0.25">
      <c r="A388" s="107">
        <v>44279</v>
      </c>
      <c r="B388" s="126">
        <v>8300</v>
      </c>
      <c r="C388" s="126">
        <f t="shared" si="110"/>
        <v>2269877</v>
      </c>
      <c r="D388" s="126">
        <v>123</v>
      </c>
      <c r="E388" s="126">
        <f t="shared" si="112"/>
        <v>54936</v>
      </c>
      <c r="F388" s="126">
        <f t="shared" si="117"/>
        <v>5078</v>
      </c>
      <c r="G388" s="155">
        <v>2049035</v>
      </c>
      <c r="H388" s="126">
        <v>3574</v>
      </c>
      <c r="I388" s="4">
        <v>44058</v>
      </c>
      <c r="J388" s="4">
        <f>J389-I389</f>
        <v>8477597</v>
      </c>
      <c r="K388" s="7">
        <v>15009</v>
      </c>
      <c r="L388" s="7">
        <v>4813948</v>
      </c>
      <c r="M388" s="4">
        <f t="shared" si="89"/>
        <v>4828957</v>
      </c>
      <c r="N388" s="42">
        <f t="shared" si="108"/>
        <v>0.22918047271924011</v>
      </c>
      <c r="O388" s="202">
        <f t="shared" si="111"/>
        <v>0.19562176697924091</v>
      </c>
      <c r="P388" s="4"/>
      <c r="Q388" s="4"/>
      <c r="R388" s="4">
        <f t="shared" si="116"/>
        <v>165906</v>
      </c>
      <c r="S388" s="39">
        <f t="shared" si="114"/>
        <v>-17</v>
      </c>
      <c r="T388" s="91">
        <f t="shared" si="115"/>
        <v>3099</v>
      </c>
      <c r="U388" s="167"/>
    </row>
    <row r="389" spans="1:21" x14ac:dyDescent="0.25">
      <c r="A389" s="107">
        <v>44280</v>
      </c>
      <c r="B389" s="126">
        <v>8238</v>
      </c>
      <c r="C389" s="126">
        <f t="shared" si="110"/>
        <v>2278115</v>
      </c>
      <c r="D389" s="126">
        <v>146</v>
      </c>
      <c r="E389" s="126">
        <f t="shared" si="112"/>
        <v>55082</v>
      </c>
      <c r="F389" s="126">
        <f t="shared" si="117"/>
        <v>7437</v>
      </c>
      <c r="G389" s="155">
        <v>2056472</v>
      </c>
      <c r="H389" s="126">
        <v>3585</v>
      </c>
      <c r="I389" s="4">
        <v>40224</v>
      </c>
      <c r="J389" s="4">
        <v>8517821</v>
      </c>
      <c r="K389" s="8">
        <v>15109</v>
      </c>
      <c r="L389" s="7">
        <v>4837873</v>
      </c>
      <c r="M389" s="4">
        <f t="shared" si="89"/>
        <v>4852982</v>
      </c>
      <c r="N389" s="42">
        <f t="shared" si="108"/>
        <v>0.25613282343065014</v>
      </c>
      <c r="O389" s="202">
        <f t="shared" si="111"/>
        <v>0.20287562434545661</v>
      </c>
      <c r="P389" s="4"/>
      <c r="Q389" s="4"/>
      <c r="R389" s="4">
        <f t="shared" si="116"/>
        <v>166561</v>
      </c>
      <c r="S389" s="39">
        <f t="shared" si="114"/>
        <v>11</v>
      </c>
      <c r="T389" s="91">
        <f t="shared" si="115"/>
        <v>655</v>
      </c>
      <c r="U389" s="167"/>
    </row>
    <row r="390" spans="1:21" x14ac:dyDescent="0.25">
      <c r="A390" s="107">
        <v>44281</v>
      </c>
      <c r="B390" s="126">
        <v>12936</v>
      </c>
      <c r="C390" s="126">
        <f t="shared" si="110"/>
        <v>2291051</v>
      </c>
      <c r="D390" s="126">
        <v>143</v>
      </c>
      <c r="E390" s="126">
        <f t="shared" si="112"/>
        <v>55225</v>
      </c>
      <c r="F390" s="126">
        <f t="shared" si="117"/>
        <v>8007</v>
      </c>
      <c r="G390" s="155">
        <v>2064479</v>
      </c>
      <c r="H390" s="126">
        <v>3508</v>
      </c>
      <c r="I390" s="4">
        <v>88074</v>
      </c>
      <c r="J390" s="4">
        <f>J389+I390</f>
        <v>8605895</v>
      </c>
      <c r="K390" s="8">
        <v>15194</v>
      </c>
      <c r="L390" s="7">
        <v>4887389</v>
      </c>
      <c r="M390" s="4">
        <f t="shared" si="89"/>
        <v>4902583</v>
      </c>
      <c r="N390" s="42">
        <f t="shared" si="108"/>
        <v>0.20713507974124126</v>
      </c>
      <c r="O390" s="202">
        <f t="shared" si="111"/>
        <v>0.20640055945629307</v>
      </c>
      <c r="P390" s="4"/>
      <c r="Q390" s="4"/>
      <c r="R390" s="4">
        <f t="shared" si="116"/>
        <v>171347</v>
      </c>
      <c r="S390" s="39">
        <f t="shared" si="114"/>
        <v>-77</v>
      </c>
      <c r="T390" s="91">
        <f t="shared" si="115"/>
        <v>4786</v>
      </c>
      <c r="U390" s="167"/>
    </row>
    <row r="391" spans="1:21" x14ac:dyDescent="0.25">
      <c r="A391" s="107">
        <v>44282</v>
      </c>
      <c r="B391" s="126">
        <v>10338</v>
      </c>
      <c r="C391" s="126">
        <f t="shared" si="110"/>
        <v>2301389</v>
      </c>
      <c r="D391" s="126">
        <v>133</v>
      </c>
      <c r="E391" s="126">
        <f t="shared" si="112"/>
        <v>55358</v>
      </c>
      <c r="F391" s="126">
        <f t="shared" si="117"/>
        <v>7749</v>
      </c>
      <c r="G391" s="155">
        <v>2072228</v>
      </c>
      <c r="H391" s="126">
        <v>3506</v>
      </c>
      <c r="I391" s="4">
        <v>44828</v>
      </c>
      <c r="J391" s="4">
        <f>J390+I391</f>
        <v>8650723</v>
      </c>
      <c r="K391" s="7">
        <v>15244</v>
      </c>
      <c r="L391" s="7">
        <v>4915050</v>
      </c>
      <c r="M391" s="4">
        <f t="shared" si="89"/>
        <v>4930294</v>
      </c>
      <c r="N391" s="42">
        <f t="shared" si="108"/>
        <v>0.27205979104713279</v>
      </c>
      <c r="O391" s="202">
        <f t="shared" si="111"/>
        <v>0.22372183893505898</v>
      </c>
      <c r="P391" s="4"/>
      <c r="Q391" s="4"/>
      <c r="R391" s="4">
        <f t="shared" si="116"/>
        <v>173803</v>
      </c>
      <c r="S391" s="39">
        <f t="shared" si="114"/>
        <v>-2</v>
      </c>
      <c r="T391" s="91">
        <f t="shared" si="115"/>
        <v>2456</v>
      </c>
      <c r="U391" s="167"/>
    </row>
    <row r="392" spans="1:21" x14ac:dyDescent="0.25">
      <c r="A392" s="107">
        <v>44283</v>
      </c>
      <c r="B392" s="126">
        <v>7208</v>
      </c>
      <c r="C392" s="126">
        <f t="shared" si="110"/>
        <v>2308597</v>
      </c>
      <c r="D392" s="126">
        <v>81</v>
      </c>
      <c r="E392" s="126">
        <f t="shared" si="112"/>
        <v>55439</v>
      </c>
      <c r="F392" s="126">
        <f t="shared" si="117"/>
        <v>7287</v>
      </c>
      <c r="G392" s="155">
        <v>2079515</v>
      </c>
      <c r="H392" s="126">
        <v>3505</v>
      </c>
      <c r="I392" s="4">
        <v>37193</v>
      </c>
      <c r="J392" s="4">
        <f>J391+I392</f>
        <v>8687916</v>
      </c>
      <c r="K392" s="7">
        <v>15262</v>
      </c>
      <c r="L392" s="7">
        <v>4937915</v>
      </c>
      <c r="M392" s="4">
        <f t="shared" si="89"/>
        <v>4953177</v>
      </c>
      <c r="N392" s="42">
        <f t="shared" si="108"/>
        <v>0.23968343697003958</v>
      </c>
      <c r="O392" s="202">
        <f t="shared" si="111"/>
        <v>0.23619197691845753</v>
      </c>
      <c r="P392" s="4"/>
      <c r="Q392" s="4"/>
      <c r="R392" s="4">
        <f t="shared" si="116"/>
        <v>173643</v>
      </c>
      <c r="S392" s="39">
        <f t="shared" si="114"/>
        <v>-1</v>
      </c>
      <c r="T392" s="91">
        <f t="shared" si="115"/>
        <v>-160</v>
      </c>
      <c r="U392" s="167"/>
    </row>
    <row r="393" spans="1:21" x14ac:dyDescent="0.25">
      <c r="A393" s="107">
        <v>44284</v>
      </c>
      <c r="B393" s="126">
        <v>14014</v>
      </c>
      <c r="C393" s="126">
        <f>C392+B393</f>
        <v>2322611</v>
      </c>
      <c r="D393" s="126">
        <v>163</v>
      </c>
      <c r="E393" s="126">
        <f t="shared" si="112"/>
        <v>55602</v>
      </c>
      <c r="F393" s="126">
        <f t="shared" si="117"/>
        <v>8741</v>
      </c>
      <c r="G393" s="155">
        <v>2088256</v>
      </c>
      <c r="H393" s="126">
        <v>3639</v>
      </c>
      <c r="I393" s="4">
        <v>57830</v>
      </c>
      <c r="J393" s="4">
        <f t="shared" ref="J393:J429" si="118">J392+I393</f>
        <v>8745746</v>
      </c>
      <c r="K393" s="7">
        <v>15319</v>
      </c>
      <c r="L393" s="7">
        <v>4975797</v>
      </c>
      <c r="M393" s="4">
        <f t="shared" si="89"/>
        <v>4991116</v>
      </c>
      <c r="N393" s="42">
        <f t="shared" si="108"/>
        <v>0.27004008016032066</v>
      </c>
      <c r="O393" s="202">
        <f t="shared" si="111"/>
        <v>0.24517118426385834</v>
      </c>
      <c r="P393" s="4"/>
      <c r="Q393" s="4"/>
      <c r="R393" s="4">
        <f t="shared" si="116"/>
        <v>178753</v>
      </c>
      <c r="S393" s="39">
        <f t="shared" si="114"/>
        <v>134</v>
      </c>
      <c r="T393" s="91">
        <f t="shared" si="115"/>
        <v>5110</v>
      </c>
      <c r="U393" s="167"/>
    </row>
    <row r="394" spans="1:21" x14ac:dyDescent="0.25">
      <c r="A394" s="107">
        <v>44285</v>
      </c>
      <c r="B394" s="126">
        <v>10154</v>
      </c>
      <c r="C394" s="126">
        <f>C393+B394</f>
        <v>2332765</v>
      </c>
      <c r="D394" s="126">
        <v>125</v>
      </c>
      <c r="E394" s="126">
        <f t="shared" si="112"/>
        <v>55727</v>
      </c>
      <c r="F394" s="126">
        <f t="shared" si="117"/>
        <v>7597</v>
      </c>
      <c r="G394" s="155">
        <v>2095853</v>
      </c>
      <c r="H394" s="126">
        <v>3702</v>
      </c>
      <c r="I394" s="4">
        <v>78400</v>
      </c>
      <c r="J394" s="4">
        <f t="shared" si="118"/>
        <v>8824146</v>
      </c>
      <c r="K394" s="7">
        <v>15377</v>
      </c>
      <c r="L394" s="7">
        <v>5003806</v>
      </c>
      <c r="M394" s="4">
        <f t="shared" si="89"/>
        <v>5019183</v>
      </c>
      <c r="N394" s="42">
        <f t="shared" si="108"/>
        <v>0.26606922935827898</v>
      </c>
      <c r="O394" s="202">
        <f t="shared" si="111"/>
        <v>0.24861441620384334</v>
      </c>
      <c r="P394" s="4"/>
      <c r="Q394" s="4"/>
      <c r="R394" s="4">
        <f t="shared" si="116"/>
        <v>181185</v>
      </c>
      <c r="S394" s="39">
        <f t="shared" si="114"/>
        <v>63</v>
      </c>
      <c r="T394" s="91">
        <f t="shared" si="115"/>
        <v>2432</v>
      </c>
      <c r="U394" s="167"/>
    </row>
    <row r="395" spans="1:21" ht="15.75" customHeight="1" x14ac:dyDescent="0.25">
      <c r="A395" s="107">
        <v>44286</v>
      </c>
      <c r="B395" s="126">
        <v>16056</v>
      </c>
      <c r="C395" s="126">
        <f>C394+B395</f>
        <v>2348821</v>
      </c>
      <c r="D395" s="126">
        <v>124</v>
      </c>
      <c r="E395" s="126">
        <f t="shared" si="112"/>
        <v>55851</v>
      </c>
      <c r="F395" s="126">
        <f t="shared" si="117"/>
        <v>6763</v>
      </c>
      <c r="G395" s="155">
        <v>2102616</v>
      </c>
      <c r="H395" s="126">
        <v>3638</v>
      </c>
      <c r="I395" s="4">
        <v>56334</v>
      </c>
      <c r="J395" s="4">
        <f t="shared" si="118"/>
        <v>8880480</v>
      </c>
      <c r="K395" s="7">
        <v>15549</v>
      </c>
      <c r="L395" s="7">
        <v>5041337</v>
      </c>
      <c r="M395" s="4">
        <f t="shared" si="89"/>
        <v>5056886</v>
      </c>
      <c r="N395" s="42">
        <f t="shared" si="108"/>
        <v>0.29962490902644295</v>
      </c>
      <c r="O395" s="202">
        <f t="shared" si="111"/>
        <v>0.25867790710487232</v>
      </c>
      <c r="P395" s="4"/>
      <c r="Q395" s="4"/>
      <c r="R395" s="4">
        <f t="shared" si="116"/>
        <v>190354</v>
      </c>
      <c r="S395" s="39">
        <f t="shared" si="114"/>
        <v>-64</v>
      </c>
      <c r="T395" s="91">
        <f t="shared" si="115"/>
        <v>9169</v>
      </c>
      <c r="U395" s="167"/>
    </row>
    <row r="396" spans="1:21" x14ac:dyDescent="0.25">
      <c r="A396" s="107">
        <v>44287</v>
      </c>
      <c r="B396" s="126">
        <v>14430</v>
      </c>
      <c r="C396" s="126">
        <f>C395+B396</f>
        <v>2363251</v>
      </c>
      <c r="D396" s="126">
        <v>83</v>
      </c>
      <c r="E396" s="126">
        <f t="shared" si="112"/>
        <v>55934</v>
      </c>
      <c r="F396" s="126">
        <f t="shared" si="117"/>
        <v>9650</v>
      </c>
      <c r="G396" s="155">
        <v>2112266</v>
      </c>
      <c r="H396" s="126">
        <v>3639</v>
      </c>
      <c r="I396" s="4">
        <v>52292</v>
      </c>
      <c r="J396" s="4">
        <f t="shared" si="118"/>
        <v>8932772</v>
      </c>
      <c r="K396" s="7">
        <v>15599</v>
      </c>
      <c r="L396" s="7">
        <v>5072149</v>
      </c>
      <c r="M396" s="4">
        <f t="shared" ref="M396:M428" si="119">L396+K396</f>
        <v>5087748</v>
      </c>
      <c r="N396" s="42">
        <f t="shared" si="108"/>
        <v>0.31895141682507405</v>
      </c>
      <c r="O396" s="202">
        <f t="shared" si="111"/>
        <v>0.26765199187550431</v>
      </c>
      <c r="P396" s="4"/>
      <c r="Q396" s="4"/>
      <c r="R396" s="4">
        <f t="shared" si="116"/>
        <v>195051</v>
      </c>
      <c r="S396" s="39">
        <f t="shared" si="114"/>
        <v>1</v>
      </c>
      <c r="T396" s="91">
        <f t="shared" si="115"/>
        <v>4697</v>
      </c>
      <c r="U396" s="167"/>
    </row>
    <row r="397" spans="1:21" x14ac:dyDescent="0.25">
      <c r="A397" s="107">
        <v>44288</v>
      </c>
      <c r="B397" s="126">
        <v>9902</v>
      </c>
      <c r="C397" s="126">
        <f>C396+B397</f>
        <v>2373153</v>
      </c>
      <c r="D397" s="126">
        <v>82</v>
      </c>
      <c r="E397" s="126">
        <f t="shared" si="112"/>
        <v>56016</v>
      </c>
      <c r="F397" s="126">
        <f t="shared" si="117"/>
        <v>9688</v>
      </c>
      <c r="G397" s="155">
        <v>2121954</v>
      </c>
      <c r="H397" s="126">
        <v>3619</v>
      </c>
      <c r="I397" s="4">
        <v>50043</v>
      </c>
      <c r="J397" s="4">
        <f t="shared" si="118"/>
        <v>8982815</v>
      </c>
      <c r="K397" s="7">
        <v>15670</v>
      </c>
      <c r="L397" s="7">
        <v>5096601</v>
      </c>
      <c r="M397" s="4">
        <f t="shared" si="119"/>
        <v>5112271</v>
      </c>
      <c r="N397" s="42">
        <f t="shared" ref="N397:N408" si="120">B397/(B397+(L397-L396))</f>
        <v>0.28823426675205216</v>
      </c>
      <c r="O397" s="202">
        <f t="shared" si="111"/>
        <v>0.27923759001990583</v>
      </c>
      <c r="P397" s="4"/>
      <c r="Q397" s="4"/>
      <c r="R397" s="4">
        <f t="shared" si="116"/>
        <v>195183</v>
      </c>
      <c r="S397" s="39">
        <f t="shared" si="114"/>
        <v>-20</v>
      </c>
      <c r="T397" s="91">
        <f t="shared" si="115"/>
        <v>132</v>
      </c>
      <c r="U397" s="167"/>
    </row>
    <row r="398" spans="1:21" x14ac:dyDescent="0.25">
      <c r="A398" s="107">
        <v>44289</v>
      </c>
      <c r="B398" s="126">
        <v>10384</v>
      </c>
      <c r="C398" s="126">
        <f t="shared" ref="C398:C439" si="121">C397+B398</f>
        <v>2383537</v>
      </c>
      <c r="D398" s="126">
        <v>83</v>
      </c>
      <c r="E398" s="126">
        <f t="shared" si="112"/>
        <v>56099</v>
      </c>
      <c r="F398" s="126">
        <f t="shared" si="117"/>
        <v>8686</v>
      </c>
      <c r="G398" s="155">
        <v>2130640</v>
      </c>
      <c r="H398" s="126">
        <v>3618</v>
      </c>
      <c r="I398" s="4">
        <v>54024</v>
      </c>
      <c r="J398" s="4">
        <f t="shared" si="118"/>
        <v>9036839</v>
      </c>
      <c r="K398" s="7">
        <v>15685</v>
      </c>
      <c r="L398" s="7">
        <v>5127710</v>
      </c>
      <c r="M398" s="4">
        <f t="shared" si="119"/>
        <v>5143395</v>
      </c>
      <c r="N398" s="42">
        <f t="shared" si="120"/>
        <v>0.25025907984479312</v>
      </c>
      <c r="O398" s="202">
        <f t="shared" si="111"/>
        <v>0.2761232027052859</v>
      </c>
      <c r="P398" s="4"/>
      <c r="Q398" s="4"/>
      <c r="R398" s="4">
        <f t="shared" ref="R398:R403" si="122">C398-E398-G398</f>
        <v>196798</v>
      </c>
      <c r="S398" s="39">
        <f t="shared" si="114"/>
        <v>-1</v>
      </c>
      <c r="T398" s="91">
        <f t="shared" ref="T398:T403" si="123">(C398-G398-E398)-(C397-E397-G397)</f>
        <v>1615</v>
      </c>
      <c r="U398" s="167"/>
    </row>
    <row r="399" spans="1:21" x14ac:dyDescent="0.25">
      <c r="A399" s="109">
        <v>44290</v>
      </c>
      <c r="B399" s="133">
        <v>9955</v>
      </c>
      <c r="C399" s="133">
        <f t="shared" si="121"/>
        <v>2393492</v>
      </c>
      <c r="D399" s="133">
        <v>93</v>
      </c>
      <c r="E399" s="133">
        <f t="shared" ref="E399:E431" si="124">E398+D399</f>
        <v>56192</v>
      </c>
      <c r="F399" s="133">
        <f t="shared" ref="F399:F431" si="125">G399-G398</f>
        <v>9840</v>
      </c>
      <c r="G399" s="156">
        <v>2140480</v>
      </c>
      <c r="H399" s="133">
        <v>3626</v>
      </c>
      <c r="I399" s="27">
        <v>33159</v>
      </c>
      <c r="J399" s="27">
        <f t="shared" si="118"/>
        <v>9069998</v>
      </c>
      <c r="K399" s="30">
        <v>15697</v>
      </c>
      <c r="L399" s="30">
        <v>5144935</v>
      </c>
      <c r="M399" s="27">
        <f t="shared" si="119"/>
        <v>5160632</v>
      </c>
      <c r="N399" s="42">
        <f t="shared" si="120"/>
        <v>0.36626195732155997</v>
      </c>
      <c r="O399" s="262">
        <f t="shared" si="111"/>
        <v>0.29420584846978881</v>
      </c>
      <c r="P399" s="27"/>
      <c r="Q399" s="27"/>
      <c r="R399" s="27">
        <f t="shared" si="122"/>
        <v>196820</v>
      </c>
      <c r="S399" s="67">
        <f t="shared" ref="S399:S432" si="126">H399-H398</f>
        <v>8</v>
      </c>
      <c r="T399" s="121">
        <f t="shared" si="123"/>
        <v>22</v>
      </c>
      <c r="U399" s="167"/>
    </row>
    <row r="400" spans="1:21" x14ac:dyDescent="0.25">
      <c r="A400" s="107">
        <v>44291</v>
      </c>
      <c r="B400" s="126">
        <v>13667</v>
      </c>
      <c r="C400" s="126">
        <f t="shared" si="121"/>
        <v>2407159</v>
      </c>
      <c r="D400" s="148">
        <v>271</v>
      </c>
      <c r="E400" s="126">
        <f t="shared" si="124"/>
        <v>56463</v>
      </c>
      <c r="F400" s="126">
        <f t="shared" si="125"/>
        <v>13029</v>
      </c>
      <c r="G400" s="155">
        <v>2153509</v>
      </c>
      <c r="H400" s="126">
        <v>3652</v>
      </c>
      <c r="I400" s="4">
        <v>46037</v>
      </c>
      <c r="J400" s="4">
        <f t="shared" si="118"/>
        <v>9116035</v>
      </c>
      <c r="K400" s="7">
        <v>15817</v>
      </c>
      <c r="L400" s="7">
        <v>5170951</v>
      </c>
      <c r="M400" s="4">
        <f t="shared" si="119"/>
        <v>5186768</v>
      </c>
      <c r="N400" s="4">
        <f t="shared" si="120"/>
        <v>0.34440440490890306</v>
      </c>
      <c r="O400" s="202">
        <f t="shared" si="111"/>
        <v>0.30482932343387203</v>
      </c>
      <c r="P400" s="4"/>
      <c r="Q400" s="4"/>
      <c r="R400" s="4">
        <f t="shared" si="122"/>
        <v>197187</v>
      </c>
      <c r="S400" s="39">
        <f t="shared" si="126"/>
        <v>26</v>
      </c>
      <c r="T400" s="91">
        <f t="shared" si="123"/>
        <v>367</v>
      </c>
      <c r="U400" s="167"/>
    </row>
    <row r="401" spans="1:23" ht="16.5" customHeight="1" x14ac:dyDescent="0.25">
      <c r="A401" s="107">
        <v>44292</v>
      </c>
      <c r="B401" s="126">
        <v>20870</v>
      </c>
      <c r="C401" s="126">
        <f t="shared" si="121"/>
        <v>2428029</v>
      </c>
      <c r="D401" s="126">
        <v>163</v>
      </c>
      <c r="E401" s="126">
        <f t="shared" si="124"/>
        <v>56626</v>
      </c>
      <c r="F401" s="126">
        <f t="shared" si="125"/>
        <v>10536</v>
      </c>
      <c r="G401" s="155">
        <v>2164045</v>
      </c>
      <c r="H401" s="126">
        <v>3642</v>
      </c>
      <c r="I401" s="4">
        <v>75392</v>
      </c>
      <c r="J401" s="4">
        <f t="shared" si="118"/>
        <v>9191427</v>
      </c>
      <c r="K401" s="7">
        <v>15885</v>
      </c>
      <c r="L401" s="7">
        <v>5211391</v>
      </c>
      <c r="M401" s="4">
        <f t="shared" si="119"/>
        <v>5227276</v>
      </c>
      <c r="N401" s="4">
        <f t="shared" si="120"/>
        <v>0.34040123960202251</v>
      </c>
      <c r="O401" s="202">
        <f t="shared" si="111"/>
        <v>0.31544818204012109</v>
      </c>
      <c r="P401" s="4"/>
      <c r="Q401" s="4"/>
      <c r="R401" s="4">
        <f t="shared" si="122"/>
        <v>207358</v>
      </c>
      <c r="S401" s="39">
        <f t="shared" si="126"/>
        <v>-10</v>
      </c>
      <c r="T401" s="91">
        <f t="shared" si="123"/>
        <v>10171</v>
      </c>
      <c r="U401" s="167"/>
    </row>
    <row r="402" spans="1:23" x14ac:dyDescent="0.25">
      <c r="A402" s="107">
        <v>44293</v>
      </c>
      <c r="B402" s="126">
        <v>22039</v>
      </c>
      <c r="C402" s="126">
        <f t="shared" si="121"/>
        <v>2450068</v>
      </c>
      <c r="D402" s="126">
        <v>199</v>
      </c>
      <c r="E402" s="126">
        <f t="shared" si="124"/>
        <v>56825</v>
      </c>
      <c r="F402" s="126">
        <f t="shared" si="125"/>
        <v>10580</v>
      </c>
      <c r="G402" s="155">
        <v>2174625</v>
      </c>
      <c r="H402" s="126">
        <v>3706</v>
      </c>
      <c r="I402" s="4">
        <v>74679</v>
      </c>
      <c r="J402" s="4">
        <f t="shared" si="118"/>
        <v>9266106</v>
      </c>
      <c r="K402" s="7">
        <v>16000</v>
      </c>
      <c r="L402" s="7">
        <v>5249364</v>
      </c>
      <c r="M402" s="4">
        <f t="shared" si="119"/>
        <v>5265364</v>
      </c>
      <c r="N402" s="4">
        <f t="shared" si="120"/>
        <v>0.36724321802306203</v>
      </c>
      <c r="O402" s="202">
        <f t="shared" si="111"/>
        <v>0.32510794046820957</v>
      </c>
      <c r="P402" s="4"/>
      <c r="Q402" s="4"/>
      <c r="R402" s="4">
        <f t="shared" si="122"/>
        <v>218618</v>
      </c>
      <c r="S402" s="39">
        <f t="shared" si="126"/>
        <v>64</v>
      </c>
      <c r="T402" s="91">
        <f t="shared" si="123"/>
        <v>11260</v>
      </c>
      <c r="U402" s="167"/>
    </row>
    <row r="403" spans="1:23" x14ac:dyDescent="0.25">
      <c r="A403" s="107">
        <v>44294</v>
      </c>
      <c r="B403" s="126">
        <v>23683</v>
      </c>
      <c r="C403" s="126">
        <f t="shared" si="121"/>
        <v>2473751</v>
      </c>
      <c r="D403" s="126">
        <v>290</v>
      </c>
      <c r="E403" s="126">
        <f t="shared" si="124"/>
        <v>57115</v>
      </c>
      <c r="F403" s="126">
        <f t="shared" si="125"/>
        <v>14358</v>
      </c>
      <c r="G403" s="155">
        <v>2188983</v>
      </c>
      <c r="H403" s="126">
        <v>3742</v>
      </c>
      <c r="I403" s="4">
        <v>94991</v>
      </c>
      <c r="J403" s="4">
        <f t="shared" si="118"/>
        <v>9361097</v>
      </c>
      <c r="K403" s="7">
        <v>16237</v>
      </c>
      <c r="L403" s="7">
        <v>5303093</v>
      </c>
      <c r="M403" s="4">
        <f t="shared" si="119"/>
        <v>5319330</v>
      </c>
      <c r="N403" s="4">
        <f t="shared" si="120"/>
        <v>0.3059344804423087</v>
      </c>
      <c r="O403" s="202">
        <f t="shared" si="111"/>
        <v>0.32324837812781448</v>
      </c>
      <c r="P403" s="4"/>
      <c r="Q403" s="4"/>
      <c r="R403" s="4">
        <f t="shared" si="122"/>
        <v>227653</v>
      </c>
      <c r="S403" s="39">
        <f t="shared" si="126"/>
        <v>36</v>
      </c>
      <c r="T403" s="91">
        <f t="shared" si="123"/>
        <v>9035</v>
      </c>
      <c r="U403" s="167"/>
    </row>
    <row r="404" spans="1:23" x14ac:dyDescent="0.25">
      <c r="A404" s="107">
        <v>44295</v>
      </c>
      <c r="B404" s="126">
        <v>24130</v>
      </c>
      <c r="C404" s="126">
        <f t="shared" si="121"/>
        <v>2497881</v>
      </c>
      <c r="D404" s="126">
        <v>228</v>
      </c>
      <c r="E404" s="126">
        <f t="shared" si="124"/>
        <v>57343</v>
      </c>
      <c r="F404" s="126">
        <f t="shared" si="125"/>
        <v>14943</v>
      </c>
      <c r="G404" s="155">
        <v>2203926</v>
      </c>
      <c r="H404" s="126">
        <v>3718</v>
      </c>
      <c r="I404" s="4">
        <v>90657</v>
      </c>
      <c r="J404" s="4">
        <f t="shared" si="118"/>
        <v>9451754</v>
      </c>
      <c r="K404" s="7">
        <v>16453</v>
      </c>
      <c r="L404" s="7">
        <v>5344743</v>
      </c>
      <c r="M404" s="4">
        <f t="shared" si="119"/>
        <v>5361196</v>
      </c>
      <c r="N404" s="4">
        <f t="shared" si="120"/>
        <v>0.36682882335056249</v>
      </c>
      <c r="O404" s="202">
        <f t="shared" si="111"/>
        <v>0.33447617192760165</v>
      </c>
      <c r="P404" s="4"/>
      <c r="Q404" s="4"/>
      <c r="R404" s="4">
        <f t="shared" ref="R404:R431" si="127">C404-E404-G404</f>
        <v>236612</v>
      </c>
      <c r="S404" s="39">
        <f t="shared" si="126"/>
        <v>-24</v>
      </c>
      <c r="T404" s="91">
        <f t="shared" ref="T404:T410" si="128">(C404-G404-E404)-(C403-E403-G403)</f>
        <v>8959</v>
      </c>
      <c r="U404" s="167"/>
    </row>
    <row r="405" spans="1:23" x14ac:dyDescent="0.25">
      <c r="A405" s="107">
        <v>44296</v>
      </c>
      <c r="B405" s="126">
        <v>19419</v>
      </c>
      <c r="C405" s="126">
        <f t="shared" si="121"/>
        <v>2517300</v>
      </c>
      <c r="D405" s="126">
        <v>297</v>
      </c>
      <c r="E405" s="126">
        <f t="shared" si="124"/>
        <v>57640</v>
      </c>
      <c r="F405" s="126">
        <f t="shared" si="125"/>
        <v>13857</v>
      </c>
      <c r="G405" s="155">
        <v>2217783</v>
      </c>
      <c r="H405" s="126">
        <v>3761</v>
      </c>
      <c r="I405" s="4">
        <v>75713</v>
      </c>
      <c r="J405" s="4">
        <f t="shared" si="118"/>
        <v>9527467</v>
      </c>
      <c r="K405" s="7">
        <v>16474</v>
      </c>
      <c r="L405" s="7">
        <v>5381903</v>
      </c>
      <c r="M405" s="4">
        <f t="shared" si="119"/>
        <v>5398377</v>
      </c>
      <c r="N405" s="4">
        <f t="shared" si="120"/>
        <v>0.34321921561003199</v>
      </c>
      <c r="O405" s="202">
        <f t="shared" si="111"/>
        <v>0.3477561913226358</v>
      </c>
      <c r="P405" s="4"/>
      <c r="Q405" s="4"/>
      <c r="R405" s="4">
        <f t="shared" si="127"/>
        <v>241877</v>
      </c>
      <c r="S405" s="39">
        <f t="shared" si="126"/>
        <v>43</v>
      </c>
      <c r="T405" s="91">
        <f t="shared" si="128"/>
        <v>5265</v>
      </c>
      <c r="U405" s="167"/>
    </row>
    <row r="406" spans="1:23" x14ac:dyDescent="0.25">
      <c r="A406" s="107">
        <v>44297</v>
      </c>
      <c r="B406" s="126">
        <v>15262</v>
      </c>
      <c r="C406" s="126">
        <f t="shared" si="121"/>
        <v>2532562</v>
      </c>
      <c r="D406" s="126">
        <v>132</v>
      </c>
      <c r="E406" s="126">
        <f t="shared" si="124"/>
        <v>57772</v>
      </c>
      <c r="F406" s="126">
        <f t="shared" si="125"/>
        <v>15357</v>
      </c>
      <c r="G406" s="155">
        <v>2233140</v>
      </c>
      <c r="H406" s="126">
        <v>3789</v>
      </c>
      <c r="I406" s="4">
        <v>63270</v>
      </c>
      <c r="J406" s="4">
        <f t="shared" si="118"/>
        <v>9590737</v>
      </c>
      <c r="K406" s="7">
        <v>16491</v>
      </c>
      <c r="L406" s="7">
        <v>5426954</v>
      </c>
      <c r="M406" s="4">
        <f t="shared" si="119"/>
        <v>5443445</v>
      </c>
      <c r="N406" s="4">
        <f t="shared" si="120"/>
        <v>0.25304660686750785</v>
      </c>
      <c r="O406" s="202">
        <f t="shared" si="111"/>
        <v>0.33158256982919981</v>
      </c>
      <c r="P406" s="4"/>
      <c r="Q406" s="4"/>
      <c r="R406" s="4">
        <f t="shared" si="127"/>
        <v>241650</v>
      </c>
      <c r="S406" s="39">
        <f t="shared" si="126"/>
        <v>28</v>
      </c>
      <c r="T406" s="91">
        <f t="shared" si="128"/>
        <v>-227</v>
      </c>
      <c r="U406" s="167"/>
    </row>
    <row r="407" spans="1:23" x14ac:dyDescent="0.25">
      <c r="A407" s="107">
        <v>44298</v>
      </c>
      <c r="B407" s="126">
        <v>19437</v>
      </c>
      <c r="C407" s="126">
        <f t="shared" si="121"/>
        <v>2551999</v>
      </c>
      <c r="D407" s="126">
        <v>179</v>
      </c>
      <c r="E407" s="126">
        <f t="shared" si="124"/>
        <v>57951</v>
      </c>
      <c r="F407" s="126">
        <f t="shared" si="125"/>
        <v>13984</v>
      </c>
      <c r="G407" s="155">
        <v>2247124</v>
      </c>
      <c r="H407" s="126">
        <v>3819</v>
      </c>
      <c r="I407" s="4">
        <v>64947</v>
      </c>
      <c r="J407" s="4">
        <f t="shared" si="118"/>
        <v>9655684</v>
      </c>
      <c r="K407" s="7">
        <v>16536</v>
      </c>
      <c r="L407" s="7">
        <v>5439883</v>
      </c>
      <c r="M407" s="4">
        <f t="shared" si="119"/>
        <v>5456419</v>
      </c>
      <c r="N407" s="4">
        <f t="shared" si="120"/>
        <v>0.60053760118643018</v>
      </c>
      <c r="O407" s="202">
        <f t="shared" si="111"/>
        <v>0.36817302644027511</v>
      </c>
      <c r="P407" s="4"/>
      <c r="Q407" s="4"/>
      <c r="R407" s="4">
        <f t="shared" si="127"/>
        <v>246924</v>
      </c>
      <c r="S407" s="39">
        <f t="shared" si="126"/>
        <v>30</v>
      </c>
      <c r="T407" s="91">
        <f t="shared" si="128"/>
        <v>5274</v>
      </c>
      <c r="U407" s="167"/>
    </row>
    <row r="408" spans="1:23" x14ac:dyDescent="0.25">
      <c r="A408" s="107">
        <v>44299</v>
      </c>
      <c r="B408" s="126">
        <v>27001</v>
      </c>
      <c r="C408" s="126">
        <f t="shared" si="121"/>
        <v>2579000</v>
      </c>
      <c r="D408" s="148">
        <v>217</v>
      </c>
      <c r="E408" s="126">
        <f t="shared" si="124"/>
        <v>58168</v>
      </c>
      <c r="F408" s="126">
        <f t="shared" si="125"/>
        <v>15751</v>
      </c>
      <c r="G408" s="155">
        <v>2262875</v>
      </c>
      <c r="H408" s="126">
        <v>3836</v>
      </c>
      <c r="I408" s="4">
        <v>87661</v>
      </c>
      <c r="J408" s="4">
        <f t="shared" si="118"/>
        <v>9743345</v>
      </c>
      <c r="K408" s="7">
        <v>16600</v>
      </c>
      <c r="L408" s="7">
        <v>5479564</v>
      </c>
      <c r="M408" s="4">
        <f t="shared" si="119"/>
        <v>5496164</v>
      </c>
      <c r="N408" s="4">
        <f t="shared" si="120"/>
        <v>0.40492186797036683</v>
      </c>
      <c r="O408" s="202">
        <f t="shared" si="111"/>
        <v>0.37739025906432433</v>
      </c>
      <c r="P408" s="4"/>
      <c r="Q408" s="4"/>
      <c r="R408" s="4">
        <f t="shared" si="127"/>
        <v>257957</v>
      </c>
      <c r="S408" s="39">
        <f t="shared" si="126"/>
        <v>17</v>
      </c>
      <c r="T408" s="91">
        <f t="shared" si="128"/>
        <v>11033</v>
      </c>
      <c r="U408" s="167"/>
    </row>
    <row r="409" spans="1:23" x14ac:dyDescent="0.25">
      <c r="A409" s="107">
        <v>44300</v>
      </c>
      <c r="B409" s="126">
        <v>25157</v>
      </c>
      <c r="C409" s="126">
        <f t="shared" si="121"/>
        <v>2604157</v>
      </c>
      <c r="D409" s="126">
        <v>368</v>
      </c>
      <c r="E409" s="126">
        <f t="shared" si="124"/>
        <v>58536</v>
      </c>
      <c r="F409" s="126">
        <f t="shared" si="125"/>
        <v>15611</v>
      </c>
      <c r="G409" s="155">
        <v>2278486</v>
      </c>
      <c r="H409" s="126">
        <v>3879</v>
      </c>
      <c r="I409" s="4">
        <v>89761</v>
      </c>
      <c r="J409" s="4">
        <f t="shared" si="118"/>
        <v>9833106</v>
      </c>
      <c r="K409" s="7">
        <v>16676</v>
      </c>
      <c r="L409" s="7">
        <v>5518723</v>
      </c>
      <c r="M409" s="4">
        <f t="shared" si="119"/>
        <v>5535399</v>
      </c>
      <c r="N409" s="4">
        <f t="shared" ref="N409:N415" si="129">B409/(B409+(L409-L408))</f>
        <v>0.39114683748989365</v>
      </c>
      <c r="O409" s="202">
        <f t="shared" si="111"/>
        <v>0.38080506184530033</v>
      </c>
      <c r="P409" s="4"/>
      <c r="Q409" s="4"/>
      <c r="R409" s="4">
        <f t="shared" si="127"/>
        <v>267135</v>
      </c>
      <c r="S409" s="39">
        <f t="shared" si="126"/>
        <v>43</v>
      </c>
      <c r="T409" s="91">
        <f t="shared" si="128"/>
        <v>9178</v>
      </c>
      <c r="U409" s="167"/>
    </row>
    <row r="410" spans="1:23" x14ac:dyDescent="0.25">
      <c r="A410" s="107">
        <v>44301</v>
      </c>
      <c r="B410" s="126">
        <v>24999</v>
      </c>
      <c r="C410" s="126">
        <f t="shared" si="121"/>
        <v>2629156</v>
      </c>
      <c r="D410" s="126">
        <v>383</v>
      </c>
      <c r="E410" s="126">
        <f t="shared" si="124"/>
        <v>58919</v>
      </c>
      <c r="F410" s="126">
        <f t="shared" si="125"/>
        <v>21746</v>
      </c>
      <c r="G410" s="155">
        <v>2300232</v>
      </c>
      <c r="H410" s="126">
        <v>3900</v>
      </c>
      <c r="I410" s="4">
        <v>70299</v>
      </c>
      <c r="J410" s="4">
        <f t="shared" si="118"/>
        <v>9903405</v>
      </c>
      <c r="K410" s="7">
        <v>16798</v>
      </c>
      <c r="L410" s="7">
        <v>5547020</v>
      </c>
      <c r="M410" s="4">
        <f t="shared" si="119"/>
        <v>5563818</v>
      </c>
      <c r="N410" s="4">
        <f t="shared" si="129"/>
        <v>0.46905959171419992</v>
      </c>
      <c r="O410" s="202">
        <f t="shared" si="111"/>
        <v>0.40410864916985612</v>
      </c>
      <c r="P410" s="4"/>
      <c r="Q410" s="4"/>
      <c r="R410" s="4">
        <f t="shared" si="127"/>
        <v>270005</v>
      </c>
      <c r="S410" s="39">
        <f t="shared" si="126"/>
        <v>21</v>
      </c>
      <c r="T410" s="91">
        <f t="shared" si="128"/>
        <v>2870</v>
      </c>
      <c r="U410" s="167"/>
    </row>
    <row r="411" spans="1:23" x14ac:dyDescent="0.25">
      <c r="A411" s="107">
        <v>44302</v>
      </c>
      <c r="B411" s="126">
        <v>29472</v>
      </c>
      <c r="C411" s="126">
        <f t="shared" si="121"/>
        <v>2658628</v>
      </c>
      <c r="D411" s="126">
        <v>160</v>
      </c>
      <c r="E411" s="126">
        <f t="shared" si="124"/>
        <v>59079</v>
      </c>
      <c r="F411" s="126">
        <f t="shared" si="125"/>
        <v>23875</v>
      </c>
      <c r="G411" s="155">
        <v>2324107</v>
      </c>
      <c r="H411" s="126">
        <v>3971</v>
      </c>
      <c r="I411" s="4">
        <v>120904</v>
      </c>
      <c r="J411" s="4">
        <f t="shared" si="118"/>
        <v>10024309</v>
      </c>
      <c r="K411" s="7">
        <v>16933</v>
      </c>
      <c r="L411" s="7">
        <v>5601790</v>
      </c>
      <c r="M411" s="4">
        <f t="shared" si="119"/>
        <v>5618723</v>
      </c>
      <c r="N411" s="4">
        <f t="shared" si="129"/>
        <v>0.3498492438451129</v>
      </c>
      <c r="O411" s="202">
        <f t="shared" si="111"/>
        <v>0.40168299495479193</v>
      </c>
      <c r="P411" s="4"/>
      <c r="Q411" s="4"/>
      <c r="R411" s="4">
        <f t="shared" si="127"/>
        <v>275442</v>
      </c>
      <c r="S411" s="39">
        <f t="shared" si="126"/>
        <v>71</v>
      </c>
      <c r="T411" s="91">
        <f t="shared" ref="T411:T421" si="130">(C411-G411-E411)-(C410-E410-G410)</f>
        <v>5437</v>
      </c>
      <c r="U411" s="167"/>
      <c r="V411" s="167"/>
      <c r="W411" s="167"/>
    </row>
    <row r="412" spans="1:23" x14ac:dyDescent="0.25">
      <c r="A412" s="371">
        <v>44303</v>
      </c>
      <c r="B412" s="133">
        <v>19119</v>
      </c>
      <c r="C412" s="133">
        <f t="shared" si="121"/>
        <v>2677747</v>
      </c>
      <c r="D412" s="133">
        <v>79</v>
      </c>
      <c r="E412" s="133">
        <f t="shared" si="124"/>
        <v>59158</v>
      </c>
      <c r="F412" s="133">
        <f t="shared" si="125"/>
        <v>19701</v>
      </c>
      <c r="G412" s="156">
        <v>2343808</v>
      </c>
      <c r="H412" s="133">
        <v>3977</v>
      </c>
      <c r="I412" s="27">
        <v>66458</v>
      </c>
      <c r="J412" s="27">
        <f t="shared" si="118"/>
        <v>10090767</v>
      </c>
      <c r="K412" s="30">
        <v>17067</v>
      </c>
      <c r="L412" s="30">
        <v>5636711</v>
      </c>
      <c r="M412" s="27">
        <f t="shared" si="119"/>
        <v>5653778</v>
      </c>
      <c r="N412" s="27">
        <f t="shared" si="129"/>
        <v>0.3537934863064397</v>
      </c>
      <c r="O412" s="262">
        <f t="shared" si="111"/>
        <v>0.40319360505427865</v>
      </c>
      <c r="P412" s="27"/>
      <c r="Q412" s="27"/>
      <c r="R412" s="27">
        <f t="shared" si="127"/>
        <v>274781</v>
      </c>
      <c r="S412" s="67">
        <f t="shared" si="126"/>
        <v>6</v>
      </c>
      <c r="T412" s="121">
        <f t="shared" si="130"/>
        <v>-661</v>
      </c>
    </row>
    <row r="413" spans="1:23" x14ac:dyDescent="0.25">
      <c r="A413" s="345">
        <v>44304</v>
      </c>
      <c r="B413" s="346">
        <v>16267</v>
      </c>
      <c r="C413" s="346">
        <f t="shared" si="121"/>
        <v>2694014</v>
      </c>
      <c r="D413" s="346">
        <v>65</v>
      </c>
      <c r="E413" s="346">
        <f t="shared" si="124"/>
        <v>59223</v>
      </c>
      <c r="F413" s="346">
        <f t="shared" si="125"/>
        <v>20363</v>
      </c>
      <c r="G413" s="347">
        <v>2364171</v>
      </c>
      <c r="H413" s="346">
        <v>4105</v>
      </c>
      <c r="I413" s="111">
        <v>63763</v>
      </c>
      <c r="J413" s="111">
        <f t="shared" si="118"/>
        <v>10154530</v>
      </c>
      <c r="K413" s="112">
        <v>17074</v>
      </c>
      <c r="L413" s="112">
        <v>5664992</v>
      </c>
      <c r="M413" s="111">
        <f t="shared" si="119"/>
        <v>5682066</v>
      </c>
      <c r="N413" s="111">
        <f t="shared" si="129"/>
        <v>0.36515668492412678</v>
      </c>
      <c r="O413" s="372">
        <f t="shared" si="111"/>
        <v>0.41920933049093861</v>
      </c>
      <c r="P413" s="111"/>
      <c r="Q413" s="111"/>
      <c r="R413" s="111">
        <f t="shared" si="127"/>
        <v>270620</v>
      </c>
      <c r="S413" s="325">
        <f t="shared" si="126"/>
        <v>128</v>
      </c>
      <c r="T413" s="373">
        <f t="shared" si="130"/>
        <v>-4161</v>
      </c>
    </row>
    <row r="414" spans="1:23" x14ac:dyDescent="0.25">
      <c r="A414" s="345">
        <v>44305</v>
      </c>
      <c r="B414" s="346">
        <v>20461</v>
      </c>
      <c r="C414" s="346">
        <f t="shared" si="121"/>
        <v>2714475</v>
      </c>
      <c r="D414" s="346">
        <v>248</v>
      </c>
      <c r="E414" s="346">
        <f t="shared" si="124"/>
        <v>59471</v>
      </c>
      <c r="F414" s="346">
        <f t="shared" si="125"/>
        <v>22212</v>
      </c>
      <c r="G414" s="347">
        <v>2386383</v>
      </c>
      <c r="H414" s="346">
        <v>4304</v>
      </c>
      <c r="I414" s="111">
        <v>66703</v>
      </c>
      <c r="J414" s="111">
        <f t="shared" si="118"/>
        <v>10221233</v>
      </c>
      <c r="K414" s="112">
        <v>17174</v>
      </c>
      <c r="L414" s="112">
        <v>5692236</v>
      </c>
      <c r="M414" s="111">
        <f t="shared" si="119"/>
        <v>5709410</v>
      </c>
      <c r="N414" s="111">
        <f t="shared" si="129"/>
        <v>0.42890682318415263</v>
      </c>
      <c r="O414" s="372">
        <f>AVERAGE(N408:N414)</f>
        <v>0.39469064791918462</v>
      </c>
      <c r="P414" s="111"/>
      <c r="Q414" s="111"/>
      <c r="R414" s="111">
        <f t="shared" si="127"/>
        <v>268621</v>
      </c>
      <c r="S414" s="325">
        <f t="shared" si="126"/>
        <v>199</v>
      </c>
      <c r="T414" s="373">
        <f t="shared" si="130"/>
        <v>-1999</v>
      </c>
    </row>
    <row r="415" spans="1:23" x14ac:dyDescent="0.25">
      <c r="A415" s="345">
        <v>44306</v>
      </c>
      <c r="B415" s="346">
        <v>29145</v>
      </c>
      <c r="C415" s="346">
        <f t="shared" si="121"/>
        <v>2743620</v>
      </c>
      <c r="D415" s="346">
        <v>316</v>
      </c>
      <c r="E415" s="346">
        <f t="shared" si="124"/>
        <v>59787</v>
      </c>
      <c r="F415" s="346">
        <f t="shared" si="125"/>
        <v>21470</v>
      </c>
      <c r="G415" s="347">
        <v>2407853</v>
      </c>
      <c r="H415" s="346">
        <v>4366</v>
      </c>
      <c r="I415" s="111">
        <v>99389</v>
      </c>
      <c r="J415" s="111">
        <f t="shared" si="118"/>
        <v>10320622</v>
      </c>
      <c r="K415" s="112">
        <v>17282</v>
      </c>
      <c r="L415" s="112">
        <v>5733986</v>
      </c>
      <c r="M415" s="111">
        <f t="shared" si="119"/>
        <v>5751268</v>
      </c>
      <c r="N415" s="111">
        <f t="shared" si="129"/>
        <v>0.41110092390154451</v>
      </c>
      <c r="O415" s="372">
        <f>AVERAGE(N409:N415)</f>
        <v>0.39557337019506716</v>
      </c>
      <c r="P415" s="111"/>
      <c r="Q415" s="111"/>
      <c r="R415" s="111">
        <f t="shared" si="127"/>
        <v>275980</v>
      </c>
      <c r="S415" s="325">
        <f t="shared" si="126"/>
        <v>62</v>
      </c>
      <c r="T415" s="373">
        <f t="shared" si="130"/>
        <v>7359</v>
      </c>
    </row>
    <row r="416" spans="1:23" x14ac:dyDescent="0.25">
      <c r="A416" s="345">
        <v>44307</v>
      </c>
      <c r="B416" s="346">
        <v>25932</v>
      </c>
      <c r="C416" s="346">
        <f t="shared" si="121"/>
        <v>2769552</v>
      </c>
      <c r="D416" s="346">
        <v>290</v>
      </c>
      <c r="E416" s="346">
        <f t="shared" si="124"/>
        <v>60077</v>
      </c>
      <c r="F416" s="346">
        <f t="shared" si="125"/>
        <v>16822</v>
      </c>
      <c r="G416" s="347">
        <v>2424675</v>
      </c>
      <c r="H416" s="346">
        <v>4492</v>
      </c>
      <c r="I416" s="111">
        <v>101313</v>
      </c>
      <c r="J416" s="111">
        <f t="shared" si="118"/>
        <v>10421935</v>
      </c>
      <c r="K416" s="112"/>
      <c r="L416" s="112"/>
      <c r="M416" s="111"/>
      <c r="N416" s="111"/>
      <c r="O416" s="111"/>
      <c r="P416" s="111"/>
      <c r="Q416" s="111"/>
      <c r="R416" s="111">
        <f t="shared" si="127"/>
        <v>284800</v>
      </c>
      <c r="S416" s="325">
        <f t="shared" si="126"/>
        <v>126</v>
      </c>
      <c r="T416" s="373">
        <f t="shared" si="130"/>
        <v>8820</v>
      </c>
    </row>
    <row r="417" spans="1:20" x14ac:dyDescent="0.25">
      <c r="A417" s="345">
        <v>44308</v>
      </c>
      <c r="B417" s="346">
        <v>27216</v>
      </c>
      <c r="C417" s="346">
        <f t="shared" si="121"/>
        <v>2796768</v>
      </c>
      <c r="D417" s="346">
        <v>537</v>
      </c>
      <c r="E417" s="346">
        <f t="shared" si="124"/>
        <v>60614</v>
      </c>
      <c r="F417" s="346">
        <f t="shared" si="125"/>
        <v>25118</v>
      </c>
      <c r="G417" s="347">
        <v>2449793</v>
      </c>
      <c r="H417" s="346">
        <v>4791</v>
      </c>
      <c r="I417" s="111">
        <v>99323</v>
      </c>
      <c r="J417" s="111">
        <f t="shared" si="118"/>
        <v>10521258</v>
      </c>
      <c r="K417" s="112">
        <v>17695</v>
      </c>
      <c r="L417" s="112">
        <v>5815574</v>
      </c>
      <c r="M417" s="111">
        <f t="shared" si="119"/>
        <v>5833269</v>
      </c>
      <c r="N417" s="374">
        <f t="shared" ref="N417:N429" si="131">B417/(B417+(L417-L416))</f>
        <v>4.658048637722732E-3</v>
      </c>
      <c r="O417" s="372">
        <f t="shared" ref="O417:O433" si="132">AVERAGE(N411:N417)</f>
        <v>0.31891086846651656</v>
      </c>
      <c r="P417" s="375">
        <f t="shared" ref="P417:P429" si="133">B417/(B417+L417)</f>
        <v>4.658048637722732E-3</v>
      </c>
      <c r="Q417" s="111"/>
      <c r="R417" s="111">
        <f t="shared" si="127"/>
        <v>286361</v>
      </c>
      <c r="S417" s="325">
        <f t="shared" si="126"/>
        <v>299</v>
      </c>
      <c r="T417" s="373">
        <f t="shared" si="130"/>
        <v>1561</v>
      </c>
    </row>
    <row r="418" spans="1:20" x14ac:dyDescent="0.25">
      <c r="A418" s="345">
        <v>44309</v>
      </c>
      <c r="B418" s="346">
        <v>27884</v>
      </c>
      <c r="C418" s="346">
        <f t="shared" si="121"/>
        <v>2824652</v>
      </c>
      <c r="D418" s="346">
        <v>557</v>
      </c>
      <c r="E418" s="346">
        <f t="shared" si="124"/>
        <v>61171</v>
      </c>
      <c r="F418" s="346">
        <f t="shared" si="125"/>
        <v>24721</v>
      </c>
      <c r="G418" s="347">
        <v>2474514</v>
      </c>
      <c r="H418" s="346">
        <v>4805</v>
      </c>
      <c r="I418" s="111">
        <v>86860</v>
      </c>
      <c r="J418" s="111">
        <f t="shared" si="118"/>
        <v>10608118</v>
      </c>
      <c r="K418" s="112">
        <v>18051</v>
      </c>
      <c r="L418" s="112">
        <v>5851758</v>
      </c>
      <c r="M418" s="111">
        <f t="shared" si="119"/>
        <v>5869809</v>
      </c>
      <c r="N418" s="374">
        <f t="shared" si="131"/>
        <v>0.43522507335955546</v>
      </c>
      <c r="O418" s="372">
        <f t="shared" si="132"/>
        <v>0.33314017338559027</v>
      </c>
      <c r="P418" s="375">
        <f t="shared" si="133"/>
        <v>4.7424656127022704E-3</v>
      </c>
      <c r="Q418" s="111"/>
      <c r="R418" s="111">
        <f t="shared" si="127"/>
        <v>288967</v>
      </c>
      <c r="S418" s="325">
        <f t="shared" si="126"/>
        <v>14</v>
      </c>
      <c r="T418" s="373">
        <f t="shared" si="130"/>
        <v>2606</v>
      </c>
    </row>
    <row r="419" spans="1:20" x14ac:dyDescent="0.25">
      <c r="A419" s="376">
        <v>44310</v>
      </c>
      <c r="B419" s="140">
        <v>21220</v>
      </c>
      <c r="C419" s="140">
        <f t="shared" si="121"/>
        <v>2845872</v>
      </c>
      <c r="D419" s="140">
        <v>298</v>
      </c>
      <c r="E419" s="140">
        <f t="shared" si="124"/>
        <v>61469</v>
      </c>
      <c r="F419" s="140">
        <f t="shared" si="125"/>
        <v>21763</v>
      </c>
      <c r="G419" s="377">
        <v>2496277</v>
      </c>
      <c r="H419" s="140">
        <v>4858</v>
      </c>
      <c r="I419" s="115">
        <v>81809</v>
      </c>
      <c r="J419" s="115">
        <f t="shared" si="118"/>
        <v>10689927</v>
      </c>
      <c r="K419" s="118">
        <v>18153</v>
      </c>
      <c r="L419" s="118">
        <v>5887599</v>
      </c>
      <c r="M419" s="115">
        <f t="shared" si="119"/>
        <v>5905752</v>
      </c>
      <c r="N419" s="378">
        <f t="shared" si="131"/>
        <v>0.37188272199926392</v>
      </c>
      <c r="O419" s="379">
        <f t="shared" si="132"/>
        <v>0.336155046001061</v>
      </c>
      <c r="P419" s="380">
        <f t="shared" si="133"/>
        <v>3.5912421754668742E-3</v>
      </c>
      <c r="Q419" s="115"/>
      <c r="R419" s="115">
        <f t="shared" si="127"/>
        <v>288126</v>
      </c>
      <c r="S419" s="365">
        <f t="shared" si="126"/>
        <v>53</v>
      </c>
      <c r="T419" s="381">
        <f t="shared" si="130"/>
        <v>-841</v>
      </c>
    </row>
    <row r="420" spans="1:20" x14ac:dyDescent="0.25">
      <c r="A420" s="107">
        <v>44311</v>
      </c>
      <c r="B420" s="126">
        <v>15012</v>
      </c>
      <c r="C420" s="126">
        <f t="shared" si="121"/>
        <v>2860884</v>
      </c>
      <c r="D420" s="126">
        <v>170</v>
      </c>
      <c r="E420" s="126">
        <f t="shared" si="124"/>
        <v>61639</v>
      </c>
      <c r="F420" s="126">
        <f t="shared" si="125"/>
        <v>21890</v>
      </c>
      <c r="G420" s="155">
        <v>2518167</v>
      </c>
      <c r="H420" s="126">
        <v>4942</v>
      </c>
      <c r="I420" s="4">
        <v>43550</v>
      </c>
      <c r="J420" s="4">
        <f t="shared" si="118"/>
        <v>10733477</v>
      </c>
      <c r="K420" s="7">
        <v>18157</v>
      </c>
      <c r="L420" s="7">
        <v>5905380</v>
      </c>
      <c r="M420" s="4">
        <f t="shared" si="119"/>
        <v>5923537</v>
      </c>
      <c r="N420" s="306">
        <f t="shared" si="131"/>
        <v>0.45778062391364011</v>
      </c>
      <c r="O420" s="202">
        <f t="shared" si="132"/>
        <v>0.35159236916597991</v>
      </c>
      <c r="P420" s="305">
        <f t="shared" si="133"/>
        <v>2.5356429101316266E-3</v>
      </c>
      <c r="Q420" s="4"/>
      <c r="R420" s="4">
        <f t="shared" si="127"/>
        <v>281078</v>
      </c>
      <c r="S420" s="39">
        <f t="shared" si="126"/>
        <v>84</v>
      </c>
      <c r="T420" s="91">
        <f t="shared" si="130"/>
        <v>-7048</v>
      </c>
    </row>
    <row r="421" spans="1:20" x14ac:dyDescent="0.25">
      <c r="A421" s="107">
        <v>44312</v>
      </c>
      <c r="B421" s="126">
        <v>18793</v>
      </c>
      <c r="C421" s="126">
        <f t="shared" si="121"/>
        <v>2879677</v>
      </c>
      <c r="D421" s="126">
        <v>442</v>
      </c>
      <c r="E421" s="126">
        <f t="shared" si="124"/>
        <v>62081</v>
      </c>
      <c r="F421" s="126">
        <f t="shared" si="125"/>
        <v>23837</v>
      </c>
      <c r="G421" s="155">
        <v>2542004</v>
      </c>
      <c r="H421" s="126">
        <v>5036</v>
      </c>
      <c r="I421" s="4">
        <v>67355</v>
      </c>
      <c r="J421" s="4">
        <f t="shared" si="118"/>
        <v>10800832</v>
      </c>
      <c r="K421" s="7">
        <v>18284</v>
      </c>
      <c r="L421" s="7">
        <v>5931513</v>
      </c>
      <c r="M421" s="4">
        <f t="shared" si="119"/>
        <v>5949797</v>
      </c>
      <c r="N421" s="306">
        <f t="shared" si="131"/>
        <v>0.41831010995859857</v>
      </c>
      <c r="O421" s="202">
        <f t="shared" si="132"/>
        <v>0.34982625029505421</v>
      </c>
      <c r="P421" s="4">
        <f t="shared" si="133"/>
        <v>3.1583249668168324E-3</v>
      </c>
      <c r="Q421" s="4"/>
      <c r="R421" s="4">
        <f t="shared" si="127"/>
        <v>275592</v>
      </c>
      <c r="S421" s="39">
        <f t="shared" si="126"/>
        <v>94</v>
      </c>
      <c r="T421" s="91">
        <f t="shared" si="130"/>
        <v>-5486</v>
      </c>
    </row>
    <row r="422" spans="1:20" x14ac:dyDescent="0.25">
      <c r="A422" s="107">
        <v>44313</v>
      </c>
      <c r="B422" s="126">
        <v>25495</v>
      </c>
      <c r="C422" s="126">
        <f t="shared" si="121"/>
        <v>2905172</v>
      </c>
      <c r="D422" s="131">
        <v>506</v>
      </c>
      <c r="E422" s="126">
        <f t="shared" si="124"/>
        <v>62587</v>
      </c>
      <c r="F422" s="126">
        <f t="shared" si="125"/>
        <v>21219</v>
      </c>
      <c r="G422" s="155">
        <v>2563223</v>
      </c>
      <c r="H422" s="126">
        <v>5134</v>
      </c>
      <c r="I422" s="4">
        <v>62599</v>
      </c>
      <c r="J422" s="4">
        <f t="shared" si="118"/>
        <v>10863431</v>
      </c>
      <c r="K422" s="7">
        <v>18427</v>
      </c>
      <c r="L422" s="7">
        <v>5965896</v>
      </c>
      <c r="M422" s="4">
        <f t="shared" si="119"/>
        <v>5984323</v>
      </c>
      <c r="N422" s="306">
        <f t="shared" si="131"/>
        <v>0.42578242426266744</v>
      </c>
      <c r="O422" s="202">
        <f t="shared" si="132"/>
        <v>0.35227316702190808</v>
      </c>
      <c r="P422" s="4">
        <f t="shared" si="133"/>
        <v>4.2552722731666152E-3</v>
      </c>
      <c r="Q422" s="4"/>
      <c r="R422" s="4">
        <f t="shared" si="127"/>
        <v>279362</v>
      </c>
      <c r="S422" s="39">
        <f t="shared" si="126"/>
        <v>98</v>
      </c>
      <c r="T422" s="91">
        <f t="shared" ref="T422:T431" si="134">(C422-G422-E422)-(C421-E421-G421)</f>
        <v>3770</v>
      </c>
    </row>
    <row r="423" spans="1:20" x14ac:dyDescent="0.25">
      <c r="A423" s="107">
        <v>44314</v>
      </c>
      <c r="B423" s="126">
        <v>23718</v>
      </c>
      <c r="C423" s="126">
        <f t="shared" si="121"/>
        <v>2928890</v>
      </c>
      <c r="D423" s="126">
        <v>347</v>
      </c>
      <c r="E423" s="126">
        <f t="shared" si="124"/>
        <v>62934</v>
      </c>
      <c r="F423" s="126">
        <f t="shared" si="125"/>
        <v>18941</v>
      </c>
      <c r="G423" s="155">
        <v>2582164</v>
      </c>
      <c r="H423" s="126">
        <v>5178</v>
      </c>
      <c r="I423" s="4">
        <v>92172</v>
      </c>
      <c r="J423" s="4">
        <f t="shared" si="118"/>
        <v>10955603</v>
      </c>
      <c r="K423" s="7">
        <v>18521</v>
      </c>
      <c r="L423" s="7">
        <v>6004195</v>
      </c>
      <c r="M423" s="4">
        <f t="shared" si="119"/>
        <v>6022716</v>
      </c>
      <c r="N423" s="306">
        <f t="shared" si="131"/>
        <v>0.38244352354999434</v>
      </c>
      <c r="O423" s="202">
        <f t="shared" si="132"/>
        <v>0.35658321795449183</v>
      </c>
      <c r="P423" s="4">
        <f t="shared" si="133"/>
        <v>3.934695142414962E-3</v>
      </c>
      <c r="Q423" s="4"/>
      <c r="R423" s="4">
        <f t="shared" si="127"/>
        <v>283792</v>
      </c>
      <c r="S423" s="39">
        <f t="shared" si="126"/>
        <v>44</v>
      </c>
      <c r="T423" s="91">
        <f t="shared" si="134"/>
        <v>4430</v>
      </c>
    </row>
    <row r="424" spans="1:20" x14ac:dyDescent="0.25">
      <c r="A424" s="107">
        <v>44315</v>
      </c>
      <c r="B424" s="126">
        <v>26053</v>
      </c>
      <c r="C424" s="126">
        <f t="shared" si="121"/>
        <v>2954943</v>
      </c>
      <c r="D424" s="126">
        <v>561</v>
      </c>
      <c r="E424" s="126">
        <f t="shared" si="124"/>
        <v>63495</v>
      </c>
      <c r="F424" s="126">
        <f t="shared" si="125"/>
        <v>25913</v>
      </c>
      <c r="G424" s="155">
        <v>2608077</v>
      </c>
      <c r="H424" s="126">
        <v>5317</v>
      </c>
      <c r="I424" s="4">
        <v>84085</v>
      </c>
      <c r="J424" s="4">
        <f t="shared" si="118"/>
        <v>11039688</v>
      </c>
      <c r="K424" s="7">
        <v>18709</v>
      </c>
      <c r="L424" s="7">
        <v>6039057</v>
      </c>
      <c r="M424" s="4">
        <f t="shared" si="119"/>
        <v>6057766</v>
      </c>
      <c r="N424" s="306">
        <f t="shared" si="131"/>
        <v>0.42769432816219322</v>
      </c>
      <c r="O424" s="202">
        <f t="shared" si="132"/>
        <v>0.41701697217227329</v>
      </c>
      <c r="P424" s="4">
        <f t="shared" si="133"/>
        <v>4.2955527599664312E-3</v>
      </c>
      <c r="Q424" s="4"/>
      <c r="R424" s="4">
        <f t="shared" si="127"/>
        <v>283371</v>
      </c>
      <c r="S424" s="39">
        <f t="shared" si="126"/>
        <v>139</v>
      </c>
      <c r="T424" s="91">
        <f t="shared" si="134"/>
        <v>-421</v>
      </c>
    </row>
    <row r="425" spans="1:20" x14ac:dyDescent="0.25">
      <c r="A425" s="107">
        <v>44316</v>
      </c>
      <c r="B425" s="126">
        <v>22420</v>
      </c>
      <c r="C425" s="126">
        <f t="shared" si="121"/>
        <v>2977363</v>
      </c>
      <c r="D425" s="126">
        <v>357</v>
      </c>
      <c r="E425" s="126">
        <f t="shared" si="124"/>
        <v>63852</v>
      </c>
      <c r="F425" s="126">
        <f t="shared" si="125"/>
        <v>26229</v>
      </c>
      <c r="G425" s="155">
        <v>2634306</v>
      </c>
      <c r="H425" s="126">
        <v>5369</v>
      </c>
      <c r="I425" s="4">
        <v>84215</v>
      </c>
      <c r="J425" s="4">
        <f t="shared" si="118"/>
        <v>11123903</v>
      </c>
      <c r="K425" s="7">
        <v>18842</v>
      </c>
      <c r="L425" s="7">
        <v>6074979</v>
      </c>
      <c r="M425" s="4">
        <f t="shared" si="119"/>
        <v>6093821</v>
      </c>
      <c r="N425" s="306">
        <f t="shared" si="131"/>
        <v>0.38428576325803021</v>
      </c>
      <c r="O425" s="202">
        <f t="shared" si="132"/>
        <v>0.40973992787205538</v>
      </c>
      <c r="P425" s="4">
        <f t="shared" si="133"/>
        <v>3.6769776752349648E-3</v>
      </c>
      <c r="Q425" s="4"/>
      <c r="R425" s="4">
        <f t="shared" si="127"/>
        <v>279205</v>
      </c>
      <c r="S425" s="39">
        <f t="shared" si="126"/>
        <v>52</v>
      </c>
      <c r="T425" s="91">
        <f t="shared" si="134"/>
        <v>-4166</v>
      </c>
    </row>
    <row r="426" spans="1:20" x14ac:dyDescent="0.25">
      <c r="A426" s="107">
        <v>44317</v>
      </c>
      <c r="B426" s="126">
        <v>16502</v>
      </c>
      <c r="C426" s="126">
        <f t="shared" si="121"/>
        <v>2993865</v>
      </c>
      <c r="D426" s="126">
        <v>231</v>
      </c>
      <c r="E426" s="126">
        <f t="shared" si="124"/>
        <v>64083</v>
      </c>
      <c r="F426" s="126">
        <f t="shared" si="125"/>
        <v>21053</v>
      </c>
      <c r="G426" s="155">
        <v>2655359</v>
      </c>
      <c r="H426" s="126">
        <v>5370</v>
      </c>
      <c r="I426" s="4">
        <v>61497</v>
      </c>
      <c r="J426" s="4">
        <f t="shared" si="118"/>
        <v>11185400</v>
      </c>
      <c r="K426" s="7">
        <v>18961</v>
      </c>
      <c r="L426" s="7">
        <v>6102481</v>
      </c>
      <c r="M426" s="4">
        <f t="shared" si="119"/>
        <v>6121442</v>
      </c>
      <c r="N426" s="306">
        <f t="shared" si="131"/>
        <v>0.37501136260339968</v>
      </c>
      <c r="O426" s="202">
        <f t="shared" si="132"/>
        <v>0.41018687652978908</v>
      </c>
      <c r="P426" s="4">
        <f t="shared" si="133"/>
        <v>2.6968533823349401E-3</v>
      </c>
      <c r="Q426" s="4"/>
      <c r="R426" s="4">
        <f t="shared" si="127"/>
        <v>274423</v>
      </c>
      <c r="S426" s="39">
        <f t="shared" si="126"/>
        <v>1</v>
      </c>
      <c r="T426" s="91">
        <f t="shared" si="134"/>
        <v>-4782</v>
      </c>
    </row>
    <row r="427" spans="1:20" x14ac:dyDescent="0.25">
      <c r="A427" s="107">
        <v>44318</v>
      </c>
      <c r="B427" s="126">
        <v>11394</v>
      </c>
      <c r="C427" s="126">
        <f t="shared" si="121"/>
        <v>3005259</v>
      </c>
      <c r="D427" s="126">
        <v>156</v>
      </c>
      <c r="E427" s="126">
        <f t="shared" si="124"/>
        <v>64239</v>
      </c>
      <c r="F427" s="126">
        <f t="shared" si="125"/>
        <v>20838</v>
      </c>
      <c r="G427" s="155">
        <v>2676197</v>
      </c>
      <c r="H427" s="126">
        <v>5371</v>
      </c>
      <c r="I427" s="4">
        <v>35607</v>
      </c>
      <c r="J427" s="4">
        <f t="shared" si="118"/>
        <v>11221007</v>
      </c>
      <c r="K427" s="7">
        <v>18963</v>
      </c>
      <c r="L427" s="7">
        <v>6116726</v>
      </c>
      <c r="M427" s="4">
        <f t="shared" si="119"/>
        <v>6135689</v>
      </c>
      <c r="N427" s="306">
        <f t="shared" si="131"/>
        <v>0.44440110768750729</v>
      </c>
      <c r="O427" s="202">
        <f t="shared" si="132"/>
        <v>0.40827551706891291</v>
      </c>
      <c r="P427" s="4">
        <f t="shared" si="133"/>
        <v>1.859297794429613E-3</v>
      </c>
      <c r="Q427" s="4"/>
      <c r="R427" s="4">
        <f t="shared" si="127"/>
        <v>264823</v>
      </c>
      <c r="S427" s="39">
        <f t="shared" si="126"/>
        <v>1</v>
      </c>
      <c r="T427" s="91">
        <f t="shared" si="134"/>
        <v>-9600</v>
      </c>
    </row>
    <row r="428" spans="1:20" x14ac:dyDescent="0.25">
      <c r="A428" s="107">
        <v>44319</v>
      </c>
      <c r="B428" s="126">
        <v>15920</v>
      </c>
      <c r="C428" s="126">
        <f t="shared" si="121"/>
        <v>3021179</v>
      </c>
      <c r="D428" s="126">
        <v>540</v>
      </c>
      <c r="E428" s="126">
        <f t="shared" si="124"/>
        <v>64779</v>
      </c>
      <c r="F428" s="126">
        <f t="shared" si="125"/>
        <v>21875</v>
      </c>
      <c r="G428" s="155">
        <v>2698072</v>
      </c>
      <c r="H428" s="126">
        <v>5426</v>
      </c>
      <c r="I428" s="4">
        <v>84298</v>
      </c>
      <c r="J428" s="4">
        <f t="shared" si="118"/>
        <v>11305305</v>
      </c>
      <c r="K428" s="7">
        <v>19033</v>
      </c>
      <c r="L428" s="7">
        <v>6153508</v>
      </c>
      <c r="M428" s="4">
        <f t="shared" si="119"/>
        <v>6172541</v>
      </c>
      <c r="N428" s="306">
        <f t="shared" si="131"/>
        <v>0.30207582254942889</v>
      </c>
      <c r="O428" s="202">
        <f t="shared" si="132"/>
        <v>0.39167061886760302</v>
      </c>
      <c r="P428" s="4">
        <f t="shared" si="133"/>
        <v>2.5804661307336756E-3</v>
      </c>
      <c r="Q428" s="4"/>
      <c r="R428" s="4">
        <f t="shared" si="127"/>
        <v>258328</v>
      </c>
      <c r="S428" s="39">
        <f t="shared" si="126"/>
        <v>55</v>
      </c>
      <c r="T428" s="91">
        <f t="shared" si="134"/>
        <v>-6495</v>
      </c>
    </row>
    <row r="429" spans="1:20" x14ac:dyDescent="0.25">
      <c r="A429" s="107">
        <v>44320</v>
      </c>
      <c r="B429" s="126">
        <v>26238</v>
      </c>
      <c r="C429" s="126">
        <f t="shared" si="121"/>
        <v>3047417</v>
      </c>
      <c r="D429" s="126">
        <v>411</v>
      </c>
      <c r="E429" s="126">
        <f t="shared" si="124"/>
        <v>65190</v>
      </c>
      <c r="F429" s="126">
        <f t="shared" si="125"/>
        <v>19386</v>
      </c>
      <c r="G429" s="155">
        <v>2717458</v>
      </c>
      <c r="H429" s="126">
        <v>5389</v>
      </c>
      <c r="I429" s="4">
        <v>105546</v>
      </c>
      <c r="J429" s="4">
        <f t="shared" si="118"/>
        <v>11410851</v>
      </c>
      <c r="K429" s="7">
        <v>19083</v>
      </c>
      <c r="L429" s="7">
        <v>6197459</v>
      </c>
      <c r="M429" s="7">
        <f>L429+K429</f>
        <v>6216542</v>
      </c>
      <c r="N429" s="306">
        <f t="shared" si="131"/>
        <v>0.3738192594281155</v>
      </c>
      <c r="O429" s="202">
        <f t="shared" si="132"/>
        <v>0.38424730960552417</v>
      </c>
      <c r="P429" s="4">
        <f t="shared" si="133"/>
        <v>4.2158222034266767E-3</v>
      </c>
      <c r="Q429" s="4"/>
      <c r="R429" s="4">
        <f t="shared" si="127"/>
        <v>264769</v>
      </c>
      <c r="S429" s="39">
        <f t="shared" si="126"/>
        <v>-37</v>
      </c>
      <c r="T429" s="91">
        <f t="shared" si="134"/>
        <v>6441</v>
      </c>
    </row>
    <row r="430" spans="1:20" x14ac:dyDescent="0.25">
      <c r="A430" s="107">
        <v>44321</v>
      </c>
      <c r="B430" s="126">
        <v>24079</v>
      </c>
      <c r="C430" s="126">
        <f t="shared" si="121"/>
        <v>3071496</v>
      </c>
      <c r="D430" s="126">
        <v>661</v>
      </c>
      <c r="E430" s="126">
        <f t="shared" si="124"/>
        <v>65851</v>
      </c>
      <c r="F430" s="126">
        <f t="shared" si="125"/>
        <v>17007</v>
      </c>
      <c r="G430" s="155">
        <v>2734465</v>
      </c>
      <c r="H430" s="126">
        <v>5342</v>
      </c>
      <c r="I430" s="4">
        <v>67648</v>
      </c>
      <c r="J430" s="4">
        <f>11502946</f>
        <v>11502946</v>
      </c>
      <c r="K430" s="7">
        <v>19149</v>
      </c>
      <c r="L430" s="7">
        <v>6224395</v>
      </c>
      <c r="M430" s="7">
        <f>L430+K430</f>
        <v>6243544</v>
      </c>
      <c r="N430" s="306">
        <f>B430/(B430+(L430-L429))</f>
        <v>0.47199843183377438</v>
      </c>
      <c r="O430" s="202">
        <f t="shared" si="132"/>
        <v>0.39704086793177845</v>
      </c>
      <c r="P430" s="4">
        <f>B430/(B430+L430)</f>
        <v>3.8535808903101781E-3</v>
      </c>
      <c r="Q430" s="4"/>
      <c r="R430" s="4">
        <f t="shared" si="127"/>
        <v>271180</v>
      </c>
      <c r="S430" s="39">
        <f t="shared" si="126"/>
        <v>-47</v>
      </c>
      <c r="T430" s="91">
        <f t="shared" si="134"/>
        <v>6411</v>
      </c>
    </row>
    <row r="431" spans="1:20" x14ac:dyDescent="0.25">
      <c r="A431" s="107">
        <v>44322</v>
      </c>
      <c r="B431" s="126">
        <v>24086</v>
      </c>
      <c r="C431" s="126">
        <f t="shared" si="121"/>
        <v>3095582</v>
      </c>
      <c r="D431" s="126">
        <v>399</v>
      </c>
      <c r="E431" s="126">
        <f t="shared" si="124"/>
        <v>66250</v>
      </c>
      <c r="F431" s="126">
        <f t="shared" si="125"/>
        <v>22765</v>
      </c>
      <c r="G431" s="155">
        <v>2757230</v>
      </c>
      <c r="H431" s="126">
        <v>5299</v>
      </c>
      <c r="I431" s="4">
        <v>107412</v>
      </c>
      <c r="J431" s="4">
        <f>11610358</f>
        <v>11610358</v>
      </c>
      <c r="K431" s="7">
        <v>19235</v>
      </c>
      <c r="L431" s="7">
        <v>6266535</v>
      </c>
      <c r="M431" s="7">
        <f>L431+K431</f>
        <v>6285770</v>
      </c>
      <c r="N431" s="306">
        <f>B431/(B431+(L431-L430))</f>
        <v>0.36369401745538005</v>
      </c>
      <c r="O431" s="202">
        <f t="shared" si="132"/>
        <v>0.38789796640223367</v>
      </c>
      <c r="P431" s="4">
        <f>B431/(B431+L431)</f>
        <v>3.8288747645105307E-3</v>
      </c>
      <c r="Q431" s="4"/>
      <c r="R431" s="4">
        <f t="shared" si="127"/>
        <v>272102</v>
      </c>
      <c r="S431" s="39">
        <f t="shared" si="126"/>
        <v>-43</v>
      </c>
      <c r="T431" s="91">
        <f t="shared" si="134"/>
        <v>922</v>
      </c>
    </row>
    <row r="432" spans="1:20" x14ac:dyDescent="0.25">
      <c r="A432" s="107">
        <v>44323</v>
      </c>
      <c r="B432" s="126">
        <v>22552</v>
      </c>
      <c r="C432" s="126">
        <f t="shared" si="121"/>
        <v>3118134</v>
      </c>
      <c r="D432" s="126">
        <v>611</v>
      </c>
      <c r="E432" s="126">
        <f t="shared" ref="E432:E437" si="135">E431+D432</f>
        <v>66861</v>
      </c>
      <c r="F432" s="126">
        <f t="shared" ref="F432:F442" si="136">G432-G431</f>
        <v>20672</v>
      </c>
      <c r="G432" s="155">
        <v>2777902</v>
      </c>
      <c r="H432" s="126">
        <v>5268</v>
      </c>
      <c r="I432" s="4">
        <v>73565</v>
      </c>
      <c r="J432" s="4">
        <f t="shared" ref="J432:J437" si="137">J431+I432</f>
        <v>11683923</v>
      </c>
      <c r="K432" s="7"/>
      <c r="L432" s="7"/>
      <c r="M432" s="7"/>
      <c r="N432" s="306"/>
      <c r="O432" s="202"/>
      <c r="P432" s="4"/>
      <c r="Q432" s="4"/>
      <c r="R432" s="4">
        <f t="shared" ref="R432:R437" si="138">C432-E432-G432</f>
        <v>273371</v>
      </c>
      <c r="S432" s="39">
        <f t="shared" si="126"/>
        <v>-31</v>
      </c>
      <c r="T432" s="91">
        <f t="shared" ref="T432:T437" si="139">(C432-G432-E432)-(C431-E431-G431)</f>
        <v>1269</v>
      </c>
    </row>
    <row r="433" spans="1:20" x14ac:dyDescent="0.25">
      <c r="A433" s="107">
        <v>44324</v>
      </c>
      <c r="B433" s="126">
        <v>18024</v>
      </c>
      <c r="C433" s="126">
        <f t="shared" si="121"/>
        <v>3136158</v>
      </c>
      <c r="D433" s="126">
        <v>169</v>
      </c>
      <c r="E433" s="126">
        <f t="shared" si="135"/>
        <v>67030</v>
      </c>
      <c r="F433" s="126">
        <f t="shared" si="136"/>
        <v>20426</v>
      </c>
      <c r="G433" s="155">
        <v>2798328</v>
      </c>
      <c r="H433" s="126">
        <v>5285</v>
      </c>
      <c r="I433" s="4">
        <v>95679</v>
      </c>
      <c r="J433" s="4">
        <f t="shared" si="137"/>
        <v>11779602</v>
      </c>
      <c r="K433" s="7">
        <v>19442</v>
      </c>
      <c r="L433" s="7">
        <v>6343516</v>
      </c>
      <c r="M433" s="7">
        <f>L433+K433</f>
        <v>6362958</v>
      </c>
      <c r="N433" s="306">
        <f t="shared" ref="N433:N438" si="140">B433/(B433+(L433-L432))</f>
        <v>2.8332762192802372E-3</v>
      </c>
      <c r="O433" s="202">
        <f t="shared" si="132"/>
        <v>0.32647031919558106</v>
      </c>
      <c r="P433" s="202">
        <f t="shared" ref="P433:P438" si="141">B433/(B433+L433-L432)</f>
        <v>2.8332762192802372E-3</v>
      </c>
      <c r="Q433" s="4"/>
      <c r="R433" s="4">
        <f t="shared" si="138"/>
        <v>270800</v>
      </c>
      <c r="S433" s="39">
        <f t="shared" ref="S433:S442" si="142">H433-H432</f>
        <v>17</v>
      </c>
      <c r="T433" s="91">
        <f t="shared" si="139"/>
        <v>-2571</v>
      </c>
    </row>
    <row r="434" spans="1:20" x14ac:dyDescent="0.25">
      <c r="A434" s="107">
        <v>44325</v>
      </c>
      <c r="B434" s="126">
        <v>11582</v>
      </c>
      <c r="C434" s="126">
        <f t="shared" si="121"/>
        <v>3147740</v>
      </c>
      <c r="D434" s="126">
        <v>283</v>
      </c>
      <c r="E434" s="126">
        <f t="shared" si="135"/>
        <v>67313</v>
      </c>
      <c r="F434" s="126">
        <f t="shared" si="136"/>
        <v>18837</v>
      </c>
      <c r="G434" s="155">
        <v>2817165</v>
      </c>
      <c r="H434" s="126">
        <v>5294</v>
      </c>
      <c r="I434" s="4">
        <v>41883</v>
      </c>
      <c r="J434" s="4">
        <f t="shared" si="137"/>
        <v>11821485</v>
      </c>
      <c r="K434" s="7">
        <v>19523</v>
      </c>
      <c r="L434" s="7">
        <v>6378518</v>
      </c>
      <c r="M434" s="7">
        <f t="shared" ref="M434:M463" si="143">L434+K434</f>
        <v>6398041</v>
      </c>
      <c r="N434" s="306">
        <f t="shared" si="140"/>
        <v>0.24862613772969261</v>
      </c>
      <c r="O434" s="202">
        <f>AVERAGE(N428:N434)</f>
        <v>0.29384115753594525</v>
      </c>
      <c r="P434" s="202">
        <f t="shared" si="141"/>
        <v>0.24862613772969261</v>
      </c>
      <c r="Q434" s="4"/>
      <c r="R434" s="4">
        <f t="shared" si="138"/>
        <v>263262</v>
      </c>
      <c r="S434" s="39">
        <f t="shared" si="142"/>
        <v>9</v>
      </c>
      <c r="T434" s="91">
        <f t="shared" si="139"/>
        <v>-7538</v>
      </c>
    </row>
    <row r="435" spans="1:20" x14ac:dyDescent="0.25">
      <c r="A435" s="107">
        <v>44326</v>
      </c>
      <c r="B435" s="126">
        <v>17381</v>
      </c>
      <c r="C435" s="126">
        <f t="shared" si="121"/>
        <v>3165121</v>
      </c>
      <c r="D435" s="126">
        <v>496</v>
      </c>
      <c r="E435" s="126">
        <f t="shared" si="135"/>
        <v>67809</v>
      </c>
      <c r="F435" s="126">
        <f t="shared" si="136"/>
        <v>19893</v>
      </c>
      <c r="G435" s="155">
        <v>2837058</v>
      </c>
      <c r="H435" s="126">
        <v>5357</v>
      </c>
      <c r="I435" s="4">
        <v>69879</v>
      </c>
      <c r="J435" s="4">
        <f t="shared" si="137"/>
        <v>11891364</v>
      </c>
      <c r="K435" s="7">
        <v>19621</v>
      </c>
      <c r="L435" s="7">
        <v>6389191</v>
      </c>
      <c r="M435" s="7">
        <f t="shared" si="143"/>
        <v>6408812</v>
      </c>
      <c r="N435" s="306">
        <f t="shared" si="140"/>
        <v>0.61955514365152919</v>
      </c>
      <c r="O435" s="202">
        <f>AVERAGE(N429:N435)</f>
        <v>0.34675437771962869</v>
      </c>
      <c r="P435" s="202">
        <f t="shared" si="141"/>
        <v>0.61955514365152919</v>
      </c>
      <c r="Q435" s="4"/>
      <c r="R435" s="4">
        <f t="shared" si="138"/>
        <v>260254</v>
      </c>
      <c r="S435" s="39">
        <f t="shared" si="142"/>
        <v>63</v>
      </c>
      <c r="T435" s="91">
        <f t="shared" si="139"/>
        <v>-3008</v>
      </c>
    </row>
    <row r="436" spans="1:20" x14ac:dyDescent="0.25">
      <c r="A436" s="107">
        <v>44327</v>
      </c>
      <c r="B436" s="126">
        <v>25976</v>
      </c>
      <c r="C436" s="126">
        <f t="shared" si="121"/>
        <v>3191097</v>
      </c>
      <c r="D436" s="133">
        <v>490</v>
      </c>
      <c r="E436" s="133">
        <f t="shared" si="135"/>
        <v>68299</v>
      </c>
      <c r="F436" s="133">
        <f t="shared" si="136"/>
        <v>17306</v>
      </c>
      <c r="G436" s="156">
        <v>2854364</v>
      </c>
      <c r="H436" s="133">
        <v>5375</v>
      </c>
      <c r="I436" s="27">
        <v>92595</v>
      </c>
      <c r="J436" s="27">
        <f t="shared" si="137"/>
        <v>11983959</v>
      </c>
      <c r="K436" s="30">
        <v>19688</v>
      </c>
      <c r="L436" s="30">
        <v>6427584</v>
      </c>
      <c r="M436" s="30">
        <f t="shared" si="143"/>
        <v>6447272</v>
      </c>
      <c r="N436" s="600">
        <f t="shared" si="140"/>
        <v>0.40354829187963148</v>
      </c>
      <c r="O436" s="262">
        <f>AVERAGE(N430:N436)</f>
        <v>0.35170921646154801</v>
      </c>
      <c r="P436" s="262">
        <f t="shared" si="141"/>
        <v>0.40354829187963148</v>
      </c>
      <c r="Q436" s="27"/>
      <c r="R436" s="27">
        <f t="shared" si="138"/>
        <v>268434</v>
      </c>
      <c r="S436" s="67">
        <f t="shared" si="142"/>
        <v>18</v>
      </c>
      <c r="T436" s="121">
        <f t="shared" si="139"/>
        <v>8180</v>
      </c>
    </row>
    <row r="437" spans="1:20" x14ac:dyDescent="0.25">
      <c r="A437" s="107">
        <v>44328</v>
      </c>
      <c r="B437" s="126">
        <v>24475</v>
      </c>
      <c r="C437" s="126">
        <f t="shared" si="121"/>
        <v>3215572</v>
      </c>
      <c r="D437" s="126">
        <v>496</v>
      </c>
      <c r="E437" s="126">
        <f t="shared" si="135"/>
        <v>68795</v>
      </c>
      <c r="F437" s="126">
        <f t="shared" si="136"/>
        <v>14977</v>
      </c>
      <c r="G437" s="155">
        <v>2869341</v>
      </c>
      <c r="H437" s="126">
        <v>5394</v>
      </c>
      <c r="I437" s="4">
        <v>82575</v>
      </c>
      <c r="J437" s="4">
        <f t="shared" si="137"/>
        <v>12066534</v>
      </c>
      <c r="K437" s="7">
        <v>19819</v>
      </c>
      <c r="L437" s="7">
        <v>6460852</v>
      </c>
      <c r="M437" s="7">
        <f t="shared" si="143"/>
        <v>6480671</v>
      </c>
      <c r="N437" s="306">
        <f t="shared" si="140"/>
        <v>0.42386090088841938</v>
      </c>
      <c r="O437" s="202">
        <f>AVERAGE(N431:N437)</f>
        <v>0.3436862946373222</v>
      </c>
      <c r="P437" s="202">
        <f t="shared" si="141"/>
        <v>0.42386090088841938</v>
      </c>
      <c r="Q437" s="4"/>
      <c r="R437" s="4">
        <f t="shared" si="138"/>
        <v>277436</v>
      </c>
      <c r="S437" s="39">
        <f t="shared" si="142"/>
        <v>19</v>
      </c>
      <c r="T437" s="91">
        <f t="shared" si="139"/>
        <v>9002</v>
      </c>
    </row>
    <row r="438" spans="1:20" x14ac:dyDescent="0.25">
      <c r="A438" s="107">
        <v>44329</v>
      </c>
      <c r="B438" s="126">
        <v>26531</v>
      </c>
      <c r="C438" s="126">
        <f t="shared" si="121"/>
        <v>3242103</v>
      </c>
      <c r="D438" s="126">
        <v>447</v>
      </c>
      <c r="E438" s="126">
        <f t="shared" ref="E438:E443" si="144">E437+D438</f>
        <v>69242</v>
      </c>
      <c r="F438" s="126">
        <f t="shared" si="136"/>
        <v>22094</v>
      </c>
      <c r="G438" s="155">
        <v>2891435</v>
      </c>
      <c r="H438" s="126">
        <v>5420</v>
      </c>
      <c r="I438" s="4">
        <v>75714</v>
      </c>
      <c r="J438" s="4">
        <f t="shared" ref="J438:J465" si="145">J437+I438</f>
        <v>12142248</v>
      </c>
      <c r="K438" s="7">
        <v>19960</v>
      </c>
      <c r="L438" s="7">
        <v>6489454</v>
      </c>
      <c r="M438" s="7">
        <f t="shared" si="143"/>
        <v>6509414</v>
      </c>
      <c r="N438" s="306">
        <f t="shared" si="140"/>
        <v>0.48121814521248618</v>
      </c>
      <c r="O438" s="202">
        <f>AVERAGE(N432:N438)</f>
        <v>0.36327364926350647</v>
      </c>
      <c r="P438" s="202">
        <f t="shared" si="141"/>
        <v>0.48121814521248618</v>
      </c>
      <c r="Q438" s="4"/>
      <c r="R438" s="4">
        <f t="shared" ref="R438:R443" si="146">C438-E438-G438</f>
        <v>281426</v>
      </c>
      <c r="S438" s="39">
        <f t="shared" si="142"/>
        <v>26</v>
      </c>
      <c r="T438" s="91">
        <f t="shared" ref="T438:T443" si="147">(C438-G438-E438)-(C437-E437-G437)</f>
        <v>3990</v>
      </c>
    </row>
    <row r="439" spans="1:20" x14ac:dyDescent="0.25">
      <c r="A439" s="107">
        <v>44330</v>
      </c>
      <c r="B439" s="126">
        <v>27363</v>
      </c>
      <c r="C439" s="126">
        <f t="shared" si="121"/>
        <v>3269466</v>
      </c>
      <c r="D439" s="126">
        <v>601</v>
      </c>
      <c r="E439" s="126">
        <f t="shared" si="144"/>
        <v>69843</v>
      </c>
      <c r="F439" s="126">
        <f t="shared" si="136"/>
        <v>21709</v>
      </c>
      <c r="G439" s="155">
        <v>2913144</v>
      </c>
      <c r="H439" s="126">
        <v>5457</v>
      </c>
      <c r="I439" s="4">
        <v>82695</v>
      </c>
      <c r="J439" s="4">
        <f t="shared" si="145"/>
        <v>12224943</v>
      </c>
      <c r="K439" s="7"/>
      <c r="L439" s="7"/>
      <c r="M439" s="7"/>
      <c r="N439" s="306"/>
      <c r="O439" s="202"/>
      <c r="P439" s="202"/>
      <c r="Q439" s="4"/>
      <c r="R439" s="4">
        <f t="shared" si="146"/>
        <v>286479</v>
      </c>
      <c r="S439" s="39">
        <f t="shared" si="142"/>
        <v>37</v>
      </c>
      <c r="T439" s="91">
        <f t="shared" si="147"/>
        <v>5053</v>
      </c>
    </row>
    <row r="440" spans="1:20" x14ac:dyDescent="0.25">
      <c r="A440" s="107">
        <v>44331</v>
      </c>
      <c r="B440" s="126">
        <v>21469</v>
      </c>
      <c r="C440" s="126">
        <f t="shared" ref="C440:C465" si="148">C439+B440</f>
        <v>3290935</v>
      </c>
      <c r="D440" s="174">
        <v>398</v>
      </c>
      <c r="E440" s="126">
        <f t="shared" si="144"/>
        <v>70241</v>
      </c>
      <c r="F440" s="126">
        <f t="shared" si="136"/>
        <v>20802</v>
      </c>
      <c r="G440" s="155">
        <v>2933946</v>
      </c>
      <c r="H440" s="126">
        <v>5517</v>
      </c>
      <c r="I440" s="4">
        <v>106916</v>
      </c>
      <c r="J440" s="4">
        <f t="shared" si="145"/>
        <v>12331859</v>
      </c>
      <c r="K440" s="7"/>
      <c r="L440" s="7"/>
      <c r="M440" s="7"/>
      <c r="N440" s="306"/>
      <c r="O440" s="202"/>
      <c r="P440" s="202"/>
      <c r="Q440" s="4"/>
      <c r="R440" s="4">
        <f t="shared" si="146"/>
        <v>286748</v>
      </c>
      <c r="S440" s="39">
        <f t="shared" si="142"/>
        <v>60</v>
      </c>
      <c r="T440" s="91">
        <f t="shared" si="147"/>
        <v>269</v>
      </c>
    </row>
    <row r="441" spans="1:20" x14ac:dyDescent="0.25">
      <c r="A441" s="107">
        <v>44332</v>
      </c>
      <c r="B441" s="126">
        <v>16350</v>
      </c>
      <c r="C441" s="126">
        <f t="shared" si="148"/>
        <v>3307285</v>
      </c>
      <c r="D441" s="126">
        <v>270</v>
      </c>
      <c r="E441" s="126">
        <f t="shared" si="144"/>
        <v>70511</v>
      </c>
      <c r="F441" s="126">
        <f t="shared" si="136"/>
        <v>18653</v>
      </c>
      <c r="G441" s="155">
        <v>2952599</v>
      </c>
      <c r="H441" s="126">
        <v>5538</v>
      </c>
      <c r="I441" s="4">
        <v>67507</v>
      </c>
      <c r="J441" s="4">
        <f t="shared" si="145"/>
        <v>12399366</v>
      </c>
      <c r="K441" s="7">
        <v>20173</v>
      </c>
      <c r="L441" s="7">
        <v>6597997</v>
      </c>
      <c r="M441" s="7">
        <f t="shared" si="143"/>
        <v>6618170</v>
      </c>
      <c r="N441" s="306">
        <f>B441/(B441+(L441-L438))</f>
        <v>0.13091206072397973</v>
      </c>
      <c r="O441" s="202">
        <f>AVERAGE(N435:N441)</f>
        <v>0.41181890847120917</v>
      </c>
      <c r="P441" s="202">
        <f>B441/(B441+L441-L438)</f>
        <v>0.13091206072397973</v>
      </c>
      <c r="Q441" s="4"/>
      <c r="R441" s="4">
        <f t="shared" si="146"/>
        <v>284175</v>
      </c>
      <c r="S441" s="39">
        <f t="shared" si="142"/>
        <v>21</v>
      </c>
      <c r="T441" s="91">
        <f t="shared" si="147"/>
        <v>-2573</v>
      </c>
    </row>
    <row r="442" spans="1:20" x14ac:dyDescent="0.25">
      <c r="A442" s="107">
        <v>44333</v>
      </c>
      <c r="B442" s="126">
        <v>28680</v>
      </c>
      <c r="C442" s="126">
        <f t="shared" si="148"/>
        <v>3335965</v>
      </c>
      <c r="D442" s="126">
        <v>505</v>
      </c>
      <c r="E442" s="126">
        <f t="shared" si="144"/>
        <v>71016</v>
      </c>
      <c r="F442" s="126">
        <f t="shared" si="136"/>
        <v>20668</v>
      </c>
      <c r="G442" s="155">
        <v>2973267</v>
      </c>
      <c r="H442" s="126">
        <v>5690</v>
      </c>
      <c r="I442" s="4">
        <v>91456</v>
      </c>
      <c r="J442" s="4">
        <f t="shared" si="145"/>
        <v>12490822</v>
      </c>
      <c r="K442" s="7">
        <v>20312</v>
      </c>
      <c r="L442" s="7">
        <v>6630771</v>
      </c>
      <c r="M442" s="7">
        <f t="shared" si="143"/>
        <v>6651083</v>
      </c>
      <c r="N442" s="306">
        <f>B442/(B442+(L442-L441))</f>
        <v>0.46669053275620792</v>
      </c>
      <c r="O442" s="202">
        <f>AVERAGE(N436:N442)</f>
        <v>0.38124598629214496</v>
      </c>
      <c r="P442" s="202">
        <f>B442/(B442+L442-L441)</f>
        <v>0.46669053275620792</v>
      </c>
      <c r="Q442" s="4"/>
      <c r="R442" s="4">
        <f t="shared" si="146"/>
        <v>291682</v>
      </c>
      <c r="S442" s="39">
        <f t="shared" si="142"/>
        <v>152</v>
      </c>
      <c r="T442" s="91">
        <f t="shared" si="147"/>
        <v>7507</v>
      </c>
    </row>
    <row r="443" spans="1:20" x14ac:dyDescent="0.25">
      <c r="A443" s="107">
        <v>44334</v>
      </c>
      <c r="B443" s="126">
        <v>35543</v>
      </c>
      <c r="C443" s="126">
        <f t="shared" si="148"/>
        <v>3371508</v>
      </c>
      <c r="D443" s="126">
        <v>745</v>
      </c>
      <c r="E443" s="126">
        <f t="shared" si="144"/>
        <v>71761</v>
      </c>
      <c r="F443" s="126">
        <f t="shared" ref="F443:F462" si="149">G443-G442</f>
        <v>19058</v>
      </c>
      <c r="G443" s="155">
        <v>2992325</v>
      </c>
      <c r="H443" s="126">
        <v>5813</v>
      </c>
      <c r="I443" s="4">
        <v>111757</v>
      </c>
      <c r="J443" s="4">
        <f t="shared" si="145"/>
        <v>12602579</v>
      </c>
      <c r="K443" s="7">
        <v>20381</v>
      </c>
      <c r="L443" s="7">
        <v>6672285</v>
      </c>
      <c r="M443" s="7">
        <f t="shared" si="143"/>
        <v>6692666</v>
      </c>
      <c r="N443" s="306">
        <f>B443/(B443+(L443-L442))</f>
        <v>0.46125595338515646</v>
      </c>
      <c r="O443" s="202">
        <f>AVERAGE(N437:N443)</f>
        <v>0.3927875185932499</v>
      </c>
      <c r="P443" s="202">
        <f>B443/(B443+L443-L442)</f>
        <v>0.46125595338515646</v>
      </c>
      <c r="Q443" s="4"/>
      <c r="R443" s="4">
        <f t="shared" si="146"/>
        <v>307422</v>
      </c>
      <c r="S443" s="39">
        <f t="shared" ref="S443:S461" si="150">H443-H442</f>
        <v>123</v>
      </c>
      <c r="T443" s="91">
        <f t="shared" si="147"/>
        <v>15740</v>
      </c>
    </row>
    <row r="444" spans="1:20" x14ac:dyDescent="0.25">
      <c r="A444" s="107">
        <v>44335</v>
      </c>
      <c r="B444" s="126">
        <v>39652</v>
      </c>
      <c r="C444" s="126">
        <f t="shared" si="148"/>
        <v>3411160</v>
      </c>
      <c r="D444" s="126">
        <v>494</v>
      </c>
      <c r="E444" s="126">
        <f t="shared" ref="E444:E465" si="151">E443+D444</f>
        <v>72255</v>
      </c>
      <c r="F444" s="126">
        <f t="shared" si="149"/>
        <v>16825</v>
      </c>
      <c r="G444" s="155">
        <v>3009150</v>
      </c>
      <c r="H444" s="126">
        <v>5877</v>
      </c>
      <c r="I444" s="4">
        <v>125578</v>
      </c>
      <c r="J444" s="4">
        <f t="shared" si="145"/>
        <v>12728157</v>
      </c>
      <c r="K444" s="7">
        <v>20584</v>
      </c>
      <c r="L444" s="7">
        <v>6718545</v>
      </c>
      <c r="M444" s="7">
        <f t="shared" si="143"/>
        <v>6739129</v>
      </c>
      <c r="N444" s="4"/>
      <c r="O444" s="4"/>
      <c r="P444" s="4"/>
      <c r="Q444" s="4"/>
      <c r="R444" s="4">
        <f t="shared" ref="R444:R464" si="152">C444-E444-G444</f>
        <v>329755</v>
      </c>
      <c r="S444" s="39">
        <f t="shared" si="150"/>
        <v>64</v>
      </c>
      <c r="T444" s="91">
        <f t="shared" ref="T444:T464" si="153">(C444-G444-E444)-(C443-E443-G443)</f>
        <v>22333</v>
      </c>
    </row>
    <row r="445" spans="1:20" x14ac:dyDescent="0.25">
      <c r="A445" s="107">
        <v>44336</v>
      </c>
      <c r="B445" s="126">
        <v>35884</v>
      </c>
      <c r="C445" s="126">
        <f t="shared" si="148"/>
        <v>3447044</v>
      </c>
      <c r="D445" s="126">
        <v>435</v>
      </c>
      <c r="E445" s="126">
        <f t="shared" si="151"/>
        <v>72690</v>
      </c>
      <c r="F445" s="126">
        <f t="shared" si="149"/>
        <v>25984</v>
      </c>
      <c r="G445" s="155">
        <v>3035134</v>
      </c>
      <c r="H445" s="126">
        <v>5951</v>
      </c>
      <c r="I445" s="4">
        <v>96691</v>
      </c>
      <c r="J445" s="4">
        <f t="shared" si="145"/>
        <v>12824848</v>
      </c>
      <c r="K445" s="7">
        <v>20773</v>
      </c>
      <c r="L445" s="7">
        <v>6753998</v>
      </c>
      <c r="M445" s="7">
        <f t="shared" si="143"/>
        <v>6774771</v>
      </c>
      <c r="N445" s="4"/>
      <c r="O445" s="4"/>
      <c r="P445" s="4"/>
      <c r="Q445" s="4"/>
      <c r="R445" s="4">
        <f t="shared" si="152"/>
        <v>339220</v>
      </c>
      <c r="S445" s="39">
        <f t="shared" si="150"/>
        <v>74</v>
      </c>
      <c r="T445" s="91">
        <f t="shared" si="153"/>
        <v>9465</v>
      </c>
    </row>
    <row r="446" spans="1:20" x14ac:dyDescent="0.25">
      <c r="A446" s="107">
        <v>44337</v>
      </c>
      <c r="B446" s="126">
        <v>35468</v>
      </c>
      <c r="C446" s="126">
        <f t="shared" si="148"/>
        <v>3482512</v>
      </c>
      <c r="D446" s="256">
        <v>694</v>
      </c>
      <c r="E446" s="126">
        <f t="shared" si="151"/>
        <v>73384</v>
      </c>
      <c r="F446" s="126">
        <f t="shared" si="149"/>
        <v>25011</v>
      </c>
      <c r="G446" s="155">
        <v>3060145</v>
      </c>
      <c r="H446" s="126">
        <v>6027</v>
      </c>
      <c r="I446" s="4">
        <v>99693</v>
      </c>
      <c r="J446" s="4">
        <f t="shared" si="145"/>
        <v>12924541</v>
      </c>
      <c r="K446" s="7">
        <v>20924</v>
      </c>
      <c r="L446" s="7">
        <v>6786207</v>
      </c>
      <c r="M446" s="7">
        <f t="shared" si="143"/>
        <v>6807131</v>
      </c>
      <c r="N446" s="4"/>
      <c r="O446" s="4"/>
      <c r="P446" s="4"/>
      <c r="Q446" s="4"/>
      <c r="R446" s="4">
        <f t="shared" si="152"/>
        <v>348983</v>
      </c>
      <c r="S446" s="39">
        <f t="shared" si="150"/>
        <v>76</v>
      </c>
      <c r="T446" s="91">
        <f t="shared" si="153"/>
        <v>9763</v>
      </c>
    </row>
    <row r="447" spans="1:20" x14ac:dyDescent="0.25">
      <c r="A447" s="107">
        <v>44338</v>
      </c>
      <c r="B447" s="126">
        <v>32171</v>
      </c>
      <c r="C447" s="126">
        <f t="shared" si="148"/>
        <v>3514683</v>
      </c>
      <c r="D447" s="126">
        <v>297</v>
      </c>
      <c r="E447" s="126">
        <f t="shared" si="151"/>
        <v>73681</v>
      </c>
      <c r="F447" s="126">
        <f t="shared" si="149"/>
        <v>23153</v>
      </c>
      <c r="G447" s="155">
        <v>3083298</v>
      </c>
      <c r="H447" s="126">
        <v>6138</v>
      </c>
      <c r="I447" s="4">
        <v>180387</v>
      </c>
      <c r="J447" s="4">
        <f t="shared" si="145"/>
        <v>13104928</v>
      </c>
      <c r="K447" s="7">
        <v>21001</v>
      </c>
      <c r="L447" s="7">
        <v>6861812</v>
      </c>
      <c r="M447" s="7">
        <f t="shared" si="143"/>
        <v>6882813</v>
      </c>
      <c r="N447" s="4"/>
      <c r="O447" s="4"/>
      <c r="P447" s="4"/>
      <c r="Q447" s="4"/>
      <c r="R447" s="4">
        <f t="shared" si="152"/>
        <v>357704</v>
      </c>
      <c r="S447" s="39">
        <f t="shared" si="150"/>
        <v>111</v>
      </c>
      <c r="T447" s="91">
        <f t="shared" si="153"/>
        <v>8721</v>
      </c>
    </row>
    <row r="448" spans="1:20" x14ac:dyDescent="0.25">
      <c r="A448" s="107">
        <v>44339</v>
      </c>
      <c r="B448" s="126">
        <v>24801</v>
      </c>
      <c r="C448" s="126">
        <f t="shared" si="148"/>
        <v>3539484</v>
      </c>
      <c r="D448" s="126">
        <v>375</v>
      </c>
      <c r="E448" s="126">
        <f t="shared" si="151"/>
        <v>74056</v>
      </c>
      <c r="F448" s="126">
        <f t="shared" si="149"/>
        <v>23651</v>
      </c>
      <c r="G448" s="155">
        <v>3106949</v>
      </c>
      <c r="H448" s="126">
        <v>6214</v>
      </c>
      <c r="I448" s="4">
        <v>82107</v>
      </c>
      <c r="J448" s="4">
        <f t="shared" si="145"/>
        <v>13187035</v>
      </c>
      <c r="K448" s="7">
        <v>21056</v>
      </c>
      <c r="L448" s="7">
        <v>6891105</v>
      </c>
      <c r="M448" s="7">
        <f t="shared" si="143"/>
        <v>6912161</v>
      </c>
      <c r="N448" s="4"/>
      <c r="O448" s="4"/>
      <c r="P448" s="4"/>
      <c r="Q448" s="4"/>
      <c r="R448" s="4">
        <f t="shared" si="152"/>
        <v>358479</v>
      </c>
      <c r="S448" s="39">
        <f t="shared" si="150"/>
        <v>76</v>
      </c>
      <c r="T448" s="91">
        <f t="shared" si="153"/>
        <v>775</v>
      </c>
    </row>
    <row r="449" spans="1:20" x14ac:dyDescent="0.25">
      <c r="A449" s="107">
        <v>44340</v>
      </c>
      <c r="B449" s="126">
        <v>22651</v>
      </c>
      <c r="C449" s="126">
        <f t="shared" si="148"/>
        <v>3562135</v>
      </c>
      <c r="D449" s="126">
        <v>417</v>
      </c>
      <c r="E449" s="126">
        <f t="shared" si="151"/>
        <v>74473</v>
      </c>
      <c r="F449" s="126">
        <f t="shared" si="149"/>
        <v>26234</v>
      </c>
      <c r="G449" s="155">
        <v>3133183</v>
      </c>
      <c r="H449" s="126">
        <v>6373</v>
      </c>
      <c r="I449" s="4">
        <v>69274</v>
      </c>
      <c r="J449" s="4">
        <f t="shared" si="145"/>
        <v>13256309</v>
      </c>
      <c r="K449" s="7">
        <v>21113</v>
      </c>
      <c r="L449" s="7">
        <v>6915317</v>
      </c>
      <c r="M449" s="7">
        <f t="shared" si="143"/>
        <v>6936430</v>
      </c>
      <c r="N449" s="4"/>
      <c r="O449" s="4"/>
      <c r="P449" s="4"/>
      <c r="Q449" s="4"/>
      <c r="R449" s="4">
        <f t="shared" si="152"/>
        <v>354479</v>
      </c>
      <c r="S449" s="39">
        <f t="shared" si="150"/>
        <v>159</v>
      </c>
      <c r="T449" s="91">
        <f t="shared" si="153"/>
        <v>-4000</v>
      </c>
    </row>
    <row r="450" spans="1:20" x14ac:dyDescent="0.25">
      <c r="A450" s="107">
        <v>44341</v>
      </c>
      <c r="B450" s="126">
        <v>24601</v>
      </c>
      <c r="C450" s="126">
        <f t="shared" si="148"/>
        <v>3586736</v>
      </c>
      <c r="D450" s="126">
        <v>576</v>
      </c>
      <c r="E450" s="126">
        <f t="shared" si="151"/>
        <v>75049</v>
      </c>
      <c r="F450" s="126">
        <f t="shared" si="149"/>
        <v>24477</v>
      </c>
      <c r="G450" s="155">
        <v>3157660</v>
      </c>
      <c r="H450" s="126">
        <v>6552</v>
      </c>
      <c r="I450" s="4">
        <v>86340</v>
      </c>
      <c r="J450" s="4">
        <f t="shared" si="145"/>
        <v>13342649</v>
      </c>
      <c r="K450" s="7">
        <v>21222</v>
      </c>
      <c r="L450" s="7">
        <v>6947118</v>
      </c>
      <c r="M450" s="7">
        <f t="shared" si="143"/>
        <v>6968340</v>
      </c>
      <c r="N450" s="4"/>
      <c r="O450" s="4"/>
      <c r="P450" s="4"/>
      <c r="Q450" s="4"/>
      <c r="R450" s="4">
        <f t="shared" si="152"/>
        <v>354027</v>
      </c>
      <c r="S450" s="39">
        <f t="shared" si="150"/>
        <v>179</v>
      </c>
      <c r="T450" s="91">
        <f t="shared" si="153"/>
        <v>-452</v>
      </c>
    </row>
    <row r="451" spans="1:20" x14ac:dyDescent="0.25">
      <c r="A451" s="107">
        <v>44342</v>
      </c>
      <c r="B451" s="126">
        <v>35399</v>
      </c>
      <c r="C451" s="126">
        <f t="shared" si="148"/>
        <v>3622135</v>
      </c>
      <c r="D451" s="256">
        <v>528</v>
      </c>
      <c r="E451" s="126">
        <f t="shared" si="151"/>
        <v>75577</v>
      </c>
      <c r="F451" s="126">
        <f t="shared" si="149"/>
        <v>23628</v>
      </c>
      <c r="G451" s="155">
        <v>3181288</v>
      </c>
      <c r="H451" s="126">
        <v>6644</v>
      </c>
      <c r="I451" s="4">
        <v>107881</v>
      </c>
      <c r="J451" s="4">
        <f t="shared" si="145"/>
        <v>13450530</v>
      </c>
      <c r="K451" s="7">
        <v>21364</v>
      </c>
      <c r="L451" s="7">
        <v>6982199</v>
      </c>
      <c r="M451" s="7">
        <f t="shared" si="143"/>
        <v>7003563</v>
      </c>
      <c r="N451" s="4"/>
      <c r="O451" s="4"/>
      <c r="P451" s="4"/>
      <c r="Q451" s="4"/>
      <c r="R451" s="4">
        <f t="shared" si="152"/>
        <v>365270</v>
      </c>
      <c r="S451" s="39">
        <f t="shared" si="150"/>
        <v>92</v>
      </c>
      <c r="T451" s="91">
        <f t="shared" si="153"/>
        <v>11243</v>
      </c>
    </row>
    <row r="452" spans="1:20" x14ac:dyDescent="0.25">
      <c r="A452" s="107">
        <v>44343</v>
      </c>
      <c r="B452" s="126">
        <v>41080</v>
      </c>
      <c r="C452" s="126">
        <f t="shared" si="148"/>
        <v>3663215</v>
      </c>
      <c r="D452" s="126">
        <v>549</v>
      </c>
      <c r="E452" s="126">
        <f t="shared" si="151"/>
        <v>76126</v>
      </c>
      <c r="F452" s="126">
        <f t="shared" si="149"/>
        <v>38186</v>
      </c>
      <c r="G452" s="155">
        <v>3219474</v>
      </c>
      <c r="H452" s="126">
        <v>6802</v>
      </c>
      <c r="I452" s="4">
        <v>121115</v>
      </c>
      <c r="J452" s="4">
        <f t="shared" si="145"/>
        <v>13571645</v>
      </c>
      <c r="K452" s="7">
        <v>21496</v>
      </c>
      <c r="L452" s="7">
        <v>7022310</v>
      </c>
      <c r="M452" s="7">
        <f t="shared" si="143"/>
        <v>7043806</v>
      </c>
      <c r="N452" s="4"/>
      <c r="O452" s="4"/>
      <c r="P452" s="4"/>
      <c r="Q452" s="4"/>
      <c r="R452" s="4">
        <f t="shared" si="152"/>
        <v>367615</v>
      </c>
      <c r="S452" s="39">
        <f t="shared" si="150"/>
        <v>158</v>
      </c>
      <c r="T452" s="91">
        <f t="shared" si="153"/>
        <v>2345</v>
      </c>
    </row>
    <row r="453" spans="1:20" x14ac:dyDescent="0.25">
      <c r="A453" s="109">
        <v>44344</v>
      </c>
      <c r="B453" s="133">
        <v>39207</v>
      </c>
      <c r="C453" s="133">
        <f t="shared" si="148"/>
        <v>3702422</v>
      </c>
      <c r="D453" s="133">
        <v>560</v>
      </c>
      <c r="E453" s="133">
        <f t="shared" si="151"/>
        <v>76686</v>
      </c>
      <c r="F453" s="133">
        <f t="shared" si="149"/>
        <v>33369</v>
      </c>
      <c r="G453" s="156">
        <v>3252843</v>
      </c>
      <c r="H453" s="133">
        <v>6872</v>
      </c>
      <c r="I453" s="27">
        <v>110987</v>
      </c>
      <c r="J453" s="27">
        <f t="shared" si="145"/>
        <v>13682632</v>
      </c>
      <c r="K453" s="30">
        <v>21659</v>
      </c>
      <c r="L453" s="30">
        <v>7061012</v>
      </c>
      <c r="M453" s="30">
        <f t="shared" si="143"/>
        <v>7082671</v>
      </c>
      <c r="N453" s="27"/>
      <c r="O453" s="27"/>
      <c r="P453" s="27"/>
      <c r="Q453" s="27"/>
      <c r="R453" s="27">
        <f t="shared" si="152"/>
        <v>372893</v>
      </c>
      <c r="S453" s="67">
        <f t="shared" si="150"/>
        <v>70</v>
      </c>
      <c r="T453" s="121">
        <f t="shared" si="153"/>
        <v>5278</v>
      </c>
    </row>
    <row r="454" spans="1:20" x14ac:dyDescent="0.25">
      <c r="A454" s="107">
        <v>44345</v>
      </c>
      <c r="B454" s="126">
        <v>29841</v>
      </c>
      <c r="C454" s="126">
        <f t="shared" si="148"/>
        <v>3732263</v>
      </c>
      <c r="D454" s="126">
        <v>416</v>
      </c>
      <c r="E454" s="126">
        <f t="shared" si="151"/>
        <v>77102</v>
      </c>
      <c r="F454" s="126">
        <f t="shared" si="149"/>
        <v>35624</v>
      </c>
      <c r="G454" s="155">
        <v>3288467</v>
      </c>
      <c r="H454" s="126">
        <v>6909</v>
      </c>
      <c r="I454" s="4">
        <v>105569</v>
      </c>
      <c r="J454" s="4">
        <f t="shared" si="145"/>
        <v>13788201</v>
      </c>
      <c r="K454" s="7">
        <v>21713</v>
      </c>
      <c r="L454" s="7">
        <v>7101636</v>
      </c>
      <c r="M454" s="7">
        <f t="shared" si="143"/>
        <v>7123349</v>
      </c>
      <c r="N454" s="4"/>
      <c r="O454" s="4"/>
      <c r="P454" s="4"/>
      <c r="Q454" s="4"/>
      <c r="R454" s="4">
        <f t="shared" si="152"/>
        <v>366694</v>
      </c>
      <c r="S454" s="39">
        <f t="shared" si="150"/>
        <v>37</v>
      </c>
      <c r="T454" s="91">
        <f t="shared" si="153"/>
        <v>-6199</v>
      </c>
    </row>
    <row r="455" spans="1:20" x14ac:dyDescent="0.25">
      <c r="A455" s="107">
        <v>44346</v>
      </c>
      <c r="B455" s="126">
        <v>21346</v>
      </c>
      <c r="C455" s="126">
        <f t="shared" si="148"/>
        <v>3753609</v>
      </c>
      <c r="D455" s="126">
        <v>348</v>
      </c>
      <c r="E455" s="126">
        <f t="shared" si="151"/>
        <v>77450</v>
      </c>
      <c r="F455" s="126">
        <f t="shared" si="149"/>
        <v>30601</v>
      </c>
      <c r="G455" s="155">
        <v>3319068</v>
      </c>
      <c r="H455" s="126">
        <v>7200</v>
      </c>
      <c r="I455" s="4">
        <v>84421</v>
      </c>
      <c r="J455" s="4">
        <f t="shared" si="145"/>
        <v>13872622</v>
      </c>
      <c r="K455" s="7">
        <v>21812</v>
      </c>
      <c r="L455" s="7">
        <v>7135288</v>
      </c>
      <c r="M455" s="7">
        <f t="shared" si="143"/>
        <v>7157100</v>
      </c>
      <c r="N455" s="4"/>
      <c r="O455" s="4"/>
      <c r="P455" s="4"/>
      <c r="Q455" s="4"/>
      <c r="R455" s="4">
        <f t="shared" si="152"/>
        <v>357091</v>
      </c>
      <c r="S455" s="39">
        <f t="shared" si="150"/>
        <v>291</v>
      </c>
      <c r="T455" s="91">
        <f t="shared" si="153"/>
        <v>-9603</v>
      </c>
    </row>
    <row r="456" spans="1:20" x14ac:dyDescent="0.25">
      <c r="A456" s="107">
        <v>44347</v>
      </c>
      <c r="B456" s="126">
        <v>28175</v>
      </c>
      <c r="C456" s="126">
        <f t="shared" si="148"/>
        <v>3781784</v>
      </c>
      <c r="D456" s="126">
        <v>638</v>
      </c>
      <c r="E456" s="126">
        <f t="shared" si="151"/>
        <v>78088</v>
      </c>
      <c r="F456" s="126">
        <f t="shared" si="149"/>
        <v>31534</v>
      </c>
      <c r="G456" s="155">
        <v>3350602</v>
      </c>
      <c r="H456" s="126">
        <v>7325</v>
      </c>
      <c r="I456" s="4">
        <v>87048</v>
      </c>
      <c r="J456" s="4">
        <f t="shared" si="145"/>
        <v>13959670</v>
      </c>
      <c r="K456" s="7">
        <v>22012</v>
      </c>
      <c r="L456" s="7">
        <v>7164939</v>
      </c>
      <c r="M456" s="7">
        <f t="shared" si="143"/>
        <v>7186951</v>
      </c>
      <c r="N456" s="4"/>
      <c r="O456" s="4"/>
      <c r="P456" s="4"/>
      <c r="Q456" s="4"/>
      <c r="R456" s="4">
        <f t="shared" si="152"/>
        <v>353094</v>
      </c>
      <c r="S456" s="39">
        <f t="shared" si="150"/>
        <v>125</v>
      </c>
      <c r="T456" s="91">
        <f t="shared" si="153"/>
        <v>-3997</v>
      </c>
    </row>
    <row r="457" spans="1:20" x14ac:dyDescent="0.25">
      <c r="A457" s="107">
        <v>44348</v>
      </c>
      <c r="B457" s="126">
        <v>35355</v>
      </c>
      <c r="C457" s="126">
        <f t="shared" si="148"/>
        <v>3817139</v>
      </c>
      <c r="D457" s="126">
        <v>641</v>
      </c>
      <c r="E457" s="126">
        <f t="shared" si="151"/>
        <v>78729</v>
      </c>
      <c r="F457" s="126">
        <f t="shared" si="149"/>
        <v>30735</v>
      </c>
      <c r="G457" s="155">
        <v>3381337</v>
      </c>
      <c r="H457" s="126">
        <v>7417</v>
      </c>
      <c r="I457" s="4">
        <v>107697</v>
      </c>
      <c r="J457" s="4">
        <f t="shared" si="145"/>
        <v>14067367</v>
      </c>
      <c r="K457" s="7">
        <v>22160</v>
      </c>
      <c r="L457" s="7">
        <v>7203650</v>
      </c>
      <c r="M457" s="7">
        <f t="shared" si="143"/>
        <v>7225810</v>
      </c>
      <c r="N457" s="4"/>
      <c r="O457" s="4"/>
      <c r="P457" s="4"/>
      <c r="Q457" s="4"/>
      <c r="R457" s="4">
        <f t="shared" si="152"/>
        <v>357073</v>
      </c>
      <c r="S457" s="39">
        <f t="shared" si="150"/>
        <v>92</v>
      </c>
      <c r="T457" s="91">
        <f t="shared" si="153"/>
        <v>3979</v>
      </c>
    </row>
    <row r="458" spans="1:20" x14ac:dyDescent="0.25">
      <c r="A458" s="107">
        <v>44349</v>
      </c>
      <c r="B458" s="126">
        <v>35017</v>
      </c>
      <c r="C458" s="126">
        <f t="shared" si="148"/>
        <v>3852156</v>
      </c>
      <c r="D458" s="126">
        <v>587</v>
      </c>
      <c r="E458" s="126">
        <f t="shared" si="151"/>
        <v>79316</v>
      </c>
      <c r="F458" s="126">
        <f t="shared" si="149"/>
        <v>27979</v>
      </c>
      <c r="G458" s="155">
        <v>3409316</v>
      </c>
      <c r="H458" s="126">
        <v>7614</v>
      </c>
      <c r="I458" s="4">
        <v>110774</v>
      </c>
      <c r="J458" s="4">
        <f t="shared" si="145"/>
        <v>14178141</v>
      </c>
      <c r="K458" s="7">
        <v>22348</v>
      </c>
      <c r="L458" s="7">
        <v>7244756</v>
      </c>
      <c r="M458" s="7">
        <f t="shared" si="143"/>
        <v>7267104</v>
      </c>
      <c r="N458" s="4"/>
      <c r="O458" s="4"/>
      <c r="P458" s="4"/>
      <c r="Q458" s="4"/>
      <c r="R458" s="4">
        <f t="shared" si="152"/>
        <v>363524</v>
      </c>
      <c r="S458" s="39">
        <f t="shared" si="150"/>
        <v>197</v>
      </c>
      <c r="T458" s="91">
        <f t="shared" si="153"/>
        <v>6451</v>
      </c>
    </row>
    <row r="459" spans="1:20" x14ac:dyDescent="0.25">
      <c r="A459" s="107">
        <v>44350</v>
      </c>
      <c r="B459" s="126">
        <v>32291</v>
      </c>
      <c r="C459" s="126">
        <f t="shared" si="148"/>
        <v>3884447</v>
      </c>
      <c r="D459" s="126">
        <v>552</v>
      </c>
      <c r="E459" s="126">
        <f t="shared" si="151"/>
        <v>79868</v>
      </c>
      <c r="F459" s="126">
        <f t="shared" si="149"/>
        <v>29121</v>
      </c>
      <c r="G459" s="155">
        <v>3438437</v>
      </c>
      <c r="H459" s="126">
        <v>7698</v>
      </c>
      <c r="I459" s="4">
        <v>116372</v>
      </c>
      <c r="J459" s="4">
        <f t="shared" si="145"/>
        <v>14294513</v>
      </c>
      <c r="K459" s="7">
        <v>22558</v>
      </c>
      <c r="L459" s="7">
        <v>7288855</v>
      </c>
      <c r="M459" s="7">
        <f t="shared" si="143"/>
        <v>7311413</v>
      </c>
      <c r="N459" s="4"/>
      <c r="O459" s="4"/>
      <c r="P459" s="4"/>
      <c r="Q459" s="4"/>
      <c r="R459" s="4">
        <f t="shared" si="152"/>
        <v>366142</v>
      </c>
      <c r="S459" s="39">
        <f t="shared" si="150"/>
        <v>84</v>
      </c>
      <c r="T459" s="91">
        <f t="shared" si="153"/>
        <v>2618</v>
      </c>
    </row>
    <row r="460" spans="1:20" x14ac:dyDescent="0.25">
      <c r="A460" s="107">
        <v>44351</v>
      </c>
      <c r="B460" s="126">
        <v>30950</v>
      </c>
      <c r="C460" s="126">
        <f t="shared" si="148"/>
        <v>3915397</v>
      </c>
      <c r="D460" s="126">
        <v>539</v>
      </c>
      <c r="E460" s="126">
        <f t="shared" si="151"/>
        <v>80407</v>
      </c>
      <c r="F460" s="126">
        <f t="shared" si="149"/>
        <v>26700</v>
      </c>
      <c r="G460" s="155">
        <v>3465137</v>
      </c>
      <c r="H460" s="126">
        <v>7668</v>
      </c>
      <c r="I460" s="4">
        <v>105645</v>
      </c>
      <c r="J460" s="4">
        <f t="shared" si="145"/>
        <v>14400158</v>
      </c>
      <c r="K460" s="7"/>
      <c r="L460" s="7"/>
      <c r="M460" s="7"/>
      <c r="N460" s="4"/>
      <c r="O460" s="4"/>
      <c r="P460" s="4"/>
      <c r="Q460" s="4"/>
      <c r="R460" s="4">
        <f t="shared" si="152"/>
        <v>369853</v>
      </c>
      <c r="S460" s="39">
        <f t="shared" si="150"/>
        <v>-30</v>
      </c>
      <c r="T460" s="91">
        <f t="shared" si="153"/>
        <v>3711</v>
      </c>
    </row>
    <row r="461" spans="1:20" x14ac:dyDescent="0.25">
      <c r="A461" s="107">
        <v>44352</v>
      </c>
      <c r="B461" s="126">
        <v>23627</v>
      </c>
      <c r="C461" s="126">
        <f t="shared" si="148"/>
        <v>3939024</v>
      </c>
      <c r="D461" s="126">
        <v>456</v>
      </c>
      <c r="E461" s="126">
        <f t="shared" si="151"/>
        <v>80863</v>
      </c>
      <c r="F461" s="126">
        <f t="shared" si="149"/>
        <v>32363</v>
      </c>
      <c r="G461" s="155">
        <v>3497500</v>
      </c>
      <c r="H461" s="126">
        <v>7731</v>
      </c>
      <c r="I461" s="4">
        <v>96820</v>
      </c>
      <c r="J461" s="4">
        <f t="shared" si="145"/>
        <v>14496978</v>
      </c>
      <c r="K461" s="7">
        <v>22800</v>
      </c>
      <c r="L461" s="7">
        <v>7366666</v>
      </c>
      <c r="M461" s="7">
        <f t="shared" si="143"/>
        <v>7389466</v>
      </c>
      <c r="N461" s="4"/>
      <c r="O461" s="4"/>
      <c r="P461" s="4"/>
      <c r="Q461" s="4"/>
      <c r="R461" s="4">
        <f t="shared" si="152"/>
        <v>360661</v>
      </c>
      <c r="S461" s="39">
        <f t="shared" si="150"/>
        <v>63</v>
      </c>
      <c r="T461" s="91">
        <f t="shared" si="153"/>
        <v>-9192</v>
      </c>
    </row>
    <row r="462" spans="1:20" x14ac:dyDescent="0.25">
      <c r="A462" s="107">
        <v>44353</v>
      </c>
      <c r="B462" s="126">
        <v>16415</v>
      </c>
      <c r="C462" s="126">
        <f t="shared" si="148"/>
        <v>3955439</v>
      </c>
      <c r="D462" s="126">
        <v>347</v>
      </c>
      <c r="E462" s="126">
        <f t="shared" si="151"/>
        <v>81210</v>
      </c>
      <c r="F462" s="126">
        <f t="shared" si="149"/>
        <v>31533</v>
      </c>
      <c r="G462" s="155">
        <v>3529033</v>
      </c>
      <c r="H462" s="126">
        <v>7776</v>
      </c>
      <c r="I462" s="4">
        <v>66248</v>
      </c>
      <c r="J462" s="4">
        <f t="shared" si="145"/>
        <v>14563226</v>
      </c>
      <c r="K462" s="7">
        <v>22881</v>
      </c>
      <c r="L462" s="7">
        <v>7392568</v>
      </c>
      <c r="M462" s="7">
        <f t="shared" si="143"/>
        <v>7415449</v>
      </c>
      <c r="N462" s="4"/>
      <c r="O462" s="4"/>
      <c r="P462" s="4"/>
      <c r="Q462" s="4"/>
      <c r="R462" s="4">
        <f t="shared" si="152"/>
        <v>345196</v>
      </c>
      <c r="S462" s="39">
        <f>H462-H461</f>
        <v>45</v>
      </c>
      <c r="T462" s="91">
        <f t="shared" si="153"/>
        <v>-15465</v>
      </c>
    </row>
    <row r="463" spans="1:20" x14ac:dyDescent="0.25">
      <c r="A463" s="107">
        <v>44354</v>
      </c>
      <c r="B463" s="126">
        <v>22195</v>
      </c>
      <c r="C463" s="126">
        <f t="shared" si="148"/>
        <v>3977634</v>
      </c>
      <c r="D463" s="126">
        <v>733</v>
      </c>
      <c r="E463" s="126">
        <f t="shared" si="151"/>
        <v>81943</v>
      </c>
      <c r="F463" s="126">
        <f>G463-G462</f>
        <v>31115</v>
      </c>
      <c r="G463" s="155">
        <v>3560148</v>
      </c>
      <c r="H463" s="126">
        <v>7827</v>
      </c>
      <c r="I463" s="4">
        <v>76547</v>
      </c>
      <c r="J463" s="4">
        <f t="shared" si="145"/>
        <v>14639773</v>
      </c>
      <c r="K463" s="7">
        <v>23112</v>
      </c>
      <c r="L463" s="7">
        <v>7418691</v>
      </c>
      <c r="M463" s="7">
        <f t="shared" si="143"/>
        <v>7441803</v>
      </c>
      <c r="N463" s="4"/>
      <c r="O463" s="4"/>
      <c r="P463" s="4"/>
      <c r="Q463" s="4"/>
      <c r="R463" s="4">
        <f t="shared" si="152"/>
        <v>335543</v>
      </c>
      <c r="S463" s="39">
        <f>H463-H462</f>
        <v>51</v>
      </c>
      <c r="T463" s="91">
        <f t="shared" si="153"/>
        <v>-9653</v>
      </c>
    </row>
    <row r="464" spans="1:20" x14ac:dyDescent="0.25">
      <c r="A464" s="18">
        <v>44355</v>
      </c>
      <c r="B464" s="126">
        <v>31137</v>
      </c>
      <c r="C464" s="126">
        <f t="shared" si="148"/>
        <v>4008771</v>
      </c>
      <c r="D464" s="126">
        <v>722</v>
      </c>
      <c r="E464" s="126">
        <f t="shared" si="151"/>
        <v>82665</v>
      </c>
      <c r="F464" s="126">
        <f>G464-G463</f>
        <v>23663</v>
      </c>
      <c r="G464" s="155">
        <v>3583811</v>
      </c>
      <c r="H464" s="126">
        <v>7794</v>
      </c>
      <c r="I464" s="4">
        <v>82667</v>
      </c>
      <c r="J464" s="4">
        <f t="shared" si="145"/>
        <v>14722440</v>
      </c>
      <c r="K464" s="7"/>
      <c r="L464" s="7"/>
      <c r="M464" s="4"/>
      <c r="N464" s="4"/>
      <c r="O464" s="4"/>
      <c r="P464" s="4"/>
      <c r="Q464" s="4"/>
      <c r="R464" s="4">
        <f t="shared" si="152"/>
        <v>342295</v>
      </c>
      <c r="S464" s="39">
        <f>H464-H463</f>
        <v>-33</v>
      </c>
      <c r="T464" s="91">
        <f t="shared" si="153"/>
        <v>6752</v>
      </c>
    </row>
    <row r="465" spans="1:20" x14ac:dyDescent="0.25">
      <c r="A465" s="18">
        <v>44356</v>
      </c>
      <c r="B465" s="143">
        <v>29757</v>
      </c>
      <c r="C465" s="126">
        <f t="shared" si="148"/>
        <v>4038528</v>
      </c>
      <c r="D465" s="143">
        <v>607</v>
      </c>
      <c r="E465" s="126">
        <f t="shared" si="151"/>
        <v>83272</v>
      </c>
      <c r="F465" s="126">
        <f>G465-G464</f>
        <v>25084</v>
      </c>
      <c r="G465" s="159">
        <v>3608895</v>
      </c>
      <c r="H465" s="143">
        <v>7769</v>
      </c>
      <c r="I465" s="546">
        <v>109496</v>
      </c>
      <c r="J465" s="4">
        <f t="shared" si="145"/>
        <v>14831936</v>
      </c>
      <c r="R465" s="4">
        <f>C465-E465-G465</f>
        <v>346361</v>
      </c>
      <c r="S465" s="39">
        <f>H465-H464</f>
        <v>-25</v>
      </c>
      <c r="T465" s="91">
        <f>(C465-G465-E465)-(C464-E464-G464)</f>
        <v>4066</v>
      </c>
    </row>
  </sheetData>
  <autoFilter ref="A1:R388" xr:uid="{00000000-0009-0000-0000-000000000000}"/>
  <pageMargins left="0.7" right="0.7" top="0.75" bottom="0.75" header="0.3" footer="0.3"/>
  <pageSetup paperSize="9" orientation="portrait" horizontalDpi="4294967295" verticalDpi="4294967295"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Q11138"/>
  <sheetViews>
    <sheetView tabSelected="1" zoomScale="70" zoomScaleNormal="70" workbookViewId="0">
      <pane ySplit="1" topLeftCell="A11111" activePane="bottomLeft" state="frozen"/>
      <selection activeCell="H388" sqref="H388"/>
      <selection pane="bottomLeft" activeCell="C11121" sqref="C11121"/>
    </sheetView>
  </sheetViews>
  <sheetFormatPr baseColWidth="10" defaultRowHeight="15" x14ac:dyDescent="0.25"/>
  <cols>
    <col min="1" max="1" width="18.140625" style="394" customWidth="1"/>
    <col min="2" max="2" width="11.5703125" style="1" customWidth="1"/>
    <col min="3" max="3" width="8.7109375" style="1" customWidth="1"/>
    <col min="4" max="4" width="11.42578125" style="39" customWidth="1"/>
    <col min="5" max="5" width="7.28515625" style="1" customWidth="1"/>
    <col min="6" max="6" width="9.5703125" style="541" customWidth="1"/>
    <col min="7" max="7" width="10" style="17" customWidth="1"/>
    <col min="8" max="8" width="11.85546875" style="17" customWidth="1"/>
    <col min="9" max="9" width="9.140625" style="42" customWidth="1"/>
    <col min="10" max="10" width="10.5703125" style="42" customWidth="1"/>
    <col min="11" max="11" width="8" style="42" customWidth="1"/>
    <col min="12" max="12" width="9.85546875" style="42" customWidth="1"/>
    <col min="13" max="13" width="12.7109375" style="42" customWidth="1"/>
    <col min="14" max="14" width="17.7109375" style="42" customWidth="1"/>
    <col min="15" max="16384" width="11.42578125" style="42"/>
  </cols>
  <sheetData>
    <row r="1" spans="1:13" x14ac:dyDescent="0.25">
      <c r="A1" s="392" t="s">
        <v>24</v>
      </c>
      <c r="B1" s="234" t="s">
        <v>25</v>
      </c>
      <c r="C1" s="234" t="s">
        <v>26</v>
      </c>
      <c r="D1" s="67" t="s">
        <v>27</v>
      </c>
      <c r="E1" s="265" t="s">
        <v>99</v>
      </c>
      <c r="F1" s="520" t="s">
        <v>101</v>
      </c>
      <c r="G1" s="521" t="s">
        <v>112</v>
      </c>
      <c r="H1" s="521" t="s">
        <v>118</v>
      </c>
      <c r="I1" s="521" t="s">
        <v>243</v>
      </c>
      <c r="J1" s="521" t="s">
        <v>244</v>
      </c>
      <c r="K1" s="521" t="s">
        <v>245</v>
      </c>
      <c r="L1" s="42" t="s">
        <v>300</v>
      </c>
      <c r="M1" s="42" t="s">
        <v>294</v>
      </c>
    </row>
    <row r="2" spans="1:13" s="393" customFormat="1" x14ac:dyDescent="0.25">
      <c r="A2" s="394" t="s">
        <v>16</v>
      </c>
      <c r="B2" s="2">
        <v>43893</v>
      </c>
      <c r="C2" s="1">
        <v>0</v>
      </c>
      <c r="D2" s="39">
        <v>0</v>
      </c>
      <c r="E2" s="1"/>
      <c r="F2" s="39"/>
      <c r="G2" s="395"/>
      <c r="H2" s="395"/>
      <c r="J2" s="42"/>
    </row>
    <row r="3" spans="1:13" s="393" customFormat="1" x14ac:dyDescent="0.25">
      <c r="A3" s="19" t="s">
        <v>28</v>
      </c>
      <c r="B3" s="2">
        <v>43893</v>
      </c>
      <c r="C3" s="1">
        <v>0</v>
      </c>
      <c r="D3" s="39">
        <v>0</v>
      </c>
      <c r="E3" s="1"/>
      <c r="F3" s="39"/>
      <c r="G3" s="395"/>
      <c r="H3" s="395"/>
      <c r="J3" s="42"/>
    </row>
    <row r="4" spans="1:13" s="393" customFormat="1" x14ac:dyDescent="0.25">
      <c r="A4" s="19" t="s">
        <v>15</v>
      </c>
      <c r="B4" s="2">
        <v>43893</v>
      </c>
      <c r="C4" s="1">
        <v>0</v>
      </c>
      <c r="D4" s="39">
        <v>0</v>
      </c>
      <c r="E4" s="1"/>
      <c r="F4" s="39"/>
      <c r="G4" s="395"/>
      <c r="H4" s="395"/>
      <c r="J4" s="42"/>
    </row>
    <row r="5" spans="1:13" s="393" customFormat="1" x14ac:dyDescent="0.25">
      <c r="A5" s="19" t="s">
        <v>29</v>
      </c>
      <c r="B5" s="2">
        <v>43893</v>
      </c>
      <c r="C5" s="1">
        <v>0</v>
      </c>
      <c r="D5" s="39">
        <v>0</v>
      </c>
      <c r="E5" s="1"/>
      <c r="F5" s="39"/>
      <c r="G5" s="395"/>
      <c r="H5" s="395"/>
      <c r="J5" s="42"/>
    </row>
    <row r="6" spans="1:13" s="393" customFormat="1" x14ac:dyDescent="0.25">
      <c r="A6" s="19" t="s">
        <v>43</v>
      </c>
      <c r="B6" s="2">
        <v>43893</v>
      </c>
      <c r="C6" s="1">
        <v>1</v>
      </c>
      <c r="D6" s="39">
        <v>1</v>
      </c>
      <c r="E6" s="1"/>
      <c r="F6" s="39"/>
      <c r="G6" s="395"/>
      <c r="H6" s="395"/>
      <c r="J6" s="42"/>
    </row>
    <row r="7" spans="1:13" s="393" customFormat="1" x14ac:dyDescent="0.25">
      <c r="A7" s="19" t="s">
        <v>20</v>
      </c>
      <c r="B7" s="2">
        <v>43893</v>
      </c>
      <c r="C7" s="1">
        <v>0</v>
      </c>
      <c r="D7" s="39">
        <v>0</v>
      </c>
      <c r="E7" s="1"/>
      <c r="F7" s="39"/>
      <c r="G7" s="395"/>
      <c r="H7" s="395"/>
      <c r="J7" s="42"/>
    </row>
    <row r="8" spans="1:13" s="393" customFormat="1" x14ac:dyDescent="0.25">
      <c r="A8" s="19" t="s">
        <v>30</v>
      </c>
      <c r="B8" s="2">
        <v>43893</v>
      </c>
      <c r="C8" s="1">
        <v>0</v>
      </c>
      <c r="D8" s="39">
        <v>0</v>
      </c>
      <c r="E8" s="1"/>
      <c r="F8" s="39"/>
      <c r="G8" s="395"/>
      <c r="H8" s="395"/>
      <c r="J8" s="42"/>
    </row>
    <row r="9" spans="1:13" x14ac:dyDescent="0.25">
      <c r="A9" s="19" t="s">
        <v>31</v>
      </c>
      <c r="B9" s="2">
        <v>43893</v>
      </c>
      <c r="C9" s="1">
        <v>0</v>
      </c>
      <c r="D9" s="39">
        <v>0</v>
      </c>
      <c r="F9" s="39"/>
    </row>
    <row r="10" spans="1:13" s="393" customFormat="1" x14ac:dyDescent="0.25">
      <c r="A10" s="19" t="s">
        <v>41</v>
      </c>
      <c r="B10" s="2">
        <v>43893</v>
      </c>
      <c r="C10" s="1">
        <v>0</v>
      </c>
      <c r="D10" s="39">
        <v>0</v>
      </c>
      <c r="E10" s="1"/>
      <c r="F10" s="39"/>
      <c r="G10" s="395"/>
      <c r="H10" s="395"/>
      <c r="J10" s="42"/>
    </row>
    <row r="11" spans="1:13" s="393" customFormat="1" x14ac:dyDescent="0.25">
      <c r="A11" s="19" t="s">
        <v>32</v>
      </c>
      <c r="B11" s="2">
        <v>43893</v>
      </c>
      <c r="C11" s="1">
        <v>0</v>
      </c>
      <c r="D11" s="39">
        <v>0</v>
      </c>
      <c r="E11" s="1"/>
      <c r="F11" s="39"/>
      <c r="G11" s="395"/>
      <c r="H11" s="395"/>
      <c r="J11" s="42"/>
    </row>
    <row r="12" spans="1:13" s="393" customFormat="1" x14ac:dyDescent="0.25">
      <c r="A12" s="19" t="s">
        <v>33</v>
      </c>
      <c r="B12" s="2">
        <v>43893</v>
      </c>
      <c r="C12" s="1">
        <v>0</v>
      </c>
      <c r="D12" s="39">
        <v>0</v>
      </c>
      <c r="E12" s="1"/>
      <c r="F12" s="39"/>
      <c r="G12" s="395"/>
      <c r="H12" s="395"/>
      <c r="J12" s="42"/>
    </row>
    <row r="13" spans="1:13" s="393" customFormat="1" x14ac:dyDescent="0.25">
      <c r="A13" s="19" t="s">
        <v>21</v>
      </c>
      <c r="B13" s="2">
        <v>43893</v>
      </c>
      <c r="C13" s="1">
        <v>0</v>
      </c>
      <c r="D13" s="39">
        <v>0</v>
      </c>
      <c r="E13" s="1"/>
      <c r="F13" s="39"/>
      <c r="G13" s="395"/>
      <c r="H13" s="395"/>
      <c r="J13" s="42"/>
    </row>
    <row r="14" spans="1:13" s="393" customFormat="1" x14ac:dyDescent="0.25">
      <c r="A14" s="19" t="s">
        <v>17</v>
      </c>
      <c r="B14" s="2">
        <v>43893</v>
      </c>
      <c r="C14" s="1">
        <v>0</v>
      </c>
      <c r="D14" s="39">
        <v>0</v>
      </c>
      <c r="E14" s="1"/>
      <c r="F14" s="39"/>
      <c r="G14" s="395"/>
      <c r="H14" s="395"/>
      <c r="J14" s="42"/>
    </row>
    <row r="15" spans="1:13" s="393" customFormat="1" x14ac:dyDescent="0.25">
      <c r="A15" s="19" t="s">
        <v>23</v>
      </c>
      <c r="B15" s="2">
        <v>43893</v>
      </c>
      <c r="C15" s="1">
        <v>0</v>
      </c>
      <c r="D15" s="39">
        <v>0</v>
      </c>
      <c r="E15" s="1"/>
      <c r="F15" s="39"/>
      <c r="G15" s="395"/>
      <c r="H15" s="395"/>
      <c r="J15" s="42"/>
    </row>
    <row r="16" spans="1:13" s="393" customFormat="1" x14ac:dyDescent="0.25">
      <c r="A16" s="19" t="s">
        <v>19</v>
      </c>
      <c r="B16" s="2">
        <v>43893</v>
      </c>
      <c r="C16" s="1">
        <v>0</v>
      </c>
      <c r="D16" s="39">
        <v>0</v>
      </c>
      <c r="E16" s="1"/>
      <c r="F16" s="39"/>
      <c r="G16" s="395"/>
      <c r="H16" s="395"/>
      <c r="J16" s="42"/>
    </row>
    <row r="17" spans="1:10" s="393" customFormat="1" x14ac:dyDescent="0.25">
      <c r="A17" s="19" t="s">
        <v>18</v>
      </c>
      <c r="B17" s="2">
        <v>43893</v>
      </c>
      <c r="C17" s="1">
        <v>0</v>
      </c>
      <c r="D17" s="39">
        <v>0</v>
      </c>
      <c r="E17" s="1"/>
      <c r="F17" s="39"/>
      <c r="G17" s="395"/>
      <c r="H17" s="395"/>
      <c r="J17" s="42"/>
    </row>
    <row r="18" spans="1:10" s="393" customFormat="1" x14ac:dyDescent="0.25">
      <c r="A18" s="19" t="s">
        <v>34</v>
      </c>
      <c r="B18" s="2">
        <v>43893</v>
      </c>
      <c r="C18" s="1">
        <v>0</v>
      </c>
      <c r="D18" s="39">
        <v>0</v>
      </c>
      <c r="E18" s="1"/>
      <c r="F18" s="39"/>
      <c r="G18" s="395"/>
      <c r="H18" s="395"/>
      <c r="J18" s="42"/>
    </row>
    <row r="19" spans="1:10" s="393" customFormat="1" x14ac:dyDescent="0.25">
      <c r="A19" s="19" t="s">
        <v>35</v>
      </c>
      <c r="B19" s="2">
        <v>43893</v>
      </c>
      <c r="C19" s="1">
        <v>0</v>
      </c>
      <c r="D19" s="39">
        <v>0</v>
      </c>
      <c r="E19" s="1"/>
      <c r="F19" s="39"/>
      <c r="G19" s="395"/>
      <c r="H19" s="395"/>
      <c r="J19" s="42"/>
    </row>
    <row r="20" spans="1:10" s="393" customFormat="1" x14ac:dyDescent="0.25">
      <c r="A20" s="19" t="s">
        <v>36</v>
      </c>
      <c r="B20" s="2">
        <v>43893</v>
      </c>
      <c r="C20" s="1">
        <v>0</v>
      </c>
      <c r="D20" s="39">
        <v>0</v>
      </c>
      <c r="E20" s="1"/>
      <c r="F20" s="39"/>
      <c r="G20" s="395"/>
      <c r="H20" s="395"/>
      <c r="J20" s="42"/>
    </row>
    <row r="21" spans="1:10" s="393" customFormat="1" x14ac:dyDescent="0.25">
      <c r="A21" s="19" t="s">
        <v>37</v>
      </c>
      <c r="B21" s="2">
        <v>43893</v>
      </c>
      <c r="C21" s="1">
        <v>0</v>
      </c>
      <c r="D21" s="39">
        <v>0</v>
      </c>
      <c r="E21" s="1"/>
      <c r="F21" s="39"/>
      <c r="G21" s="395"/>
      <c r="H21" s="395"/>
      <c r="J21" s="42"/>
    </row>
    <row r="22" spans="1:10" s="393" customFormat="1" x14ac:dyDescent="0.25">
      <c r="A22" s="19" t="s">
        <v>22</v>
      </c>
      <c r="B22" s="2">
        <v>43893</v>
      </c>
      <c r="C22" s="1">
        <v>0</v>
      </c>
      <c r="D22" s="39">
        <v>0</v>
      </c>
      <c r="E22" s="1"/>
      <c r="F22" s="39"/>
      <c r="G22" s="395"/>
      <c r="H22" s="395"/>
      <c r="J22" s="42"/>
    </row>
    <row r="23" spans="1:10" s="393" customFormat="1" x14ac:dyDescent="0.25">
      <c r="A23" s="19" t="s">
        <v>38</v>
      </c>
      <c r="B23" s="2">
        <v>43893</v>
      </c>
      <c r="C23" s="1">
        <v>0</v>
      </c>
      <c r="D23" s="39">
        <v>0</v>
      </c>
      <c r="E23" s="1"/>
      <c r="F23" s="39"/>
      <c r="G23" s="395"/>
      <c r="H23" s="395"/>
      <c r="J23" s="42"/>
    </row>
    <row r="24" spans="1:10" s="393" customFormat="1" x14ac:dyDescent="0.25">
      <c r="A24" s="19" t="s">
        <v>39</v>
      </c>
      <c r="B24" s="2">
        <v>43893</v>
      </c>
      <c r="C24" s="1">
        <v>0</v>
      </c>
      <c r="D24" s="39">
        <v>0</v>
      </c>
      <c r="E24" s="1"/>
      <c r="F24" s="39"/>
      <c r="G24" s="395"/>
      <c r="H24" s="395"/>
      <c r="J24" s="42"/>
    </row>
    <row r="25" spans="1:10" s="393" customFormat="1" x14ac:dyDescent="0.25">
      <c r="A25" s="19" t="s">
        <v>40</v>
      </c>
      <c r="B25" s="2">
        <v>43893</v>
      </c>
      <c r="C25" s="1">
        <v>0</v>
      </c>
      <c r="D25" s="39">
        <v>0</v>
      </c>
      <c r="E25" s="1"/>
      <c r="F25" s="39"/>
      <c r="G25" s="395"/>
      <c r="H25" s="395"/>
      <c r="J25" s="42"/>
    </row>
    <row r="26" spans="1:10" s="393" customFormat="1" x14ac:dyDescent="0.25">
      <c r="A26" s="394" t="s">
        <v>16</v>
      </c>
      <c r="B26" s="2">
        <v>43894</v>
      </c>
      <c r="C26" s="1">
        <v>0</v>
      </c>
      <c r="D26" s="39">
        <v>0</v>
      </c>
      <c r="E26" s="1"/>
      <c r="F26" s="39">
        <f>E26+F2</f>
        <v>0</v>
      </c>
      <c r="G26" s="395"/>
      <c r="H26" s="395"/>
      <c r="J26" s="42"/>
    </row>
    <row r="27" spans="1:10" s="393" customFormat="1" x14ac:dyDescent="0.25">
      <c r="A27" s="19" t="s">
        <v>28</v>
      </c>
      <c r="B27" s="2">
        <v>43894</v>
      </c>
      <c r="C27" s="1">
        <v>0</v>
      </c>
      <c r="D27" s="39">
        <v>0</v>
      </c>
      <c r="E27" s="1"/>
      <c r="F27" s="39">
        <f t="shared" ref="F27:F90" si="0">E27+F3</f>
        <v>0</v>
      </c>
      <c r="G27" s="395"/>
      <c r="H27" s="395"/>
      <c r="J27" s="42"/>
    </row>
    <row r="28" spans="1:10" s="393" customFormat="1" x14ac:dyDescent="0.25">
      <c r="A28" s="19" t="s">
        <v>15</v>
      </c>
      <c r="B28" s="2">
        <v>43894</v>
      </c>
      <c r="C28" s="1">
        <v>0</v>
      </c>
      <c r="D28" s="39">
        <v>0</v>
      </c>
      <c r="E28" s="1"/>
      <c r="F28" s="39">
        <f t="shared" si="0"/>
        <v>0</v>
      </c>
      <c r="G28" s="395"/>
      <c r="H28" s="395"/>
      <c r="J28" s="42"/>
    </row>
    <row r="29" spans="1:10" s="393" customFormat="1" x14ac:dyDescent="0.25">
      <c r="A29" s="19" t="s">
        <v>29</v>
      </c>
      <c r="B29" s="2">
        <v>43894</v>
      </c>
      <c r="C29" s="1">
        <v>0</v>
      </c>
      <c r="D29" s="39">
        <v>0</v>
      </c>
      <c r="E29" s="1"/>
      <c r="F29" s="39">
        <f t="shared" si="0"/>
        <v>0</v>
      </c>
      <c r="G29" s="395"/>
      <c r="H29" s="395"/>
      <c r="J29" s="42"/>
    </row>
    <row r="30" spans="1:10" s="393" customFormat="1" x14ac:dyDescent="0.25">
      <c r="A30" s="19" t="s">
        <v>43</v>
      </c>
      <c r="B30" s="2">
        <v>43894</v>
      </c>
      <c r="C30" s="1">
        <v>0</v>
      </c>
      <c r="D30" s="39">
        <v>1</v>
      </c>
      <c r="E30" s="1"/>
      <c r="F30" s="39">
        <f t="shared" si="0"/>
        <v>0</v>
      </c>
      <c r="G30" s="395"/>
      <c r="H30" s="395"/>
      <c r="J30" s="42"/>
    </row>
    <row r="31" spans="1:10" s="393" customFormat="1" x14ac:dyDescent="0.25">
      <c r="A31" s="19" t="s">
        <v>20</v>
      </c>
      <c r="B31" s="2">
        <v>43894</v>
      </c>
      <c r="C31" s="1">
        <v>0</v>
      </c>
      <c r="D31" s="39">
        <v>0</v>
      </c>
      <c r="E31" s="1"/>
      <c r="F31" s="39">
        <f t="shared" si="0"/>
        <v>0</v>
      </c>
      <c r="G31" s="395"/>
      <c r="H31" s="395"/>
      <c r="J31" s="42"/>
    </row>
    <row r="32" spans="1:10" s="393" customFormat="1" x14ac:dyDescent="0.25">
      <c r="A32" s="19" t="s">
        <v>30</v>
      </c>
      <c r="B32" s="2">
        <v>43894</v>
      </c>
      <c r="C32" s="1">
        <v>0</v>
      </c>
      <c r="D32" s="39">
        <v>0</v>
      </c>
      <c r="E32" s="1"/>
      <c r="F32" s="39">
        <f t="shared" si="0"/>
        <v>0</v>
      </c>
      <c r="G32" s="395"/>
      <c r="H32" s="395"/>
      <c r="J32" s="42"/>
    </row>
    <row r="33" spans="1:10" x14ac:dyDescent="0.25">
      <c r="A33" s="19" t="s">
        <v>31</v>
      </c>
      <c r="B33" s="2">
        <v>43894</v>
      </c>
      <c r="C33" s="1">
        <v>0</v>
      </c>
      <c r="D33" s="39">
        <v>0</v>
      </c>
      <c r="F33" s="39">
        <f t="shared" si="0"/>
        <v>0</v>
      </c>
    </row>
    <row r="34" spans="1:10" s="393" customFormat="1" x14ac:dyDescent="0.25">
      <c r="A34" s="19" t="s">
        <v>41</v>
      </c>
      <c r="B34" s="2">
        <v>43894</v>
      </c>
      <c r="C34" s="1">
        <v>0</v>
      </c>
      <c r="D34" s="39">
        <v>0</v>
      </c>
      <c r="E34" s="1"/>
      <c r="F34" s="39">
        <f t="shared" si="0"/>
        <v>0</v>
      </c>
      <c r="G34" s="395"/>
      <c r="H34" s="395"/>
      <c r="J34" s="42"/>
    </row>
    <row r="35" spans="1:10" s="393" customFormat="1" x14ac:dyDescent="0.25">
      <c r="A35" s="19" t="s">
        <v>32</v>
      </c>
      <c r="B35" s="2">
        <v>43894</v>
      </c>
      <c r="C35" s="1">
        <v>0</v>
      </c>
      <c r="D35" s="39">
        <v>0</v>
      </c>
      <c r="E35" s="1"/>
      <c r="F35" s="39">
        <f t="shared" si="0"/>
        <v>0</v>
      </c>
      <c r="G35" s="395"/>
      <c r="H35" s="395"/>
      <c r="J35" s="42"/>
    </row>
    <row r="36" spans="1:10" s="393" customFormat="1" x14ac:dyDescent="0.25">
      <c r="A36" s="19" t="s">
        <v>33</v>
      </c>
      <c r="B36" s="2">
        <v>43894</v>
      </c>
      <c r="C36" s="1">
        <v>0</v>
      </c>
      <c r="D36" s="39">
        <v>0</v>
      </c>
      <c r="E36" s="1"/>
      <c r="F36" s="39">
        <f t="shared" si="0"/>
        <v>0</v>
      </c>
      <c r="G36" s="395"/>
      <c r="H36" s="395"/>
      <c r="J36" s="42"/>
    </row>
    <row r="37" spans="1:10" s="393" customFormat="1" x14ac:dyDescent="0.25">
      <c r="A37" s="19" t="s">
        <v>21</v>
      </c>
      <c r="B37" s="2">
        <v>43894</v>
      </c>
      <c r="C37" s="1">
        <v>0</v>
      </c>
      <c r="D37" s="39">
        <v>0</v>
      </c>
      <c r="E37" s="1"/>
      <c r="F37" s="39">
        <f t="shared" si="0"/>
        <v>0</v>
      </c>
      <c r="G37" s="395"/>
      <c r="H37" s="395"/>
      <c r="J37" s="42"/>
    </row>
    <row r="38" spans="1:10" s="393" customFormat="1" x14ac:dyDescent="0.25">
      <c r="A38" s="19" t="s">
        <v>17</v>
      </c>
      <c r="B38" s="2">
        <v>43894</v>
      </c>
      <c r="C38" s="1">
        <v>0</v>
      </c>
      <c r="D38" s="39">
        <v>0</v>
      </c>
      <c r="E38" s="1"/>
      <c r="F38" s="39">
        <f t="shared" si="0"/>
        <v>0</v>
      </c>
      <c r="G38" s="395"/>
      <c r="H38" s="395"/>
      <c r="J38" s="42"/>
    </row>
    <row r="39" spans="1:10" s="393" customFormat="1" x14ac:dyDescent="0.25">
      <c r="A39" s="19" t="s">
        <v>23</v>
      </c>
      <c r="B39" s="2">
        <v>43894</v>
      </c>
      <c r="C39" s="1">
        <v>0</v>
      </c>
      <c r="D39" s="39">
        <v>0</v>
      </c>
      <c r="E39" s="1"/>
      <c r="F39" s="39">
        <f t="shared" si="0"/>
        <v>0</v>
      </c>
      <c r="G39" s="395"/>
      <c r="H39" s="395"/>
      <c r="J39" s="42"/>
    </row>
    <row r="40" spans="1:10" s="393" customFormat="1" x14ac:dyDescent="0.25">
      <c r="A40" s="19" t="s">
        <v>19</v>
      </c>
      <c r="B40" s="2">
        <v>43894</v>
      </c>
      <c r="C40" s="1">
        <v>0</v>
      </c>
      <c r="D40" s="39">
        <v>0</v>
      </c>
      <c r="E40" s="1"/>
      <c r="F40" s="39">
        <f t="shared" si="0"/>
        <v>0</v>
      </c>
      <c r="G40" s="395"/>
      <c r="H40" s="395"/>
      <c r="J40" s="42"/>
    </row>
    <row r="41" spans="1:10" s="393" customFormat="1" x14ac:dyDescent="0.25">
      <c r="A41" s="19" t="s">
        <v>18</v>
      </c>
      <c r="B41" s="2">
        <v>43894</v>
      </c>
      <c r="C41" s="1">
        <v>0</v>
      </c>
      <c r="D41" s="39">
        <v>0</v>
      </c>
      <c r="E41" s="1"/>
      <c r="F41" s="39">
        <f t="shared" si="0"/>
        <v>0</v>
      </c>
      <c r="G41" s="395"/>
      <c r="H41" s="395"/>
      <c r="J41" s="42"/>
    </row>
    <row r="42" spans="1:10" s="393" customFormat="1" x14ac:dyDescent="0.25">
      <c r="A42" s="19" t="s">
        <v>34</v>
      </c>
      <c r="B42" s="2">
        <v>43894</v>
      </c>
      <c r="C42" s="1">
        <v>0</v>
      </c>
      <c r="D42" s="39">
        <v>0</v>
      </c>
      <c r="E42" s="1"/>
      <c r="F42" s="39">
        <f t="shared" si="0"/>
        <v>0</v>
      </c>
      <c r="G42" s="395"/>
      <c r="H42" s="395"/>
      <c r="J42" s="42"/>
    </row>
    <row r="43" spans="1:10" s="393" customFormat="1" x14ac:dyDescent="0.25">
      <c r="A43" s="19" t="s">
        <v>35</v>
      </c>
      <c r="B43" s="2">
        <v>43894</v>
      </c>
      <c r="C43" s="1">
        <v>0</v>
      </c>
      <c r="D43" s="39">
        <v>0</v>
      </c>
      <c r="E43" s="1"/>
      <c r="F43" s="39">
        <f t="shared" si="0"/>
        <v>0</v>
      </c>
      <c r="G43" s="395"/>
      <c r="H43" s="395"/>
      <c r="J43" s="42"/>
    </row>
    <row r="44" spans="1:10" s="393" customFormat="1" x14ac:dyDescent="0.25">
      <c r="A44" s="19" t="s">
        <v>36</v>
      </c>
      <c r="B44" s="2">
        <v>43894</v>
      </c>
      <c r="C44" s="1">
        <v>0</v>
      </c>
      <c r="D44" s="39">
        <v>0</v>
      </c>
      <c r="E44" s="1"/>
      <c r="F44" s="39">
        <f t="shared" si="0"/>
        <v>0</v>
      </c>
      <c r="G44" s="395"/>
      <c r="H44" s="395"/>
      <c r="J44" s="42"/>
    </row>
    <row r="45" spans="1:10" s="393" customFormat="1" x14ac:dyDescent="0.25">
      <c r="A45" s="19" t="s">
        <v>37</v>
      </c>
      <c r="B45" s="2">
        <v>43894</v>
      </c>
      <c r="C45" s="1">
        <v>0</v>
      </c>
      <c r="D45" s="39">
        <v>0</v>
      </c>
      <c r="E45" s="1"/>
      <c r="F45" s="39">
        <f t="shared" si="0"/>
        <v>0</v>
      </c>
      <c r="G45" s="395"/>
      <c r="H45" s="395"/>
      <c r="J45" s="42"/>
    </row>
    <row r="46" spans="1:10" s="393" customFormat="1" x14ac:dyDescent="0.25">
      <c r="A46" s="19" t="s">
        <v>22</v>
      </c>
      <c r="B46" s="2">
        <v>43894</v>
      </c>
      <c r="C46" s="1">
        <v>0</v>
      </c>
      <c r="D46" s="39">
        <v>0</v>
      </c>
      <c r="E46" s="1"/>
      <c r="F46" s="39">
        <f t="shared" si="0"/>
        <v>0</v>
      </c>
      <c r="G46" s="395"/>
      <c r="H46" s="395"/>
      <c r="J46" s="42"/>
    </row>
    <row r="47" spans="1:10" s="393" customFormat="1" x14ac:dyDescent="0.25">
      <c r="A47" s="19" t="s">
        <v>38</v>
      </c>
      <c r="B47" s="2">
        <v>43894</v>
      </c>
      <c r="C47" s="1">
        <v>0</v>
      </c>
      <c r="D47" s="39">
        <v>0</v>
      </c>
      <c r="E47" s="1"/>
      <c r="F47" s="39">
        <f t="shared" si="0"/>
        <v>0</v>
      </c>
      <c r="G47" s="395"/>
      <c r="H47" s="395"/>
      <c r="J47" s="42"/>
    </row>
    <row r="48" spans="1:10" s="393" customFormat="1" x14ac:dyDescent="0.25">
      <c r="A48" s="19" t="s">
        <v>39</v>
      </c>
      <c r="B48" s="2">
        <v>43894</v>
      </c>
      <c r="C48" s="1">
        <v>0</v>
      </c>
      <c r="D48" s="39">
        <v>0</v>
      </c>
      <c r="E48" s="1"/>
      <c r="F48" s="39">
        <f t="shared" si="0"/>
        <v>0</v>
      </c>
      <c r="G48" s="395"/>
      <c r="H48" s="395"/>
      <c r="J48" s="42"/>
    </row>
    <row r="49" spans="1:10" s="393" customFormat="1" x14ac:dyDescent="0.25">
      <c r="A49" s="19" t="s">
        <v>40</v>
      </c>
      <c r="B49" s="2">
        <v>43894</v>
      </c>
      <c r="C49" s="1">
        <v>0</v>
      </c>
      <c r="D49" s="39">
        <v>0</v>
      </c>
      <c r="E49" s="1"/>
      <c r="F49" s="39">
        <f t="shared" si="0"/>
        <v>0</v>
      </c>
      <c r="G49" s="395"/>
      <c r="H49" s="395"/>
      <c r="J49" s="42"/>
    </row>
    <row r="50" spans="1:10" s="393" customFormat="1" x14ac:dyDescent="0.25">
      <c r="A50" s="394" t="s">
        <v>16</v>
      </c>
      <c r="B50" s="2">
        <v>43895</v>
      </c>
      <c r="C50" s="1">
        <v>0</v>
      </c>
      <c r="D50" s="39">
        <v>0</v>
      </c>
      <c r="E50" s="1"/>
      <c r="F50" s="39">
        <f>E50+F26</f>
        <v>0</v>
      </c>
      <c r="G50" s="395"/>
      <c r="H50" s="395"/>
      <c r="J50" s="42"/>
    </row>
    <row r="51" spans="1:10" s="393" customFormat="1" x14ac:dyDescent="0.25">
      <c r="A51" s="19" t="s">
        <v>28</v>
      </c>
      <c r="B51" s="2">
        <v>43895</v>
      </c>
      <c r="C51" s="1">
        <v>0</v>
      </c>
      <c r="D51" s="39">
        <v>0</v>
      </c>
      <c r="E51" s="1"/>
      <c r="F51" s="39">
        <f t="shared" si="0"/>
        <v>0</v>
      </c>
      <c r="G51" s="395"/>
      <c r="H51" s="395"/>
      <c r="J51" s="42"/>
    </row>
    <row r="52" spans="1:10" s="393" customFormat="1" x14ac:dyDescent="0.25">
      <c r="A52" s="19" t="s">
        <v>15</v>
      </c>
      <c r="B52" s="2">
        <v>43895</v>
      </c>
      <c r="C52" s="1">
        <v>0</v>
      </c>
      <c r="D52" s="39">
        <v>0</v>
      </c>
      <c r="E52" s="1"/>
      <c r="F52" s="39">
        <f t="shared" si="0"/>
        <v>0</v>
      </c>
      <c r="G52" s="395"/>
      <c r="H52" s="395"/>
      <c r="J52" s="42"/>
    </row>
    <row r="53" spans="1:10" s="393" customFormat="1" x14ac:dyDescent="0.25">
      <c r="A53" s="19" t="s">
        <v>29</v>
      </c>
      <c r="B53" s="2">
        <v>43895</v>
      </c>
      <c r="C53" s="1">
        <v>0</v>
      </c>
      <c r="D53" s="39">
        <v>0</v>
      </c>
      <c r="E53" s="1"/>
      <c r="F53" s="39">
        <f t="shared" si="0"/>
        <v>0</v>
      </c>
      <c r="G53" s="395"/>
      <c r="H53" s="395"/>
      <c r="J53" s="42"/>
    </row>
    <row r="54" spans="1:10" s="393" customFormat="1" x14ac:dyDescent="0.25">
      <c r="A54" s="19" t="s">
        <v>43</v>
      </c>
      <c r="B54" s="2">
        <v>43895</v>
      </c>
      <c r="C54" s="1">
        <v>1</v>
      </c>
      <c r="D54" s="39">
        <v>2</v>
      </c>
      <c r="E54" s="1"/>
      <c r="F54" s="39">
        <f t="shared" si="0"/>
        <v>0</v>
      </c>
      <c r="G54" s="395"/>
      <c r="H54" s="395"/>
      <c r="J54" s="42"/>
    </row>
    <row r="55" spans="1:10" s="393" customFormat="1" x14ac:dyDescent="0.25">
      <c r="A55" s="19" t="s">
        <v>20</v>
      </c>
      <c r="B55" s="2">
        <v>43895</v>
      </c>
      <c r="C55" s="1">
        <v>0</v>
      </c>
      <c r="D55" s="39">
        <v>0</v>
      </c>
      <c r="E55" s="1"/>
      <c r="F55" s="39">
        <f t="shared" si="0"/>
        <v>0</v>
      </c>
      <c r="G55" s="395"/>
      <c r="H55" s="395"/>
      <c r="J55" s="42"/>
    </row>
    <row r="56" spans="1:10" s="393" customFormat="1" x14ac:dyDescent="0.25">
      <c r="A56" s="19" t="s">
        <v>30</v>
      </c>
      <c r="B56" s="2">
        <v>43895</v>
      </c>
      <c r="C56" s="1">
        <v>0</v>
      </c>
      <c r="D56" s="39">
        <v>0</v>
      </c>
      <c r="E56" s="1"/>
      <c r="F56" s="39">
        <f t="shared" si="0"/>
        <v>0</v>
      </c>
      <c r="G56" s="395"/>
      <c r="H56" s="395"/>
      <c r="J56" s="42"/>
    </row>
    <row r="57" spans="1:10" x14ac:dyDescent="0.25">
      <c r="A57" s="19" t="s">
        <v>31</v>
      </c>
      <c r="B57" s="2">
        <v>43895</v>
      </c>
      <c r="C57" s="1">
        <v>0</v>
      </c>
      <c r="D57" s="39">
        <v>0</v>
      </c>
      <c r="F57" s="39">
        <f t="shared" si="0"/>
        <v>0</v>
      </c>
    </row>
    <row r="58" spans="1:10" s="393" customFormat="1" x14ac:dyDescent="0.25">
      <c r="A58" s="19" t="s">
        <v>41</v>
      </c>
      <c r="B58" s="2">
        <v>43895</v>
      </c>
      <c r="C58" s="1">
        <v>0</v>
      </c>
      <c r="D58" s="39">
        <v>0</v>
      </c>
      <c r="E58" s="1"/>
      <c r="F58" s="39">
        <f t="shared" si="0"/>
        <v>0</v>
      </c>
      <c r="G58" s="395"/>
      <c r="H58" s="395"/>
      <c r="J58" s="42"/>
    </row>
    <row r="59" spans="1:10" s="393" customFormat="1" x14ac:dyDescent="0.25">
      <c r="A59" s="19" t="s">
        <v>32</v>
      </c>
      <c r="B59" s="2">
        <v>43895</v>
      </c>
      <c r="C59" s="1">
        <v>0</v>
      </c>
      <c r="D59" s="39">
        <v>0</v>
      </c>
      <c r="E59" s="1"/>
      <c r="F59" s="39">
        <f t="shared" si="0"/>
        <v>0</v>
      </c>
      <c r="G59" s="395"/>
      <c r="H59" s="395"/>
      <c r="J59" s="42"/>
    </row>
    <row r="60" spans="1:10" s="393" customFormat="1" x14ac:dyDescent="0.25">
      <c r="A60" s="19" t="s">
        <v>33</v>
      </c>
      <c r="B60" s="2">
        <v>43895</v>
      </c>
      <c r="C60" s="1">
        <v>0</v>
      </c>
      <c r="D60" s="39">
        <v>0</v>
      </c>
      <c r="E60" s="1"/>
      <c r="F60" s="39">
        <f t="shared" si="0"/>
        <v>0</v>
      </c>
      <c r="G60" s="395"/>
      <c r="H60" s="395"/>
      <c r="J60" s="42"/>
    </row>
    <row r="61" spans="1:10" s="393" customFormat="1" x14ac:dyDescent="0.25">
      <c r="A61" s="19" t="s">
        <v>21</v>
      </c>
      <c r="B61" s="2">
        <v>43895</v>
      </c>
      <c r="C61" s="1">
        <v>0</v>
      </c>
      <c r="D61" s="39">
        <v>0</v>
      </c>
      <c r="E61" s="1"/>
      <c r="F61" s="39">
        <f t="shared" si="0"/>
        <v>0</v>
      </c>
      <c r="G61" s="395"/>
      <c r="H61" s="395"/>
      <c r="J61" s="42"/>
    </row>
    <row r="62" spans="1:10" s="393" customFormat="1" x14ac:dyDescent="0.25">
      <c r="A62" s="19" t="s">
        <v>17</v>
      </c>
      <c r="B62" s="2">
        <v>43895</v>
      </c>
      <c r="C62" s="1">
        <v>0</v>
      </c>
      <c r="D62" s="39">
        <v>0</v>
      </c>
      <c r="E62" s="1"/>
      <c r="F62" s="39">
        <f t="shared" si="0"/>
        <v>0</v>
      </c>
      <c r="G62" s="395"/>
      <c r="H62" s="395"/>
      <c r="J62" s="42"/>
    </row>
    <row r="63" spans="1:10" s="393" customFormat="1" x14ac:dyDescent="0.25">
      <c r="A63" s="19" t="s">
        <v>23</v>
      </c>
      <c r="B63" s="2">
        <v>43895</v>
      </c>
      <c r="C63" s="1">
        <v>0</v>
      </c>
      <c r="D63" s="39">
        <v>0</v>
      </c>
      <c r="E63" s="1"/>
      <c r="F63" s="39">
        <f t="shared" si="0"/>
        <v>0</v>
      </c>
      <c r="G63" s="395"/>
      <c r="H63" s="395"/>
      <c r="J63" s="42"/>
    </row>
    <row r="64" spans="1:10" s="393" customFormat="1" x14ac:dyDescent="0.25">
      <c r="A64" s="19" t="s">
        <v>19</v>
      </c>
      <c r="B64" s="2">
        <v>43895</v>
      </c>
      <c r="C64" s="1">
        <v>0</v>
      </c>
      <c r="D64" s="39">
        <v>0</v>
      </c>
      <c r="E64" s="1"/>
      <c r="F64" s="39">
        <f t="shared" si="0"/>
        <v>0</v>
      </c>
      <c r="G64" s="395"/>
      <c r="H64" s="395"/>
      <c r="J64" s="42"/>
    </row>
    <row r="65" spans="1:10" s="393" customFormat="1" x14ac:dyDescent="0.25">
      <c r="A65" s="19" t="s">
        <v>18</v>
      </c>
      <c r="B65" s="2">
        <v>43895</v>
      </c>
      <c r="C65" s="1">
        <v>0</v>
      </c>
      <c r="D65" s="39">
        <v>0</v>
      </c>
      <c r="E65" s="1"/>
      <c r="F65" s="39">
        <f t="shared" si="0"/>
        <v>0</v>
      </c>
      <c r="G65" s="395"/>
      <c r="H65" s="395"/>
      <c r="J65" s="42"/>
    </row>
    <row r="66" spans="1:10" s="393" customFormat="1" x14ac:dyDescent="0.25">
      <c r="A66" s="19" t="s">
        <v>34</v>
      </c>
      <c r="B66" s="2">
        <v>43895</v>
      </c>
      <c r="C66" s="1">
        <v>0</v>
      </c>
      <c r="D66" s="39">
        <v>0</v>
      </c>
      <c r="E66" s="1"/>
      <c r="F66" s="39">
        <f t="shared" si="0"/>
        <v>0</v>
      </c>
      <c r="G66" s="395"/>
      <c r="H66" s="395"/>
      <c r="J66" s="42"/>
    </row>
    <row r="67" spans="1:10" s="393" customFormat="1" x14ac:dyDescent="0.25">
      <c r="A67" s="19" t="s">
        <v>35</v>
      </c>
      <c r="B67" s="2">
        <v>43895</v>
      </c>
      <c r="C67" s="1">
        <v>0</v>
      </c>
      <c r="D67" s="39">
        <v>0</v>
      </c>
      <c r="E67" s="1"/>
      <c r="F67" s="39">
        <f t="shared" si="0"/>
        <v>0</v>
      </c>
      <c r="G67" s="395"/>
      <c r="H67" s="395"/>
      <c r="J67" s="42"/>
    </row>
    <row r="68" spans="1:10" s="393" customFormat="1" x14ac:dyDescent="0.25">
      <c r="A68" s="19" t="s">
        <v>36</v>
      </c>
      <c r="B68" s="2">
        <v>43895</v>
      </c>
      <c r="C68" s="1">
        <v>0</v>
      </c>
      <c r="D68" s="39">
        <v>0</v>
      </c>
      <c r="E68" s="1"/>
      <c r="F68" s="39">
        <f t="shared" si="0"/>
        <v>0</v>
      </c>
      <c r="G68" s="395"/>
      <c r="H68" s="395"/>
      <c r="J68" s="42"/>
    </row>
    <row r="69" spans="1:10" s="393" customFormat="1" x14ac:dyDescent="0.25">
      <c r="A69" s="19" t="s">
        <v>37</v>
      </c>
      <c r="B69" s="2">
        <v>43895</v>
      </c>
      <c r="C69" s="1">
        <v>0</v>
      </c>
      <c r="D69" s="39">
        <v>0</v>
      </c>
      <c r="E69" s="1"/>
      <c r="F69" s="39">
        <f t="shared" si="0"/>
        <v>0</v>
      </c>
      <c r="G69" s="395"/>
      <c r="H69" s="395"/>
      <c r="J69" s="42"/>
    </row>
    <row r="70" spans="1:10" s="393" customFormat="1" x14ac:dyDescent="0.25">
      <c r="A70" s="19" t="s">
        <v>22</v>
      </c>
      <c r="B70" s="2">
        <v>43895</v>
      </c>
      <c r="C70" s="1">
        <v>0</v>
      </c>
      <c r="D70" s="39">
        <v>0</v>
      </c>
      <c r="E70" s="1"/>
      <c r="F70" s="39">
        <f t="shared" si="0"/>
        <v>0</v>
      </c>
      <c r="G70" s="395"/>
      <c r="H70" s="395"/>
      <c r="J70" s="42"/>
    </row>
    <row r="71" spans="1:10" s="393" customFormat="1" x14ac:dyDescent="0.25">
      <c r="A71" s="19" t="s">
        <v>38</v>
      </c>
      <c r="B71" s="2">
        <v>43895</v>
      </c>
      <c r="C71" s="1">
        <v>0</v>
      </c>
      <c r="D71" s="39">
        <v>0</v>
      </c>
      <c r="E71" s="1"/>
      <c r="F71" s="39">
        <f t="shared" si="0"/>
        <v>0</v>
      </c>
      <c r="G71" s="395"/>
      <c r="H71" s="395"/>
      <c r="J71" s="42"/>
    </row>
    <row r="72" spans="1:10" s="393" customFormat="1" x14ac:dyDescent="0.25">
      <c r="A72" s="19" t="s">
        <v>39</v>
      </c>
      <c r="B72" s="2">
        <v>43895</v>
      </c>
      <c r="C72" s="1">
        <v>0</v>
      </c>
      <c r="D72" s="39">
        <v>0</v>
      </c>
      <c r="E72" s="1"/>
      <c r="F72" s="39">
        <f t="shared" si="0"/>
        <v>0</v>
      </c>
      <c r="G72" s="395"/>
      <c r="H72" s="395"/>
      <c r="J72" s="42"/>
    </row>
    <row r="73" spans="1:10" s="393" customFormat="1" x14ac:dyDescent="0.25">
      <c r="A73" s="19" t="s">
        <v>40</v>
      </c>
      <c r="B73" s="2">
        <v>43895</v>
      </c>
      <c r="C73" s="1">
        <v>0</v>
      </c>
      <c r="D73" s="39">
        <v>0</v>
      </c>
      <c r="E73" s="1"/>
      <c r="F73" s="39">
        <f t="shared" si="0"/>
        <v>0</v>
      </c>
      <c r="G73" s="395"/>
      <c r="H73" s="395"/>
      <c r="J73" s="42"/>
    </row>
    <row r="74" spans="1:10" s="393" customFormat="1" x14ac:dyDescent="0.25">
      <c r="A74" s="394" t="s">
        <v>16</v>
      </c>
      <c r="B74" s="2">
        <v>43896</v>
      </c>
      <c r="C74" s="1">
        <v>1</v>
      </c>
      <c r="D74" s="39">
        <v>1</v>
      </c>
      <c r="E74" s="1"/>
      <c r="F74" s="39">
        <f>E74+F50</f>
        <v>0</v>
      </c>
      <c r="G74" s="395"/>
      <c r="H74" s="395"/>
      <c r="J74" s="42"/>
    </row>
    <row r="75" spans="1:10" s="393" customFormat="1" x14ac:dyDescent="0.25">
      <c r="A75" s="19" t="s">
        <v>28</v>
      </c>
      <c r="B75" s="2">
        <v>43896</v>
      </c>
      <c r="C75" s="1">
        <v>0</v>
      </c>
      <c r="D75" s="39">
        <v>0</v>
      </c>
      <c r="E75" s="1"/>
      <c r="F75" s="39">
        <f t="shared" si="0"/>
        <v>0</v>
      </c>
      <c r="G75" s="395"/>
      <c r="H75" s="395"/>
      <c r="J75" s="42"/>
    </row>
    <row r="76" spans="1:10" s="393" customFormat="1" x14ac:dyDescent="0.25">
      <c r="A76" s="19" t="s">
        <v>15</v>
      </c>
      <c r="B76" s="2">
        <v>43896</v>
      </c>
      <c r="C76" s="1">
        <v>0</v>
      </c>
      <c r="D76" s="39">
        <v>0</v>
      </c>
      <c r="E76" s="1"/>
      <c r="F76" s="39">
        <f t="shared" si="0"/>
        <v>0</v>
      </c>
      <c r="G76" s="395"/>
      <c r="H76" s="395"/>
      <c r="J76" s="42"/>
    </row>
    <row r="77" spans="1:10" s="393" customFormat="1" x14ac:dyDescent="0.25">
      <c r="A77" s="19" t="s">
        <v>29</v>
      </c>
      <c r="B77" s="2">
        <v>43896</v>
      </c>
      <c r="C77" s="1">
        <v>0</v>
      </c>
      <c r="D77" s="39">
        <v>0</v>
      </c>
      <c r="E77" s="1"/>
      <c r="F77" s="39">
        <f t="shared" si="0"/>
        <v>0</v>
      </c>
      <c r="G77" s="395"/>
      <c r="H77" s="395"/>
      <c r="J77" s="42"/>
    </row>
    <row r="78" spans="1:10" s="393" customFormat="1" x14ac:dyDescent="0.25">
      <c r="A78" s="19" t="s">
        <v>43</v>
      </c>
      <c r="B78" s="2">
        <v>43896</v>
      </c>
      <c r="C78" s="1">
        <v>4</v>
      </c>
      <c r="D78" s="39">
        <v>6</v>
      </c>
      <c r="E78" s="1"/>
      <c r="F78" s="39">
        <f t="shared" si="0"/>
        <v>0</v>
      </c>
      <c r="G78" s="395"/>
      <c r="H78" s="395"/>
      <c r="J78" s="42"/>
    </row>
    <row r="79" spans="1:10" s="393" customFormat="1" x14ac:dyDescent="0.25">
      <c r="A79" s="19" t="s">
        <v>20</v>
      </c>
      <c r="B79" s="2">
        <v>43896</v>
      </c>
      <c r="C79" s="1">
        <v>1</v>
      </c>
      <c r="D79" s="39">
        <v>1</v>
      </c>
      <c r="E79" s="1"/>
      <c r="F79" s="39">
        <f t="shared" si="0"/>
        <v>0</v>
      </c>
      <c r="G79" s="395"/>
      <c r="H79" s="395"/>
      <c r="J79" s="42"/>
    </row>
    <row r="80" spans="1:10" s="393" customFormat="1" x14ac:dyDescent="0.25">
      <c r="A80" s="19" t="s">
        <v>30</v>
      </c>
      <c r="B80" s="2">
        <v>43896</v>
      </c>
      <c r="C80" s="1">
        <v>0</v>
      </c>
      <c r="D80" s="39">
        <v>0</v>
      </c>
      <c r="E80" s="1"/>
      <c r="F80" s="39">
        <f t="shared" si="0"/>
        <v>0</v>
      </c>
      <c r="G80" s="395"/>
      <c r="H80" s="395"/>
      <c r="J80" s="42"/>
    </row>
    <row r="81" spans="1:10" x14ac:dyDescent="0.25">
      <c r="A81" s="19" t="s">
        <v>31</v>
      </c>
      <c r="B81" s="2">
        <v>43896</v>
      </c>
      <c r="C81" s="1">
        <v>0</v>
      </c>
      <c r="D81" s="39">
        <v>0</v>
      </c>
      <c r="F81" s="39">
        <f t="shared" si="0"/>
        <v>0</v>
      </c>
    </row>
    <row r="82" spans="1:10" s="393" customFormat="1" x14ac:dyDescent="0.25">
      <c r="A82" s="19" t="s">
        <v>41</v>
      </c>
      <c r="B82" s="2">
        <v>43896</v>
      </c>
      <c r="C82" s="1">
        <v>0</v>
      </c>
      <c r="D82" s="39">
        <v>0</v>
      </c>
      <c r="E82" s="1"/>
      <c r="F82" s="39">
        <f t="shared" si="0"/>
        <v>0</v>
      </c>
      <c r="G82" s="395"/>
      <c r="H82" s="395"/>
      <c r="J82" s="42"/>
    </row>
    <row r="83" spans="1:10" s="393" customFormat="1" x14ac:dyDescent="0.25">
      <c r="A83" s="19" t="s">
        <v>32</v>
      </c>
      <c r="B83" s="2">
        <v>43896</v>
      </c>
      <c r="C83" s="1">
        <v>0</v>
      </c>
      <c r="D83" s="39">
        <v>0</v>
      </c>
      <c r="E83" s="1"/>
      <c r="F83" s="39">
        <f t="shared" si="0"/>
        <v>0</v>
      </c>
      <c r="G83" s="395"/>
      <c r="H83" s="395"/>
      <c r="J83" s="42"/>
    </row>
    <row r="84" spans="1:10" s="393" customFormat="1" x14ac:dyDescent="0.25">
      <c r="A84" s="19" t="s">
        <v>33</v>
      </c>
      <c r="B84" s="2">
        <v>43896</v>
      </c>
      <c r="C84" s="1">
        <v>0</v>
      </c>
      <c r="D84" s="39">
        <v>0</v>
      </c>
      <c r="E84" s="1"/>
      <c r="F84" s="39">
        <f t="shared" si="0"/>
        <v>0</v>
      </c>
      <c r="G84" s="395"/>
      <c r="H84" s="395"/>
      <c r="J84" s="42"/>
    </row>
    <row r="85" spans="1:10" s="393" customFormat="1" x14ac:dyDescent="0.25">
      <c r="A85" s="19" t="s">
        <v>21</v>
      </c>
      <c r="B85" s="2">
        <v>43896</v>
      </c>
      <c r="C85" s="1">
        <v>0</v>
      </c>
      <c r="D85" s="39">
        <v>0</v>
      </c>
      <c r="E85" s="1"/>
      <c r="F85" s="39">
        <f t="shared" si="0"/>
        <v>0</v>
      </c>
      <c r="G85" s="395"/>
      <c r="H85" s="395"/>
      <c r="J85" s="42"/>
    </row>
    <row r="86" spans="1:10" s="393" customFormat="1" x14ac:dyDescent="0.25">
      <c r="A86" s="19" t="s">
        <v>17</v>
      </c>
      <c r="B86" s="2">
        <v>43896</v>
      </c>
      <c r="C86" s="1">
        <v>0</v>
      </c>
      <c r="D86" s="39">
        <v>0</v>
      </c>
      <c r="E86" s="1"/>
      <c r="F86" s="39">
        <f t="shared" si="0"/>
        <v>0</v>
      </c>
      <c r="G86" s="395"/>
      <c r="H86" s="395"/>
      <c r="J86" s="42"/>
    </row>
    <row r="87" spans="1:10" s="393" customFormat="1" x14ac:dyDescent="0.25">
      <c r="A87" s="19" t="s">
        <v>23</v>
      </c>
      <c r="B87" s="2">
        <v>43896</v>
      </c>
      <c r="C87" s="1">
        <v>0</v>
      </c>
      <c r="D87" s="39">
        <v>0</v>
      </c>
      <c r="E87" s="1"/>
      <c r="F87" s="39">
        <f t="shared" si="0"/>
        <v>0</v>
      </c>
      <c r="G87" s="395"/>
      <c r="H87" s="395"/>
      <c r="J87" s="42"/>
    </row>
    <row r="88" spans="1:10" s="393" customFormat="1" x14ac:dyDescent="0.25">
      <c r="A88" s="19" t="s">
        <v>19</v>
      </c>
      <c r="B88" s="2">
        <v>43896</v>
      </c>
      <c r="C88" s="1">
        <v>0</v>
      </c>
      <c r="D88" s="39">
        <v>0</v>
      </c>
      <c r="E88" s="1"/>
      <c r="F88" s="39">
        <f t="shared" si="0"/>
        <v>0</v>
      </c>
      <c r="G88" s="395"/>
      <c r="H88" s="395"/>
      <c r="J88" s="42"/>
    </row>
    <row r="89" spans="1:10" s="393" customFormat="1" x14ac:dyDescent="0.25">
      <c r="A89" s="19" t="s">
        <v>18</v>
      </c>
      <c r="B89" s="2">
        <v>43896</v>
      </c>
      <c r="C89" s="1">
        <v>0</v>
      </c>
      <c r="D89" s="39">
        <v>0</v>
      </c>
      <c r="E89" s="1"/>
      <c r="F89" s="39">
        <f t="shared" si="0"/>
        <v>0</v>
      </c>
      <c r="G89" s="395"/>
      <c r="H89" s="395"/>
      <c r="J89" s="42"/>
    </row>
    <row r="90" spans="1:10" s="393" customFormat="1" x14ac:dyDescent="0.25">
      <c r="A90" s="19" t="s">
        <v>34</v>
      </c>
      <c r="B90" s="2">
        <v>43896</v>
      </c>
      <c r="C90" s="1">
        <v>0</v>
      </c>
      <c r="D90" s="39">
        <v>0</v>
      </c>
      <c r="E90" s="1"/>
      <c r="F90" s="39">
        <f t="shared" si="0"/>
        <v>0</v>
      </c>
      <c r="G90" s="395"/>
      <c r="H90" s="395"/>
      <c r="J90" s="42"/>
    </row>
    <row r="91" spans="1:10" s="393" customFormat="1" x14ac:dyDescent="0.25">
      <c r="A91" s="19" t="s">
        <v>35</v>
      </c>
      <c r="B91" s="2">
        <v>43896</v>
      </c>
      <c r="C91" s="1">
        <v>0</v>
      </c>
      <c r="D91" s="39">
        <v>0</v>
      </c>
      <c r="E91" s="1"/>
      <c r="F91" s="39">
        <f t="shared" ref="F91:F97" si="1">E91+F67</f>
        <v>0</v>
      </c>
      <c r="G91" s="395"/>
      <c r="H91" s="395"/>
      <c r="J91" s="42"/>
    </row>
    <row r="92" spans="1:10" s="393" customFormat="1" x14ac:dyDescent="0.25">
      <c r="A92" s="19" t="s">
        <v>36</v>
      </c>
      <c r="B92" s="2">
        <v>43896</v>
      </c>
      <c r="C92" s="1">
        <v>0</v>
      </c>
      <c r="D92" s="39">
        <v>0</v>
      </c>
      <c r="E92" s="1"/>
      <c r="F92" s="39">
        <f t="shared" si="1"/>
        <v>0</v>
      </c>
      <c r="G92" s="395"/>
      <c r="H92" s="395"/>
      <c r="J92" s="42"/>
    </row>
    <row r="93" spans="1:10" s="393" customFormat="1" x14ac:dyDescent="0.25">
      <c r="A93" s="19" t="s">
        <v>37</v>
      </c>
      <c r="B93" s="2">
        <v>43896</v>
      </c>
      <c r="C93" s="1">
        <v>0</v>
      </c>
      <c r="D93" s="39">
        <v>0</v>
      </c>
      <c r="E93" s="1"/>
      <c r="F93" s="39">
        <f t="shared" si="1"/>
        <v>0</v>
      </c>
      <c r="G93" s="395"/>
      <c r="H93" s="395"/>
      <c r="J93" s="42"/>
    </row>
    <row r="94" spans="1:10" s="393" customFormat="1" x14ac:dyDescent="0.25">
      <c r="A94" s="19" t="s">
        <v>22</v>
      </c>
      <c r="B94" s="2">
        <v>43896</v>
      </c>
      <c r="C94" s="1">
        <v>0</v>
      </c>
      <c r="D94" s="39">
        <v>0</v>
      </c>
      <c r="E94" s="1"/>
      <c r="F94" s="39">
        <f t="shared" si="1"/>
        <v>0</v>
      </c>
      <c r="G94" s="395"/>
      <c r="H94" s="395"/>
      <c r="J94" s="42"/>
    </row>
    <row r="95" spans="1:10" s="393" customFormat="1" x14ac:dyDescent="0.25">
      <c r="A95" s="19" t="s">
        <v>38</v>
      </c>
      <c r="B95" s="2">
        <v>43896</v>
      </c>
      <c r="C95" s="1">
        <v>0</v>
      </c>
      <c r="D95" s="39">
        <v>0</v>
      </c>
      <c r="E95" s="1"/>
      <c r="F95" s="39">
        <f t="shared" si="1"/>
        <v>0</v>
      </c>
      <c r="G95" s="395"/>
      <c r="H95" s="395"/>
      <c r="J95" s="42"/>
    </row>
    <row r="96" spans="1:10" s="393" customFormat="1" x14ac:dyDescent="0.25">
      <c r="A96" s="19" t="s">
        <v>39</v>
      </c>
      <c r="B96" s="2">
        <v>43896</v>
      </c>
      <c r="C96" s="1">
        <v>0</v>
      </c>
      <c r="D96" s="39">
        <v>0</v>
      </c>
      <c r="E96" s="1"/>
      <c r="F96" s="39">
        <f t="shared" si="1"/>
        <v>0</v>
      </c>
      <c r="G96" s="395"/>
      <c r="H96" s="395"/>
      <c r="J96" s="42"/>
    </row>
    <row r="97" spans="1:10" s="393" customFormat="1" x14ac:dyDescent="0.25">
      <c r="A97" s="19" t="s">
        <v>40</v>
      </c>
      <c r="B97" s="2">
        <v>43896</v>
      </c>
      <c r="C97" s="1">
        <v>0</v>
      </c>
      <c r="D97" s="39">
        <v>0</v>
      </c>
      <c r="E97" s="1"/>
      <c r="F97" s="39">
        <f t="shared" si="1"/>
        <v>0</v>
      </c>
      <c r="G97" s="395"/>
      <c r="H97" s="395"/>
      <c r="J97" s="42"/>
    </row>
    <row r="98" spans="1:10" s="393" customFormat="1" x14ac:dyDescent="0.25">
      <c r="A98" s="394" t="s">
        <v>16</v>
      </c>
      <c r="B98" s="2">
        <v>43897</v>
      </c>
      <c r="C98" s="1">
        <v>0</v>
      </c>
      <c r="D98" s="39">
        <v>1</v>
      </c>
      <c r="E98" s="1"/>
      <c r="F98" s="39">
        <f>E98+F74</f>
        <v>0</v>
      </c>
      <c r="G98" s="395"/>
      <c r="H98" s="395"/>
      <c r="J98" s="42"/>
    </row>
    <row r="99" spans="1:10" s="393" customFormat="1" x14ac:dyDescent="0.25">
      <c r="A99" s="19" t="s">
        <v>28</v>
      </c>
      <c r="B99" s="2">
        <v>43897</v>
      </c>
      <c r="C99" s="1">
        <v>0</v>
      </c>
      <c r="D99" s="39">
        <v>0</v>
      </c>
      <c r="E99" s="1"/>
      <c r="F99" s="39">
        <f t="shared" ref="F99:F121" si="2">E99+F75</f>
        <v>0</v>
      </c>
      <c r="G99" s="395"/>
      <c r="H99" s="395"/>
      <c r="J99" s="42"/>
    </row>
    <row r="100" spans="1:10" s="393" customFormat="1" x14ac:dyDescent="0.25">
      <c r="A100" s="19" t="s">
        <v>15</v>
      </c>
      <c r="B100" s="2">
        <v>43897</v>
      </c>
      <c r="C100" s="1">
        <v>0</v>
      </c>
      <c r="D100" s="39">
        <v>0</v>
      </c>
      <c r="E100" s="1"/>
      <c r="F100" s="39">
        <f t="shared" si="2"/>
        <v>0</v>
      </c>
      <c r="G100" s="395"/>
      <c r="H100" s="395"/>
      <c r="J100" s="42"/>
    </row>
    <row r="101" spans="1:10" s="393" customFormat="1" x14ac:dyDescent="0.25">
      <c r="A101" s="19" t="s">
        <v>29</v>
      </c>
      <c r="B101" s="2">
        <v>43897</v>
      </c>
      <c r="C101" s="1">
        <v>0</v>
      </c>
      <c r="D101" s="39">
        <v>0</v>
      </c>
      <c r="E101" s="1"/>
      <c r="F101" s="39">
        <f t="shared" si="2"/>
        <v>0</v>
      </c>
      <c r="G101" s="395"/>
      <c r="H101" s="395"/>
      <c r="J101" s="42"/>
    </row>
    <row r="102" spans="1:10" s="393" customFormat="1" x14ac:dyDescent="0.25">
      <c r="A102" s="19" t="s">
        <v>43</v>
      </c>
      <c r="B102" s="2">
        <v>43897</v>
      </c>
      <c r="C102" s="1">
        <v>1</v>
      </c>
      <c r="D102" s="39">
        <v>7</v>
      </c>
      <c r="E102" s="1">
        <v>1</v>
      </c>
      <c r="F102" s="39">
        <f t="shared" si="2"/>
        <v>1</v>
      </c>
      <c r="G102" s="395"/>
      <c r="H102" s="395"/>
      <c r="J102" s="42"/>
    </row>
    <row r="103" spans="1:10" s="393" customFormat="1" x14ac:dyDescent="0.25">
      <c r="A103" s="19" t="s">
        <v>20</v>
      </c>
      <c r="B103" s="2">
        <v>43897</v>
      </c>
      <c r="C103" s="1">
        <v>0</v>
      </c>
      <c r="D103" s="39">
        <v>1</v>
      </c>
      <c r="E103" s="1"/>
      <c r="F103" s="39">
        <f t="shared" si="2"/>
        <v>0</v>
      </c>
      <c r="G103" s="395"/>
      <c r="H103" s="395"/>
      <c r="J103" s="42"/>
    </row>
    <row r="104" spans="1:10" s="393" customFormat="1" x14ac:dyDescent="0.25">
      <c r="A104" s="19" t="s">
        <v>30</v>
      </c>
      <c r="B104" s="2">
        <v>43897</v>
      </c>
      <c r="C104" s="1">
        <v>0</v>
      </c>
      <c r="D104" s="39">
        <v>0</v>
      </c>
      <c r="E104" s="1"/>
      <c r="F104" s="39">
        <f t="shared" si="2"/>
        <v>0</v>
      </c>
      <c r="G104" s="395"/>
      <c r="H104" s="395"/>
      <c r="J104" s="42"/>
    </row>
    <row r="105" spans="1:10" x14ac:dyDescent="0.25">
      <c r="A105" s="19" t="s">
        <v>31</v>
      </c>
      <c r="B105" s="2">
        <v>43897</v>
      </c>
      <c r="C105" s="1">
        <v>0</v>
      </c>
      <c r="D105" s="39">
        <v>0</v>
      </c>
      <c r="F105" s="39">
        <f t="shared" si="2"/>
        <v>0</v>
      </c>
    </row>
    <row r="106" spans="1:10" s="393" customFormat="1" x14ac:dyDescent="0.25">
      <c r="A106" s="19" t="s">
        <v>41</v>
      </c>
      <c r="B106" s="2">
        <v>43897</v>
      </c>
      <c r="C106" s="1">
        <v>0</v>
      </c>
      <c r="D106" s="39">
        <v>0</v>
      </c>
      <c r="E106" s="1"/>
      <c r="F106" s="39">
        <f t="shared" si="2"/>
        <v>0</v>
      </c>
      <c r="G106" s="395"/>
      <c r="H106" s="395"/>
      <c r="J106" s="42"/>
    </row>
    <row r="107" spans="1:10" s="393" customFormat="1" x14ac:dyDescent="0.25">
      <c r="A107" s="19" t="s">
        <v>32</v>
      </c>
      <c r="B107" s="2">
        <v>43897</v>
      </c>
      <c r="C107" s="1">
        <v>0</v>
      </c>
      <c r="D107" s="39">
        <v>0</v>
      </c>
      <c r="E107" s="1"/>
      <c r="F107" s="39">
        <f t="shared" si="2"/>
        <v>0</v>
      </c>
      <c r="G107" s="395"/>
      <c r="H107" s="395"/>
      <c r="J107" s="42"/>
    </row>
    <row r="108" spans="1:10" s="393" customFormat="1" x14ac:dyDescent="0.25">
      <c r="A108" s="19" t="s">
        <v>33</v>
      </c>
      <c r="B108" s="2">
        <v>43897</v>
      </c>
      <c r="C108" s="1">
        <v>0</v>
      </c>
      <c r="D108" s="39">
        <v>0</v>
      </c>
      <c r="E108" s="1"/>
      <c r="F108" s="39">
        <f t="shared" si="2"/>
        <v>0</v>
      </c>
      <c r="G108" s="395"/>
      <c r="H108" s="395"/>
      <c r="J108" s="42"/>
    </row>
    <row r="109" spans="1:10" s="393" customFormat="1" x14ac:dyDescent="0.25">
      <c r="A109" s="19" t="s">
        <v>21</v>
      </c>
      <c r="B109" s="2">
        <v>43897</v>
      </c>
      <c r="C109" s="1">
        <v>0</v>
      </c>
      <c r="D109" s="39">
        <v>0</v>
      </c>
      <c r="E109" s="1"/>
      <c r="F109" s="39">
        <f t="shared" si="2"/>
        <v>0</v>
      </c>
      <c r="G109" s="395"/>
      <c r="H109" s="395"/>
      <c r="J109" s="42"/>
    </row>
    <row r="110" spans="1:10" s="393" customFormat="1" x14ac:dyDescent="0.25">
      <c r="A110" s="19" t="s">
        <v>17</v>
      </c>
      <c r="B110" s="2">
        <v>43897</v>
      </c>
      <c r="C110" s="1">
        <v>0</v>
      </c>
      <c r="D110" s="39">
        <v>0</v>
      </c>
      <c r="E110" s="1"/>
      <c r="F110" s="39">
        <f t="shared" si="2"/>
        <v>0</v>
      </c>
      <c r="G110" s="395"/>
      <c r="H110" s="395"/>
      <c r="J110" s="42"/>
    </row>
    <row r="111" spans="1:10" s="393" customFormat="1" x14ac:dyDescent="0.25">
      <c r="A111" s="19" t="s">
        <v>23</v>
      </c>
      <c r="B111" s="2">
        <v>43897</v>
      </c>
      <c r="C111" s="1">
        <v>0</v>
      </c>
      <c r="D111" s="39">
        <v>0</v>
      </c>
      <c r="E111" s="1"/>
      <c r="F111" s="39">
        <f t="shared" si="2"/>
        <v>0</v>
      </c>
      <c r="G111" s="395"/>
      <c r="H111" s="395"/>
      <c r="J111" s="42"/>
    </row>
    <row r="112" spans="1:10" s="393" customFormat="1" x14ac:dyDescent="0.25">
      <c r="A112" s="19" t="s">
        <v>19</v>
      </c>
      <c r="B112" s="2">
        <v>43897</v>
      </c>
      <c r="C112" s="1">
        <v>0</v>
      </c>
      <c r="D112" s="39">
        <v>0</v>
      </c>
      <c r="E112" s="1"/>
      <c r="F112" s="39">
        <f t="shared" si="2"/>
        <v>0</v>
      </c>
      <c r="G112" s="395"/>
      <c r="H112" s="395"/>
      <c r="J112" s="42"/>
    </row>
    <row r="113" spans="1:10" s="393" customFormat="1" x14ac:dyDescent="0.25">
      <c r="A113" s="19" t="s">
        <v>18</v>
      </c>
      <c r="B113" s="2">
        <v>43897</v>
      </c>
      <c r="C113" s="1">
        <v>0</v>
      </c>
      <c r="D113" s="39">
        <v>0</v>
      </c>
      <c r="E113" s="1"/>
      <c r="F113" s="39">
        <f t="shared" si="2"/>
        <v>0</v>
      </c>
      <c r="G113" s="395"/>
      <c r="H113" s="395"/>
      <c r="J113" s="42"/>
    </row>
    <row r="114" spans="1:10" s="393" customFormat="1" x14ac:dyDescent="0.25">
      <c r="A114" s="19" t="s">
        <v>34</v>
      </c>
      <c r="B114" s="2">
        <v>43897</v>
      </c>
      <c r="C114" s="1">
        <v>0</v>
      </c>
      <c r="D114" s="39">
        <v>0</v>
      </c>
      <c r="E114" s="1"/>
      <c r="F114" s="39">
        <f t="shared" si="2"/>
        <v>0</v>
      </c>
      <c r="G114" s="395"/>
      <c r="H114" s="395"/>
      <c r="J114" s="42"/>
    </row>
    <row r="115" spans="1:10" s="393" customFormat="1" x14ac:dyDescent="0.25">
      <c r="A115" s="19" t="s">
        <v>35</v>
      </c>
      <c r="B115" s="2">
        <v>43897</v>
      </c>
      <c r="C115" s="1">
        <v>0</v>
      </c>
      <c r="D115" s="39">
        <v>0</v>
      </c>
      <c r="E115" s="1"/>
      <c r="F115" s="39">
        <f t="shared" si="2"/>
        <v>0</v>
      </c>
      <c r="G115" s="395"/>
      <c r="H115" s="395"/>
      <c r="J115" s="42"/>
    </row>
    <row r="116" spans="1:10" s="393" customFormat="1" x14ac:dyDescent="0.25">
      <c r="A116" s="19" t="s">
        <v>36</v>
      </c>
      <c r="B116" s="2">
        <v>43897</v>
      </c>
      <c r="C116" s="1">
        <v>0</v>
      </c>
      <c r="D116" s="39">
        <v>0</v>
      </c>
      <c r="E116" s="1"/>
      <c r="F116" s="39">
        <f t="shared" si="2"/>
        <v>0</v>
      </c>
      <c r="G116" s="395"/>
      <c r="H116" s="395"/>
      <c r="J116" s="42"/>
    </row>
    <row r="117" spans="1:10" s="393" customFormat="1" x14ac:dyDescent="0.25">
      <c r="A117" s="19" t="s">
        <v>37</v>
      </c>
      <c r="B117" s="2">
        <v>43897</v>
      </c>
      <c r="C117" s="1">
        <v>0</v>
      </c>
      <c r="D117" s="39">
        <v>0</v>
      </c>
      <c r="E117" s="1"/>
      <c r="F117" s="39">
        <f t="shared" si="2"/>
        <v>0</v>
      </c>
      <c r="G117" s="395"/>
      <c r="H117" s="395"/>
      <c r="J117" s="42"/>
    </row>
    <row r="118" spans="1:10" s="393" customFormat="1" x14ac:dyDescent="0.25">
      <c r="A118" s="19" t="s">
        <v>22</v>
      </c>
      <c r="B118" s="2">
        <v>43897</v>
      </c>
      <c r="C118" s="1">
        <v>0</v>
      </c>
      <c r="D118" s="39">
        <v>0</v>
      </c>
      <c r="E118" s="1"/>
      <c r="F118" s="39">
        <f t="shared" si="2"/>
        <v>0</v>
      </c>
      <c r="G118" s="395"/>
      <c r="H118" s="395"/>
      <c r="J118" s="42"/>
    </row>
    <row r="119" spans="1:10" s="393" customFormat="1" x14ac:dyDescent="0.25">
      <c r="A119" s="19" t="s">
        <v>38</v>
      </c>
      <c r="B119" s="2">
        <v>43897</v>
      </c>
      <c r="C119" s="1">
        <v>0</v>
      </c>
      <c r="D119" s="39">
        <v>0</v>
      </c>
      <c r="E119" s="1"/>
      <c r="F119" s="39">
        <f t="shared" si="2"/>
        <v>0</v>
      </c>
      <c r="G119" s="395"/>
      <c r="H119" s="395"/>
      <c r="J119" s="42"/>
    </row>
    <row r="120" spans="1:10" s="393" customFormat="1" x14ac:dyDescent="0.25">
      <c r="A120" s="19" t="s">
        <v>39</v>
      </c>
      <c r="B120" s="2">
        <v>43897</v>
      </c>
      <c r="C120" s="1">
        <v>0</v>
      </c>
      <c r="D120" s="39">
        <v>0</v>
      </c>
      <c r="E120" s="1"/>
      <c r="F120" s="39">
        <f t="shared" si="2"/>
        <v>0</v>
      </c>
      <c r="G120" s="395"/>
      <c r="H120" s="395"/>
      <c r="J120" s="42"/>
    </row>
    <row r="121" spans="1:10" s="393" customFormat="1" x14ac:dyDescent="0.25">
      <c r="A121" s="19" t="s">
        <v>40</v>
      </c>
      <c r="B121" s="2">
        <v>43897</v>
      </c>
      <c r="C121" s="1">
        <v>0</v>
      </c>
      <c r="D121" s="39">
        <v>0</v>
      </c>
      <c r="E121" s="1"/>
      <c r="F121" s="39">
        <f t="shared" si="2"/>
        <v>0</v>
      </c>
      <c r="G121" s="395"/>
      <c r="H121" s="395"/>
      <c r="J121" s="42"/>
    </row>
    <row r="122" spans="1:10" s="393" customFormat="1" x14ac:dyDescent="0.25">
      <c r="A122" s="394" t="s">
        <v>16</v>
      </c>
      <c r="B122" s="2">
        <v>43898</v>
      </c>
      <c r="C122" s="1">
        <v>1</v>
      </c>
      <c r="D122" s="39">
        <v>2</v>
      </c>
      <c r="E122" s="1"/>
      <c r="F122" s="39">
        <f>E122+F98</f>
        <v>0</v>
      </c>
      <c r="G122" s="395"/>
      <c r="H122" s="395"/>
      <c r="J122" s="42"/>
    </row>
    <row r="123" spans="1:10" s="393" customFormat="1" x14ac:dyDescent="0.25">
      <c r="A123" s="19" t="s">
        <v>28</v>
      </c>
      <c r="B123" s="2">
        <v>43898</v>
      </c>
      <c r="C123" s="1">
        <v>0</v>
      </c>
      <c r="D123" s="39">
        <v>0</v>
      </c>
      <c r="E123" s="1"/>
      <c r="F123" s="39">
        <f t="shared" ref="F123:F145" si="3">E123+F99</f>
        <v>0</v>
      </c>
      <c r="G123" s="395"/>
      <c r="H123" s="395"/>
      <c r="J123" s="42"/>
    </row>
    <row r="124" spans="1:10" s="393" customFormat="1" x14ac:dyDescent="0.25">
      <c r="A124" s="19" t="s">
        <v>15</v>
      </c>
      <c r="B124" s="2">
        <v>43898</v>
      </c>
      <c r="C124" s="1">
        <v>0</v>
      </c>
      <c r="D124" s="39">
        <v>0</v>
      </c>
      <c r="E124" s="1"/>
      <c r="F124" s="39">
        <f t="shared" si="3"/>
        <v>0</v>
      </c>
      <c r="G124" s="395"/>
      <c r="H124" s="395"/>
      <c r="J124" s="42"/>
    </row>
    <row r="125" spans="1:10" s="393" customFormat="1" x14ac:dyDescent="0.25">
      <c r="A125" s="19" t="s">
        <v>29</v>
      </c>
      <c r="B125" s="2">
        <v>43898</v>
      </c>
      <c r="C125" s="1">
        <v>0</v>
      </c>
      <c r="D125" s="39">
        <v>0</v>
      </c>
      <c r="E125" s="1"/>
      <c r="F125" s="39">
        <f t="shared" si="3"/>
        <v>0</v>
      </c>
      <c r="G125" s="395"/>
      <c r="H125" s="395"/>
      <c r="J125" s="42"/>
    </row>
    <row r="126" spans="1:10" s="393" customFormat="1" x14ac:dyDescent="0.25">
      <c r="A126" s="19" t="s">
        <v>43</v>
      </c>
      <c r="B126" s="2">
        <v>43898</v>
      </c>
      <c r="C126" s="1">
        <v>2</v>
      </c>
      <c r="D126" s="39">
        <v>9</v>
      </c>
      <c r="E126" s="1"/>
      <c r="F126" s="39">
        <f t="shared" si="3"/>
        <v>1</v>
      </c>
      <c r="G126" s="395"/>
      <c r="H126" s="395"/>
      <c r="J126" s="42"/>
    </row>
    <row r="127" spans="1:10" s="393" customFormat="1" x14ac:dyDescent="0.25">
      <c r="A127" s="19" t="s">
        <v>20</v>
      </c>
      <c r="B127" s="2">
        <v>43898</v>
      </c>
      <c r="C127" s="1">
        <v>0</v>
      </c>
      <c r="D127" s="39">
        <v>1</v>
      </c>
      <c r="E127" s="1"/>
      <c r="F127" s="39">
        <f t="shared" si="3"/>
        <v>0</v>
      </c>
      <c r="G127" s="395"/>
      <c r="H127" s="395"/>
      <c r="J127" s="42"/>
    </row>
    <row r="128" spans="1:10" s="393" customFormat="1" x14ac:dyDescent="0.25">
      <c r="A128" s="19" t="s">
        <v>30</v>
      </c>
      <c r="B128" s="2">
        <v>43898</v>
      </c>
      <c r="C128" s="1">
        <v>0</v>
      </c>
      <c r="D128" s="39">
        <v>0</v>
      </c>
      <c r="E128" s="1"/>
      <c r="F128" s="39">
        <f t="shared" si="3"/>
        <v>0</v>
      </c>
      <c r="G128" s="395"/>
      <c r="H128" s="395"/>
      <c r="J128" s="42"/>
    </row>
    <row r="129" spans="1:10" x14ac:dyDescent="0.25">
      <c r="A129" s="19" t="s">
        <v>31</v>
      </c>
      <c r="B129" s="2">
        <v>43898</v>
      </c>
      <c r="C129" s="1">
        <v>0</v>
      </c>
      <c r="D129" s="39">
        <v>0</v>
      </c>
      <c r="F129" s="39">
        <f t="shared" si="3"/>
        <v>0</v>
      </c>
    </row>
    <row r="130" spans="1:10" s="393" customFormat="1" x14ac:dyDescent="0.25">
      <c r="A130" s="19" t="s">
        <v>41</v>
      </c>
      <c r="B130" s="2">
        <v>43898</v>
      </c>
      <c r="C130" s="1">
        <v>0</v>
      </c>
      <c r="D130" s="39">
        <v>0</v>
      </c>
      <c r="E130" s="1"/>
      <c r="F130" s="39">
        <f t="shared" si="3"/>
        <v>0</v>
      </c>
      <c r="G130" s="395"/>
      <c r="H130" s="395"/>
      <c r="J130" s="42"/>
    </row>
    <row r="131" spans="1:10" s="393" customFormat="1" x14ac:dyDescent="0.25">
      <c r="A131" s="19" t="s">
        <v>32</v>
      </c>
      <c r="B131" s="2">
        <v>43898</v>
      </c>
      <c r="C131" s="1">
        <v>0</v>
      </c>
      <c r="D131" s="39">
        <v>0</v>
      </c>
      <c r="E131" s="1"/>
      <c r="F131" s="39">
        <f t="shared" si="3"/>
        <v>0</v>
      </c>
      <c r="G131" s="395"/>
      <c r="H131" s="395"/>
      <c r="J131" s="42"/>
    </row>
    <row r="132" spans="1:10" s="393" customFormat="1" x14ac:dyDescent="0.25">
      <c r="A132" s="19" t="s">
        <v>33</v>
      </c>
      <c r="B132" s="2">
        <v>43898</v>
      </c>
      <c r="C132" s="1">
        <v>0</v>
      </c>
      <c r="D132" s="39">
        <v>0</v>
      </c>
      <c r="E132" s="1"/>
      <c r="F132" s="39">
        <f t="shared" si="3"/>
        <v>0</v>
      </c>
      <c r="G132" s="395"/>
      <c r="H132" s="395"/>
      <c r="J132" s="42"/>
    </row>
    <row r="133" spans="1:10" s="393" customFormat="1" x14ac:dyDescent="0.25">
      <c r="A133" s="19" t="s">
        <v>21</v>
      </c>
      <c r="B133" s="2">
        <v>43898</v>
      </c>
      <c r="C133" s="1">
        <v>0</v>
      </c>
      <c r="D133" s="39">
        <v>0</v>
      </c>
      <c r="E133" s="1"/>
      <c r="F133" s="39">
        <f t="shared" si="3"/>
        <v>0</v>
      </c>
      <c r="G133" s="395"/>
      <c r="H133" s="395"/>
      <c r="J133" s="42"/>
    </row>
    <row r="134" spans="1:10" s="393" customFormat="1" x14ac:dyDescent="0.25">
      <c r="A134" s="19" t="s">
        <v>17</v>
      </c>
      <c r="B134" s="2">
        <v>43898</v>
      </c>
      <c r="C134" s="1">
        <v>0</v>
      </c>
      <c r="D134" s="39">
        <v>0</v>
      </c>
      <c r="E134" s="1"/>
      <c r="F134" s="39">
        <f t="shared" si="3"/>
        <v>0</v>
      </c>
      <c r="G134" s="395"/>
      <c r="H134" s="395"/>
      <c r="J134" s="42"/>
    </row>
    <row r="135" spans="1:10" s="393" customFormat="1" x14ac:dyDescent="0.25">
      <c r="A135" s="19" t="s">
        <v>23</v>
      </c>
      <c r="B135" s="2">
        <v>43898</v>
      </c>
      <c r="C135" s="1">
        <v>0</v>
      </c>
      <c r="D135" s="39">
        <v>0</v>
      </c>
      <c r="E135" s="1"/>
      <c r="F135" s="39">
        <f t="shared" si="3"/>
        <v>0</v>
      </c>
      <c r="G135" s="395"/>
      <c r="H135" s="395"/>
      <c r="J135" s="42"/>
    </row>
    <row r="136" spans="1:10" s="393" customFormat="1" x14ac:dyDescent="0.25">
      <c r="A136" s="19" t="s">
        <v>19</v>
      </c>
      <c r="B136" s="2">
        <v>43898</v>
      </c>
      <c r="C136" s="1">
        <v>0</v>
      </c>
      <c r="D136" s="39">
        <v>0</v>
      </c>
      <c r="E136" s="1"/>
      <c r="F136" s="39">
        <f t="shared" si="3"/>
        <v>0</v>
      </c>
      <c r="G136" s="395"/>
      <c r="H136" s="395"/>
      <c r="J136" s="42"/>
    </row>
    <row r="137" spans="1:10" s="393" customFormat="1" x14ac:dyDescent="0.25">
      <c r="A137" s="19" t="s">
        <v>18</v>
      </c>
      <c r="B137" s="2">
        <v>43898</v>
      </c>
      <c r="C137" s="1">
        <v>0</v>
      </c>
      <c r="D137" s="39">
        <v>0</v>
      </c>
      <c r="E137" s="1"/>
      <c r="F137" s="39">
        <f t="shared" si="3"/>
        <v>0</v>
      </c>
      <c r="G137" s="395"/>
      <c r="H137" s="395"/>
      <c r="J137" s="42"/>
    </row>
    <row r="138" spans="1:10" s="393" customFormat="1" x14ac:dyDescent="0.25">
      <c r="A138" s="19" t="s">
        <v>34</v>
      </c>
      <c r="B138" s="2">
        <v>43898</v>
      </c>
      <c r="C138" s="1">
        <v>0</v>
      </c>
      <c r="D138" s="39">
        <v>0</v>
      </c>
      <c r="E138" s="1"/>
      <c r="F138" s="39">
        <f t="shared" si="3"/>
        <v>0</v>
      </c>
      <c r="G138" s="395"/>
      <c r="H138" s="395"/>
      <c r="J138" s="42"/>
    </row>
    <row r="139" spans="1:10" s="393" customFormat="1" x14ac:dyDescent="0.25">
      <c r="A139" s="19" t="s">
        <v>35</v>
      </c>
      <c r="B139" s="2">
        <v>43898</v>
      </c>
      <c r="C139" s="1">
        <v>0</v>
      </c>
      <c r="D139" s="39">
        <v>0</v>
      </c>
      <c r="E139" s="1"/>
      <c r="F139" s="39">
        <f t="shared" si="3"/>
        <v>0</v>
      </c>
      <c r="G139" s="395"/>
      <c r="H139" s="395"/>
      <c r="J139" s="42"/>
    </row>
    <row r="140" spans="1:10" s="393" customFormat="1" x14ac:dyDescent="0.25">
      <c r="A140" s="19" t="s">
        <v>36</v>
      </c>
      <c r="B140" s="2">
        <v>43898</v>
      </c>
      <c r="C140" s="1">
        <v>0</v>
      </c>
      <c r="D140" s="39">
        <v>0</v>
      </c>
      <c r="E140" s="1"/>
      <c r="F140" s="39">
        <f t="shared" si="3"/>
        <v>0</v>
      </c>
      <c r="G140" s="395"/>
      <c r="H140" s="395"/>
      <c r="J140" s="42"/>
    </row>
    <row r="141" spans="1:10" s="393" customFormat="1" x14ac:dyDescent="0.25">
      <c r="A141" s="19" t="s">
        <v>37</v>
      </c>
      <c r="B141" s="2">
        <v>43898</v>
      </c>
      <c r="C141" s="1">
        <v>0</v>
      </c>
      <c r="D141" s="39">
        <v>0</v>
      </c>
      <c r="E141" s="1"/>
      <c r="F141" s="39">
        <f t="shared" si="3"/>
        <v>0</v>
      </c>
      <c r="G141" s="395"/>
      <c r="H141" s="395"/>
      <c r="J141" s="42"/>
    </row>
    <row r="142" spans="1:10" s="393" customFormat="1" x14ac:dyDescent="0.25">
      <c r="A142" s="19" t="s">
        <v>22</v>
      </c>
      <c r="B142" s="2">
        <v>43898</v>
      </c>
      <c r="C142" s="1">
        <v>0</v>
      </c>
      <c r="D142" s="39">
        <v>0</v>
      </c>
      <c r="E142" s="1"/>
      <c r="F142" s="39">
        <f t="shared" si="3"/>
        <v>0</v>
      </c>
      <c r="G142" s="395"/>
      <c r="H142" s="395"/>
      <c r="J142" s="42"/>
    </row>
    <row r="143" spans="1:10" s="393" customFormat="1" x14ac:dyDescent="0.25">
      <c r="A143" s="19" t="s">
        <v>38</v>
      </c>
      <c r="B143" s="2">
        <v>43898</v>
      </c>
      <c r="C143" s="1">
        <v>0</v>
      </c>
      <c r="D143" s="39">
        <v>0</v>
      </c>
      <c r="E143" s="1"/>
      <c r="F143" s="39">
        <f t="shared" si="3"/>
        <v>0</v>
      </c>
      <c r="G143" s="395"/>
      <c r="H143" s="395"/>
      <c r="J143" s="42"/>
    </row>
    <row r="144" spans="1:10" s="393" customFormat="1" x14ac:dyDescent="0.25">
      <c r="A144" s="19" t="s">
        <v>39</v>
      </c>
      <c r="B144" s="2">
        <v>43898</v>
      </c>
      <c r="C144" s="1">
        <v>0</v>
      </c>
      <c r="D144" s="39">
        <v>0</v>
      </c>
      <c r="E144" s="1"/>
      <c r="F144" s="39">
        <f t="shared" si="3"/>
        <v>0</v>
      </c>
      <c r="G144" s="395"/>
      <c r="H144" s="395"/>
      <c r="J144" s="42"/>
    </row>
    <row r="145" spans="1:10" s="393" customFormat="1" x14ac:dyDescent="0.25">
      <c r="A145" s="19" t="s">
        <v>40</v>
      </c>
      <c r="B145" s="2">
        <v>43898</v>
      </c>
      <c r="C145" s="1">
        <v>0</v>
      </c>
      <c r="D145" s="39">
        <v>0</v>
      </c>
      <c r="E145" s="1"/>
      <c r="F145" s="39">
        <f t="shared" si="3"/>
        <v>0</v>
      </c>
      <c r="G145" s="395"/>
      <c r="H145" s="395"/>
      <c r="J145" s="42"/>
    </row>
    <row r="146" spans="1:10" s="393" customFormat="1" x14ac:dyDescent="0.25">
      <c r="A146" s="394" t="s">
        <v>16</v>
      </c>
      <c r="B146" s="2">
        <v>43899</v>
      </c>
      <c r="C146" s="1">
        <v>0</v>
      </c>
      <c r="D146" s="39">
        <v>2</v>
      </c>
      <c r="E146" s="1"/>
      <c r="F146" s="39">
        <f>E146+F122</f>
        <v>0</v>
      </c>
      <c r="G146" s="395"/>
      <c r="H146" s="395"/>
      <c r="J146" s="42"/>
    </row>
    <row r="147" spans="1:10" s="393" customFormat="1" x14ac:dyDescent="0.25">
      <c r="A147" s="19" t="s">
        <v>28</v>
      </c>
      <c r="B147" s="2">
        <v>43899</v>
      </c>
      <c r="C147" s="1">
        <v>0</v>
      </c>
      <c r="D147" s="39">
        <v>0</v>
      </c>
      <c r="E147" s="1"/>
      <c r="F147" s="39">
        <f t="shared" ref="F147:F169" si="4">E147+F123</f>
        <v>0</v>
      </c>
      <c r="G147" s="395"/>
      <c r="H147" s="395"/>
      <c r="J147" s="42"/>
    </row>
    <row r="148" spans="1:10" s="393" customFormat="1" x14ac:dyDescent="0.25">
      <c r="A148" s="19" t="s">
        <v>15</v>
      </c>
      <c r="B148" s="2">
        <v>43899</v>
      </c>
      <c r="C148" s="1">
        <v>2</v>
      </c>
      <c r="D148" s="39">
        <v>2</v>
      </c>
      <c r="E148" s="1"/>
      <c r="F148" s="39">
        <f t="shared" si="4"/>
        <v>0</v>
      </c>
      <c r="G148" s="395"/>
      <c r="H148" s="395"/>
      <c r="J148" s="42"/>
    </row>
    <row r="149" spans="1:10" s="393" customFormat="1" x14ac:dyDescent="0.25">
      <c r="A149" s="19" t="s">
        <v>29</v>
      </c>
      <c r="B149" s="2">
        <v>43899</v>
      </c>
      <c r="C149" s="1">
        <v>0</v>
      </c>
      <c r="D149" s="39">
        <v>0</v>
      </c>
      <c r="E149" s="1"/>
      <c r="F149" s="39">
        <f t="shared" si="4"/>
        <v>0</v>
      </c>
      <c r="G149" s="395"/>
      <c r="H149" s="395"/>
      <c r="J149" s="42"/>
    </row>
    <row r="150" spans="1:10" s="393" customFormat="1" x14ac:dyDescent="0.25">
      <c r="A150" s="19" t="s">
        <v>43</v>
      </c>
      <c r="B150" s="2">
        <v>43899</v>
      </c>
      <c r="C150" s="1">
        <v>1</v>
      </c>
      <c r="D150" s="39">
        <v>10</v>
      </c>
      <c r="E150" s="1"/>
      <c r="F150" s="39">
        <f t="shared" si="4"/>
        <v>1</v>
      </c>
      <c r="G150" s="395"/>
      <c r="H150" s="395"/>
      <c r="J150" s="42"/>
    </row>
    <row r="151" spans="1:10" s="393" customFormat="1" x14ac:dyDescent="0.25">
      <c r="A151" s="19" t="s">
        <v>20</v>
      </c>
      <c r="B151" s="2">
        <v>43899</v>
      </c>
      <c r="C151" s="1">
        <v>0</v>
      </c>
      <c r="D151" s="39">
        <v>1</v>
      </c>
      <c r="E151" s="1"/>
      <c r="F151" s="39">
        <f t="shared" si="4"/>
        <v>0</v>
      </c>
      <c r="G151" s="395"/>
      <c r="H151" s="395"/>
      <c r="J151" s="42"/>
    </row>
    <row r="152" spans="1:10" s="393" customFormat="1" x14ac:dyDescent="0.25">
      <c r="A152" s="19" t="s">
        <v>30</v>
      </c>
      <c r="B152" s="2">
        <v>43899</v>
      </c>
      <c r="C152" s="1">
        <v>0</v>
      </c>
      <c r="D152" s="39">
        <v>0</v>
      </c>
      <c r="E152" s="1"/>
      <c r="F152" s="39">
        <f t="shared" si="4"/>
        <v>0</v>
      </c>
      <c r="G152" s="395"/>
      <c r="H152" s="395"/>
      <c r="J152" s="42"/>
    </row>
    <row r="153" spans="1:10" x14ac:dyDescent="0.25">
      <c r="A153" s="19" t="s">
        <v>31</v>
      </c>
      <c r="B153" s="2">
        <v>43899</v>
      </c>
      <c r="C153" s="1">
        <v>0</v>
      </c>
      <c r="D153" s="39">
        <v>0</v>
      </c>
      <c r="F153" s="39">
        <f t="shared" si="4"/>
        <v>0</v>
      </c>
    </row>
    <row r="154" spans="1:10" s="393" customFormat="1" x14ac:dyDescent="0.25">
      <c r="A154" s="19" t="s">
        <v>41</v>
      </c>
      <c r="B154" s="2">
        <v>43899</v>
      </c>
      <c r="C154" s="1">
        <v>0</v>
      </c>
      <c r="D154" s="39">
        <v>0</v>
      </c>
      <c r="E154" s="1"/>
      <c r="F154" s="39">
        <f t="shared" si="4"/>
        <v>0</v>
      </c>
      <c r="G154" s="395"/>
      <c r="H154" s="395"/>
      <c r="J154" s="42"/>
    </row>
    <row r="155" spans="1:10" s="393" customFormat="1" x14ac:dyDescent="0.25">
      <c r="A155" s="19" t="s">
        <v>32</v>
      </c>
      <c r="B155" s="2">
        <v>43899</v>
      </c>
      <c r="C155" s="1">
        <v>0</v>
      </c>
      <c r="D155" s="39">
        <v>0</v>
      </c>
      <c r="E155" s="1"/>
      <c r="F155" s="39">
        <f t="shared" si="4"/>
        <v>0</v>
      </c>
      <c r="G155" s="395"/>
      <c r="H155" s="395"/>
      <c r="J155" s="42"/>
    </row>
    <row r="156" spans="1:10" s="393" customFormat="1" x14ac:dyDescent="0.25">
      <c r="A156" s="19" t="s">
        <v>33</v>
      </c>
      <c r="B156" s="2">
        <v>43899</v>
      </c>
      <c r="C156" s="1">
        <v>0</v>
      </c>
      <c r="D156" s="39">
        <v>0</v>
      </c>
      <c r="E156" s="1"/>
      <c r="F156" s="39">
        <f t="shared" si="4"/>
        <v>0</v>
      </c>
      <c r="G156" s="395"/>
      <c r="H156" s="395"/>
      <c r="J156" s="42"/>
    </row>
    <row r="157" spans="1:10" s="393" customFormat="1" x14ac:dyDescent="0.25">
      <c r="A157" s="19" t="s">
        <v>21</v>
      </c>
      <c r="B157" s="2">
        <v>43899</v>
      </c>
      <c r="C157" s="1">
        <v>0</v>
      </c>
      <c r="D157" s="39">
        <v>0</v>
      </c>
      <c r="E157" s="1"/>
      <c r="F157" s="39">
        <f t="shared" si="4"/>
        <v>0</v>
      </c>
      <c r="G157" s="395"/>
      <c r="H157" s="395"/>
      <c r="J157" s="42"/>
    </row>
    <row r="158" spans="1:10" s="393" customFormat="1" x14ac:dyDescent="0.25">
      <c r="A158" s="19" t="s">
        <v>17</v>
      </c>
      <c r="B158" s="2">
        <v>43899</v>
      </c>
      <c r="C158" s="1">
        <v>0</v>
      </c>
      <c r="D158" s="39">
        <v>0</v>
      </c>
      <c r="E158" s="1"/>
      <c r="F158" s="39">
        <f t="shared" si="4"/>
        <v>0</v>
      </c>
      <c r="G158" s="395"/>
      <c r="H158" s="395"/>
      <c r="J158" s="42"/>
    </row>
    <row r="159" spans="1:10" s="393" customFormat="1" x14ac:dyDescent="0.25">
      <c r="A159" s="19" t="s">
        <v>23</v>
      </c>
      <c r="B159" s="2">
        <v>43899</v>
      </c>
      <c r="C159" s="1">
        <v>0</v>
      </c>
      <c r="D159" s="39">
        <v>0</v>
      </c>
      <c r="E159" s="1"/>
      <c r="F159" s="39">
        <f t="shared" si="4"/>
        <v>0</v>
      </c>
      <c r="G159" s="395"/>
      <c r="H159" s="395"/>
      <c r="J159" s="42"/>
    </row>
    <row r="160" spans="1:10" s="393" customFormat="1" x14ac:dyDescent="0.25">
      <c r="A160" s="19" t="s">
        <v>19</v>
      </c>
      <c r="B160" s="2">
        <v>43899</v>
      </c>
      <c r="C160" s="1">
        <v>0</v>
      </c>
      <c r="D160" s="39">
        <v>0</v>
      </c>
      <c r="E160" s="1"/>
      <c r="F160" s="39">
        <f t="shared" si="4"/>
        <v>0</v>
      </c>
      <c r="G160" s="395"/>
      <c r="H160" s="395"/>
      <c r="J160" s="42"/>
    </row>
    <row r="161" spans="1:10" s="393" customFormat="1" x14ac:dyDescent="0.25">
      <c r="A161" s="19" t="s">
        <v>18</v>
      </c>
      <c r="B161" s="2">
        <v>43899</v>
      </c>
      <c r="C161" s="1">
        <v>1</v>
      </c>
      <c r="D161" s="39">
        <v>1</v>
      </c>
      <c r="E161" s="1"/>
      <c r="F161" s="39">
        <f t="shared" si="4"/>
        <v>0</v>
      </c>
      <c r="G161" s="395"/>
      <c r="H161" s="395"/>
      <c r="J161" s="42"/>
    </row>
    <row r="162" spans="1:10" s="393" customFormat="1" x14ac:dyDescent="0.25">
      <c r="A162" s="19" t="s">
        <v>34</v>
      </c>
      <c r="B162" s="2">
        <v>43899</v>
      </c>
      <c r="C162" s="1">
        <v>0</v>
      </c>
      <c r="D162" s="39">
        <v>0</v>
      </c>
      <c r="E162" s="1"/>
      <c r="F162" s="39">
        <f t="shared" si="4"/>
        <v>0</v>
      </c>
      <c r="G162" s="395"/>
      <c r="H162" s="395"/>
      <c r="J162" s="42"/>
    </row>
    <row r="163" spans="1:10" s="393" customFormat="1" x14ac:dyDescent="0.25">
      <c r="A163" s="19" t="s">
        <v>35</v>
      </c>
      <c r="B163" s="2">
        <v>43899</v>
      </c>
      <c r="C163" s="1">
        <v>0</v>
      </c>
      <c r="D163" s="39">
        <v>0</v>
      </c>
      <c r="E163" s="1"/>
      <c r="F163" s="39">
        <f t="shared" si="4"/>
        <v>0</v>
      </c>
      <c r="G163" s="395"/>
      <c r="H163" s="395"/>
      <c r="J163" s="42"/>
    </row>
    <row r="164" spans="1:10" s="393" customFormat="1" x14ac:dyDescent="0.25">
      <c r="A164" s="19" t="s">
        <v>36</v>
      </c>
      <c r="B164" s="2">
        <v>43899</v>
      </c>
      <c r="C164" s="1">
        <v>1</v>
      </c>
      <c r="D164" s="39">
        <v>1</v>
      </c>
      <c r="E164" s="1"/>
      <c r="F164" s="39">
        <f t="shared" si="4"/>
        <v>0</v>
      </c>
      <c r="G164" s="395"/>
      <c r="H164" s="395"/>
      <c r="J164" s="42"/>
    </row>
    <row r="165" spans="1:10" s="393" customFormat="1" x14ac:dyDescent="0.25">
      <c r="A165" s="19" t="s">
        <v>37</v>
      </c>
      <c r="B165" s="2">
        <v>43899</v>
      </c>
      <c r="C165" s="1">
        <v>0</v>
      </c>
      <c r="D165" s="39">
        <v>0</v>
      </c>
      <c r="E165" s="1"/>
      <c r="F165" s="39">
        <f t="shared" si="4"/>
        <v>0</v>
      </c>
      <c r="G165" s="395"/>
      <c r="H165" s="395"/>
      <c r="J165" s="42"/>
    </row>
    <row r="166" spans="1:10" s="393" customFormat="1" x14ac:dyDescent="0.25">
      <c r="A166" s="19" t="s">
        <v>22</v>
      </c>
      <c r="B166" s="2">
        <v>43899</v>
      </c>
      <c r="C166" s="1">
        <v>0</v>
      </c>
      <c r="D166" s="39">
        <v>0</v>
      </c>
      <c r="E166" s="1"/>
      <c r="F166" s="39">
        <f t="shared" si="4"/>
        <v>0</v>
      </c>
      <c r="G166" s="395"/>
      <c r="H166" s="395"/>
      <c r="J166" s="42"/>
    </row>
    <row r="167" spans="1:10" s="393" customFormat="1" x14ac:dyDescent="0.25">
      <c r="A167" s="19" t="s">
        <v>38</v>
      </c>
      <c r="B167" s="2">
        <v>43899</v>
      </c>
      <c r="C167" s="1">
        <v>0</v>
      </c>
      <c r="D167" s="39">
        <v>0</v>
      </c>
      <c r="E167" s="1"/>
      <c r="F167" s="39">
        <f t="shared" si="4"/>
        <v>0</v>
      </c>
      <c r="G167" s="395"/>
      <c r="H167" s="395"/>
      <c r="J167" s="42"/>
    </row>
    <row r="168" spans="1:10" s="393" customFormat="1" x14ac:dyDescent="0.25">
      <c r="A168" s="19" t="s">
        <v>39</v>
      </c>
      <c r="B168" s="2">
        <v>43899</v>
      </c>
      <c r="C168" s="1">
        <v>0</v>
      </c>
      <c r="D168" s="39">
        <v>0</v>
      </c>
      <c r="E168" s="1"/>
      <c r="F168" s="39">
        <f t="shared" si="4"/>
        <v>0</v>
      </c>
      <c r="G168" s="395"/>
      <c r="H168" s="395"/>
      <c r="J168" s="42"/>
    </row>
    <row r="169" spans="1:10" s="393" customFormat="1" x14ac:dyDescent="0.25">
      <c r="A169" s="19" t="s">
        <v>40</v>
      </c>
      <c r="B169" s="2">
        <v>43899</v>
      </c>
      <c r="C169" s="1">
        <v>0</v>
      </c>
      <c r="D169" s="39">
        <v>0</v>
      </c>
      <c r="E169" s="1"/>
      <c r="F169" s="39">
        <f t="shared" si="4"/>
        <v>0</v>
      </c>
      <c r="G169" s="395"/>
      <c r="H169" s="395"/>
      <c r="J169" s="42"/>
    </row>
    <row r="170" spans="1:10" s="393" customFormat="1" x14ac:dyDescent="0.25">
      <c r="A170" s="394" t="s">
        <v>16</v>
      </c>
      <c r="B170" s="2">
        <v>43900</v>
      </c>
      <c r="C170" s="1">
        <v>1</v>
      </c>
      <c r="D170" s="39">
        <v>3</v>
      </c>
      <c r="E170" s="1"/>
      <c r="F170" s="39">
        <f>E170+F146</f>
        <v>0</v>
      </c>
      <c r="G170" s="395"/>
      <c r="H170" s="395"/>
      <c r="J170" s="42"/>
    </row>
    <row r="171" spans="1:10" s="393" customFormat="1" x14ac:dyDescent="0.25">
      <c r="A171" s="19" t="s">
        <v>28</v>
      </c>
      <c r="B171" s="2">
        <v>43900</v>
      </c>
      <c r="C171" s="1">
        <v>0</v>
      </c>
      <c r="D171" s="39">
        <v>0</v>
      </c>
      <c r="E171" s="1"/>
      <c r="F171" s="39">
        <f t="shared" ref="F171:F193" si="5">E171+F147</f>
        <v>0</v>
      </c>
      <c r="G171" s="395"/>
      <c r="H171" s="395"/>
      <c r="J171" s="42"/>
    </row>
    <row r="172" spans="1:10" s="393" customFormat="1" x14ac:dyDescent="0.25">
      <c r="A172" s="19" t="s">
        <v>15</v>
      </c>
      <c r="B172" s="2">
        <v>43900</v>
      </c>
      <c r="C172" s="1">
        <v>0</v>
      </c>
      <c r="D172" s="39">
        <v>2</v>
      </c>
      <c r="E172" s="1"/>
      <c r="F172" s="39">
        <f t="shared" si="5"/>
        <v>0</v>
      </c>
      <c r="G172" s="395"/>
      <c r="H172" s="395"/>
      <c r="J172" s="42"/>
    </row>
    <row r="173" spans="1:10" s="393" customFormat="1" x14ac:dyDescent="0.25">
      <c r="A173" s="19" t="s">
        <v>29</v>
      </c>
      <c r="B173" s="2">
        <v>43900</v>
      </c>
      <c r="C173" s="1">
        <v>0</v>
      </c>
      <c r="D173" s="39">
        <v>0</v>
      </c>
      <c r="E173" s="1"/>
      <c r="F173" s="39">
        <f t="shared" si="5"/>
        <v>0</v>
      </c>
      <c r="G173" s="395"/>
      <c r="H173" s="395"/>
      <c r="J173" s="42"/>
    </row>
    <row r="174" spans="1:10" s="393" customFormat="1" x14ac:dyDescent="0.25">
      <c r="A174" s="19" t="s">
        <v>43</v>
      </c>
      <c r="B174" s="2">
        <v>43900</v>
      </c>
      <c r="C174" s="1">
        <v>1</v>
      </c>
      <c r="D174" s="39">
        <v>11</v>
      </c>
      <c r="E174" s="1"/>
      <c r="F174" s="39">
        <f t="shared" si="5"/>
        <v>1</v>
      </c>
      <c r="G174" s="395"/>
      <c r="H174" s="395"/>
      <c r="J174" s="42"/>
    </row>
    <row r="175" spans="1:10" s="393" customFormat="1" x14ac:dyDescent="0.25">
      <c r="A175" s="19" t="s">
        <v>20</v>
      </c>
      <c r="B175" s="2">
        <v>43900</v>
      </c>
      <c r="C175" s="1">
        <v>0</v>
      </c>
      <c r="D175" s="39">
        <v>1</v>
      </c>
      <c r="E175" s="1"/>
      <c r="F175" s="39">
        <f t="shared" si="5"/>
        <v>0</v>
      </c>
      <c r="G175" s="395"/>
      <c r="H175" s="395"/>
      <c r="J175" s="42"/>
    </row>
    <row r="176" spans="1:10" s="393" customFormat="1" x14ac:dyDescent="0.25">
      <c r="A176" s="19" t="s">
        <v>30</v>
      </c>
      <c r="B176" s="2">
        <v>43900</v>
      </c>
      <c r="C176" s="1">
        <v>0</v>
      </c>
      <c r="D176" s="39">
        <v>0</v>
      </c>
      <c r="E176" s="1"/>
      <c r="F176" s="39">
        <f t="shared" si="5"/>
        <v>0</v>
      </c>
      <c r="G176" s="395"/>
      <c r="H176" s="395"/>
      <c r="J176" s="42"/>
    </row>
    <row r="177" spans="1:10" x14ac:dyDescent="0.25">
      <c r="A177" s="19" t="s">
        <v>31</v>
      </c>
      <c r="B177" s="2">
        <v>43900</v>
      </c>
      <c r="C177" s="1">
        <v>0</v>
      </c>
      <c r="D177" s="39">
        <v>0</v>
      </c>
      <c r="F177" s="39">
        <f t="shared" si="5"/>
        <v>0</v>
      </c>
    </row>
    <row r="178" spans="1:10" s="393" customFormat="1" x14ac:dyDescent="0.25">
      <c r="A178" s="19" t="s">
        <v>41</v>
      </c>
      <c r="B178" s="2">
        <v>43900</v>
      </c>
      <c r="C178" s="1">
        <v>0</v>
      </c>
      <c r="D178" s="39">
        <v>0</v>
      </c>
      <c r="E178" s="1"/>
      <c r="F178" s="39">
        <f t="shared" si="5"/>
        <v>0</v>
      </c>
      <c r="G178" s="395"/>
      <c r="H178" s="395"/>
      <c r="J178" s="42"/>
    </row>
    <row r="179" spans="1:10" s="393" customFormat="1" x14ac:dyDescent="0.25">
      <c r="A179" s="19" t="s">
        <v>32</v>
      </c>
      <c r="B179" s="2">
        <v>43900</v>
      </c>
      <c r="C179" s="1">
        <v>0</v>
      </c>
      <c r="D179" s="39">
        <v>0</v>
      </c>
      <c r="E179" s="1"/>
      <c r="F179" s="39">
        <f t="shared" si="5"/>
        <v>0</v>
      </c>
      <c r="G179" s="395"/>
      <c r="H179" s="395"/>
      <c r="J179" s="42"/>
    </row>
    <row r="180" spans="1:10" s="393" customFormat="1" x14ac:dyDescent="0.25">
      <c r="A180" s="19" t="s">
        <v>33</v>
      </c>
      <c r="B180" s="2">
        <v>43900</v>
      </c>
      <c r="C180" s="1">
        <v>0</v>
      </c>
      <c r="D180" s="39">
        <v>0</v>
      </c>
      <c r="E180" s="1"/>
      <c r="F180" s="39">
        <f t="shared" si="5"/>
        <v>0</v>
      </c>
      <c r="G180" s="395"/>
      <c r="H180" s="395"/>
      <c r="J180" s="42"/>
    </row>
    <row r="181" spans="1:10" s="393" customFormat="1" x14ac:dyDescent="0.25">
      <c r="A181" s="19" t="s">
        <v>21</v>
      </c>
      <c r="B181" s="2">
        <v>43900</v>
      </c>
      <c r="C181" s="1">
        <v>0</v>
      </c>
      <c r="D181" s="39">
        <v>0</v>
      </c>
      <c r="E181" s="1"/>
      <c r="F181" s="39">
        <f t="shared" si="5"/>
        <v>0</v>
      </c>
      <c r="G181" s="395"/>
      <c r="H181" s="395"/>
      <c r="J181" s="42"/>
    </row>
    <row r="182" spans="1:10" s="393" customFormat="1" x14ac:dyDescent="0.25">
      <c r="A182" s="19" t="s">
        <v>17</v>
      </c>
      <c r="B182" s="2">
        <v>43900</v>
      </c>
      <c r="C182" s="1">
        <v>0</v>
      </c>
      <c r="D182" s="39">
        <v>0</v>
      </c>
      <c r="E182" s="1"/>
      <c r="F182" s="39">
        <f t="shared" si="5"/>
        <v>0</v>
      </c>
      <c r="G182" s="395"/>
      <c r="H182" s="395"/>
      <c r="J182" s="42"/>
    </row>
    <row r="183" spans="1:10" s="393" customFormat="1" x14ac:dyDescent="0.25">
      <c r="A183" s="19" t="s">
        <v>23</v>
      </c>
      <c r="B183" s="2">
        <v>43900</v>
      </c>
      <c r="C183" s="1">
        <v>0</v>
      </c>
      <c r="D183" s="39">
        <v>0</v>
      </c>
      <c r="E183" s="1"/>
      <c r="F183" s="39">
        <f t="shared" si="5"/>
        <v>0</v>
      </c>
      <c r="G183" s="395"/>
      <c r="H183" s="395"/>
      <c r="J183" s="42"/>
    </row>
    <row r="184" spans="1:10" s="393" customFormat="1" x14ac:dyDescent="0.25">
      <c r="A184" s="19" t="s">
        <v>19</v>
      </c>
      <c r="B184" s="2">
        <v>43900</v>
      </c>
      <c r="C184" s="1">
        <v>0</v>
      </c>
      <c r="D184" s="39">
        <v>0</v>
      </c>
      <c r="E184" s="1"/>
      <c r="F184" s="39">
        <f t="shared" si="5"/>
        <v>0</v>
      </c>
      <c r="G184" s="395"/>
      <c r="H184" s="395"/>
      <c r="J184" s="42"/>
    </row>
    <row r="185" spans="1:10" s="393" customFormat="1" x14ac:dyDescent="0.25">
      <c r="A185" s="19" t="s">
        <v>18</v>
      </c>
      <c r="B185" s="2">
        <v>43900</v>
      </c>
      <c r="C185" s="1">
        <v>0</v>
      </c>
      <c r="D185" s="39">
        <v>1</v>
      </c>
      <c r="E185" s="1"/>
      <c r="F185" s="39">
        <f t="shared" si="5"/>
        <v>0</v>
      </c>
      <c r="G185" s="395"/>
      <c r="H185" s="395"/>
      <c r="J185" s="42"/>
    </row>
    <row r="186" spans="1:10" s="393" customFormat="1" x14ac:dyDescent="0.25">
      <c r="A186" s="19" t="s">
        <v>34</v>
      </c>
      <c r="B186" s="2">
        <v>43900</v>
      </c>
      <c r="C186" s="1">
        <v>0</v>
      </c>
      <c r="D186" s="39">
        <v>0</v>
      </c>
      <c r="E186" s="1"/>
      <c r="F186" s="39">
        <f t="shared" si="5"/>
        <v>0</v>
      </c>
      <c r="G186" s="395"/>
      <c r="H186" s="395"/>
      <c r="J186" s="42"/>
    </row>
    <row r="187" spans="1:10" s="393" customFormat="1" x14ac:dyDescent="0.25">
      <c r="A187" s="19" t="s">
        <v>35</v>
      </c>
      <c r="B187" s="2">
        <v>43900</v>
      </c>
      <c r="C187" s="1">
        <v>0</v>
      </c>
      <c r="D187" s="39">
        <v>0</v>
      </c>
      <c r="E187" s="1"/>
      <c r="F187" s="39">
        <f t="shared" si="5"/>
        <v>0</v>
      </c>
      <c r="G187" s="395"/>
      <c r="H187" s="395"/>
      <c r="J187" s="42"/>
    </row>
    <row r="188" spans="1:10" s="393" customFormat="1" x14ac:dyDescent="0.25">
      <c r="A188" s="19" t="s">
        <v>36</v>
      </c>
      <c r="B188" s="2">
        <v>43900</v>
      </c>
      <c r="C188" s="1">
        <v>0</v>
      </c>
      <c r="D188" s="39">
        <v>1</v>
      </c>
      <c r="E188" s="1"/>
      <c r="F188" s="39">
        <f t="shared" si="5"/>
        <v>0</v>
      </c>
      <c r="G188" s="395"/>
      <c r="H188" s="395"/>
      <c r="J188" s="42"/>
    </row>
    <row r="189" spans="1:10" s="393" customFormat="1" x14ac:dyDescent="0.25">
      <c r="A189" s="19" t="s">
        <v>37</v>
      </c>
      <c r="B189" s="2">
        <v>43900</v>
      </c>
      <c r="C189" s="1">
        <v>0</v>
      </c>
      <c r="D189" s="39">
        <v>0</v>
      </c>
      <c r="E189" s="1"/>
      <c r="F189" s="39">
        <f t="shared" si="5"/>
        <v>0</v>
      </c>
      <c r="G189" s="395"/>
      <c r="H189" s="395"/>
      <c r="J189" s="42"/>
    </row>
    <row r="190" spans="1:10" s="393" customFormat="1" x14ac:dyDescent="0.25">
      <c r="A190" s="19" t="s">
        <v>22</v>
      </c>
      <c r="B190" s="2">
        <v>43900</v>
      </c>
      <c r="C190" s="1">
        <v>0</v>
      </c>
      <c r="D190" s="39">
        <v>0</v>
      </c>
      <c r="E190" s="1"/>
      <c r="F190" s="39">
        <f t="shared" si="5"/>
        <v>0</v>
      </c>
      <c r="G190" s="395"/>
      <c r="H190" s="395"/>
      <c r="J190" s="42"/>
    </row>
    <row r="191" spans="1:10" s="393" customFormat="1" x14ac:dyDescent="0.25">
      <c r="A191" s="19" t="s">
        <v>38</v>
      </c>
      <c r="B191" s="2">
        <v>43900</v>
      </c>
      <c r="C191" s="1">
        <v>0</v>
      </c>
      <c r="D191" s="39">
        <v>0</v>
      </c>
      <c r="E191" s="1"/>
      <c r="F191" s="39">
        <f t="shared" si="5"/>
        <v>0</v>
      </c>
      <c r="G191" s="395"/>
      <c r="H191" s="395"/>
      <c r="J191" s="42"/>
    </row>
    <row r="192" spans="1:10" s="393" customFormat="1" x14ac:dyDescent="0.25">
      <c r="A192" s="19" t="s">
        <v>39</v>
      </c>
      <c r="B192" s="2">
        <v>43900</v>
      </c>
      <c r="C192" s="1">
        <v>0</v>
      </c>
      <c r="D192" s="39">
        <v>0</v>
      </c>
      <c r="E192" s="1"/>
      <c r="F192" s="39">
        <f t="shared" si="5"/>
        <v>0</v>
      </c>
      <c r="G192" s="395"/>
      <c r="H192" s="395"/>
      <c r="J192" s="42"/>
    </row>
    <row r="193" spans="1:10" s="393" customFormat="1" x14ac:dyDescent="0.25">
      <c r="A193" s="19" t="s">
        <v>40</v>
      </c>
      <c r="B193" s="2">
        <v>43900</v>
      </c>
      <c r="C193" s="1">
        <v>0</v>
      </c>
      <c r="D193" s="39">
        <v>0</v>
      </c>
      <c r="E193" s="1"/>
      <c r="F193" s="39">
        <f t="shared" si="5"/>
        <v>0</v>
      </c>
      <c r="G193" s="395"/>
      <c r="H193" s="395"/>
      <c r="J193" s="42"/>
    </row>
    <row r="194" spans="1:10" s="393" customFormat="1" x14ac:dyDescent="0.25">
      <c r="A194" s="394" t="s">
        <v>16</v>
      </c>
      <c r="B194" s="2">
        <v>43901</v>
      </c>
      <c r="C194" s="1">
        <v>1</v>
      </c>
      <c r="D194" s="39">
        <v>4</v>
      </c>
      <c r="E194" s="1"/>
      <c r="F194" s="39">
        <f>E194+F170</f>
        <v>0</v>
      </c>
      <c r="G194" s="395"/>
      <c r="H194" s="395"/>
      <c r="J194" s="42"/>
    </row>
    <row r="195" spans="1:10" s="393" customFormat="1" x14ac:dyDescent="0.25">
      <c r="A195" s="19" t="s">
        <v>28</v>
      </c>
      <c r="B195" s="2">
        <v>43901</v>
      </c>
      <c r="C195" s="1">
        <v>0</v>
      </c>
      <c r="D195" s="39">
        <v>0</v>
      </c>
      <c r="E195" s="1"/>
      <c r="F195" s="39">
        <f t="shared" ref="F195:F217" si="6">E195+F171</f>
        <v>0</v>
      </c>
      <c r="G195" s="395"/>
      <c r="H195" s="395"/>
      <c r="J195" s="42"/>
    </row>
    <row r="196" spans="1:10" s="393" customFormat="1" x14ac:dyDescent="0.25">
      <c r="A196" s="19" t="s">
        <v>15</v>
      </c>
      <c r="B196" s="2">
        <v>43901</v>
      </c>
      <c r="C196" s="1">
        <v>0</v>
      </c>
      <c r="D196" s="39">
        <v>2</v>
      </c>
      <c r="E196" s="1"/>
      <c r="F196" s="39">
        <f t="shared" si="6"/>
        <v>0</v>
      </c>
      <c r="G196" s="395"/>
      <c r="H196" s="395"/>
      <c r="J196" s="42"/>
    </row>
    <row r="197" spans="1:10" s="393" customFormat="1" x14ac:dyDescent="0.25">
      <c r="A197" s="19" t="s">
        <v>29</v>
      </c>
      <c r="B197" s="2">
        <v>43901</v>
      </c>
      <c r="C197" s="1">
        <v>0</v>
      </c>
      <c r="D197" s="39">
        <v>0</v>
      </c>
      <c r="E197" s="1"/>
      <c r="F197" s="39">
        <f t="shared" si="6"/>
        <v>0</v>
      </c>
      <c r="G197" s="395"/>
      <c r="H197" s="395"/>
      <c r="J197" s="42"/>
    </row>
    <row r="198" spans="1:10" s="393" customFormat="1" x14ac:dyDescent="0.25">
      <c r="A198" s="19" t="s">
        <v>43</v>
      </c>
      <c r="B198" s="2">
        <v>43901</v>
      </c>
      <c r="C198" s="1">
        <v>1</v>
      </c>
      <c r="D198" s="39">
        <v>12</v>
      </c>
      <c r="E198" s="1"/>
      <c r="F198" s="39">
        <f t="shared" si="6"/>
        <v>1</v>
      </c>
      <c r="G198" s="395"/>
      <c r="H198" s="395"/>
      <c r="J198" s="42"/>
    </row>
    <row r="199" spans="1:10" s="393" customFormat="1" x14ac:dyDescent="0.25">
      <c r="A199" s="19" t="s">
        <v>20</v>
      </c>
      <c r="B199" s="2">
        <v>43901</v>
      </c>
      <c r="C199" s="1">
        <v>0</v>
      </c>
      <c r="D199" s="39">
        <v>1</v>
      </c>
      <c r="E199" s="1"/>
      <c r="F199" s="39">
        <f t="shared" si="6"/>
        <v>0</v>
      </c>
      <c r="G199" s="395"/>
      <c r="H199" s="395"/>
      <c r="J199" s="42"/>
    </row>
    <row r="200" spans="1:10" s="393" customFormat="1" x14ac:dyDescent="0.25">
      <c r="A200" s="19" t="s">
        <v>30</v>
      </c>
      <c r="B200" s="2">
        <v>43901</v>
      </c>
      <c r="C200" s="1">
        <v>0</v>
      </c>
      <c r="D200" s="39">
        <v>0</v>
      </c>
      <c r="E200" s="1"/>
      <c r="F200" s="39">
        <f t="shared" si="6"/>
        <v>0</v>
      </c>
      <c r="G200" s="395"/>
      <c r="H200" s="395"/>
      <c r="J200" s="42"/>
    </row>
    <row r="201" spans="1:10" x14ac:dyDescent="0.25">
      <c r="A201" s="19" t="s">
        <v>31</v>
      </c>
      <c r="B201" s="2">
        <v>43901</v>
      </c>
      <c r="C201" s="1">
        <v>0</v>
      </c>
      <c r="D201" s="39">
        <v>0</v>
      </c>
      <c r="F201" s="39">
        <f t="shared" si="6"/>
        <v>0</v>
      </c>
    </row>
    <row r="202" spans="1:10" s="393" customFormat="1" x14ac:dyDescent="0.25">
      <c r="A202" s="19" t="s">
        <v>41</v>
      </c>
      <c r="B202" s="2">
        <v>43901</v>
      </c>
      <c r="C202" s="1">
        <v>0</v>
      </c>
      <c r="D202" s="39">
        <v>0</v>
      </c>
      <c r="E202" s="1"/>
      <c r="F202" s="39">
        <f t="shared" si="6"/>
        <v>0</v>
      </c>
      <c r="G202" s="395"/>
      <c r="H202" s="395"/>
      <c r="J202" s="42"/>
    </row>
    <row r="203" spans="1:10" s="393" customFormat="1" x14ac:dyDescent="0.25">
      <c r="A203" s="19" t="s">
        <v>32</v>
      </c>
      <c r="B203" s="2">
        <v>43901</v>
      </c>
      <c r="C203" s="1">
        <v>0</v>
      </c>
      <c r="D203" s="39">
        <v>0</v>
      </c>
      <c r="E203" s="1"/>
      <c r="F203" s="39">
        <f t="shared" si="6"/>
        <v>0</v>
      </c>
      <c r="G203" s="395"/>
      <c r="H203" s="395"/>
      <c r="J203" s="42"/>
    </row>
    <row r="204" spans="1:10" s="393" customFormat="1" x14ac:dyDescent="0.25">
      <c r="A204" s="19" t="s">
        <v>33</v>
      </c>
      <c r="B204" s="2">
        <v>43901</v>
      </c>
      <c r="C204" s="1">
        <v>0</v>
      </c>
      <c r="D204" s="39">
        <v>0</v>
      </c>
      <c r="E204" s="1"/>
      <c r="F204" s="39">
        <f t="shared" si="6"/>
        <v>0</v>
      </c>
      <c r="G204" s="395"/>
      <c r="H204" s="395"/>
      <c r="J204" s="42"/>
    </row>
    <row r="205" spans="1:10" s="393" customFormat="1" x14ac:dyDescent="0.25">
      <c r="A205" s="19" t="s">
        <v>21</v>
      </c>
      <c r="B205" s="2">
        <v>43901</v>
      </c>
      <c r="C205" s="1">
        <v>0</v>
      </c>
      <c r="D205" s="39">
        <v>0</v>
      </c>
      <c r="E205" s="1"/>
      <c r="F205" s="39">
        <f t="shared" si="6"/>
        <v>0</v>
      </c>
      <c r="G205" s="395"/>
      <c r="H205" s="395"/>
      <c r="J205" s="42"/>
    </row>
    <row r="206" spans="1:10" s="393" customFormat="1" x14ac:dyDescent="0.25">
      <c r="A206" s="19" t="s">
        <v>17</v>
      </c>
      <c r="B206" s="2">
        <v>43901</v>
      </c>
      <c r="C206" s="1">
        <v>0</v>
      </c>
      <c r="D206" s="39">
        <v>0</v>
      </c>
      <c r="E206" s="1"/>
      <c r="F206" s="39">
        <f t="shared" si="6"/>
        <v>0</v>
      </c>
      <c r="G206" s="395"/>
      <c r="H206" s="395"/>
      <c r="J206" s="42"/>
    </row>
    <row r="207" spans="1:10" s="393" customFormat="1" x14ac:dyDescent="0.25">
      <c r="A207" s="19" t="s">
        <v>23</v>
      </c>
      <c r="B207" s="2">
        <v>43901</v>
      </c>
      <c r="C207" s="1">
        <v>0</v>
      </c>
      <c r="D207" s="39">
        <v>0</v>
      </c>
      <c r="E207" s="1"/>
      <c r="F207" s="39">
        <f t="shared" si="6"/>
        <v>0</v>
      </c>
      <c r="G207" s="395"/>
      <c r="H207" s="395"/>
      <c r="J207" s="42"/>
    </row>
    <row r="208" spans="1:10" s="393" customFormat="1" x14ac:dyDescent="0.25">
      <c r="A208" s="19" t="s">
        <v>19</v>
      </c>
      <c r="B208" s="2">
        <v>43901</v>
      </c>
      <c r="C208" s="1">
        <v>0</v>
      </c>
      <c r="D208" s="39">
        <v>0</v>
      </c>
      <c r="E208" s="1"/>
      <c r="F208" s="39">
        <f t="shared" si="6"/>
        <v>0</v>
      </c>
      <c r="G208" s="395"/>
      <c r="H208" s="395"/>
      <c r="J208" s="42"/>
    </row>
    <row r="209" spans="1:10" s="393" customFormat="1" x14ac:dyDescent="0.25">
      <c r="A209" s="19" t="s">
        <v>18</v>
      </c>
      <c r="B209" s="2">
        <v>43901</v>
      </c>
      <c r="C209" s="1">
        <v>0</v>
      </c>
      <c r="D209" s="39">
        <v>1</v>
      </c>
      <c r="E209" s="1"/>
      <c r="F209" s="39">
        <f t="shared" si="6"/>
        <v>0</v>
      </c>
      <c r="G209" s="395"/>
      <c r="H209" s="395"/>
      <c r="J209" s="42"/>
    </row>
    <row r="210" spans="1:10" s="393" customFormat="1" x14ac:dyDescent="0.25">
      <c r="A210" s="19" t="s">
        <v>34</v>
      </c>
      <c r="B210" s="2">
        <v>43901</v>
      </c>
      <c r="C210" s="1">
        <v>0</v>
      </c>
      <c r="D210" s="39">
        <v>0</v>
      </c>
      <c r="E210" s="1"/>
      <c r="F210" s="39">
        <f t="shared" si="6"/>
        <v>0</v>
      </c>
      <c r="G210" s="395"/>
      <c r="H210" s="395"/>
      <c r="J210" s="42"/>
    </row>
    <row r="211" spans="1:10" s="393" customFormat="1" x14ac:dyDescent="0.25">
      <c r="A211" s="19" t="s">
        <v>35</v>
      </c>
      <c r="B211" s="2">
        <v>43901</v>
      </c>
      <c r="C211" s="1">
        <v>0</v>
      </c>
      <c r="D211" s="39">
        <v>0</v>
      </c>
      <c r="E211" s="1"/>
      <c r="F211" s="39">
        <f t="shared" si="6"/>
        <v>0</v>
      </c>
      <c r="G211" s="395"/>
      <c r="H211" s="395"/>
      <c r="J211" s="42"/>
    </row>
    <row r="212" spans="1:10" s="393" customFormat="1" x14ac:dyDescent="0.25">
      <c r="A212" s="19" t="s">
        <v>36</v>
      </c>
      <c r="B212" s="2">
        <v>43901</v>
      </c>
      <c r="C212" s="1">
        <v>0</v>
      </c>
      <c r="D212" s="39">
        <v>1</v>
      </c>
      <c r="E212" s="1"/>
      <c r="F212" s="39">
        <f t="shared" si="6"/>
        <v>0</v>
      </c>
      <c r="G212" s="395"/>
      <c r="H212" s="395"/>
      <c r="J212" s="42"/>
    </row>
    <row r="213" spans="1:10" s="393" customFormat="1" x14ac:dyDescent="0.25">
      <c r="A213" s="19" t="s">
        <v>37</v>
      </c>
      <c r="B213" s="2">
        <v>43901</v>
      </c>
      <c r="C213" s="1">
        <v>0</v>
      </c>
      <c r="D213" s="39">
        <v>0</v>
      </c>
      <c r="E213" s="1"/>
      <c r="F213" s="39">
        <f t="shared" si="6"/>
        <v>0</v>
      </c>
      <c r="G213" s="395"/>
      <c r="H213" s="395"/>
      <c r="J213" s="42"/>
    </row>
    <row r="214" spans="1:10" s="393" customFormat="1" x14ac:dyDescent="0.25">
      <c r="A214" s="19" t="s">
        <v>22</v>
      </c>
      <c r="B214" s="2">
        <v>43901</v>
      </c>
      <c r="C214" s="1">
        <v>0</v>
      </c>
      <c r="D214" s="39">
        <v>0</v>
      </c>
      <c r="E214" s="1"/>
      <c r="F214" s="39">
        <f t="shared" si="6"/>
        <v>0</v>
      </c>
      <c r="G214" s="395"/>
      <c r="H214" s="395"/>
      <c r="J214" s="42"/>
    </row>
    <row r="215" spans="1:10" s="393" customFormat="1" x14ac:dyDescent="0.25">
      <c r="A215" s="19" t="s">
        <v>38</v>
      </c>
      <c r="B215" s="2">
        <v>43901</v>
      </c>
      <c r="C215" s="1">
        <v>0</v>
      </c>
      <c r="D215" s="39">
        <v>0</v>
      </c>
      <c r="E215" s="1"/>
      <c r="F215" s="39">
        <f t="shared" si="6"/>
        <v>0</v>
      </c>
      <c r="G215" s="395"/>
      <c r="H215" s="395"/>
      <c r="J215" s="42"/>
    </row>
    <row r="216" spans="1:10" s="393" customFormat="1" x14ac:dyDescent="0.25">
      <c r="A216" s="19" t="s">
        <v>39</v>
      </c>
      <c r="B216" s="2">
        <v>43901</v>
      </c>
      <c r="C216" s="1">
        <v>0</v>
      </c>
      <c r="D216" s="39">
        <v>0</v>
      </c>
      <c r="E216" s="1"/>
      <c r="F216" s="39">
        <f t="shared" si="6"/>
        <v>0</v>
      </c>
      <c r="G216" s="395"/>
      <c r="H216" s="395"/>
      <c r="J216" s="42"/>
    </row>
    <row r="217" spans="1:10" s="393" customFormat="1" x14ac:dyDescent="0.25">
      <c r="A217" s="19" t="s">
        <v>40</v>
      </c>
      <c r="B217" s="2">
        <v>43901</v>
      </c>
      <c r="C217" s="1">
        <v>0</v>
      </c>
      <c r="D217" s="39">
        <v>0</v>
      </c>
      <c r="E217" s="1"/>
      <c r="F217" s="39">
        <f t="shared" si="6"/>
        <v>0</v>
      </c>
      <c r="G217" s="395"/>
      <c r="H217" s="395"/>
      <c r="J217" s="42"/>
    </row>
    <row r="218" spans="1:10" s="393" customFormat="1" x14ac:dyDescent="0.25">
      <c r="A218" s="394" t="s">
        <v>16</v>
      </c>
      <c r="B218" s="2">
        <v>43902</v>
      </c>
      <c r="C218" s="1">
        <v>4</v>
      </c>
      <c r="D218" s="39">
        <v>8</v>
      </c>
      <c r="E218" s="1"/>
      <c r="F218" s="39">
        <f>E218+F194</f>
        <v>0</v>
      </c>
      <c r="G218" s="395"/>
      <c r="H218" s="395"/>
      <c r="J218" s="42"/>
    </row>
    <row r="219" spans="1:10" s="393" customFormat="1" x14ac:dyDescent="0.25">
      <c r="A219" s="19" t="s">
        <v>28</v>
      </c>
      <c r="B219" s="2">
        <v>43902</v>
      </c>
      <c r="C219" s="1">
        <v>0</v>
      </c>
      <c r="D219" s="39">
        <v>0</v>
      </c>
      <c r="E219" s="1"/>
      <c r="F219" s="39">
        <f t="shared" ref="F219:F241" si="7">E219+F195</f>
        <v>0</v>
      </c>
      <c r="G219" s="395"/>
      <c r="H219" s="395"/>
      <c r="J219" s="42"/>
    </row>
    <row r="220" spans="1:10" s="393" customFormat="1" x14ac:dyDescent="0.25">
      <c r="A220" s="19" t="s">
        <v>15</v>
      </c>
      <c r="B220" s="2">
        <v>43902</v>
      </c>
      <c r="C220" s="1">
        <v>2</v>
      </c>
      <c r="D220" s="39">
        <v>4</v>
      </c>
      <c r="E220" s="1"/>
      <c r="F220" s="39">
        <f t="shared" si="7"/>
        <v>0</v>
      </c>
      <c r="G220" s="395"/>
      <c r="H220" s="395"/>
      <c r="J220" s="42"/>
    </row>
    <row r="221" spans="1:10" s="393" customFormat="1" x14ac:dyDescent="0.25">
      <c r="A221" s="19" t="s">
        <v>29</v>
      </c>
      <c r="B221" s="2">
        <v>43902</v>
      </c>
      <c r="C221" s="1">
        <v>0</v>
      </c>
      <c r="D221" s="39">
        <v>0</v>
      </c>
      <c r="E221" s="1"/>
      <c r="F221" s="39">
        <f t="shared" si="7"/>
        <v>0</v>
      </c>
      <c r="G221" s="395"/>
      <c r="H221" s="395"/>
      <c r="J221" s="42"/>
    </row>
    <row r="222" spans="1:10" s="393" customFormat="1" x14ac:dyDescent="0.25">
      <c r="A222" s="19" t="s">
        <v>43</v>
      </c>
      <c r="B222" s="2">
        <v>43902</v>
      </c>
      <c r="C222" s="1">
        <v>2</v>
      </c>
      <c r="D222" s="39">
        <v>14</v>
      </c>
      <c r="E222" s="1"/>
      <c r="F222" s="39">
        <f t="shared" si="7"/>
        <v>1</v>
      </c>
      <c r="G222" s="395"/>
      <c r="H222" s="395"/>
      <c r="J222" s="42"/>
    </row>
    <row r="223" spans="1:10" s="393" customFormat="1" x14ac:dyDescent="0.25">
      <c r="A223" s="19" t="s">
        <v>20</v>
      </c>
      <c r="B223" s="2">
        <v>43902</v>
      </c>
      <c r="C223" s="1">
        <v>1</v>
      </c>
      <c r="D223" s="39">
        <v>2</v>
      </c>
      <c r="E223" s="1"/>
      <c r="F223" s="39">
        <f t="shared" si="7"/>
        <v>0</v>
      </c>
      <c r="G223" s="395"/>
      <c r="H223" s="395"/>
      <c r="J223" s="42"/>
    </row>
    <row r="224" spans="1:10" s="393" customFormat="1" x14ac:dyDescent="0.25">
      <c r="A224" s="19" t="s">
        <v>30</v>
      </c>
      <c r="B224" s="2">
        <v>43902</v>
      </c>
      <c r="C224" s="1">
        <v>0</v>
      </c>
      <c r="D224" s="39">
        <v>0</v>
      </c>
      <c r="E224" s="1"/>
      <c r="F224" s="39">
        <f t="shared" si="7"/>
        <v>0</v>
      </c>
      <c r="G224" s="395"/>
      <c r="H224" s="395"/>
      <c r="J224" s="42"/>
    </row>
    <row r="225" spans="1:10" x14ac:dyDescent="0.25">
      <c r="A225" s="19" t="s">
        <v>31</v>
      </c>
      <c r="B225" s="2">
        <v>43902</v>
      </c>
      <c r="C225" s="1">
        <v>1</v>
      </c>
      <c r="D225" s="39">
        <v>1</v>
      </c>
      <c r="F225" s="39">
        <f t="shared" si="7"/>
        <v>0</v>
      </c>
    </row>
    <row r="226" spans="1:10" s="393" customFormat="1" x14ac:dyDescent="0.25">
      <c r="A226" s="19" t="s">
        <v>41</v>
      </c>
      <c r="B226" s="2">
        <v>43902</v>
      </c>
      <c r="C226" s="1">
        <v>0</v>
      </c>
      <c r="D226" s="39">
        <v>0</v>
      </c>
      <c r="E226" s="1"/>
      <c r="F226" s="39">
        <f t="shared" si="7"/>
        <v>0</v>
      </c>
      <c r="G226" s="395"/>
      <c r="H226" s="395"/>
      <c r="J226" s="42"/>
    </row>
    <row r="227" spans="1:10" s="393" customFormat="1" x14ac:dyDescent="0.25">
      <c r="A227" s="19" t="s">
        <v>32</v>
      </c>
      <c r="B227" s="2">
        <v>43902</v>
      </c>
      <c r="C227" s="1">
        <v>0</v>
      </c>
      <c r="D227" s="39">
        <v>0</v>
      </c>
      <c r="E227" s="1"/>
      <c r="F227" s="39">
        <f t="shared" si="7"/>
        <v>0</v>
      </c>
      <c r="G227" s="395"/>
      <c r="H227" s="395"/>
      <c r="J227" s="42"/>
    </row>
    <row r="228" spans="1:10" s="393" customFormat="1" x14ac:dyDescent="0.25">
      <c r="A228" s="19" t="s">
        <v>33</v>
      </c>
      <c r="B228" s="2">
        <v>43902</v>
      </c>
      <c r="C228" s="1">
        <v>0</v>
      </c>
      <c r="D228" s="39">
        <v>0</v>
      </c>
      <c r="E228" s="1"/>
      <c r="F228" s="39">
        <f t="shared" si="7"/>
        <v>0</v>
      </c>
      <c r="G228" s="395"/>
      <c r="H228" s="395"/>
      <c r="J228" s="42"/>
    </row>
    <row r="229" spans="1:10" s="393" customFormat="1" x14ac:dyDescent="0.25">
      <c r="A229" s="19" t="s">
        <v>21</v>
      </c>
      <c r="B229" s="2">
        <v>43902</v>
      </c>
      <c r="C229" s="1">
        <v>0</v>
      </c>
      <c r="D229" s="39">
        <v>0</v>
      </c>
      <c r="E229" s="1"/>
      <c r="F229" s="39">
        <f t="shared" si="7"/>
        <v>0</v>
      </c>
      <c r="G229" s="395"/>
      <c r="H229" s="395"/>
      <c r="J229" s="42"/>
    </row>
    <row r="230" spans="1:10" s="393" customFormat="1" x14ac:dyDescent="0.25">
      <c r="A230" s="19" t="s">
        <v>17</v>
      </c>
      <c r="B230" s="2">
        <v>43902</v>
      </c>
      <c r="C230" s="1">
        <v>0</v>
      </c>
      <c r="D230" s="39">
        <v>0</v>
      </c>
      <c r="E230" s="1"/>
      <c r="F230" s="39">
        <f t="shared" si="7"/>
        <v>0</v>
      </c>
      <c r="G230" s="395"/>
      <c r="H230" s="395"/>
      <c r="J230" s="42"/>
    </row>
    <row r="231" spans="1:10" s="393" customFormat="1" x14ac:dyDescent="0.25">
      <c r="A231" s="19" t="s">
        <v>23</v>
      </c>
      <c r="B231" s="2">
        <v>43902</v>
      </c>
      <c r="C231" s="1">
        <v>0</v>
      </c>
      <c r="D231" s="39">
        <v>0</v>
      </c>
      <c r="E231" s="1"/>
      <c r="F231" s="39">
        <f t="shared" si="7"/>
        <v>0</v>
      </c>
      <c r="G231" s="395"/>
      <c r="H231" s="395"/>
      <c r="J231" s="42"/>
    </row>
    <row r="232" spans="1:10" s="393" customFormat="1" x14ac:dyDescent="0.25">
      <c r="A232" s="19" t="s">
        <v>19</v>
      </c>
      <c r="B232" s="2">
        <v>43902</v>
      </c>
      <c r="C232" s="1">
        <v>0</v>
      </c>
      <c r="D232" s="39">
        <v>0</v>
      </c>
      <c r="E232" s="1"/>
      <c r="F232" s="39">
        <f t="shared" si="7"/>
        <v>0</v>
      </c>
      <c r="G232" s="395"/>
      <c r="H232" s="395"/>
      <c r="J232" s="42"/>
    </row>
    <row r="233" spans="1:10" s="393" customFormat="1" x14ac:dyDescent="0.25">
      <c r="A233" s="19" t="s">
        <v>18</v>
      </c>
      <c r="B233" s="2">
        <v>43902</v>
      </c>
      <c r="C233" s="1">
        <v>0</v>
      </c>
      <c r="D233" s="39">
        <v>1</v>
      </c>
      <c r="E233" s="1"/>
      <c r="F233" s="39">
        <f t="shared" si="7"/>
        <v>0</v>
      </c>
      <c r="G233" s="395"/>
      <c r="H233" s="395"/>
      <c r="J233" s="42"/>
    </row>
    <row r="234" spans="1:10" s="393" customFormat="1" x14ac:dyDescent="0.25">
      <c r="A234" s="19" t="s">
        <v>34</v>
      </c>
      <c r="B234" s="2">
        <v>43902</v>
      </c>
      <c r="C234" s="1">
        <v>0</v>
      </c>
      <c r="D234" s="39">
        <v>0</v>
      </c>
      <c r="E234" s="1"/>
      <c r="F234" s="39">
        <f t="shared" si="7"/>
        <v>0</v>
      </c>
      <c r="G234" s="395"/>
      <c r="H234" s="395"/>
      <c r="J234" s="42"/>
    </row>
    <row r="235" spans="1:10" s="393" customFormat="1" x14ac:dyDescent="0.25">
      <c r="A235" s="19" t="s">
        <v>35</v>
      </c>
      <c r="B235" s="2">
        <v>43902</v>
      </c>
      <c r="C235" s="1">
        <v>0</v>
      </c>
      <c r="D235" s="39">
        <v>0</v>
      </c>
      <c r="E235" s="1"/>
      <c r="F235" s="39">
        <f t="shared" si="7"/>
        <v>0</v>
      </c>
      <c r="G235" s="395"/>
      <c r="H235" s="395"/>
      <c r="J235" s="42"/>
    </row>
    <row r="236" spans="1:10" s="393" customFormat="1" x14ac:dyDescent="0.25">
      <c r="A236" s="19" t="s">
        <v>36</v>
      </c>
      <c r="B236" s="2">
        <v>43902</v>
      </c>
      <c r="C236" s="1">
        <v>0</v>
      </c>
      <c r="D236" s="39">
        <v>1</v>
      </c>
      <c r="E236" s="1"/>
      <c r="F236" s="39">
        <f t="shared" si="7"/>
        <v>0</v>
      </c>
      <c r="G236" s="395"/>
      <c r="H236" s="395"/>
      <c r="J236" s="42"/>
    </row>
    <row r="237" spans="1:10" s="393" customFormat="1" x14ac:dyDescent="0.25">
      <c r="A237" s="19" t="s">
        <v>37</v>
      </c>
      <c r="B237" s="2">
        <v>43902</v>
      </c>
      <c r="C237" s="1">
        <v>0</v>
      </c>
      <c r="D237" s="39">
        <v>0</v>
      </c>
      <c r="E237" s="1"/>
      <c r="F237" s="39">
        <f t="shared" si="7"/>
        <v>0</v>
      </c>
      <c r="G237" s="395"/>
      <c r="H237" s="395"/>
      <c r="J237" s="42"/>
    </row>
    <row r="238" spans="1:10" s="393" customFormat="1" x14ac:dyDescent="0.25">
      <c r="A238" s="19" t="s">
        <v>22</v>
      </c>
      <c r="B238" s="2">
        <v>43902</v>
      </c>
      <c r="C238" s="1">
        <v>0</v>
      </c>
      <c r="D238" s="39">
        <v>0</v>
      </c>
      <c r="E238" s="1"/>
      <c r="F238" s="39">
        <f t="shared" si="7"/>
        <v>0</v>
      </c>
      <c r="G238" s="395"/>
      <c r="H238" s="395"/>
      <c r="J238" s="42"/>
    </row>
    <row r="239" spans="1:10" s="393" customFormat="1" x14ac:dyDescent="0.25">
      <c r="A239" s="19" t="s">
        <v>38</v>
      </c>
      <c r="B239" s="2">
        <v>43902</v>
      </c>
      <c r="C239" s="1">
        <v>0</v>
      </c>
      <c r="D239" s="39">
        <v>0</v>
      </c>
      <c r="E239" s="1"/>
      <c r="F239" s="39">
        <f t="shared" si="7"/>
        <v>0</v>
      </c>
      <c r="G239" s="395"/>
      <c r="H239" s="395"/>
      <c r="J239" s="42"/>
    </row>
    <row r="240" spans="1:10" s="393" customFormat="1" x14ac:dyDescent="0.25">
      <c r="A240" s="19" t="s">
        <v>39</v>
      </c>
      <c r="B240" s="2">
        <v>43902</v>
      </c>
      <c r="C240" s="1">
        <v>0</v>
      </c>
      <c r="D240" s="39">
        <v>0</v>
      </c>
      <c r="E240" s="1"/>
      <c r="F240" s="39">
        <f t="shared" si="7"/>
        <v>0</v>
      </c>
      <c r="G240" s="395"/>
      <c r="H240" s="395"/>
      <c r="J240" s="42"/>
    </row>
    <row r="241" spans="1:10" s="393" customFormat="1" x14ac:dyDescent="0.25">
      <c r="A241" s="19" t="s">
        <v>40</v>
      </c>
      <c r="B241" s="2">
        <v>43902</v>
      </c>
      <c r="C241" s="1">
        <v>0</v>
      </c>
      <c r="D241" s="39">
        <v>0</v>
      </c>
      <c r="E241" s="1"/>
      <c r="F241" s="39">
        <f t="shared" si="7"/>
        <v>0</v>
      </c>
      <c r="G241" s="395"/>
      <c r="H241" s="395"/>
      <c r="J241" s="42"/>
    </row>
    <row r="242" spans="1:10" s="393" customFormat="1" x14ac:dyDescent="0.25">
      <c r="A242" s="394" t="s">
        <v>16</v>
      </c>
      <c r="B242" s="2">
        <v>43903</v>
      </c>
      <c r="C242" s="1">
        <v>1</v>
      </c>
      <c r="D242" s="39">
        <v>9</v>
      </c>
      <c r="E242" s="1"/>
      <c r="F242" s="39">
        <f>E242+F218</f>
        <v>0</v>
      </c>
      <c r="G242" s="395"/>
      <c r="H242" s="395"/>
      <c r="J242" s="42"/>
    </row>
    <row r="243" spans="1:10" s="393" customFormat="1" x14ac:dyDescent="0.25">
      <c r="A243" s="19" t="s">
        <v>28</v>
      </c>
      <c r="B243" s="2">
        <v>43903</v>
      </c>
      <c r="C243" s="1">
        <v>0</v>
      </c>
      <c r="D243" s="39">
        <v>0</v>
      </c>
      <c r="E243" s="1"/>
      <c r="F243" s="39">
        <f t="shared" ref="F243:F265" si="8">E243+F219</f>
        <v>0</v>
      </c>
      <c r="G243" s="395"/>
      <c r="H243" s="395"/>
      <c r="J243" s="42"/>
    </row>
    <row r="244" spans="1:10" s="393" customFormat="1" x14ac:dyDescent="0.25">
      <c r="A244" s="19" t="s">
        <v>15</v>
      </c>
      <c r="B244" s="2">
        <v>43903</v>
      </c>
      <c r="C244" s="1">
        <v>0</v>
      </c>
      <c r="D244" s="39">
        <v>4</v>
      </c>
      <c r="E244" s="1">
        <v>1</v>
      </c>
      <c r="F244" s="39">
        <f t="shared" si="8"/>
        <v>1</v>
      </c>
      <c r="G244" s="395"/>
      <c r="H244" s="395"/>
      <c r="J244" s="42"/>
    </row>
    <row r="245" spans="1:10" s="393" customFormat="1" x14ac:dyDescent="0.25">
      <c r="A245" s="19" t="s">
        <v>29</v>
      </c>
      <c r="B245" s="2">
        <v>43903</v>
      </c>
      <c r="C245" s="1">
        <v>0</v>
      </c>
      <c r="D245" s="39">
        <v>0</v>
      </c>
      <c r="E245" s="1"/>
      <c r="F245" s="39">
        <f t="shared" si="8"/>
        <v>0</v>
      </c>
      <c r="G245" s="395"/>
      <c r="H245" s="395"/>
      <c r="J245" s="42"/>
    </row>
    <row r="246" spans="1:10" s="393" customFormat="1" x14ac:dyDescent="0.25">
      <c r="A246" s="19" t="s">
        <v>43</v>
      </c>
      <c r="B246" s="2">
        <v>43903</v>
      </c>
      <c r="C246" s="1">
        <v>2</v>
      </c>
      <c r="D246" s="39">
        <v>16</v>
      </c>
      <c r="E246" s="1"/>
      <c r="F246" s="39">
        <f t="shared" si="8"/>
        <v>1</v>
      </c>
      <c r="G246" s="395"/>
      <c r="H246" s="395"/>
      <c r="J246" s="42"/>
    </row>
    <row r="247" spans="1:10" s="393" customFormat="1" x14ac:dyDescent="0.25">
      <c r="A247" s="19" t="s">
        <v>20</v>
      </c>
      <c r="B247" s="2">
        <v>43903</v>
      </c>
      <c r="C247" s="1">
        <v>0</v>
      </c>
      <c r="D247" s="39">
        <v>2</v>
      </c>
      <c r="E247" s="1"/>
      <c r="F247" s="39">
        <f t="shared" si="8"/>
        <v>0</v>
      </c>
      <c r="G247" s="395"/>
      <c r="H247" s="395"/>
      <c r="J247" s="42"/>
    </row>
    <row r="248" spans="1:10" s="393" customFormat="1" x14ac:dyDescent="0.25">
      <c r="A248" s="19" t="s">
        <v>30</v>
      </c>
      <c r="B248" s="2">
        <v>43903</v>
      </c>
      <c r="C248" s="1">
        <v>0</v>
      </c>
      <c r="D248" s="39">
        <v>0</v>
      </c>
      <c r="E248" s="1"/>
      <c r="F248" s="39">
        <f t="shared" si="8"/>
        <v>0</v>
      </c>
      <c r="G248" s="395"/>
      <c r="H248" s="395"/>
      <c r="J248" s="42"/>
    </row>
    <row r="249" spans="1:10" x14ac:dyDescent="0.25">
      <c r="A249" s="19" t="s">
        <v>31</v>
      </c>
      <c r="B249" s="2">
        <v>43903</v>
      </c>
      <c r="C249" s="1">
        <v>0</v>
      </c>
      <c r="D249" s="39">
        <v>1</v>
      </c>
      <c r="F249" s="39">
        <f t="shared" si="8"/>
        <v>0</v>
      </c>
    </row>
    <row r="250" spans="1:10" s="393" customFormat="1" x14ac:dyDescent="0.25">
      <c r="A250" s="19" t="s">
        <v>41</v>
      </c>
      <c r="B250" s="2">
        <v>43903</v>
      </c>
      <c r="C250" s="1">
        <v>0</v>
      </c>
      <c r="D250" s="39">
        <v>0</v>
      </c>
      <c r="E250" s="1"/>
      <c r="F250" s="39">
        <f t="shared" si="8"/>
        <v>0</v>
      </c>
      <c r="G250" s="395"/>
      <c r="H250" s="395"/>
      <c r="J250" s="42"/>
    </row>
    <row r="251" spans="1:10" s="393" customFormat="1" x14ac:dyDescent="0.25">
      <c r="A251" s="19" t="s">
        <v>32</v>
      </c>
      <c r="B251" s="2">
        <v>43903</v>
      </c>
      <c r="C251" s="1">
        <v>0</v>
      </c>
      <c r="D251" s="39">
        <v>0</v>
      </c>
      <c r="E251" s="1"/>
      <c r="F251" s="39">
        <f t="shared" si="8"/>
        <v>0</v>
      </c>
      <c r="G251" s="395"/>
      <c r="H251" s="395"/>
      <c r="J251" s="42"/>
    </row>
    <row r="252" spans="1:10" s="393" customFormat="1" x14ac:dyDescent="0.25">
      <c r="A252" s="19" t="s">
        <v>33</v>
      </c>
      <c r="B252" s="2">
        <v>43903</v>
      </c>
      <c r="C252" s="1">
        <v>0</v>
      </c>
      <c r="D252" s="39">
        <v>0</v>
      </c>
      <c r="E252" s="1"/>
      <c r="F252" s="39">
        <f t="shared" si="8"/>
        <v>0</v>
      </c>
      <c r="G252" s="395"/>
      <c r="H252" s="395"/>
      <c r="J252" s="42"/>
    </row>
    <row r="253" spans="1:10" s="393" customFormat="1" x14ac:dyDescent="0.25">
      <c r="A253" s="19" t="s">
        <v>21</v>
      </c>
      <c r="B253" s="2">
        <v>43903</v>
      </c>
      <c r="C253" s="1">
        <v>0</v>
      </c>
      <c r="D253" s="39">
        <v>0</v>
      </c>
      <c r="E253" s="1"/>
      <c r="F253" s="39">
        <f t="shared" si="8"/>
        <v>0</v>
      </c>
      <c r="G253" s="395"/>
      <c r="H253" s="395"/>
      <c r="J253" s="42"/>
    </row>
    <row r="254" spans="1:10" s="393" customFormat="1" x14ac:dyDescent="0.25">
      <c r="A254" s="19" t="s">
        <v>17</v>
      </c>
      <c r="B254" s="2">
        <v>43903</v>
      </c>
      <c r="C254" s="1">
        <v>0</v>
      </c>
      <c r="D254" s="39">
        <v>0</v>
      </c>
      <c r="E254" s="1"/>
      <c r="F254" s="39">
        <f t="shared" si="8"/>
        <v>0</v>
      </c>
      <c r="G254" s="395"/>
      <c r="H254" s="395"/>
      <c r="J254" s="42"/>
    </row>
    <row r="255" spans="1:10" s="393" customFormat="1" x14ac:dyDescent="0.25">
      <c r="A255" s="19" t="s">
        <v>23</v>
      </c>
      <c r="B255" s="2">
        <v>43903</v>
      </c>
      <c r="C255" s="1">
        <v>0</v>
      </c>
      <c r="D255" s="39">
        <v>0</v>
      </c>
      <c r="E255" s="1"/>
      <c r="F255" s="39">
        <f t="shared" si="8"/>
        <v>0</v>
      </c>
      <c r="G255" s="395"/>
      <c r="H255" s="395"/>
      <c r="J255" s="42"/>
    </row>
    <row r="256" spans="1:10" s="393" customFormat="1" x14ac:dyDescent="0.25">
      <c r="A256" s="19" t="s">
        <v>19</v>
      </c>
      <c r="B256" s="2">
        <v>43903</v>
      </c>
      <c r="C256" s="1">
        <v>0</v>
      </c>
      <c r="D256" s="39">
        <v>0</v>
      </c>
      <c r="E256" s="1"/>
      <c r="F256" s="39">
        <f t="shared" si="8"/>
        <v>0</v>
      </c>
      <c r="G256" s="395"/>
      <c r="H256" s="395"/>
      <c r="J256" s="42"/>
    </row>
    <row r="257" spans="1:10" s="393" customFormat="1" x14ac:dyDescent="0.25">
      <c r="A257" s="19" t="s">
        <v>18</v>
      </c>
      <c r="B257" s="2">
        <v>43903</v>
      </c>
      <c r="C257" s="1">
        <v>0</v>
      </c>
      <c r="D257" s="39">
        <v>1</v>
      </c>
      <c r="E257" s="1"/>
      <c r="F257" s="39">
        <f t="shared" si="8"/>
        <v>0</v>
      </c>
      <c r="G257" s="395"/>
      <c r="H257" s="395"/>
      <c r="J257" s="42"/>
    </row>
    <row r="258" spans="1:10" s="393" customFormat="1" x14ac:dyDescent="0.25">
      <c r="A258" s="19" t="s">
        <v>34</v>
      </c>
      <c r="B258" s="2">
        <v>43903</v>
      </c>
      <c r="C258" s="1">
        <v>0</v>
      </c>
      <c r="D258" s="39">
        <v>0</v>
      </c>
      <c r="E258" s="1"/>
      <c r="F258" s="39">
        <f t="shared" si="8"/>
        <v>0</v>
      </c>
      <c r="G258" s="395"/>
      <c r="H258" s="395"/>
      <c r="J258" s="42"/>
    </row>
    <row r="259" spans="1:10" s="393" customFormat="1" x14ac:dyDescent="0.25">
      <c r="A259" s="19" t="s">
        <v>35</v>
      </c>
      <c r="B259" s="2">
        <v>43903</v>
      </c>
      <c r="C259" s="1">
        <v>0</v>
      </c>
      <c r="D259" s="39">
        <v>0</v>
      </c>
      <c r="E259" s="1"/>
      <c r="F259" s="39">
        <f t="shared" si="8"/>
        <v>0</v>
      </c>
      <c r="G259" s="395"/>
      <c r="H259" s="395"/>
      <c r="J259" s="42"/>
    </row>
    <row r="260" spans="1:10" s="393" customFormat="1" x14ac:dyDescent="0.25">
      <c r="A260" s="19" t="s">
        <v>36</v>
      </c>
      <c r="B260" s="2">
        <v>43903</v>
      </c>
      <c r="C260" s="1">
        <v>0</v>
      </c>
      <c r="D260" s="39">
        <v>1</v>
      </c>
      <c r="E260" s="1"/>
      <c r="F260" s="39">
        <f t="shared" si="8"/>
        <v>0</v>
      </c>
      <c r="G260" s="395"/>
      <c r="H260" s="395"/>
      <c r="J260" s="42"/>
    </row>
    <row r="261" spans="1:10" s="393" customFormat="1" x14ac:dyDescent="0.25">
      <c r="A261" s="19" t="s">
        <v>37</v>
      </c>
      <c r="B261" s="2">
        <v>43903</v>
      </c>
      <c r="C261" s="1">
        <v>0</v>
      </c>
      <c r="D261" s="39">
        <v>0</v>
      </c>
      <c r="E261" s="1"/>
      <c r="F261" s="39">
        <f t="shared" si="8"/>
        <v>0</v>
      </c>
      <c r="G261" s="395"/>
      <c r="H261" s="395"/>
      <c r="J261" s="42"/>
    </row>
    <row r="262" spans="1:10" s="393" customFormat="1" x14ac:dyDescent="0.25">
      <c r="A262" s="19" t="s">
        <v>22</v>
      </c>
      <c r="B262" s="2">
        <v>43903</v>
      </c>
      <c r="C262" s="1">
        <v>0</v>
      </c>
      <c r="D262" s="39">
        <v>0</v>
      </c>
      <c r="E262" s="1"/>
      <c r="F262" s="39">
        <f t="shared" si="8"/>
        <v>0</v>
      </c>
      <c r="G262" s="395"/>
      <c r="H262" s="395"/>
      <c r="J262" s="42"/>
    </row>
    <row r="263" spans="1:10" s="393" customFormat="1" x14ac:dyDescent="0.25">
      <c r="A263" s="19" t="s">
        <v>38</v>
      </c>
      <c r="B263" s="2">
        <v>43903</v>
      </c>
      <c r="C263" s="1">
        <v>0</v>
      </c>
      <c r="D263" s="39">
        <v>0</v>
      </c>
      <c r="E263" s="1"/>
      <c r="F263" s="39">
        <f t="shared" si="8"/>
        <v>0</v>
      </c>
      <c r="G263" s="395"/>
      <c r="H263" s="395"/>
      <c r="J263" s="42"/>
    </row>
    <row r="264" spans="1:10" s="393" customFormat="1" x14ac:dyDescent="0.25">
      <c r="A264" s="19" t="s">
        <v>39</v>
      </c>
      <c r="B264" s="2">
        <v>43903</v>
      </c>
      <c r="C264" s="1">
        <v>0</v>
      </c>
      <c r="D264" s="39">
        <v>0</v>
      </c>
      <c r="E264" s="1"/>
      <c r="F264" s="39">
        <f t="shared" si="8"/>
        <v>0</v>
      </c>
      <c r="G264" s="395"/>
      <c r="H264" s="395"/>
      <c r="J264" s="42"/>
    </row>
    <row r="265" spans="1:10" s="393" customFormat="1" x14ac:dyDescent="0.25">
      <c r="A265" s="19" t="s">
        <v>40</v>
      </c>
      <c r="B265" s="2">
        <v>43903</v>
      </c>
      <c r="C265" s="1">
        <v>0</v>
      </c>
      <c r="D265" s="39">
        <v>0</v>
      </c>
      <c r="E265" s="1"/>
      <c r="F265" s="39">
        <f t="shared" si="8"/>
        <v>0</v>
      </c>
      <c r="G265" s="395"/>
      <c r="H265" s="395"/>
      <c r="J265" s="42"/>
    </row>
    <row r="266" spans="1:10" s="393" customFormat="1" x14ac:dyDescent="0.25">
      <c r="A266" s="394" t="s">
        <v>16</v>
      </c>
      <c r="B266" s="2">
        <v>43904</v>
      </c>
      <c r="C266" s="1">
        <v>1</v>
      </c>
      <c r="D266" s="39">
        <v>10</v>
      </c>
      <c r="E266" s="1"/>
      <c r="F266" s="39">
        <f>E266+F242</f>
        <v>0</v>
      </c>
      <c r="G266" s="395"/>
      <c r="H266" s="395"/>
      <c r="J266" s="42"/>
    </row>
    <row r="267" spans="1:10" s="393" customFormat="1" x14ac:dyDescent="0.25">
      <c r="A267" s="19" t="s">
        <v>28</v>
      </c>
      <c r="B267" s="2">
        <v>43904</v>
      </c>
      <c r="C267" s="1">
        <v>0</v>
      </c>
      <c r="D267" s="39">
        <v>0</v>
      </c>
      <c r="E267" s="1"/>
      <c r="F267" s="39">
        <f t="shared" ref="F267:F289" si="9">E267+F243</f>
        <v>0</v>
      </c>
      <c r="G267" s="395"/>
      <c r="H267" s="395"/>
      <c r="J267" s="42"/>
    </row>
    <row r="268" spans="1:10" s="393" customFormat="1" x14ac:dyDescent="0.25">
      <c r="A268" s="19" t="s">
        <v>15</v>
      </c>
      <c r="B268" s="2">
        <v>43904</v>
      </c>
      <c r="C268" s="1">
        <v>1</v>
      </c>
      <c r="D268" s="39">
        <v>5</v>
      </c>
      <c r="E268" s="1"/>
      <c r="F268" s="39">
        <f t="shared" si="9"/>
        <v>1</v>
      </c>
      <c r="G268" s="395"/>
      <c r="H268" s="395"/>
      <c r="J268" s="42"/>
    </row>
    <row r="269" spans="1:10" s="393" customFormat="1" x14ac:dyDescent="0.25">
      <c r="A269" s="19" t="s">
        <v>29</v>
      </c>
      <c r="B269" s="2">
        <v>43904</v>
      </c>
      <c r="C269" s="1">
        <v>0</v>
      </c>
      <c r="D269" s="39">
        <v>0</v>
      </c>
      <c r="E269" s="1"/>
      <c r="F269" s="39">
        <f t="shared" si="9"/>
        <v>0</v>
      </c>
      <c r="G269" s="395"/>
      <c r="H269" s="395"/>
      <c r="J269" s="42"/>
    </row>
    <row r="270" spans="1:10" s="393" customFormat="1" x14ac:dyDescent="0.25">
      <c r="A270" s="19" t="s">
        <v>43</v>
      </c>
      <c r="B270" s="2">
        <v>43904</v>
      </c>
      <c r="C270" s="1">
        <v>6</v>
      </c>
      <c r="D270" s="39">
        <v>22</v>
      </c>
      <c r="E270" s="1"/>
      <c r="F270" s="39">
        <f t="shared" si="9"/>
        <v>1</v>
      </c>
      <c r="G270" s="395"/>
      <c r="H270" s="395"/>
      <c r="J270" s="42"/>
    </row>
    <row r="271" spans="1:10" s="393" customFormat="1" x14ac:dyDescent="0.25">
      <c r="A271" s="19" t="s">
        <v>20</v>
      </c>
      <c r="B271" s="2">
        <v>43904</v>
      </c>
      <c r="C271" s="1">
        <v>0</v>
      </c>
      <c r="D271" s="39">
        <v>2</v>
      </c>
      <c r="E271" s="1"/>
      <c r="F271" s="39">
        <f t="shared" si="9"/>
        <v>0</v>
      </c>
      <c r="G271" s="395"/>
      <c r="H271" s="395"/>
      <c r="J271" s="42"/>
    </row>
    <row r="272" spans="1:10" s="393" customFormat="1" x14ac:dyDescent="0.25">
      <c r="A272" s="19" t="s">
        <v>30</v>
      </c>
      <c r="B272" s="2">
        <v>43904</v>
      </c>
      <c r="C272" s="1">
        <v>0</v>
      </c>
      <c r="D272" s="39">
        <v>0</v>
      </c>
      <c r="E272" s="1"/>
      <c r="F272" s="39">
        <f t="shared" si="9"/>
        <v>0</v>
      </c>
      <c r="G272" s="395"/>
      <c r="H272" s="395"/>
      <c r="J272" s="42"/>
    </row>
    <row r="273" spans="1:10" x14ac:dyDescent="0.25">
      <c r="A273" s="19" t="s">
        <v>31</v>
      </c>
      <c r="B273" s="2">
        <v>43904</v>
      </c>
      <c r="C273" s="1">
        <v>0</v>
      </c>
      <c r="D273" s="39">
        <v>1</v>
      </c>
      <c r="F273" s="39">
        <f t="shared" si="9"/>
        <v>0</v>
      </c>
    </row>
    <row r="274" spans="1:10" s="393" customFormat="1" x14ac:dyDescent="0.25">
      <c r="A274" s="19" t="s">
        <v>41</v>
      </c>
      <c r="B274" s="2">
        <v>43904</v>
      </c>
      <c r="C274" s="1">
        <v>0</v>
      </c>
      <c r="D274" s="39">
        <v>0</v>
      </c>
      <c r="E274" s="1"/>
      <c r="F274" s="39">
        <f t="shared" si="9"/>
        <v>0</v>
      </c>
      <c r="G274" s="395"/>
      <c r="H274" s="395"/>
      <c r="J274" s="42"/>
    </row>
    <row r="275" spans="1:10" s="393" customFormat="1" x14ac:dyDescent="0.25">
      <c r="A275" s="19" t="s">
        <v>32</v>
      </c>
      <c r="B275" s="2">
        <v>43904</v>
      </c>
      <c r="C275" s="1">
        <v>0</v>
      </c>
      <c r="D275" s="39">
        <v>0</v>
      </c>
      <c r="E275" s="1"/>
      <c r="F275" s="39">
        <f t="shared" si="9"/>
        <v>0</v>
      </c>
      <c r="G275" s="395"/>
      <c r="H275" s="395"/>
      <c r="J275" s="42"/>
    </row>
    <row r="276" spans="1:10" s="393" customFormat="1" x14ac:dyDescent="0.25">
      <c r="A276" s="19" t="s">
        <v>33</v>
      </c>
      <c r="B276" s="2">
        <v>43904</v>
      </c>
      <c r="C276" s="1">
        <v>0</v>
      </c>
      <c r="D276" s="39">
        <v>0</v>
      </c>
      <c r="E276" s="1"/>
      <c r="F276" s="39">
        <f t="shared" si="9"/>
        <v>0</v>
      </c>
      <c r="G276" s="395"/>
      <c r="H276" s="395"/>
      <c r="J276" s="42"/>
    </row>
    <row r="277" spans="1:10" s="393" customFormat="1" x14ac:dyDescent="0.25">
      <c r="A277" s="19" t="s">
        <v>21</v>
      </c>
      <c r="B277" s="2">
        <v>43904</v>
      </c>
      <c r="C277" s="1">
        <v>0</v>
      </c>
      <c r="D277" s="39">
        <v>0</v>
      </c>
      <c r="E277" s="1"/>
      <c r="F277" s="39">
        <f t="shared" si="9"/>
        <v>0</v>
      </c>
      <c r="G277" s="395"/>
      <c r="H277" s="395"/>
      <c r="J277" s="42"/>
    </row>
    <row r="278" spans="1:10" s="393" customFormat="1" x14ac:dyDescent="0.25">
      <c r="A278" s="19" t="s">
        <v>17</v>
      </c>
      <c r="B278" s="2">
        <v>43904</v>
      </c>
      <c r="C278" s="1">
        <v>0</v>
      </c>
      <c r="D278" s="39">
        <v>0</v>
      </c>
      <c r="E278" s="1"/>
      <c r="F278" s="39">
        <f t="shared" si="9"/>
        <v>0</v>
      </c>
      <c r="G278" s="395"/>
      <c r="H278" s="395"/>
      <c r="J278" s="42"/>
    </row>
    <row r="279" spans="1:10" s="393" customFormat="1" x14ac:dyDescent="0.25">
      <c r="A279" s="19" t="s">
        <v>23</v>
      </c>
      <c r="B279" s="2">
        <v>43904</v>
      </c>
      <c r="C279" s="1">
        <v>0</v>
      </c>
      <c r="D279" s="39">
        <v>0</v>
      </c>
      <c r="E279" s="1"/>
      <c r="F279" s="39">
        <f t="shared" si="9"/>
        <v>0</v>
      </c>
      <c r="G279" s="395"/>
      <c r="H279" s="395"/>
      <c r="J279" s="42"/>
    </row>
    <row r="280" spans="1:10" s="393" customFormat="1" x14ac:dyDescent="0.25">
      <c r="A280" s="19" t="s">
        <v>19</v>
      </c>
      <c r="B280" s="2">
        <v>43904</v>
      </c>
      <c r="C280" s="1">
        <v>0</v>
      </c>
      <c r="D280" s="39">
        <v>0</v>
      </c>
      <c r="E280" s="1"/>
      <c r="F280" s="39">
        <f t="shared" si="9"/>
        <v>0</v>
      </c>
      <c r="G280" s="395"/>
      <c r="H280" s="395"/>
      <c r="J280" s="42"/>
    </row>
    <row r="281" spans="1:10" s="393" customFormat="1" x14ac:dyDescent="0.25">
      <c r="A281" s="19" t="s">
        <v>18</v>
      </c>
      <c r="B281" s="2">
        <v>43904</v>
      </c>
      <c r="C281" s="1">
        <v>0</v>
      </c>
      <c r="D281" s="39">
        <v>1</v>
      </c>
      <c r="E281" s="1"/>
      <c r="F281" s="39">
        <f t="shared" si="9"/>
        <v>0</v>
      </c>
      <c r="G281" s="395"/>
      <c r="H281" s="395"/>
      <c r="J281" s="42"/>
    </row>
    <row r="282" spans="1:10" s="393" customFormat="1" x14ac:dyDescent="0.25">
      <c r="A282" s="19" t="s">
        <v>34</v>
      </c>
      <c r="B282" s="2">
        <v>43904</v>
      </c>
      <c r="C282" s="1">
        <v>0</v>
      </c>
      <c r="D282" s="39">
        <v>0</v>
      </c>
      <c r="E282" s="1"/>
      <c r="F282" s="39">
        <f t="shared" si="9"/>
        <v>0</v>
      </c>
      <c r="G282" s="395"/>
      <c r="H282" s="395"/>
      <c r="J282" s="42"/>
    </row>
    <row r="283" spans="1:10" s="393" customFormat="1" x14ac:dyDescent="0.25">
      <c r="A283" s="19" t="s">
        <v>35</v>
      </c>
      <c r="B283" s="2">
        <v>43904</v>
      </c>
      <c r="C283" s="1">
        <v>0</v>
      </c>
      <c r="D283" s="39">
        <v>0</v>
      </c>
      <c r="E283" s="1"/>
      <c r="F283" s="39">
        <f t="shared" si="9"/>
        <v>0</v>
      </c>
      <c r="G283" s="395"/>
      <c r="H283" s="395"/>
      <c r="J283" s="42"/>
    </row>
    <row r="284" spans="1:10" s="393" customFormat="1" x14ac:dyDescent="0.25">
      <c r="A284" s="19" t="s">
        <v>36</v>
      </c>
      <c r="B284" s="2">
        <v>43904</v>
      </c>
      <c r="C284" s="1">
        <v>2</v>
      </c>
      <c r="D284" s="39">
        <v>3</v>
      </c>
      <c r="E284" s="1"/>
      <c r="F284" s="39">
        <f t="shared" si="9"/>
        <v>0</v>
      </c>
      <c r="G284" s="395"/>
      <c r="H284" s="395"/>
      <c r="J284" s="42"/>
    </row>
    <row r="285" spans="1:10" s="393" customFormat="1" x14ac:dyDescent="0.25">
      <c r="A285" s="19" t="s">
        <v>37</v>
      </c>
      <c r="B285" s="2">
        <v>43904</v>
      </c>
      <c r="C285" s="1">
        <v>0</v>
      </c>
      <c r="D285" s="39">
        <v>0</v>
      </c>
      <c r="E285" s="1"/>
      <c r="F285" s="39">
        <f t="shared" si="9"/>
        <v>0</v>
      </c>
      <c r="G285" s="395"/>
      <c r="H285" s="395"/>
      <c r="J285" s="42"/>
    </row>
    <row r="286" spans="1:10" s="393" customFormat="1" x14ac:dyDescent="0.25">
      <c r="A286" s="19" t="s">
        <v>22</v>
      </c>
      <c r="B286" s="2">
        <v>43904</v>
      </c>
      <c r="C286" s="1">
        <v>1</v>
      </c>
      <c r="D286" s="39">
        <v>1</v>
      </c>
      <c r="E286" s="1"/>
      <c r="F286" s="39">
        <f t="shared" si="9"/>
        <v>0</v>
      </c>
      <c r="G286" s="395"/>
      <c r="H286" s="395"/>
      <c r="J286" s="42"/>
    </row>
    <row r="287" spans="1:10" s="393" customFormat="1" x14ac:dyDescent="0.25">
      <c r="A287" s="19" t="s">
        <v>38</v>
      </c>
      <c r="B287" s="2">
        <v>43904</v>
      </c>
      <c r="C287" s="1">
        <v>0</v>
      </c>
      <c r="D287" s="39">
        <v>0</v>
      </c>
      <c r="E287" s="1"/>
      <c r="F287" s="39">
        <f t="shared" si="9"/>
        <v>0</v>
      </c>
      <c r="G287" s="395"/>
      <c r="H287" s="395"/>
      <c r="J287" s="42"/>
    </row>
    <row r="288" spans="1:10" s="393" customFormat="1" x14ac:dyDescent="0.25">
      <c r="A288" s="19" t="s">
        <v>39</v>
      </c>
      <c r="B288" s="2">
        <v>43904</v>
      </c>
      <c r="C288" s="1">
        <v>0</v>
      </c>
      <c r="D288" s="39">
        <v>0</v>
      </c>
      <c r="E288" s="1"/>
      <c r="F288" s="39">
        <f t="shared" si="9"/>
        <v>0</v>
      </c>
      <c r="G288" s="395"/>
      <c r="H288" s="395"/>
      <c r="J288" s="42"/>
    </row>
    <row r="289" spans="1:10" s="393" customFormat="1" x14ac:dyDescent="0.25">
      <c r="A289" s="19" t="s">
        <v>40</v>
      </c>
      <c r="B289" s="2">
        <v>43904</v>
      </c>
      <c r="C289" s="1">
        <v>0</v>
      </c>
      <c r="D289" s="39">
        <v>0</v>
      </c>
      <c r="E289" s="1"/>
      <c r="F289" s="39">
        <f t="shared" si="9"/>
        <v>0</v>
      </c>
      <c r="G289" s="395"/>
      <c r="H289" s="395"/>
      <c r="J289" s="42"/>
    </row>
    <row r="290" spans="1:10" s="393" customFormat="1" x14ac:dyDescent="0.25">
      <c r="A290" s="394" t="s">
        <v>16</v>
      </c>
      <c r="B290" s="2">
        <v>43905</v>
      </c>
      <c r="C290" s="1">
        <v>1</v>
      </c>
      <c r="D290" s="39">
        <v>11</v>
      </c>
      <c r="E290" s="1"/>
      <c r="F290" s="39">
        <f>E290+F266</f>
        <v>0</v>
      </c>
      <c r="G290" s="395"/>
      <c r="H290" s="395"/>
      <c r="J290" s="42"/>
    </row>
    <row r="291" spans="1:10" s="393" customFormat="1" x14ac:dyDescent="0.25">
      <c r="A291" s="19" t="s">
        <v>28</v>
      </c>
      <c r="B291" s="2">
        <v>43905</v>
      </c>
      <c r="C291" s="1">
        <v>0</v>
      </c>
      <c r="D291" s="39">
        <v>0</v>
      </c>
      <c r="E291" s="1"/>
      <c r="F291" s="39">
        <f t="shared" ref="F291:F313" si="10">E291+F267</f>
        <v>0</v>
      </c>
      <c r="G291" s="395"/>
      <c r="H291" s="395"/>
      <c r="J291" s="42"/>
    </row>
    <row r="292" spans="1:10" s="393" customFormat="1" x14ac:dyDescent="0.25">
      <c r="A292" s="19" t="s">
        <v>15</v>
      </c>
      <c r="B292" s="2">
        <v>43905</v>
      </c>
      <c r="C292" s="1">
        <v>2</v>
      </c>
      <c r="D292" s="39">
        <v>7</v>
      </c>
      <c r="E292" s="1"/>
      <c r="F292" s="39">
        <f t="shared" si="10"/>
        <v>1</v>
      </c>
      <c r="G292" s="395"/>
      <c r="H292" s="395"/>
      <c r="J292" s="42"/>
    </row>
    <row r="293" spans="1:10" s="393" customFormat="1" x14ac:dyDescent="0.25">
      <c r="A293" s="19" t="s">
        <v>29</v>
      </c>
      <c r="B293" s="2">
        <v>43905</v>
      </c>
      <c r="C293" s="1">
        <v>0</v>
      </c>
      <c r="D293" s="39">
        <v>0</v>
      </c>
      <c r="E293" s="1"/>
      <c r="F293" s="39">
        <f t="shared" si="10"/>
        <v>0</v>
      </c>
      <c r="G293" s="395"/>
      <c r="H293" s="395"/>
      <c r="J293" s="42"/>
    </row>
    <row r="294" spans="1:10" s="393" customFormat="1" x14ac:dyDescent="0.25">
      <c r="A294" s="19" t="s">
        <v>43</v>
      </c>
      <c r="B294" s="2">
        <v>43905</v>
      </c>
      <c r="C294" s="1">
        <v>6</v>
      </c>
      <c r="D294" s="39">
        <v>28</v>
      </c>
      <c r="E294" s="1"/>
      <c r="F294" s="39">
        <f t="shared" si="10"/>
        <v>1</v>
      </c>
      <c r="G294" s="395"/>
      <c r="H294" s="395"/>
      <c r="J294" s="42"/>
    </row>
    <row r="295" spans="1:10" s="393" customFormat="1" x14ac:dyDescent="0.25">
      <c r="A295" s="19" t="s">
        <v>20</v>
      </c>
      <c r="B295" s="2">
        <v>43905</v>
      </c>
      <c r="C295" s="1">
        <v>0</v>
      </c>
      <c r="D295" s="39">
        <v>2</v>
      </c>
      <c r="E295" s="1"/>
      <c r="F295" s="39">
        <f t="shared" si="10"/>
        <v>0</v>
      </c>
      <c r="G295" s="395"/>
      <c r="H295" s="395"/>
      <c r="J295" s="42"/>
    </row>
    <row r="296" spans="1:10" s="393" customFormat="1" x14ac:dyDescent="0.25">
      <c r="A296" s="19" t="s">
        <v>30</v>
      </c>
      <c r="B296" s="2">
        <v>43905</v>
      </c>
      <c r="C296" s="1">
        <v>0</v>
      </c>
      <c r="D296" s="39">
        <v>0</v>
      </c>
      <c r="E296" s="1"/>
      <c r="F296" s="39">
        <f t="shared" si="10"/>
        <v>0</v>
      </c>
      <c r="G296" s="395"/>
      <c r="H296" s="395"/>
      <c r="J296" s="42"/>
    </row>
    <row r="297" spans="1:10" x14ac:dyDescent="0.25">
      <c r="A297" s="19" t="s">
        <v>31</v>
      </c>
      <c r="B297" s="2">
        <v>43905</v>
      </c>
      <c r="C297" s="1">
        <v>0</v>
      </c>
      <c r="D297" s="39">
        <v>1</v>
      </c>
      <c r="F297" s="39">
        <f t="shared" si="10"/>
        <v>0</v>
      </c>
    </row>
    <row r="298" spans="1:10" s="393" customFormat="1" x14ac:dyDescent="0.25">
      <c r="A298" s="19" t="s">
        <v>41</v>
      </c>
      <c r="B298" s="2">
        <v>43905</v>
      </c>
      <c r="C298" s="1">
        <v>0</v>
      </c>
      <c r="D298" s="39">
        <v>0</v>
      </c>
      <c r="E298" s="1"/>
      <c r="F298" s="39">
        <f t="shared" si="10"/>
        <v>0</v>
      </c>
      <c r="G298" s="395"/>
      <c r="H298" s="395"/>
      <c r="J298" s="42"/>
    </row>
    <row r="299" spans="1:10" s="393" customFormat="1" x14ac:dyDescent="0.25">
      <c r="A299" s="19" t="s">
        <v>32</v>
      </c>
      <c r="B299" s="2">
        <v>43905</v>
      </c>
      <c r="C299" s="1">
        <v>0</v>
      </c>
      <c r="D299" s="39">
        <v>0</v>
      </c>
      <c r="E299" s="1"/>
      <c r="F299" s="39">
        <f t="shared" si="10"/>
        <v>0</v>
      </c>
      <c r="G299" s="395"/>
      <c r="H299" s="395"/>
      <c r="J299" s="42"/>
    </row>
    <row r="300" spans="1:10" s="393" customFormat="1" x14ac:dyDescent="0.25">
      <c r="A300" s="19" t="s">
        <v>33</v>
      </c>
      <c r="B300" s="2">
        <v>43905</v>
      </c>
      <c r="C300" s="1">
        <v>0</v>
      </c>
      <c r="D300" s="39">
        <v>0</v>
      </c>
      <c r="E300" s="1"/>
      <c r="F300" s="39">
        <f t="shared" si="10"/>
        <v>0</v>
      </c>
      <c r="G300" s="395"/>
      <c r="H300" s="395"/>
      <c r="J300" s="42"/>
    </row>
    <row r="301" spans="1:10" s="393" customFormat="1" x14ac:dyDescent="0.25">
      <c r="A301" s="19" t="s">
        <v>21</v>
      </c>
      <c r="B301" s="2">
        <v>43905</v>
      </c>
      <c r="C301" s="1">
        <v>0</v>
      </c>
      <c r="D301" s="39">
        <v>0</v>
      </c>
      <c r="E301" s="1"/>
      <c r="F301" s="39">
        <f t="shared" si="10"/>
        <v>0</v>
      </c>
      <c r="G301" s="395"/>
      <c r="H301" s="395"/>
      <c r="J301" s="42"/>
    </row>
    <row r="302" spans="1:10" s="393" customFormat="1" x14ac:dyDescent="0.25">
      <c r="A302" s="19" t="s">
        <v>17</v>
      </c>
      <c r="B302" s="2">
        <v>43905</v>
      </c>
      <c r="C302" s="1">
        <v>0</v>
      </c>
      <c r="D302" s="39">
        <v>0</v>
      </c>
      <c r="E302" s="1"/>
      <c r="F302" s="39">
        <f t="shared" si="10"/>
        <v>0</v>
      </c>
      <c r="G302" s="395"/>
      <c r="H302" s="395"/>
      <c r="J302" s="42"/>
    </row>
    <row r="303" spans="1:10" s="393" customFormat="1" x14ac:dyDescent="0.25">
      <c r="A303" s="19" t="s">
        <v>23</v>
      </c>
      <c r="B303" s="2">
        <v>43905</v>
      </c>
      <c r="C303" s="1">
        <v>0</v>
      </c>
      <c r="D303" s="39">
        <v>0</v>
      </c>
      <c r="E303" s="1"/>
      <c r="F303" s="39">
        <f t="shared" si="10"/>
        <v>0</v>
      </c>
      <c r="G303" s="395"/>
      <c r="H303" s="395"/>
      <c r="J303" s="42"/>
    </row>
    <row r="304" spans="1:10" s="393" customFormat="1" x14ac:dyDescent="0.25">
      <c r="A304" s="19" t="s">
        <v>19</v>
      </c>
      <c r="B304" s="2">
        <v>43905</v>
      </c>
      <c r="C304" s="1">
        <v>0</v>
      </c>
      <c r="D304" s="39">
        <v>0</v>
      </c>
      <c r="E304" s="1"/>
      <c r="F304" s="39">
        <f t="shared" si="10"/>
        <v>0</v>
      </c>
      <c r="G304" s="395"/>
      <c r="H304" s="395"/>
      <c r="J304" s="42"/>
    </row>
    <row r="305" spans="1:10" s="393" customFormat="1" x14ac:dyDescent="0.25">
      <c r="A305" s="19" t="s">
        <v>18</v>
      </c>
      <c r="B305" s="2">
        <v>43905</v>
      </c>
      <c r="C305" s="1">
        <v>0</v>
      </c>
      <c r="D305" s="39">
        <v>1</v>
      </c>
      <c r="E305" s="1"/>
      <c r="F305" s="39">
        <f t="shared" si="10"/>
        <v>0</v>
      </c>
      <c r="G305" s="395"/>
      <c r="H305" s="395"/>
      <c r="J305" s="42"/>
    </row>
    <row r="306" spans="1:10" s="393" customFormat="1" x14ac:dyDescent="0.25">
      <c r="A306" s="19" t="s">
        <v>34</v>
      </c>
      <c r="B306" s="2">
        <v>43905</v>
      </c>
      <c r="C306" s="1">
        <v>0</v>
      </c>
      <c r="D306" s="39">
        <v>0</v>
      </c>
      <c r="E306" s="1"/>
      <c r="F306" s="39">
        <f t="shared" si="10"/>
        <v>0</v>
      </c>
      <c r="G306" s="395"/>
      <c r="H306" s="395"/>
      <c r="J306" s="42"/>
    </row>
    <row r="307" spans="1:10" s="393" customFormat="1" x14ac:dyDescent="0.25">
      <c r="A307" s="19" t="s">
        <v>35</v>
      </c>
      <c r="B307" s="2">
        <v>43905</v>
      </c>
      <c r="C307" s="1">
        <v>0</v>
      </c>
      <c r="D307" s="39">
        <v>0</v>
      </c>
      <c r="E307" s="1"/>
      <c r="F307" s="39">
        <f t="shared" si="10"/>
        <v>0</v>
      </c>
      <c r="G307" s="395"/>
      <c r="H307" s="395"/>
      <c r="J307" s="42"/>
    </row>
    <row r="308" spans="1:10" s="393" customFormat="1" x14ac:dyDescent="0.25">
      <c r="A308" s="19" t="s">
        <v>36</v>
      </c>
      <c r="B308" s="2">
        <v>43905</v>
      </c>
      <c r="C308" s="1">
        <v>0</v>
      </c>
      <c r="D308" s="39">
        <v>3</v>
      </c>
      <c r="E308" s="1"/>
      <c r="F308" s="39">
        <f t="shared" si="10"/>
        <v>0</v>
      </c>
      <c r="G308" s="395"/>
      <c r="H308" s="395"/>
      <c r="J308" s="42"/>
    </row>
    <row r="309" spans="1:10" s="393" customFormat="1" x14ac:dyDescent="0.25">
      <c r="A309" s="19" t="s">
        <v>37</v>
      </c>
      <c r="B309" s="2">
        <v>43905</v>
      </c>
      <c r="C309" s="1">
        <v>0</v>
      </c>
      <c r="D309" s="39">
        <v>0</v>
      </c>
      <c r="E309" s="1"/>
      <c r="F309" s="39">
        <f t="shared" si="10"/>
        <v>0</v>
      </c>
      <c r="G309" s="395"/>
      <c r="H309" s="395"/>
      <c r="J309" s="42"/>
    </row>
    <row r="310" spans="1:10" s="393" customFormat="1" x14ac:dyDescent="0.25">
      <c r="A310" s="19" t="s">
        <v>22</v>
      </c>
      <c r="B310" s="2">
        <v>43905</v>
      </c>
      <c r="C310" s="1">
        <v>0</v>
      </c>
      <c r="D310" s="39">
        <v>1</v>
      </c>
      <c r="E310" s="1"/>
      <c r="F310" s="39">
        <f t="shared" si="10"/>
        <v>0</v>
      </c>
      <c r="G310" s="395"/>
      <c r="H310" s="395"/>
      <c r="J310" s="42"/>
    </row>
    <row r="311" spans="1:10" s="393" customFormat="1" x14ac:dyDescent="0.25">
      <c r="A311" s="19" t="s">
        <v>38</v>
      </c>
      <c r="B311" s="2">
        <v>43905</v>
      </c>
      <c r="C311" s="1">
        <v>0</v>
      </c>
      <c r="D311" s="39">
        <v>0</v>
      </c>
      <c r="E311" s="1"/>
      <c r="F311" s="39">
        <f t="shared" si="10"/>
        <v>0</v>
      </c>
      <c r="G311" s="395"/>
      <c r="H311" s="395"/>
      <c r="J311" s="42"/>
    </row>
    <row r="312" spans="1:10" s="393" customFormat="1" x14ac:dyDescent="0.25">
      <c r="A312" s="19" t="s">
        <v>39</v>
      </c>
      <c r="B312" s="2">
        <v>43905</v>
      </c>
      <c r="C312" s="1">
        <v>2</v>
      </c>
      <c r="D312" s="39">
        <v>2</v>
      </c>
      <c r="E312" s="1"/>
      <c r="F312" s="39">
        <f t="shared" si="10"/>
        <v>0</v>
      </c>
      <c r="G312" s="395"/>
      <c r="H312" s="395"/>
      <c r="J312" s="42"/>
    </row>
    <row r="313" spans="1:10" s="393" customFormat="1" x14ac:dyDescent="0.25">
      <c r="A313" s="19" t="s">
        <v>40</v>
      </c>
      <c r="B313" s="2">
        <v>43905</v>
      </c>
      <c r="C313" s="1">
        <v>0</v>
      </c>
      <c r="D313" s="39">
        <v>0</v>
      </c>
      <c r="E313" s="1"/>
      <c r="F313" s="39">
        <f t="shared" si="10"/>
        <v>0</v>
      </c>
      <c r="G313" s="395"/>
      <c r="H313" s="395"/>
      <c r="J313" s="42"/>
    </row>
    <row r="314" spans="1:10" s="393" customFormat="1" x14ac:dyDescent="0.25">
      <c r="A314" s="394" t="s">
        <v>16</v>
      </c>
      <c r="B314" s="2">
        <v>43906</v>
      </c>
      <c r="C314" s="1">
        <v>1</v>
      </c>
      <c r="D314" s="39">
        <v>12</v>
      </c>
      <c r="E314" s="1"/>
      <c r="F314" s="39">
        <f>E314+F290</f>
        <v>0</v>
      </c>
      <c r="G314" s="395"/>
      <c r="H314" s="395"/>
      <c r="J314" s="42"/>
    </row>
    <row r="315" spans="1:10" s="393" customFormat="1" x14ac:dyDescent="0.25">
      <c r="A315" s="19" t="s">
        <v>28</v>
      </c>
      <c r="B315" s="2">
        <v>43906</v>
      </c>
      <c r="C315" s="1">
        <v>0</v>
      </c>
      <c r="D315" s="39">
        <v>0</v>
      </c>
      <c r="E315" s="1"/>
      <c r="F315" s="39">
        <f t="shared" ref="F315:F337" si="11">E315+F291</f>
        <v>0</v>
      </c>
      <c r="G315" s="395"/>
      <c r="H315" s="395"/>
      <c r="J315" s="42"/>
    </row>
    <row r="316" spans="1:10" s="393" customFormat="1" x14ac:dyDescent="0.25">
      <c r="A316" s="19" t="s">
        <v>15</v>
      </c>
      <c r="B316" s="2">
        <v>43906</v>
      </c>
      <c r="C316" s="1">
        <v>3</v>
      </c>
      <c r="D316" s="39">
        <v>10</v>
      </c>
      <c r="E316" s="1"/>
      <c r="F316" s="39">
        <f t="shared" si="11"/>
        <v>1</v>
      </c>
      <c r="G316" s="395"/>
      <c r="H316" s="395"/>
      <c r="J316" s="42"/>
    </row>
    <row r="317" spans="1:10" s="393" customFormat="1" x14ac:dyDescent="0.25">
      <c r="A317" s="19" t="s">
        <v>29</v>
      </c>
      <c r="B317" s="2">
        <v>43906</v>
      </c>
      <c r="C317" s="1">
        <v>0</v>
      </c>
      <c r="D317" s="39">
        <v>0</v>
      </c>
      <c r="E317" s="1"/>
      <c r="F317" s="39">
        <f t="shared" si="11"/>
        <v>0</v>
      </c>
      <c r="G317" s="395"/>
      <c r="H317" s="395"/>
      <c r="J317" s="42"/>
    </row>
    <row r="318" spans="1:10" s="393" customFormat="1" x14ac:dyDescent="0.25">
      <c r="A318" s="19" t="s">
        <v>43</v>
      </c>
      <c r="B318" s="2">
        <v>43906</v>
      </c>
      <c r="C318" s="1">
        <v>5</v>
      </c>
      <c r="D318" s="39">
        <v>33</v>
      </c>
      <c r="E318" s="1"/>
      <c r="F318" s="39">
        <f t="shared" si="11"/>
        <v>1</v>
      </c>
      <c r="G318" s="395"/>
      <c r="H318" s="395"/>
      <c r="J318" s="42"/>
    </row>
    <row r="319" spans="1:10" s="393" customFormat="1" x14ac:dyDescent="0.25">
      <c r="A319" s="19" t="s">
        <v>20</v>
      </c>
      <c r="B319" s="2">
        <v>43906</v>
      </c>
      <c r="C319" s="1">
        <v>0</v>
      </c>
      <c r="D319" s="39">
        <v>2</v>
      </c>
      <c r="E319" s="1"/>
      <c r="F319" s="39">
        <f t="shared" si="11"/>
        <v>0</v>
      </c>
      <c r="G319" s="395"/>
      <c r="H319" s="395"/>
      <c r="J319" s="42"/>
    </row>
    <row r="320" spans="1:10" s="393" customFormat="1" x14ac:dyDescent="0.25">
      <c r="A320" s="19" t="s">
        <v>30</v>
      </c>
      <c r="B320" s="2">
        <v>43906</v>
      </c>
      <c r="C320" s="1">
        <v>0</v>
      </c>
      <c r="D320" s="39">
        <v>0</v>
      </c>
      <c r="E320" s="1"/>
      <c r="F320" s="39">
        <f t="shared" si="11"/>
        <v>0</v>
      </c>
      <c r="G320" s="395"/>
      <c r="H320" s="395"/>
      <c r="J320" s="42"/>
    </row>
    <row r="321" spans="1:10" x14ac:dyDescent="0.25">
      <c r="A321" s="19" t="s">
        <v>31</v>
      </c>
      <c r="B321" s="2">
        <v>43906</v>
      </c>
      <c r="C321" s="1">
        <v>0</v>
      </c>
      <c r="D321" s="39">
        <v>1</v>
      </c>
      <c r="F321" s="39">
        <f t="shared" si="11"/>
        <v>0</v>
      </c>
    </row>
    <row r="322" spans="1:10" s="393" customFormat="1" x14ac:dyDescent="0.25">
      <c r="A322" s="19" t="s">
        <v>41</v>
      </c>
      <c r="B322" s="2">
        <v>43906</v>
      </c>
      <c r="C322" s="1">
        <v>0</v>
      </c>
      <c r="D322" s="39">
        <v>0</v>
      </c>
      <c r="E322" s="1"/>
      <c r="F322" s="39">
        <f t="shared" si="11"/>
        <v>0</v>
      </c>
      <c r="G322" s="395"/>
      <c r="H322" s="395"/>
      <c r="J322" s="42"/>
    </row>
    <row r="323" spans="1:10" s="393" customFormat="1" x14ac:dyDescent="0.25">
      <c r="A323" s="19" t="s">
        <v>32</v>
      </c>
      <c r="B323" s="2">
        <v>43906</v>
      </c>
      <c r="C323" s="1">
        <v>0</v>
      </c>
      <c r="D323" s="39">
        <v>0</v>
      </c>
      <c r="E323" s="1"/>
      <c r="F323" s="39">
        <f t="shared" si="11"/>
        <v>0</v>
      </c>
      <c r="G323" s="395"/>
      <c r="H323" s="395"/>
      <c r="J323" s="42"/>
    </row>
    <row r="324" spans="1:10" s="393" customFormat="1" x14ac:dyDescent="0.25">
      <c r="A324" s="19" t="s">
        <v>33</v>
      </c>
      <c r="B324" s="2">
        <v>43906</v>
      </c>
      <c r="C324" s="1">
        <v>0</v>
      </c>
      <c r="D324" s="39">
        <v>0</v>
      </c>
      <c r="E324" s="1"/>
      <c r="F324" s="39">
        <f t="shared" si="11"/>
        <v>0</v>
      </c>
      <c r="G324" s="395"/>
      <c r="H324" s="395"/>
      <c r="J324" s="42"/>
    </row>
    <row r="325" spans="1:10" s="393" customFormat="1" x14ac:dyDescent="0.25">
      <c r="A325" s="19" t="s">
        <v>21</v>
      </c>
      <c r="B325" s="2">
        <v>43906</v>
      </c>
      <c r="C325" s="1">
        <v>0</v>
      </c>
      <c r="D325" s="39">
        <v>0</v>
      </c>
      <c r="E325" s="1"/>
      <c r="F325" s="39">
        <f t="shared" si="11"/>
        <v>0</v>
      </c>
      <c r="G325" s="395"/>
      <c r="H325" s="395"/>
      <c r="J325" s="42"/>
    </row>
    <row r="326" spans="1:10" s="393" customFormat="1" x14ac:dyDescent="0.25">
      <c r="A326" s="19" t="s">
        <v>17</v>
      </c>
      <c r="B326" s="2">
        <v>43906</v>
      </c>
      <c r="C326" s="1">
        <v>0</v>
      </c>
      <c r="D326" s="39">
        <v>0</v>
      </c>
      <c r="E326" s="1"/>
      <c r="F326" s="39">
        <f t="shared" si="11"/>
        <v>0</v>
      </c>
      <c r="G326" s="395"/>
      <c r="H326" s="395"/>
      <c r="J326" s="42"/>
    </row>
    <row r="327" spans="1:10" s="393" customFormat="1" x14ac:dyDescent="0.25">
      <c r="A327" s="19" t="s">
        <v>23</v>
      </c>
      <c r="B327" s="2">
        <v>43906</v>
      </c>
      <c r="C327" s="1">
        <v>0</v>
      </c>
      <c r="D327" s="39">
        <v>0</v>
      </c>
      <c r="E327" s="1"/>
      <c r="F327" s="39">
        <f t="shared" si="11"/>
        <v>0</v>
      </c>
      <c r="G327" s="395"/>
      <c r="H327" s="395"/>
      <c r="J327" s="42"/>
    </row>
    <row r="328" spans="1:10" s="393" customFormat="1" x14ac:dyDescent="0.25">
      <c r="A328" s="19" t="s">
        <v>19</v>
      </c>
      <c r="B328" s="2">
        <v>43906</v>
      </c>
      <c r="C328" s="1">
        <v>0</v>
      </c>
      <c r="D328" s="39">
        <v>0</v>
      </c>
      <c r="E328" s="1"/>
      <c r="F328" s="39">
        <f t="shared" si="11"/>
        <v>0</v>
      </c>
      <c r="G328" s="395"/>
      <c r="H328" s="395"/>
      <c r="J328" s="42"/>
    </row>
    <row r="329" spans="1:10" s="393" customFormat="1" x14ac:dyDescent="0.25">
      <c r="A329" s="19" t="s">
        <v>18</v>
      </c>
      <c r="B329" s="2">
        <v>43906</v>
      </c>
      <c r="C329" s="1">
        <v>0</v>
      </c>
      <c r="D329" s="39">
        <v>1</v>
      </c>
      <c r="E329" s="1"/>
      <c r="F329" s="39">
        <f t="shared" si="11"/>
        <v>0</v>
      </c>
      <c r="G329" s="395"/>
      <c r="H329" s="395"/>
      <c r="J329" s="42"/>
    </row>
    <row r="330" spans="1:10" s="393" customFormat="1" x14ac:dyDescent="0.25">
      <c r="A330" s="19" t="s">
        <v>34</v>
      </c>
      <c r="B330" s="2">
        <v>43906</v>
      </c>
      <c r="C330" s="1">
        <v>0</v>
      </c>
      <c r="D330" s="39">
        <v>0</v>
      </c>
      <c r="E330" s="1"/>
      <c r="F330" s="39">
        <f t="shared" si="11"/>
        <v>0</v>
      </c>
      <c r="G330" s="395"/>
      <c r="H330" s="395"/>
      <c r="J330" s="42"/>
    </row>
    <row r="331" spans="1:10" s="393" customFormat="1" x14ac:dyDescent="0.25">
      <c r="A331" s="19" t="s">
        <v>35</v>
      </c>
      <c r="B331" s="2">
        <v>43906</v>
      </c>
      <c r="C331" s="1">
        <v>0</v>
      </c>
      <c r="D331" s="39">
        <v>0</v>
      </c>
      <c r="E331" s="1"/>
      <c r="F331" s="39">
        <f t="shared" si="11"/>
        <v>0</v>
      </c>
      <c r="G331" s="395"/>
      <c r="H331" s="395"/>
      <c r="J331" s="42"/>
    </row>
    <row r="332" spans="1:10" s="393" customFormat="1" x14ac:dyDescent="0.25">
      <c r="A332" s="19" t="s">
        <v>36</v>
      </c>
      <c r="B332" s="2">
        <v>43906</v>
      </c>
      <c r="C332" s="1">
        <v>0</v>
      </c>
      <c r="D332" s="39">
        <v>3</v>
      </c>
      <c r="E332" s="1"/>
      <c r="F332" s="39">
        <f t="shared" si="11"/>
        <v>0</v>
      </c>
      <c r="G332" s="395"/>
      <c r="H332" s="395"/>
      <c r="J332" s="42"/>
    </row>
    <row r="333" spans="1:10" s="393" customFormat="1" x14ac:dyDescent="0.25">
      <c r="A333" s="19" t="s">
        <v>37</v>
      </c>
      <c r="B333" s="2">
        <v>43906</v>
      </c>
      <c r="C333" s="1">
        <v>0</v>
      </c>
      <c r="D333" s="39">
        <v>0</v>
      </c>
      <c r="E333" s="1"/>
      <c r="F333" s="39">
        <f t="shared" si="11"/>
        <v>0</v>
      </c>
      <c r="G333" s="395"/>
      <c r="H333" s="395"/>
      <c r="J333" s="42"/>
    </row>
    <row r="334" spans="1:10" s="393" customFormat="1" x14ac:dyDescent="0.25">
      <c r="A334" s="19" t="s">
        <v>22</v>
      </c>
      <c r="B334" s="2">
        <v>43906</v>
      </c>
      <c r="C334" s="1">
        <v>0</v>
      </c>
      <c r="D334" s="39">
        <v>1</v>
      </c>
      <c r="E334" s="1"/>
      <c r="F334" s="39">
        <f t="shared" si="11"/>
        <v>0</v>
      </c>
      <c r="G334" s="395"/>
      <c r="H334" s="395"/>
      <c r="J334" s="42"/>
    </row>
    <row r="335" spans="1:10" s="393" customFormat="1" x14ac:dyDescent="0.25">
      <c r="A335" s="19" t="s">
        <v>38</v>
      </c>
      <c r="B335" s="2">
        <v>43906</v>
      </c>
      <c r="C335" s="1">
        <v>0</v>
      </c>
      <c r="D335" s="39">
        <v>0</v>
      </c>
      <c r="E335" s="1"/>
      <c r="F335" s="39">
        <f t="shared" si="11"/>
        <v>0</v>
      </c>
      <c r="G335" s="395"/>
      <c r="H335" s="395"/>
      <c r="J335" s="42"/>
    </row>
    <row r="336" spans="1:10" s="393" customFormat="1" x14ac:dyDescent="0.25">
      <c r="A336" s="19" t="s">
        <v>39</v>
      </c>
      <c r="B336" s="2">
        <v>43906</v>
      </c>
      <c r="C336" s="1">
        <v>0</v>
      </c>
      <c r="D336" s="39">
        <v>2</v>
      </c>
      <c r="E336" s="1"/>
      <c r="F336" s="39">
        <f t="shared" si="11"/>
        <v>0</v>
      </c>
      <c r="G336" s="395"/>
      <c r="H336" s="395"/>
      <c r="J336" s="42"/>
    </row>
    <row r="337" spans="1:10" s="393" customFormat="1" x14ac:dyDescent="0.25">
      <c r="A337" s="19" t="s">
        <v>40</v>
      </c>
      <c r="B337" s="2">
        <v>43906</v>
      </c>
      <c r="C337" s="1">
        <v>0</v>
      </c>
      <c r="D337" s="39">
        <v>0</v>
      </c>
      <c r="E337" s="1"/>
      <c r="F337" s="39">
        <f t="shared" si="11"/>
        <v>0</v>
      </c>
      <c r="G337" s="395"/>
      <c r="H337" s="395"/>
      <c r="J337" s="42"/>
    </row>
    <row r="338" spans="1:10" s="393" customFormat="1" x14ac:dyDescent="0.25">
      <c r="A338" s="394" t="s">
        <v>16</v>
      </c>
      <c r="B338" s="2">
        <v>43907</v>
      </c>
      <c r="C338" s="1">
        <v>1</v>
      </c>
      <c r="D338" s="39">
        <v>13</v>
      </c>
      <c r="E338" s="1"/>
      <c r="F338" s="39">
        <f>E338+F314</f>
        <v>0</v>
      </c>
      <c r="G338" s="395"/>
      <c r="H338" s="395"/>
      <c r="J338" s="42"/>
    </row>
    <row r="339" spans="1:10" s="393" customFormat="1" x14ac:dyDescent="0.25">
      <c r="A339" s="19" t="s">
        <v>28</v>
      </c>
      <c r="B339" s="2">
        <v>43907</v>
      </c>
      <c r="C339" s="1">
        <v>0</v>
      </c>
      <c r="D339" s="39">
        <v>0</v>
      </c>
      <c r="E339" s="1"/>
      <c r="F339" s="39">
        <f t="shared" ref="F339:F361" si="12">E339+F315</f>
        <v>0</v>
      </c>
      <c r="G339" s="395"/>
      <c r="H339" s="395"/>
      <c r="J339" s="42"/>
    </row>
    <row r="340" spans="1:10" s="393" customFormat="1" x14ac:dyDescent="0.25">
      <c r="A340" s="19" t="s">
        <v>15</v>
      </c>
      <c r="B340" s="2">
        <v>43907</v>
      </c>
      <c r="C340" s="1">
        <v>1</v>
      </c>
      <c r="D340" s="39">
        <v>11</v>
      </c>
      <c r="E340" s="1"/>
      <c r="F340" s="39">
        <f t="shared" si="12"/>
        <v>1</v>
      </c>
      <c r="G340" s="395"/>
      <c r="H340" s="395"/>
      <c r="J340" s="42"/>
    </row>
    <row r="341" spans="1:10" s="393" customFormat="1" x14ac:dyDescent="0.25">
      <c r="A341" s="19" t="s">
        <v>29</v>
      </c>
      <c r="B341" s="2">
        <v>43907</v>
      </c>
      <c r="C341" s="1">
        <v>0</v>
      </c>
      <c r="D341" s="39">
        <v>0</v>
      </c>
      <c r="E341" s="1"/>
      <c r="F341" s="39">
        <f t="shared" si="12"/>
        <v>0</v>
      </c>
      <c r="G341" s="395"/>
      <c r="H341" s="395"/>
      <c r="J341" s="42"/>
    </row>
    <row r="342" spans="1:10" s="393" customFormat="1" x14ac:dyDescent="0.25">
      <c r="A342" s="19" t="s">
        <v>43</v>
      </c>
      <c r="B342" s="2">
        <v>43907</v>
      </c>
      <c r="C342" s="1">
        <v>4</v>
      </c>
      <c r="D342" s="39">
        <v>37</v>
      </c>
      <c r="E342" s="1"/>
      <c r="F342" s="39">
        <f t="shared" si="12"/>
        <v>1</v>
      </c>
      <c r="G342" s="395"/>
      <c r="H342" s="395"/>
      <c r="J342" s="42"/>
    </row>
    <row r="343" spans="1:10" s="393" customFormat="1" x14ac:dyDescent="0.25">
      <c r="A343" s="19" t="s">
        <v>20</v>
      </c>
      <c r="B343" s="2">
        <v>43907</v>
      </c>
      <c r="C343" s="1">
        <v>2</v>
      </c>
      <c r="D343" s="39">
        <v>4</v>
      </c>
      <c r="E343" s="1"/>
      <c r="F343" s="39">
        <f t="shared" si="12"/>
        <v>0</v>
      </c>
      <c r="G343" s="395"/>
      <c r="H343" s="395"/>
      <c r="J343" s="42"/>
    </row>
    <row r="344" spans="1:10" s="393" customFormat="1" x14ac:dyDescent="0.25">
      <c r="A344" s="19" t="s">
        <v>30</v>
      </c>
      <c r="B344" s="2">
        <v>43907</v>
      </c>
      <c r="C344" s="1">
        <v>0</v>
      </c>
      <c r="D344" s="39">
        <v>0</v>
      </c>
      <c r="E344" s="1"/>
      <c r="F344" s="39">
        <f t="shared" si="12"/>
        <v>0</v>
      </c>
      <c r="G344" s="395"/>
      <c r="H344" s="395"/>
      <c r="J344" s="42"/>
    </row>
    <row r="345" spans="1:10" x14ac:dyDescent="0.25">
      <c r="A345" s="19" t="s">
        <v>31</v>
      </c>
      <c r="B345" s="2">
        <v>43907</v>
      </c>
      <c r="C345" s="1">
        <v>1</v>
      </c>
      <c r="D345" s="39">
        <v>2</v>
      </c>
      <c r="F345" s="39">
        <f t="shared" si="12"/>
        <v>0</v>
      </c>
    </row>
    <row r="346" spans="1:10" s="393" customFormat="1" x14ac:dyDescent="0.25">
      <c r="A346" s="19" t="s">
        <v>41</v>
      </c>
      <c r="B346" s="2">
        <v>43907</v>
      </c>
      <c r="C346" s="1">
        <v>0</v>
      </c>
      <c r="D346" s="39">
        <v>0</v>
      </c>
      <c r="E346" s="1"/>
      <c r="F346" s="39">
        <f t="shared" si="12"/>
        <v>0</v>
      </c>
      <c r="G346" s="395"/>
      <c r="H346" s="395"/>
      <c r="J346" s="42"/>
    </row>
    <row r="347" spans="1:10" s="393" customFormat="1" x14ac:dyDescent="0.25">
      <c r="A347" s="19" t="s">
        <v>32</v>
      </c>
      <c r="B347" s="2">
        <v>43907</v>
      </c>
      <c r="C347" s="1">
        <v>1</v>
      </c>
      <c r="D347" s="39">
        <v>1</v>
      </c>
      <c r="E347" s="1"/>
      <c r="F347" s="39">
        <f t="shared" si="12"/>
        <v>0</v>
      </c>
      <c r="G347" s="395"/>
      <c r="H347" s="395"/>
      <c r="J347" s="42"/>
    </row>
    <row r="348" spans="1:10" s="393" customFormat="1" x14ac:dyDescent="0.25">
      <c r="A348" s="19" t="s">
        <v>33</v>
      </c>
      <c r="B348" s="2">
        <v>43907</v>
      </c>
      <c r="C348" s="1">
        <v>0</v>
      </c>
      <c r="D348" s="39">
        <v>0</v>
      </c>
      <c r="E348" s="1"/>
      <c r="F348" s="39">
        <f t="shared" si="12"/>
        <v>0</v>
      </c>
      <c r="G348" s="395"/>
      <c r="H348" s="395"/>
      <c r="J348" s="42"/>
    </row>
    <row r="349" spans="1:10" s="393" customFormat="1" x14ac:dyDescent="0.25">
      <c r="A349" s="19" t="s">
        <v>21</v>
      </c>
      <c r="B349" s="2">
        <v>43907</v>
      </c>
      <c r="C349" s="1">
        <v>0</v>
      </c>
      <c r="D349" s="39">
        <v>0</v>
      </c>
      <c r="E349" s="1"/>
      <c r="F349" s="39">
        <f t="shared" si="12"/>
        <v>0</v>
      </c>
      <c r="G349" s="395"/>
      <c r="H349" s="395"/>
      <c r="J349" s="42"/>
    </row>
    <row r="350" spans="1:10" s="393" customFormat="1" x14ac:dyDescent="0.25">
      <c r="A350" s="19" t="s">
        <v>17</v>
      </c>
      <c r="B350" s="2">
        <v>43907</v>
      </c>
      <c r="C350" s="1">
        <v>0</v>
      </c>
      <c r="D350" s="39">
        <v>0</v>
      </c>
      <c r="E350" s="1"/>
      <c r="F350" s="39">
        <f t="shared" si="12"/>
        <v>0</v>
      </c>
      <c r="G350" s="395"/>
      <c r="H350" s="395"/>
      <c r="J350" s="42"/>
    </row>
    <row r="351" spans="1:10" s="393" customFormat="1" x14ac:dyDescent="0.25">
      <c r="A351" s="19" t="s">
        <v>23</v>
      </c>
      <c r="B351" s="2">
        <v>43907</v>
      </c>
      <c r="C351" s="1">
        <v>0</v>
      </c>
      <c r="D351" s="39">
        <v>0</v>
      </c>
      <c r="E351" s="1"/>
      <c r="F351" s="39">
        <f t="shared" si="12"/>
        <v>0</v>
      </c>
      <c r="G351" s="395"/>
      <c r="H351" s="395"/>
      <c r="J351" s="42"/>
    </row>
    <row r="352" spans="1:10" s="393" customFormat="1" x14ac:dyDescent="0.25">
      <c r="A352" s="19" t="s">
        <v>19</v>
      </c>
      <c r="B352" s="2">
        <v>43907</v>
      </c>
      <c r="C352" s="1">
        <v>0</v>
      </c>
      <c r="D352" s="39">
        <v>0</v>
      </c>
      <c r="E352" s="1"/>
      <c r="F352" s="39">
        <f t="shared" si="12"/>
        <v>0</v>
      </c>
      <c r="G352" s="395"/>
      <c r="H352" s="395"/>
      <c r="J352" s="42"/>
    </row>
    <row r="353" spans="1:10" s="393" customFormat="1" x14ac:dyDescent="0.25">
      <c r="A353" s="19" t="s">
        <v>18</v>
      </c>
      <c r="B353" s="2">
        <v>43907</v>
      </c>
      <c r="C353" s="1">
        <v>1</v>
      </c>
      <c r="D353" s="39">
        <v>2</v>
      </c>
      <c r="E353" s="1"/>
      <c r="F353" s="39">
        <f t="shared" si="12"/>
        <v>0</v>
      </c>
      <c r="G353" s="395"/>
      <c r="H353" s="395"/>
      <c r="J353" s="42"/>
    </row>
    <row r="354" spans="1:10" s="393" customFormat="1" x14ac:dyDescent="0.25">
      <c r="A354" s="19" t="s">
        <v>34</v>
      </c>
      <c r="B354" s="2">
        <v>43907</v>
      </c>
      <c r="C354" s="1">
        <v>1</v>
      </c>
      <c r="D354" s="39">
        <v>1</v>
      </c>
      <c r="E354" s="1"/>
      <c r="F354" s="39">
        <f t="shared" si="12"/>
        <v>0</v>
      </c>
      <c r="G354" s="395"/>
      <c r="H354" s="395"/>
      <c r="J354" s="42"/>
    </row>
    <row r="355" spans="1:10" s="393" customFormat="1" x14ac:dyDescent="0.25">
      <c r="A355" s="19" t="s">
        <v>35</v>
      </c>
      <c r="B355" s="2">
        <v>43907</v>
      </c>
      <c r="C355" s="1">
        <v>0</v>
      </c>
      <c r="D355" s="39">
        <v>0</v>
      </c>
      <c r="E355" s="1"/>
      <c r="F355" s="39">
        <f t="shared" si="12"/>
        <v>0</v>
      </c>
      <c r="G355" s="395"/>
      <c r="H355" s="395"/>
      <c r="J355" s="42"/>
    </row>
    <row r="356" spans="1:10" s="393" customFormat="1" x14ac:dyDescent="0.25">
      <c r="A356" s="19" t="s">
        <v>36</v>
      </c>
      <c r="B356" s="2">
        <v>43907</v>
      </c>
      <c r="C356" s="1">
        <v>0</v>
      </c>
      <c r="D356" s="39">
        <v>3</v>
      </c>
      <c r="E356" s="1"/>
      <c r="F356" s="39">
        <f t="shared" si="12"/>
        <v>0</v>
      </c>
      <c r="G356" s="395"/>
      <c r="H356" s="395"/>
      <c r="J356" s="42"/>
    </row>
    <row r="357" spans="1:10" s="393" customFormat="1" x14ac:dyDescent="0.25">
      <c r="A357" s="19" t="s">
        <v>37</v>
      </c>
      <c r="B357" s="2">
        <v>43907</v>
      </c>
      <c r="C357" s="1">
        <v>1</v>
      </c>
      <c r="D357" s="39">
        <v>1</v>
      </c>
      <c r="E357" s="1"/>
      <c r="F357" s="39">
        <f t="shared" si="12"/>
        <v>0</v>
      </c>
      <c r="G357" s="395"/>
      <c r="H357" s="395"/>
      <c r="J357" s="42"/>
    </row>
    <row r="358" spans="1:10" s="393" customFormat="1" x14ac:dyDescent="0.25">
      <c r="A358" s="19" t="s">
        <v>22</v>
      </c>
      <c r="B358" s="2">
        <v>43907</v>
      </c>
      <c r="C358" s="1">
        <v>0</v>
      </c>
      <c r="D358" s="39">
        <v>1</v>
      </c>
      <c r="E358" s="1"/>
      <c r="F358" s="39">
        <f t="shared" si="12"/>
        <v>0</v>
      </c>
      <c r="G358" s="395"/>
      <c r="H358" s="395"/>
      <c r="J358" s="42"/>
    </row>
    <row r="359" spans="1:10" s="393" customFormat="1" x14ac:dyDescent="0.25">
      <c r="A359" s="19" t="s">
        <v>38</v>
      </c>
      <c r="B359" s="2">
        <v>43907</v>
      </c>
      <c r="C359" s="1">
        <v>0</v>
      </c>
      <c r="D359" s="39">
        <v>0</v>
      </c>
      <c r="E359" s="1"/>
      <c r="F359" s="39">
        <f t="shared" si="12"/>
        <v>0</v>
      </c>
      <c r="G359" s="395"/>
      <c r="H359" s="395"/>
      <c r="J359" s="42"/>
    </row>
    <row r="360" spans="1:10" s="393" customFormat="1" x14ac:dyDescent="0.25">
      <c r="A360" s="19" t="s">
        <v>39</v>
      </c>
      <c r="B360" s="2">
        <v>43907</v>
      </c>
      <c r="C360" s="1">
        <v>0</v>
      </c>
      <c r="D360" s="39">
        <v>2</v>
      </c>
      <c r="E360" s="1"/>
      <c r="F360" s="39">
        <f t="shared" si="12"/>
        <v>0</v>
      </c>
      <c r="G360" s="395"/>
      <c r="H360" s="395"/>
      <c r="J360" s="42"/>
    </row>
    <row r="361" spans="1:10" s="393" customFormat="1" x14ac:dyDescent="0.25">
      <c r="A361" s="19" t="s">
        <v>40</v>
      </c>
      <c r="B361" s="2">
        <v>43907</v>
      </c>
      <c r="C361" s="1">
        <v>0</v>
      </c>
      <c r="D361" s="39">
        <v>0</v>
      </c>
      <c r="E361" s="1"/>
      <c r="F361" s="39">
        <f t="shared" si="12"/>
        <v>0</v>
      </c>
      <c r="G361" s="395"/>
      <c r="H361" s="395"/>
      <c r="J361" s="42"/>
    </row>
    <row r="362" spans="1:10" s="393" customFormat="1" x14ac:dyDescent="0.25">
      <c r="A362" s="394" t="s">
        <v>16</v>
      </c>
      <c r="B362" s="2">
        <v>43908</v>
      </c>
      <c r="C362" s="1">
        <v>6</v>
      </c>
      <c r="D362" s="39">
        <v>19</v>
      </c>
      <c r="E362" s="266"/>
      <c r="F362" s="39">
        <f>E362+F338</f>
        <v>0</v>
      </c>
      <c r="G362" s="395"/>
      <c r="H362" s="395"/>
      <c r="J362" s="42"/>
    </row>
    <row r="363" spans="1:10" s="393" customFormat="1" x14ac:dyDescent="0.25">
      <c r="A363" s="19" t="s">
        <v>28</v>
      </c>
      <c r="B363" s="2">
        <v>43908</v>
      </c>
      <c r="C363" s="1">
        <v>0</v>
      </c>
      <c r="D363" s="39">
        <v>0</v>
      </c>
      <c r="E363" s="1"/>
      <c r="F363" s="39">
        <f t="shared" ref="F363:F385" si="13">E363+F339</f>
        <v>0</v>
      </c>
      <c r="G363" s="395"/>
      <c r="H363" s="395"/>
      <c r="J363" s="42"/>
    </row>
    <row r="364" spans="1:10" s="393" customFormat="1" x14ac:dyDescent="0.25">
      <c r="A364" s="19" t="s">
        <v>15</v>
      </c>
      <c r="B364" s="2">
        <v>43908</v>
      </c>
      <c r="C364" s="1">
        <v>1</v>
      </c>
      <c r="D364" s="39">
        <v>12</v>
      </c>
      <c r="E364" s="1"/>
      <c r="F364" s="39">
        <f t="shared" si="13"/>
        <v>1</v>
      </c>
      <c r="G364" s="395"/>
      <c r="H364" s="395"/>
      <c r="J364" s="42"/>
    </row>
    <row r="365" spans="1:10" s="393" customFormat="1" x14ac:dyDescent="0.25">
      <c r="A365" s="19" t="s">
        <v>29</v>
      </c>
      <c r="B365" s="2">
        <v>43908</v>
      </c>
      <c r="C365" s="1">
        <v>0</v>
      </c>
      <c r="D365" s="39">
        <v>0</v>
      </c>
      <c r="E365" s="1"/>
      <c r="F365" s="39">
        <f t="shared" si="13"/>
        <v>0</v>
      </c>
      <c r="G365" s="395"/>
      <c r="H365" s="395"/>
      <c r="J365" s="42"/>
    </row>
    <row r="366" spans="1:10" s="393" customFormat="1" x14ac:dyDescent="0.25">
      <c r="A366" s="19" t="s">
        <v>43</v>
      </c>
      <c r="B366" s="2">
        <v>43908</v>
      </c>
      <c r="C366" s="1">
        <v>10</v>
      </c>
      <c r="D366" s="39">
        <v>47</v>
      </c>
      <c r="E366" s="1"/>
      <c r="F366" s="39">
        <f t="shared" si="13"/>
        <v>1</v>
      </c>
      <c r="G366" s="395"/>
      <c r="H366" s="395"/>
      <c r="J366" s="42"/>
    </row>
    <row r="367" spans="1:10" s="393" customFormat="1" x14ac:dyDescent="0.25">
      <c r="A367" s="19" t="s">
        <v>20</v>
      </c>
      <c r="B367" s="2">
        <v>43908</v>
      </c>
      <c r="C367" s="1">
        <v>1</v>
      </c>
      <c r="D367" s="39">
        <v>5</v>
      </c>
      <c r="E367" s="1"/>
      <c r="F367" s="39">
        <f t="shared" si="13"/>
        <v>0</v>
      </c>
      <c r="G367" s="395"/>
      <c r="H367" s="395"/>
      <c r="J367" s="42"/>
    </row>
    <row r="368" spans="1:10" s="393" customFormat="1" x14ac:dyDescent="0.25">
      <c r="A368" s="19" t="s">
        <v>30</v>
      </c>
      <c r="B368" s="2">
        <v>43908</v>
      </c>
      <c r="C368" s="1">
        <v>0</v>
      </c>
      <c r="D368" s="39">
        <v>0</v>
      </c>
      <c r="E368" s="1"/>
      <c r="F368" s="39">
        <f t="shared" si="13"/>
        <v>0</v>
      </c>
      <c r="G368" s="395"/>
      <c r="H368" s="395"/>
      <c r="J368" s="42"/>
    </row>
    <row r="369" spans="1:10" x14ac:dyDescent="0.25">
      <c r="A369" s="19" t="s">
        <v>31</v>
      </c>
      <c r="B369" s="2">
        <v>43908</v>
      </c>
      <c r="C369" s="1">
        <v>1</v>
      </c>
      <c r="D369" s="39">
        <v>3</v>
      </c>
      <c r="F369" s="39">
        <f t="shared" si="13"/>
        <v>0</v>
      </c>
    </row>
    <row r="370" spans="1:10" s="393" customFormat="1" x14ac:dyDescent="0.25">
      <c r="A370" s="19" t="s">
        <v>41</v>
      </c>
      <c r="B370" s="2">
        <v>43908</v>
      </c>
      <c r="C370" s="1">
        <v>0</v>
      </c>
      <c r="D370" s="39">
        <v>0</v>
      </c>
      <c r="E370" s="1"/>
      <c r="F370" s="39">
        <f t="shared" si="13"/>
        <v>0</v>
      </c>
      <c r="G370" s="395"/>
      <c r="H370" s="395"/>
      <c r="J370" s="42"/>
    </row>
    <row r="371" spans="1:10" s="393" customFormat="1" x14ac:dyDescent="0.25">
      <c r="A371" s="19" t="s">
        <v>32</v>
      </c>
      <c r="B371" s="2">
        <v>43908</v>
      </c>
      <c r="C371" s="1">
        <v>0</v>
      </c>
      <c r="D371" s="39">
        <v>1</v>
      </c>
      <c r="E371" s="1"/>
      <c r="F371" s="39">
        <f t="shared" si="13"/>
        <v>0</v>
      </c>
      <c r="G371" s="395"/>
      <c r="H371" s="395"/>
      <c r="J371" s="42"/>
    </row>
    <row r="372" spans="1:10" s="393" customFormat="1" x14ac:dyDescent="0.25">
      <c r="A372" s="19" t="s">
        <v>33</v>
      </c>
      <c r="B372" s="2">
        <v>43908</v>
      </c>
      <c r="C372" s="1">
        <v>0</v>
      </c>
      <c r="D372" s="39">
        <v>0</v>
      </c>
      <c r="E372" s="1"/>
      <c r="F372" s="39">
        <f t="shared" si="13"/>
        <v>0</v>
      </c>
      <c r="G372" s="395"/>
      <c r="H372" s="395"/>
      <c r="J372" s="42"/>
    </row>
    <row r="373" spans="1:10" s="393" customFormat="1" x14ac:dyDescent="0.25">
      <c r="A373" s="19" t="s">
        <v>21</v>
      </c>
      <c r="B373" s="2">
        <v>43908</v>
      </c>
      <c r="C373" s="1">
        <v>0</v>
      </c>
      <c r="D373" s="39">
        <v>0</v>
      </c>
      <c r="E373" s="1"/>
      <c r="F373" s="39">
        <f t="shared" si="13"/>
        <v>0</v>
      </c>
      <c r="G373" s="395"/>
      <c r="H373" s="395"/>
      <c r="J373" s="42"/>
    </row>
    <row r="374" spans="1:10" s="393" customFormat="1" x14ac:dyDescent="0.25">
      <c r="A374" s="19" t="s">
        <v>17</v>
      </c>
      <c r="B374" s="2">
        <v>43908</v>
      </c>
      <c r="C374" s="1">
        <v>0</v>
      </c>
      <c r="D374" s="39">
        <v>0</v>
      </c>
      <c r="E374" s="1"/>
      <c r="F374" s="39">
        <f t="shared" si="13"/>
        <v>0</v>
      </c>
      <c r="G374" s="395"/>
      <c r="H374" s="395"/>
      <c r="J374" s="42"/>
    </row>
    <row r="375" spans="1:10" s="393" customFormat="1" x14ac:dyDescent="0.25">
      <c r="A375" s="19" t="s">
        <v>23</v>
      </c>
      <c r="B375" s="2">
        <v>43908</v>
      </c>
      <c r="C375" s="1">
        <v>0</v>
      </c>
      <c r="D375" s="39">
        <v>0</v>
      </c>
      <c r="E375" s="1"/>
      <c r="F375" s="39">
        <f t="shared" si="13"/>
        <v>0</v>
      </c>
      <c r="G375" s="395"/>
      <c r="H375" s="395"/>
      <c r="J375" s="42"/>
    </row>
    <row r="376" spans="1:10" s="393" customFormat="1" x14ac:dyDescent="0.25">
      <c r="A376" s="19" t="s">
        <v>19</v>
      </c>
      <c r="B376" s="2">
        <v>43908</v>
      </c>
      <c r="C376" s="1">
        <v>0</v>
      </c>
      <c r="D376" s="39">
        <v>0</v>
      </c>
      <c r="E376" s="1"/>
      <c r="F376" s="39">
        <f t="shared" si="13"/>
        <v>0</v>
      </c>
      <c r="G376" s="395"/>
      <c r="H376" s="395"/>
      <c r="J376" s="42"/>
    </row>
    <row r="377" spans="1:10" s="393" customFormat="1" x14ac:dyDescent="0.25">
      <c r="A377" s="19" t="s">
        <v>18</v>
      </c>
      <c r="B377" s="2">
        <v>43908</v>
      </c>
      <c r="C377" s="1">
        <v>0</v>
      </c>
      <c r="D377" s="39">
        <v>2</v>
      </c>
      <c r="E377" s="1"/>
      <c r="F377" s="39">
        <f t="shared" si="13"/>
        <v>0</v>
      </c>
      <c r="G377" s="395"/>
      <c r="H377" s="395"/>
      <c r="J377" s="42"/>
    </row>
    <row r="378" spans="1:10" s="393" customFormat="1" x14ac:dyDescent="0.25">
      <c r="A378" s="19" t="s">
        <v>34</v>
      </c>
      <c r="B378" s="2">
        <v>43908</v>
      </c>
      <c r="C378" s="1">
        <v>0</v>
      </c>
      <c r="D378" s="39">
        <v>1</v>
      </c>
      <c r="E378" s="1"/>
      <c r="F378" s="39">
        <f t="shared" si="13"/>
        <v>0</v>
      </c>
      <c r="G378" s="395"/>
      <c r="H378" s="395"/>
      <c r="J378" s="42"/>
    </row>
    <row r="379" spans="1:10" s="393" customFormat="1" x14ac:dyDescent="0.25">
      <c r="A379" s="19" t="s">
        <v>35</v>
      </c>
      <c r="B379" s="2">
        <v>43908</v>
      </c>
      <c r="C379" s="1">
        <v>0</v>
      </c>
      <c r="D379" s="39">
        <v>0</v>
      </c>
      <c r="E379" s="1"/>
      <c r="F379" s="39">
        <f t="shared" si="13"/>
        <v>0</v>
      </c>
      <c r="G379" s="395"/>
      <c r="H379" s="395"/>
      <c r="J379" s="42"/>
    </row>
    <row r="380" spans="1:10" s="393" customFormat="1" x14ac:dyDescent="0.25">
      <c r="A380" s="19" t="s">
        <v>36</v>
      </c>
      <c r="B380" s="2">
        <v>43908</v>
      </c>
      <c r="C380" s="1">
        <v>0</v>
      </c>
      <c r="D380" s="39">
        <v>3</v>
      </c>
      <c r="E380" s="1"/>
      <c r="F380" s="39">
        <f t="shared" si="13"/>
        <v>0</v>
      </c>
      <c r="G380" s="395"/>
      <c r="H380" s="395"/>
      <c r="J380" s="42"/>
    </row>
    <row r="381" spans="1:10" s="393" customFormat="1" x14ac:dyDescent="0.25">
      <c r="A381" s="19" t="s">
        <v>37</v>
      </c>
      <c r="B381" s="2">
        <v>43908</v>
      </c>
      <c r="C381" s="1">
        <v>0</v>
      </c>
      <c r="D381" s="39">
        <v>1</v>
      </c>
      <c r="E381" s="1"/>
      <c r="F381" s="39">
        <f t="shared" si="13"/>
        <v>0</v>
      </c>
      <c r="G381" s="395"/>
      <c r="H381" s="395"/>
      <c r="J381" s="42"/>
    </row>
    <row r="382" spans="1:10" s="393" customFormat="1" x14ac:dyDescent="0.25">
      <c r="A382" s="19" t="s">
        <v>22</v>
      </c>
      <c r="B382" s="2">
        <v>43908</v>
      </c>
      <c r="C382" s="1">
        <v>0</v>
      </c>
      <c r="D382" s="39">
        <v>1</v>
      </c>
      <c r="E382" s="1"/>
      <c r="F382" s="39">
        <f t="shared" si="13"/>
        <v>0</v>
      </c>
      <c r="G382" s="395"/>
      <c r="H382" s="395"/>
      <c r="J382" s="42"/>
    </row>
    <row r="383" spans="1:10" s="393" customFormat="1" x14ac:dyDescent="0.25">
      <c r="A383" s="19" t="s">
        <v>38</v>
      </c>
      <c r="B383" s="2">
        <v>43908</v>
      </c>
      <c r="C383" s="1">
        <v>0</v>
      </c>
      <c r="D383" s="39">
        <v>0</v>
      </c>
      <c r="E383" s="1"/>
      <c r="F383" s="39">
        <f t="shared" si="13"/>
        <v>0</v>
      </c>
      <c r="G383" s="395"/>
      <c r="H383" s="395"/>
      <c r="J383" s="42"/>
    </row>
    <row r="384" spans="1:10" s="393" customFormat="1" x14ac:dyDescent="0.25">
      <c r="A384" s="19" t="s">
        <v>39</v>
      </c>
      <c r="B384" s="2">
        <v>43908</v>
      </c>
      <c r="C384" s="1">
        <v>0</v>
      </c>
      <c r="D384" s="39">
        <v>2</v>
      </c>
      <c r="E384" s="1"/>
      <c r="F384" s="39">
        <f t="shared" si="13"/>
        <v>0</v>
      </c>
      <c r="G384" s="395"/>
      <c r="H384" s="395"/>
      <c r="J384" s="42"/>
    </row>
    <row r="385" spans="1:10" s="393" customFormat="1" x14ac:dyDescent="0.25">
      <c r="A385" s="19" t="s">
        <v>40</v>
      </c>
      <c r="B385" s="2">
        <v>43908</v>
      </c>
      <c r="C385" s="1">
        <v>0</v>
      </c>
      <c r="D385" s="39">
        <v>0</v>
      </c>
      <c r="E385" s="1"/>
      <c r="F385" s="39">
        <f t="shared" si="13"/>
        <v>0</v>
      </c>
      <c r="G385" s="395"/>
      <c r="H385" s="395"/>
      <c r="J385" s="42"/>
    </row>
    <row r="386" spans="1:10" s="393" customFormat="1" x14ac:dyDescent="0.25">
      <c r="A386" s="394" t="s">
        <v>16</v>
      </c>
      <c r="B386" s="2">
        <v>43909</v>
      </c>
      <c r="C386" s="1">
        <v>14</v>
      </c>
      <c r="D386" s="39">
        <v>33</v>
      </c>
      <c r="E386" s="1"/>
      <c r="F386" s="39">
        <f>E386+F362</f>
        <v>0</v>
      </c>
      <c r="G386" s="395"/>
      <c r="H386" s="395"/>
      <c r="J386" s="42"/>
    </row>
    <row r="387" spans="1:10" s="393" customFormat="1" x14ac:dyDescent="0.25">
      <c r="A387" s="19" t="s">
        <v>28</v>
      </c>
      <c r="B387" s="2">
        <v>43909</v>
      </c>
      <c r="C387" s="1">
        <v>0</v>
      </c>
      <c r="D387" s="39">
        <v>0</v>
      </c>
      <c r="E387" s="1"/>
      <c r="F387" s="39">
        <f t="shared" ref="F387:F409" si="14">E387+F363</f>
        <v>0</v>
      </c>
      <c r="G387" s="395"/>
      <c r="H387" s="395"/>
      <c r="J387" s="42"/>
    </row>
    <row r="388" spans="1:10" s="393" customFormat="1" x14ac:dyDescent="0.25">
      <c r="A388" s="19" t="s">
        <v>15</v>
      </c>
      <c r="B388" s="2">
        <v>43909</v>
      </c>
      <c r="C388" s="1">
        <v>2</v>
      </c>
      <c r="D388" s="39">
        <v>14</v>
      </c>
      <c r="E388" s="1"/>
      <c r="F388" s="39">
        <f t="shared" si="14"/>
        <v>1</v>
      </c>
      <c r="G388" s="395"/>
      <c r="H388" s="395"/>
      <c r="J388" s="42"/>
    </row>
    <row r="389" spans="1:10" s="393" customFormat="1" x14ac:dyDescent="0.25">
      <c r="A389" s="19" t="s">
        <v>29</v>
      </c>
      <c r="B389" s="2">
        <v>43909</v>
      </c>
      <c r="C389" s="1">
        <v>0</v>
      </c>
      <c r="D389" s="39">
        <v>0</v>
      </c>
      <c r="E389" s="1"/>
      <c r="F389" s="39">
        <f t="shared" si="14"/>
        <v>0</v>
      </c>
      <c r="G389" s="395"/>
      <c r="H389" s="395"/>
      <c r="J389" s="42"/>
    </row>
    <row r="390" spans="1:10" s="393" customFormat="1" x14ac:dyDescent="0.25">
      <c r="A390" s="19" t="s">
        <v>43</v>
      </c>
      <c r="B390" s="2">
        <v>43909</v>
      </c>
      <c r="C390" s="1">
        <v>8</v>
      </c>
      <c r="D390" s="39">
        <v>55</v>
      </c>
      <c r="E390" s="1"/>
      <c r="F390" s="39">
        <f t="shared" si="14"/>
        <v>1</v>
      </c>
      <c r="G390" s="395"/>
      <c r="H390" s="395"/>
      <c r="J390" s="42"/>
    </row>
    <row r="391" spans="1:10" s="393" customFormat="1" x14ac:dyDescent="0.25">
      <c r="A391" s="19" t="s">
        <v>20</v>
      </c>
      <c r="B391" s="2">
        <v>43909</v>
      </c>
      <c r="C391" s="1">
        <v>3</v>
      </c>
      <c r="D391" s="39">
        <v>8</v>
      </c>
      <c r="E391" s="1"/>
      <c r="F391" s="39">
        <f t="shared" si="14"/>
        <v>0</v>
      </c>
      <c r="G391" s="395"/>
      <c r="H391" s="395"/>
      <c r="J391" s="42"/>
    </row>
    <row r="392" spans="1:10" s="393" customFormat="1" x14ac:dyDescent="0.25">
      <c r="A392" s="19" t="s">
        <v>30</v>
      </c>
      <c r="B392" s="2">
        <v>43909</v>
      </c>
      <c r="C392" s="1">
        <v>0</v>
      </c>
      <c r="D392" s="39">
        <v>0</v>
      </c>
      <c r="E392" s="1"/>
      <c r="F392" s="39">
        <f t="shared" si="14"/>
        <v>0</v>
      </c>
      <c r="G392" s="395"/>
      <c r="H392" s="395"/>
      <c r="J392" s="42"/>
    </row>
    <row r="393" spans="1:10" x14ac:dyDescent="0.25">
      <c r="A393" s="19" t="s">
        <v>31</v>
      </c>
      <c r="B393" s="2">
        <v>43909</v>
      </c>
      <c r="C393" s="1">
        <v>0</v>
      </c>
      <c r="D393" s="39">
        <v>3</v>
      </c>
      <c r="F393" s="39">
        <f t="shared" si="14"/>
        <v>0</v>
      </c>
    </row>
    <row r="394" spans="1:10" s="393" customFormat="1" x14ac:dyDescent="0.25">
      <c r="A394" s="19" t="s">
        <v>41</v>
      </c>
      <c r="B394" s="2">
        <v>43909</v>
      </c>
      <c r="C394" s="1">
        <v>0</v>
      </c>
      <c r="D394" s="39">
        <v>0</v>
      </c>
      <c r="E394" s="1"/>
      <c r="F394" s="39">
        <f t="shared" si="14"/>
        <v>0</v>
      </c>
      <c r="G394" s="395"/>
      <c r="H394" s="395"/>
      <c r="J394" s="42"/>
    </row>
    <row r="395" spans="1:10" s="393" customFormat="1" x14ac:dyDescent="0.25">
      <c r="A395" s="19" t="s">
        <v>32</v>
      </c>
      <c r="B395" s="2">
        <v>43909</v>
      </c>
      <c r="C395" s="1">
        <v>0</v>
      </c>
      <c r="D395" s="39">
        <v>1</v>
      </c>
      <c r="E395" s="1"/>
      <c r="F395" s="39">
        <f t="shared" si="14"/>
        <v>0</v>
      </c>
      <c r="G395" s="395"/>
      <c r="H395" s="395"/>
      <c r="J395" s="42"/>
    </row>
    <row r="396" spans="1:10" s="393" customFormat="1" x14ac:dyDescent="0.25">
      <c r="A396" s="19" t="s">
        <v>33</v>
      </c>
      <c r="B396" s="2">
        <v>43909</v>
      </c>
      <c r="C396" s="1">
        <v>0</v>
      </c>
      <c r="D396" s="39">
        <v>0</v>
      </c>
      <c r="E396" s="1"/>
      <c r="F396" s="39">
        <f t="shared" si="14"/>
        <v>0</v>
      </c>
      <c r="G396" s="395"/>
      <c r="H396" s="395"/>
      <c r="J396" s="42"/>
    </row>
    <row r="397" spans="1:10" s="393" customFormat="1" x14ac:dyDescent="0.25">
      <c r="A397" s="19" t="s">
        <v>21</v>
      </c>
      <c r="B397" s="2">
        <v>43909</v>
      </c>
      <c r="C397" s="1">
        <v>0</v>
      </c>
      <c r="D397" s="39">
        <v>0</v>
      </c>
      <c r="E397" s="1"/>
      <c r="F397" s="39">
        <f t="shared" si="14"/>
        <v>0</v>
      </c>
      <c r="G397" s="395"/>
      <c r="H397" s="395"/>
      <c r="J397" s="42"/>
    </row>
    <row r="398" spans="1:10" s="393" customFormat="1" x14ac:dyDescent="0.25">
      <c r="A398" s="19" t="s">
        <v>17</v>
      </c>
      <c r="B398" s="2">
        <v>43909</v>
      </c>
      <c r="C398" s="1">
        <v>0</v>
      </c>
      <c r="D398" s="39">
        <v>0</v>
      </c>
      <c r="E398" s="1"/>
      <c r="F398" s="39">
        <f t="shared" si="14"/>
        <v>0</v>
      </c>
      <c r="G398" s="395"/>
      <c r="H398" s="395"/>
      <c r="J398" s="42"/>
    </row>
    <row r="399" spans="1:10" s="393" customFormat="1" x14ac:dyDescent="0.25">
      <c r="A399" s="19" t="s">
        <v>23</v>
      </c>
      <c r="B399" s="2">
        <v>43909</v>
      </c>
      <c r="C399" s="1">
        <v>0</v>
      </c>
      <c r="D399" s="39">
        <v>0</v>
      </c>
      <c r="E399" s="1"/>
      <c r="F399" s="39">
        <f t="shared" si="14"/>
        <v>0</v>
      </c>
      <c r="G399" s="395"/>
      <c r="H399" s="395"/>
      <c r="J399" s="42"/>
    </row>
    <row r="400" spans="1:10" s="393" customFormat="1" x14ac:dyDescent="0.25">
      <c r="A400" s="19" t="s">
        <v>19</v>
      </c>
      <c r="B400" s="2">
        <v>43909</v>
      </c>
      <c r="C400" s="1">
        <v>0</v>
      </c>
      <c r="D400" s="39">
        <v>0</v>
      </c>
      <c r="E400" s="1"/>
      <c r="F400" s="39">
        <f t="shared" si="14"/>
        <v>0</v>
      </c>
      <c r="G400" s="395"/>
      <c r="H400" s="395"/>
      <c r="J400" s="42"/>
    </row>
    <row r="401" spans="1:10" s="393" customFormat="1" x14ac:dyDescent="0.25">
      <c r="A401" s="19" t="s">
        <v>18</v>
      </c>
      <c r="B401" s="2">
        <v>43909</v>
      </c>
      <c r="C401" s="1">
        <v>1</v>
      </c>
      <c r="D401" s="39">
        <v>3</v>
      </c>
      <c r="E401" s="1"/>
      <c r="F401" s="39">
        <f t="shared" si="14"/>
        <v>0</v>
      </c>
      <c r="G401" s="395"/>
      <c r="H401" s="395"/>
      <c r="J401" s="42"/>
    </row>
    <row r="402" spans="1:10" s="393" customFormat="1" x14ac:dyDescent="0.25">
      <c r="A402" s="19" t="s">
        <v>34</v>
      </c>
      <c r="B402" s="2">
        <v>43909</v>
      </c>
      <c r="C402" s="1">
        <v>0</v>
      </c>
      <c r="D402" s="39">
        <v>1</v>
      </c>
      <c r="E402" s="1"/>
      <c r="F402" s="39">
        <f t="shared" si="14"/>
        <v>0</v>
      </c>
      <c r="G402" s="395"/>
      <c r="H402" s="395"/>
      <c r="J402" s="42"/>
    </row>
    <row r="403" spans="1:10" s="393" customFormat="1" x14ac:dyDescent="0.25">
      <c r="A403" s="19" t="s">
        <v>35</v>
      </c>
      <c r="B403" s="2">
        <v>43909</v>
      </c>
      <c r="C403" s="1">
        <v>0</v>
      </c>
      <c r="D403" s="39">
        <v>0</v>
      </c>
      <c r="E403" s="1"/>
      <c r="F403" s="39">
        <f t="shared" si="14"/>
        <v>0</v>
      </c>
      <c r="G403" s="395"/>
      <c r="H403" s="395"/>
      <c r="J403" s="42"/>
    </row>
    <row r="404" spans="1:10" s="393" customFormat="1" x14ac:dyDescent="0.25">
      <c r="A404" s="19" t="s">
        <v>36</v>
      </c>
      <c r="B404" s="2">
        <v>43909</v>
      </c>
      <c r="C404" s="1">
        <v>0</v>
      </c>
      <c r="D404" s="39">
        <v>3</v>
      </c>
      <c r="E404" s="1"/>
      <c r="F404" s="39">
        <f t="shared" si="14"/>
        <v>0</v>
      </c>
      <c r="G404" s="395"/>
      <c r="H404" s="395"/>
      <c r="J404" s="42"/>
    </row>
    <row r="405" spans="1:10" s="393" customFormat="1" x14ac:dyDescent="0.25">
      <c r="A405" s="19" t="s">
        <v>37</v>
      </c>
      <c r="B405" s="2">
        <v>43909</v>
      </c>
      <c r="C405" s="1">
        <v>0</v>
      </c>
      <c r="D405" s="39">
        <v>1</v>
      </c>
      <c r="E405" s="1"/>
      <c r="F405" s="39">
        <f t="shared" si="14"/>
        <v>0</v>
      </c>
      <c r="G405" s="395"/>
      <c r="H405" s="395"/>
      <c r="J405" s="42"/>
    </row>
    <row r="406" spans="1:10" s="393" customFormat="1" x14ac:dyDescent="0.25">
      <c r="A406" s="19" t="s">
        <v>22</v>
      </c>
      <c r="B406" s="2">
        <v>43909</v>
      </c>
      <c r="C406" s="1">
        <v>1</v>
      </c>
      <c r="D406" s="39">
        <v>2</v>
      </c>
      <c r="E406" s="1"/>
      <c r="F406" s="39">
        <f t="shared" si="14"/>
        <v>0</v>
      </c>
      <c r="G406" s="395"/>
      <c r="H406" s="395"/>
      <c r="J406" s="42"/>
    </row>
    <row r="407" spans="1:10" s="393" customFormat="1" x14ac:dyDescent="0.25">
      <c r="A407" s="19" t="s">
        <v>38</v>
      </c>
      <c r="B407" s="2">
        <v>43909</v>
      </c>
      <c r="C407" s="1">
        <v>0</v>
      </c>
      <c r="D407" s="39">
        <v>0</v>
      </c>
      <c r="E407" s="1"/>
      <c r="F407" s="39">
        <f t="shared" si="14"/>
        <v>0</v>
      </c>
      <c r="G407" s="395"/>
      <c r="H407" s="395"/>
      <c r="J407" s="42"/>
    </row>
    <row r="408" spans="1:10" s="393" customFormat="1" x14ac:dyDescent="0.25">
      <c r="A408" s="19" t="s">
        <v>39</v>
      </c>
      <c r="B408" s="2">
        <v>43909</v>
      </c>
      <c r="C408" s="1">
        <v>0</v>
      </c>
      <c r="D408" s="39">
        <v>2</v>
      </c>
      <c r="E408" s="1"/>
      <c r="F408" s="39">
        <f t="shared" si="14"/>
        <v>0</v>
      </c>
      <c r="G408" s="395"/>
      <c r="H408" s="395"/>
      <c r="J408" s="42"/>
    </row>
    <row r="409" spans="1:10" s="393" customFormat="1" x14ac:dyDescent="0.25">
      <c r="A409" s="19" t="s">
        <v>40</v>
      </c>
      <c r="B409" s="2">
        <v>43909</v>
      </c>
      <c r="C409" s="1">
        <v>1</v>
      </c>
      <c r="D409" s="39">
        <v>1</v>
      </c>
      <c r="E409" s="1"/>
      <c r="F409" s="39">
        <f t="shared" si="14"/>
        <v>0</v>
      </c>
      <c r="G409" s="395"/>
      <c r="H409" s="395"/>
      <c r="J409" s="42"/>
    </row>
    <row r="410" spans="1:10" s="393" customFormat="1" x14ac:dyDescent="0.25">
      <c r="A410" s="394" t="s">
        <v>16</v>
      </c>
      <c r="B410" s="2">
        <v>43910</v>
      </c>
      <c r="C410" s="1">
        <v>9</v>
      </c>
      <c r="D410" s="39">
        <v>42</v>
      </c>
      <c r="E410" s="1"/>
      <c r="F410" s="39">
        <f>E410+F386</f>
        <v>0</v>
      </c>
      <c r="G410" s="395"/>
      <c r="H410" s="395"/>
      <c r="J410" s="42"/>
    </row>
    <row r="411" spans="1:10" s="393" customFormat="1" x14ac:dyDescent="0.25">
      <c r="A411" s="19" t="s">
        <v>28</v>
      </c>
      <c r="B411" s="2">
        <v>43910</v>
      </c>
      <c r="C411" s="1">
        <v>0</v>
      </c>
      <c r="D411" s="39">
        <v>0</v>
      </c>
      <c r="E411" s="1"/>
      <c r="F411" s="39">
        <f t="shared" ref="F411:F433" si="15">E411+F387</f>
        <v>0</v>
      </c>
      <c r="G411" s="395"/>
      <c r="H411" s="395"/>
      <c r="J411" s="42"/>
    </row>
    <row r="412" spans="1:10" s="393" customFormat="1" x14ac:dyDescent="0.25">
      <c r="A412" s="19" t="s">
        <v>15</v>
      </c>
      <c r="B412" s="2">
        <v>43910</v>
      </c>
      <c r="C412" s="1">
        <v>1</v>
      </c>
      <c r="D412" s="39">
        <v>15</v>
      </c>
      <c r="E412" s="1"/>
      <c r="F412" s="39">
        <f t="shared" si="15"/>
        <v>1</v>
      </c>
      <c r="G412" s="395"/>
      <c r="H412" s="395"/>
      <c r="J412" s="42"/>
    </row>
    <row r="413" spans="1:10" s="393" customFormat="1" x14ac:dyDescent="0.25">
      <c r="A413" s="19" t="s">
        <v>29</v>
      </c>
      <c r="B413" s="2">
        <v>43910</v>
      </c>
      <c r="C413" s="1">
        <v>0</v>
      </c>
      <c r="D413" s="39">
        <v>0</v>
      </c>
      <c r="E413" s="1"/>
      <c r="F413" s="39">
        <f t="shared" si="15"/>
        <v>0</v>
      </c>
      <c r="G413" s="395"/>
      <c r="H413" s="395"/>
      <c r="J413" s="42"/>
    </row>
    <row r="414" spans="1:10" s="393" customFormat="1" x14ac:dyDescent="0.25">
      <c r="A414" s="19" t="s">
        <v>43</v>
      </c>
      <c r="B414" s="2">
        <v>43910</v>
      </c>
      <c r="C414" s="1">
        <v>9</v>
      </c>
      <c r="D414" s="39">
        <v>64</v>
      </c>
      <c r="E414" s="1"/>
      <c r="F414" s="39">
        <f t="shared" si="15"/>
        <v>1</v>
      </c>
      <c r="G414" s="395"/>
      <c r="H414" s="395"/>
      <c r="J414" s="42"/>
    </row>
    <row r="415" spans="1:10" s="393" customFormat="1" x14ac:dyDescent="0.25">
      <c r="A415" s="19" t="s">
        <v>20</v>
      </c>
      <c r="B415" s="2">
        <v>43910</v>
      </c>
      <c r="C415" s="1">
        <v>5</v>
      </c>
      <c r="D415" s="39">
        <v>13</v>
      </c>
      <c r="E415" s="1"/>
      <c r="F415" s="39">
        <f t="shared" si="15"/>
        <v>0</v>
      </c>
      <c r="G415" s="395"/>
      <c r="H415" s="395"/>
      <c r="J415" s="42"/>
    </row>
    <row r="416" spans="1:10" s="393" customFormat="1" x14ac:dyDescent="0.25">
      <c r="A416" s="19" t="s">
        <v>30</v>
      </c>
      <c r="B416" s="2">
        <v>43910</v>
      </c>
      <c r="C416" s="1">
        <v>1</v>
      </c>
      <c r="D416" s="39">
        <v>1</v>
      </c>
      <c r="E416" s="1"/>
      <c r="F416" s="39">
        <f t="shared" si="15"/>
        <v>0</v>
      </c>
      <c r="G416" s="395"/>
      <c r="H416" s="395"/>
      <c r="J416" s="42"/>
    </row>
    <row r="417" spans="1:10" x14ac:dyDescent="0.25">
      <c r="A417" s="19" t="s">
        <v>31</v>
      </c>
      <c r="B417" s="2">
        <v>43910</v>
      </c>
      <c r="C417" s="1">
        <v>1</v>
      </c>
      <c r="D417" s="39">
        <v>4</v>
      </c>
      <c r="F417" s="39">
        <f t="shared" si="15"/>
        <v>0</v>
      </c>
    </row>
    <row r="418" spans="1:10" s="393" customFormat="1" x14ac:dyDescent="0.25">
      <c r="A418" s="19" t="s">
        <v>41</v>
      </c>
      <c r="B418" s="2">
        <v>43910</v>
      </c>
      <c r="C418" s="1">
        <v>0</v>
      </c>
      <c r="D418" s="39">
        <v>0</v>
      </c>
      <c r="E418" s="1"/>
      <c r="F418" s="39">
        <f t="shared" si="15"/>
        <v>0</v>
      </c>
      <c r="G418" s="395"/>
      <c r="H418" s="395"/>
      <c r="J418" s="42"/>
    </row>
    <row r="419" spans="1:10" s="393" customFormat="1" x14ac:dyDescent="0.25">
      <c r="A419" s="19" t="s">
        <v>32</v>
      </c>
      <c r="B419" s="2">
        <v>43910</v>
      </c>
      <c r="C419" s="1">
        <v>0</v>
      </c>
      <c r="D419" s="39">
        <v>1</v>
      </c>
      <c r="E419" s="1"/>
      <c r="F419" s="39">
        <f t="shared" si="15"/>
        <v>0</v>
      </c>
      <c r="G419" s="395"/>
      <c r="H419" s="395"/>
      <c r="J419" s="42"/>
    </row>
    <row r="420" spans="1:10" s="393" customFormat="1" x14ac:dyDescent="0.25">
      <c r="A420" s="19" t="s">
        <v>33</v>
      </c>
      <c r="B420" s="2">
        <v>43910</v>
      </c>
      <c r="C420" s="1">
        <v>0</v>
      </c>
      <c r="D420" s="39">
        <v>0</v>
      </c>
      <c r="E420" s="1"/>
      <c r="F420" s="39">
        <f t="shared" si="15"/>
        <v>0</v>
      </c>
      <c r="G420" s="395"/>
      <c r="H420" s="395"/>
      <c r="J420" s="42"/>
    </row>
    <row r="421" spans="1:10" s="393" customFormat="1" x14ac:dyDescent="0.25">
      <c r="A421" s="19" t="s">
        <v>21</v>
      </c>
      <c r="B421" s="2">
        <v>43910</v>
      </c>
      <c r="C421" s="1">
        <v>0</v>
      </c>
      <c r="D421" s="39">
        <v>0</v>
      </c>
      <c r="E421" s="1"/>
      <c r="F421" s="39">
        <f t="shared" si="15"/>
        <v>0</v>
      </c>
      <c r="G421" s="395"/>
      <c r="H421" s="395"/>
      <c r="J421" s="42"/>
    </row>
    <row r="422" spans="1:10" s="393" customFormat="1" x14ac:dyDescent="0.25">
      <c r="A422" s="19" t="s">
        <v>17</v>
      </c>
      <c r="B422" s="2">
        <v>43910</v>
      </c>
      <c r="C422" s="1">
        <v>0</v>
      </c>
      <c r="D422" s="39">
        <v>0</v>
      </c>
      <c r="E422" s="1"/>
      <c r="F422" s="39">
        <f t="shared" si="15"/>
        <v>0</v>
      </c>
      <c r="G422" s="395"/>
      <c r="H422" s="395"/>
      <c r="J422" s="42"/>
    </row>
    <row r="423" spans="1:10" s="393" customFormat="1" x14ac:dyDescent="0.25">
      <c r="A423" s="19" t="s">
        <v>23</v>
      </c>
      <c r="B423" s="2">
        <v>43910</v>
      </c>
      <c r="C423" s="1">
        <v>0</v>
      </c>
      <c r="D423" s="39">
        <v>0</v>
      </c>
      <c r="E423" s="1"/>
      <c r="F423" s="39">
        <f t="shared" si="15"/>
        <v>0</v>
      </c>
      <c r="G423" s="395"/>
      <c r="H423" s="395"/>
      <c r="J423" s="42"/>
    </row>
    <row r="424" spans="1:10" s="393" customFormat="1" x14ac:dyDescent="0.25">
      <c r="A424" s="19" t="s">
        <v>19</v>
      </c>
      <c r="B424" s="2">
        <v>43910</v>
      </c>
      <c r="C424" s="1">
        <v>2</v>
      </c>
      <c r="D424" s="39">
        <v>2</v>
      </c>
      <c r="E424" s="1"/>
      <c r="F424" s="39">
        <f t="shared" si="15"/>
        <v>0</v>
      </c>
      <c r="G424" s="395"/>
      <c r="H424" s="395"/>
      <c r="J424" s="42"/>
    </row>
    <row r="425" spans="1:10" s="393" customFormat="1" x14ac:dyDescent="0.25">
      <c r="A425" s="19" t="s">
        <v>18</v>
      </c>
      <c r="B425" s="2">
        <v>43910</v>
      </c>
      <c r="C425" s="1">
        <v>0</v>
      </c>
      <c r="D425" s="39">
        <v>3</v>
      </c>
      <c r="E425" s="1"/>
      <c r="F425" s="39">
        <f t="shared" si="15"/>
        <v>0</v>
      </c>
      <c r="G425" s="395"/>
      <c r="H425" s="395"/>
      <c r="J425" s="42"/>
    </row>
    <row r="426" spans="1:10" s="393" customFormat="1" x14ac:dyDescent="0.25">
      <c r="A426" s="19" t="s">
        <v>34</v>
      </c>
      <c r="B426" s="2">
        <v>43910</v>
      </c>
      <c r="C426" s="1">
        <v>0</v>
      </c>
      <c r="D426" s="39">
        <v>1</v>
      </c>
      <c r="E426" s="1"/>
      <c r="F426" s="39">
        <f t="shared" si="15"/>
        <v>0</v>
      </c>
      <c r="G426" s="395"/>
      <c r="H426" s="395"/>
      <c r="J426" s="42"/>
    </row>
    <row r="427" spans="1:10" s="393" customFormat="1" x14ac:dyDescent="0.25">
      <c r="A427" s="19" t="s">
        <v>35</v>
      </c>
      <c r="B427" s="2">
        <v>43910</v>
      </c>
      <c r="C427" s="1">
        <v>0</v>
      </c>
      <c r="D427" s="39">
        <v>0</v>
      </c>
      <c r="E427" s="1"/>
      <c r="F427" s="39">
        <f t="shared" si="15"/>
        <v>0</v>
      </c>
      <c r="G427" s="395"/>
      <c r="H427" s="395"/>
      <c r="J427" s="42"/>
    </row>
    <row r="428" spans="1:10" s="393" customFormat="1" x14ac:dyDescent="0.25">
      <c r="A428" s="19" t="s">
        <v>36</v>
      </c>
      <c r="B428" s="2">
        <v>43910</v>
      </c>
      <c r="C428" s="1">
        <v>0</v>
      </c>
      <c r="D428" s="39">
        <v>3</v>
      </c>
      <c r="E428" s="1"/>
      <c r="F428" s="39">
        <f t="shared" si="15"/>
        <v>0</v>
      </c>
      <c r="G428" s="395"/>
      <c r="H428" s="395"/>
      <c r="J428" s="42"/>
    </row>
    <row r="429" spans="1:10" s="393" customFormat="1" x14ac:dyDescent="0.25">
      <c r="A429" s="19" t="s">
        <v>37</v>
      </c>
      <c r="B429" s="2">
        <v>43910</v>
      </c>
      <c r="C429" s="1">
        <v>0</v>
      </c>
      <c r="D429" s="39">
        <v>1</v>
      </c>
      <c r="E429" s="1"/>
      <c r="F429" s="39">
        <f t="shared" si="15"/>
        <v>0</v>
      </c>
      <c r="G429" s="395"/>
      <c r="H429" s="395"/>
      <c r="J429" s="42"/>
    </row>
    <row r="430" spans="1:10" s="393" customFormat="1" x14ac:dyDescent="0.25">
      <c r="A430" s="19" t="s">
        <v>22</v>
      </c>
      <c r="B430" s="2">
        <v>43910</v>
      </c>
      <c r="C430" s="1">
        <v>0</v>
      </c>
      <c r="D430" s="39">
        <v>2</v>
      </c>
      <c r="E430" s="1"/>
      <c r="F430" s="39">
        <f t="shared" si="15"/>
        <v>0</v>
      </c>
      <c r="G430" s="395"/>
      <c r="H430" s="395"/>
      <c r="J430" s="42"/>
    </row>
    <row r="431" spans="1:10" s="393" customFormat="1" x14ac:dyDescent="0.25">
      <c r="A431" s="19" t="s">
        <v>38</v>
      </c>
      <c r="B431" s="2">
        <v>43910</v>
      </c>
      <c r="C431" s="1">
        <v>1</v>
      </c>
      <c r="D431" s="39">
        <v>1</v>
      </c>
      <c r="E431" s="1"/>
      <c r="F431" s="39">
        <f t="shared" si="15"/>
        <v>0</v>
      </c>
      <c r="G431" s="395"/>
      <c r="H431" s="395"/>
      <c r="J431" s="42"/>
    </row>
    <row r="432" spans="1:10" s="393" customFormat="1" x14ac:dyDescent="0.25">
      <c r="A432" s="19" t="s">
        <v>39</v>
      </c>
      <c r="B432" s="2">
        <v>43910</v>
      </c>
      <c r="C432" s="1">
        <v>1</v>
      </c>
      <c r="D432" s="39">
        <v>3</v>
      </c>
      <c r="E432" s="1"/>
      <c r="F432" s="39">
        <f t="shared" si="15"/>
        <v>0</v>
      </c>
      <c r="G432" s="395"/>
      <c r="H432" s="395"/>
      <c r="J432" s="42"/>
    </row>
    <row r="433" spans="1:10" s="393" customFormat="1" x14ac:dyDescent="0.25">
      <c r="A433" s="19" t="s">
        <v>40</v>
      </c>
      <c r="B433" s="2">
        <v>43910</v>
      </c>
      <c r="C433" s="1">
        <v>0</v>
      </c>
      <c r="D433" s="39">
        <v>1</v>
      </c>
      <c r="E433" s="1"/>
      <c r="F433" s="39">
        <f t="shared" si="15"/>
        <v>0</v>
      </c>
      <c r="G433" s="395"/>
      <c r="H433" s="395"/>
      <c r="J433" s="42"/>
    </row>
    <row r="434" spans="1:10" s="393" customFormat="1" x14ac:dyDescent="0.25">
      <c r="A434" s="394" t="s">
        <v>16</v>
      </c>
      <c r="B434" s="2">
        <v>43911</v>
      </c>
      <c r="C434" s="1">
        <v>15</v>
      </c>
      <c r="D434" s="39">
        <v>57</v>
      </c>
      <c r="E434" s="1">
        <v>1</v>
      </c>
      <c r="F434" s="39">
        <f>E434+F410</f>
        <v>1</v>
      </c>
      <c r="G434" s="395"/>
      <c r="H434" s="395"/>
      <c r="J434" s="42"/>
    </row>
    <row r="435" spans="1:10" s="393" customFormat="1" x14ac:dyDescent="0.25">
      <c r="A435" s="19" t="s">
        <v>28</v>
      </c>
      <c r="B435" s="2">
        <v>43911</v>
      </c>
      <c r="C435" s="1">
        <v>0</v>
      </c>
      <c r="D435" s="39">
        <v>0</v>
      </c>
      <c r="E435" s="1"/>
      <c r="F435" s="39">
        <f t="shared" ref="F435:F457" si="16">E435+F411</f>
        <v>0</v>
      </c>
      <c r="G435" s="395"/>
      <c r="H435" s="395"/>
      <c r="J435" s="42"/>
    </row>
    <row r="436" spans="1:10" s="393" customFormat="1" x14ac:dyDescent="0.25">
      <c r="A436" s="19" t="s">
        <v>15</v>
      </c>
      <c r="B436" s="2">
        <v>43911</v>
      </c>
      <c r="C436" s="1">
        <v>5</v>
      </c>
      <c r="D436" s="39">
        <v>20</v>
      </c>
      <c r="E436" s="1"/>
      <c r="F436" s="39">
        <f t="shared" si="16"/>
        <v>1</v>
      </c>
      <c r="G436" s="395"/>
      <c r="H436" s="395"/>
      <c r="J436" s="42"/>
    </row>
    <row r="437" spans="1:10" s="393" customFormat="1" x14ac:dyDescent="0.25">
      <c r="A437" s="19" t="s">
        <v>29</v>
      </c>
      <c r="B437" s="2">
        <v>43911</v>
      </c>
      <c r="C437" s="1">
        <v>0</v>
      </c>
      <c r="D437" s="39">
        <v>0</v>
      </c>
      <c r="E437" s="1"/>
      <c r="F437" s="39">
        <f t="shared" si="16"/>
        <v>0</v>
      </c>
      <c r="G437" s="395"/>
      <c r="H437" s="395"/>
      <c r="J437" s="42"/>
    </row>
    <row r="438" spans="1:10" s="393" customFormat="1" x14ac:dyDescent="0.25">
      <c r="A438" s="19" t="s">
        <v>43</v>
      </c>
      <c r="B438" s="2">
        <v>43911</v>
      </c>
      <c r="C438" s="1">
        <v>29</v>
      </c>
      <c r="D438" s="39">
        <v>93</v>
      </c>
      <c r="E438" s="1"/>
      <c r="F438" s="39">
        <f t="shared" si="16"/>
        <v>1</v>
      </c>
      <c r="G438" s="395"/>
      <c r="H438" s="395"/>
      <c r="J438" s="42"/>
    </row>
    <row r="439" spans="1:10" s="393" customFormat="1" x14ac:dyDescent="0.25">
      <c r="A439" s="19" t="s">
        <v>20</v>
      </c>
      <c r="B439" s="2">
        <v>43911</v>
      </c>
      <c r="C439" s="1">
        <v>4</v>
      </c>
      <c r="D439" s="39">
        <v>17</v>
      </c>
      <c r="E439" s="1"/>
      <c r="F439" s="39">
        <f t="shared" si="16"/>
        <v>0</v>
      </c>
      <c r="G439" s="395"/>
      <c r="H439" s="395"/>
      <c r="J439" s="42"/>
    </row>
    <row r="440" spans="1:10" s="393" customFormat="1" x14ac:dyDescent="0.25">
      <c r="A440" s="19" t="s">
        <v>30</v>
      </c>
      <c r="B440" s="2">
        <v>43911</v>
      </c>
      <c r="C440" s="1">
        <v>2</v>
      </c>
      <c r="D440" s="39">
        <v>3</v>
      </c>
      <c r="E440" s="1"/>
      <c r="F440" s="39">
        <f t="shared" si="16"/>
        <v>0</v>
      </c>
      <c r="G440" s="395"/>
      <c r="H440" s="395"/>
      <c r="J440" s="42"/>
    </row>
    <row r="441" spans="1:10" x14ac:dyDescent="0.25">
      <c r="A441" s="19" t="s">
        <v>31</v>
      </c>
      <c r="B441" s="2">
        <v>43911</v>
      </c>
      <c r="C441" s="1">
        <v>0</v>
      </c>
      <c r="D441" s="39">
        <v>4</v>
      </c>
      <c r="F441" s="39">
        <f t="shared" si="16"/>
        <v>0</v>
      </c>
    </row>
    <row r="442" spans="1:10" s="393" customFormat="1" x14ac:dyDescent="0.25">
      <c r="A442" s="19" t="s">
        <v>41</v>
      </c>
      <c r="B442" s="2">
        <v>43911</v>
      </c>
      <c r="C442" s="1">
        <v>0</v>
      </c>
      <c r="D442" s="39">
        <v>0</v>
      </c>
      <c r="E442" s="1"/>
      <c r="F442" s="39">
        <f t="shared" si="16"/>
        <v>0</v>
      </c>
      <c r="G442" s="395"/>
      <c r="H442" s="395"/>
      <c r="J442" s="42"/>
    </row>
    <row r="443" spans="1:10" s="393" customFormat="1" x14ac:dyDescent="0.25">
      <c r="A443" s="19" t="s">
        <v>32</v>
      </c>
      <c r="B443" s="2">
        <v>43911</v>
      </c>
      <c r="C443" s="1">
        <v>0</v>
      </c>
      <c r="D443" s="39">
        <v>1</v>
      </c>
      <c r="E443" s="1"/>
      <c r="F443" s="39">
        <f t="shared" si="16"/>
        <v>0</v>
      </c>
      <c r="G443" s="395"/>
      <c r="H443" s="395"/>
      <c r="J443" s="42"/>
    </row>
    <row r="444" spans="1:10" s="393" customFormat="1" x14ac:dyDescent="0.25">
      <c r="A444" s="19" t="s">
        <v>33</v>
      </c>
      <c r="B444" s="2">
        <v>43911</v>
      </c>
      <c r="C444" s="1">
        <v>0</v>
      </c>
      <c r="D444" s="39">
        <v>0</v>
      </c>
      <c r="E444" s="1"/>
      <c r="F444" s="39">
        <f t="shared" si="16"/>
        <v>0</v>
      </c>
      <c r="G444" s="395"/>
      <c r="H444" s="395"/>
      <c r="J444" s="42"/>
    </row>
    <row r="445" spans="1:10" s="393" customFormat="1" x14ac:dyDescent="0.25">
      <c r="A445" s="19" t="s">
        <v>21</v>
      </c>
      <c r="B445" s="2">
        <v>43911</v>
      </c>
      <c r="C445" s="1">
        <v>0</v>
      </c>
      <c r="D445" s="39">
        <v>0</v>
      </c>
      <c r="E445" s="1"/>
      <c r="F445" s="39">
        <f t="shared" si="16"/>
        <v>0</v>
      </c>
      <c r="G445" s="395"/>
      <c r="H445" s="395"/>
      <c r="J445" s="42"/>
    </row>
    <row r="446" spans="1:10" s="393" customFormat="1" x14ac:dyDescent="0.25">
      <c r="A446" s="19" t="s">
        <v>17</v>
      </c>
      <c r="B446" s="2">
        <v>43911</v>
      </c>
      <c r="C446" s="1">
        <v>5</v>
      </c>
      <c r="D446" s="39">
        <v>5</v>
      </c>
      <c r="E446" s="1"/>
      <c r="F446" s="39">
        <f t="shared" si="16"/>
        <v>0</v>
      </c>
      <c r="G446" s="395"/>
      <c r="H446" s="395"/>
      <c r="J446" s="42"/>
    </row>
    <row r="447" spans="1:10" s="393" customFormat="1" x14ac:dyDescent="0.25">
      <c r="A447" s="19" t="s">
        <v>23</v>
      </c>
      <c r="B447" s="2">
        <v>43911</v>
      </c>
      <c r="C447" s="1">
        <v>0</v>
      </c>
      <c r="D447" s="39">
        <v>0</v>
      </c>
      <c r="E447" s="1"/>
      <c r="F447" s="39">
        <f t="shared" si="16"/>
        <v>0</v>
      </c>
      <c r="G447" s="395"/>
      <c r="H447" s="395"/>
      <c r="J447" s="42"/>
    </row>
    <row r="448" spans="1:10" s="393" customFormat="1" x14ac:dyDescent="0.25">
      <c r="A448" s="19" t="s">
        <v>19</v>
      </c>
      <c r="B448" s="2">
        <v>43911</v>
      </c>
      <c r="C448" s="1">
        <v>0</v>
      </c>
      <c r="D448" s="39">
        <v>2</v>
      </c>
      <c r="E448" s="1"/>
      <c r="F448" s="39">
        <f t="shared" si="16"/>
        <v>0</v>
      </c>
      <c r="G448" s="395"/>
      <c r="H448" s="395"/>
      <c r="J448" s="42"/>
    </row>
    <row r="449" spans="1:10" s="393" customFormat="1" x14ac:dyDescent="0.25">
      <c r="A449" s="19" t="s">
        <v>18</v>
      </c>
      <c r="B449" s="2">
        <v>43911</v>
      </c>
      <c r="C449" s="1">
        <v>1</v>
      </c>
      <c r="D449" s="39">
        <v>4</v>
      </c>
      <c r="E449" s="1"/>
      <c r="F449" s="39">
        <f t="shared" si="16"/>
        <v>0</v>
      </c>
      <c r="G449" s="395"/>
      <c r="H449" s="395"/>
      <c r="J449" s="42"/>
    </row>
    <row r="450" spans="1:10" s="393" customFormat="1" x14ac:dyDescent="0.25">
      <c r="A450" s="19" t="s">
        <v>34</v>
      </c>
      <c r="B450" s="2">
        <v>43911</v>
      </c>
      <c r="C450" s="1">
        <v>0</v>
      </c>
      <c r="D450" s="39">
        <v>1</v>
      </c>
      <c r="E450" s="1"/>
      <c r="F450" s="39">
        <f t="shared" si="16"/>
        <v>0</v>
      </c>
      <c r="G450" s="395"/>
      <c r="H450" s="395"/>
      <c r="J450" s="42"/>
    </row>
    <row r="451" spans="1:10" s="393" customFormat="1" x14ac:dyDescent="0.25">
      <c r="A451" s="19" t="s">
        <v>35</v>
      </c>
      <c r="B451" s="2">
        <v>43911</v>
      </c>
      <c r="C451" s="1">
        <v>0</v>
      </c>
      <c r="D451" s="39">
        <v>0</v>
      </c>
      <c r="E451" s="1"/>
      <c r="F451" s="39">
        <f t="shared" si="16"/>
        <v>0</v>
      </c>
      <c r="G451" s="395"/>
      <c r="H451" s="395"/>
      <c r="J451" s="42"/>
    </row>
    <row r="452" spans="1:10" s="393" customFormat="1" x14ac:dyDescent="0.25">
      <c r="A452" s="19" t="s">
        <v>36</v>
      </c>
      <c r="B452" s="2">
        <v>43911</v>
      </c>
      <c r="C452" s="1">
        <v>0</v>
      </c>
      <c r="D452" s="39">
        <v>3</v>
      </c>
      <c r="E452" s="1"/>
      <c r="F452" s="39">
        <f t="shared" si="16"/>
        <v>0</v>
      </c>
      <c r="G452" s="395"/>
      <c r="H452" s="395"/>
      <c r="J452" s="42"/>
    </row>
    <row r="453" spans="1:10" s="393" customFormat="1" x14ac:dyDescent="0.25">
      <c r="A453" s="19" t="s">
        <v>37</v>
      </c>
      <c r="B453" s="2">
        <v>43911</v>
      </c>
      <c r="C453" s="1">
        <v>0</v>
      </c>
      <c r="D453" s="39">
        <v>1</v>
      </c>
      <c r="E453" s="1"/>
      <c r="F453" s="39">
        <f t="shared" si="16"/>
        <v>0</v>
      </c>
      <c r="G453" s="395"/>
      <c r="H453" s="395"/>
      <c r="J453" s="42"/>
    </row>
    <row r="454" spans="1:10" s="393" customFormat="1" x14ac:dyDescent="0.25">
      <c r="A454" s="19" t="s">
        <v>22</v>
      </c>
      <c r="B454" s="2">
        <v>43911</v>
      </c>
      <c r="C454" s="1">
        <v>2</v>
      </c>
      <c r="D454" s="39">
        <v>4</v>
      </c>
      <c r="E454" s="1"/>
      <c r="F454" s="39">
        <f t="shared" si="16"/>
        <v>0</v>
      </c>
      <c r="G454" s="395"/>
      <c r="H454" s="395"/>
      <c r="J454" s="42"/>
    </row>
    <row r="455" spans="1:10" s="393" customFormat="1" x14ac:dyDescent="0.25">
      <c r="A455" s="19" t="s">
        <v>38</v>
      </c>
      <c r="B455" s="2">
        <v>43911</v>
      </c>
      <c r="C455" s="1">
        <v>0</v>
      </c>
      <c r="D455" s="39">
        <v>1</v>
      </c>
      <c r="E455" s="1"/>
      <c r="F455" s="39">
        <f t="shared" si="16"/>
        <v>0</v>
      </c>
      <c r="G455" s="395"/>
      <c r="H455" s="395"/>
      <c r="J455" s="42"/>
    </row>
    <row r="456" spans="1:10" s="393" customFormat="1" x14ac:dyDescent="0.25">
      <c r="A456" s="19" t="s">
        <v>39</v>
      </c>
      <c r="B456" s="2">
        <v>43911</v>
      </c>
      <c r="C456" s="1">
        <v>3</v>
      </c>
      <c r="D456" s="39">
        <v>6</v>
      </c>
      <c r="E456" s="1"/>
      <c r="F456" s="39">
        <f t="shared" si="16"/>
        <v>0</v>
      </c>
      <c r="G456" s="395"/>
      <c r="H456" s="395"/>
      <c r="J456" s="42"/>
    </row>
    <row r="457" spans="1:10" s="393" customFormat="1" x14ac:dyDescent="0.25">
      <c r="A457" s="19" t="s">
        <v>40</v>
      </c>
      <c r="B457" s="2">
        <v>43911</v>
      </c>
      <c r="C457" s="1">
        <v>1</v>
      </c>
      <c r="D457" s="39">
        <v>2</v>
      </c>
      <c r="E457" s="1"/>
      <c r="F457" s="39">
        <f t="shared" si="16"/>
        <v>0</v>
      </c>
      <c r="G457" s="395"/>
      <c r="H457" s="395"/>
      <c r="J457" s="42"/>
    </row>
    <row r="458" spans="1:10" s="393" customFormat="1" x14ac:dyDescent="0.25">
      <c r="A458" s="394" t="s">
        <v>16</v>
      </c>
      <c r="B458" s="2">
        <v>43912</v>
      </c>
      <c r="C458" s="1">
        <v>8</v>
      </c>
      <c r="D458" s="39">
        <v>65</v>
      </c>
      <c r="E458" s="1"/>
      <c r="F458" s="39">
        <f>E458+F434</f>
        <v>1</v>
      </c>
      <c r="G458" s="395"/>
      <c r="H458" s="395"/>
      <c r="J458" s="42"/>
    </row>
    <row r="459" spans="1:10" s="393" customFormat="1" x14ac:dyDescent="0.25">
      <c r="A459" s="19" t="s">
        <v>28</v>
      </c>
      <c r="B459" s="2">
        <v>43912</v>
      </c>
      <c r="C459" s="1">
        <v>0</v>
      </c>
      <c r="D459" s="39">
        <v>0</v>
      </c>
      <c r="E459" s="1"/>
      <c r="F459" s="39">
        <f t="shared" ref="F459:F481" si="17">E459+F435</f>
        <v>0</v>
      </c>
      <c r="G459" s="395"/>
      <c r="H459" s="395"/>
      <c r="J459" s="42"/>
    </row>
    <row r="460" spans="1:10" s="393" customFormat="1" x14ac:dyDescent="0.25">
      <c r="A460" s="19" t="s">
        <v>15</v>
      </c>
      <c r="B460" s="2">
        <v>43912</v>
      </c>
      <c r="C460" s="1">
        <v>7</v>
      </c>
      <c r="D460" s="39">
        <v>27</v>
      </c>
      <c r="E460" s="1"/>
      <c r="F460" s="39">
        <f t="shared" si="17"/>
        <v>1</v>
      </c>
      <c r="G460" s="395"/>
      <c r="H460" s="395"/>
      <c r="J460" s="42"/>
    </row>
    <row r="461" spans="1:10" s="393" customFormat="1" x14ac:dyDescent="0.25">
      <c r="A461" s="19" t="s">
        <v>29</v>
      </c>
      <c r="B461" s="2">
        <v>43912</v>
      </c>
      <c r="C461" s="1">
        <v>0</v>
      </c>
      <c r="D461" s="39">
        <v>0</v>
      </c>
      <c r="E461" s="1"/>
      <c r="F461" s="39">
        <f t="shared" si="17"/>
        <v>0</v>
      </c>
      <c r="G461" s="395"/>
      <c r="H461" s="395"/>
      <c r="J461" s="42"/>
    </row>
    <row r="462" spans="1:10" s="393" customFormat="1" x14ac:dyDescent="0.25">
      <c r="A462" s="19" t="s">
        <v>43</v>
      </c>
      <c r="B462" s="2">
        <v>43912</v>
      </c>
      <c r="C462" s="1">
        <v>11</v>
      </c>
      <c r="D462" s="39">
        <v>104</v>
      </c>
      <c r="E462" s="1"/>
      <c r="F462" s="39">
        <f t="shared" si="17"/>
        <v>1</v>
      </c>
      <c r="G462" s="395"/>
      <c r="H462" s="395"/>
      <c r="J462" s="42"/>
    </row>
    <row r="463" spans="1:10" s="393" customFormat="1" x14ac:dyDescent="0.25">
      <c r="A463" s="19" t="s">
        <v>20</v>
      </c>
      <c r="B463" s="2">
        <v>43912</v>
      </c>
      <c r="C463" s="1">
        <v>8</v>
      </c>
      <c r="D463" s="39">
        <v>25</v>
      </c>
      <c r="E463" s="1"/>
      <c r="F463" s="39">
        <f t="shared" si="17"/>
        <v>0</v>
      </c>
      <c r="G463" s="395"/>
      <c r="H463" s="395"/>
      <c r="J463" s="42"/>
    </row>
    <row r="464" spans="1:10" s="393" customFormat="1" x14ac:dyDescent="0.25">
      <c r="A464" s="19" t="s">
        <v>30</v>
      </c>
      <c r="B464" s="2">
        <v>43912</v>
      </c>
      <c r="C464" s="1">
        <v>0</v>
      </c>
      <c r="D464" s="39">
        <v>3</v>
      </c>
      <c r="E464" s="1"/>
      <c r="F464" s="39">
        <f t="shared" si="17"/>
        <v>0</v>
      </c>
      <c r="G464" s="395"/>
      <c r="H464" s="395"/>
      <c r="J464" s="42"/>
    </row>
    <row r="465" spans="1:10" x14ac:dyDescent="0.25">
      <c r="A465" s="19" t="s">
        <v>31</v>
      </c>
      <c r="B465" s="2">
        <v>43912</v>
      </c>
      <c r="C465" s="1">
        <v>0</v>
      </c>
      <c r="D465" s="39">
        <v>4</v>
      </c>
      <c r="F465" s="39">
        <f t="shared" si="17"/>
        <v>0</v>
      </c>
    </row>
    <row r="466" spans="1:10" s="393" customFormat="1" x14ac:dyDescent="0.25">
      <c r="A466" s="19" t="s">
        <v>41</v>
      </c>
      <c r="B466" s="2">
        <v>43912</v>
      </c>
      <c r="C466" s="1">
        <v>0</v>
      </c>
      <c r="D466" s="39">
        <v>0</v>
      </c>
      <c r="E466" s="1"/>
      <c r="F466" s="39">
        <f t="shared" si="17"/>
        <v>0</v>
      </c>
      <c r="G466" s="395"/>
      <c r="H466" s="395"/>
      <c r="J466" s="42"/>
    </row>
    <row r="467" spans="1:10" s="393" customFormat="1" x14ac:dyDescent="0.25">
      <c r="A467" s="19" t="s">
        <v>32</v>
      </c>
      <c r="B467" s="2">
        <v>43912</v>
      </c>
      <c r="C467" s="1">
        <v>0</v>
      </c>
      <c r="D467" s="39">
        <v>1</v>
      </c>
      <c r="E467" s="1"/>
      <c r="F467" s="39">
        <f t="shared" si="17"/>
        <v>0</v>
      </c>
      <c r="G467" s="395"/>
      <c r="H467" s="395"/>
      <c r="J467" s="42"/>
    </row>
    <row r="468" spans="1:10" s="393" customFormat="1" x14ac:dyDescent="0.25">
      <c r="A468" s="19" t="s">
        <v>33</v>
      </c>
      <c r="B468" s="2">
        <v>43912</v>
      </c>
      <c r="C468" s="1">
        <v>0</v>
      </c>
      <c r="D468" s="39">
        <v>0</v>
      </c>
      <c r="E468" s="1"/>
      <c r="F468" s="39">
        <f t="shared" si="17"/>
        <v>0</v>
      </c>
      <c r="G468" s="395"/>
      <c r="H468" s="395"/>
      <c r="J468" s="42"/>
    </row>
    <row r="469" spans="1:10" s="393" customFormat="1" x14ac:dyDescent="0.25">
      <c r="A469" s="19" t="s">
        <v>21</v>
      </c>
      <c r="B469" s="2">
        <v>43912</v>
      </c>
      <c r="C469" s="1">
        <v>0</v>
      </c>
      <c r="D469" s="39">
        <v>0</v>
      </c>
      <c r="E469" s="1"/>
      <c r="F469" s="39">
        <f t="shared" si="17"/>
        <v>0</v>
      </c>
      <c r="G469" s="395"/>
      <c r="H469" s="395"/>
      <c r="J469" s="42"/>
    </row>
    <row r="470" spans="1:10" s="393" customFormat="1" x14ac:dyDescent="0.25">
      <c r="A470" s="19" t="s">
        <v>17</v>
      </c>
      <c r="B470" s="2">
        <v>43912</v>
      </c>
      <c r="C470" s="1">
        <v>0</v>
      </c>
      <c r="D470" s="39">
        <v>5</v>
      </c>
      <c r="E470" s="1"/>
      <c r="F470" s="39">
        <f t="shared" si="17"/>
        <v>0</v>
      </c>
      <c r="G470" s="395"/>
      <c r="H470" s="395"/>
      <c r="J470" s="42"/>
    </row>
    <row r="471" spans="1:10" s="393" customFormat="1" x14ac:dyDescent="0.25">
      <c r="A471" s="19" t="s">
        <v>23</v>
      </c>
      <c r="B471" s="2">
        <v>43912</v>
      </c>
      <c r="C471" s="1">
        <v>1</v>
      </c>
      <c r="D471" s="39">
        <v>1</v>
      </c>
      <c r="E471" s="1"/>
      <c r="F471" s="39">
        <f t="shared" si="17"/>
        <v>0</v>
      </c>
      <c r="G471" s="395"/>
      <c r="H471" s="395"/>
      <c r="J471" s="42"/>
    </row>
    <row r="472" spans="1:10" s="393" customFormat="1" x14ac:dyDescent="0.25">
      <c r="A472" s="19" t="s">
        <v>19</v>
      </c>
      <c r="B472" s="2">
        <v>43912</v>
      </c>
      <c r="C472" s="1">
        <v>0</v>
      </c>
      <c r="D472" s="39">
        <v>2</v>
      </c>
      <c r="E472" s="1"/>
      <c r="F472" s="39">
        <f t="shared" si="17"/>
        <v>0</v>
      </c>
      <c r="G472" s="395"/>
      <c r="H472" s="395"/>
      <c r="J472" s="42"/>
    </row>
    <row r="473" spans="1:10" s="393" customFormat="1" x14ac:dyDescent="0.25">
      <c r="A473" s="19" t="s">
        <v>18</v>
      </c>
      <c r="B473" s="2">
        <v>43912</v>
      </c>
      <c r="C473" s="1">
        <v>0</v>
      </c>
      <c r="D473" s="39">
        <v>4</v>
      </c>
      <c r="E473" s="1"/>
      <c r="F473" s="39">
        <f t="shared" si="17"/>
        <v>0</v>
      </c>
      <c r="G473" s="395"/>
      <c r="H473" s="395"/>
      <c r="J473" s="42"/>
    </row>
    <row r="474" spans="1:10" s="393" customFormat="1" x14ac:dyDescent="0.25">
      <c r="A474" s="19" t="s">
        <v>34</v>
      </c>
      <c r="B474" s="2">
        <v>43912</v>
      </c>
      <c r="C474" s="1">
        <v>0</v>
      </c>
      <c r="D474" s="39">
        <v>1</v>
      </c>
      <c r="E474" s="1"/>
      <c r="F474" s="39">
        <f t="shared" si="17"/>
        <v>0</v>
      </c>
      <c r="G474" s="395"/>
      <c r="H474" s="395"/>
      <c r="J474" s="42"/>
    </row>
    <row r="475" spans="1:10" s="393" customFormat="1" x14ac:dyDescent="0.25">
      <c r="A475" s="19" t="s">
        <v>35</v>
      </c>
      <c r="B475" s="2">
        <v>43912</v>
      </c>
      <c r="C475" s="1">
        <v>0</v>
      </c>
      <c r="D475" s="39">
        <v>0</v>
      </c>
      <c r="E475" s="1"/>
      <c r="F475" s="39">
        <f t="shared" si="17"/>
        <v>0</v>
      </c>
      <c r="G475" s="395"/>
      <c r="H475" s="395"/>
      <c r="J475" s="42"/>
    </row>
    <row r="476" spans="1:10" s="393" customFormat="1" x14ac:dyDescent="0.25">
      <c r="A476" s="19" t="s">
        <v>36</v>
      </c>
      <c r="B476" s="2">
        <v>43912</v>
      </c>
      <c r="C476" s="1">
        <v>0</v>
      </c>
      <c r="D476" s="39">
        <v>3</v>
      </c>
      <c r="E476" s="1"/>
      <c r="F476" s="39">
        <f t="shared" si="17"/>
        <v>0</v>
      </c>
      <c r="G476" s="395"/>
      <c r="H476" s="395"/>
      <c r="J476" s="42"/>
    </row>
    <row r="477" spans="1:10" s="393" customFormat="1" x14ac:dyDescent="0.25">
      <c r="A477" s="19" t="s">
        <v>37</v>
      </c>
      <c r="B477" s="2">
        <v>43912</v>
      </c>
      <c r="C477" s="1">
        <v>0</v>
      </c>
      <c r="D477" s="39">
        <v>1</v>
      </c>
      <c r="E477" s="1"/>
      <c r="F477" s="39">
        <f t="shared" si="17"/>
        <v>0</v>
      </c>
      <c r="G477" s="395"/>
      <c r="H477" s="395"/>
      <c r="J477" s="42"/>
    </row>
    <row r="478" spans="1:10" s="393" customFormat="1" x14ac:dyDescent="0.25">
      <c r="A478" s="19" t="s">
        <v>22</v>
      </c>
      <c r="B478" s="2">
        <v>43912</v>
      </c>
      <c r="C478" s="1">
        <v>0</v>
      </c>
      <c r="D478" s="39">
        <v>4</v>
      </c>
      <c r="E478" s="1"/>
      <c r="F478" s="39">
        <f t="shared" si="17"/>
        <v>0</v>
      </c>
      <c r="G478" s="395"/>
      <c r="H478" s="395"/>
      <c r="J478" s="42"/>
    </row>
    <row r="479" spans="1:10" s="393" customFormat="1" x14ac:dyDescent="0.25">
      <c r="A479" s="19" t="s">
        <v>38</v>
      </c>
      <c r="B479" s="2">
        <v>43912</v>
      </c>
      <c r="C479" s="1">
        <v>0</v>
      </c>
      <c r="D479" s="39">
        <v>1</v>
      </c>
      <c r="E479" s="1"/>
      <c r="F479" s="39">
        <f t="shared" si="17"/>
        <v>0</v>
      </c>
      <c r="G479" s="395"/>
      <c r="H479" s="395"/>
      <c r="J479" s="42"/>
    </row>
    <row r="480" spans="1:10" s="393" customFormat="1" x14ac:dyDescent="0.25">
      <c r="A480" s="19" t="s">
        <v>39</v>
      </c>
      <c r="B480" s="2">
        <v>43912</v>
      </c>
      <c r="C480" s="1">
        <v>0</v>
      </c>
      <c r="D480" s="39">
        <v>6</v>
      </c>
      <c r="E480" s="1"/>
      <c r="F480" s="39">
        <f t="shared" si="17"/>
        <v>0</v>
      </c>
      <c r="G480" s="395"/>
      <c r="H480" s="395"/>
      <c r="J480" s="42"/>
    </row>
    <row r="481" spans="1:10" s="393" customFormat="1" x14ac:dyDescent="0.25">
      <c r="A481" s="19" t="s">
        <v>40</v>
      </c>
      <c r="B481" s="2">
        <v>43912</v>
      </c>
      <c r="C481" s="1">
        <v>5</v>
      </c>
      <c r="D481" s="39">
        <v>7</v>
      </c>
      <c r="E481" s="1"/>
      <c r="F481" s="39">
        <f t="shared" si="17"/>
        <v>0</v>
      </c>
      <c r="G481" s="395"/>
      <c r="H481" s="395"/>
      <c r="J481" s="42"/>
    </row>
    <row r="482" spans="1:10" s="393" customFormat="1" x14ac:dyDescent="0.25">
      <c r="A482" s="394" t="s">
        <v>16</v>
      </c>
      <c r="B482" s="2">
        <v>43913</v>
      </c>
      <c r="C482" s="1">
        <v>5</v>
      </c>
      <c r="D482" s="39">
        <v>70</v>
      </c>
      <c r="E482" s="1"/>
      <c r="F482" s="39">
        <f>E482+F458</f>
        <v>1</v>
      </c>
      <c r="G482" s="395"/>
      <c r="H482" s="395"/>
      <c r="J482" s="42"/>
    </row>
    <row r="483" spans="1:10" s="393" customFormat="1" x14ac:dyDescent="0.25">
      <c r="A483" s="19" t="s">
        <v>28</v>
      </c>
      <c r="B483" s="2">
        <v>43913</v>
      </c>
      <c r="C483" s="1">
        <v>0</v>
      </c>
      <c r="D483" s="39">
        <v>0</v>
      </c>
      <c r="E483" s="1"/>
      <c r="F483" s="39">
        <f t="shared" ref="F483:F505" si="18">E483+F459</f>
        <v>0</v>
      </c>
      <c r="G483" s="395"/>
      <c r="H483" s="395"/>
      <c r="J483" s="42"/>
    </row>
    <row r="484" spans="1:10" s="393" customFormat="1" x14ac:dyDescent="0.25">
      <c r="A484" s="19" t="s">
        <v>15</v>
      </c>
      <c r="B484" s="2">
        <v>43913</v>
      </c>
      <c r="C484" s="1">
        <v>4</v>
      </c>
      <c r="D484" s="39">
        <v>31</v>
      </c>
      <c r="E484" s="1"/>
      <c r="F484" s="39">
        <f t="shared" si="18"/>
        <v>1</v>
      </c>
      <c r="G484" s="395"/>
      <c r="H484" s="395"/>
      <c r="J484" s="42"/>
    </row>
    <row r="485" spans="1:10" s="393" customFormat="1" x14ac:dyDescent="0.25">
      <c r="A485" s="19" t="s">
        <v>29</v>
      </c>
      <c r="B485" s="2">
        <v>43913</v>
      </c>
      <c r="C485" s="1">
        <v>0</v>
      </c>
      <c r="D485" s="39">
        <v>0</v>
      </c>
      <c r="E485" s="1"/>
      <c r="F485" s="39">
        <f t="shared" si="18"/>
        <v>0</v>
      </c>
      <c r="G485" s="395"/>
      <c r="H485" s="395"/>
      <c r="J485" s="42"/>
    </row>
    <row r="486" spans="1:10" s="393" customFormat="1" x14ac:dyDescent="0.25">
      <c r="A486" s="19" t="s">
        <v>43</v>
      </c>
      <c r="B486" s="2">
        <v>43913</v>
      </c>
      <c r="C486" s="1">
        <v>11</v>
      </c>
      <c r="D486" s="39">
        <v>115</v>
      </c>
      <c r="E486" s="1"/>
      <c r="F486" s="39">
        <f t="shared" si="18"/>
        <v>1</v>
      </c>
      <c r="G486" s="395"/>
      <c r="H486" s="395"/>
      <c r="J486" s="42"/>
    </row>
    <row r="487" spans="1:10" s="393" customFormat="1" x14ac:dyDescent="0.25">
      <c r="A487" s="19" t="s">
        <v>20</v>
      </c>
      <c r="B487" s="2">
        <v>43913</v>
      </c>
      <c r="C487" s="1">
        <v>3</v>
      </c>
      <c r="D487" s="39">
        <v>28</v>
      </c>
      <c r="E487" s="1"/>
      <c r="F487" s="39">
        <f t="shared" si="18"/>
        <v>0</v>
      </c>
      <c r="G487" s="395"/>
      <c r="H487" s="395"/>
      <c r="J487" s="42"/>
    </row>
    <row r="488" spans="1:10" s="393" customFormat="1" x14ac:dyDescent="0.25">
      <c r="A488" s="19" t="s">
        <v>30</v>
      </c>
      <c r="B488" s="2">
        <v>43913</v>
      </c>
      <c r="C488" s="1">
        <v>0</v>
      </c>
      <c r="D488" s="39">
        <v>3</v>
      </c>
      <c r="E488" s="1"/>
      <c r="F488" s="39">
        <f t="shared" si="18"/>
        <v>0</v>
      </c>
      <c r="G488" s="395"/>
      <c r="H488" s="395"/>
      <c r="J488" s="42"/>
    </row>
    <row r="489" spans="1:10" x14ac:dyDescent="0.25">
      <c r="A489" s="19" t="s">
        <v>31</v>
      </c>
      <c r="B489" s="2">
        <v>43913</v>
      </c>
      <c r="C489" s="1">
        <v>0</v>
      </c>
      <c r="D489" s="39">
        <v>4</v>
      </c>
      <c r="F489" s="39">
        <f t="shared" si="18"/>
        <v>0</v>
      </c>
    </row>
    <row r="490" spans="1:10" s="393" customFormat="1" x14ac:dyDescent="0.25">
      <c r="A490" s="19" t="s">
        <v>41</v>
      </c>
      <c r="B490" s="2">
        <v>43913</v>
      </c>
      <c r="C490" s="1">
        <v>0</v>
      </c>
      <c r="D490" s="39">
        <v>0</v>
      </c>
      <c r="E490" s="1"/>
      <c r="F490" s="39">
        <f t="shared" si="18"/>
        <v>0</v>
      </c>
      <c r="G490" s="395"/>
      <c r="H490" s="395"/>
      <c r="J490" s="42"/>
    </row>
    <row r="491" spans="1:10" s="393" customFormat="1" x14ac:dyDescent="0.25">
      <c r="A491" s="19" t="s">
        <v>32</v>
      </c>
      <c r="B491" s="2">
        <v>43913</v>
      </c>
      <c r="C491" s="1">
        <v>0</v>
      </c>
      <c r="D491" s="39">
        <v>1</v>
      </c>
      <c r="E491" s="1"/>
      <c r="F491" s="39">
        <f t="shared" si="18"/>
        <v>0</v>
      </c>
      <c r="G491" s="395"/>
      <c r="H491" s="395"/>
      <c r="J491" s="42"/>
    </row>
    <row r="492" spans="1:10" s="393" customFormat="1" x14ac:dyDescent="0.25">
      <c r="A492" s="19" t="s">
        <v>33</v>
      </c>
      <c r="B492" s="2">
        <v>43913</v>
      </c>
      <c r="C492" s="1">
        <v>0</v>
      </c>
      <c r="D492" s="39">
        <v>0</v>
      </c>
      <c r="E492" s="1"/>
      <c r="F492" s="39">
        <f t="shared" si="18"/>
        <v>0</v>
      </c>
      <c r="G492" s="395"/>
      <c r="H492" s="395"/>
      <c r="J492" s="42"/>
    </row>
    <row r="493" spans="1:10" s="393" customFormat="1" x14ac:dyDescent="0.25">
      <c r="A493" s="19" t="s">
        <v>21</v>
      </c>
      <c r="B493" s="2">
        <v>43913</v>
      </c>
      <c r="C493" s="1">
        <v>0</v>
      </c>
      <c r="D493" s="39">
        <v>0</v>
      </c>
      <c r="E493" s="1"/>
      <c r="F493" s="39">
        <f t="shared" si="18"/>
        <v>0</v>
      </c>
      <c r="G493" s="395"/>
      <c r="H493" s="395"/>
      <c r="J493" s="42"/>
    </row>
    <row r="494" spans="1:10" s="393" customFormat="1" x14ac:dyDescent="0.25">
      <c r="A494" s="19" t="s">
        <v>17</v>
      </c>
      <c r="B494" s="2">
        <v>43913</v>
      </c>
      <c r="C494" s="1">
        <v>0</v>
      </c>
      <c r="D494" s="39">
        <v>5</v>
      </c>
      <c r="E494" s="1"/>
      <c r="F494" s="39">
        <f t="shared" si="18"/>
        <v>0</v>
      </c>
      <c r="G494" s="395"/>
      <c r="H494" s="395"/>
      <c r="J494" s="42"/>
    </row>
    <row r="495" spans="1:10" s="393" customFormat="1" x14ac:dyDescent="0.25">
      <c r="A495" s="19" t="s">
        <v>23</v>
      </c>
      <c r="B495" s="2">
        <v>43913</v>
      </c>
      <c r="C495" s="1">
        <v>0</v>
      </c>
      <c r="D495" s="39">
        <v>1</v>
      </c>
      <c r="E495" s="1"/>
      <c r="F495" s="39">
        <f t="shared" si="18"/>
        <v>0</v>
      </c>
      <c r="G495" s="395"/>
      <c r="H495" s="395"/>
      <c r="J495" s="42"/>
    </row>
    <row r="496" spans="1:10" s="393" customFormat="1" x14ac:dyDescent="0.25">
      <c r="A496" s="19" t="s">
        <v>19</v>
      </c>
      <c r="B496" s="2">
        <v>43913</v>
      </c>
      <c r="C496" s="1">
        <v>0</v>
      </c>
      <c r="D496" s="39">
        <v>2</v>
      </c>
      <c r="E496" s="1"/>
      <c r="F496" s="39">
        <f t="shared" si="18"/>
        <v>0</v>
      </c>
      <c r="G496" s="395"/>
      <c r="H496" s="395"/>
      <c r="J496" s="42"/>
    </row>
    <row r="497" spans="1:10" s="393" customFormat="1" x14ac:dyDescent="0.25">
      <c r="A497" s="19" t="s">
        <v>18</v>
      </c>
      <c r="B497" s="2">
        <v>43913</v>
      </c>
      <c r="C497" s="1">
        <v>0</v>
      </c>
      <c r="D497" s="39">
        <v>4</v>
      </c>
      <c r="E497" s="1"/>
      <c r="F497" s="39">
        <f t="shared" si="18"/>
        <v>0</v>
      </c>
      <c r="G497" s="395"/>
      <c r="H497" s="395"/>
      <c r="J497" s="42"/>
    </row>
    <row r="498" spans="1:10" s="393" customFormat="1" x14ac:dyDescent="0.25">
      <c r="A498" s="19" t="s">
        <v>34</v>
      </c>
      <c r="B498" s="2">
        <v>43913</v>
      </c>
      <c r="C498" s="1">
        <v>0</v>
      </c>
      <c r="D498" s="39">
        <v>1</v>
      </c>
      <c r="E498" s="1"/>
      <c r="F498" s="39">
        <f t="shared" si="18"/>
        <v>0</v>
      </c>
      <c r="G498" s="395"/>
      <c r="H498" s="395"/>
      <c r="J498" s="42"/>
    </row>
    <row r="499" spans="1:10" s="393" customFormat="1" x14ac:dyDescent="0.25">
      <c r="A499" s="19" t="s">
        <v>35</v>
      </c>
      <c r="B499" s="2">
        <v>43913</v>
      </c>
      <c r="C499" s="1">
        <v>0</v>
      </c>
      <c r="D499" s="39">
        <v>0</v>
      </c>
      <c r="E499" s="1"/>
      <c r="F499" s="39">
        <f t="shared" si="18"/>
        <v>0</v>
      </c>
      <c r="G499" s="395"/>
      <c r="H499" s="395"/>
      <c r="J499" s="42"/>
    </row>
    <row r="500" spans="1:10" s="393" customFormat="1" x14ac:dyDescent="0.25">
      <c r="A500" s="19" t="s">
        <v>36</v>
      </c>
      <c r="B500" s="2">
        <v>43913</v>
      </c>
      <c r="C500" s="1">
        <v>0</v>
      </c>
      <c r="D500" s="39">
        <v>3</v>
      </c>
      <c r="E500" s="1"/>
      <c r="F500" s="39">
        <f t="shared" si="18"/>
        <v>0</v>
      </c>
      <c r="G500" s="395"/>
      <c r="H500" s="395"/>
      <c r="J500" s="42"/>
    </row>
    <row r="501" spans="1:10" s="393" customFormat="1" x14ac:dyDescent="0.25">
      <c r="A501" s="19" t="s">
        <v>37</v>
      </c>
      <c r="B501" s="2">
        <v>43913</v>
      </c>
      <c r="C501" s="1">
        <v>0</v>
      </c>
      <c r="D501" s="39">
        <v>1</v>
      </c>
      <c r="E501" s="1"/>
      <c r="F501" s="39">
        <f t="shared" si="18"/>
        <v>0</v>
      </c>
      <c r="G501" s="395"/>
      <c r="H501" s="395"/>
      <c r="J501" s="42"/>
    </row>
    <row r="502" spans="1:10" s="393" customFormat="1" x14ac:dyDescent="0.25">
      <c r="A502" s="19" t="s">
        <v>22</v>
      </c>
      <c r="B502" s="2">
        <v>43913</v>
      </c>
      <c r="C502" s="1">
        <v>13</v>
      </c>
      <c r="D502" s="39">
        <v>17</v>
      </c>
      <c r="E502" s="1"/>
      <c r="F502" s="39">
        <f t="shared" si="18"/>
        <v>0</v>
      </c>
      <c r="G502" s="395"/>
      <c r="H502" s="395"/>
      <c r="J502" s="42"/>
    </row>
    <row r="503" spans="1:10" s="393" customFormat="1" x14ac:dyDescent="0.25">
      <c r="A503" s="19" t="s">
        <v>38</v>
      </c>
      <c r="B503" s="2">
        <v>43913</v>
      </c>
      <c r="C503" s="1">
        <v>0</v>
      </c>
      <c r="D503" s="39">
        <v>1</v>
      </c>
      <c r="E503" s="1"/>
      <c r="F503" s="39">
        <f t="shared" si="18"/>
        <v>0</v>
      </c>
      <c r="G503" s="395"/>
      <c r="H503" s="395"/>
      <c r="J503" s="42"/>
    </row>
    <row r="504" spans="1:10" s="393" customFormat="1" x14ac:dyDescent="0.25">
      <c r="A504" s="19" t="s">
        <v>39</v>
      </c>
      <c r="B504" s="2">
        <v>43913</v>
      </c>
      <c r="C504" s="1">
        <v>0</v>
      </c>
      <c r="D504" s="39">
        <v>6</v>
      </c>
      <c r="E504" s="1"/>
      <c r="F504" s="39">
        <f t="shared" si="18"/>
        <v>0</v>
      </c>
      <c r="G504" s="395"/>
      <c r="H504" s="395"/>
      <c r="J504" s="42"/>
    </row>
    <row r="505" spans="1:10" s="393" customFormat="1" x14ac:dyDescent="0.25">
      <c r="A505" s="19" t="s">
        <v>40</v>
      </c>
      <c r="B505" s="2">
        <v>43913</v>
      </c>
      <c r="C505" s="1">
        <v>0</v>
      </c>
      <c r="D505" s="39">
        <v>7</v>
      </c>
      <c r="E505" s="1"/>
      <c r="F505" s="39">
        <f t="shared" si="18"/>
        <v>0</v>
      </c>
      <c r="G505" s="395"/>
      <c r="H505" s="395"/>
      <c r="J505" s="42"/>
    </row>
    <row r="506" spans="1:10" s="393" customFormat="1" x14ac:dyDescent="0.25">
      <c r="A506" s="394" t="s">
        <v>16</v>
      </c>
      <c r="B506" s="2">
        <v>43914</v>
      </c>
      <c r="C506" s="1">
        <v>28</v>
      </c>
      <c r="D506" s="39">
        <v>98</v>
      </c>
      <c r="E506" s="1">
        <v>1</v>
      </c>
      <c r="F506" s="39">
        <f>E506+F482</f>
        <v>2</v>
      </c>
      <c r="G506" s="395"/>
      <c r="H506" s="395"/>
      <c r="J506" s="42"/>
    </row>
    <row r="507" spans="1:10" s="393" customFormat="1" x14ac:dyDescent="0.25">
      <c r="A507" s="19" t="s">
        <v>28</v>
      </c>
      <c r="B507" s="2">
        <v>43914</v>
      </c>
      <c r="C507" s="1">
        <v>0</v>
      </c>
      <c r="D507" s="39">
        <v>0</v>
      </c>
      <c r="E507" s="1"/>
      <c r="F507" s="39">
        <f t="shared" ref="F507:F570" si="19">E507+F483</f>
        <v>0</v>
      </c>
      <c r="G507" s="395"/>
      <c r="H507" s="395"/>
      <c r="J507" s="42"/>
    </row>
    <row r="508" spans="1:10" s="393" customFormat="1" x14ac:dyDescent="0.25">
      <c r="A508" s="19" t="s">
        <v>15</v>
      </c>
      <c r="B508" s="2">
        <v>43914</v>
      </c>
      <c r="C508" s="1">
        <v>9</v>
      </c>
      <c r="D508" s="39">
        <v>40</v>
      </c>
      <c r="E508" s="1">
        <v>1</v>
      </c>
      <c r="F508" s="39">
        <f t="shared" si="19"/>
        <v>2</v>
      </c>
      <c r="G508" s="395"/>
      <c r="H508" s="395"/>
      <c r="J508" s="42"/>
    </row>
    <row r="509" spans="1:10" s="393" customFormat="1" x14ac:dyDescent="0.25">
      <c r="A509" s="19" t="s">
        <v>29</v>
      </c>
      <c r="B509" s="2">
        <v>43914</v>
      </c>
      <c r="C509" s="1">
        <v>0</v>
      </c>
      <c r="D509" s="39">
        <v>0</v>
      </c>
      <c r="E509" s="1"/>
      <c r="F509" s="39">
        <f t="shared" si="19"/>
        <v>0</v>
      </c>
      <c r="G509" s="395"/>
      <c r="H509" s="395"/>
      <c r="J509" s="42"/>
    </row>
    <row r="510" spans="1:10" s="393" customFormat="1" x14ac:dyDescent="0.25">
      <c r="A510" s="19" t="s">
        <v>43</v>
      </c>
      <c r="B510" s="2">
        <v>43914</v>
      </c>
      <c r="C510" s="1">
        <v>30</v>
      </c>
      <c r="D510" s="39">
        <v>145</v>
      </c>
      <c r="E510" s="1"/>
      <c r="F510" s="39">
        <f t="shared" si="19"/>
        <v>1</v>
      </c>
      <c r="G510" s="395"/>
      <c r="H510" s="395"/>
      <c r="J510" s="42"/>
    </row>
    <row r="511" spans="1:10" s="393" customFormat="1" x14ac:dyDescent="0.25">
      <c r="A511" s="19" t="s">
        <v>20</v>
      </c>
      <c r="B511" s="2">
        <v>43914</v>
      </c>
      <c r="C511" s="1">
        <v>7</v>
      </c>
      <c r="D511" s="39">
        <v>35</v>
      </c>
      <c r="E511" s="1"/>
      <c r="F511" s="39">
        <f t="shared" si="19"/>
        <v>0</v>
      </c>
      <c r="G511" s="395"/>
      <c r="H511" s="395"/>
      <c r="J511" s="42"/>
    </row>
    <row r="512" spans="1:10" s="393" customFormat="1" x14ac:dyDescent="0.25">
      <c r="A512" s="19" t="s">
        <v>30</v>
      </c>
      <c r="B512" s="2">
        <v>43914</v>
      </c>
      <c r="C512" s="1">
        <v>0</v>
      </c>
      <c r="D512" s="39">
        <v>3</v>
      </c>
      <c r="E512" s="1"/>
      <c r="F512" s="39">
        <f t="shared" si="19"/>
        <v>0</v>
      </c>
      <c r="G512" s="395"/>
      <c r="H512" s="395"/>
      <c r="J512" s="42"/>
    </row>
    <row r="513" spans="1:10" x14ac:dyDescent="0.25">
      <c r="A513" s="19" t="s">
        <v>31</v>
      </c>
      <c r="B513" s="2">
        <v>43914</v>
      </c>
      <c r="C513" s="1">
        <v>0</v>
      </c>
      <c r="D513" s="39">
        <v>4</v>
      </c>
      <c r="F513" s="39">
        <f t="shared" si="19"/>
        <v>0</v>
      </c>
    </row>
    <row r="514" spans="1:10" s="393" customFormat="1" x14ac:dyDescent="0.25">
      <c r="A514" s="19" t="s">
        <v>41</v>
      </c>
      <c r="B514" s="2">
        <v>43914</v>
      </c>
      <c r="C514" s="1">
        <v>0</v>
      </c>
      <c r="D514" s="39">
        <v>0</v>
      </c>
      <c r="E514" s="1"/>
      <c r="F514" s="39">
        <f t="shared" si="19"/>
        <v>0</v>
      </c>
      <c r="G514" s="395"/>
      <c r="H514" s="395"/>
      <c r="J514" s="42"/>
    </row>
    <row r="515" spans="1:10" s="393" customFormat="1" x14ac:dyDescent="0.25">
      <c r="A515" s="19" t="s">
        <v>32</v>
      </c>
      <c r="B515" s="2">
        <v>43914</v>
      </c>
      <c r="C515" s="1">
        <v>0</v>
      </c>
      <c r="D515" s="39">
        <v>1</v>
      </c>
      <c r="E515" s="1"/>
      <c r="F515" s="39">
        <f t="shared" si="19"/>
        <v>0</v>
      </c>
      <c r="G515" s="395"/>
      <c r="H515" s="395"/>
      <c r="J515" s="42"/>
    </row>
    <row r="516" spans="1:10" s="393" customFormat="1" x14ac:dyDescent="0.25">
      <c r="A516" s="19" t="s">
        <v>33</v>
      </c>
      <c r="B516" s="2">
        <v>43914</v>
      </c>
      <c r="C516" s="1">
        <v>1</v>
      </c>
      <c r="D516" s="39">
        <v>1</v>
      </c>
      <c r="E516" s="1"/>
      <c r="F516" s="39">
        <f t="shared" si="19"/>
        <v>0</v>
      </c>
      <c r="G516" s="395"/>
      <c r="H516" s="395"/>
      <c r="J516" s="42"/>
    </row>
    <row r="517" spans="1:10" s="393" customFormat="1" x14ac:dyDescent="0.25">
      <c r="A517" s="19" t="s">
        <v>21</v>
      </c>
      <c r="B517" s="2">
        <v>43914</v>
      </c>
      <c r="C517" s="1">
        <v>0</v>
      </c>
      <c r="D517" s="39">
        <v>0</v>
      </c>
      <c r="E517" s="1"/>
      <c r="F517" s="39">
        <f t="shared" si="19"/>
        <v>0</v>
      </c>
      <c r="G517" s="395"/>
      <c r="H517" s="395"/>
      <c r="J517" s="42"/>
    </row>
    <row r="518" spans="1:10" s="393" customFormat="1" x14ac:dyDescent="0.25">
      <c r="A518" s="19" t="s">
        <v>17</v>
      </c>
      <c r="B518" s="2">
        <v>43914</v>
      </c>
      <c r="C518" s="1">
        <v>0</v>
      </c>
      <c r="D518" s="39">
        <v>5</v>
      </c>
      <c r="E518" s="1"/>
      <c r="F518" s="39">
        <f t="shared" si="19"/>
        <v>0</v>
      </c>
      <c r="G518" s="395"/>
      <c r="H518" s="395"/>
      <c r="J518" s="42"/>
    </row>
    <row r="519" spans="1:10" s="393" customFormat="1" x14ac:dyDescent="0.25">
      <c r="A519" s="19" t="s">
        <v>23</v>
      </c>
      <c r="B519" s="2">
        <v>43914</v>
      </c>
      <c r="C519" s="1">
        <v>0</v>
      </c>
      <c r="D519" s="39">
        <v>1</v>
      </c>
      <c r="E519" s="1"/>
      <c r="F519" s="39">
        <f t="shared" si="19"/>
        <v>0</v>
      </c>
      <c r="G519" s="395"/>
      <c r="H519" s="395"/>
      <c r="J519" s="42"/>
    </row>
    <row r="520" spans="1:10" s="393" customFormat="1" x14ac:dyDescent="0.25">
      <c r="A520" s="19" t="s">
        <v>19</v>
      </c>
      <c r="B520" s="2">
        <v>43914</v>
      </c>
      <c r="C520" s="1">
        <v>1</v>
      </c>
      <c r="D520" s="39">
        <v>3</v>
      </c>
      <c r="E520" s="1"/>
      <c r="F520" s="39">
        <f t="shared" si="19"/>
        <v>0</v>
      </c>
      <c r="G520" s="395"/>
      <c r="H520" s="395"/>
      <c r="J520" s="42"/>
    </row>
    <row r="521" spans="1:10" s="393" customFormat="1" x14ac:dyDescent="0.25">
      <c r="A521" s="19" t="s">
        <v>18</v>
      </c>
      <c r="B521" s="2">
        <v>43914</v>
      </c>
      <c r="C521" s="1">
        <v>0</v>
      </c>
      <c r="D521" s="39">
        <v>4</v>
      </c>
      <c r="E521" s="1"/>
      <c r="F521" s="39">
        <f t="shared" si="19"/>
        <v>0</v>
      </c>
      <c r="G521" s="395"/>
      <c r="H521" s="395"/>
      <c r="J521" s="42"/>
    </row>
    <row r="522" spans="1:10" s="393" customFormat="1" x14ac:dyDescent="0.25">
      <c r="A522" s="19" t="s">
        <v>34</v>
      </c>
      <c r="B522" s="2">
        <v>43914</v>
      </c>
      <c r="C522" s="1">
        <v>0</v>
      </c>
      <c r="D522" s="39">
        <v>1</v>
      </c>
      <c r="E522" s="1"/>
      <c r="F522" s="39">
        <f t="shared" si="19"/>
        <v>0</v>
      </c>
      <c r="G522" s="395"/>
      <c r="H522" s="395"/>
      <c r="J522" s="42"/>
    </row>
    <row r="523" spans="1:10" s="393" customFormat="1" x14ac:dyDescent="0.25">
      <c r="A523" s="19" t="s">
        <v>35</v>
      </c>
      <c r="B523" s="2">
        <v>43914</v>
      </c>
      <c r="C523" s="1">
        <v>0</v>
      </c>
      <c r="D523" s="39">
        <v>0</v>
      </c>
      <c r="E523" s="1"/>
      <c r="F523" s="39">
        <f t="shared" si="19"/>
        <v>0</v>
      </c>
      <c r="G523" s="395"/>
      <c r="H523" s="395"/>
      <c r="J523" s="42"/>
    </row>
    <row r="524" spans="1:10" s="393" customFormat="1" x14ac:dyDescent="0.25">
      <c r="A524" s="19" t="s">
        <v>36</v>
      </c>
      <c r="B524" s="2">
        <v>43914</v>
      </c>
      <c r="C524" s="1">
        <v>0</v>
      </c>
      <c r="D524" s="39">
        <v>3</v>
      </c>
      <c r="E524" s="1"/>
      <c r="F524" s="39">
        <f t="shared" si="19"/>
        <v>0</v>
      </c>
      <c r="G524" s="395"/>
      <c r="H524" s="395"/>
      <c r="J524" s="42"/>
    </row>
    <row r="525" spans="1:10" s="393" customFormat="1" x14ac:dyDescent="0.25">
      <c r="A525" s="19" t="s">
        <v>37</v>
      </c>
      <c r="B525" s="2">
        <v>43914</v>
      </c>
      <c r="C525" s="1">
        <v>1</v>
      </c>
      <c r="D525" s="39">
        <v>2</v>
      </c>
      <c r="E525" s="1"/>
      <c r="F525" s="39">
        <f t="shared" si="19"/>
        <v>0</v>
      </c>
      <c r="G525" s="395"/>
      <c r="H525" s="395"/>
      <c r="J525" s="42"/>
    </row>
    <row r="526" spans="1:10" s="393" customFormat="1" x14ac:dyDescent="0.25">
      <c r="A526" s="19" t="s">
        <v>22</v>
      </c>
      <c r="B526" s="2">
        <v>43914</v>
      </c>
      <c r="C526" s="1">
        <v>3</v>
      </c>
      <c r="D526" s="39">
        <v>20</v>
      </c>
      <c r="E526" s="1"/>
      <c r="F526" s="39">
        <f t="shared" si="19"/>
        <v>0</v>
      </c>
      <c r="G526" s="395"/>
      <c r="H526" s="395"/>
      <c r="J526" s="42"/>
    </row>
    <row r="527" spans="1:10" s="393" customFormat="1" x14ac:dyDescent="0.25">
      <c r="A527" s="19" t="s">
        <v>38</v>
      </c>
      <c r="B527" s="2">
        <v>43914</v>
      </c>
      <c r="C527" s="1">
        <v>0</v>
      </c>
      <c r="D527" s="39">
        <v>1</v>
      </c>
      <c r="E527" s="1"/>
      <c r="F527" s="39">
        <f t="shared" si="19"/>
        <v>0</v>
      </c>
      <c r="G527" s="395"/>
      <c r="H527" s="395"/>
      <c r="J527" s="42"/>
    </row>
    <row r="528" spans="1:10" s="393" customFormat="1" x14ac:dyDescent="0.25">
      <c r="A528" s="19" t="s">
        <v>39</v>
      </c>
      <c r="B528" s="2">
        <v>43914</v>
      </c>
      <c r="C528" s="1">
        <v>4</v>
      </c>
      <c r="D528" s="39">
        <v>10</v>
      </c>
      <c r="E528" s="1"/>
      <c r="F528" s="39">
        <f t="shared" si="19"/>
        <v>0</v>
      </c>
      <c r="G528" s="395"/>
      <c r="H528" s="395"/>
      <c r="J528" s="42"/>
    </row>
    <row r="529" spans="1:10" s="393" customFormat="1" x14ac:dyDescent="0.25">
      <c r="A529" s="19" t="s">
        <v>40</v>
      </c>
      <c r="B529" s="2">
        <v>43914</v>
      </c>
      <c r="C529" s="1">
        <v>0</v>
      </c>
      <c r="D529" s="39">
        <v>7</v>
      </c>
      <c r="E529" s="1"/>
      <c r="F529" s="39">
        <f t="shared" si="19"/>
        <v>0</v>
      </c>
      <c r="G529" s="395"/>
      <c r="H529" s="395"/>
      <c r="J529" s="42"/>
    </row>
    <row r="530" spans="1:10" s="393" customFormat="1" x14ac:dyDescent="0.25">
      <c r="A530" s="394" t="s">
        <v>16</v>
      </c>
      <c r="B530" s="2">
        <v>43915</v>
      </c>
      <c r="C530" s="1">
        <v>30</v>
      </c>
      <c r="D530" s="39">
        <v>128</v>
      </c>
      <c r="E530" s="1"/>
      <c r="F530" s="39">
        <f>E530+F506</f>
        <v>2</v>
      </c>
      <c r="G530" s="395"/>
      <c r="H530" s="395"/>
      <c r="J530" s="42"/>
    </row>
    <row r="531" spans="1:10" s="393" customFormat="1" x14ac:dyDescent="0.25">
      <c r="A531" s="19" t="s">
        <v>28</v>
      </c>
      <c r="B531" s="2">
        <v>43915</v>
      </c>
      <c r="C531" s="1">
        <v>0</v>
      </c>
      <c r="D531" s="39">
        <v>0</v>
      </c>
      <c r="E531" s="1"/>
      <c r="F531" s="39">
        <f t="shared" si="19"/>
        <v>0</v>
      </c>
      <c r="G531" s="395"/>
      <c r="H531" s="395"/>
      <c r="J531" s="42"/>
    </row>
    <row r="532" spans="1:10" s="393" customFormat="1" x14ac:dyDescent="0.25">
      <c r="A532" s="19" t="s">
        <v>15</v>
      </c>
      <c r="B532" s="2">
        <v>43915</v>
      </c>
      <c r="C532" s="1">
        <v>12</v>
      </c>
      <c r="D532" s="39">
        <v>52</v>
      </c>
      <c r="E532" s="1">
        <v>1</v>
      </c>
      <c r="F532" s="39">
        <f t="shared" si="19"/>
        <v>3</v>
      </c>
      <c r="G532" s="395"/>
      <c r="H532" s="395"/>
      <c r="J532" s="42"/>
    </row>
    <row r="533" spans="1:10" s="393" customFormat="1" x14ac:dyDescent="0.25">
      <c r="A533" s="19" t="s">
        <v>29</v>
      </c>
      <c r="B533" s="2">
        <v>43915</v>
      </c>
      <c r="C533" s="1">
        <v>0</v>
      </c>
      <c r="D533" s="39">
        <v>0</v>
      </c>
      <c r="E533" s="1"/>
      <c r="F533" s="39">
        <f t="shared" si="19"/>
        <v>0</v>
      </c>
      <c r="G533" s="395"/>
      <c r="H533" s="395"/>
      <c r="J533" s="42"/>
    </row>
    <row r="534" spans="1:10" s="393" customFormat="1" x14ac:dyDescent="0.25">
      <c r="A534" s="19" t="s">
        <v>43</v>
      </c>
      <c r="B534" s="2">
        <v>43915</v>
      </c>
      <c r="C534" s="1">
        <v>21</v>
      </c>
      <c r="D534" s="39">
        <v>166</v>
      </c>
      <c r="E534" s="1">
        <v>1</v>
      </c>
      <c r="F534" s="39">
        <f t="shared" si="19"/>
        <v>2</v>
      </c>
      <c r="G534" s="395"/>
      <c r="H534" s="395"/>
      <c r="J534" s="42"/>
    </row>
    <row r="535" spans="1:10" s="393" customFormat="1" x14ac:dyDescent="0.25">
      <c r="A535" s="19" t="s">
        <v>20</v>
      </c>
      <c r="B535" s="2">
        <v>43915</v>
      </c>
      <c r="C535" s="1">
        <v>15</v>
      </c>
      <c r="D535" s="39">
        <v>50</v>
      </c>
      <c r="E535" s="1"/>
      <c r="F535" s="39">
        <f t="shared" si="19"/>
        <v>0</v>
      </c>
      <c r="G535" s="395"/>
      <c r="H535" s="395"/>
      <c r="J535" s="42"/>
    </row>
    <row r="536" spans="1:10" s="393" customFormat="1" x14ac:dyDescent="0.25">
      <c r="A536" s="19" t="s">
        <v>30</v>
      </c>
      <c r="B536" s="2">
        <v>43915</v>
      </c>
      <c r="C536" s="1">
        <v>0</v>
      </c>
      <c r="D536" s="39">
        <v>3</v>
      </c>
      <c r="E536" s="1"/>
      <c r="F536" s="39">
        <f t="shared" si="19"/>
        <v>0</v>
      </c>
      <c r="G536" s="395"/>
      <c r="H536" s="395"/>
      <c r="J536" s="42"/>
    </row>
    <row r="537" spans="1:10" x14ac:dyDescent="0.25">
      <c r="A537" s="19" t="s">
        <v>31</v>
      </c>
      <c r="B537" s="2">
        <v>43915</v>
      </c>
      <c r="C537" s="1">
        <v>3</v>
      </c>
      <c r="D537" s="39">
        <v>7</v>
      </c>
      <c r="F537" s="39">
        <f t="shared" si="19"/>
        <v>0</v>
      </c>
    </row>
    <row r="538" spans="1:10" s="393" customFormat="1" x14ac:dyDescent="0.25">
      <c r="A538" s="19" t="s">
        <v>41</v>
      </c>
      <c r="B538" s="2">
        <v>43915</v>
      </c>
      <c r="C538" s="1">
        <v>0</v>
      </c>
      <c r="D538" s="39">
        <v>0</v>
      </c>
      <c r="E538" s="1"/>
      <c r="F538" s="39">
        <f t="shared" si="19"/>
        <v>0</v>
      </c>
      <c r="G538" s="395"/>
      <c r="H538" s="395"/>
      <c r="J538" s="42"/>
    </row>
    <row r="539" spans="1:10" s="393" customFormat="1" x14ac:dyDescent="0.25">
      <c r="A539" s="19" t="s">
        <v>32</v>
      </c>
      <c r="B539" s="2">
        <v>43915</v>
      </c>
      <c r="C539" s="1">
        <v>0</v>
      </c>
      <c r="D539" s="39">
        <v>1</v>
      </c>
      <c r="E539" s="1"/>
      <c r="F539" s="39">
        <f t="shared" si="19"/>
        <v>0</v>
      </c>
      <c r="G539" s="395"/>
      <c r="H539" s="395"/>
      <c r="J539" s="42"/>
    </row>
    <row r="540" spans="1:10" s="393" customFormat="1" x14ac:dyDescent="0.25">
      <c r="A540" s="19" t="s">
        <v>33</v>
      </c>
      <c r="B540" s="2">
        <v>43915</v>
      </c>
      <c r="C540" s="1">
        <v>0</v>
      </c>
      <c r="D540" s="39">
        <v>1</v>
      </c>
      <c r="E540" s="1"/>
      <c r="F540" s="39">
        <f t="shared" si="19"/>
        <v>0</v>
      </c>
      <c r="G540" s="395"/>
      <c r="H540" s="395"/>
      <c r="J540" s="42"/>
    </row>
    <row r="541" spans="1:10" s="393" customFormat="1" x14ac:dyDescent="0.25">
      <c r="A541" s="19" t="s">
        <v>21</v>
      </c>
      <c r="B541" s="2">
        <v>43915</v>
      </c>
      <c r="C541" s="1">
        <v>0</v>
      </c>
      <c r="D541" s="39">
        <v>0</v>
      </c>
      <c r="E541" s="1"/>
      <c r="F541" s="39">
        <f t="shared" si="19"/>
        <v>0</v>
      </c>
      <c r="G541" s="395"/>
      <c r="H541" s="395"/>
      <c r="J541" s="42"/>
    </row>
    <row r="542" spans="1:10" s="393" customFormat="1" x14ac:dyDescent="0.25">
      <c r="A542" s="19" t="s">
        <v>17</v>
      </c>
      <c r="B542" s="2">
        <v>43915</v>
      </c>
      <c r="C542" s="1">
        <v>1</v>
      </c>
      <c r="D542" s="39">
        <v>6</v>
      </c>
      <c r="E542" s="1"/>
      <c r="F542" s="39">
        <f t="shared" si="19"/>
        <v>0</v>
      </c>
      <c r="G542" s="395"/>
      <c r="H542" s="395"/>
      <c r="J542" s="42"/>
    </row>
    <row r="543" spans="1:10" s="393" customFormat="1" x14ac:dyDescent="0.25">
      <c r="A543" s="19" t="s">
        <v>23</v>
      </c>
      <c r="B543" s="2">
        <v>43915</v>
      </c>
      <c r="C543" s="1">
        <v>0</v>
      </c>
      <c r="D543" s="39">
        <v>1</v>
      </c>
      <c r="E543" s="1"/>
      <c r="F543" s="39">
        <f t="shared" si="19"/>
        <v>0</v>
      </c>
      <c r="G543" s="395"/>
      <c r="H543" s="395"/>
      <c r="J543" s="42"/>
    </row>
    <row r="544" spans="1:10" s="393" customFormat="1" x14ac:dyDescent="0.25">
      <c r="A544" s="19" t="s">
        <v>19</v>
      </c>
      <c r="B544" s="2">
        <v>43915</v>
      </c>
      <c r="C544" s="1">
        <v>1</v>
      </c>
      <c r="D544" s="39">
        <v>4</v>
      </c>
      <c r="E544" s="1"/>
      <c r="F544" s="39">
        <f t="shared" si="19"/>
        <v>0</v>
      </c>
      <c r="G544" s="395"/>
      <c r="H544" s="395"/>
      <c r="J544" s="42"/>
    </row>
    <row r="545" spans="1:10" s="393" customFormat="1" x14ac:dyDescent="0.25">
      <c r="A545" s="19" t="s">
        <v>18</v>
      </c>
      <c r="B545" s="2">
        <v>43915</v>
      </c>
      <c r="C545" s="1">
        <v>0</v>
      </c>
      <c r="D545" s="39">
        <v>4</v>
      </c>
      <c r="E545" s="1"/>
      <c r="F545" s="39">
        <f t="shared" si="19"/>
        <v>0</v>
      </c>
      <c r="G545" s="395"/>
      <c r="H545" s="395"/>
      <c r="J545" s="42"/>
    </row>
    <row r="546" spans="1:10" s="393" customFormat="1" x14ac:dyDescent="0.25">
      <c r="A546" s="19" t="s">
        <v>34</v>
      </c>
      <c r="B546" s="2">
        <v>43915</v>
      </c>
      <c r="C546" s="1">
        <v>0</v>
      </c>
      <c r="D546" s="39">
        <v>1</v>
      </c>
      <c r="E546" s="1"/>
      <c r="F546" s="39">
        <f t="shared" si="19"/>
        <v>0</v>
      </c>
      <c r="G546" s="395"/>
      <c r="H546" s="395"/>
      <c r="J546" s="42"/>
    </row>
    <row r="547" spans="1:10" s="393" customFormat="1" x14ac:dyDescent="0.25">
      <c r="A547" s="19" t="s">
        <v>35</v>
      </c>
      <c r="B547" s="2">
        <v>43915</v>
      </c>
      <c r="C547" s="1">
        <v>0</v>
      </c>
      <c r="D547" s="39">
        <v>0</v>
      </c>
      <c r="E547" s="1"/>
      <c r="F547" s="39">
        <f t="shared" si="19"/>
        <v>0</v>
      </c>
      <c r="G547" s="395"/>
      <c r="H547" s="395"/>
      <c r="J547" s="42"/>
    </row>
    <row r="548" spans="1:10" s="393" customFormat="1" x14ac:dyDescent="0.25">
      <c r="A548" s="19" t="s">
        <v>36</v>
      </c>
      <c r="B548" s="2">
        <v>43915</v>
      </c>
      <c r="C548" s="1">
        <v>3</v>
      </c>
      <c r="D548" s="39">
        <v>6</v>
      </c>
      <c r="E548" s="1"/>
      <c r="F548" s="39">
        <f t="shared" si="19"/>
        <v>0</v>
      </c>
      <c r="G548" s="395"/>
      <c r="H548" s="395"/>
      <c r="J548" s="42"/>
    </row>
    <row r="549" spans="1:10" s="393" customFormat="1" x14ac:dyDescent="0.25">
      <c r="A549" s="19" t="s">
        <v>37</v>
      </c>
      <c r="B549" s="2">
        <v>43915</v>
      </c>
      <c r="C549" s="1">
        <v>5</v>
      </c>
      <c r="D549" s="39">
        <v>7</v>
      </c>
      <c r="E549" s="1"/>
      <c r="F549" s="39">
        <f t="shared" si="19"/>
        <v>0</v>
      </c>
      <c r="G549" s="395"/>
      <c r="H549" s="395"/>
      <c r="J549" s="42"/>
    </row>
    <row r="550" spans="1:10" s="393" customFormat="1" x14ac:dyDescent="0.25">
      <c r="A550" s="19" t="s">
        <v>22</v>
      </c>
      <c r="B550" s="2">
        <v>43915</v>
      </c>
      <c r="C550" s="1">
        <v>22</v>
      </c>
      <c r="D550" s="39">
        <v>42</v>
      </c>
      <c r="E550" s="1"/>
      <c r="F550" s="39">
        <f t="shared" si="19"/>
        <v>0</v>
      </c>
      <c r="G550" s="395"/>
      <c r="H550" s="395"/>
      <c r="J550" s="42"/>
    </row>
    <row r="551" spans="1:10" s="393" customFormat="1" x14ac:dyDescent="0.25">
      <c r="A551" s="19" t="s">
        <v>38</v>
      </c>
      <c r="B551" s="2">
        <v>43915</v>
      </c>
      <c r="C551" s="1">
        <v>0</v>
      </c>
      <c r="D551" s="39">
        <v>1</v>
      </c>
      <c r="E551" s="1"/>
      <c r="F551" s="39">
        <f t="shared" si="19"/>
        <v>0</v>
      </c>
      <c r="G551" s="395"/>
      <c r="H551" s="395"/>
      <c r="J551" s="42"/>
    </row>
    <row r="552" spans="1:10" s="393" customFormat="1" x14ac:dyDescent="0.25">
      <c r="A552" s="19" t="s">
        <v>39</v>
      </c>
      <c r="B552" s="2">
        <v>43915</v>
      </c>
      <c r="C552" s="1">
        <v>1</v>
      </c>
      <c r="D552" s="39">
        <v>11</v>
      </c>
      <c r="E552" s="1"/>
      <c r="F552" s="39">
        <f t="shared" si="19"/>
        <v>0</v>
      </c>
      <c r="G552" s="395"/>
      <c r="H552" s="395"/>
      <c r="J552" s="42"/>
    </row>
    <row r="553" spans="1:10" s="393" customFormat="1" x14ac:dyDescent="0.25">
      <c r="A553" s="19" t="s">
        <v>40</v>
      </c>
      <c r="B553" s="2">
        <v>43915</v>
      </c>
      <c r="C553" s="1">
        <v>2</v>
      </c>
      <c r="D553" s="39">
        <v>9</v>
      </c>
      <c r="E553" s="1"/>
      <c r="F553" s="39">
        <f t="shared" si="19"/>
        <v>0</v>
      </c>
      <c r="G553" s="395"/>
      <c r="H553" s="395"/>
      <c r="J553" s="42"/>
    </row>
    <row r="554" spans="1:10" s="393" customFormat="1" x14ac:dyDescent="0.25">
      <c r="A554" s="394" t="s">
        <v>16</v>
      </c>
      <c r="B554" s="2">
        <v>43916</v>
      </c>
      <c r="C554" s="1">
        <v>27</v>
      </c>
      <c r="D554" s="39">
        <v>155</v>
      </c>
      <c r="E554" s="1">
        <v>2</v>
      </c>
      <c r="F554" s="39">
        <f>E554+F530</f>
        <v>4</v>
      </c>
      <c r="G554" s="395"/>
      <c r="H554" s="395"/>
      <c r="J554" s="42"/>
    </row>
    <row r="555" spans="1:10" s="393" customFormat="1" x14ac:dyDescent="0.25">
      <c r="A555" s="19" t="s">
        <v>28</v>
      </c>
      <c r="B555" s="2">
        <v>43916</v>
      </c>
      <c r="C555" s="1">
        <v>0</v>
      </c>
      <c r="D555" s="39">
        <v>0</v>
      </c>
      <c r="E555" s="1"/>
      <c r="F555" s="39">
        <f t="shared" si="19"/>
        <v>0</v>
      </c>
      <c r="G555" s="395"/>
      <c r="H555" s="395"/>
      <c r="J555" s="42"/>
    </row>
    <row r="556" spans="1:10" s="393" customFormat="1" x14ac:dyDescent="0.25">
      <c r="A556" s="19" t="s">
        <v>15</v>
      </c>
      <c r="B556" s="2">
        <v>43916</v>
      </c>
      <c r="C556" s="1">
        <v>3</v>
      </c>
      <c r="D556" s="39">
        <v>55</v>
      </c>
      <c r="E556" s="1"/>
      <c r="F556" s="39">
        <f t="shared" si="19"/>
        <v>3</v>
      </c>
      <c r="G556" s="395"/>
      <c r="H556" s="395"/>
      <c r="J556" s="42"/>
    </row>
    <row r="557" spans="1:10" s="393" customFormat="1" x14ac:dyDescent="0.25">
      <c r="A557" s="19" t="s">
        <v>29</v>
      </c>
      <c r="B557" s="2">
        <v>43916</v>
      </c>
      <c r="C557" s="1">
        <v>0</v>
      </c>
      <c r="D557" s="39">
        <v>0</v>
      </c>
      <c r="E557" s="1">
        <v>1</v>
      </c>
      <c r="F557" s="39">
        <f t="shared" si="19"/>
        <v>1</v>
      </c>
      <c r="G557" s="395"/>
      <c r="H557" s="395"/>
      <c r="J557" s="42"/>
    </row>
    <row r="558" spans="1:10" s="393" customFormat="1" x14ac:dyDescent="0.25">
      <c r="A558" s="19" t="s">
        <v>43</v>
      </c>
      <c r="B558" s="2">
        <v>43916</v>
      </c>
      <c r="C558" s="1">
        <v>30</v>
      </c>
      <c r="D558" s="39">
        <v>196</v>
      </c>
      <c r="E558" s="1">
        <v>1</v>
      </c>
      <c r="F558" s="39">
        <f t="shared" si="19"/>
        <v>3</v>
      </c>
      <c r="G558" s="395"/>
      <c r="H558" s="395"/>
      <c r="J558" s="42"/>
    </row>
    <row r="559" spans="1:10" s="393" customFormat="1" x14ac:dyDescent="0.25">
      <c r="A559" s="19" t="s">
        <v>20</v>
      </c>
      <c r="B559" s="2">
        <v>43916</v>
      </c>
      <c r="C559" s="1">
        <v>4</v>
      </c>
      <c r="D559" s="39">
        <v>54</v>
      </c>
      <c r="E559" s="1"/>
      <c r="F559" s="39">
        <f t="shared" si="19"/>
        <v>0</v>
      </c>
      <c r="G559" s="395"/>
      <c r="H559" s="395"/>
      <c r="J559" s="42"/>
    </row>
    <row r="560" spans="1:10" s="393" customFormat="1" x14ac:dyDescent="0.25">
      <c r="A560" s="19" t="s">
        <v>30</v>
      </c>
      <c r="B560" s="2">
        <v>43916</v>
      </c>
      <c r="C560" s="1">
        <v>0</v>
      </c>
      <c r="D560" s="39">
        <v>3</v>
      </c>
      <c r="E560" s="1"/>
      <c r="F560" s="39">
        <f t="shared" si="19"/>
        <v>0</v>
      </c>
      <c r="G560" s="395"/>
      <c r="H560" s="395"/>
      <c r="J560" s="42"/>
    </row>
    <row r="561" spans="1:10" x14ac:dyDescent="0.25">
      <c r="A561" s="19" t="s">
        <v>31</v>
      </c>
      <c r="B561" s="2">
        <v>43916</v>
      </c>
      <c r="C561" s="1">
        <v>0</v>
      </c>
      <c r="D561" s="39">
        <v>7</v>
      </c>
      <c r="F561" s="39">
        <f t="shared" si="19"/>
        <v>0</v>
      </c>
    </row>
    <row r="562" spans="1:10" s="393" customFormat="1" x14ac:dyDescent="0.25">
      <c r="A562" s="19" t="s">
        <v>41</v>
      </c>
      <c r="B562" s="2">
        <v>43916</v>
      </c>
      <c r="C562" s="1">
        <v>0</v>
      </c>
      <c r="D562" s="39">
        <v>0</v>
      </c>
      <c r="E562" s="1"/>
      <c r="F562" s="39">
        <f t="shared" si="19"/>
        <v>0</v>
      </c>
      <c r="G562" s="395"/>
      <c r="H562" s="395"/>
      <c r="J562" s="42"/>
    </row>
    <row r="563" spans="1:10" s="393" customFormat="1" x14ac:dyDescent="0.25">
      <c r="A563" s="19" t="s">
        <v>32</v>
      </c>
      <c r="B563" s="2">
        <v>43916</v>
      </c>
      <c r="C563" s="1">
        <v>2</v>
      </c>
      <c r="D563" s="39">
        <v>3</v>
      </c>
      <c r="E563" s="1"/>
      <c r="F563" s="39">
        <f t="shared" si="19"/>
        <v>0</v>
      </c>
      <c r="G563" s="395"/>
      <c r="H563" s="395"/>
      <c r="J563" s="42"/>
    </row>
    <row r="564" spans="1:10" s="393" customFormat="1" x14ac:dyDescent="0.25">
      <c r="A564" s="19" t="s">
        <v>33</v>
      </c>
      <c r="B564" s="2">
        <v>43916</v>
      </c>
      <c r="C564" s="1">
        <v>0</v>
      </c>
      <c r="D564" s="39">
        <v>1</v>
      </c>
      <c r="E564" s="1"/>
      <c r="F564" s="39">
        <f t="shared" si="19"/>
        <v>0</v>
      </c>
      <c r="G564" s="395"/>
      <c r="H564" s="395"/>
      <c r="J564" s="42"/>
    </row>
    <row r="565" spans="1:10" s="393" customFormat="1" x14ac:dyDescent="0.25">
      <c r="A565" s="19" t="s">
        <v>21</v>
      </c>
      <c r="B565" s="2">
        <v>43916</v>
      </c>
      <c r="C565" s="1">
        <v>0</v>
      </c>
      <c r="D565" s="39">
        <v>0</v>
      </c>
      <c r="E565" s="1"/>
      <c r="F565" s="39">
        <f t="shared" si="19"/>
        <v>0</v>
      </c>
      <c r="G565" s="395"/>
      <c r="H565" s="395"/>
      <c r="J565" s="42"/>
    </row>
    <row r="566" spans="1:10" s="393" customFormat="1" x14ac:dyDescent="0.25">
      <c r="A566" s="19" t="s">
        <v>17</v>
      </c>
      <c r="B566" s="2">
        <v>43916</v>
      </c>
      <c r="C566" s="1">
        <v>1</v>
      </c>
      <c r="D566" s="39">
        <v>7</v>
      </c>
      <c r="E566" s="1"/>
      <c r="F566" s="39">
        <f t="shared" si="19"/>
        <v>0</v>
      </c>
      <c r="G566" s="395"/>
      <c r="H566" s="395"/>
      <c r="J566" s="42"/>
    </row>
    <row r="567" spans="1:10" s="393" customFormat="1" x14ac:dyDescent="0.25">
      <c r="A567" s="19" t="s">
        <v>23</v>
      </c>
      <c r="B567" s="2">
        <v>43916</v>
      </c>
      <c r="C567" s="1">
        <v>0</v>
      </c>
      <c r="D567" s="39">
        <v>1</v>
      </c>
      <c r="E567" s="1"/>
      <c r="F567" s="39">
        <f t="shared" si="19"/>
        <v>0</v>
      </c>
      <c r="G567" s="395"/>
      <c r="H567" s="395"/>
      <c r="J567" s="42"/>
    </row>
    <row r="568" spans="1:10" s="393" customFormat="1" x14ac:dyDescent="0.25">
      <c r="A568" s="19" t="s">
        <v>19</v>
      </c>
      <c r="B568" s="2">
        <v>43916</v>
      </c>
      <c r="C568" s="1">
        <v>3</v>
      </c>
      <c r="D568" s="39">
        <v>7</v>
      </c>
      <c r="E568" s="1"/>
      <c r="F568" s="39">
        <f t="shared" si="19"/>
        <v>0</v>
      </c>
      <c r="G568" s="395"/>
      <c r="H568" s="395"/>
      <c r="J568" s="42"/>
    </row>
    <row r="569" spans="1:10" s="393" customFormat="1" x14ac:dyDescent="0.25">
      <c r="A569" s="19" t="s">
        <v>18</v>
      </c>
      <c r="B569" s="2">
        <v>43916</v>
      </c>
      <c r="C569" s="1">
        <v>0</v>
      </c>
      <c r="D569" s="39">
        <v>4</v>
      </c>
      <c r="E569" s="1"/>
      <c r="F569" s="39">
        <f t="shared" si="19"/>
        <v>0</v>
      </c>
      <c r="G569" s="395"/>
      <c r="H569" s="395"/>
      <c r="J569" s="42"/>
    </row>
    <row r="570" spans="1:10" s="393" customFormat="1" x14ac:dyDescent="0.25">
      <c r="A570" s="19" t="s">
        <v>34</v>
      </c>
      <c r="B570" s="2">
        <v>43916</v>
      </c>
      <c r="C570" s="1">
        <v>0</v>
      </c>
      <c r="D570" s="39">
        <v>1</v>
      </c>
      <c r="E570" s="1"/>
      <c r="F570" s="39">
        <f t="shared" si="19"/>
        <v>0</v>
      </c>
      <c r="G570" s="395"/>
      <c r="H570" s="395"/>
      <c r="J570" s="42"/>
    </row>
    <row r="571" spans="1:10" s="393" customFormat="1" x14ac:dyDescent="0.25">
      <c r="A571" s="19" t="s">
        <v>35</v>
      </c>
      <c r="B571" s="2">
        <v>43916</v>
      </c>
      <c r="C571" s="1">
        <v>0</v>
      </c>
      <c r="D571" s="39">
        <v>0</v>
      </c>
      <c r="E571" s="1"/>
      <c r="F571" s="39">
        <f t="shared" ref="F571:F577" si="20">E571+F547</f>
        <v>0</v>
      </c>
      <c r="G571" s="395"/>
      <c r="H571" s="395"/>
      <c r="J571" s="42"/>
    </row>
    <row r="572" spans="1:10" s="393" customFormat="1" x14ac:dyDescent="0.25">
      <c r="A572" s="19" t="s">
        <v>36</v>
      </c>
      <c r="B572" s="2">
        <v>43916</v>
      </c>
      <c r="C572" s="1">
        <v>0</v>
      </c>
      <c r="D572" s="39">
        <v>6</v>
      </c>
      <c r="E572" s="1"/>
      <c r="F572" s="39">
        <f t="shared" si="20"/>
        <v>0</v>
      </c>
      <c r="G572" s="395"/>
      <c r="H572" s="395"/>
      <c r="J572" s="42"/>
    </row>
    <row r="573" spans="1:10" s="393" customFormat="1" x14ac:dyDescent="0.25">
      <c r="A573" s="19" t="s">
        <v>37</v>
      </c>
      <c r="B573" s="2">
        <v>43916</v>
      </c>
      <c r="C573" s="1">
        <v>2</v>
      </c>
      <c r="D573" s="39">
        <v>9</v>
      </c>
      <c r="E573" s="1"/>
      <c r="F573" s="39">
        <f t="shared" si="20"/>
        <v>0</v>
      </c>
      <c r="G573" s="395"/>
      <c r="H573" s="395"/>
      <c r="J573" s="42"/>
    </row>
    <row r="574" spans="1:10" s="393" customFormat="1" x14ac:dyDescent="0.25">
      <c r="A574" s="19" t="s">
        <v>22</v>
      </c>
      <c r="B574" s="2">
        <v>43916</v>
      </c>
      <c r="C574" s="1">
        <v>12</v>
      </c>
      <c r="D574" s="39">
        <v>54</v>
      </c>
      <c r="E574" s="1"/>
      <c r="F574" s="39">
        <f t="shared" si="20"/>
        <v>0</v>
      </c>
      <c r="G574" s="395"/>
      <c r="H574" s="395"/>
      <c r="J574" s="42"/>
    </row>
    <row r="575" spans="1:10" s="393" customFormat="1" x14ac:dyDescent="0.25">
      <c r="A575" s="19" t="s">
        <v>38</v>
      </c>
      <c r="B575" s="2">
        <v>43916</v>
      </c>
      <c r="C575" s="1">
        <v>0</v>
      </c>
      <c r="D575" s="39">
        <v>1</v>
      </c>
      <c r="E575" s="1"/>
      <c r="F575" s="39">
        <f t="shared" si="20"/>
        <v>0</v>
      </c>
      <c r="G575" s="395"/>
      <c r="H575" s="395"/>
      <c r="J575" s="42"/>
    </row>
    <row r="576" spans="1:10" s="393" customFormat="1" x14ac:dyDescent="0.25">
      <c r="A576" s="19" t="s">
        <v>39</v>
      </c>
      <c r="B576" s="2">
        <v>43916</v>
      </c>
      <c r="C576" s="1">
        <v>3</v>
      </c>
      <c r="D576" s="39">
        <v>14</v>
      </c>
      <c r="E576" s="1"/>
      <c r="F576" s="39">
        <f t="shared" si="20"/>
        <v>0</v>
      </c>
      <c r="G576" s="395"/>
      <c r="H576" s="395"/>
      <c r="J576" s="42"/>
    </row>
    <row r="577" spans="1:10" s="393" customFormat="1" x14ac:dyDescent="0.25">
      <c r="A577" s="19" t="s">
        <v>40</v>
      </c>
      <c r="B577" s="2">
        <v>43916</v>
      </c>
      <c r="C577" s="1">
        <v>0</v>
      </c>
      <c r="D577" s="39">
        <v>9</v>
      </c>
      <c r="E577" s="1"/>
      <c r="F577" s="39">
        <f t="shared" si="20"/>
        <v>0</v>
      </c>
      <c r="G577" s="395"/>
      <c r="H577" s="395"/>
      <c r="J577" s="42"/>
    </row>
    <row r="578" spans="1:10" s="393" customFormat="1" x14ac:dyDescent="0.25">
      <c r="A578" s="394" t="s">
        <v>16</v>
      </c>
      <c r="B578" s="2">
        <v>43917</v>
      </c>
      <c r="C578" s="1">
        <v>36</v>
      </c>
      <c r="D578" s="39">
        <v>191</v>
      </c>
      <c r="E578" s="266">
        <v>1</v>
      </c>
      <c r="F578" s="39">
        <f>E578+F554</f>
        <v>5</v>
      </c>
      <c r="G578" s="395"/>
      <c r="H578" s="395"/>
      <c r="J578" s="42"/>
    </row>
    <row r="579" spans="1:10" s="393" customFormat="1" x14ac:dyDescent="0.25">
      <c r="A579" s="19" t="s">
        <v>28</v>
      </c>
      <c r="B579" s="2">
        <v>43917</v>
      </c>
      <c r="C579" s="1">
        <v>0</v>
      </c>
      <c r="D579" s="39">
        <v>0</v>
      </c>
      <c r="E579" s="1"/>
      <c r="F579" s="39">
        <f t="shared" ref="F579:F601" si="21">E579+F555</f>
        <v>0</v>
      </c>
      <c r="G579" s="395"/>
      <c r="H579" s="395"/>
      <c r="J579" s="42"/>
    </row>
    <row r="580" spans="1:10" s="393" customFormat="1" x14ac:dyDescent="0.25">
      <c r="A580" s="19" t="s">
        <v>15</v>
      </c>
      <c r="B580" s="2">
        <v>43917</v>
      </c>
      <c r="C580" s="1">
        <v>3</v>
      </c>
      <c r="D580" s="39">
        <v>58</v>
      </c>
      <c r="E580" s="1"/>
      <c r="F580" s="39">
        <f t="shared" si="21"/>
        <v>3</v>
      </c>
      <c r="G580" s="395"/>
      <c r="H580" s="395"/>
      <c r="J580" s="42"/>
    </row>
    <row r="581" spans="1:10" s="393" customFormat="1" x14ac:dyDescent="0.25">
      <c r="A581" s="19" t="s">
        <v>29</v>
      </c>
      <c r="B581" s="2">
        <v>43917</v>
      </c>
      <c r="C581" s="1">
        <v>0</v>
      </c>
      <c r="D581" s="39">
        <v>0</v>
      </c>
      <c r="E581" s="1"/>
      <c r="F581" s="39">
        <f t="shared" si="21"/>
        <v>1</v>
      </c>
      <c r="G581" s="395"/>
      <c r="H581" s="395"/>
      <c r="J581" s="42"/>
    </row>
    <row r="582" spans="1:10" s="393" customFormat="1" x14ac:dyDescent="0.25">
      <c r="A582" s="19" t="s">
        <v>43</v>
      </c>
      <c r="B582" s="2">
        <v>43917</v>
      </c>
      <c r="C582" s="1">
        <v>43</v>
      </c>
      <c r="D582" s="39">
        <v>239</v>
      </c>
      <c r="E582" s="1">
        <v>1</v>
      </c>
      <c r="F582" s="39">
        <f t="shared" si="21"/>
        <v>4</v>
      </c>
      <c r="G582" s="395"/>
      <c r="H582" s="395"/>
      <c r="J582" s="42"/>
    </row>
    <row r="583" spans="1:10" s="393" customFormat="1" x14ac:dyDescent="0.25">
      <c r="A583" s="19" t="s">
        <v>20</v>
      </c>
      <c r="B583" s="2">
        <v>43917</v>
      </c>
      <c r="C583" s="1">
        <v>5</v>
      </c>
      <c r="D583" s="39">
        <v>59</v>
      </c>
      <c r="E583" s="1"/>
      <c r="F583" s="39">
        <f t="shared" si="21"/>
        <v>0</v>
      </c>
      <c r="G583" s="395"/>
      <c r="H583" s="395"/>
      <c r="J583" s="42"/>
    </row>
    <row r="584" spans="1:10" s="393" customFormat="1" x14ac:dyDescent="0.25">
      <c r="A584" s="19" t="s">
        <v>30</v>
      </c>
      <c r="B584" s="2">
        <v>43917</v>
      </c>
      <c r="C584" s="1">
        <v>2</v>
      </c>
      <c r="D584" s="39">
        <v>5</v>
      </c>
      <c r="E584" s="1"/>
      <c r="F584" s="39">
        <f t="shared" si="21"/>
        <v>0</v>
      </c>
      <c r="G584" s="395"/>
      <c r="H584" s="395"/>
      <c r="J584" s="42"/>
    </row>
    <row r="585" spans="1:10" x14ac:dyDescent="0.25">
      <c r="A585" s="19" t="s">
        <v>31</v>
      </c>
      <c r="B585" s="2">
        <v>43917</v>
      </c>
      <c r="C585" s="1">
        <v>3</v>
      </c>
      <c r="D585" s="39">
        <v>10</v>
      </c>
      <c r="F585" s="39">
        <f t="shared" si="21"/>
        <v>0</v>
      </c>
    </row>
    <row r="586" spans="1:10" s="393" customFormat="1" x14ac:dyDescent="0.25">
      <c r="A586" s="19" t="s">
        <v>41</v>
      </c>
      <c r="B586" s="2">
        <v>43917</v>
      </c>
      <c r="C586" s="1">
        <v>0</v>
      </c>
      <c r="D586" s="39">
        <v>0</v>
      </c>
      <c r="E586" s="1"/>
      <c r="F586" s="39">
        <f t="shared" si="21"/>
        <v>0</v>
      </c>
      <c r="G586" s="395"/>
      <c r="H586" s="395"/>
      <c r="J586" s="42"/>
    </row>
    <row r="587" spans="1:10" s="393" customFormat="1" x14ac:dyDescent="0.25">
      <c r="A587" s="19" t="s">
        <v>32</v>
      </c>
      <c r="B587" s="2">
        <v>43917</v>
      </c>
      <c r="C587" s="1">
        <v>0</v>
      </c>
      <c r="D587" s="39">
        <v>3</v>
      </c>
      <c r="E587" s="1"/>
      <c r="F587" s="39">
        <f t="shared" si="21"/>
        <v>0</v>
      </c>
      <c r="G587" s="395"/>
      <c r="H587" s="395"/>
      <c r="J587" s="42"/>
    </row>
    <row r="588" spans="1:10" s="393" customFormat="1" x14ac:dyDescent="0.25">
      <c r="A588" s="19" t="s">
        <v>33</v>
      </c>
      <c r="B588" s="2">
        <v>43917</v>
      </c>
      <c r="C588" s="1">
        <v>0</v>
      </c>
      <c r="D588" s="39">
        <v>1</v>
      </c>
      <c r="E588" s="1"/>
      <c r="F588" s="39">
        <f t="shared" si="21"/>
        <v>0</v>
      </c>
      <c r="G588" s="395"/>
      <c r="H588" s="395"/>
      <c r="J588" s="42"/>
    </row>
    <row r="589" spans="1:10" s="393" customFormat="1" x14ac:dyDescent="0.25">
      <c r="A589" s="19" t="s">
        <v>21</v>
      </c>
      <c r="B589" s="2">
        <v>43917</v>
      </c>
      <c r="C589" s="1">
        <v>0</v>
      </c>
      <c r="D589" s="39">
        <v>0</v>
      </c>
      <c r="E589" s="1"/>
      <c r="F589" s="39">
        <f t="shared" si="21"/>
        <v>0</v>
      </c>
      <c r="G589" s="395"/>
      <c r="H589" s="395"/>
      <c r="J589" s="42"/>
    </row>
    <row r="590" spans="1:10" s="393" customFormat="1" x14ac:dyDescent="0.25">
      <c r="A590" s="19" t="s">
        <v>17</v>
      </c>
      <c r="B590" s="2">
        <v>43917</v>
      </c>
      <c r="C590" s="1">
        <v>1</v>
      </c>
      <c r="D590" s="39">
        <v>8</v>
      </c>
      <c r="E590" s="1">
        <v>1</v>
      </c>
      <c r="F590" s="39">
        <f t="shared" si="21"/>
        <v>1</v>
      </c>
      <c r="G590" s="395"/>
      <c r="H590" s="395"/>
      <c r="J590" s="42"/>
    </row>
    <row r="591" spans="1:10" s="393" customFormat="1" x14ac:dyDescent="0.25">
      <c r="A591" s="19" t="s">
        <v>23</v>
      </c>
      <c r="B591" s="2">
        <v>43917</v>
      </c>
      <c r="C591" s="1">
        <v>0</v>
      </c>
      <c r="D591" s="39">
        <v>1</v>
      </c>
      <c r="E591" s="1"/>
      <c r="F591" s="39">
        <f t="shared" si="21"/>
        <v>0</v>
      </c>
      <c r="G591" s="395"/>
      <c r="H591" s="395"/>
      <c r="J591" s="42"/>
    </row>
    <row r="592" spans="1:10" s="393" customFormat="1" x14ac:dyDescent="0.25">
      <c r="A592" s="19" t="s">
        <v>19</v>
      </c>
      <c r="B592" s="2">
        <v>43917</v>
      </c>
      <c r="C592" s="1">
        <v>3</v>
      </c>
      <c r="D592" s="39">
        <v>10</v>
      </c>
      <c r="E592" s="1"/>
      <c r="F592" s="39">
        <f t="shared" si="21"/>
        <v>0</v>
      </c>
      <c r="G592" s="395"/>
      <c r="H592" s="395"/>
      <c r="J592" s="42"/>
    </row>
    <row r="593" spans="1:10" s="393" customFormat="1" x14ac:dyDescent="0.25">
      <c r="A593" s="19" t="s">
        <v>18</v>
      </c>
      <c r="B593" s="2">
        <v>43917</v>
      </c>
      <c r="C593" s="1">
        <v>3</v>
      </c>
      <c r="D593" s="39">
        <v>7</v>
      </c>
      <c r="E593" s="1">
        <v>1</v>
      </c>
      <c r="F593" s="39">
        <f t="shared" si="21"/>
        <v>1</v>
      </c>
      <c r="G593" s="395"/>
      <c r="H593" s="395"/>
      <c r="J593" s="42"/>
    </row>
    <row r="594" spans="1:10" s="393" customFormat="1" x14ac:dyDescent="0.25">
      <c r="A594" s="19" t="s">
        <v>34</v>
      </c>
      <c r="B594" s="2">
        <v>43917</v>
      </c>
      <c r="C594" s="1">
        <v>0</v>
      </c>
      <c r="D594" s="39">
        <v>1</v>
      </c>
      <c r="E594" s="1"/>
      <c r="F594" s="39">
        <f t="shared" si="21"/>
        <v>0</v>
      </c>
      <c r="G594" s="395"/>
      <c r="H594" s="395"/>
      <c r="J594" s="42"/>
    </row>
    <row r="595" spans="1:10" s="393" customFormat="1" x14ac:dyDescent="0.25">
      <c r="A595" s="19" t="s">
        <v>35</v>
      </c>
      <c r="B595" s="2">
        <v>43917</v>
      </c>
      <c r="C595" s="1">
        <v>0</v>
      </c>
      <c r="D595" s="39">
        <v>0</v>
      </c>
      <c r="E595" s="1"/>
      <c r="F595" s="39">
        <f t="shared" si="21"/>
        <v>0</v>
      </c>
      <c r="G595" s="395"/>
      <c r="H595" s="395"/>
      <c r="J595" s="42"/>
    </row>
    <row r="596" spans="1:10" s="393" customFormat="1" x14ac:dyDescent="0.25">
      <c r="A596" s="19" t="s">
        <v>36</v>
      </c>
      <c r="B596" s="2">
        <v>43917</v>
      </c>
      <c r="C596" s="1">
        <v>0</v>
      </c>
      <c r="D596" s="39">
        <v>6</v>
      </c>
      <c r="E596" s="1"/>
      <c r="F596" s="39">
        <f t="shared" si="21"/>
        <v>0</v>
      </c>
      <c r="G596" s="395"/>
      <c r="H596" s="395"/>
      <c r="J596" s="42"/>
    </row>
    <row r="597" spans="1:10" s="393" customFormat="1" x14ac:dyDescent="0.25">
      <c r="A597" s="19" t="s">
        <v>37</v>
      </c>
      <c r="B597" s="2">
        <v>43917</v>
      </c>
      <c r="C597" s="1">
        <v>0</v>
      </c>
      <c r="D597" s="39">
        <v>9</v>
      </c>
      <c r="E597" s="1"/>
      <c r="F597" s="39">
        <f t="shared" si="21"/>
        <v>0</v>
      </c>
      <c r="G597" s="395"/>
      <c r="H597" s="395"/>
      <c r="J597" s="42"/>
    </row>
    <row r="598" spans="1:10" s="393" customFormat="1" x14ac:dyDescent="0.25">
      <c r="A598" s="19" t="s">
        <v>22</v>
      </c>
      <c r="B598" s="2">
        <v>43917</v>
      </c>
      <c r="C598" s="1">
        <v>9</v>
      </c>
      <c r="D598" s="39">
        <v>63</v>
      </c>
      <c r="E598" s="1"/>
      <c r="F598" s="39">
        <f t="shared" si="21"/>
        <v>0</v>
      </c>
      <c r="G598" s="395"/>
      <c r="H598" s="395"/>
      <c r="J598" s="42"/>
    </row>
    <row r="599" spans="1:10" s="393" customFormat="1" x14ac:dyDescent="0.25">
      <c r="A599" s="19" t="s">
        <v>38</v>
      </c>
      <c r="B599" s="2">
        <v>43917</v>
      </c>
      <c r="C599" s="1">
        <v>1</v>
      </c>
      <c r="D599" s="39">
        <v>2</v>
      </c>
      <c r="E599" s="1"/>
      <c r="F599" s="39">
        <f t="shared" si="21"/>
        <v>0</v>
      </c>
      <c r="G599" s="395"/>
      <c r="H599" s="395"/>
      <c r="J599" s="42"/>
    </row>
    <row r="600" spans="1:10" s="393" customFormat="1" x14ac:dyDescent="0.25">
      <c r="A600" s="19" t="s">
        <v>39</v>
      </c>
      <c r="B600" s="2">
        <v>43917</v>
      </c>
      <c r="C600" s="1">
        <v>0</v>
      </c>
      <c r="D600" s="39">
        <v>14</v>
      </c>
      <c r="E600" s="1"/>
      <c r="F600" s="39">
        <f t="shared" si="21"/>
        <v>0</v>
      </c>
      <c r="G600" s="395"/>
      <c r="H600" s="395"/>
      <c r="J600" s="42"/>
    </row>
    <row r="601" spans="1:10" s="393" customFormat="1" x14ac:dyDescent="0.25">
      <c r="A601" s="19" t="s">
        <v>40</v>
      </c>
      <c r="B601" s="2">
        <v>43917</v>
      </c>
      <c r="C601" s="1">
        <v>6</v>
      </c>
      <c r="D601" s="39">
        <v>15</v>
      </c>
      <c r="E601" s="1"/>
      <c r="F601" s="39">
        <f t="shared" si="21"/>
        <v>0</v>
      </c>
      <c r="G601" s="395"/>
      <c r="H601" s="395"/>
      <c r="J601" s="42"/>
    </row>
    <row r="602" spans="1:10" s="393" customFormat="1" x14ac:dyDescent="0.25">
      <c r="A602" s="394" t="s">
        <v>16</v>
      </c>
      <c r="B602" s="2">
        <v>43918</v>
      </c>
      <c r="C602" s="1">
        <v>8</v>
      </c>
      <c r="D602" s="39">
        <v>199</v>
      </c>
      <c r="E602" s="1">
        <v>1</v>
      </c>
      <c r="F602" s="39">
        <f>E602+F578</f>
        <v>6</v>
      </c>
      <c r="G602" s="395"/>
      <c r="H602" s="395"/>
      <c r="J602" s="42"/>
    </row>
    <row r="603" spans="1:10" s="393" customFormat="1" x14ac:dyDescent="0.25">
      <c r="A603" s="19" t="s">
        <v>28</v>
      </c>
      <c r="B603" s="2">
        <v>43918</v>
      </c>
      <c r="C603" s="1">
        <v>0</v>
      </c>
      <c r="D603" s="39">
        <v>0</v>
      </c>
      <c r="E603" s="1"/>
      <c r="F603" s="39">
        <f t="shared" ref="F603:F625" si="22">E603+F579</f>
        <v>0</v>
      </c>
      <c r="G603" s="395"/>
      <c r="H603" s="395"/>
      <c r="J603" s="42"/>
    </row>
    <row r="604" spans="1:10" s="393" customFormat="1" x14ac:dyDescent="0.25">
      <c r="A604" s="19" t="s">
        <v>15</v>
      </c>
      <c r="B604" s="2">
        <v>43918</v>
      </c>
      <c r="C604" s="1">
        <v>5</v>
      </c>
      <c r="D604" s="39">
        <v>63</v>
      </c>
      <c r="E604" s="1"/>
      <c r="F604" s="39">
        <f t="shared" si="22"/>
        <v>3</v>
      </c>
      <c r="G604" s="395"/>
      <c r="H604" s="395"/>
      <c r="J604" s="42"/>
    </row>
    <row r="605" spans="1:10" s="393" customFormat="1" x14ac:dyDescent="0.25">
      <c r="A605" s="19" t="s">
        <v>29</v>
      </c>
      <c r="B605" s="2">
        <v>43918</v>
      </c>
      <c r="C605" s="1">
        <v>0</v>
      </c>
      <c r="D605" s="39">
        <v>0</v>
      </c>
      <c r="E605" s="1"/>
      <c r="F605" s="39">
        <f t="shared" si="22"/>
        <v>1</v>
      </c>
      <c r="G605" s="395"/>
      <c r="H605" s="395"/>
      <c r="J605" s="42"/>
    </row>
    <row r="606" spans="1:10" s="393" customFormat="1" x14ac:dyDescent="0.25">
      <c r="A606" s="19" t="s">
        <v>43</v>
      </c>
      <c r="B606" s="2">
        <v>43918</v>
      </c>
      <c r="C606" s="1">
        <v>18</v>
      </c>
      <c r="D606" s="39">
        <v>257</v>
      </c>
      <c r="E606" s="1">
        <v>1</v>
      </c>
      <c r="F606" s="39">
        <f t="shared" si="22"/>
        <v>5</v>
      </c>
      <c r="G606" s="395"/>
      <c r="H606" s="395"/>
      <c r="J606" s="42"/>
    </row>
    <row r="607" spans="1:10" s="393" customFormat="1" x14ac:dyDescent="0.25">
      <c r="A607" s="19" t="s">
        <v>20</v>
      </c>
      <c r="B607" s="2">
        <v>43918</v>
      </c>
      <c r="C607" s="1">
        <v>1</v>
      </c>
      <c r="D607" s="39">
        <v>60</v>
      </c>
      <c r="E607" s="1"/>
      <c r="F607" s="39">
        <f t="shared" si="22"/>
        <v>0</v>
      </c>
      <c r="G607" s="395"/>
      <c r="H607" s="395"/>
      <c r="J607" s="42"/>
    </row>
    <row r="608" spans="1:10" s="393" customFormat="1" x14ac:dyDescent="0.25">
      <c r="A608" s="19" t="s">
        <v>30</v>
      </c>
      <c r="B608" s="2">
        <v>43918</v>
      </c>
      <c r="C608" s="1">
        <v>3</v>
      </c>
      <c r="D608" s="39">
        <v>8</v>
      </c>
      <c r="E608" s="1"/>
      <c r="F608" s="39">
        <f t="shared" si="22"/>
        <v>0</v>
      </c>
      <c r="G608" s="395"/>
      <c r="H608" s="395"/>
      <c r="J608" s="42"/>
    </row>
    <row r="609" spans="1:10" x14ac:dyDescent="0.25">
      <c r="A609" s="19" t="s">
        <v>31</v>
      </c>
      <c r="B609" s="2">
        <v>43918</v>
      </c>
      <c r="C609" s="1">
        <v>0</v>
      </c>
      <c r="D609" s="39">
        <v>10</v>
      </c>
      <c r="F609" s="39">
        <f t="shared" si="22"/>
        <v>0</v>
      </c>
    </row>
    <row r="610" spans="1:10" s="393" customFormat="1" x14ac:dyDescent="0.25">
      <c r="A610" s="19" t="s">
        <v>41</v>
      </c>
      <c r="B610" s="2">
        <v>43918</v>
      </c>
      <c r="C610" s="1">
        <v>0</v>
      </c>
      <c r="D610" s="39">
        <v>0</v>
      </c>
      <c r="E610" s="1"/>
      <c r="F610" s="39">
        <f t="shared" si="22"/>
        <v>0</v>
      </c>
      <c r="G610" s="395"/>
      <c r="H610" s="395"/>
      <c r="J610" s="42"/>
    </row>
    <row r="611" spans="1:10" s="393" customFormat="1" x14ac:dyDescent="0.25">
      <c r="A611" s="19" t="s">
        <v>32</v>
      </c>
      <c r="B611" s="2">
        <v>43918</v>
      </c>
      <c r="C611" s="1">
        <v>0</v>
      </c>
      <c r="D611" s="39">
        <v>3</v>
      </c>
      <c r="E611" s="1"/>
      <c r="F611" s="39">
        <f t="shared" si="22"/>
        <v>0</v>
      </c>
      <c r="G611" s="395"/>
      <c r="H611" s="395"/>
      <c r="J611" s="42"/>
    </row>
    <row r="612" spans="1:10" s="393" customFormat="1" x14ac:dyDescent="0.25">
      <c r="A612" s="19" t="s">
        <v>33</v>
      </c>
      <c r="B612" s="2">
        <v>43918</v>
      </c>
      <c r="C612" s="1">
        <v>0</v>
      </c>
      <c r="D612" s="39">
        <v>1</v>
      </c>
      <c r="E612" s="1"/>
      <c r="F612" s="39">
        <f t="shared" si="22"/>
        <v>0</v>
      </c>
      <c r="G612" s="395"/>
      <c r="H612" s="395"/>
      <c r="J612" s="42"/>
    </row>
    <row r="613" spans="1:10" s="393" customFormat="1" x14ac:dyDescent="0.25">
      <c r="A613" s="19" t="s">
        <v>21</v>
      </c>
      <c r="B613" s="2">
        <v>43918</v>
      </c>
      <c r="C613" s="1">
        <v>0</v>
      </c>
      <c r="D613" s="39">
        <v>0</v>
      </c>
      <c r="E613" s="1"/>
      <c r="F613" s="39">
        <f t="shared" si="22"/>
        <v>0</v>
      </c>
      <c r="G613" s="395"/>
      <c r="H613" s="395"/>
      <c r="J613" s="42"/>
    </row>
    <row r="614" spans="1:10" s="393" customFormat="1" x14ac:dyDescent="0.25">
      <c r="A614" s="19" t="s">
        <v>17</v>
      </c>
      <c r="B614" s="2">
        <v>43918</v>
      </c>
      <c r="C614" s="1">
        <v>1</v>
      </c>
      <c r="D614" s="39">
        <v>9</v>
      </c>
      <c r="E614" s="1"/>
      <c r="F614" s="39">
        <f t="shared" si="22"/>
        <v>1</v>
      </c>
      <c r="G614" s="395"/>
      <c r="H614" s="395"/>
      <c r="J614" s="42"/>
    </row>
    <row r="615" spans="1:10" s="393" customFormat="1" x14ac:dyDescent="0.25">
      <c r="A615" s="19" t="s">
        <v>23</v>
      </c>
      <c r="B615" s="2">
        <v>43918</v>
      </c>
      <c r="C615" s="1">
        <v>0</v>
      </c>
      <c r="D615" s="39">
        <v>1</v>
      </c>
      <c r="E615" s="1"/>
      <c r="F615" s="39">
        <f t="shared" si="22"/>
        <v>0</v>
      </c>
      <c r="G615" s="395"/>
      <c r="H615" s="395"/>
      <c r="J615" s="42"/>
    </row>
    <row r="616" spans="1:10" s="393" customFormat="1" x14ac:dyDescent="0.25">
      <c r="A616" s="19" t="s">
        <v>19</v>
      </c>
      <c r="B616" s="2">
        <v>43918</v>
      </c>
      <c r="C616" s="1">
        <v>2</v>
      </c>
      <c r="D616" s="39">
        <v>12</v>
      </c>
      <c r="E616" s="1"/>
      <c r="F616" s="39">
        <f t="shared" si="22"/>
        <v>0</v>
      </c>
      <c r="G616" s="395"/>
      <c r="H616" s="395"/>
      <c r="J616" s="42"/>
    </row>
    <row r="617" spans="1:10" s="393" customFormat="1" x14ac:dyDescent="0.25">
      <c r="A617" s="19" t="s">
        <v>18</v>
      </c>
      <c r="B617" s="2">
        <v>43918</v>
      </c>
      <c r="C617" s="1">
        <v>0</v>
      </c>
      <c r="D617" s="39">
        <v>7</v>
      </c>
      <c r="E617" s="1"/>
      <c r="F617" s="39">
        <f t="shared" si="22"/>
        <v>1</v>
      </c>
      <c r="G617" s="395"/>
      <c r="H617" s="395"/>
      <c r="J617" s="42"/>
    </row>
    <row r="618" spans="1:10" s="393" customFormat="1" x14ac:dyDescent="0.25">
      <c r="A618" s="19" t="s">
        <v>34</v>
      </c>
      <c r="B618" s="2">
        <v>43918</v>
      </c>
      <c r="C618" s="1">
        <v>0</v>
      </c>
      <c r="D618" s="39">
        <v>1</v>
      </c>
      <c r="E618" s="1"/>
      <c r="F618" s="39">
        <f t="shared" si="22"/>
        <v>0</v>
      </c>
      <c r="G618" s="395"/>
      <c r="H618" s="395"/>
      <c r="J618" s="42"/>
    </row>
    <row r="619" spans="1:10" s="393" customFormat="1" x14ac:dyDescent="0.25">
      <c r="A619" s="19" t="s">
        <v>35</v>
      </c>
      <c r="B619" s="2">
        <v>43918</v>
      </c>
      <c r="C619" s="1">
        <v>0</v>
      </c>
      <c r="D619" s="39">
        <v>0</v>
      </c>
      <c r="E619" s="1"/>
      <c r="F619" s="39">
        <f t="shared" si="22"/>
        <v>0</v>
      </c>
      <c r="G619" s="395"/>
      <c r="H619" s="395"/>
      <c r="J619" s="42"/>
    </row>
    <row r="620" spans="1:10" s="393" customFormat="1" x14ac:dyDescent="0.25">
      <c r="A620" s="19" t="s">
        <v>36</v>
      </c>
      <c r="B620" s="2">
        <v>43918</v>
      </c>
      <c r="C620" s="1">
        <v>0</v>
      </c>
      <c r="D620" s="39">
        <v>6</v>
      </c>
      <c r="E620" s="1"/>
      <c r="F620" s="39">
        <f t="shared" si="22"/>
        <v>0</v>
      </c>
      <c r="G620" s="395"/>
      <c r="H620" s="395"/>
      <c r="J620" s="42"/>
    </row>
    <row r="621" spans="1:10" s="393" customFormat="1" x14ac:dyDescent="0.25">
      <c r="A621" s="19" t="s">
        <v>37</v>
      </c>
      <c r="B621" s="2">
        <v>43918</v>
      </c>
      <c r="C621" s="1">
        <v>0</v>
      </c>
      <c r="D621" s="39">
        <v>9</v>
      </c>
      <c r="E621" s="1"/>
      <c r="F621" s="39">
        <f t="shared" si="22"/>
        <v>0</v>
      </c>
      <c r="G621" s="395"/>
      <c r="H621" s="395"/>
      <c r="J621" s="42"/>
    </row>
    <row r="622" spans="1:10" s="393" customFormat="1" x14ac:dyDescent="0.25">
      <c r="A622" s="19" t="s">
        <v>22</v>
      </c>
      <c r="B622" s="2">
        <v>43918</v>
      </c>
      <c r="C622" s="1">
        <v>13</v>
      </c>
      <c r="D622" s="39">
        <v>76</v>
      </c>
      <c r="E622" s="1"/>
      <c r="F622" s="39">
        <f t="shared" si="22"/>
        <v>0</v>
      </c>
      <c r="G622" s="395"/>
      <c r="H622" s="395"/>
      <c r="J622" s="42"/>
    </row>
    <row r="623" spans="1:10" s="393" customFormat="1" x14ac:dyDescent="0.25">
      <c r="A623" s="19" t="s">
        <v>38</v>
      </c>
      <c r="B623" s="2">
        <v>43918</v>
      </c>
      <c r="C623" s="1">
        <v>0</v>
      </c>
      <c r="D623" s="39">
        <v>2</v>
      </c>
      <c r="E623" s="1"/>
      <c r="F623" s="39">
        <f t="shared" si="22"/>
        <v>0</v>
      </c>
      <c r="G623" s="395"/>
      <c r="H623" s="395"/>
      <c r="J623" s="42"/>
    </row>
    <row r="624" spans="1:10" s="393" customFormat="1" x14ac:dyDescent="0.25">
      <c r="A624" s="19" t="s">
        <v>39</v>
      </c>
      <c r="B624" s="2">
        <v>43918</v>
      </c>
      <c r="C624" s="1">
        <v>4</v>
      </c>
      <c r="D624" s="39">
        <v>18</v>
      </c>
      <c r="E624" s="1"/>
      <c r="F624" s="39">
        <f t="shared" si="22"/>
        <v>0</v>
      </c>
      <c r="G624" s="395"/>
      <c r="H624" s="395"/>
      <c r="J624" s="42"/>
    </row>
    <row r="625" spans="1:10" s="393" customFormat="1" x14ac:dyDescent="0.25">
      <c r="A625" s="19" t="s">
        <v>40</v>
      </c>
      <c r="B625" s="2">
        <v>43918</v>
      </c>
      <c r="C625" s="1">
        <v>0</v>
      </c>
      <c r="D625" s="39">
        <v>15</v>
      </c>
      <c r="E625" s="1"/>
      <c r="F625" s="39">
        <f t="shared" si="22"/>
        <v>0</v>
      </c>
      <c r="G625" s="395"/>
      <c r="H625" s="395"/>
      <c r="J625" s="42"/>
    </row>
    <row r="626" spans="1:10" s="393" customFormat="1" x14ac:dyDescent="0.25">
      <c r="A626" s="394" t="s">
        <v>16</v>
      </c>
      <c r="B626" s="2">
        <v>43919</v>
      </c>
      <c r="C626" s="1">
        <v>18</v>
      </c>
      <c r="D626" s="39">
        <v>217</v>
      </c>
      <c r="E626" s="266"/>
      <c r="F626" s="39">
        <f>E626+F602</f>
        <v>6</v>
      </c>
      <c r="G626" s="395"/>
      <c r="H626" s="395"/>
      <c r="J626" s="42"/>
    </row>
    <row r="627" spans="1:10" s="393" customFormat="1" x14ac:dyDescent="0.25">
      <c r="A627" s="19" t="s">
        <v>28</v>
      </c>
      <c r="B627" s="2">
        <v>43919</v>
      </c>
      <c r="C627" s="1">
        <v>0</v>
      </c>
      <c r="D627" s="39">
        <v>0</v>
      </c>
      <c r="E627" s="1"/>
      <c r="F627" s="39">
        <f t="shared" ref="F627:F649" si="23">E627+F603</f>
        <v>0</v>
      </c>
      <c r="G627" s="395"/>
      <c r="H627" s="395"/>
      <c r="J627" s="42"/>
    </row>
    <row r="628" spans="1:10" s="393" customFormat="1" x14ac:dyDescent="0.25">
      <c r="A628" s="19" t="s">
        <v>15</v>
      </c>
      <c r="B628" s="2">
        <v>43919</v>
      </c>
      <c r="C628" s="1">
        <v>6</v>
      </c>
      <c r="D628" s="39">
        <v>69</v>
      </c>
      <c r="E628" s="1"/>
      <c r="F628" s="39">
        <f t="shared" si="23"/>
        <v>3</v>
      </c>
      <c r="G628" s="395"/>
      <c r="H628" s="395"/>
      <c r="J628" s="42"/>
    </row>
    <row r="629" spans="1:10" s="393" customFormat="1" x14ac:dyDescent="0.25">
      <c r="A629" s="19" t="s">
        <v>29</v>
      </c>
      <c r="B629" s="2">
        <v>43919</v>
      </c>
      <c r="C629" s="1">
        <v>0</v>
      </c>
      <c r="D629" s="39">
        <v>0</v>
      </c>
      <c r="E629" s="1"/>
      <c r="F629" s="39">
        <f t="shared" si="23"/>
        <v>1</v>
      </c>
      <c r="G629" s="395"/>
      <c r="H629" s="395"/>
      <c r="J629" s="42"/>
    </row>
    <row r="630" spans="1:10" s="393" customFormat="1" x14ac:dyDescent="0.25">
      <c r="A630" s="19" t="s">
        <v>43</v>
      </c>
      <c r="B630" s="2">
        <v>43919</v>
      </c>
      <c r="C630" s="1">
        <v>1</v>
      </c>
      <c r="D630" s="39">
        <v>258</v>
      </c>
      <c r="E630" s="1"/>
      <c r="F630" s="39">
        <f t="shared" si="23"/>
        <v>5</v>
      </c>
      <c r="G630" s="395"/>
      <c r="H630" s="395"/>
      <c r="J630" s="42"/>
    </row>
    <row r="631" spans="1:10" s="393" customFormat="1" x14ac:dyDescent="0.25">
      <c r="A631" s="19" t="s">
        <v>20</v>
      </c>
      <c r="B631" s="2">
        <v>43919</v>
      </c>
      <c r="C631" s="1">
        <v>13</v>
      </c>
      <c r="D631" s="39">
        <v>73</v>
      </c>
      <c r="E631" s="1"/>
      <c r="F631" s="39">
        <f t="shared" si="23"/>
        <v>0</v>
      </c>
      <c r="G631" s="395"/>
      <c r="H631" s="395"/>
      <c r="J631" s="42"/>
    </row>
    <row r="632" spans="1:10" s="393" customFormat="1" x14ac:dyDescent="0.25">
      <c r="A632" s="19" t="s">
        <v>30</v>
      </c>
      <c r="B632" s="2">
        <v>43919</v>
      </c>
      <c r="C632" s="1">
        <v>1</v>
      </c>
      <c r="D632" s="39">
        <v>9</v>
      </c>
      <c r="E632" s="1"/>
      <c r="F632" s="39">
        <f t="shared" si="23"/>
        <v>0</v>
      </c>
      <c r="G632" s="395"/>
      <c r="H632" s="395"/>
      <c r="J632" s="42"/>
    </row>
    <row r="633" spans="1:10" x14ac:dyDescent="0.25">
      <c r="A633" s="19" t="s">
        <v>31</v>
      </c>
      <c r="B633" s="2">
        <v>43919</v>
      </c>
      <c r="C633" s="1">
        <v>0</v>
      </c>
      <c r="D633" s="39">
        <v>10</v>
      </c>
      <c r="F633" s="39">
        <f t="shared" si="23"/>
        <v>0</v>
      </c>
    </row>
    <row r="634" spans="1:10" s="393" customFormat="1" x14ac:dyDescent="0.25">
      <c r="A634" s="19" t="s">
        <v>41</v>
      </c>
      <c r="B634" s="2">
        <v>43919</v>
      </c>
      <c r="C634" s="1">
        <v>0</v>
      </c>
      <c r="D634" s="39">
        <v>0</v>
      </c>
      <c r="E634" s="1"/>
      <c r="F634" s="39">
        <f t="shared" si="23"/>
        <v>0</v>
      </c>
      <c r="G634" s="395"/>
      <c r="H634" s="395"/>
      <c r="J634" s="42"/>
    </row>
    <row r="635" spans="1:10" s="393" customFormat="1" x14ac:dyDescent="0.25">
      <c r="A635" s="19" t="s">
        <v>32</v>
      </c>
      <c r="B635" s="2">
        <v>43919</v>
      </c>
      <c r="C635" s="1">
        <v>0</v>
      </c>
      <c r="D635" s="39">
        <v>3</v>
      </c>
      <c r="E635" s="1"/>
      <c r="F635" s="39">
        <f t="shared" si="23"/>
        <v>0</v>
      </c>
      <c r="G635" s="395"/>
      <c r="H635" s="395"/>
      <c r="J635" s="42"/>
    </row>
    <row r="636" spans="1:10" s="393" customFormat="1" x14ac:dyDescent="0.25">
      <c r="A636" s="19" t="s">
        <v>33</v>
      </c>
      <c r="B636" s="2">
        <v>43919</v>
      </c>
      <c r="C636" s="1">
        <v>2</v>
      </c>
      <c r="D636" s="39">
        <v>3</v>
      </c>
      <c r="E636" s="1"/>
      <c r="F636" s="39">
        <f t="shared" si="23"/>
        <v>0</v>
      </c>
      <c r="G636" s="395"/>
      <c r="H636" s="395"/>
      <c r="J636" s="42"/>
    </row>
    <row r="637" spans="1:10" s="393" customFormat="1" x14ac:dyDescent="0.25">
      <c r="A637" s="19" t="s">
        <v>21</v>
      </c>
      <c r="B637" s="2">
        <v>43919</v>
      </c>
      <c r="C637" s="1">
        <v>1</v>
      </c>
      <c r="D637" s="39">
        <v>1</v>
      </c>
      <c r="E637" s="1"/>
      <c r="F637" s="39">
        <f t="shared" si="23"/>
        <v>0</v>
      </c>
      <c r="G637" s="395"/>
      <c r="H637" s="395"/>
      <c r="J637" s="42"/>
    </row>
    <row r="638" spans="1:10" s="393" customFormat="1" x14ac:dyDescent="0.25">
      <c r="A638" s="19" t="s">
        <v>17</v>
      </c>
      <c r="B638" s="2">
        <v>43919</v>
      </c>
      <c r="C638" s="1">
        <v>1</v>
      </c>
      <c r="D638" s="39">
        <v>10</v>
      </c>
      <c r="E638" s="1"/>
      <c r="F638" s="39">
        <f t="shared" si="23"/>
        <v>1</v>
      </c>
      <c r="G638" s="395"/>
      <c r="H638" s="395"/>
      <c r="J638" s="42"/>
    </row>
    <row r="639" spans="1:10" s="393" customFormat="1" x14ac:dyDescent="0.25">
      <c r="A639" s="19" t="s">
        <v>23</v>
      </c>
      <c r="B639" s="2">
        <v>43919</v>
      </c>
      <c r="C639" s="1">
        <v>1</v>
      </c>
      <c r="D639" s="39">
        <v>2</v>
      </c>
      <c r="E639" s="1"/>
      <c r="F639" s="39">
        <f t="shared" si="23"/>
        <v>0</v>
      </c>
      <c r="G639" s="395"/>
      <c r="H639" s="395"/>
      <c r="J639" s="42"/>
    </row>
    <row r="640" spans="1:10" s="393" customFormat="1" x14ac:dyDescent="0.25">
      <c r="A640" s="19" t="s">
        <v>19</v>
      </c>
      <c r="B640" s="2">
        <v>43919</v>
      </c>
      <c r="C640" s="1">
        <v>0</v>
      </c>
      <c r="D640" s="39">
        <v>12</v>
      </c>
      <c r="E640" s="1"/>
      <c r="F640" s="39">
        <f t="shared" si="23"/>
        <v>0</v>
      </c>
      <c r="G640" s="395"/>
      <c r="H640" s="395"/>
      <c r="J640" s="42"/>
    </row>
    <row r="641" spans="1:10" s="393" customFormat="1" x14ac:dyDescent="0.25">
      <c r="A641" s="19" t="s">
        <v>18</v>
      </c>
      <c r="B641" s="2">
        <v>43919</v>
      </c>
      <c r="C641" s="1">
        <v>1</v>
      </c>
      <c r="D641" s="39">
        <v>8</v>
      </c>
      <c r="E641" s="1"/>
      <c r="F641" s="39">
        <f t="shared" si="23"/>
        <v>1</v>
      </c>
      <c r="G641" s="395"/>
      <c r="H641" s="395"/>
      <c r="J641" s="42"/>
    </row>
    <row r="642" spans="1:10" s="393" customFormat="1" x14ac:dyDescent="0.25">
      <c r="A642" s="19" t="s">
        <v>34</v>
      </c>
      <c r="B642" s="2">
        <v>43919</v>
      </c>
      <c r="C642" s="1">
        <v>0</v>
      </c>
      <c r="D642" s="39">
        <v>1</v>
      </c>
      <c r="E642" s="1"/>
      <c r="F642" s="39">
        <f t="shared" si="23"/>
        <v>0</v>
      </c>
      <c r="G642" s="395"/>
      <c r="H642" s="395"/>
      <c r="J642" s="42"/>
    </row>
    <row r="643" spans="1:10" s="393" customFormat="1" x14ac:dyDescent="0.25">
      <c r="A643" s="19" t="s">
        <v>35</v>
      </c>
      <c r="B643" s="2">
        <v>43919</v>
      </c>
      <c r="C643" s="1">
        <v>1</v>
      </c>
      <c r="D643" s="39">
        <v>1</v>
      </c>
      <c r="E643" s="1"/>
      <c r="F643" s="39">
        <f t="shared" si="23"/>
        <v>0</v>
      </c>
      <c r="G643" s="395"/>
      <c r="H643" s="395"/>
      <c r="J643" s="42"/>
    </row>
    <row r="644" spans="1:10" s="393" customFormat="1" x14ac:dyDescent="0.25">
      <c r="A644" s="19" t="s">
        <v>36</v>
      </c>
      <c r="B644" s="2">
        <v>43919</v>
      </c>
      <c r="C644" s="1">
        <v>0</v>
      </c>
      <c r="D644" s="39">
        <v>6</v>
      </c>
      <c r="E644" s="1"/>
      <c r="F644" s="39">
        <f t="shared" si="23"/>
        <v>0</v>
      </c>
      <c r="G644" s="395"/>
      <c r="H644" s="395"/>
      <c r="J644" s="42"/>
    </row>
    <row r="645" spans="1:10" s="393" customFormat="1" x14ac:dyDescent="0.25">
      <c r="A645" s="19" t="s">
        <v>37</v>
      </c>
      <c r="B645" s="2">
        <v>43919</v>
      </c>
      <c r="C645" s="1">
        <v>0</v>
      </c>
      <c r="D645" s="39">
        <v>9</v>
      </c>
      <c r="E645" s="1"/>
      <c r="F645" s="39">
        <f t="shared" si="23"/>
        <v>0</v>
      </c>
      <c r="G645" s="395"/>
      <c r="H645" s="395"/>
      <c r="J645" s="42"/>
    </row>
    <row r="646" spans="1:10" s="393" customFormat="1" x14ac:dyDescent="0.25">
      <c r="A646" s="19" t="s">
        <v>22</v>
      </c>
      <c r="B646" s="2">
        <v>43919</v>
      </c>
      <c r="C646" s="1">
        <v>14</v>
      </c>
      <c r="D646" s="39">
        <v>90</v>
      </c>
      <c r="E646" s="1"/>
      <c r="F646" s="39">
        <f t="shared" si="23"/>
        <v>0</v>
      </c>
      <c r="G646" s="395"/>
      <c r="H646" s="395"/>
      <c r="J646" s="42"/>
    </row>
    <row r="647" spans="1:10" s="393" customFormat="1" x14ac:dyDescent="0.25">
      <c r="A647" s="19" t="s">
        <v>38</v>
      </c>
      <c r="B647" s="2">
        <v>43919</v>
      </c>
      <c r="C647" s="1">
        <v>0</v>
      </c>
      <c r="D647" s="39">
        <v>2</v>
      </c>
      <c r="E647" s="1"/>
      <c r="F647" s="39">
        <f t="shared" si="23"/>
        <v>0</v>
      </c>
      <c r="G647" s="395"/>
      <c r="H647" s="395"/>
      <c r="J647" s="42"/>
    </row>
    <row r="648" spans="1:10" s="393" customFormat="1" x14ac:dyDescent="0.25">
      <c r="A648" s="19" t="s">
        <v>39</v>
      </c>
      <c r="B648" s="2">
        <v>43919</v>
      </c>
      <c r="C648" s="1">
        <v>3</v>
      </c>
      <c r="D648" s="39">
        <v>21</v>
      </c>
      <c r="E648" s="1"/>
      <c r="F648" s="39">
        <f t="shared" si="23"/>
        <v>0</v>
      </c>
      <c r="G648" s="395"/>
      <c r="H648" s="395"/>
      <c r="J648" s="42"/>
    </row>
    <row r="649" spans="1:10" s="393" customFormat="1" x14ac:dyDescent="0.25">
      <c r="A649" s="19" t="s">
        <v>40</v>
      </c>
      <c r="B649" s="2">
        <v>43919</v>
      </c>
      <c r="C649" s="1">
        <v>0</v>
      </c>
      <c r="D649" s="39">
        <v>15</v>
      </c>
      <c r="E649" s="1"/>
      <c r="F649" s="39">
        <f t="shared" si="23"/>
        <v>0</v>
      </c>
      <c r="G649" s="395"/>
      <c r="H649" s="395"/>
      <c r="J649" s="42"/>
    </row>
    <row r="650" spans="1:10" s="393" customFormat="1" x14ac:dyDescent="0.25">
      <c r="A650" s="394" t="s">
        <v>16</v>
      </c>
      <c r="B650" s="2">
        <v>43920</v>
      </c>
      <c r="C650" s="1">
        <v>36</v>
      </c>
      <c r="D650" s="39">
        <v>253</v>
      </c>
      <c r="E650" s="1">
        <v>2</v>
      </c>
      <c r="F650" s="39">
        <f>E650+F626</f>
        <v>8</v>
      </c>
      <c r="G650" s="395"/>
      <c r="H650" s="395"/>
      <c r="J650" s="42"/>
    </row>
    <row r="651" spans="1:10" s="393" customFormat="1" x14ac:dyDescent="0.25">
      <c r="A651" s="19" t="s">
        <v>28</v>
      </c>
      <c r="B651" s="2">
        <v>43920</v>
      </c>
      <c r="C651" s="1">
        <v>0</v>
      </c>
      <c r="D651" s="39">
        <v>0</v>
      </c>
      <c r="E651" s="1"/>
      <c r="F651" s="39">
        <f t="shared" ref="F651:F673" si="24">E651+F627</f>
        <v>0</v>
      </c>
      <c r="G651" s="395"/>
      <c r="H651" s="395"/>
      <c r="J651" s="42"/>
    </row>
    <row r="652" spans="1:10" s="393" customFormat="1" x14ac:dyDescent="0.25">
      <c r="A652" s="19" t="s">
        <v>15</v>
      </c>
      <c r="B652" s="2">
        <v>43920</v>
      </c>
      <c r="C652" s="1">
        <v>12</v>
      </c>
      <c r="D652" s="39">
        <v>81</v>
      </c>
      <c r="E652" s="1"/>
      <c r="F652" s="39">
        <f t="shared" si="24"/>
        <v>3</v>
      </c>
      <c r="G652" s="395"/>
      <c r="H652" s="395"/>
      <c r="J652" s="42"/>
    </row>
    <row r="653" spans="1:10" s="393" customFormat="1" x14ac:dyDescent="0.25">
      <c r="A653" s="19" t="s">
        <v>29</v>
      </c>
      <c r="B653" s="2">
        <v>43920</v>
      </c>
      <c r="C653" s="1">
        <v>0</v>
      </c>
      <c r="D653" s="39">
        <v>0</v>
      </c>
      <c r="E653" s="1"/>
      <c r="F653" s="39">
        <f t="shared" si="24"/>
        <v>1</v>
      </c>
      <c r="G653" s="395"/>
      <c r="H653" s="395"/>
      <c r="J653" s="42"/>
    </row>
    <row r="654" spans="1:10" s="393" customFormat="1" x14ac:dyDescent="0.25">
      <c r="A654" s="19" t="s">
        <v>43</v>
      </c>
      <c r="B654" s="2">
        <v>43920</v>
      </c>
      <c r="C654" s="1">
        <v>34</v>
      </c>
      <c r="D654" s="39">
        <v>292</v>
      </c>
      <c r="E654" s="1"/>
      <c r="F654" s="39">
        <f t="shared" si="24"/>
        <v>5</v>
      </c>
      <c r="G654" s="395"/>
      <c r="H654" s="395"/>
      <c r="J654" s="42"/>
    </row>
    <row r="655" spans="1:10" s="393" customFormat="1" x14ac:dyDescent="0.25">
      <c r="A655" s="19" t="s">
        <v>20</v>
      </c>
      <c r="B655" s="2">
        <v>43920</v>
      </c>
      <c r="C655" s="1">
        <v>8</v>
      </c>
      <c r="D655" s="39">
        <v>81</v>
      </c>
      <c r="E655" s="1"/>
      <c r="F655" s="39">
        <f t="shared" si="24"/>
        <v>0</v>
      </c>
      <c r="G655" s="395"/>
      <c r="H655" s="395"/>
      <c r="J655" s="42"/>
    </row>
    <row r="656" spans="1:10" s="393" customFormat="1" x14ac:dyDescent="0.25">
      <c r="A656" s="19" t="s">
        <v>30</v>
      </c>
      <c r="B656" s="2">
        <v>43920</v>
      </c>
      <c r="C656" s="1">
        <v>10</v>
      </c>
      <c r="D656" s="39">
        <v>19</v>
      </c>
      <c r="E656" s="1"/>
      <c r="F656" s="39">
        <f t="shared" si="24"/>
        <v>0</v>
      </c>
      <c r="G656" s="395"/>
      <c r="H656" s="395"/>
      <c r="J656" s="42"/>
    </row>
    <row r="657" spans="1:10" x14ac:dyDescent="0.25">
      <c r="A657" s="19" t="s">
        <v>31</v>
      </c>
      <c r="B657" s="2">
        <v>43920</v>
      </c>
      <c r="C657" s="1">
        <v>3</v>
      </c>
      <c r="D657" s="39">
        <v>13</v>
      </c>
      <c r="F657" s="39">
        <f t="shared" si="24"/>
        <v>0</v>
      </c>
    </row>
    <row r="658" spans="1:10" s="393" customFormat="1" x14ac:dyDescent="0.25">
      <c r="A658" s="19" t="s">
        <v>41</v>
      </c>
      <c r="B658" s="2">
        <v>43920</v>
      </c>
      <c r="C658" s="1">
        <v>0</v>
      </c>
      <c r="D658" s="39">
        <v>0</v>
      </c>
      <c r="E658" s="1"/>
      <c r="F658" s="39">
        <f t="shared" si="24"/>
        <v>0</v>
      </c>
      <c r="G658" s="395"/>
      <c r="H658" s="395"/>
      <c r="J658" s="42"/>
    </row>
    <row r="659" spans="1:10" s="393" customFormat="1" x14ac:dyDescent="0.25">
      <c r="A659" s="19" t="s">
        <v>32</v>
      </c>
      <c r="B659" s="2">
        <v>43920</v>
      </c>
      <c r="C659" s="1">
        <v>0</v>
      </c>
      <c r="D659" s="39">
        <v>3</v>
      </c>
      <c r="E659" s="1"/>
      <c r="F659" s="39">
        <f t="shared" si="24"/>
        <v>0</v>
      </c>
      <c r="G659" s="395"/>
      <c r="H659" s="395"/>
      <c r="J659" s="42"/>
    </row>
    <row r="660" spans="1:10" s="393" customFormat="1" x14ac:dyDescent="0.25">
      <c r="A660" s="19" t="s">
        <v>33</v>
      </c>
      <c r="B660" s="2">
        <v>43920</v>
      </c>
      <c r="C660" s="1">
        <v>0</v>
      </c>
      <c r="D660" s="39">
        <v>3</v>
      </c>
      <c r="E660" s="1"/>
      <c r="F660" s="39">
        <f t="shared" si="24"/>
        <v>0</v>
      </c>
      <c r="G660" s="395"/>
      <c r="H660" s="395"/>
      <c r="J660" s="42"/>
    </row>
    <row r="661" spans="1:10" s="393" customFormat="1" x14ac:dyDescent="0.25">
      <c r="A661" s="19" t="s">
        <v>21</v>
      </c>
      <c r="B661" s="2">
        <v>43920</v>
      </c>
      <c r="C661" s="1">
        <v>0</v>
      </c>
      <c r="D661" s="39">
        <v>1</v>
      </c>
      <c r="E661" s="1"/>
      <c r="F661" s="39">
        <f t="shared" si="24"/>
        <v>0</v>
      </c>
      <c r="G661" s="395"/>
      <c r="H661" s="395"/>
      <c r="J661" s="42"/>
    </row>
    <row r="662" spans="1:10" s="393" customFormat="1" x14ac:dyDescent="0.25">
      <c r="A662" s="19" t="s">
        <v>17</v>
      </c>
      <c r="B662" s="2">
        <v>43920</v>
      </c>
      <c r="C662" s="1">
        <v>3</v>
      </c>
      <c r="D662" s="39">
        <v>13</v>
      </c>
      <c r="E662" s="1"/>
      <c r="F662" s="39">
        <f t="shared" si="24"/>
        <v>1</v>
      </c>
      <c r="G662" s="395"/>
      <c r="H662" s="395"/>
      <c r="J662" s="42"/>
    </row>
    <row r="663" spans="1:10" s="393" customFormat="1" x14ac:dyDescent="0.25">
      <c r="A663" s="19" t="s">
        <v>23</v>
      </c>
      <c r="B663" s="2">
        <v>43920</v>
      </c>
      <c r="C663" s="1">
        <v>0</v>
      </c>
      <c r="D663" s="39">
        <v>2</v>
      </c>
      <c r="E663" s="1"/>
      <c r="F663" s="39">
        <f t="shared" si="24"/>
        <v>0</v>
      </c>
      <c r="G663" s="395"/>
      <c r="H663" s="395"/>
      <c r="J663" s="42"/>
    </row>
    <row r="664" spans="1:10" s="393" customFormat="1" x14ac:dyDescent="0.25">
      <c r="A664" s="19" t="s">
        <v>19</v>
      </c>
      <c r="B664" s="2">
        <v>43920</v>
      </c>
      <c r="C664" s="1">
        <v>8</v>
      </c>
      <c r="D664" s="39">
        <v>20</v>
      </c>
      <c r="E664" s="1">
        <v>1</v>
      </c>
      <c r="F664" s="39">
        <f t="shared" si="24"/>
        <v>1</v>
      </c>
      <c r="G664" s="395"/>
      <c r="H664" s="395"/>
      <c r="J664" s="42"/>
    </row>
    <row r="665" spans="1:10" s="393" customFormat="1" x14ac:dyDescent="0.25">
      <c r="A665" s="19" t="s">
        <v>18</v>
      </c>
      <c r="B665" s="2">
        <v>43920</v>
      </c>
      <c r="C665" s="1">
        <v>0</v>
      </c>
      <c r="D665" s="39">
        <v>8</v>
      </c>
      <c r="E665" s="1"/>
      <c r="F665" s="39">
        <f t="shared" si="24"/>
        <v>1</v>
      </c>
      <c r="G665" s="395"/>
      <c r="H665" s="395"/>
      <c r="J665" s="42"/>
    </row>
    <row r="666" spans="1:10" s="393" customFormat="1" x14ac:dyDescent="0.25">
      <c r="A666" s="19" t="s">
        <v>34</v>
      </c>
      <c r="B666" s="2">
        <v>43920</v>
      </c>
      <c r="C666" s="1">
        <v>0</v>
      </c>
      <c r="D666" s="39">
        <v>1</v>
      </c>
      <c r="E666" s="1"/>
      <c r="F666" s="39">
        <f t="shared" si="24"/>
        <v>0</v>
      </c>
      <c r="G666" s="395"/>
      <c r="H666" s="395"/>
      <c r="J666" s="42"/>
    </row>
    <row r="667" spans="1:10" s="393" customFormat="1" x14ac:dyDescent="0.25">
      <c r="A667" s="19" t="s">
        <v>35</v>
      </c>
      <c r="B667" s="2">
        <v>43920</v>
      </c>
      <c r="C667" s="1">
        <v>0</v>
      </c>
      <c r="D667" s="39">
        <v>1</v>
      </c>
      <c r="E667" s="1"/>
      <c r="F667" s="39">
        <f t="shared" si="24"/>
        <v>0</v>
      </c>
      <c r="G667" s="395"/>
      <c r="H667" s="395"/>
      <c r="J667" s="42"/>
    </row>
    <row r="668" spans="1:10" s="393" customFormat="1" x14ac:dyDescent="0.25">
      <c r="A668" s="19" t="s">
        <v>36</v>
      </c>
      <c r="B668" s="2">
        <v>43920</v>
      </c>
      <c r="C668" s="1">
        <v>0</v>
      </c>
      <c r="D668" s="39">
        <v>6</v>
      </c>
      <c r="E668" s="1"/>
      <c r="F668" s="39">
        <f t="shared" si="24"/>
        <v>0</v>
      </c>
      <c r="G668" s="395"/>
      <c r="H668" s="395"/>
      <c r="J668" s="42"/>
    </row>
    <row r="669" spans="1:10" s="393" customFormat="1" x14ac:dyDescent="0.25">
      <c r="A669" s="19" t="s">
        <v>37</v>
      </c>
      <c r="B669" s="2">
        <v>43920</v>
      </c>
      <c r="C669" s="1">
        <v>0</v>
      </c>
      <c r="D669" s="39">
        <v>9</v>
      </c>
      <c r="E669" s="1"/>
      <c r="F669" s="39">
        <f t="shared" si="24"/>
        <v>0</v>
      </c>
      <c r="G669" s="395"/>
      <c r="H669" s="395"/>
      <c r="J669" s="42"/>
    </row>
    <row r="670" spans="1:10" s="393" customFormat="1" x14ac:dyDescent="0.25">
      <c r="A670" s="19" t="s">
        <v>22</v>
      </c>
      <c r="B670" s="2">
        <v>43920</v>
      </c>
      <c r="C670" s="1">
        <v>21</v>
      </c>
      <c r="D670" s="39">
        <v>111</v>
      </c>
      <c r="E670" s="1"/>
      <c r="F670" s="39">
        <f t="shared" si="24"/>
        <v>0</v>
      </c>
      <c r="G670" s="395"/>
      <c r="H670" s="395"/>
      <c r="J670" s="42"/>
    </row>
    <row r="671" spans="1:10" s="393" customFormat="1" x14ac:dyDescent="0.25">
      <c r="A671" s="19" t="s">
        <v>38</v>
      </c>
      <c r="B671" s="2">
        <v>43920</v>
      </c>
      <c r="C671" s="1">
        <v>0</v>
      </c>
      <c r="D671" s="39">
        <v>2</v>
      </c>
      <c r="E671" s="1"/>
      <c r="F671" s="39">
        <f t="shared" si="24"/>
        <v>0</v>
      </c>
      <c r="G671" s="395"/>
      <c r="H671" s="395"/>
      <c r="J671" s="42"/>
    </row>
    <row r="672" spans="1:10" s="393" customFormat="1" x14ac:dyDescent="0.25">
      <c r="A672" s="19" t="s">
        <v>39</v>
      </c>
      <c r="B672" s="2">
        <v>43920</v>
      </c>
      <c r="C672" s="1">
        <v>11</v>
      </c>
      <c r="D672" s="39">
        <v>32</v>
      </c>
      <c r="E672" s="1"/>
      <c r="F672" s="39">
        <f t="shared" si="24"/>
        <v>0</v>
      </c>
      <c r="G672" s="395"/>
      <c r="H672" s="395"/>
      <c r="J672" s="42"/>
    </row>
    <row r="673" spans="1:10" s="393" customFormat="1" x14ac:dyDescent="0.25">
      <c r="A673" s="19" t="s">
        <v>40</v>
      </c>
      <c r="B673" s="2">
        <v>43920</v>
      </c>
      <c r="C673" s="1">
        <v>0</v>
      </c>
      <c r="D673" s="39">
        <v>15</v>
      </c>
      <c r="E673" s="1">
        <v>1</v>
      </c>
      <c r="F673" s="39">
        <f t="shared" si="24"/>
        <v>1</v>
      </c>
      <c r="G673" s="395"/>
      <c r="H673" s="395"/>
      <c r="J673" s="42"/>
    </row>
    <row r="674" spans="1:10" s="393" customFormat="1" x14ac:dyDescent="0.25">
      <c r="A674" s="394" t="s">
        <v>16</v>
      </c>
      <c r="B674" s="2">
        <v>43921</v>
      </c>
      <c r="C674" s="1">
        <v>17</v>
      </c>
      <c r="D674" s="39">
        <v>270</v>
      </c>
      <c r="E674" s="1"/>
      <c r="F674" s="39">
        <f>E674+F650</f>
        <v>8</v>
      </c>
      <c r="G674" s="395"/>
      <c r="H674" s="395"/>
      <c r="J674" s="42"/>
    </row>
    <row r="675" spans="1:10" s="393" customFormat="1" x14ac:dyDescent="0.25">
      <c r="A675" s="19" t="s">
        <v>28</v>
      </c>
      <c r="B675" s="2">
        <v>43921</v>
      </c>
      <c r="C675" s="1">
        <v>0</v>
      </c>
      <c r="D675" s="39">
        <v>0</v>
      </c>
      <c r="E675" s="1"/>
      <c r="F675" s="39">
        <f t="shared" ref="F675:F697" si="25">E675+F651</f>
        <v>0</v>
      </c>
      <c r="G675" s="395"/>
      <c r="H675" s="395"/>
      <c r="J675" s="42"/>
    </row>
    <row r="676" spans="1:10" s="393" customFormat="1" x14ac:dyDescent="0.25">
      <c r="A676" s="19" t="s">
        <v>15</v>
      </c>
      <c r="B676" s="2">
        <v>43921</v>
      </c>
      <c r="C676" s="1">
        <v>3</v>
      </c>
      <c r="D676" s="39">
        <v>84</v>
      </c>
      <c r="E676" s="1">
        <v>1</v>
      </c>
      <c r="F676" s="39">
        <f t="shared" si="25"/>
        <v>4</v>
      </c>
      <c r="G676" s="395"/>
      <c r="H676" s="395"/>
      <c r="J676" s="42"/>
    </row>
    <row r="677" spans="1:10" s="393" customFormat="1" x14ac:dyDescent="0.25">
      <c r="A677" s="19" t="s">
        <v>29</v>
      </c>
      <c r="B677" s="2">
        <v>43921</v>
      </c>
      <c r="C677" s="1">
        <v>0</v>
      </c>
      <c r="D677" s="39">
        <v>0</v>
      </c>
      <c r="E677" s="1"/>
      <c r="F677" s="39">
        <f t="shared" si="25"/>
        <v>1</v>
      </c>
      <c r="G677" s="395"/>
      <c r="H677" s="395"/>
      <c r="J677" s="42"/>
    </row>
    <row r="678" spans="1:10" s="393" customFormat="1" x14ac:dyDescent="0.25">
      <c r="A678" s="19" t="s">
        <v>43</v>
      </c>
      <c r="B678" s="2">
        <v>43921</v>
      </c>
      <c r="C678" s="1">
        <v>19</v>
      </c>
      <c r="D678" s="39">
        <v>311</v>
      </c>
      <c r="E678" s="1"/>
      <c r="F678" s="39">
        <f t="shared" si="25"/>
        <v>5</v>
      </c>
      <c r="G678" s="395"/>
      <c r="H678" s="395"/>
      <c r="J678" s="42"/>
    </row>
    <row r="679" spans="1:10" s="393" customFormat="1" x14ac:dyDescent="0.25">
      <c r="A679" s="19" t="s">
        <v>20</v>
      </c>
      <c r="B679" s="2">
        <v>43921</v>
      </c>
      <c r="C679" s="1">
        <v>14</v>
      </c>
      <c r="D679" s="39">
        <v>95</v>
      </c>
      <c r="E679" s="1">
        <v>1</v>
      </c>
      <c r="F679" s="39">
        <f t="shared" si="25"/>
        <v>1</v>
      </c>
      <c r="G679" s="395"/>
      <c r="H679" s="395"/>
      <c r="J679" s="42"/>
    </row>
    <row r="680" spans="1:10" s="393" customFormat="1" x14ac:dyDescent="0.25">
      <c r="A680" s="19" t="s">
        <v>30</v>
      </c>
      <c r="B680" s="2">
        <v>43921</v>
      </c>
      <c r="C680" s="1">
        <v>1</v>
      </c>
      <c r="D680" s="39">
        <v>20</v>
      </c>
      <c r="E680" s="1"/>
      <c r="F680" s="39">
        <f t="shared" si="25"/>
        <v>0</v>
      </c>
      <c r="G680" s="395"/>
      <c r="H680" s="395"/>
      <c r="J680" s="42"/>
    </row>
    <row r="681" spans="1:10" x14ac:dyDescent="0.25">
      <c r="A681" s="19" t="s">
        <v>31</v>
      </c>
      <c r="B681" s="2">
        <v>43921</v>
      </c>
      <c r="C681" s="1">
        <v>0</v>
      </c>
      <c r="D681" s="39">
        <v>13</v>
      </c>
      <c r="F681" s="39">
        <f t="shared" si="25"/>
        <v>0</v>
      </c>
    </row>
    <row r="682" spans="1:10" s="393" customFormat="1" x14ac:dyDescent="0.25">
      <c r="A682" s="19" t="s">
        <v>41</v>
      </c>
      <c r="B682" s="2">
        <v>43921</v>
      </c>
      <c r="C682" s="1">
        <v>0</v>
      </c>
      <c r="D682" s="39">
        <v>0</v>
      </c>
      <c r="E682" s="1"/>
      <c r="F682" s="39">
        <f t="shared" si="25"/>
        <v>0</v>
      </c>
      <c r="G682" s="395"/>
      <c r="H682" s="395"/>
      <c r="J682" s="42"/>
    </row>
    <row r="683" spans="1:10" s="393" customFormat="1" x14ac:dyDescent="0.25">
      <c r="A683" s="19" t="s">
        <v>32</v>
      </c>
      <c r="B683" s="2">
        <v>43921</v>
      </c>
      <c r="C683" s="1">
        <v>0</v>
      </c>
      <c r="D683" s="39">
        <v>3</v>
      </c>
      <c r="E683" s="1"/>
      <c r="F683" s="39">
        <f t="shared" si="25"/>
        <v>0</v>
      </c>
      <c r="G683" s="395"/>
      <c r="H683" s="395"/>
      <c r="J683" s="42"/>
    </row>
    <row r="684" spans="1:10" s="393" customFormat="1" x14ac:dyDescent="0.25">
      <c r="A684" s="19" t="s">
        <v>33</v>
      </c>
      <c r="B684" s="2">
        <v>43921</v>
      </c>
      <c r="C684" s="1">
        <v>0</v>
      </c>
      <c r="D684" s="39">
        <v>3</v>
      </c>
      <c r="E684" s="1"/>
      <c r="F684" s="39">
        <f t="shared" si="25"/>
        <v>0</v>
      </c>
      <c r="G684" s="395"/>
      <c r="H684" s="395"/>
      <c r="J684" s="42"/>
    </row>
    <row r="685" spans="1:10" s="393" customFormat="1" x14ac:dyDescent="0.25">
      <c r="A685" s="19" t="s">
        <v>21</v>
      </c>
      <c r="B685" s="2">
        <v>43921</v>
      </c>
      <c r="C685" s="1">
        <v>0</v>
      </c>
      <c r="D685" s="39">
        <v>1</v>
      </c>
      <c r="E685" s="1">
        <v>1</v>
      </c>
      <c r="F685" s="39">
        <f t="shared" si="25"/>
        <v>1</v>
      </c>
      <c r="G685" s="395"/>
      <c r="H685" s="395"/>
      <c r="J685" s="42"/>
    </row>
    <row r="686" spans="1:10" s="393" customFormat="1" x14ac:dyDescent="0.25">
      <c r="A686" s="19" t="s">
        <v>17</v>
      </c>
      <c r="B686" s="2">
        <v>43921</v>
      </c>
      <c r="C686" s="1">
        <v>2</v>
      </c>
      <c r="D686" s="39">
        <v>15</v>
      </c>
      <c r="E686" s="1"/>
      <c r="F686" s="39">
        <f t="shared" si="25"/>
        <v>1</v>
      </c>
      <c r="G686" s="395"/>
      <c r="H686" s="395"/>
      <c r="J686" s="42"/>
    </row>
    <row r="687" spans="1:10" s="393" customFormat="1" x14ac:dyDescent="0.25">
      <c r="A687" s="19" t="s">
        <v>23</v>
      </c>
      <c r="B687" s="2">
        <v>43921</v>
      </c>
      <c r="C687" s="1">
        <v>1</v>
      </c>
      <c r="D687" s="39">
        <v>3</v>
      </c>
      <c r="E687" s="1"/>
      <c r="F687" s="39">
        <f t="shared" si="25"/>
        <v>0</v>
      </c>
      <c r="G687" s="395"/>
      <c r="H687" s="395"/>
      <c r="J687" s="42"/>
    </row>
    <row r="688" spans="1:10" s="393" customFormat="1" x14ac:dyDescent="0.25">
      <c r="A688" s="19" t="s">
        <v>19</v>
      </c>
      <c r="B688" s="2">
        <v>43921</v>
      </c>
      <c r="C688" s="1">
        <v>0</v>
      </c>
      <c r="D688" s="39">
        <v>20</v>
      </c>
      <c r="E688" s="1"/>
      <c r="F688" s="39">
        <f t="shared" si="25"/>
        <v>1</v>
      </c>
      <c r="G688" s="395"/>
      <c r="H688" s="395"/>
      <c r="J688" s="42"/>
    </row>
    <row r="689" spans="1:10" s="393" customFormat="1" x14ac:dyDescent="0.25">
      <c r="A689" s="19" t="s">
        <v>18</v>
      </c>
      <c r="B689" s="2">
        <v>43921</v>
      </c>
      <c r="C689" s="1">
        <v>1</v>
      </c>
      <c r="D689" s="39">
        <v>9</v>
      </c>
      <c r="E689" s="1"/>
      <c r="F689" s="39">
        <f t="shared" si="25"/>
        <v>1</v>
      </c>
      <c r="G689" s="395"/>
      <c r="H689" s="395"/>
      <c r="J689" s="42"/>
    </row>
    <row r="690" spans="1:10" s="393" customFormat="1" x14ac:dyDescent="0.25">
      <c r="A690" s="19" t="s">
        <v>34</v>
      </c>
      <c r="B690" s="2">
        <v>43921</v>
      </c>
      <c r="C690" s="1">
        <v>0</v>
      </c>
      <c r="D690" s="39">
        <v>1</v>
      </c>
      <c r="E690" s="1"/>
      <c r="F690" s="39">
        <f t="shared" si="25"/>
        <v>0</v>
      </c>
      <c r="G690" s="395"/>
      <c r="H690" s="395"/>
      <c r="J690" s="42"/>
    </row>
    <row r="691" spans="1:10" s="393" customFormat="1" x14ac:dyDescent="0.25">
      <c r="A691" s="19" t="s">
        <v>35</v>
      </c>
      <c r="B691" s="2">
        <v>43921</v>
      </c>
      <c r="C691" s="1">
        <v>0</v>
      </c>
      <c r="D691" s="39">
        <v>1</v>
      </c>
      <c r="E691" s="1"/>
      <c r="F691" s="39">
        <f t="shared" si="25"/>
        <v>0</v>
      </c>
      <c r="G691" s="395"/>
      <c r="H691" s="395"/>
      <c r="J691" s="42"/>
    </row>
    <row r="692" spans="1:10" s="393" customFormat="1" x14ac:dyDescent="0.25">
      <c r="A692" s="19" t="s">
        <v>36</v>
      </c>
      <c r="B692" s="2">
        <v>43921</v>
      </c>
      <c r="C692" s="1">
        <v>0</v>
      </c>
      <c r="D692" s="39">
        <v>6</v>
      </c>
      <c r="E692" s="1"/>
      <c r="F692" s="39">
        <f t="shared" si="25"/>
        <v>0</v>
      </c>
      <c r="G692" s="395"/>
      <c r="H692" s="395"/>
      <c r="J692" s="42"/>
    </row>
    <row r="693" spans="1:10" s="393" customFormat="1" x14ac:dyDescent="0.25">
      <c r="A693" s="19" t="s">
        <v>37</v>
      </c>
      <c r="B693" s="2">
        <v>43921</v>
      </c>
      <c r="C693" s="1">
        <v>0</v>
      </c>
      <c r="D693" s="39">
        <v>9</v>
      </c>
      <c r="E693" s="1"/>
      <c r="F693" s="39">
        <f t="shared" si="25"/>
        <v>0</v>
      </c>
      <c r="G693" s="395"/>
      <c r="H693" s="395"/>
      <c r="J693" s="42"/>
    </row>
    <row r="694" spans="1:10" s="393" customFormat="1" x14ac:dyDescent="0.25">
      <c r="A694" s="19" t="s">
        <v>22</v>
      </c>
      <c r="B694" s="2">
        <v>43921</v>
      </c>
      <c r="C694" s="1">
        <v>22</v>
      </c>
      <c r="D694" s="39">
        <v>133</v>
      </c>
      <c r="E694" s="1"/>
      <c r="F694" s="39">
        <f t="shared" si="25"/>
        <v>0</v>
      </c>
      <c r="G694" s="395"/>
      <c r="H694" s="395"/>
      <c r="J694" s="42"/>
    </row>
    <row r="695" spans="1:10" s="393" customFormat="1" x14ac:dyDescent="0.25">
      <c r="A695" s="19" t="s">
        <v>38</v>
      </c>
      <c r="B695" s="2">
        <v>43921</v>
      </c>
      <c r="C695" s="1">
        <v>0</v>
      </c>
      <c r="D695" s="39">
        <v>2</v>
      </c>
      <c r="E695" s="1"/>
      <c r="F695" s="39">
        <f t="shared" si="25"/>
        <v>0</v>
      </c>
      <c r="G695" s="395"/>
      <c r="H695" s="395"/>
      <c r="J695" s="42"/>
    </row>
    <row r="696" spans="1:10" s="393" customFormat="1" x14ac:dyDescent="0.25">
      <c r="A696" s="19" t="s">
        <v>39</v>
      </c>
      <c r="B696" s="2">
        <v>43921</v>
      </c>
      <c r="C696" s="1">
        <v>7</v>
      </c>
      <c r="D696" s="39">
        <v>39</v>
      </c>
      <c r="E696" s="1"/>
      <c r="F696" s="39">
        <f t="shared" si="25"/>
        <v>0</v>
      </c>
      <c r="G696" s="395"/>
      <c r="H696" s="395"/>
      <c r="J696" s="42"/>
    </row>
    <row r="697" spans="1:10" s="393" customFormat="1" x14ac:dyDescent="0.25">
      <c r="A697" s="19" t="s">
        <v>40</v>
      </c>
      <c r="B697" s="2">
        <v>43921</v>
      </c>
      <c r="C697" s="1">
        <v>1</v>
      </c>
      <c r="D697" s="39">
        <v>16</v>
      </c>
      <c r="E697" s="1"/>
      <c r="F697" s="39">
        <f t="shared" si="25"/>
        <v>1</v>
      </c>
      <c r="G697" s="395"/>
      <c r="H697" s="395"/>
      <c r="J697" s="42"/>
    </row>
    <row r="698" spans="1:10" s="393" customFormat="1" x14ac:dyDescent="0.25">
      <c r="A698" s="394" t="s">
        <v>16</v>
      </c>
      <c r="B698" s="2">
        <v>43922</v>
      </c>
      <c r="C698" s="1">
        <v>10</v>
      </c>
      <c r="D698" s="39">
        <v>280</v>
      </c>
      <c r="E698" s="1">
        <v>2</v>
      </c>
      <c r="F698" s="39">
        <f>E698+F674</f>
        <v>10</v>
      </c>
      <c r="G698" s="395"/>
      <c r="H698" s="395"/>
      <c r="J698" s="42"/>
    </row>
    <row r="699" spans="1:10" s="393" customFormat="1" x14ac:dyDescent="0.25">
      <c r="A699" s="19" t="s">
        <v>28</v>
      </c>
      <c r="B699" s="2">
        <v>43922</v>
      </c>
      <c r="C699" s="1">
        <v>0</v>
      </c>
      <c r="D699" s="39">
        <v>0</v>
      </c>
      <c r="E699" s="1"/>
      <c r="F699" s="39">
        <f t="shared" ref="F699:F721" si="26">E699+F675</f>
        <v>0</v>
      </c>
      <c r="G699" s="395"/>
      <c r="H699" s="395"/>
      <c r="J699" s="42"/>
    </row>
    <row r="700" spans="1:10" s="393" customFormat="1" x14ac:dyDescent="0.25">
      <c r="A700" s="19" t="s">
        <v>15</v>
      </c>
      <c r="B700" s="2">
        <v>43922</v>
      </c>
      <c r="C700" s="1">
        <v>12</v>
      </c>
      <c r="D700" s="39">
        <v>96</v>
      </c>
      <c r="E700" s="1"/>
      <c r="F700" s="39">
        <f t="shared" si="26"/>
        <v>4</v>
      </c>
      <c r="G700" s="395"/>
      <c r="H700" s="395"/>
      <c r="J700" s="42"/>
    </row>
    <row r="701" spans="1:10" s="393" customFormat="1" x14ac:dyDescent="0.25">
      <c r="A701" s="19" t="s">
        <v>29</v>
      </c>
      <c r="B701" s="2">
        <v>43922</v>
      </c>
      <c r="C701" s="1">
        <v>0</v>
      </c>
      <c r="D701" s="39">
        <v>0</v>
      </c>
      <c r="E701" s="1"/>
      <c r="F701" s="39">
        <f t="shared" si="26"/>
        <v>1</v>
      </c>
      <c r="G701" s="395"/>
      <c r="H701" s="395"/>
      <c r="J701" s="42"/>
    </row>
    <row r="702" spans="1:10" s="393" customFormat="1" x14ac:dyDescent="0.25">
      <c r="A702" s="19" t="s">
        <v>43</v>
      </c>
      <c r="B702" s="2">
        <v>43922</v>
      </c>
      <c r="C702" s="1">
        <v>10</v>
      </c>
      <c r="D702" s="39">
        <v>321</v>
      </c>
      <c r="E702" s="1">
        <v>1</v>
      </c>
      <c r="F702" s="39">
        <f t="shared" si="26"/>
        <v>6</v>
      </c>
      <c r="G702" s="395"/>
      <c r="H702" s="395"/>
      <c r="J702" s="42"/>
    </row>
    <row r="703" spans="1:10" s="393" customFormat="1" x14ac:dyDescent="0.25">
      <c r="A703" s="19" t="s">
        <v>20</v>
      </c>
      <c r="B703" s="2">
        <v>43922</v>
      </c>
      <c r="C703" s="1">
        <v>6</v>
      </c>
      <c r="D703" s="39">
        <v>101</v>
      </c>
      <c r="E703" s="1"/>
      <c r="F703" s="39">
        <f t="shared" si="26"/>
        <v>1</v>
      </c>
      <c r="G703" s="395"/>
      <c r="H703" s="395"/>
      <c r="J703" s="42"/>
    </row>
    <row r="704" spans="1:10" s="393" customFormat="1" x14ac:dyDescent="0.25">
      <c r="A704" s="19" t="s">
        <v>30</v>
      </c>
      <c r="B704" s="2">
        <v>43922</v>
      </c>
      <c r="C704" s="1">
        <v>1</v>
      </c>
      <c r="D704" s="39">
        <v>21</v>
      </c>
      <c r="E704" s="1"/>
      <c r="F704" s="39">
        <f t="shared" si="26"/>
        <v>0</v>
      </c>
      <c r="G704" s="395"/>
      <c r="H704" s="395"/>
      <c r="J704" s="42"/>
    </row>
    <row r="705" spans="1:10" x14ac:dyDescent="0.25">
      <c r="A705" s="19" t="s">
        <v>31</v>
      </c>
      <c r="B705" s="2">
        <v>43922</v>
      </c>
      <c r="C705" s="1">
        <v>1</v>
      </c>
      <c r="D705" s="39">
        <v>14</v>
      </c>
      <c r="F705" s="39">
        <f t="shared" si="26"/>
        <v>0</v>
      </c>
    </row>
    <row r="706" spans="1:10" s="393" customFormat="1" x14ac:dyDescent="0.25">
      <c r="A706" s="19" t="s">
        <v>41</v>
      </c>
      <c r="B706" s="2">
        <v>43922</v>
      </c>
      <c r="C706" s="1">
        <v>0</v>
      </c>
      <c r="D706" s="39">
        <v>0</v>
      </c>
      <c r="E706" s="1"/>
      <c r="F706" s="39">
        <f t="shared" si="26"/>
        <v>0</v>
      </c>
      <c r="G706" s="395"/>
      <c r="H706" s="395"/>
      <c r="J706" s="42"/>
    </row>
    <row r="707" spans="1:10" s="393" customFormat="1" x14ac:dyDescent="0.25">
      <c r="A707" s="19" t="s">
        <v>32</v>
      </c>
      <c r="B707" s="2">
        <v>43922</v>
      </c>
      <c r="C707" s="1">
        <v>0</v>
      </c>
      <c r="D707" s="39">
        <v>3</v>
      </c>
      <c r="E707" s="1"/>
      <c r="F707" s="39">
        <f t="shared" si="26"/>
        <v>0</v>
      </c>
      <c r="G707" s="395"/>
      <c r="H707" s="395"/>
      <c r="J707" s="42"/>
    </row>
    <row r="708" spans="1:10" s="393" customFormat="1" x14ac:dyDescent="0.25">
      <c r="A708" s="19" t="s">
        <v>33</v>
      </c>
      <c r="B708" s="2">
        <v>43922</v>
      </c>
      <c r="C708" s="1">
        <v>0</v>
      </c>
      <c r="D708" s="39">
        <v>3</v>
      </c>
      <c r="E708" s="1"/>
      <c r="F708" s="39">
        <f t="shared" si="26"/>
        <v>0</v>
      </c>
      <c r="G708" s="395"/>
      <c r="H708" s="395"/>
      <c r="J708" s="42"/>
    </row>
    <row r="709" spans="1:10" s="393" customFormat="1" x14ac:dyDescent="0.25">
      <c r="A709" s="19" t="s">
        <v>21</v>
      </c>
      <c r="B709" s="2">
        <v>43922</v>
      </c>
      <c r="C709" s="1">
        <v>0</v>
      </c>
      <c r="D709" s="39">
        <v>1</v>
      </c>
      <c r="E709" s="1"/>
      <c r="F709" s="39">
        <f t="shared" si="26"/>
        <v>1</v>
      </c>
      <c r="G709" s="395"/>
      <c r="H709" s="395"/>
      <c r="J709" s="42"/>
    </row>
    <row r="710" spans="1:10" s="393" customFormat="1" x14ac:dyDescent="0.25">
      <c r="A710" s="19" t="s">
        <v>17</v>
      </c>
      <c r="B710" s="2">
        <v>43922</v>
      </c>
      <c r="C710" s="1">
        <v>10</v>
      </c>
      <c r="D710" s="39">
        <v>25</v>
      </c>
      <c r="E710" s="1"/>
      <c r="F710" s="39">
        <f t="shared" si="26"/>
        <v>1</v>
      </c>
      <c r="G710" s="395"/>
      <c r="H710" s="395"/>
      <c r="J710" s="42"/>
    </row>
    <row r="711" spans="1:10" s="393" customFormat="1" x14ac:dyDescent="0.25">
      <c r="A711" s="19" t="s">
        <v>23</v>
      </c>
      <c r="B711" s="2">
        <v>43922</v>
      </c>
      <c r="C711" s="1">
        <v>0</v>
      </c>
      <c r="D711" s="39">
        <v>3</v>
      </c>
      <c r="E711" s="1"/>
      <c r="F711" s="39">
        <f t="shared" si="26"/>
        <v>0</v>
      </c>
      <c r="G711" s="395"/>
      <c r="H711" s="395"/>
      <c r="J711" s="42"/>
    </row>
    <row r="712" spans="1:10" s="393" customFormat="1" x14ac:dyDescent="0.25">
      <c r="A712" s="19" t="s">
        <v>19</v>
      </c>
      <c r="B712" s="2">
        <v>43922</v>
      </c>
      <c r="C712" s="1">
        <v>4</v>
      </c>
      <c r="D712" s="39">
        <v>24</v>
      </c>
      <c r="E712" s="1"/>
      <c r="F712" s="39">
        <f t="shared" si="26"/>
        <v>1</v>
      </c>
      <c r="G712" s="395"/>
      <c r="H712" s="395"/>
      <c r="J712" s="42"/>
    </row>
    <row r="713" spans="1:10" s="393" customFormat="1" x14ac:dyDescent="0.25">
      <c r="A713" s="19" t="s">
        <v>18</v>
      </c>
      <c r="B713" s="2">
        <v>43922</v>
      </c>
      <c r="C713" s="1">
        <v>0</v>
      </c>
      <c r="D713" s="39">
        <v>9</v>
      </c>
      <c r="E713" s="1">
        <v>1</v>
      </c>
      <c r="F713" s="39">
        <f t="shared" si="26"/>
        <v>2</v>
      </c>
      <c r="G713" s="395"/>
      <c r="H713" s="395"/>
      <c r="J713" s="42"/>
    </row>
    <row r="714" spans="1:10" s="393" customFormat="1" x14ac:dyDescent="0.25">
      <c r="A714" s="19" t="s">
        <v>34</v>
      </c>
      <c r="B714" s="2">
        <v>43922</v>
      </c>
      <c r="C714" s="1">
        <v>2</v>
      </c>
      <c r="D714" s="39">
        <v>3</v>
      </c>
      <c r="E714" s="1"/>
      <c r="F714" s="39">
        <f t="shared" si="26"/>
        <v>0</v>
      </c>
      <c r="G714" s="395"/>
      <c r="H714" s="395"/>
      <c r="J714" s="42"/>
    </row>
    <row r="715" spans="1:10" s="393" customFormat="1" x14ac:dyDescent="0.25">
      <c r="A715" s="19" t="s">
        <v>35</v>
      </c>
      <c r="B715" s="2">
        <v>43922</v>
      </c>
      <c r="C715" s="1">
        <v>0</v>
      </c>
      <c r="D715" s="39">
        <v>1</v>
      </c>
      <c r="E715" s="1"/>
      <c r="F715" s="39">
        <f t="shared" si="26"/>
        <v>0</v>
      </c>
      <c r="G715" s="395"/>
      <c r="H715" s="395"/>
      <c r="J715" s="42"/>
    </row>
    <row r="716" spans="1:10" s="393" customFormat="1" x14ac:dyDescent="0.25">
      <c r="A716" s="19" t="s">
        <v>36</v>
      </c>
      <c r="B716" s="2">
        <v>43922</v>
      </c>
      <c r="C716" s="1">
        <v>1</v>
      </c>
      <c r="D716" s="39">
        <v>7</v>
      </c>
      <c r="E716" s="1"/>
      <c r="F716" s="39">
        <f t="shared" si="26"/>
        <v>0</v>
      </c>
      <c r="G716" s="395"/>
      <c r="H716" s="395"/>
      <c r="J716" s="42"/>
    </row>
    <row r="717" spans="1:10" s="393" customFormat="1" x14ac:dyDescent="0.25">
      <c r="A717" s="19" t="s">
        <v>37</v>
      </c>
      <c r="B717" s="2">
        <v>43922</v>
      </c>
      <c r="C717" s="1">
        <v>10</v>
      </c>
      <c r="D717" s="39">
        <v>19</v>
      </c>
      <c r="E717" s="1"/>
      <c r="F717" s="39">
        <f t="shared" si="26"/>
        <v>0</v>
      </c>
      <c r="G717" s="395"/>
      <c r="H717" s="395"/>
      <c r="J717" s="42"/>
    </row>
    <row r="718" spans="1:10" s="393" customFormat="1" x14ac:dyDescent="0.25">
      <c r="A718" s="19" t="s">
        <v>22</v>
      </c>
      <c r="B718" s="2">
        <v>43922</v>
      </c>
      <c r="C718" s="1">
        <v>11</v>
      </c>
      <c r="D718" s="39">
        <v>144</v>
      </c>
      <c r="E718" s="1">
        <v>1</v>
      </c>
      <c r="F718" s="39">
        <f>E718+F694</f>
        <v>1</v>
      </c>
      <c r="G718" s="395"/>
      <c r="H718" s="395"/>
      <c r="J718" s="42"/>
    </row>
    <row r="719" spans="1:10" s="393" customFormat="1" x14ac:dyDescent="0.25">
      <c r="A719" s="19" t="s">
        <v>38</v>
      </c>
      <c r="B719" s="2">
        <v>43922</v>
      </c>
      <c r="C719" s="1">
        <v>0</v>
      </c>
      <c r="D719" s="39">
        <v>2</v>
      </c>
      <c r="E719" s="1"/>
      <c r="F719" s="39">
        <f t="shared" si="26"/>
        <v>0</v>
      </c>
      <c r="G719" s="395"/>
      <c r="H719" s="395"/>
      <c r="J719" s="42"/>
    </row>
    <row r="720" spans="1:10" s="393" customFormat="1" x14ac:dyDescent="0.25">
      <c r="A720" s="19" t="s">
        <v>39</v>
      </c>
      <c r="B720" s="2">
        <v>43922</v>
      </c>
      <c r="C720" s="1">
        <v>0</v>
      </c>
      <c r="D720" s="39">
        <v>39</v>
      </c>
      <c r="E720" s="1"/>
      <c r="F720" s="39">
        <f t="shared" si="26"/>
        <v>0</v>
      </c>
      <c r="G720" s="395"/>
      <c r="H720" s="395"/>
      <c r="J720" s="42"/>
    </row>
    <row r="721" spans="1:10" s="393" customFormat="1" x14ac:dyDescent="0.25">
      <c r="A721" s="19" t="s">
        <v>40</v>
      </c>
      <c r="B721" s="2">
        <v>43922</v>
      </c>
      <c r="C721" s="1">
        <v>1</v>
      </c>
      <c r="D721" s="39">
        <v>17</v>
      </c>
      <c r="E721" s="1"/>
      <c r="F721" s="39">
        <f t="shared" si="26"/>
        <v>1</v>
      </c>
      <c r="G721" s="395"/>
      <c r="H721" s="395"/>
      <c r="J721" s="42"/>
    </row>
    <row r="722" spans="1:10" s="393" customFormat="1" x14ac:dyDescent="0.25">
      <c r="A722" s="394" t="s">
        <v>16</v>
      </c>
      <c r="B722" s="2">
        <v>43923</v>
      </c>
      <c r="C722" s="1">
        <v>36</v>
      </c>
      <c r="D722" s="39">
        <v>316</v>
      </c>
      <c r="E722" s="1">
        <v>2</v>
      </c>
      <c r="F722" s="39">
        <f>E722+F698</f>
        <v>12</v>
      </c>
      <c r="G722" s="395"/>
      <c r="H722" s="395"/>
      <c r="J722" s="42"/>
    </row>
    <row r="723" spans="1:10" s="393" customFormat="1" x14ac:dyDescent="0.25">
      <c r="A723" s="19" t="s">
        <v>28</v>
      </c>
      <c r="B723" s="2">
        <v>43923</v>
      </c>
      <c r="C723" s="1">
        <v>0</v>
      </c>
      <c r="D723" s="39">
        <v>0</v>
      </c>
      <c r="E723" s="1"/>
      <c r="F723" s="39">
        <f t="shared" ref="F723:F745" si="27">E723+F699</f>
        <v>0</v>
      </c>
      <c r="G723" s="395"/>
      <c r="H723" s="395"/>
      <c r="J723" s="42"/>
    </row>
    <row r="724" spans="1:10" s="393" customFormat="1" x14ac:dyDescent="0.25">
      <c r="A724" s="19" t="s">
        <v>15</v>
      </c>
      <c r="B724" s="2">
        <v>43923</v>
      </c>
      <c r="C724" s="1">
        <v>3</v>
      </c>
      <c r="D724" s="39">
        <v>99</v>
      </c>
      <c r="E724" s="1">
        <v>1</v>
      </c>
      <c r="F724" s="39">
        <f t="shared" si="27"/>
        <v>5</v>
      </c>
      <c r="G724" s="395"/>
      <c r="H724" s="395"/>
      <c r="J724" s="42"/>
    </row>
    <row r="725" spans="1:10" s="393" customFormat="1" x14ac:dyDescent="0.25">
      <c r="A725" s="19" t="s">
        <v>29</v>
      </c>
      <c r="B725" s="2">
        <v>43923</v>
      </c>
      <c r="C725" s="1">
        <v>0</v>
      </c>
      <c r="D725" s="39">
        <v>0</v>
      </c>
      <c r="E725" s="1"/>
      <c r="F725" s="39">
        <f t="shared" si="27"/>
        <v>1</v>
      </c>
      <c r="G725" s="395"/>
      <c r="H725" s="395"/>
      <c r="J725" s="42"/>
    </row>
    <row r="726" spans="1:10" s="393" customFormat="1" x14ac:dyDescent="0.25">
      <c r="A726" s="19" t="s">
        <v>43</v>
      </c>
      <c r="B726" s="2">
        <v>43923</v>
      </c>
      <c r="C726" s="1">
        <v>24</v>
      </c>
      <c r="D726" s="39">
        <v>345</v>
      </c>
      <c r="E726" s="1"/>
      <c r="F726" s="39">
        <f t="shared" si="27"/>
        <v>6</v>
      </c>
      <c r="G726" s="395"/>
      <c r="H726" s="395"/>
      <c r="J726" s="42"/>
    </row>
    <row r="727" spans="1:10" s="393" customFormat="1" x14ac:dyDescent="0.25">
      <c r="A727" s="19" t="s">
        <v>20</v>
      </c>
      <c r="B727" s="2">
        <v>43923</v>
      </c>
      <c r="C727" s="1">
        <v>16</v>
      </c>
      <c r="D727" s="39">
        <v>117</v>
      </c>
      <c r="E727" s="1"/>
      <c r="F727" s="39">
        <f t="shared" si="27"/>
        <v>1</v>
      </c>
      <c r="G727" s="395"/>
      <c r="H727" s="395"/>
      <c r="J727" s="42"/>
    </row>
    <row r="728" spans="1:10" s="393" customFormat="1" x14ac:dyDescent="0.25">
      <c r="A728" s="19" t="s">
        <v>30</v>
      </c>
      <c r="B728" s="2">
        <v>43923</v>
      </c>
      <c r="C728" s="1">
        <v>1</v>
      </c>
      <c r="D728" s="39">
        <v>22</v>
      </c>
      <c r="E728" s="1"/>
      <c r="F728" s="39">
        <f t="shared" si="27"/>
        <v>0</v>
      </c>
      <c r="G728" s="395"/>
      <c r="H728" s="395"/>
      <c r="J728" s="42"/>
    </row>
    <row r="729" spans="1:10" x14ac:dyDescent="0.25">
      <c r="A729" s="19" t="s">
        <v>31</v>
      </c>
      <c r="B729" s="2">
        <v>43923</v>
      </c>
      <c r="C729" s="1">
        <v>2</v>
      </c>
      <c r="D729" s="39">
        <v>16</v>
      </c>
      <c r="F729" s="39">
        <f t="shared" si="27"/>
        <v>0</v>
      </c>
    </row>
    <row r="730" spans="1:10" s="393" customFormat="1" x14ac:dyDescent="0.25">
      <c r="A730" s="19" t="s">
        <v>41</v>
      </c>
      <c r="B730" s="2">
        <v>43923</v>
      </c>
      <c r="C730" s="1">
        <v>0</v>
      </c>
      <c r="D730" s="39">
        <v>0</v>
      </c>
      <c r="E730" s="1"/>
      <c r="F730" s="39">
        <f t="shared" si="27"/>
        <v>0</v>
      </c>
      <c r="G730" s="395"/>
      <c r="H730" s="395"/>
      <c r="J730" s="42"/>
    </row>
    <row r="731" spans="1:10" s="393" customFormat="1" x14ac:dyDescent="0.25">
      <c r="A731" s="19" t="s">
        <v>32</v>
      </c>
      <c r="B731" s="2">
        <v>43923</v>
      </c>
      <c r="C731" s="1">
        <v>2</v>
      </c>
      <c r="D731" s="39">
        <v>5</v>
      </c>
      <c r="E731" s="1"/>
      <c r="F731" s="39">
        <f t="shared" si="27"/>
        <v>0</v>
      </c>
      <c r="G731" s="395"/>
      <c r="H731" s="395"/>
      <c r="J731" s="42"/>
    </row>
    <row r="732" spans="1:10" s="393" customFormat="1" x14ac:dyDescent="0.25">
      <c r="A732" s="19" t="s">
        <v>33</v>
      </c>
      <c r="B732" s="2">
        <v>43923</v>
      </c>
      <c r="C732" s="1">
        <v>0</v>
      </c>
      <c r="D732" s="39">
        <v>3</v>
      </c>
      <c r="E732" s="1"/>
      <c r="F732" s="39">
        <f t="shared" si="27"/>
        <v>0</v>
      </c>
      <c r="G732" s="395"/>
      <c r="H732" s="395"/>
      <c r="J732" s="42"/>
    </row>
    <row r="733" spans="1:10" s="393" customFormat="1" x14ac:dyDescent="0.25">
      <c r="A733" s="19" t="s">
        <v>21</v>
      </c>
      <c r="B733" s="2">
        <v>43923</v>
      </c>
      <c r="C733" s="1">
        <v>3</v>
      </c>
      <c r="D733" s="39">
        <v>4</v>
      </c>
      <c r="E733" s="1"/>
      <c r="F733" s="39">
        <f t="shared" si="27"/>
        <v>1</v>
      </c>
      <c r="G733" s="395"/>
      <c r="H733" s="395"/>
      <c r="J733" s="42"/>
    </row>
    <row r="734" spans="1:10" s="393" customFormat="1" x14ac:dyDescent="0.25">
      <c r="A734" s="19" t="s">
        <v>17</v>
      </c>
      <c r="B734" s="2">
        <v>43923</v>
      </c>
      <c r="C734" s="1">
        <v>0</v>
      </c>
      <c r="D734" s="39">
        <v>25</v>
      </c>
      <c r="E734" s="1">
        <v>1</v>
      </c>
      <c r="F734" s="39">
        <f t="shared" si="27"/>
        <v>2</v>
      </c>
      <c r="G734" s="395"/>
      <c r="H734" s="395"/>
      <c r="J734" s="42"/>
    </row>
    <row r="735" spans="1:10" s="393" customFormat="1" x14ac:dyDescent="0.25">
      <c r="A735" s="19" t="s">
        <v>23</v>
      </c>
      <c r="B735" s="2">
        <v>43923</v>
      </c>
      <c r="C735" s="1">
        <v>0</v>
      </c>
      <c r="D735" s="39">
        <v>3</v>
      </c>
      <c r="E735" s="1"/>
      <c r="F735" s="39">
        <f t="shared" si="27"/>
        <v>0</v>
      </c>
      <c r="G735" s="395"/>
      <c r="H735" s="395"/>
      <c r="J735" s="42"/>
    </row>
    <row r="736" spans="1:10" s="393" customFormat="1" x14ac:dyDescent="0.25">
      <c r="A736" s="19" t="s">
        <v>19</v>
      </c>
      <c r="B736" s="2">
        <v>43923</v>
      </c>
      <c r="C736" s="1">
        <v>4</v>
      </c>
      <c r="D736" s="39">
        <v>28</v>
      </c>
      <c r="E736" s="1"/>
      <c r="F736" s="39">
        <f t="shared" si="27"/>
        <v>1</v>
      </c>
      <c r="G736" s="395"/>
      <c r="H736" s="395"/>
      <c r="J736" s="42"/>
    </row>
    <row r="737" spans="1:10" s="393" customFormat="1" x14ac:dyDescent="0.25">
      <c r="A737" s="19" t="s">
        <v>18</v>
      </c>
      <c r="B737" s="2">
        <v>43923</v>
      </c>
      <c r="C737" s="1">
        <v>0</v>
      </c>
      <c r="D737" s="39">
        <v>9</v>
      </c>
      <c r="E737" s="1"/>
      <c r="F737" s="39">
        <f t="shared" si="27"/>
        <v>2</v>
      </c>
      <c r="G737" s="395"/>
      <c r="H737" s="395"/>
      <c r="J737" s="42"/>
    </row>
    <row r="738" spans="1:10" s="393" customFormat="1" x14ac:dyDescent="0.25">
      <c r="A738" s="19" t="s">
        <v>34</v>
      </c>
      <c r="B738" s="2">
        <v>43923</v>
      </c>
      <c r="C738" s="1">
        <v>0</v>
      </c>
      <c r="D738" s="39">
        <v>3</v>
      </c>
      <c r="E738" s="1"/>
      <c r="F738" s="39">
        <f t="shared" si="27"/>
        <v>0</v>
      </c>
      <c r="G738" s="395"/>
      <c r="H738" s="395"/>
      <c r="J738" s="42"/>
    </row>
    <row r="739" spans="1:10" s="393" customFormat="1" x14ac:dyDescent="0.25">
      <c r="A739" s="19" t="s">
        <v>35</v>
      </c>
      <c r="B739" s="2">
        <v>43923</v>
      </c>
      <c r="C739" s="1">
        <v>0</v>
      </c>
      <c r="D739" s="39">
        <v>1</v>
      </c>
      <c r="E739" s="1"/>
      <c r="F739" s="39">
        <f t="shared" si="27"/>
        <v>0</v>
      </c>
      <c r="G739" s="395"/>
      <c r="H739" s="395"/>
      <c r="J739" s="42"/>
    </row>
    <row r="740" spans="1:10" s="393" customFormat="1" x14ac:dyDescent="0.25">
      <c r="A740" s="19" t="s">
        <v>36</v>
      </c>
      <c r="B740" s="2">
        <v>43923</v>
      </c>
      <c r="C740" s="1">
        <v>2</v>
      </c>
      <c r="D740" s="39">
        <v>9</v>
      </c>
      <c r="E740" s="1"/>
      <c r="F740" s="39">
        <f t="shared" si="27"/>
        <v>0</v>
      </c>
      <c r="G740" s="395"/>
      <c r="H740" s="395"/>
      <c r="J740" s="42"/>
    </row>
    <row r="741" spans="1:10" s="393" customFormat="1" x14ac:dyDescent="0.25">
      <c r="A741" s="19" t="s">
        <v>37</v>
      </c>
      <c r="B741" s="2">
        <v>43923</v>
      </c>
      <c r="C741" s="1">
        <v>2</v>
      </c>
      <c r="D741" s="39">
        <v>21</v>
      </c>
      <c r="E741" s="1"/>
      <c r="F741" s="39">
        <f t="shared" si="27"/>
        <v>0</v>
      </c>
      <c r="G741" s="395"/>
      <c r="H741" s="395"/>
      <c r="J741" s="42"/>
    </row>
    <row r="742" spans="1:10" s="393" customFormat="1" x14ac:dyDescent="0.25">
      <c r="A742" s="19" t="s">
        <v>22</v>
      </c>
      <c r="B742" s="2">
        <v>43923</v>
      </c>
      <c r="C742" s="1">
        <v>8</v>
      </c>
      <c r="D742" s="39">
        <v>152</v>
      </c>
      <c r="E742" s="1"/>
      <c r="F742" s="39">
        <f>E742+F718</f>
        <v>1</v>
      </c>
      <c r="G742" s="395"/>
      <c r="H742" s="395"/>
      <c r="J742" s="42"/>
    </row>
    <row r="743" spans="1:10" s="393" customFormat="1" x14ac:dyDescent="0.25">
      <c r="A743" s="19" t="s">
        <v>38</v>
      </c>
      <c r="B743" s="2">
        <v>43923</v>
      </c>
      <c r="C743" s="1">
        <v>1</v>
      </c>
      <c r="D743" s="39">
        <v>3</v>
      </c>
      <c r="E743" s="1"/>
      <c r="F743" s="39">
        <f t="shared" si="27"/>
        <v>0</v>
      </c>
      <c r="G743" s="395"/>
      <c r="H743" s="395"/>
      <c r="J743" s="42"/>
    </row>
    <row r="744" spans="1:10" s="393" customFormat="1" x14ac:dyDescent="0.25">
      <c r="A744" s="19" t="s">
        <v>39</v>
      </c>
      <c r="B744" s="2">
        <v>43923</v>
      </c>
      <c r="C744" s="1">
        <v>24</v>
      </c>
      <c r="D744" s="39">
        <v>63</v>
      </c>
      <c r="E744" s="1"/>
      <c r="F744" s="39">
        <f t="shared" si="27"/>
        <v>0</v>
      </c>
      <c r="G744" s="395"/>
      <c r="H744" s="395"/>
      <c r="J744" s="42"/>
    </row>
    <row r="745" spans="1:10" s="393" customFormat="1" x14ac:dyDescent="0.25">
      <c r="A745" s="19" t="s">
        <v>40</v>
      </c>
      <c r="B745" s="2">
        <v>43923</v>
      </c>
      <c r="C745" s="1">
        <v>4</v>
      </c>
      <c r="D745" s="39">
        <v>21</v>
      </c>
      <c r="E745" s="1"/>
      <c r="F745" s="39">
        <f t="shared" si="27"/>
        <v>1</v>
      </c>
      <c r="G745" s="395"/>
      <c r="H745" s="395"/>
      <c r="J745" s="42"/>
    </row>
    <row r="746" spans="1:10" s="393" customFormat="1" x14ac:dyDescent="0.25">
      <c r="A746" s="394" t="s">
        <v>16</v>
      </c>
      <c r="B746" s="2">
        <v>43924</v>
      </c>
      <c r="C746" s="1">
        <v>22</v>
      </c>
      <c r="D746" s="39">
        <v>338</v>
      </c>
      <c r="E746" s="1">
        <v>3</v>
      </c>
      <c r="F746" s="39">
        <f>E746+F722</f>
        <v>15</v>
      </c>
      <c r="G746" s="395"/>
      <c r="H746" s="395"/>
      <c r="J746" s="42"/>
    </row>
    <row r="747" spans="1:10" s="393" customFormat="1" x14ac:dyDescent="0.25">
      <c r="A747" s="19" t="s">
        <v>28</v>
      </c>
      <c r="B747" s="2">
        <v>43924</v>
      </c>
      <c r="C747" s="1">
        <v>0</v>
      </c>
      <c r="D747" s="39">
        <v>0</v>
      </c>
      <c r="E747" s="1"/>
      <c r="F747" s="39">
        <f t="shared" ref="F747:F769" si="28">E747+F723</f>
        <v>0</v>
      </c>
      <c r="G747" s="395"/>
      <c r="H747" s="395"/>
      <c r="J747" s="42"/>
    </row>
    <row r="748" spans="1:10" s="393" customFormat="1" x14ac:dyDescent="0.25">
      <c r="A748" s="19" t="s">
        <v>15</v>
      </c>
      <c r="B748" s="2">
        <v>43924</v>
      </c>
      <c r="C748" s="1">
        <v>8</v>
      </c>
      <c r="D748" s="39">
        <v>107</v>
      </c>
      <c r="E748" s="1">
        <v>1</v>
      </c>
      <c r="F748" s="39">
        <f t="shared" si="28"/>
        <v>6</v>
      </c>
      <c r="G748" s="395"/>
      <c r="H748" s="395"/>
      <c r="J748" s="42"/>
    </row>
    <row r="749" spans="1:10" s="393" customFormat="1" x14ac:dyDescent="0.25">
      <c r="A749" s="19" t="s">
        <v>29</v>
      </c>
      <c r="B749" s="2">
        <v>43924</v>
      </c>
      <c r="C749" s="1">
        <v>0</v>
      </c>
      <c r="D749" s="39">
        <v>0</v>
      </c>
      <c r="E749" s="1"/>
      <c r="F749" s="39">
        <f t="shared" si="28"/>
        <v>1</v>
      </c>
      <c r="G749" s="395"/>
      <c r="H749" s="395"/>
      <c r="J749" s="42"/>
    </row>
    <row r="750" spans="1:10" s="393" customFormat="1" x14ac:dyDescent="0.25">
      <c r="A750" s="19" t="s">
        <v>43</v>
      </c>
      <c r="B750" s="2">
        <v>43924</v>
      </c>
      <c r="C750" s="1">
        <v>28</v>
      </c>
      <c r="D750" s="39">
        <v>373</v>
      </c>
      <c r="E750" s="1"/>
      <c r="F750" s="39">
        <f t="shared" si="28"/>
        <v>6</v>
      </c>
      <c r="G750" s="395"/>
      <c r="H750" s="395"/>
      <c r="J750" s="42"/>
    </row>
    <row r="751" spans="1:10" s="393" customFormat="1" x14ac:dyDescent="0.25">
      <c r="A751" s="19" t="s">
        <v>20</v>
      </c>
      <c r="B751" s="2">
        <v>43924</v>
      </c>
      <c r="C751" s="1">
        <v>14</v>
      </c>
      <c r="D751" s="39">
        <v>131</v>
      </c>
      <c r="E751" s="1"/>
      <c r="F751" s="39">
        <f t="shared" si="28"/>
        <v>1</v>
      </c>
      <c r="G751" s="395"/>
      <c r="H751" s="395"/>
      <c r="J751" s="42"/>
    </row>
    <row r="752" spans="1:10" s="393" customFormat="1" x14ac:dyDescent="0.25">
      <c r="A752" s="19" t="s">
        <v>30</v>
      </c>
      <c r="B752" s="2">
        <v>43924</v>
      </c>
      <c r="C752" s="1">
        <v>0</v>
      </c>
      <c r="D752" s="39">
        <v>22</v>
      </c>
      <c r="E752" s="1"/>
      <c r="F752" s="39">
        <f t="shared" si="28"/>
        <v>0</v>
      </c>
      <c r="G752" s="395"/>
      <c r="H752" s="395"/>
      <c r="J752" s="42"/>
    </row>
    <row r="753" spans="1:10" x14ac:dyDescent="0.25">
      <c r="A753" s="19" t="s">
        <v>31</v>
      </c>
      <c r="B753" s="2">
        <v>43924</v>
      </c>
      <c r="C753" s="1">
        <v>2</v>
      </c>
      <c r="D753" s="39">
        <v>18</v>
      </c>
      <c r="F753" s="39">
        <f t="shared" si="28"/>
        <v>0</v>
      </c>
    </row>
    <row r="754" spans="1:10" s="393" customFormat="1" x14ac:dyDescent="0.25">
      <c r="A754" s="19" t="s">
        <v>41</v>
      </c>
      <c r="B754" s="2">
        <v>43924</v>
      </c>
      <c r="C754" s="1">
        <v>0</v>
      </c>
      <c r="D754" s="39">
        <v>0</v>
      </c>
      <c r="E754" s="1"/>
      <c r="F754" s="39">
        <f t="shared" si="28"/>
        <v>0</v>
      </c>
      <c r="G754" s="395"/>
      <c r="H754" s="395"/>
      <c r="J754" s="42"/>
    </row>
    <row r="755" spans="1:10" s="393" customFormat="1" x14ac:dyDescent="0.25">
      <c r="A755" s="19" t="s">
        <v>32</v>
      </c>
      <c r="B755" s="2">
        <v>43924</v>
      </c>
      <c r="C755" s="1">
        <v>0</v>
      </c>
      <c r="D755" s="39">
        <v>5</v>
      </c>
      <c r="E755" s="1"/>
      <c r="F755" s="39">
        <f t="shared" si="28"/>
        <v>0</v>
      </c>
      <c r="G755" s="395"/>
      <c r="H755" s="395"/>
      <c r="J755" s="42"/>
    </row>
    <row r="756" spans="1:10" s="393" customFormat="1" x14ac:dyDescent="0.25">
      <c r="A756" s="19" t="s">
        <v>33</v>
      </c>
      <c r="B756" s="2">
        <v>43924</v>
      </c>
      <c r="C756" s="1">
        <v>0</v>
      </c>
      <c r="D756" s="39">
        <v>3</v>
      </c>
      <c r="E756" s="1"/>
      <c r="F756" s="39">
        <f t="shared" si="28"/>
        <v>0</v>
      </c>
      <c r="G756" s="395"/>
      <c r="H756" s="395"/>
      <c r="J756" s="42"/>
    </row>
    <row r="757" spans="1:10" s="393" customFormat="1" x14ac:dyDescent="0.25">
      <c r="A757" s="19" t="s">
        <v>21</v>
      </c>
      <c r="B757" s="2">
        <v>43924</v>
      </c>
      <c r="C757" s="1">
        <v>0</v>
      </c>
      <c r="D757" s="39">
        <v>4</v>
      </c>
      <c r="E757" s="1"/>
      <c r="F757" s="39">
        <f t="shared" si="28"/>
        <v>1</v>
      </c>
      <c r="G757" s="395"/>
      <c r="H757" s="395"/>
      <c r="J757" s="42"/>
    </row>
    <row r="758" spans="1:10" s="393" customFormat="1" x14ac:dyDescent="0.25">
      <c r="A758" s="19" t="s">
        <v>17</v>
      </c>
      <c r="B758" s="2">
        <v>43924</v>
      </c>
      <c r="C758" s="1">
        <v>2</v>
      </c>
      <c r="D758" s="39">
        <v>27</v>
      </c>
      <c r="E758" s="1">
        <v>1</v>
      </c>
      <c r="F758" s="39">
        <f t="shared" si="28"/>
        <v>3</v>
      </c>
      <c r="G758" s="395"/>
      <c r="H758" s="395"/>
      <c r="J758" s="42"/>
    </row>
    <row r="759" spans="1:10" s="393" customFormat="1" x14ac:dyDescent="0.25">
      <c r="A759" s="19" t="s">
        <v>23</v>
      </c>
      <c r="B759" s="2">
        <v>43924</v>
      </c>
      <c r="C759" s="1">
        <v>0</v>
      </c>
      <c r="D759" s="39">
        <v>3</v>
      </c>
      <c r="E759" s="1"/>
      <c r="F759" s="39">
        <f t="shared" si="28"/>
        <v>0</v>
      </c>
      <c r="G759" s="395"/>
      <c r="H759" s="395"/>
      <c r="J759" s="42"/>
    </row>
    <row r="760" spans="1:10" s="393" customFormat="1" x14ac:dyDescent="0.25">
      <c r="A760" s="19" t="s">
        <v>19</v>
      </c>
      <c r="B760" s="2">
        <v>43924</v>
      </c>
      <c r="C760" s="1">
        <v>1</v>
      </c>
      <c r="D760" s="39">
        <v>29</v>
      </c>
      <c r="E760" s="1"/>
      <c r="F760" s="39">
        <f t="shared" si="28"/>
        <v>1</v>
      </c>
      <c r="G760" s="395"/>
      <c r="H760" s="395"/>
      <c r="J760" s="42"/>
    </row>
    <row r="761" spans="1:10" s="393" customFormat="1" x14ac:dyDescent="0.25">
      <c r="A761" s="19" t="s">
        <v>18</v>
      </c>
      <c r="B761" s="2">
        <v>43924</v>
      </c>
      <c r="C761" s="1">
        <v>1</v>
      </c>
      <c r="D761" s="39">
        <v>10</v>
      </c>
      <c r="E761" s="1"/>
      <c r="F761" s="39">
        <f t="shared" si="28"/>
        <v>2</v>
      </c>
      <c r="G761" s="395"/>
      <c r="H761" s="395"/>
      <c r="J761" s="42"/>
    </row>
    <row r="762" spans="1:10" s="393" customFormat="1" x14ac:dyDescent="0.25">
      <c r="A762" s="19" t="s">
        <v>34</v>
      </c>
      <c r="B762" s="2">
        <v>43924</v>
      </c>
      <c r="C762" s="1">
        <v>0</v>
      </c>
      <c r="D762" s="39">
        <v>3</v>
      </c>
      <c r="E762" s="1"/>
      <c r="F762" s="39">
        <f t="shared" si="28"/>
        <v>0</v>
      </c>
      <c r="G762" s="395"/>
      <c r="H762" s="395"/>
      <c r="J762" s="42"/>
    </row>
    <row r="763" spans="1:10" s="393" customFormat="1" x14ac:dyDescent="0.25">
      <c r="A763" s="19" t="s">
        <v>35</v>
      </c>
      <c r="B763" s="2">
        <v>43924</v>
      </c>
      <c r="C763" s="1">
        <v>0</v>
      </c>
      <c r="D763" s="39">
        <v>1</v>
      </c>
      <c r="E763" s="1"/>
      <c r="F763" s="39">
        <f t="shared" si="28"/>
        <v>0</v>
      </c>
      <c r="G763" s="395"/>
      <c r="H763" s="395"/>
      <c r="J763" s="42"/>
    </row>
    <row r="764" spans="1:10" s="393" customFormat="1" x14ac:dyDescent="0.25">
      <c r="A764" s="19" t="s">
        <v>36</v>
      </c>
      <c r="B764" s="2">
        <v>43924</v>
      </c>
      <c r="C764" s="1">
        <v>1</v>
      </c>
      <c r="D764" s="39">
        <v>10</v>
      </c>
      <c r="E764" s="1"/>
      <c r="F764" s="39">
        <f t="shared" si="28"/>
        <v>0</v>
      </c>
      <c r="G764" s="395"/>
      <c r="H764" s="395"/>
      <c r="J764" s="42"/>
    </row>
    <row r="765" spans="1:10" s="393" customFormat="1" x14ac:dyDescent="0.25">
      <c r="A765" s="19" t="s">
        <v>37</v>
      </c>
      <c r="B765" s="2">
        <v>43924</v>
      </c>
      <c r="C765" s="1">
        <v>0</v>
      </c>
      <c r="D765" s="39">
        <v>21</v>
      </c>
      <c r="E765" s="1"/>
      <c r="F765" s="39">
        <f t="shared" si="28"/>
        <v>0</v>
      </c>
      <c r="G765" s="395"/>
      <c r="H765" s="395"/>
      <c r="J765" s="42"/>
    </row>
    <row r="766" spans="1:10" s="393" customFormat="1" x14ac:dyDescent="0.25">
      <c r="A766" s="19" t="s">
        <v>22</v>
      </c>
      <c r="B766" s="2">
        <v>43924</v>
      </c>
      <c r="C766" s="1">
        <v>8</v>
      </c>
      <c r="D766" s="39">
        <v>160</v>
      </c>
      <c r="E766" s="1"/>
      <c r="F766" s="39">
        <f>E766+F742</f>
        <v>1</v>
      </c>
      <c r="G766" s="395"/>
      <c r="H766" s="395"/>
      <c r="J766" s="42"/>
    </row>
    <row r="767" spans="1:10" s="393" customFormat="1" x14ac:dyDescent="0.25">
      <c r="A767" s="19" t="s">
        <v>38</v>
      </c>
      <c r="B767" s="2">
        <v>43924</v>
      </c>
      <c r="C767" s="1">
        <v>0</v>
      </c>
      <c r="D767" s="39">
        <v>3</v>
      </c>
      <c r="E767" s="1"/>
      <c r="F767" s="39">
        <f t="shared" si="28"/>
        <v>0</v>
      </c>
      <c r="G767" s="395"/>
      <c r="H767" s="395"/>
      <c r="J767" s="42"/>
    </row>
    <row r="768" spans="1:10" s="393" customFormat="1" x14ac:dyDescent="0.25">
      <c r="A768" s="19" t="s">
        <v>39</v>
      </c>
      <c r="B768" s="2">
        <v>43924</v>
      </c>
      <c r="C768" s="1">
        <v>1</v>
      </c>
      <c r="D768" s="39">
        <v>64</v>
      </c>
      <c r="E768" s="1"/>
      <c r="F768" s="39">
        <f t="shared" si="28"/>
        <v>0</v>
      </c>
      <c r="G768" s="395"/>
      <c r="H768" s="395"/>
      <c r="J768" s="42"/>
    </row>
    <row r="769" spans="1:10" s="393" customFormat="1" x14ac:dyDescent="0.25">
      <c r="A769" s="19" t="s">
        <v>40</v>
      </c>
      <c r="B769" s="2">
        <v>43924</v>
      </c>
      <c r="C769" s="1">
        <v>0</v>
      </c>
      <c r="D769" s="39">
        <v>21</v>
      </c>
      <c r="E769" s="1"/>
      <c r="F769" s="39">
        <f t="shared" si="28"/>
        <v>1</v>
      </c>
      <c r="G769" s="395"/>
      <c r="H769" s="395"/>
      <c r="J769" s="42"/>
    </row>
    <row r="770" spans="1:10" s="393" customFormat="1" x14ac:dyDescent="0.25">
      <c r="A770" s="394" t="s">
        <v>16</v>
      </c>
      <c r="B770" s="2">
        <v>43925</v>
      </c>
      <c r="C770" s="1">
        <v>26</v>
      </c>
      <c r="D770" s="39">
        <v>364</v>
      </c>
      <c r="E770" s="1">
        <v>1</v>
      </c>
      <c r="F770" s="39">
        <f>E770+F746</f>
        <v>16</v>
      </c>
      <c r="G770" s="395"/>
      <c r="H770" s="395"/>
      <c r="J770" s="42"/>
    </row>
    <row r="771" spans="1:10" s="393" customFormat="1" x14ac:dyDescent="0.25">
      <c r="A771" s="19" t="s">
        <v>28</v>
      </c>
      <c r="B771" s="2">
        <v>43925</v>
      </c>
      <c r="C771" s="1">
        <v>0</v>
      </c>
      <c r="D771" s="39">
        <v>0</v>
      </c>
      <c r="E771" s="1"/>
      <c r="F771" s="39">
        <f t="shared" ref="F771:F793" si="29">E771+F747</f>
        <v>0</v>
      </c>
      <c r="G771" s="395"/>
      <c r="H771" s="395"/>
      <c r="J771" s="42"/>
    </row>
    <row r="772" spans="1:10" s="393" customFormat="1" x14ac:dyDescent="0.25">
      <c r="A772" s="19" t="s">
        <v>15</v>
      </c>
      <c r="B772" s="2">
        <v>43925</v>
      </c>
      <c r="C772" s="1">
        <v>8</v>
      </c>
      <c r="D772" s="39">
        <v>115</v>
      </c>
      <c r="E772" s="1"/>
      <c r="F772" s="39">
        <f t="shared" si="29"/>
        <v>6</v>
      </c>
      <c r="G772" s="395"/>
      <c r="H772" s="395"/>
      <c r="J772" s="42"/>
    </row>
    <row r="773" spans="1:10" s="393" customFormat="1" x14ac:dyDescent="0.25">
      <c r="A773" s="19" t="s">
        <v>29</v>
      </c>
      <c r="B773" s="2">
        <v>43925</v>
      </c>
      <c r="C773" s="1">
        <v>0</v>
      </c>
      <c r="D773" s="39">
        <v>0</v>
      </c>
      <c r="E773" s="1"/>
      <c r="F773" s="39">
        <f t="shared" si="29"/>
        <v>1</v>
      </c>
      <c r="G773" s="395"/>
      <c r="H773" s="395"/>
      <c r="J773" s="42"/>
    </row>
    <row r="774" spans="1:10" s="393" customFormat="1" x14ac:dyDescent="0.25">
      <c r="A774" s="19" t="s">
        <v>43</v>
      </c>
      <c r="B774" s="2">
        <v>43925</v>
      </c>
      <c r="C774" s="1">
        <v>34</v>
      </c>
      <c r="D774" s="39">
        <v>407</v>
      </c>
      <c r="E774" s="1">
        <v>1</v>
      </c>
      <c r="F774" s="39">
        <f t="shared" si="29"/>
        <v>7</v>
      </c>
      <c r="G774" s="395"/>
      <c r="H774" s="395"/>
      <c r="J774" s="42"/>
    </row>
    <row r="775" spans="1:10" s="393" customFormat="1" x14ac:dyDescent="0.25">
      <c r="A775" s="19" t="s">
        <v>20</v>
      </c>
      <c r="B775" s="2">
        <v>43925</v>
      </c>
      <c r="C775" s="1">
        <v>3</v>
      </c>
      <c r="D775" s="39">
        <v>134</v>
      </c>
      <c r="E775" s="1"/>
      <c r="F775" s="39">
        <f t="shared" si="29"/>
        <v>1</v>
      </c>
      <c r="G775" s="395"/>
      <c r="H775" s="395"/>
      <c r="J775" s="42"/>
    </row>
    <row r="776" spans="1:10" s="393" customFormat="1" x14ac:dyDescent="0.25">
      <c r="A776" s="19" t="s">
        <v>30</v>
      </c>
      <c r="B776" s="2">
        <v>43925</v>
      </c>
      <c r="C776" s="1">
        <v>0</v>
      </c>
      <c r="D776" s="39">
        <v>22</v>
      </c>
      <c r="E776" s="1"/>
      <c r="F776" s="39">
        <f t="shared" si="29"/>
        <v>0</v>
      </c>
      <c r="G776" s="395"/>
      <c r="H776" s="395"/>
      <c r="J776" s="42"/>
    </row>
    <row r="777" spans="1:10" x14ac:dyDescent="0.25">
      <c r="A777" s="19" t="s">
        <v>31</v>
      </c>
      <c r="B777" s="2">
        <v>43925</v>
      </c>
      <c r="C777" s="1">
        <v>0</v>
      </c>
      <c r="D777" s="39">
        <v>18</v>
      </c>
      <c r="F777" s="39">
        <f t="shared" si="29"/>
        <v>0</v>
      </c>
    </row>
    <row r="778" spans="1:10" s="393" customFormat="1" x14ac:dyDescent="0.25">
      <c r="A778" s="19" t="s">
        <v>41</v>
      </c>
      <c r="B778" s="2">
        <v>43925</v>
      </c>
      <c r="C778" s="1">
        <v>0</v>
      </c>
      <c r="D778" s="39">
        <v>0</v>
      </c>
      <c r="E778" s="1"/>
      <c r="F778" s="39">
        <f t="shared" si="29"/>
        <v>0</v>
      </c>
      <c r="G778" s="395"/>
      <c r="H778" s="395"/>
      <c r="J778" s="42"/>
    </row>
    <row r="779" spans="1:10" s="393" customFormat="1" x14ac:dyDescent="0.25">
      <c r="A779" s="19" t="s">
        <v>32</v>
      </c>
      <c r="B779" s="2">
        <v>43925</v>
      </c>
      <c r="C779" s="1">
        <v>0</v>
      </c>
      <c r="D779" s="39">
        <v>5</v>
      </c>
      <c r="E779" s="1"/>
      <c r="F779" s="39">
        <f t="shared" si="29"/>
        <v>0</v>
      </c>
      <c r="G779" s="395"/>
      <c r="H779" s="395"/>
      <c r="J779" s="42"/>
    </row>
    <row r="780" spans="1:10" s="393" customFormat="1" x14ac:dyDescent="0.25">
      <c r="A780" s="19" t="s">
        <v>33</v>
      </c>
      <c r="B780" s="2">
        <v>43925</v>
      </c>
      <c r="C780" s="1">
        <v>0</v>
      </c>
      <c r="D780" s="39">
        <v>3</v>
      </c>
      <c r="E780" s="1"/>
      <c r="F780" s="39">
        <f t="shared" si="29"/>
        <v>0</v>
      </c>
      <c r="G780" s="395"/>
      <c r="H780" s="395"/>
      <c r="J780" s="42"/>
    </row>
    <row r="781" spans="1:10" s="393" customFormat="1" x14ac:dyDescent="0.25">
      <c r="A781" s="19" t="s">
        <v>21</v>
      </c>
      <c r="B781" s="2">
        <v>43925</v>
      </c>
      <c r="C781" s="1">
        <v>2</v>
      </c>
      <c r="D781" s="39">
        <v>6</v>
      </c>
      <c r="E781" s="1"/>
      <c r="F781" s="39">
        <f t="shared" si="29"/>
        <v>1</v>
      </c>
      <c r="G781" s="395"/>
      <c r="H781" s="395"/>
      <c r="J781" s="42"/>
    </row>
    <row r="782" spans="1:10" s="393" customFormat="1" x14ac:dyDescent="0.25">
      <c r="A782" s="19" t="s">
        <v>17</v>
      </c>
      <c r="B782" s="2">
        <v>43925</v>
      </c>
      <c r="C782" s="1">
        <v>0</v>
      </c>
      <c r="D782" s="39">
        <v>27</v>
      </c>
      <c r="E782" s="1"/>
      <c r="F782" s="39">
        <f t="shared" si="29"/>
        <v>3</v>
      </c>
      <c r="G782" s="395"/>
      <c r="H782" s="395"/>
      <c r="J782" s="42"/>
    </row>
    <row r="783" spans="1:10" s="393" customFormat="1" x14ac:dyDescent="0.25">
      <c r="A783" s="19" t="s">
        <v>23</v>
      </c>
      <c r="B783" s="2">
        <v>43925</v>
      </c>
      <c r="C783" s="1">
        <v>0</v>
      </c>
      <c r="D783" s="39">
        <v>3</v>
      </c>
      <c r="E783" s="1"/>
      <c r="F783" s="39">
        <f t="shared" si="29"/>
        <v>0</v>
      </c>
      <c r="G783" s="395"/>
      <c r="H783" s="395"/>
      <c r="J783" s="42"/>
    </row>
    <row r="784" spans="1:10" s="393" customFormat="1" x14ac:dyDescent="0.25">
      <c r="A784" s="19" t="s">
        <v>19</v>
      </c>
      <c r="B784" s="2">
        <v>43925</v>
      </c>
      <c r="C784" s="1">
        <v>4</v>
      </c>
      <c r="D784" s="39">
        <v>33</v>
      </c>
      <c r="E784" s="1"/>
      <c r="F784" s="39">
        <f t="shared" si="29"/>
        <v>1</v>
      </c>
      <c r="G784" s="395"/>
      <c r="H784" s="395"/>
      <c r="J784" s="42"/>
    </row>
    <row r="785" spans="1:10" s="393" customFormat="1" x14ac:dyDescent="0.25">
      <c r="A785" s="19" t="s">
        <v>18</v>
      </c>
      <c r="B785" s="2">
        <v>43925</v>
      </c>
      <c r="C785" s="1">
        <v>5</v>
      </c>
      <c r="D785" s="39">
        <v>15</v>
      </c>
      <c r="E785" s="1"/>
      <c r="F785" s="39">
        <f t="shared" si="29"/>
        <v>2</v>
      </c>
      <c r="G785" s="395"/>
      <c r="H785" s="395"/>
      <c r="J785" s="42"/>
    </row>
    <row r="786" spans="1:10" s="393" customFormat="1" x14ac:dyDescent="0.25">
      <c r="A786" s="19" t="s">
        <v>34</v>
      </c>
      <c r="B786" s="2">
        <v>43925</v>
      </c>
      <c r="C786" s="1">
        <v>0</v>
      </c>
      <c r="D786" s="39">
        <v>3</v>
      </c>
      <c r="E786" s="1"/>
      <c r="F786" s="39">
        <f t="shared" si="29"/>
        <v>0</v>
      </c>
      <c r="G786" s="395"/>
      <c r="H786" s="395"/>
      <c r="J786" s="42"/>
    </row>
    <row r="787" spans="1:10" s="393" customFormat="1" x14ac:dyDescent="0.25">
      <c r="A787" s="19" t="s">
        <v>35</v>
      </c>
      <c r="B787" s="2">
        <v>43925</v>
      </c>
      <c r="C787" s="1">
        <v>0</v>
      </c>
      <c r="D787" s="39">
        <v>1</v>
      </c>
      <c r="E787" s="1"/>
      <c r="F787" s="39">
        <f t="shared" si="29"/>
        <v>0</v>
      </c>
      <c r="G787" s="395"/>
      <c r="H787" s="395"/>
      <c r="J787" s="42"/>
    </row>
    <row r="788" spans="1:10" s="393" customFormat="1" x14ac:dyDescent="0.25">
      <c r="A788" s="19" t="s">
        <v>36</v>
      </c>
      <c r="B788" s="2">
        <v>43925</v>
      </c>
      <c r="C788" s="1">
        <v>0</v>
      </c>
      <c r="D788" s="39">
        <v>10</v>
      </c>
      <c r="E788" s="1"/>
      <c r="F788" s="39">
        <f t="shared" si="29"/>
        <v>0</v>
      </c>
      <c r="G788" s="395"/>
      <c r="H788" s="395"/>
      <c r="J788" s="42"/>
    </row>
    <row r="789" spans="1:10" s="393" customFormat="1" x14ac:dyDescent="0.25">
      <c r="A789" s="19" t="s">
        <v>37</v>
      </c>
      <c r="B789" s="2">
        <v>43925</v>
      </c>
      <c r="C789" s="1">
        <v>1</v>
      </c>
      <c r="D789" s="39">
        <v>22</v>
      </c>
      <c r="E789" s="1"/>
      <c r="F789" s="39">
        <f t="shared" si="29"/>
        <v>0</v>
      </c>
      <c r="G789" s="395"/>
      <c r="H789" s="395"/>
      <c r="J789" s="42"/>
    </row>
    <row r="790" spans="1:10" s="393" customFormat="1" x14ac:dyDescent="0.25">
      <c r="A790" s="19" t="s">
        <v>22</v>
      </c>
      <c r="B790" s="2">
        <v>43925</v>
      </c>
      <c r="C790" s="1">
        <v>5</v>
      </c>
      <c r="D790" s="39">
        <v>165</v>
      </c>
      <c r="E790" s="1"/>
      <c r="F790" s="39">
        <f>E790+F766</f>
        <v>1</v>
      </c>
      <c r="G790" s="395"/>
      <c r="H790" s="395"/>
      <c r="J790" s="42"/>
    </row>
    <row r="791" spans="1:10" s="393" customFormat="1" x14ac:dyDescent="0.25">
      <c r="A791" s="19" t="s">
        <v>38</v>
      </c>
      <c r="B791" s="2">
        <v>43925</v>
      </c>
      <c r="C791" s="1">
        <v>1</v>
      </c>
      <c r="D791" s="39">
        <v>4</v>
      </c>
      <c r="E791" s="1"/>
      <c r="F791" s="39">
        <f t="shared" si="29"/>
        <v>0</v>
      </c>
      <c r="G791" s="395"/>
      <c r="H791" s="395"/>
      <c r="J791" s="42"/>
    </row>
    <row r="792" spans="1:10" s="393" customFormat="1" x14ac:dyDescent="0.25">
      <c r="A792" s="19" t="s">
        <v>39</v>
      </c>
      <c r="B792" s="2">
        <v>43925</v>
      </c>
      <c r="C792" s="1">
        <v>8</v>
      </c>
      <c r="D792" s="39">
        <v>72</v>
      </c>
      <c r="E792" s="1"/>
      <c r="F792" s="39">
        <f t="shared" si="29"/>
        <v>0</v>
      </c>
      <c r="G792" s="395"/>
      <c r="H792" s="395"/>
      <c r="J792" s="42"/>
    </row>
    <row r="793" spans="1:10" s="393" customFormat="1" x14ac:dyDescent="0.25">
      <c r="A793" s="19" t="s">
        <v>40</v>
      </c>
      <c r="B793" s="2">
        <v>43925</v>
      </c>
      <c r="C793" s="1">
        <v>1</v>
      </c>
      <c r="D793" s="39">
        <v>22</v>
      </c>
      <c r="E793" s="1"/>
      <c r="F793" s="39">
        <f t="shared" si="29"/>
        <v>1</v>
      </c>
      <c r="G793" s="395"/>
      <c r="H793" s="395"/>
      <c r="J793" s="42"/>
    </row>
    <row r="794" spans="1:10" s="393" customFormat="1" x14ac:dyDescent="0.25">
      <c r="A794" s="394" t="s">
        <v>16</v>
      </c>
      <c r="B794" s="2">
        <v>43926</v>
      </c>
      <c r="C794" s="1">
        <v>33</v>
      </c>
      <c r="D794" s="39">
        <v>397</v>
      </c>
      <c r="E794" s="1">
        <v>1</v>
      </c>
      <c r="F794" s="39">
        <f>E794+F770</f>
        <v>17</v>
      </c>
      <c r="G794" s="395"/>
      <c r="H794" s="395"/>
      <c r="J794" s="42"/>
    </row>
    <row r="795" spans="1:10" s="393" customFormat="1" x14ac:dyDescent="0.25">
      <c r="A795" s="19" t="s">
        <v>28</v>
      </c>
      <c r="B795" s="2">
        <v>43926</v>
      </c>
      <c r="C795" s="1">
        <v>0</v>
      </c>
      <c r="D795" s="39">
        <v>0</v>
      </c>
      <c r="E795" s="1"/>
      <c r="F795" s="39">
        <f t="shared" ref="F795:F817" si="30">E795+F771</f>
        <v>0</v>
      </c>
      <c r="G795" s="395"/>
      <c r="H795" s="395"/>
      <c r="J795" s="42"/>
    </row>
    <row r="796" spans="1:10" s="393" customFormat="1" x14ac:dyDescent="0.25">
      <c r="A796" s="19" t="s">
        <v>15</v>
      </c>
      <c r="B796" s="2">
        <v>43926</v>
      </c>
      <c r="C796" s="1">
        <v>0</v>
      </c>
      <c r="D796" s="39">
        <v>115</v>
      </c>
      <c r="E796" s="1"/>
      <c r="F796" s="39">
        <f t="shared" si="30"/>
        <v>6</v>
      </c>
      <c r="G796" s="395"/>
      <c r="H796" s="395"/>
      <c r="J796" s="42"/>
    </row>
    <row r="797" spans="1:10" s="393" customFormat="1" x14ac:dyDescent="0.25">
      <c r="A797" s="19" t="s">
        <v>29</v>
      </c>
      <c r="B797" s="2">
        <v>43926</v>
      </c>
      <c r="C797" s="1">
        <v>0</v>
      </c>
      <c r="D797" s="39">
        <v>0</v>
      </c>
      <c r="E797" s="1"/>
      <c r="F797" s="39">
        <f t="shared" si="30"/>
        <v>1</v>
      </c>
      <c r="G797" s="395"/>
      <c r="H797" s="395"/>
      <c r="J797" s="42"/>
    </row>
    <row r="798" spans="1:10" s="393" customFormat="1" x14ac:dyDescent="0.25">
      <c r="A798" s="19" t="s">
        <v>43</v>
      </c>
      <c r="B798" s="2">
        <v>43926</v>
      </c>
      <c r="C798" s="1">
        <v>32</v>
      </c>
      <c r="D798" s="39">
        <v>439</v>
      </c>
      <c r="E798" s="1"/>
      <c r="F798" s="39">
        <f>E798+F774</f>
        <v>7</v>
      </c>
      <c r="G798" s="395"/>
      <c r="H798" s="395"/>
      <c r="J798" s="42"/>
    </row>
    <row r="799" spans="1:10" s="393" customFormat="1" x14ac:dyDescent="0.25">
      <c r="A799" s="19" t="s">
        <v>20</v>
      </c>
      <c r="B799" s="2">
        <v>43926</v>
      </c>
      <c r="C799" s="1">
        <v>5</v>
      </c>
      <c r="D799" s="39">
        <v>139</v>
      </c>
      <c r="E799" s="1">
        <v>1</v>
      </c>
      <c r="F799" s="39">
        <f t="shared" si="30"/>
        <v>2</v>
      </c>
      <c r="G799" s="395"/>
      <c r="H799" s="395"/>
      <c r="J799" s="42"/>
    </row>
    <row r="800" spans="1:10" s="393" customFormat="1" x14ac:dyDescent="0.25">
      <c r="A800" s="19" t="s">
        <v>30</v>
      </c>
      <c r="B800" s="2">
        <v>43926</v>
      </c>
      <c r="C800" s="1">
        <v>0</v>
      </c>
      <c r="D800" s="39">
        <v>22</v>
      </c>
      <c r="E800" s="1"/>
      <c r="F800" s="39">
        <f t="shared" si="30"/>
        <v>0</v>
      </c>
      <c r="G800" s="395"/>
      <c r="H800" s="395"/>
      <c r="J800" s="42"/>
    </row>
    <row r="801" spans="1:10" x14ac:dyDescent="0.25">
      <c r="A801" s="19" t="s">
        <v>31</v>
      </c>
      <c r="B801" s="2">
        <v>43926</v>
      </c>
      <c r="C801" s="1">
        <v>1</v>
      </c>
      <c r="D801" s="39">
        <v>19</v>
      </c>
      <c r="F801" s="39">
        <f t="shared" si="30"/>
        <v>0</v>
      </c>
    </row>
    <row r="802" spans="1:10" s="393" customFormat="1" x14ac:dyDescent="0.25">
      <c r="A802" s="19" t="s">
        <v>41</v>
      </c>
      <c r="B802" s="2">
        <v>43926</v>
      </c>
      <c r="C802" s="1">
        <v>0</v>
      </c>
      <c r="D802" s="39">
        <v>0</v>
      </c>
      <c r="E802" s="1"/>
      <c r="F802" s="39">
        <f t="shared" si="30"/>
        <v>0</v>
      </c>
      <c r="G802" s="395"/>
      <c r="H802" s="395"/>
      <c r="J802" s="42"/>
    </row>
    <row r="803" spans="1:10" s="393" customFormat="1" x14ac:dyDescent="0.25">
      <c r="A803" s="19" t="s">
        <v>32</v>
      </c>
      <c r="B803" s="2">
        <v>43926</v>
      </c>
      <c r="C803" s="1">
        <v>0</v>
      </c>
      <c r="D803" s="39">
        <v>5</v>
      </c>
      <c r="E803" s="1"/>
      <c r="F803" s="39">
        <f t="shared" si="30"/>
        <v>0</v>
      </c>
      <c r="G803" s="395"/>
      <c r="H803" s="395"/>
      <c r="J803" s="42"/>
    </row>
    <row r="804" spans="1:10" s="393" customFormat="1" x14ac:dyDescent="0.25">
      <c r="A804" s="19" t="s">
        <v>33</v>
      </c>
      <c r="B804" s="2">
        <v>43926</v>
      </c>
      <c r="C804" s="1">
        <v>0</v>
      </c>
      <c r="D804" s="39">
        <v>3</v>
      </c>
      <c r="E804" s="1"/>
      <c r="F804" s="39">
        <f t="shared" si="30"/>
        <v>0</v>
      </c>
      <c r="G804" s="395"/>
      <c r="H804" s="395"/>
      <c r="J804" s="42"/>
    </row>
    <row r="805" spans="1:10" s="393" customFormat="1" x14ac:dyDescent="0.25">
      <c r="A805" s="19" t="s">
        <v>21</v>
      </c>
      <c r="B805" s="2">
        <v>43926</v>
      </c>
      <c r="C805" s="1">
        <v>2</v>
      </c>
      <c r="D805" s="39">
        <v>8</v>
      </c>
      <c r="E805" s="1"/>
      <c r="F805" s="39">
        <f t="shared" si="30"/>
        <v>1</v>
      </c>
      <c r="G805" s="395"/>
      <c r="H805" s="395"/>
      <c r="J805" s="42"/>
    </row>
    <row r="806" spans="1:10" s="393" customFormat="1" x14ac:dyDescent="0.25">
      <c r="A806" s="19" t="s">
        <v>17</v>
      </c>
      <c r="B806" s="2">
        <v>43926</v>
      </c>
      <c r="C806" s="1">
        <v>2</v>
      </c>
      <c r="D806" s="39">
        <v>29</v>
      </c>
      <c r="E806" s="1"/>
      <c r="F806" s="39">
        <f t="shared" si="30"/>
        <v>3</v>
      </c>
      <c r="G806" s="395"/>
      <c r="H806" s="395"/>
      <c r="J806" s="42"/>
    </row>
    <row r="807" spans="1:10" s="393" customFormat="1" x14ac:dyDescent="0.25">
      <c r="A807" s="19" t="s">
        <v>23</v>
      </c>
      <c r="B807" s="2">
        <v>43926</v>
      </c>
      <c r="C807" s="1">
        <v>0</v>
      </c>
      <c r="D807" s="39">
        <v>3</v>
      </c>
      <c r="E807" s="1"/>
      <c r="F807" s="39">
        <f t="shared" si="30"/>
        <v>0</v>
      </c>
      <c r="G807" s="395"/>
      <c r="H807" s="395"/>
      <c r="J807" s="42"/>
    </row>
    <row r="808" spans="1:10" s="393" customFormat="1" x14ac:dyDescent="0.25">
      <c r="A808" s="19" t="s">
        <v>19</v>
      </c>
      <c r="B808" s="2">
        <v>43926</v>
      </c>
      <c r="C808" s="1">
        <v>11</v>
      </c>
      <c r="D808" s="39">
        <v>44</v>
      </c>
      <c r="E808" s="1"/>
      <c r="F808" s="39">
        <f t="shared" si="30"/>
        <v>1</v>
      </c>
      <c r="G808" s="395"/>
      <c r="H808" s="395"/>
      <c r="J808" s="42"/>
    </row>
    <row r="809" spans="1:10" s="393" customFormat="1" x14ac:dyDescent="0.25">
      <c r="A809" s="19" t="s">
        <v>18</v>
      </c>
      <c r="B809" s="2">
        <v>43926</v>
      </c>
      <c r="C809" s="1">
        <v>2</v>
      </c>
      <c r="D809" s="39">
        <v>17</v>
      </c>
      <c r="E809" s="1"/>
      <c r="F809" s="39">
        <f t="shared" si="30"/>
        <v>2</v>
      </c>
      <c r="G809" s="395"/>
      <c r="H809" s="395"/>
      <c r="J809" s="42"/>
    </row>
    <row r="810" spans="1:10" s="393" customFormat="1" x14ac:dyDescent="0.25">
      <c r="A810" s="19" t="s">
        <v>34</v>
      </c>
      <c r="B810" s="2">
        <v>43926</v>
      </c>
      <c r="C810" s="1">
        <v>0</v>
      </c>
      <c r="D810" s="39">
        <v>3</v>
      </c>
      <c r="E810" s="1"/>
      <c r="F810" s="39">
        <f t="shared" si="30"/>
        <v>0</v>
      </c>
      <c r="G810" s="395"/>
      <c r="H810" s="395"/>
      <c r="J810" s="42"/>
    </row>
    <row r="811" spans="1:10" s="393" customFormat="1" x14ac:dyDescent="0.25">
      <c r="A811" s="19" t="s">
        <v>35</v>
      </c>
      <c r="B811" s="2">
        <v>43926</v>
      </c>
      <c r="C811" s="1">
        <v>0</v>
      </c>
      <c r="D811" s="39">
        <v>1</v>
      </c>
      <c r="E811" s="1"/>
      <c r="F811" s="39">
        <f t="shared" si="30"/>
        <v>0</v>
      </c>
      <c r="G811" s="395"/>
      <c r="H811" s="395"/>
      <c r="J811" s="42"/>
    </row>
    <row r="812" spans="1:10" s="393" customFormat="1" x14ac:dyDescent="0.25">
      <c r="A812" s="19" t="s">
        <v>36</v>
      </c>
      <c r="B812" s="2">
        <v>43926</v>
      </c>
      <c r="C812" s="1">
        <v>0</v>
      </c>
      <c r="D812" s="39">
        <v>10</v>
      </c>
      <c r="E812" s="1"/>
      <c r="F812" s="39">
        <f t="shared" si="30"/>
        <v>0</v>
      </c>
      <c r="G812" s="395"/>
      <c r="H812" s="395"/>
      <c r="J812" s="42"/>
    </row>
    <row r="813" spans="1:10" s="393" customFormat="1" x14ac:dyDescent="0.25">
      <c r="A813" s="19" t="s">
        <v>37</v>
      </c>
      <c r="B813" s="2">
        <v>43926</v>
      </c>
      <c r="C813" s="1">
        <v>1</v>
      </c>
      <c r="D813" s="39">
        <v>23</v>
      </c>
      <c r="E813" s="1"/>
      <c r="F813" s="39">
        <f t="shared" si="30"/>
        <v>0</v>
      </c>
      <c r="G813" s="395"/>
      <c r="H813" s="395"/>
      <c r="J813" s="42"/>
    </row>
    <row r="814" spans="1:10" s="393" customFormat="1" x14ac:dyDescent="0.25">
      <c r="A814" s="19" t="s">
        <v>22</v>
      </c>
      <c r="B814" s="2">
        <v>43926</v>
      </c>
      <c r="C814" s="1">
        <v>11</v>
      </c>
      <c r="D814" s="39">
        <v>176</v>
      </c>
      <c r="E814" s="1"/>
      <c r="F814" s="39">
        <f>E814+F790</f>
        <v>1</v>
      </c>
      <c r="G814" s="395"/>
      <c r="H814" s="395"/>
      <c r="J814" s="42"/>
    </row>
    <row r="815" spans="1:10" s="393" customFormat="1" x14ac:dyDescent="0.25">
      <c r="A815" s="19" t="s">
        <v>38</v>
      </c>
      <c r="B815" s="2">
        <v>43926</v>
      </c>
      <c r="C815" s="1">
        <v>0</v>
      </c>
      <c r="D815" s="39">
        <v>4</v>
      </c>
      <c r="E815" s="1"/>
      <c r="F815" s="39">
        <f t="shared" si="30"/>
        <v>0</v>
      </c>
      <c r="G815" s="395"/>
      <c r="H815" s="395"/>
      <c r="J815" s="42"/>
    </row>
    <row r="816" spans="1:10" s="393" customFormat="1" x14ac:dyDescent="0.25">
      <c r="A816" s="19" t="s">
        <v>39</v>
      </c>
      <c r="B816" s="2">
        <v>43926</v>
      </c>
      <c r="C816" s="1">
        <v>3</v>
      </c>
      <c r="D816" s="39">
        <v>75</v>
      </c>
      <c r="E816" s="1"/>
      <c r="F816" s="39">
        <f t="shared" si="30"/>
        <v>0</v>
      </c>
      <c r="G816" s="395"/>
      <c r="H816" s="395"/>
      <c r="J816" s="42"/>
    </row>
    <row r="817" spans="1:10" s="393" customFormat="1" x14ac:dyDescent="0.25">
      <c r="A817" s="19" t="s">
        <v>40</v>
      </c>
      <c r="B817" s="2">
        <v>43926</v>
      </c>
      <c r="C817" s="1">
        <v>0</v>
      </c>
      <c r="D817" s="39">
        <v>22</v>
      </c>
      <c r="E817" s="1"/>
      <c r="F817" s="39">
        <f t="shared" si="30"/>
        <v>1</v>
      </c>
      <c r="G817" s="395"/>
      <c r="H817" s="395"/>
      <c r="J817" s="42"/>
    </row>
    <row r="818" spans="1:10" s="393" customFormat="1" x14ac:dyDescent="0.25">
      <c r="A818" s="394" t="s">
        <v>16</v>
      </c>
      <c r="B818" s="2">
        <v>43927</v>
      </c>
      <c r="C818" s="1">
        <v>12</v>
      </c>
      <c r="D818" s="39">
        <v>409</v>
      </c>
      <c r="E818" s="266">
        <v>2</v>
      </c>
      <c r="F818" s="39">
        <f>E818+F794</f>
        <v>19</v>
      </c>
      <c r="G818" s="395"/>
      <c r="H818" s="395"/>
      <c r="J818" s="42"/>
    </row>
    <row r="819" spans="1:10" s="393" customFormat="1" x14ac:dyDescent="0.25">
      <c r="A819" s="19" t="s">
        <v>28</v>
      </c>
      <c r="B819" s="2">
        <v>43927</v>
      </c>
      <c r="C819" s="1">
        <v>0</v>
      </c>
      <c r="D819" s="39">
        <v>0</v>
      </c>
      <c r="E819" s="1"/>
      <c r="F819" s="39">
        <f t="shared" ref="F819:F841" si="31">E819+F795</f>
        <v>0</v>
      </c>
      <c r="G819" s="395"/>
      <c r="H819" s="395"/>
      <c r="J819" s="42"/>
    </row>
    <row r="820" spans="1:10" s="393" customFormat="1" x14ac:dyDescent="0.25">
      <c r="A820" s="19" t="s">
        <v>15</v>
      </c>
      <c r="B820" s="2">
        <v>43927</v>
      </c>
      <c r="C820" s="1">
        <v>4</v>
      </c>
      <c r="D820" s="39">
        <v>119</v>
      </c>
      <c r="E820" s="1"/>
      <c r="F820" s="39">
        <f t="shared" si="31"/>
        <v>6</v>
      </c>
      <c r="G820" s="395"/>
      <c r="H820" s="395"/>
      <c r="J820" s="42"/>
    </row>
    <row r="821" spans="1:10" s="393" customFormat="1" x14ac:dyDescent="0.25">
      <c r="A821" s="19" t="s">
        <v>29</v>
      </c>
      <c r="B821" s="2">
        <v>43927</v>
      </c>
      <c r="C821" s="1">
        <v>0</v>
      </c>
      <c r="D821" s="39">
        <v>0</v>
      </c>
      <c r="E821" s="1"/>
      <c r="F821" s="39">
        <f t="shared" si="31"/>
        <v>1</v>
      </c>
      <c r="G821" s="395"/>
      <c r="H821" s="395"/>
      <c r="J821" s="42"/>
    </row>
    <row r="822" spans="1:10" s="393" customFormat="1" x14ac:dyDescent="0.25">
      <c r="A822" s="19" t="s">
        <v>43</v>
      </c>
      <c r="B822" s="2">
        <v>43927</v>
      </c>
      <c r="C822" s="1">
        <v>17</v>
      </c>
      <c r="D822" s="39">
        <v>456</v>
      </c>
      <c r="E822" s="1">
        <v>3</v>
      </c>
      <c r="F822" s="39">
        <f t="shared" si="31"/>
        <v>10</v>
      </c>
      <c r="G822" s="395"/>
      <c r="H822" s="395"/>
      <c r="J822" s="42"/>
    </row>
    <row r="823" spans="1:10" s="393" customFormat="1" x14ac:dyDescent="0.25">
      <c r="A823" s="19" t="s">
        <v>20</v>
      </c>
      <c r="B823" s="2">
        <v>43927</v>
      </c>
      <c r="C823" s="1">
        <v>7</v>
      </c>
      <c r="D823" s="39">
        <v>146</v>
      </c>
      <c r="E823" s="1"/>
      <c r="F823" s="39">
        <f t="shared" si="31"/>
        <v>2</v>
      </c>
      <c r="G823" s="395"/>
      <c r="H823" s="395"/>
      <c r="J823" s="42"/>
    </row>
    <row r="824" spans="1:10" s="393" customFormat="1" x14ac:dyDescent="0.25">
      <c r="A824" s="19" t="s">
        <v>30</v>
      </c>
      <c r="B824" s="2">
        <v>43927</v>
      </c>
      <c r="C824" s="1">
        <v>2</v>
      </c>
      <c r="D824" s="39">
        <v>24</v>
      </c>
      <c r="E824" s="1"/>
      <c r="F824" s="39">
        <f t="shared" si="31"/>
        <v>0</v>
      </c>
      <c r="G824" s="395"/>
      <c r="H824" s="395"/>
      <c r="J824" s="42"/>
    </row>
    <row r="825" spans="1:10" x14ac:dyDescent="0.25">
      <c r="A825" s="19" t="s">
        <v>31</v>
      </c>
      <c r="B825" s="2">
        <v>43927</v>
      </c>
      <c r="C825" s="1">
        <v>0</v>
      </c>
      <c r="D825" s="39">
        <v>19</v>
      </c>
      <c r="F825" s="39">
        <f t="shared" si="31"/>
        <v>0</v>
      </c>
    </row>
    <row r="826" spans="1:10" s="393" customFormat="1" x14ac:dyDescent="0.25">
      <c r="A826" s="19" t="s">
        <v>41</v>
      </c>
      <c r="B826" s="2">
        <v>43927</v>
      </c>
      <c r="C826" s="1">
        <v>0</v>
      </c>
      <c r="D826" s="39">
        <v>0</v>
      </c>
      <c r="E826" s="1"/>
      <c r="F826" s="39">
        <f t="shared" si="31"/>
        <v>0</v>
      </c>
      <c r="G826" s="395"/>
      <c r="H826" s="395"/>
      <c r="J826" s="42"/>
    </row>
    <row r="827" spans="1:10" s="393" customFormat="1" x14ac:dyDescent="0.25">
      <c r="A827" s="19" t="s">
        <v>32</v>
      </c>
      <c r="B827" s="2">
        <v>43927</v>
      </c>
      <c r="C827" s="1">
        <v>0</v>
      </c>
      <c r="D827" s="39">
        <v>5</v>
      </c>
      <c r="E827" s="1"/>
      <c r="F827" s="39">
        <f t="shared" si="31"/>
        <v>0</v>
      </c>
      <c r="G827" s="395"/>
      <c r="H827" s="395"/>
      <c r="J827" s="42"/>
    </row>
    <row r="828" spans="1:10" s="393" customFormat="1" x14ac:dyDescent="0.25">
      <c r="A828" s="19" t="s">
        <v>33</v>
      </c>
      <c r="B828" s="2">
        <v>43927</v>
      </c>
      <c r="C828" s="1">
        <v>0</v>
      </c>
      <c r="D828" s="39">
        <v>3</v>
      </c>
      <c r="E828" s="1"/>
      <c r="F828" s="39">
        <f t="shared" si="31"/>
        <v>0</v>
      </c>
      <c r="G828" s="395"/>
      <c r="H828" s="395"/>
      <c r="J828" s="42"/>
    </row>
    <row r="829" spans="1:10" s="393" customFormat="1" x14ac:dyDescent="0.25">
      <c r="A829" s="19" t="s">
        <v>21</v>
      </c>
      <c r="B829" s="2">
        <v>43927</v>
      </c>
      <c r="C829" s="1">
        <v>1</v>
      </c>
      <c r="D829" s="39">
        <v>9</v>
      </c>
      <c r="E829" s="1"/>
      <c r="F829" s="39">
        <f t="shared" si="31"/>
        <v>1</v>
      </c>
      <c r="G829" s="395"/>
      <c r="H829" s="395"/>
      <c r="J829" s="42"/>
    </row>
    <row r="830" spans="1:10" s="393" customFormat="1" x14ac:dyDescent="0.25">
      <c r="A830" s="19" t="s">
        <v>17</v>
      </c>
      <c r="B830" s="2">
        <v>43927</v>
      </c>
      <c r="C830" s="1">
        <v>1</v>
      </c>
      <c r="D830" s="39">
        <v>30</v>
      </c>
      <c r="E830" s="1"/>
      <c r="F830" s="39">
        <f t="shared" si="31"/>
        <v>3</v>
      </c>
      <c r="G830" s="395"/>
      <c r="H830" s="395"/>
      <c r="J830" s="42"/>
    </row>
    <row r="831" spans="1:10" s="393" customFormat="1" x14ac:dyDescent="0.25">
      <c r="A831" s="19" t="s">
        <v>23</v>
      </c>
      <c r="B831" s="2">
        <v>43927</v>
      </c>
      <c r="C831" s="1">
        <v>0</v>
      </c>
      <c r="D831" s="39">
        <v>3</v>
      </c>
      <c r="E831" s="1"/>
      <c r="F831" s="39">
        <f t="shared" si="31"/>
        <v>0</v>
      </c>
      <c r="G831" s="395"/>
      <c r="H831" s="395"/>
      <c r="J831" s="42"/>
    </row>
    <row r="832" spans="1:10" s="393" customFormat="1" x14ac:dyDescent="0.25">
      <c r="A832" s="19" t="s">
        <v>19</v>
      </c>
      <c r="B832" s="2">
        <v>43927</v>
      </c>
      <c r="C832" s="1">
        <v>6</v>
      </c>
      <c r="D832" s="39">
        <v>50</v>
      </c>
      <c r="E832" s="1">
        <v>1</v>
      </c>
      <c r="F832" s="39">
        <f t="shared" si="31"/>
        <v>2</v>
      </c>
      <c r="G832" s="395"/>
      <c r="H832" s="395"/>
      <c r="J832" s="42"/>
    </row>
    <row r="833" spans="1:10" s="393" customFormat="1" x14ac:dyDescent="0.25">
      <c r="A833" s="19" t="s">
        <v>18</v>
      </c>
      <c r="B833" s="2">
        <v>43927</v>
      </c>
      <c r="C833" s="1">
        <v>2</v>
      </c>
      <c r="D833" s="39">
        <v>19</v>
      </c>
      <c r="E833" s="1"/>
      <c r="F833" s="39">
        <f t="shared" si="31"/>
        <v>2</v>
      </c>
      <c r="G833" s="395"/>
      <c r="H833" s="395"/>
      <c r="J833" s="42"/>
    </row>
    <row r="834" spans="1:10" s="393" customFormat="1" x14ac:dyDescent="0.25">
      <c r="A834" s="19" t="s">
        <v>34</v>
      </c>
      <c r="B834" s="2">
        <v>43927</v>
      </c>
      <c r="C834" s="1">
        <v>0</v>
      </c>
      <c r="D834" s="39">
        <v>3</v>
      </c>
      <c r="E834" s="1"/>
      <c r="F834" s="39">
        <f t="shared" si="31"/>
        <v>0</v>
      </c>
      <c r="G834" s="395"/>
      <c r="H834" s="395"/>
      <c r="J834" s="42"/>
    </row>
    <row r="835" spans="1:10" s="393" customFormat="1" x14ac:dyDescent="0.25">
      <c r="A835" s="19" t="s">
        <v>35</v>
      </c>
      <c r="B835" s="2">
        <v>43927</v>
      </c>
      <c r="C835" s="1">
        <v>0</v>
      </c>
      <c r="D835" s="39">
        <v>1</v>
      </c>
      <c r="E835" s="1"/>
      <c r="F835" s="39">
        <f t="shared" si="31"/>
        <v>0</v>
      </c>
      <c r="G835" s="395"/>
      <c r="H835" s="395"/>
      <c r="J835" s="42"/>
    </row>
    <row r="836" spans="1:10" s="393" customFormat="1" x14ac:dyDescent="0.25">
      <c r="A836" s="19" t="s">
        <v>36</v>
      </c>
      <c r="B836" s="2">
        <v>43927</v>
      </c>
      <c r="C836" s="1">
        <v>1</v>
      </c>
      <c r="D836" s="39">
        <v>11</v>
      </c>
      <c r="E836" s="1"/>
      <c r="F836" s="39">
        <f t="shared" si="31"/>
        <v>0</v>
      </c>
      <c r="G836" s="395"/>
      <c r="H836" s="395"/>
      <c r="J836" s="42"/>
    </row>
    <row r="837" spans="1:10" s="393" customFormat="1" x14ac:dyDescent="0.25">
      <c r="A837" s="19" t="s">
        <v>37</v>
      </c>
      <c r="B837" s="2">
        <v>43927</v>
      </c>
      <c r="C837" s="1">
        <v>0</v>
      </c>
      <c r="D837" s="39">
        <v>23</v>
      </c>
      <c r="E837" s="1"/>
      <c r="F837" s="39">
        <f t="shared" si="31"/>
        <v>0</v>
      </c>
      <c r="G837" s="395"/>
      <c r="H837" s="395"/>
      <c r="J837" s="42"/>
    </row>
    <row r="838" spans="1:10" s="393" customFormat="1" x14ac:dyDescent="0.25">
      <c r="A838" s="19" t="s">
        <v>22</v>
      </c>
      <c r="B838" s="2">
        <v>43927</v>
      </c>
      <c r="C838" s="1">
        <v>8</v>
      </c>
      <c r="D838" s="39">
        <v>184</v>
      </c>
      <c r="E838" s="1"/>
      <c r="F838" s="39">
        <f>E838+F814</f>
        <v>1</v>
      </c>
      <c r="G838" s="395"/>
      <c r="H838" s="395"/>
      <c r="J838" s="42"/>
    </row>
    <row r="839" spans="1:10" s="393" customFormat="1" x14ac:dyDescent="0.25">
      <c r="A839" s="19" t="s">
        <v>38</v>
      </c>
      <c r="B839" s="2">
        <v>43927</v>
      </c>
      <c r="C839" s="1">
        <v>6</v>
      </c>
      <c r="D839" s="39">
        <v>10</v>
      </c>
      <c r="E839" s="1"/>
      <c r="F839" s="39">
        <f t="shared" si="31"/>
        <v>0</v>
      </c>
      <c r="G839" s="395"/>
      <c r="H839" s="395"/>
      <c r="J839" s="42"/>
    </row>
    <row r="840" spans="1:10" s="393" customFormat="1" x14ac:dyDescent="0.25">
      <c r="A840" s="19" t="s">
        <v>39</v>
      </c>
      <c r="B840" s="2">
        <v>43927</v>
      </c>
      <c r="C840" s="1">
        <v>2</v>
      </c>
      <c r="D840" s="39">
        <v>77</v>
      </c>
      <c r="E840" s="1"/>
      <c r="F840" s="39">
        <f t="shared" si="31"/>
        <v>0</v>
      </c>
      <c r="G840" s="395"/>
      <c r="H840" s="395"/>
      <c r="J840" s="42"/>
    </row>
    <row r="841" spans="1:10" s="393" customFormat="1" x14ac:dyDescent="0.25">
      <c r="A841" s="19" t="s">
        <v>40</v>
      </c>
      <c r="B841" s="2">
        <v>43927</v>
      </c>
      <c r="C841" s="1">
        <v>5</v>
      </c>
      <c r="D841" s="39">
        <v>27</v>
      </c>
      <c r="E841" s="1"/>
      <c r="F841" s="39">
        <f t="shared" si="31"/>
        <v>1</v>
      </c>
      <c r="G841" s="395"/>
      <c r="H841" s="395"/>
      <c r="J841" s="42"/>
    </row>
    <row r="842" spans="1:10" s="393" customFormat="1" x14ac:dyDescent="0.25">
      <c r="A842" s="394" t="s">
        <v>16</v>
      </c>
      <c r="B842" s="2">
        <v>43928</v>
      </c>
      <c r="C842" s="1">
        <v>34</v>
      </c>
      <c r="D842" s="39">
        <v>443</v>
      </c>
      <c r="E842" s="1">
        <v>4</v>
      </c>
      <c r="F842" s="39">
        <f>E842+F818</f>
        <v>23</v>
      </c>
      <c r="G842" s="395"/>
      <c r="H842" s="395"/>
      <c r="J842" s="42"/>
    </row>
    <row r="843" spans="1:10" s="393" customFormat="1" x14ac:dyDescent="0.25">
      <c r="A843" s="19" t="s">
        <v>28</v>
      </c>
      <c r="B843" s="2">
        <v>43928</v>
      </c>
      <c r="C843" s="1">
        <v>0</v>
      </c>
      <c r="D843" s="39">
        <v>0</v>
      </c>
      <c r="E843" s="1"/>
      <c r="F843" s="39">
        <f t="shared" ref="F843:F865" si="32">E843+F819</f>
        <v>0</v>
      </c>
      <c r="G843" s="395"/>
      <c r="H843" s="395"/>
      <c r="J843" s="42"/>
    </row>
    <row r="844" spans="1:10" s="393" customFormat="1" x14ac:dyDescent="0.25">
      <c r="A844" s="19" t="s">
        <v>15</v>
      </c>
      <c r="B844" s="2">
        <v>43928</v>
      </c>
      <c r="C844" s="1">
        <v>4</v>
      </c>
      <c r="D844" s="39">
        <v>123</v>
      </c>
      <c r="E844" s="1"/>
      <c r="F844" s="39">
        <f t="shared" si="32"/>
        <v>6</v>
      </c>
      <c r="G844" s="395"/>
      <c r="H844" s="395"/>
      <c r="J844" s="42"/>
    </row>
    <row r="845" spans="1:10" s="393" customFormat="1" x14ac:dyDescent="0.25">
      <c r="A845" s="19" t="s">
        <v>29</v>
      </c>
      <c r="B845" s="2">
        <v>43928</v>
      </c>
      <c r="C845" s="1">
        <v>0</v>
      </c>
      <c r="D845" s="39">
        <v>0</v>
      </c>
      <c r="E845" s="1"/>
      <c r="F845" s="39">
        <f t="shared" si="32"/>
        <v>1</v>
      </c>
      <c r="G845" s="395"/>
      <c r="H845" s="395"/>
      <c r="J845" s="42"/>
    </row>
    <row r="846" spans="1:10" s="393" customFormat="1" x14ac:dyDescent="0.25">
      <c r="A846" s="19" t="s">
        <v>43</v>
      </c>
      <c r="B846" s="2">
        <v>43928</v>
      </c>
      <c r="C846" s="1">
        <v>24</v>
      </c>
      <c r="D846" s="39">
        <v>480</v>
      </c>
      <c r="E846" s="1">
        <v>2</v>
      </c>
      <c r="F846" s="39">
        <f t="shared" si="32"/>
        <v>12</v>
      </c>
      <c r="G846" s="395"/>
      <c r="H846" s="395"/>
      <c r="J846" s="42"/>
    </row>
    <row r="847" spans="1:10" s="393" customFormat="1" x14ac:dyDescent="0.25">
      <c r="A847" s="19" t="s">
        <v>20</v>
      </c>
      <c r="B847" s="2">
        <v>43928</v>
      </c>
      <c r="C847" s="1">
        <v>4</v>
      </c>
      <c r="D847" s="39">
        <v>150</v>
      </c>
      <c r="E847" s="1"/>
      <c r="F847" s="39">
        <f t="shared" si="32"/>
        <v>2</v>
      </c>
      <c r="G847" s="395"/>
      <c r="H847" s="395"/>
      <c r="J847" s="42"/>
    </row>
    <row r="848" spans="1:10" s="393" customFormat="1" x14ac:dyDescent="0.25">
      <c r="A848" s="19" t="s">
        <v>30</v>
      </c>
      <c r="B848" s="2">
        <v>43928</v>
      </c>
      <c r="C848" s="1">
        <v>0</v>
      </c>
      <c r="D848" s="39">
        <v>24</v>
      </c>
      <c r="E848" s="1"/>
      <c r="F848" s="39">
        <f t="shared" si="32"/>
        <v>0</v>
      </c>
      <c r="G848" s="395"/>
      <c r="H848" s="395"/>
      <c r="J848" s="42"/>
    </row>
    <row r="849" spans="1:10" x14ac:dyDescent="0.25">
      <c r="A849" s="19" t="s">
        <v>31</v>
      </c>
      <c r="B849" s="2">
        <v>43928</v>
      </c>
      <c r="C849" s="1">
        <v>1</v>
      </c>
      <c r="D849" s="39">
        <v>20</v>
      </c>
      <c r="F849" s="39">
        <f t="shared" si="32"/>
        <v>0</v>
      </c>
    </row>
    <row r="850" spans="1:10" s="393" customFormat="1" x14ac:dyDescent="0.25">
      <c r="A850" s="19" t="s">
        <v>41</v>
      </c>
      <c r="B850" s="2">
        <v>43928</v>
      </c>
      <c r="C850" s="1">
        <v>0</v>
      </c>
      <c r="D850" s="39">
        <v>0</v>
      </c>
      <c r="E850" s="1"/>
      <c r="F850" s="39">
        <f t="shared" si="32"/>
        <v>0</v>
      </c>
      <c r="G850" s="395"/>
      <c r="H850" s="395"/>
      <c r="J850" s="42"/>
    </row>
    <row r="851" spans="1:10" s="393" customFormat="1" x14ac:dyDescent="0.25">
      <c r="A851" s="19" t="s">
        <v>32</v>
      </c>
      <c r="B851" s="2">
        <v>43928</v>
      </c>
      <c r="C851" s="1">
        <v>0</v>
      </c>
      <c r="D851" s="39">
        <v>5</v>
      </c>
      <c r="E851" s="1"/>
      <c r="F851" s="39">
        <f t="shared" si="32"/>
        <v>0</v>
      </c>
      <c r="G851" s="395"/>
      <c r="H851" s="395"/>
      <c r="J851" s="42"/>
    </row>
    <row r="852" spans="1:10" s="393" customFormat="1" x14ac:dyDescent="0.25">
      <c r="A852" s="19" t="s">
        <v>33</v>
      </c>
      <c r="B852" s="2">
        <v>43928</v>
      </c>
      <c r="C852" s="1">
        <v>0</v>
      </c>
      <c r="D852" s="39">
        <v>3</v>
      </c>
      <c r="E852" s="1"/>
      <c r="F852" s="39">
        <f t="shared" si="32"/>
        <v>0</v>
      </c>
      <c r="G852" s="395"/>
      <c r="H852" s="395"/>
      <c r="J852" s="42"/>
    </row>
    <row r="853" spans="1:10" s="393" customFormat="1" x14ac:dyDescent="0.25">
      <c r="A853" s="19" t="s">
        <v>21</v>
      </c>
      <c r="B853" s="2">
        <v>43928</v>
      </c>
      <c r="C853" s="1">
        <v>0</v>
      </c>
      <c r="D853" s="39">
        <v>9</v>
      </c>
      <c r="E853" s="1"/>
      <c r="F853" s="39">
        <f t="shared" si="32"/>
        <v>1</v>
      </c>
      <c r="G853" s="395"/>
      <c r="H853" s="395"/>
      <c r="J853" s="42"/>
    </row>
    <row r="854" spans="1:10" s="393" customFormat="1" x14ac:dyDescent="0.25">
      <c r="A854" s="19" t="s">
        <v>17</v>
      </c>
      <c r="B854" s="2">
        <v>43928</v>
      </c>
      <c r="C854" s="1">
        <v>2</v>
      </c>
      <c r="D854" s="39">
        <v>32</v>
      </c>
      <c r="E854" s="1">
        <v>1</v>
      </c>
      <c r="F854" s="39">
        <f t="shared" si="32"/>
        <v>4</v>
      </c>
      <c r="G854" s="395"/>
      <c r="H854" s="395"/>
      <c r="J854" s="42"/>
    </row>
    <row r="855" spans="1:10" s="393" customFormat="1" x14ac:dyDescent="0.25">
      <c r="A855" s="19" t="s">
        <v>23</v>
      </c>
      <c r="B855" s="2">
        <v>43928</v>
      </c>
      <c r="C855" s="1">
        <v>0</v>
      </c>
      <c r="D855" s="39">
        <v>3</v>
      </c>
      <c r="E855" s="1"/>
      <c r="F855" s="39">
        <f t="shared" si="32"/>
        <v>0</v>
      </c>
      <c r="G855" s="395"/>
      <c r="H855" s="395"/>
      <c r="J855" s="42"/>
    </row>
    <row r="856" spans="1:10" s="393" customFormat="1" x14ac:dyDescent="0.25">
      <c r="A856" s="19" t="s">
        <v>19</v>
      </c>
      <c r="B856" s="2">
        <v>43928</v>
      </c>
      <c r="C856" s="1">
        <v>3</v>
      </c>
      <c r="D856" s="39">
        <v>53</v>
      </c>
      <c r="E856" s="1"/>
      <c r="F856" s="39">
        <f t="shared" si="32"/>
        <v>2</v>
      </c>
      <c r="G856" s="395"/>
      <c r="H856" s="395"/>
      <c r="J856" s="42"/>
    </row>
    <row r="857" spans="1:10" s="393" customFormat="1" x14ac:dyDescent="0.25">
      <c r="A857" s="19" t="s">
        <v>18</v>
      </c>
      <c r="B857" s="2">
        <v>43928</v>
      </c>
      <c r="C857" s="1">
        <v>2</v>
      </c>
      <c r="D857" s="39">
        <v>21</v>
      </c>
      <c r="E857" s="1"/>
      <c r="F857" s="39">
        <f t="shared" si="32"/>
        <v>2</v>
      </c>
      <c r="G857" s="395"/>
      <c r="H857" s="395"/>
      <c r="J857" s="42"/>
    </row>
    <row r="858" spans="1:10" s="393" customFormat="1" x14ac:dyDescent="0.25">
      <c r="A858" s="19" t="s">
        <v>34</v>
      </c>
      <c r="B858" s="2">
        <v>43928</v>
      </c>
      <c r="C858" s="1">
        <v>0</v>
      </c>
      <c r="D858" s="39">
        <v>3</v>
      </c>
      <c r="E858" s="1"/>
      <c r="F858" s="39">
        <f t="shared" si="32"/>
        <v>0</v>
      </c>
      <c r="G858" s="395"/>
      <c r="H858" s="395"/>
      <c r="J858" s="42"/>
    </row>
    <row r="859" spans="1:10" s="393" customFormat="1" x14ac:dyDescent="0.25">
      <c r="A859" s="19" t="s">
        <v>35</v>
      </c>
      <c r="B859" s="2">
        <v>43928</v>
      </c>
      <c r="C859" s="1">
        <v>0</v>
      </c>
      <c r="D859" s="39">
        <v>1</v>
      </c>
      <c r="E859" s="1"/>
      <c r="F859" s="39">
        <f t="shared" si="32"/>
        <v>0</v>
      </c>
      <c r="G859" s="395"/>
      <c r="H859" s="395"/>
      <c r="J859" s="42"/>
    </row>
    <row r="860" spans="1:10" s="393" customFormat="1" x14ac:dyDescent="0.25">
      <c r="A860" s="19" t="s">
        <v>36</v>
      </c>
      <c r="B860" s="2">
        <v>43928</v>
      </c>
      <c r="C860" s="1">
        <v>0</v>
      </c>
      <c r="D860" s="39">
        <v>11</v>
      </c>
      <c r="E860" s="1"/>
      <c r="F860" s="39">
        <f t="shared" si="32"/>
        <v>0</v>
      </c>
      <c r="G860" s="395"/>
      <c r="H860" s="395"/>
      <c r="J860" s="42"/>
    </row>
    <row r="861" spans="1:10" s="393" customFormat="1" x14ac:dyDescent="0.25">
      <c r="A861" s="19" t="s">
        <v>37</v>
      </c>
      <c r="B861" s="2">
        <v>43928</v>
      </c>
      <c r="C861" s="1">
        <v>8</v>
      </c>
      <c r="D861" s="39">
        <v>31</v>
      </c>
      <c r="E861" s="1"/>
      <c r="F861" s="39">
        <f t="shared" si="32"/>
        <v>0</v>
      </c>
      <c r="G861" s="395"/>
      <c r="H861" s="395"/>
      <c r="J861" s="42"/>
    </row>
    <row r="862" spans="1:10" s="393" customFormat="1" x14ac:dyDescent="0.25">
      <c r="A862" s="19" t="s">
        <v>22</v>
      </c>
      <c r="B862" s="2">
        <v>43928</v>
      </c>
      <c r="C862" s="1">
        <v>3</v>
      </c>
      <c r="D862" s="39">
        <v>187</v>
      </c>
      <c r="E862" s="1"/>
      <c r="F862" s="39">
        <f>E862+F838</f>
        <v>1</v>
      </c>
      <c r="G862" s="395"/>
      <c r="H862" s="395"/>
      <c r="J862" s="42"/>
    </row>
    <row r="863" spans="1:10" s="393" customFormat="1" x14ac:dyDescent="0.25">
      <c r="A863" s="19" t="s">
        <v>38</v>
      </c>
      <c r="B863" s="2">
        <v>43928</v>
      </c>
      <c r="C863" s="1">
        <v>-1</v>
      </c>
      <c r="D863" s="39">
        <v>9</v>
      </c>
      <c r="E863" s="1"/>
      <c r="F863" s="39">
        <f t="shared" si="32"/>
        <v>0</v>
      </c>
      <c r="G863" s="395"/>
      <c r="H863" s="395"/>
      <c r="J863" s="42"/>
    </row>
    <row r="864" spans="1:10" s="393" customFormat="1" x14ac:dyDescent="0.25">
      <c r="A864" s="19" t="s">
        <v>39</v>
      </c>
      <c r="B864" s="2">
        <v>43928</v>
      </c>
      <c r="C864" s="1">
        <v>2</v>
      </c>
      <c r="D864" s="39">
        <v>79</v>
      </c>
      <c r="E864" s="1"/>
      <c r="F864" s="39">
        <f t="shared" si="32"/>
        <v>0</v>
      </c>
      <c r="G864" s="395"/>
      <c r="H864" s="395"/>
      <c r="J864" s="42"/>
    </row>
    <row r="865" spans="1:10" s="393" customFormat="1" x14ac:dyDescent="0.25">
      <c r="A865" s="19" t="s">
        <v>40</v>
      </c>
      <c r="B865" s="2">
        <v>43928</v>
      </c>
      <c r="C865" s="1">
        <v>1</v>
      </c>
      <c r="D865" s="39">
        <v>28</v>
      </c>
      <c r="E865" s="1"/>
      <c r="F865" s="39">
        <f t="shared" si="32"/>
        <v>1</v>
      </c>
      <c r="G865" s="395"/>
      <c r="H865" s="395"/>
      <c r="J865" s="42"/>
    </row>
    <row r="866" spans="1:10" s="393" customFormat="1" x14ac:dyDescent="0.25">
      <c r="A866" s="394" t="s">
        <v>16</v>
      </c>
      <c r="B866" s="2">
        <v>43929</v>
      </c>
      <c r="C866" s="1">
        <v>17</v>
      </c>
      <c r="D866" s="39">
        <v>460</v>
      </c>
      <c r="E866" s="1">
        <v>1</v>
      </c>
      <c r="F866" s="39">
        <f>E866+F842</f>
        <v>24</v>
      </c>
      <c r="G866" s="395"/>
      <c r="H866" s="395"/>
      <c r="J866" s="42"/>
    </row>
    <row r="867" spans="1:10" s="393" customFormat="1" x14ac:dyDescent="0.25">
      <c r="A867" s="19" t="s">
        <v>28</v>
      </c>
      <c r="B867" s="2">
        <v>43929</v>
      </c>
      <c r="C867" s="1">
        <v>0</v>
      </c>
      <c r="D867" s="39">
        <v>0</v>
      </c>
      <c r="E867" s="1"/>
      <c r="F867" s="39">
        <f t="shared" ref="F867:F889" si="33">E867+F843</f>
        <v>0</v>
      </c>
      <c r="G867" s="395"/>
      <c r="H867" s="395"/>
      <c r="J867" s="42"/>
    </row>
    <row r="868" spans="1:10" s="393" customFormat="1" x14ac:dyDescent="0.25">
      <c r="A868" s="19" t="s">
        <v>15</v>
      </c>
      <c r="B868" s="2">
        <v>43929</v>
      </c>
      <c r="C868" s="1">
        <v>15</v>
      </c>
      <c r="D868" s="39">
        <v>138</v>
      </c>
      <c r="E868" s="1"/>
      <c r="F868" s="39">
        <f t="shared" si="33"/>
        <v>6</v>
      </c>
      <c r="G868" s="395"/>
      <c r="H868" s="395"/>
      <c r="J868" s="42"/>
    </row>
    <row r="869" spans="1:10" s="393" customFormat="1" x14ac:dyDescent="0.25">
      <c r="A869" s="19" t="s">
        <v>29</v>
      </c>
      <c r="B869" s="2">
        <v>43929</v>
      </c>
      <c r="C869" s="1">
        <v>0</v>
      </c>
      <c r="D869" s="39">
        <v>0</v>
      </c>
      <c r="E869" s="1"/>
      <c r="F869" s="39">
        <f t="shared" si="33"/>
        <v>1</v>
      </c>
      <c r="G869" s="395"/>
      <c r="H869" s="395"/>
      <c r="J869" s="42"/>
    </row>
    <row r="870" spans="1:10" s="393" customFormat="1" x14ac:dyDescent="0.25">
      <c r="A870" s="19" t="s">
        <v>43</v>
      </c>
      <c r="B870" s="2">
        <v>43929</v>
      </c>
      <c r="C870" s="1">
        <v>18</v>
      </c>
      <c r="D870" s="39">
        <v>498</v>
      </c>
      <c r="E870" s="1">
        <v>2</v>
      </c>
      <c r="F870" s="39">
        <f t="shared" si="33"/>
        <v>14</v>
      </c>
      <c r="G870" s="395"/>
      <c r="H870" s="395"/>
      <c r="J870" s="42"/>
    </row>
    <row r="871" spans="1:10" s="393" customFormat="1" x14ac:dyDescent="0.25">
      <c r="A871" s="19" t="s">
        <v>20</v>
      </c>
      <c r="B871" s="2">
        <v>43929</v>
      </c>
      <c r="C871" s="1">
        <v>1</v>
      </c>
      <c r="D871" s="39">
        <v>151</v>
      </c>
      <c r="E871" s="1"/>
      <c r="F871" s="39">
        <f t="shared" si="33"/>
        <v>2</v>
      </c>
      <c r="G871" s="395"/>
      <c r="H871" s="395"/>
      <c r="J871" s="42"/>
    </row>
    <row r="872" spans="1:10" s="393" customFormat="1" x14ac:dyDescent="0.25">
      <c r="A872" s="19" t="s">
        <v>30</v>
      </c>
      <c r="B872" s="2">
        <v>43929</v>
      </c>
      <c r="C872" s="1">
        <v>0</v>
      </c>
      <c r="D872" s="39">
        <v>24</v>
      </c>
      <c r="E872" s="1"/>
      <c r="F872" s="39">
        <f t="shared" si="33"/>
        <v>0</v>
      </c>
      <c r="G872" s="395"/>
      <c r="H872" s="395"/>
      <c r="J872" s="42"/>
    </row>
    <row r="873" spans="1:10" x14ac:dyDescent="0.25">
      <c r="A873" s="19" t="s">
        <v>31</v>
      </c>
      <c r="B873" s="2">
        <v>43929</v>
      </c>
      <c r="C873" s="1">
        <v>0</v>
      </c>
      <c r="D873" s="39">
        <v>20</v>
      </c>
      <c r="F873" s="39">
        <f t="shared" si="33"/>
        <v>0</v>
      </c>
    </row>
    <row r="874" spans="1:10" s="393" customFormat="1" x14ac:dyDescent="0.25">
      <c r="A874" s="19" t="s">
        <v>41</v>
      </c>
      <c r="B874" s="2">
        <v>43929</v>
      </c>
      <c r="C874" s="1">
        <v>0</v>
      </c>
      <c r="D874" s="39">
        <v>0</v>
      </c>
      <c r="E874" s="1"/>
      <c r="F874" s="39">
        <f t="shared" si="33"/>
        <v>0</v>
      </c>
      <c r="G874" s="395"/>
      <c r="H874" s="395"/>
      <c r="J874" s="42"/>
    </row>
    <row r="875" spans="1:10" s="393" customFormat="1" x14ac:dyDescent="0.25">
      <c r="A875" s="19" t="s">
        <v>32</v>
      </c>
      <c r="B875" s="2">
        <v>43929</v>
      </c>
      <c r="C875" s="1">
        <v>0</v>
      </c>
      <c r="D875" s="39">
        <v>5</v>
      </c>
      <c r="E875" s="1"/>
      <c r="F875" s="39">
        <f t="shared" si="33"/>
        <v>0</v>
      </c>
      <c r="G875" s="395"/>
      <c r="H875" s="395"/>
      <c r="J875" s="42"/>
    </row>
    <row r="876" spans="1:10" s="393" customFormat="1" x14ac:dyDescent="0.25">
      <c r="A876" s="19" t="s">
        <v>33</v>
      </c>
      <c r="B876" s="2">
        <v>43929</v>
      </c>
      <c r="C876" s="1">
        <v>1</v>
      </c>
      <c r="D876" s="39">
        <v>4</v>
      </c>
      <c r="E876" s="1"/>
      <c r="F876" s="39">
        <f t="shared" si="33"/>
        <v>0</v>
      </c>
      <c r="G876" s="395"/>
      <c r="H876" s="395"/>
      <c r="J876" s="42"/>
    </row>
    <row r="877" spans="1:10" s="393" customFormat="1" x14ac:dyDescent="0.25">
      <c r="A877" s="19" t="s">
        <v>21</v>
      </c>
      <c r="B877" s="2">
        <v>43929</v>
      </c>
      <c r="C877" s="1">
        <v>0</v>
      </c>
      <c r="D877" s="39">
        <v>9</v>
      </c>
      <c r="E877" s="1"/>
      <c r="F877" s="39">
        <f t="shared" si="33"/>
        <v>1</v>
      </c>
      <c r="G877" s="395"/>
      <c r="H877" s="395"/>
      <c r="J877" s="42"/>
    </row>
    <row r="878" spans="1:10" s="393" customFormat="1" x14ac:dyDescent="0.25">
      <c r="A878" s="19" t="s">
        <v>17</v>
      </c>
      <c r="B878" s="2">
        <v>43929</v>
      </c>
      <c r="C878" s="1">
        <v>6</v>
      </c>
      <c r="D878" s="39">
        <v>38</v>
      </c>
      <c r="E878" s="1"/>
      <c r="F878" s="39">
        <f t="shared" si="33"/>
        <v>4</v>
      </c>
      <c r="G878" s="395"/>
      <c r="H878" s="395"/>
      <c r="J878" s="42"/>
    </row>
    <row r="879" spans="1:10" s="393" customFormat="1" x14ac:dyDescent="0.25">
      <c r="A879" s="19" t="s">
        <v>23</v>
      </c>
      <c r="B879" s="2">
        <v>43929</v>
      </c>
      <c r="C879" s="1">
        <v>0</v>
      </c>
      <c r="D879" s="39">
        <v>3</v>
      </c>
      <c r="E879" s="1"/>
      <c r="F879" s="39">
        <f t="shared" si="33"/>
        <v>0</v>
      </c>
      <c r="G879" s="395"/>
      <c r="H879" s="395"/>
      <c r="J879" s="42"/>
    </row>
    <row r="880" spans="1:10" s="393" customFormat="1" x14ac:dyDescent="0.25">
      <c r="A880" s="19" t="s">
        <v>19</v>
      </c>
      <c r="B880" s="2">
        <v>43929</v>
      </c>
      <c r="C880" s="1">
        <v>17</v>
      </c>
      <c r="D880" s="39">
        <v>70</v>
      </c>
      <c r="E880" s="1">
        <v>1</v>
      </c>
      <c r="F880" s="39">
        <f t="shared" si="33"/>
        <v>3</v>
      </c>
      <c r="G880" s="395"/>
      <c r="H880" s="395"/>
      <c r="J880" s="42"/>
    </row>
    <row r="881" spans="1:10" s="393" customFormat="1" x14ac:dyDescent="0.25">
      <c r="A881" s="19" t="s">
        <v>18</v>
      </c>
      <c r="B881" s="2">
        <v>43929</v>
      </c>
      <c r="C881" s="1">
        <v>1</v>
      </c>
      <c r="D881" s="39">
        <v>22</v>
      </c>
      <c r="E881" s="1"/>
      <c r="F881" s="39">
        <f t="shared" si="33"/>
        <v>2</v>
      </c>
      <c r="G881" s="395"/>
      <c r="H881" s="395"/>
      <c r="J881" s="42"/>
    </row>
    <row r="882" spans="1:10" s="393" customFormat="1" x14ac:dyDescent="0.25">
      <c r="A882" s="19" t="s">
        <v>34</v>
      </c>
      <c r="B882" s="2">
        <v>43929</v>
      </c>
      <c r="C882" s="1">
        <v>0</v>
      </c>
      <c r="D882" s="39">
        <v>3</v>
      </c>
      <c r="E882" s="1"/>
      <c r="F882" s="39">
        <f t="shared" si="33"/>
        <v>0</v>
      </c>
      <c r="G882" s="395"/>
      <c r="H882" s="395"/>
      <c r="J882" s="42"/>
    </row>
    <row r="883" spans="1:10" s="393" customFormat="1" x14ac:dyDescent="0.25">
      <c r="A883" s="19" t="s">
        <v>35</v>
      </c>
      <c r="B883" s="2">
        <v>43929</v>
      </c>
      <c r="C883" s="1">
        <v>0</v>
      </c>
      <c r="D883" s="39">
        <v>1</v>
      </c>
      <c r="E883" s="1"/>
      <c r="F883" s="39">
        <f t="shared" si="33"/>
        <v>0</v>
      </c>
      <c r="G883" s="395"/>
      <c r="H883" s="395"/>
      <c r="J883" s="42"/>
    </row>
    <row r="884" spans="1:10" s="393" customFormat="1" x14ac:dyDescent="0.25">
      <c r="A884" s="19" t="s">
        <v>36</v>
      </c>
      <c r="B884" s="2">
        <v>43929</v>
      </c>
      <c r="C884" s="1">
        <v>0</v>
      </c>
      <c r="D884" s="39">
        <v>11</v>
      </c>
      <c r="E884" s="1"/>
      <c r="F884" s="39">
        <f t="shared" si="33"/>
        <v>0</v>
      </c>
      <c r="G884" s="395"/>
      <c r="H884" s="395"/>
      <c r="J884" s="42"/>
    </row>
    <row r="885" spans="1:10" s="393" customFormat="1" x14ac:dyDescent="0.25">
      <c r="A885" s="19" t="s">
        <v>37</v>
      </c>
      <c r="B885" s="2">
        <v>43929</v>
      </c>
      <c r="C885" s="1">
        <v>0</v>
      </c>
      <c r="D885" s="39">
        <v>31</v>
      </c>
      <c r="E885" s="1"/>
      <c r="F885" s="39">
        <f t="shared" si="33"/>
        <v>0</v>
      </c>
      <c r="G885" s="395"/>
      <c r="H885" s="395"/>
      <c r="J885" s="42"/>
    </row>
    <row r="886" spans="1:10" s="393" customFormat="1" x14ac:dyDescent="0.25">
      <c r="A886" s="19" t="s">
        <v>22</v>
      </c>
      <c r="B886" s="2">
        <v>43929</v>
      </c>
      <c r="C886" s="1">
        <v>2</v>
      </c>
      <c r="D886" s="39">
        <v>189</v>
      </c>
      <c r="E886" s="1"/>
      <c r="F886" s="39">
        <f>E886+F862</f>
        <v>1</v>
      </c>
      <c r="G886" s="395"/>
      <c r="H886" s="395"/>
      <c r="J886" s="42"/>
    </row>
    <row r="887" spans="1:10" s="393" customFormat="1" x14ac:dyDescent="0.25">
      <c r="A887" s="19" t="s">
        <v>38</v>
      </c>
      <c r="B887" s="2">
        <v>43929</v>
      </c>
      <c r="C887" s="1">
        <v>0</v>
      </c>
      <c r="D887" s="39">
        <v>9</v>
      </c>
      <c r="E887" s="1"/>
      <c r="F887" s="39">
        <f t="shared" si="33"/>
        <v>0</v>
      </c>
      <c r="G887" s="395"/>
      <c r="H887" s="395"/>
      <c r="J887" s="42"/>
    </row>
    <row r="888" spans="1:10" s="393" customFormat="1" x14ac:dyDescent="0.25">
      <c r="A888" s="19" t="s">
        <v>39</v>
      </c>
      <c r="B888" s="2">
        <v>43929</v>
      </c>
      <c r="C888" s="1">
        <v>2</v>
      </c>
      <c r="D888" s="39">
        <v>81</v>
      </c>
      <c r="E888" s="1"/>
      <c r="F888" s="39">
        <f t="shared" si="33"/>
        <v>0</v>
      </c>
      <c r="G888" s="395"/>
      <c r="H888" s="395"/>
      <c r="J888" s="42"/>
    </row>
    <row r="889" spans="1:10" s="393" customFormat="1" x14ac:dyDescent="0.25">
      <c r="A889" s="19" t="s">
        <v>40</v>
      </c>
      <c r="B889" s="2">
        <v>43929</v>
      </c>
      <c r="C889" s="1">
        <v>0</v>
      </c>
      <c r="D889" s="39">
        <v>28</v>
      </c>
      <c r="E889" s="1">
        <v>1</v>
      </c>
      <c r="F889" s="39">
        <f t="shared" si="33"/>
        <v>2</v>
      </c>
      <c r="G889" s="395"/>
      <c r="H889" s="395"/>
      <c r="J889" s="42"/>
    </row>
    <row r="890" spans="1:10" s="393" customFormat="1" x14ac:dyDescent="0.25">
      <c r="A890" s="394" t="s">
        <v>16</v>
      </c>
      <c r="B890" s="2">
        <v>43930</v>
      </c>
      <c r="C890" s="1">
        <v>28</v>
      </c>
      <c r="D890" s="39">
        <v>488</v>
      </c>
      <c r="E890" s="1">
        <v>6</v>
      </c>
      <c r="F890" s="39">
        <f>E890+F866</f>
        <v>30</v>
      </c>
      <c r="G890" s="395"/>
      <c r="H890" s="395"/>
      <c r="J890" s="42"/>
    </row>
    <row r="891" spans="1:10" s="393" customFormat="1" x14ac:dyDescent="0.25">
      <c r="A891" s="19" t="s">
        <v>28</v>
      </c>
      <c r="B891" s="2">
        <v>43930</v>
      </c>
      <c r="C891" s="1">
        <v>0</v>
      </c>
      <c r="D891" s="39">
        <v>0</v>
      </c>
      <c r="E891" s="1"/>
      <c r="F891" s="39">
        <f t="shared" ref="F891:F913" si="34">E891+F867</f>
        <v>0</v>
      </c>
      <c r="G891" s="395"/>
      <c r="H891" s="395"/>
      <c r="J891" s="42"/>
    </row>
    <row r="892" spans="1:10" s="393" customFormat="1" x14ac:dyDescent="0.25">
      <c r="A892" s="19" t="s">
        <v>15</v>
      </c>
      <c r="B892" s="2">
        <v>43930</v>
      </c>
      <c r="C892" s="1">
        <v>6</v>
      </c>
      <c r="D892" s="39">
        <v>144</v>
      </c>
      <c r="E892" s="1">
        <v>1</v>
      </c>
      <c r="F892" s="39">
        <f t="shared" si="34"/>
        <v>7</v>
      </c>
      <c r="G892" s="395"/>
      <c r="H892" s="395"/>
      <c r="J892" s="42"/>
    </row>
    <row r="893" spans="1:10" s="393" customFormat="1" x14ac:dyDescent="0.25">
      <c r="A893" s="19" t="s">
        <v>29</v>
      </c>
      <c r="B893" s="2">
        <v>43930</v>
      </c>
      <c r="C893" s="1">
        <v>0</v>
      </c>
      <c r="D893" s="39">
        <v>0</v>
      </c>
      <c r="E893" s="1"/>
      <c r="F893" s="39">
        <f t="shared" si="34"/>
        <v>1</v>
      </c>
      <c r="G893" s="395"/>
      <c r="H893" s="395"/>
      <c r="J893" s="42"/>
    </row>
    <row r="894" spans="1:10" s="393" customFormat="1" x14ac:dyDescent="0.25">
      <c r="A894" s="19" t="s">
        <v>43</v>
      </c>
      <c r="B894" s="2">
        <v>43930</v>
      </c>
      <c r="C894" s="1">
        <v>23</v>
      </c>
      <c r="D894" s="39">
        <v>521</v>
      </c>
      <c r="E894" s="1">
        <v>6</v>
      </c>
      <c r="F894" s="39">
        <f t="shared" si="34"/>
        <v>20</v>
      </c>
      <c r="G894" s="395"/>
      <c r="H894" s="395"/>
      <c r="J894" s="42"/>
    </row>
    <row r="895" spans="1:10" s="393" customFormat="1" x14ac:dyDescent="0.25">
      <c r="A895" s="19" t="s">
        <v>20</v>
      </c>
      <c r="B895" s="2">
        <v>43930</v>
      </c>
      <c r="C895" s="1">
        <v>5</v>
      </c>
      <c r="D895" s="39">
        <v>156</v>
      </c>
      <c r="E895" s="1"/>
      <c r="F895" s="39">
        <f t="shared" si="34"/>
        <v>2</v>
      </c>
      <c r="G895" s="395"/>
      <c r="H895" s="395"/>
      <c r="J895" s="42"/>
    </row>
    <row r="896" spans="1:10" s="393" customFormat="1" x14ac:dyDescent="0.25">
      <c r="A896" s="19" t="s">
        <v>30</v>
      </c>
      <c r="B896" s="2">
        <v>43930</v>
      </c>
      <c r="C896" s="1">
        <v>0</v>
      </c>
      <c r="D896" s="39">
        <v>24</v>
      </c>
      <c r="E896" s="1"/>
      <c r="F896" s="39">
        <f t="shared" si="34"/>
        <v>0</v>
      </c>
      <c r="G896" s="395"/>
      <c r="H896" s="395"/>
      <c r="J896" s="42"/>
    </row>
    <row r="897" spans="1:10" x14ac:dyDescent="0.25">
      <c r="A897" s="19" t="s">
        <v>31</v>
      </c>
      <c r="B897" s="2">
        <v>43930</v>
      </c>
      <c r="C897" s="1">
        <v>2</v>
      </c>
      <c r="D897" s="39">
        <v>22</v>
      </c>
      <c r="F897" s="39">
        <f t="shared" si="34"/>
        <v>0</v>
      </c>
    </row>
    <row r="898" spans="1:10" s="393" customFormat="1" x14ac:dyDescent="0.25">
      <c r="A898" s="19" t="s">
        <v>41</v>
      </c>
      <c r="B898" s="2">
        <v>43930</v>
      </c>
      <c r="C898" s="1">
        <v>0</v>
      </c>
      <c r="D898" s="39">
        <v>0</v>
      </c>
      <c r="E898" s="1"/>
      <c r="F898" s="39">
        <f t="shared" si="34"/>
        <v>0</v>
      </c>
      <c r="G898" s="395"/>
      <c r="H898" s="395"/>
      <c r="J898" s="42"/>
    </row>
    <row r="899" spans="1:10" s="393" customFormat="1" x14ac:dyDescent="0.25">
      <c r="A899" s="19" t="s">
        <v>32</v>
      </c>
      <c r="B899" s="2">
        <v>43930</v>
      </c>
      <c r="C899" s="1">
        <v>0</v>
      </c>
      <c r="D899" s="39">
        <v>5</v>
      </c>
      <c r="E899" s="1"/>
      <c r="F899" s="39">
        <f t="shared" si="34"/>
        <v>0</v>
      </c>
      <c r="G899" s="395"/>
      <c r="H899" s="395"/>
      <c r="J899" s="42"/>
    </row>
    <row r="900" spans="1:10" s="393" customFormat="1" x14ac:dyDescent="0.25">
      <c r="A900" s="19" t="s">
        <v>33</v>
      </c>
      <c r="B900" s="2">
        <v>43930</v>
      </c>
      <c r="C900" s="1">
        <v>0</v>
      </c>
      <c r="D900" s="39">
        <v>4</v>
      </c>
      <c r="E900" s="1"/>
      <c r="F900" s="39">
        <f t="shared" si="34"/>
        <v>0</v>
      </c>
      <c r="G900" s="395"/>
      <c r="H900" s="395"/>
      <c r="J900" s="42"/>
    </row>
    <row r="901" spans="1:10" s="393" customFormat="1" x14ac:dyDescent="0.25">
      <c r="A901" s="19" t="s">
        <v>21</v>
      </c>
      <c r="B901" s="2">
        <v>43930</v>
      </c>
      <c r="C901" s="1">
        <v>5</v>
      </c>
      <c r="D901" s="39">
        <v>14</v>
      </c>
      <c r="E901" s="1"/>
      <c r="F901" s="39">
        <f t="shared" si="34"/>
        <v>1</v>
      </c>
      <c r="G901" s="395"/>
      <c r="H901" s="395"/>
      <c r="J901" s="42"/>
    </row>
    <row r="902" spans="1:10" s="393" customFormat="1" x14ac:dyDescent="0.25">
      <c r="A902" s="19" t="s">
        <v>17</v>
      </c>
      <c r="B902" s="2">
        <v>43930</v>
      </c>
      <c r="C902" s="1">
        <v>2</v>
      </c>
      <c r="D902" s="39">
        <v>40</v>
      </c>
      <c r="E902" s="1"/>
      <c r="F902" s="39">
        <f t="shared" si="34"/>
        <v>4</v>
      </c>
      <c r="G902" s="395"/>
      <c r="H902" s="395"/>
      <c r="J902" s="42"/>
    </row>
    <row r="903" spans="1:10" s="393" customFormat="1" x14ac:dyDescent="0.25">
      <c r="A903" s="19" t="s">
        <v>23</v>
      </c>
      <c r="B903" s="2">
        <v>43930</v>
      </c>
      <c r="C903" s="1">
        <v>0</v>
      </c>
      <c r="D903" s="39">
        <v>3</v>
      </c>
      <c r="E903" s="1"/>
      <c r="F903" s="39">
        <f t="shared" si="34"/>
        <v>0</v>
      </c>
      <c r="G903" s="395"/>
      <c r="H903" s="395"/>
      <c r="J903" s="42"/>
    </row>
    <row r="904" spans="1:10" s="393" customFormat="1" x14ac:dyDescent="0.25">
      <c r="A904" s="19" t="s">
        <v>19</v>
      </c>
      <c r="B904" s="2">
        <v>43930</v>
      </c>
      <c r="C904" s="1">
        <v>7</v>
      </c>
      <c r="D904" s="39">
        <v>77</v>
      </c>
      <c r="E904" s="1"/>
      <c r="F904" s="39">
        <f t="shared" si="34"/>
        <v>3</v>
      </c>
      <c r="G904" s="395"/>
      <c r="H904" s="395"/>
      <c r="J904" s="42"/>
    </row>
    <row r="905" spans="1:10" s="393" customFormat="1" x14ac:dyDescent="0.25">
      <c r="A905" s="19" t="s">
        <v>18</v>
      </c>
      <c r="B905" s="2">
        <v>43930</v>
      </c>
      <c r="C905" s="1">
        <v>13</v>
      </c>
      <c r="D905" s="39">
        <v>35</v>
      </c>
      <c r="E905" s="1"/>
      <c r="F905" s="39">
        <f t="shared" si="34"/>
        <v>2</v>
      </c>
      <c r="G905" s="395"/>
      <c r="H905" s="395"/>
      <c r="J905" s="42"/>
    </row>
    <row r="906" spans="1:10" s="393" customFormat="1" x14ac:dyDescent="0.25">
      <c r="A906" s="19" t="s">
        <v>34</v>
      </c>
      <c r="B906" s="2">
        <v>43930</v>
      </c>
      <c r="C906" s="1">
        <v>0</v>
      </c>
      <c r="D906" s="39">
        <v>3</v>
      </c>
      <c r="E906" s="1"/>
      <c r="F906" s="39">
        <f t="shared" si="34"/>
        <v>0</v>
      </c>
      <c r="G906" s="395"/>
      <c r="H906" s="395"/>
      <c r="J906" s="42"/>
    </row>
    <row r="907" spans="1:10" s="393" customFormat="1" x14ac:dyDescent="0.25">
      <c r="A907" s="19" t="s">
        <v>35</v>
      </c>
      <c r="B907" s="2">
        <v>43930</v>
      </c>
      <c r="C907" s="1">
        <v>0</v>
      </c>
      <c r="D907" s="39">
        <v>1</v>
      </c>
      <c r="E907" s="1"/>
      <c r="F907" s="39">
        <f t="shared" si="34"/>
        <v>0</v>
      </c>
      <c r="G907" s="395"/>
      <c r="H907" s="395"/>
      <c r="J907" s="42"/>
    </row>
    <row r="908" spans="1:10" s="393" customFormat="1" x14ac:dyDescent="0.25">
      <c r="A908" s="19" t="s">
        <v>36</v>
      </c>
      <c r="B908" s="2">
        <v>43930</v>
      </c>
      <c r="C908" s="1">
        <v>0</v>
      </c>
      <c r="D908" s="39">
        <v>11</v>
      </c>
      <c r="E908" s="1"/>
      <c r="F908" s="39">
        <f t="shared" si="34"/>
        <v>0</v>
      </c>
      <c r="G908" s="395"/>
      <c r="H908" s="395"/>
      <c r="J908" s="42"/>
    </row>
    <row r="909" spans="1:10" s="393" customFormat="1" x14ac:dyDescent="0.25">
      <c r="A909" s="19" t="s">
        <v>37</v>
      </c>
      <c r="B909" s="2">
        <v>43930</v>
      </c>
      <c r="C909" s="1">
        <v>0</v>
      </c>
      <c r="D909" s="39">
        <v>31</v>
      </c>
      <c r="E909" s="1"/>
      <c r="F909" s="39">
        <f t="shared" si="34"/>
        <v>0</v>
      </c>
      <c r="G909" s="395"/>
      <c r="H909" s="395"/>
      <c r="J909" s="42"/>
    </row>
    <row r="910" spans="1:10" s="393" customFormat="1" x14ac:dyDescent="0.25">
      <c r="A910" s="19" t="s">
        <v>22</v>
      </c>
      <c r="B910" s="2">
        <v>43930</v>
      </c>
      <c r="C910" s="1">
        <v>7</v>
      </c>
      <c r="D910" s="39">
        <v>196</v>
      </c>
      <c r="E910" s="1">
        <v>1</v>
      </c>
      <c r="F910" s="39">
        <f>E910+F886</f>
        <v>2</v>
      </c>
      <c r="G910" s="395"/>
      <c r="H910" s="395"/>
      <c r="J910" s="42"/>
    </row>
    <row r="911" spans="1:10" s="393" customFormat="1" x14ac:dyDescent="0.25">
      <c r="A911" s="19" t="s">
        <v>38</v>
      </c>
      <c r="B911" s="2">
        <v>43930</v>
      </c>
      <c r="C911" s="1">
        <v>0</v>
      </c>
      <c r="D911" s="39">
        <v>9</v>
      </c>
      <c r="E911" s="1"/>
      <c r="F911" s="39">
        <f t="shared" si="34"/>
        <v>0</v>
      </c>
      <c r="G911" s="395"/>
      <c r="H911" s="395"/>
      <c r="J911" s="42"/>
    </row>
    <row r="912" spans="1:10" s="393" customFormat="1" x14ac:dyDescent="0.25">
      <c r="A912" s="19" t="s">
        <v>39</v>
      </c>
      <c r="B912" s="2">
        <v>43930</v>
      </c>
      <c r="C912" s="1">
        <v>0</v>
      </c>
      <c r="D912" s="39">
        <v>81</v>
      </c>
      <c r="E912" s="1"/>
      <c r="F912" s="39">
        <f t="shared" si="34"/>
        <v>0</v>
      </c>
      <c r="G912" s="395"/>
      <c r="H912" s="395"/>
      <c r="J912" s="42"/>
    </row>
    <row r="913" spans="1:10" s="393" customFormat="1" x14ac:dyDescent="0.25">
      <c r="A913" s="19" t="s">
        <v>40</v>
      </c>
      <c r="B913" s="2">
        <v>43930</v>
      </c>
      <c r="C913" s="1">
        <v>1</v>
      </c>
      <c r="D913" s="39">
        <v>29</v>
      </c>
      <c r="E913" s="1"/>
      <c r="F913" s="39">
        <f t="shared" si="34"/>
        <v>2</v>
      </c>
      <c r="G913" s="395"/>
      <c r="H913" s="395"/>
      <c r="J913" s="42"/>
    </row>
    <row r="914" spans="1:10" s="393" customFormat="1" x14ac:dyDescent="0.25">
      <c r="A914" s="394" t="s">
        <v>16</v>
      </c>
      <c r="B914" s="2">
        <v>43931</v>
      </c>
      <c r="C914" s="1">
        <v>19</v>
      </c>
      <c r="D914" s="39">
        <v>507</v>
      </c>
      <c r="E914" s="1">
        <v>1</v>
      </c>
      <c r="F914" s="39">
        <f>E914+F890</f>
        <v>31</v>
      </c>
      <c r="G914" s="395"/>
      <c r="H914" s="395"/>
      <c r="J914" s="42"/>
    </row>
    <row r="915" spans="1:10" s="393" customFormat="1" x14ac:dyDescent="0.25">
      <c r="A915" s="19" t="s">
        <v>28</v>
      </c>
      <c r="B915" s="2">
        <v>43931</v>
      </c>
      <c r="C915" s="1">
        <v>0</v>
      </c>
      <c r="D915" s="39">
        <v>0</v>
      </c>
      <c r="E915" s="1"/>
      <c r="F915" s="39">
        <f t="shared" ref="F915:F937" si="35">E915+F891</f>
        <v>0</v>
      </c>
      <c r="G915" s="395"/>
      <c r="H915" s="395"/>
      <c r="J915" s="42"/>
    </row>
    <row r="916" spans="1:10" s="393" customFormat="1" x14ac:dyDescent="0.25">
      <c r="A916" s="19" t="s">
        <v>15</v>
      </c>
      <c r="B916" s="2">
        <v>43931</v>
      </c>
      <c r="C916" s="1">
        <v>5</v>
      </c>
      <c r="D916" s="39">
        <v>149</v>
      </c>
      <c r="E916" s="1"/>
      <c r="F916" s="39">
        <f t="shared" si="35"/>
        <v>7</v>
      </c>
      <c r="G916" s="395"/>
      <c r="H916" s="395"/>
      <c r="J916" s="42"/>
    </row>
    <row r="917" spans="1:10" s="393" customFormat="1" x14ac:dyDescent="0.25">
      <c r="A917" s="19" t="s">
        <v>29</v>
      </c>
      <c r="B917" s="2">
        <v>43931</v>
      </c>
      <c r="C917" s="1">
        <v>0</v>
      </c>
      <c r="D917" s="39">
        <v>0</v>
      </c>
      <c r="E917" s="1"/>
      <c r="F917" s="39">
        <f t="shared" si="35"/>
        <v>1</v>
      </c>
      <c r="G917" s="395"/>
      <c r="H917" s="395"/>
      <c r="J917" s="42"/>
    </row>
    <row r="918" spans="1:10" s="393" customFormat="1" x14ac:dyDescent="0.25">
      <c r="A918" s="19" t="s">
        <v>43</v>
      </c>
      <c r="B918" s="2">
        <v>43931</v>
      </c>
      <c r="C918" s="1">
        <v>11</v>
      </c>
      <c r="D918" s="39">
        <v>532</v>
      </c>
      <c r="E918" s="1">
        <v>1</v>
      </c>
      <c r="F918" s="39">
        <f t="shared" si="35"/>
        <v>21</v>
      </c>
      <c r="G918" s="395"/>
      <c r="H918" s="395"/>
      <c r="J918" s="42"/>
    </row>
    <row r="919" spans="1:10" s="393" customFormat="1" x14ac:dyDescent="0.25">
      <c r="A919" s="19" t="s">
        <v>20</v>
      </c>
      <c r="B919" s="2">
        <v>43931</v>
      </c>
      <c r="C919" s="1">
        <v>13</v>
      </c>
      <c r="D919" s="39">
        <v>169</v>
      </c>
      <c r="E919" s="1"/>
      <c r="F919" s="39">
        <f t="shared" si="35"/>
        <v>2</v>
      </c>
      <c r="G919" s="395"/>
      <c r="H919" s="395"/>
      <c r="J919" s="42"/>
    </row>
    <row r="920" spans="1:10" s="393" customFormat="1" x14ac:dyDescent="0.25">
      <c r="A920" s="19" t="s">
        <v>30</v>
      </c>
      <c r="B920" s="2">
        <v>43931</v>
      </c>
      <c r="C920" s="1">
        <v>0</v>
      </c>
      <c r="D920" s="39">
        <v>24</v>
      </c>
      <c r="E920" s="1"/>
      <c r="F920" s="39">
        <f t="shared" si="35"/>
        <v>0</v>
      </c>
      <c r="G920" s="395"/>
      <c r="H920" s="395"/>
      <c r="J920" s="42"/>
    </row>
    <row r="921" spans="1:10" x14ac:dyDescent="0.25">
      <c r="A921" s="19" t="s">
        <v>31</v>
      </c>
      <c r="B921" s="2">
        <v>43931</v>
      </c>
      <c r="C921" s="1">
        <v>0</v>
      </c>
      <c r="D921" s="39">
        <v>22</v>
      </c>
      <c r="F921" s="39">
        <f t="shared" si="35"/>
        <v>0</v>
      </c>
    </row>
    <row r="922" spans="1:10" s="393" customFormat="1" x14ac:dyDescent="0.25">
      <c r="A922" s="19" t="s">
        <v>41</v>
      </c>
      <c r="B922" s="2">
        <v>43931</v>
      </c>
      <c r="C922" s="1">
        <v>0</v>
      </c>
      <c r="D922" s="39">
        <v>0</v>
      </c>
      <c r="E922" s="1"/>
      <c r="F922" s="39">
        <f t="shared" si="35"/>
        <v>0</v>
      </c>
      <c r="G922" s="395"/>
      <c r="H922" s="395"/>
      <c r="J922" s="42"/>
    </row>
    <row r="923" spans="1:10" s="393" customFormat="1" x14ac:dyDescent="0.25">
      <c r="A923" s="19" t="s">
        <v>32</v>
      </c>
      <c r="B923" s="2">
        <v>43931</v>
      </c>
      <c r="C923" s="1">
        <v>0</v>
      </c>
      <c r="D923" s="39">
        <v>5</v>
      </c>
      <c r="E923" s="1"/>
      <c r="F923" s="39">
        <f t="shared" si="35"/>
        <v>0</v>
      </c>
      <c r="G923" s="395"/>
      <c r="H923" s="395"/>
      <c r="J923" s="42"/>
    </row>
    <row r="924" spans="1:10" s="393" customFormat="1" x14ac:dyDescent="0.25">
      <c r="A924" s="19" t="s">
        <v>33</v>
      </c>
      <c r="B924" s="2">
        <v>43931</v>
      </c>
      <c r="C924" s="1">
        <v>1</v>
      </c>
      <c r="D924" s="39">
        <v>5</v>
      </c>
      <c r="E924" s="1"/>
      <c r="F924" s="39">
        <f t="shared" si="35"/>
        <v>0</v>
      </c>
      <c r="G924" s="395"/>
      <c r="H924" s="395"/>
      <c r="J924" s="42"/>
    </row>
    <row r="925" spans="1:10" s="393" customFormat="1" x14ac:dyDescent="0.25">
      <c r="A925" s="19" t="s">
        <v>21</v>
      </c>
      <c r="B925" s="2">
        <v>43931</v>
      </c>
      <c r="C925" s="1">
        <v>0</v>
      </c>
      <c r="D925" s="39">
        <v>14</v>
      </c>
      <c r="E925" s="1"/>
      <c r="F925" s="39">
        <f t="shared" si="35"/>
        <v>1</v>
      </c>
      <c r="G925" s="395"/>
      <c r="H925" s="395"/>
      <c r="J925" s="42"/>
    </row>
    <row r="926" spans="1:10" s="393" customFormat="1" x14ac:dyDescent="0.25">
      <c r="A926" s="19" t="s">
        <v>17</v>
      </c>
      <c r="B926" s="2">
        <v>43931</v>
      </c>
      <c r="C926" s="1">
        <v>9</v>
      </c>
      <c r="D926" s="39">
        <v>49</v>
      </c>
      <c r="E926" s="1"/>
      <c r="F926" s="39">
        <f t="shared" si="35"/>
        <v>4</v>
      </c>
      <c r="G926" s="395"/>
      <c r="H926" s="395"/>
      <c r="J926" s="42"/>
    </row>
    <row r="927" spans="1:10" s="393" customFormat="1" x14ac:dyDescent="0.25">
      <c r="A927" s="19" t="s">
        <v>23</v>
      </c>
      <c r="B927" s="2">
        <v>43931</v>
      </c>
      <c r="C927" s="1">
        <v>0</v>
      </c>
      <c r="D927" s="39">
        <v>3</v>
      </c>
      <c r="E927" s="1"/>
      <c r="F927" s="39">
        <f t="shared" si="35"/>
        <v>0</v>
      </c>
      <c r="G927" s="395"/>
      <c r="H927" s="395"/>
      <c r="J927" s="42"/>
    </row>
    <row r="928" spans="1:10" s="393" customFormat="1" x14ac:dyDescent="0.25">
      <c r="A928" s="19" t="s">
        <v>19</v>
      </c>
      <c r="B928" s="2">
        <v>43931</v>
      </c>
      <c r="C928" s="1">
        <v>7</v>
      </c>
      <c r="D928" s="39">
        <v>84</v>
      </c>
      <c r="E928" s="1"/>
      <c r="F928" s="39">
        <f t="shared" si="35"/>
        <v>3</v>
      </c>
      <c r="G928" s="395"/>
      <c r="H928" s="395"/>
      <c r="J928" s="42"/>
    </row>
    <row r="929" spans="1:10" s="393" customFormat="1" x14ac:dyDescent="0.25">
      <c r="A929" s="19" t="s">
        <v>18</v>
      </c>
      <c r="B929" s="2">
        <v>43931</v>
      </c>
      <c r="C929" s="1">
        <v>7</v>
      </c>
      <c r="D929" s="39">
        <v>42</v>
      </c>
      <c r="E929" s="1">
        <v>1</v>
      </c>
      <c r="F929" s="39">
        <f t="shared" si="35"/>
        <v>3</v>
      </c>
      <c r="G929" s="395"/>
      <c r="H929" s="395"/>
      <c r="J929" s="42"/>
    </row>
    <row r="930" spans="1:10" s="393" customFormat="1" x14ac:dyDescent="0.25">
      <c r="A930" s="19" t="s">
        <v>34</v>
      </c>
      <c r="B930" s="2">
        <v>43931</v>
      </c>
      <c r="C930" s="1">
        <v>0</v>
      </c>
      <c r="D930" s="39">
        <v>3</v>
      </c>
      <c r="E930" s="1"/>
      <c r="F930" s="39">
        <f t="shared" si="35"/>
        <v>0</v>
      </c>
      <c r="G930" s="395"/>
      <c r="H930" s="395"/>
      <c r="J930" s="42"/>
    </row>
    <row r="931" spans="1:10" s="393" customFormat="1" x14ac:dyDescent="0.25">
      <c r="A931" s="19" t="s">
        <v>35</v>
      </c>
      <c r="B931" s="2">
        <v>43931</v>
      </c>
      <c r="C931" s="1">
        <v>0</v>
      </c>
      <c r="D931" s="39">
        <v>1</v>
      </c>
      <c r="E931" s="1"/>
      <c r="F931" s="39">
        <f t="shared" si="35"/>
        <v>0</v>
      </c>
      <c r="G931" s="395"/>
      <c r="H931" s="395"/>
      <c r="J931" s="42"/>
    </row>
    <row r="932" spans="1:10" s="393" customFormat="1" x14ac:dyDescent="0.25">
      <c r="A932" s="19" t="s">
        <v>36</v>
      </c>
      <c r="B932" s="2">
        <v>43931</v>
      </c>
      <c r="C932" s="1">
        <v>0</v>
      </c>
      <c r="D932" s="39">
        <v>11</v>
      </c>
      <c r="E932" s="1"/>
      <c r="F932" s="39">
        <f t="shared" si="35"/>
        <v>0</v>
      </c>
      <c r="G932" s="395"/>
      <c r="H932" s="395"/>
      <c r="J932" s="42"/>
    </row>
    <row r="933" spans="1:10" s="393" customFormat="1" x14ac:dyDescent="0.25">
      <c r="A933" s="19" t="s">
        <v>37</v>
      </c>
      <c r="B933" s="2">
        <v>43931</v>
      </c>
      <c r="C933" s="1">
        <v>6</v>
      </c>
      <c r="D933" s="39">
        <v>37</v>
      </c>
      <c r="E933" s="1"/>
      <c r="F933" s="39">
        <f t="shared" si="35"/>
        <v>0</v>
      </c>
      <c r="G933" s="395"/>
      <c r="H933" s="395"/>
      <c r="J933" s="42"/>
    </row>
    <row r="934" spans="1:10" s="393" customFormat="1" x14ac:dyDescent="0.25">
      <c r="A934" s="19" t="s">
        <v>22</v>
      </c>
      <c r="B934" s="2">
        <v>43931</v>
      </c>
      <c r="C934" s="1">
        <v>1</v>
      </c>
      <c r="D934" s="39">
        <v>197</v>
      </c>
      <c r="E934" s="1"/>
      <c r="F934" s="39">
        <f>E934+F910</f>
        <v>2</v>
      </c>
      <c r="G934" s="395"/>
      <c r="H934" s="395"/>
      <c r="J934" s="42"/>
    </row>
    <row r="935" spans="1:10" s="393" customFormat="1" x14ac:dyDescent="0.25">
      <c r="A935" s="19" t="s">
        <v>38</v>
      </c>
      <c r="B935" s="2">
        <v>43931</v>
      </c>
      <c r="C935" s="1">
        <v>0</v>
      </c>
      <c r="D935" s="39">
        <v>9</v>
      </c>
      <c r="E935" s="1"/>
      <c r="F935" s="39">
        <f t="shared" si="35"/>
        <v>0</v>
      </c>
      <c r="G935" s="395"/>
      <c r="H935" s="395"/>
      <c r="J935" s="42"/>
    </row>
    <row r="936" spans="1:10" s="393" customFormat="1" x14ac:dyDescent="0.25">
      <c r="A936" s="19" t="s">
        <v>39</v>
      </c>
      <c r="B936" s="2">
        <v>43931</v>
      </c>
      <c r="C936" s="1">
        <v>2</v>
      </c>
      <c r="D936" s="39">
        <v>83</v>
      </c>
      <c r="E936" s="1"/>
      <c r="F936" s="39">
        <f t="shared" si="35"/>
        <v>0</v>
      </c>
      <c r="G936" s="395"/>
      <c r="H936" s="395"/>
      <c r="J936" s="42"/>
    </row>
    <row r="937" spans="1:10" s="393" customFormat="1" x14ac:dyDescent="0.25">
      <c r="A937" s="19" t="s">
        <v>40</v>
      </c>
      <c r="B937" s="2">
        <v>43931</v>
      </c>
      <c r="C937" s="1">
        <v>0</v>
      </c>
      <c r="D937" s="39">
        <v>29</v>
      </c>
      <c r="E937" s="1"/>
      <c r="F937" s="39">
        <f t="shared" si="35"/>
        <v>2</v>
      </c>
      <c r="G937" s="395"/>
      <c r="H937" s="395"/>
      <c r="J937" s="42"/>
    </row>
    <row r="938" spans="1:10" s="393" customFormat="1" x14ac:dyDescent="0.25">
      <c r="A938" s="394" t="s">
        <v>16</v>
      </c>
      <c r="B938" s="2">
        <v>43932</v>
      </c>
      <c r="C938" s="1">
        <v>37</v>
      </c>
      <c r="D938" s="39">
        <v>544</v>
      </c>
      <c r="E938" s="1">
        <v>4</v>
      </c>
      <c r="F938" s="39">
        <f>E938+F914</f>
        <v>35</v>
      </c>
      <c r="G938" s="395"/>
      <c r="H938" s="395"/>
      <c r="J938" s="42"/>
    </row>
    <row r="939" spans="1:10" s="393" customFormat="1" x14ac:dyDescent="0.25">
      <c r="A939" s="19" t="s">
        <v>28</v>
      </c>
      <c r="B939" s="2">
        <v>43932</v>
      </c>
      <c r="C939" s="1">
        <v>0</v>
      </c>
      <c r="D939" s="39">
        <v>0</v>
      </c>
      <c r="E939" s="1"/>
      <c r="F939" s="39">
        <f t="shared" ref="F939:F961" si="36">E939+F915</f>
        <v>0</v>
      </c>
      <c r="G939" s="395"/>
      <c r="H939" s="395"/>
      <c r="J939" s="42"/>
    </row>
    <row r="940" spans="1:10" s="393" customFormat="1" x14ac:dyDescent="0.25">
      <c r="A940" s="19" t="s">
        <v>15</v>
      </c>
      <c r="B940" s="2">
        <v>43932</v>
      </c>
      <c r="C940" s="1">
        <v>0</v>
      </c>
      <c r="D940" s="39">
        <v>149</v>
      </c>
      <c r="E940" s="1"/>
      <c r="F940" s="39">
        <f t="shared" si="36"/>
        <v>7</v>
      </c>
      <c r="G940" s="395"/>
      <c r="H940" s="395"/>
      <c r="J940" s="42"/>
    </row>
    <row r="941" spans="1:10" s="393" customFormat="1" x14ac:dyDescent="0.25">
      <c r="A941" s="19" t="s">
        <v>29</v>
      </c>
      <c r="B941" s="2">
        <v>43932</v>
      </c>
      <c r="C941" s="1">
        <v>0</v>
      </c>
      <c r="D941" s="39">
        <v>0</v>
      </c>
      <c r="E941" s="1"/>
      <c r="F941" s="39">
        <f t="shared" si="36"/>
        <v>1</v>
      </c>
      <c r="G941" s="395"/>
      <c r="H941" s="395"/>
      <c r="J941" s="42"/>
    </row>
    <row r="942" spans="1:10" s="393" customFormat="1" x14ac:dyDescent="0.25">
      <c r="A942" s="19" t="s">
        <v>43</v>
      </c>
      <c r="B942" s="2">
        <v>43932</v>
      </c>
      <c r="C942" s="1">
        <v>46</v>
      </c>
      <c r="D942" s="39">
        <v>578</v>
      </c>
      <c r="E942" s="1">
        <v>3</v>
      </c>
      <c r="F942" s="39">
        <f t="shared" si="36"/>
        <v>24</v>
      </c>
      <c r="G942" s="395"/>
      <c r="H942" s="395"/>
      <c r="J942" s="42"/>
    </row>
    <row r="943" spans="1:10" s="393" customFormat="1" x14ac:dyDescent="0.25">
      <c r="A943" s="19" t="s">
        <v>20</v>
      </c>
      <c r="B943" s="2">
        <v>43932</v>
      </c>
      <c r="C943" s="1">
        <v>32</v>
      </c>
      <c r="D943" s="39">
        <v>201</v>
      </c>
      <c r="E943" s="1"/>
      <c r="F943" s="39">
        <f t="shared" si="36"/>
        <v>2</v>
      </c>
      <c r="G943" s="395"/>
      <c r="H943" s="395"/>
      <c r="J943" s="42"/>
    </row>
    <row r="944" spans="1:10" s="393" customFormat="1" x14ac:dyDescent="0.25">
      <c r="A944" s="19" t="s">
        <v>30</v>
      </c>
      <c r="B944" s="2">
        <v>43932</v>
      </c>
      <c r="C944" s="1">
        <v>0</v>
      </c>
      <c r="D944" s="39">
        <v>24</v>
      </c>
      <c r="E944" s="1"/>
      <c r="F944" s="39">
        <f t="shared" si="36"/>
        <v>0</v>
      </c>
      <c r="G944" s="395"/>
      <c r="H944" s="395"/>
      <c r="J944" s="42"/>
    </row>
    <row r="945" spans="1:10" x14ac:dyDescent="0.25">
      <c r="A945" s="19" t="s">
        <v>31</v>
      </c>
      <c r="B945" s="2">
        <v>43932</v>
      </c>
      <c r="C945" s="1">
        <v>0</v>
      </c>
      <c r="D945" s="39">
        <v>22</v>
      </c>
      <c r="F945" s="39">
        <f t="shared" si="36"/>
        <v>0</v>
      </c>
    </row>
    <row r="946" spans="1:10" s="393" customFormat="1" x14ac:dyDescent="0.25">
      <c r="A946" s="19" t="s">
        <v>41</v>
      </c>
      <c r="B946" s="2">
        <v>43932</v>
      </c>
      <c r="C946" s="1">
        <v>0</v>
      </c>
      <c r="D946" s="39">
        <v>0</v>
      </c>
      <c r="E946" s="1"/>
      <c r="F946" s="39">
        <f t="shared" si="36"/>
        <v>0</v>
      </c>
      <c r="G946" s="395"/>
      <c r="H946" s="395"/>
      <c r="J946" s="42"/>
    </row>
    <row r="947" spans="1:10" s="393" customFormat="1" x14ac:dyDescent="0.25">
      <c r="A947" s="19" t="s">
        <v>32</v>
      </c>
      <c r="B947" s="2">
        <v>43932</v>
      </c>
      <c r="C947" s="1">
        <v>0</v>
      </c>
      <c r="D947" s="39">
        <v>5</v>
      </c>
      <c r="E947" s="1"/>
      <c r="F947" s="39">
        <f t="shared" si="36"/>
        <v>0</v>
      </c>
      <c r="G947" s="395"/>
      <c r="H947" s="395"/>
      <c r="J947" s="42"/>
    </row>
    <row r="948" spans="1:10" s="393" customFormat="1" x14ac:dyDescent="0.25">
      <c r="A948" s="19" t="s">
        <v>33</v>
      </c>
      <c r="B948" s="2">
        <v>43932</v>
      </c>
      <c r="C948" s="1">
        <v>0</v>
      </c>
      <c r="D948" s="39">
        <v>5</v>
      </c>
      <c r="E948" s="1"/>
      <c r="F948" s="39">
        <f t="shared" si="36"/>
        <v>0</v>
      </c>
      <c r="G948" s="395"/>
      <c r="H948" s="395"/>
      <c r="J948" s="42"/>
    </row>
    <row r="949" spans="1:10" s="393" customFormat="1" x14ac:dyDescent="0.25">
      <c r="A949" s="19" t="s">
        <v>21</v>
      </c>
      <c r="B949" s="2">
        <v>43932</v>
      </c>
      <c r="C949" s="1">
        <v>4</v>
      </c>
      <c r="D949" s="39">
        <v>18</v>
      </c>
      <c r="E949" s="1"/>
      <c r="F949" s="39">
        <f t="shared" si="36"/>
        <v>1</v>
      </c>
      <c r="G949" s="395"/>
      <c r="H949" s="395"/>
      <c r="J949" s="42"/>
    </row>
    <row r="950" spans="1:10" s="393" customFormat="1" x14ac:dyDescent="0.25">
      <c r="A950" s="19" t="s">
        <v>17</v>
      </c>
      <c r="B950" s="2">
        <v>43932</v>
      </c>
      <c r="C950" s="1">
        <v>5</v>
      </c>
      <c r="D950" s="39">
        <v>54</v>
      </c>
      <c r="E950" s="1"/>
      <c r="F950" s="39">
        <f t="shared" si="36"/>
        <v>4</v>
      </c>
      <c r="G950" s="395"/>
      <c r="H950" s="395"/>
      <c r="J950" s="42"/>
    </row>
    <row r="951" spans="1:10" s="393" customFormat="1" x14ac:dyDescent="0.25">
      <c r="A951" s="19" t="s">
        <v>23</v>
      </c>
      <c r="B951" s="2">
        <v>43932</v>
      </c>
      <c r="C951" s="1">
        <v>0</v>
      </c>
      <c r="D951" s="39">
        <v>3</v>
      </c>
      <c r="E951" s="1"/>
      <c r="F951" s="39">
        <f t="shared" si="36"/>
        <v>0</v>
      </c>
      <c r="G951" s="395"/>
      <c r="H951" s="395"/>
      <c r="J951" s="42"/>
    </row>
    <row r="952" spans="1:10" s="393" customFormat="1" x14ac:dyDescent="0.25">
      <c r="A952" s="19" t="s">
        <v>19</v>
      </c>
      <c r="B952" s="2">
        <v>43932</v>
      </c>
      <c r="C952" s="1">
        <v>1</v>
      </c>
      <c r="D952" s="39">
        <v>85</v>
      </c>
      <c r="E952" s="1"/>
      <c r="F952" s="39">
        <f t="shared" si="36"/>
        <v>3</v>
      </c>
      <c r="G952" s="395"/>
      <c r="H952" s="395"/>
      <c r="J952" s="42"/>
    </row>
    <row r="953" spans="1:10" s="393" customFormat="1" x14ac:dyDescent="0.25">
      <c r="A953" s="19" t="s">
        <v>18</v>
      </c>
      <c r="B953" s="2">
        <v>43932</v>
      </c>
      <c r="C953" s="1">
        <v>23</v>
      </c>
      <c r="D953" s="39">
        <v>65</v>
      </c>
      <c r="E953" s="1"/>
      <c r="F953" s="39">
        <f t="shared" si="36"/>
        <v>3</v>
      </c>
      <c r="G953" s="395"/>
      <c r="H953" s="395"/>
      <c r="J953" s="42"/>
    </row>
    <row r="954" spans="1:10" s="393" customFormat="1" x14ac:dyDescent="0.25">
      <c r="A954" s="19" t="s">
        <v>34</v>
      </c>
      <c r="B954" s="2">
        <v>43932</v>
      </c>
      <c r="C954" s="1">
        <v>0</v>
      </c>
      <c r="D954" s="39">
        <v>3</v>
      </c>
      <c r="E954" s="1"/>
      <c r="F954" s="39">
        <f t="shared" si="36"/>
        <v>0</v>
      </c>
      <c r="G954" s="395"/>
      <c r="H954" s="395"/>
      <c r="J954" s="42"/>
    </row>
    <row r="955" spans="1:10" s="393" customFormat="1" x14ac:dyDescent="0.25">
      <c r="A955" s="19" t="s">
        <v>35</v>
      </c>
      <c r="B955" s="2">
        <v>43932</v>
      </c>
      <c r="C955" s="1">
        <v>1</v>
      </c>
      <c r="D955" s="39">
        <v>2</v>
      </c>
      <c r="E955" s="1"/>
      <c r="F955" s="39">
        <f t="shared" si="36"/>
        <v>0</v>
      </c>
      <c r="G955" s="395"/>
      <c r="H955" s="395"/>
      <c r="J955" s="42"/>
    </row>
    <row r="956" spans="1:10" s="393" customFormat="1" x14ac:dyDescent="0.25">
      <c r="A956" s="19" t="s">
        <v>36</v>
      </c>
      <c r="B956" s="2">
        <v>43932</v>
      </c>
      <c r="C956" s="1">
        <v>0</v>
      </c>
      <c r="D956" s="39">
        <v>11</v>
      </c>
      <c r="E956" s="1"/>
      <c r="F956" s="39">
        <f t="shared" si="36"/>
        <v>0</v>
      </c>
      <c r="G956" s="395"/>
      <c r="H956" s="395"/>
      <c r="J956" s="42"/>
    </row>
    <row r="957" spans="1:10" s="393" customFormat="1" x14ac:dyDescent="0.25">
      <c r="A957" s="19" t="s">
        <v>37</v>
      </c>
      <c r="B957" s="2">
        <v>43932</v>
      </c>
      <c r="C957" s="1">
        <v>3</v>
      </c>
      <c r="D957" s="39">
        <v>40</v>
      </c>
      <c r="E957" s="1"/>
      <c r="F957" s="39">
        <f t="shared" si="36"/>
        <v>0</v>
      </c>
      <c r="G957" s="395"/>
      <c r="H957" s="395"/>
      <c r="J957" s="42"/>
    </row>
    <row r="958" spans="1:10" s="393" customFormat="1" x14ac:dyDescent="0.25">
      <c r="A958" s="19" t="s">
        <v>22</v>
      </c>
      <c r="B958" s="2">
        <v>43932</v>
      </c>
      <c r="C958" s="1">
        <v>3</v>
      </c>
      <c r="D958" s="39">
        <v>200</v>
      </c>
      <c r="E958" s="1"/>
      <c r="F958" s="39">
        <f>E958+F934</f>
        <v>2</v>
      </c>
      <c r="G958" s="395"/>
      <c r="H958" s="395"/>
      <c r="J958" s="42"/>
    </row>
    <row r="959" spans="1:10" s="393" customFormat="1" x14ac:dyDescent="0.25">
      <c r="A959" s="19" t="s">
        <v>38</v>
      </c>
      <c r="B959" s="2">
        <v>43932</v>
      </c>
      <c r="C959" s="1">
        <v>3</v>
      </c>
      <c r="D959" s="39">
        <v>12</v>
      </c>
      <c r="E959" s="1"/>
      <c r="F959" s="39">
        <f t="shared" si="36"/>
        <v>0</v>
      </c>
      <c r="G959" s="395"/>
      <c r="H959" s="395"/>
      <c r="J959" s="42"/>
    </row>
    <row r="960" spans="1:10" s="393" customFormat="1" x14ac:dyDescent="0.25">
      <c r="A960" s="19" t="s">
        <v>39</v>
      </c>
      <c r="B960" s="2">
        <v>43932</v>
      </c>
      <c r="C960" s="1">
        <v>8</v>
      </c>
      <c r="D960" s="39">
        <v>91</v>
      </c>
      <c r="E960" s="1"/>
      <c r="F960" s="39">
        <f t="shared" si="36"/>
        <v>0</v>
      </c>
      <c r="G960" s="395"/>
      <c r="H960" s="395"/>
      <c r="J960" s="42"/>
    </row>
    <row r="961" spans="1:10" s="393" customFormat="1" x14ac:dyDescent="0.25">
      <c r="A961" s="19" t="s">
        <v>40</v>
      </c>
      <c r="B961" s="2">
        <v>43932</v>
      </c>
      <c r="C961" s="1">
        <v>1</v>
      </c>
      <c r="D961" s="39">
        <v>30</v>
      </c>
      <c r="E961" s="1"/>
      <c r="F961" s="39">
        <f t="shared" si="36"/>
        <v>2</v>
      </c>
      <c r="G961" s="395"/>
      <c r="H961" s="395"/>
      <c r="J961" s="42"/>
    </row>
    <row r="962" spans="1:10" s="393" customFormat="1" x14ac:dyDescent="0.25">
      <c r="A962" s="394" t="s">
        <v>16</v>
      </c>
      <c r="B962" s="2">
        <v>43933</v>
      </c>
      <c r="C962" s="1">
        <v>28</v>
      </c>
      <c r="D962" s="39">
        <v>572</v>
      </c>
      <c r="E962" s="1">
        <v>4</v>
      </c>
      <c r="F962" s="39">
        <f>E962+F938</f>
        <v>39</v>
      </c>
      <c r="G962" s="395"/>
      <c r="H962" s="395"/>
      <c r="J962" s="42"/>
    </row>
    <row r="963" spans="1:10" s="393" customFormat="1" x14ac:dyDescent="0.25">
      <c r="A963" s="19" t="s">
        <v>28</v>
      </c>
      <c r="B963" s="2">
        <v>43933</v>
      </c>
      <c r="C963" s="1">
        <v>0</v>
      </c>
      <c r="D963" s="39">
        <v>0</v>
      </c>
      <c r="E963" s="1"/>
      <c r="F963" s="39">
        <f t="shared" ref="F963:F985" si="37">E963+F939</f>
        <v>0</v>
      </c>
      <c r="G963" s="395"/>
      <c r="H963" s="395"/>
      <c r="J963" s="42"/>
    </row>
    <row r="964" spans="1:10" s="393" customFormat="1" x14ac:dyDescent="0.25">
      <c r="A964" s="19" t="s">
        <v>15</v>
      </c>
      <c r="B964" s="2">
        <v>43933</v>
      </c>
      <c r="C964" s="1">
        <v>1</v>
      </c>
      <c r="D964" s="39">
        <v>150</v>
      </c>
      <c r="E964" s="1"/>
      <c r="F964" s="39">
        <f t="shared" si="37"/>
        <v>7</v>
      </c>
      <c r="G964" s="395"/>
      <c r="H964" s="395"/>
      <c r="J964" s="42"/>
    </row>
    <row r="965" spans="1:10" s="393" customFormat="1" x14ac:dyDescent="0.25">
      <c r="A965" s="19" t="s">
        <v>29</v>
      </c>
      <c r="B965" s="2">
        <v>43933</v>
      </c>
      <c r="C965" s="1">
        <v>0</v>
      </c>
      <c r="D965" s="39">
        <v>0</v>
      </c>
      <c r="E965" s="1"/>
      <c r="F965" s="39">
        <f t="shared" si="37"/>
        <v>1</v>
      </c>
      <c r="G965" s="395"/>
      <c r="H965" s="395"/>
      <c r="J965" s="42"/>
    </row>
    <row r="966" spans="1:10" s="393" customFormat="1" x14ac:dyDescent="0.25">
      <c r="A966" s="19" t="s">
        <v>43</v>
      </c>
      <c r="B966" s="2">
        <v>43933</v>
      </c>
      <c r="C966" s="1">
        <v>8</v>
      </c>
      <c r="D966" s="39">
        <v>586</v>
      </c>
      <c r="E966" s="1">
        <v>1</v>
      </c>
      <c r="F966" s="39">
        <f t="shared" si="37"/>
        <v>25</v>
      </c>
      <c r="G966" s="395"/>
      <c r="H966" s="395"/>
      <c r="J966" s="42"/>
    </row>
    <row r="967" spans="1:10" s="393" customFormat="1" x14ac:dyDescent="0.25">
      <c r="A967" s="19" t="s">
        <v>20</v>
      </c>
      <c r="B967" s="2">
        <v>43933</v>
      </c>
      <c r="C967" s="1">
        <v>5</v>
      </c>
      <c r="D967" s="39">
        <v>206</v>
      </c>
      <c r="E967" s="1">
        <v>1</v>
      </c>
      <c r="F967" s="39">
        <f t="shared" si="37"/>
        <v>3</v>
      </c>
      <c r="G967" s="395"/>
      <c r="H967" s="395"/>
      <c r="J967" s="42"/>
    </row>
    <row r="968" spans="1:10" s="393" customFormat="1" x14ac:dyDescent="0.25">
      <c r="A968" s="19" t="s">
        <v>30</v>
      </c>
      <c r="B968" s="2">
        <v>43933</v>
      </c>
      <c r="C968" s="1">
        <v>0</v>
      </c>
      <c r="D968" s="39">
        <v>24</v>
      </c>
      <c r="E968" s="1"/>
      <c r="F968" s="39">
        <f t="shared" si="37"/>
        <v>0</v>
      </c>
      <c r="G968" s="395"/>
      <c r="H968" s="395"/>
      <c r="J968" s="42"/>
    </row>
    <row r="969" spans="1:10" x14ac:dyDescent="0.25">
      <c r="A969" s="19" t="s">
        <v>31</v>
      </c>
      <c r="B969" s="2">
        <v>43933</v>
      </c>
      <c r="C969" s="1">
        <v>-1</v>
      </c>
      <c r="D969" s="39">
        <v>21</v>
      </c>
      <c r="F969" s="39">
        <f t="shared" si="37"/>
        <v>0</v>
      </c>
    </row>
    <row r="970" spans="1:10" s="393" customFormat="1" x14ac:dyDescent="0.25">
      <c r="A970" s="19" t="s">
        <v>41</v>
      </c>
      <c r="B970" s="2">
        <v>43933</v>
      </c>
      <c r="C970" s="1">
        <v>0</v>
      </c>
      <c r="D970" s="39">
        <v>0</v>
      </c>
      <c r="E970" s="1"/>
      <c r="F970" s="39">
        <f t="shared" si="37"/>
        <v>0</v>
      </c>
      <c r="G970" s="395"/>
      <c r="H970" s="395"/>
      <c r="J970" s="42"/>
    </row>
    <row r="971" spans="1:10" s="393" customFormat="1" x14ac:dyDescent="0.25">
      <c r="A971" s="19" t="s">
        <v>32</v>
      </c>
      <c r="B971" s="2">
        <v>43933</v>
      </c>
      <c r="C971" s="1">
        <v>0</v>
      </c>
      <c r="D971" s="39">
        <v>5</v>
      </c>
      <c r="E971" s="1"/>
      <c r="F971" s="39">
        <f t="shared" si="37"/>
        <v>0</v>
      </c>
      <c r="G971" s="395"/>
      <c r="H971" s="395"/>
      <c r="J971" s="42"/>
    </row>
    <row r="972" spans="1:10" s="393" customFormat="1" x14ac:dyDescent="0.25">
      <c r="A972" s="19" t="s">
        <v>33</v>
      </c>
      <c r="B972" s="2">
        <v>43933</v>
      </c>
      <c r="C972" s="1">
        <v>0</v>
      </c>
      <c r="D972" s="39">
        <v>5</v>
      </c>
      <c r="E972" s="1"/>
      <c r="F972" s="39">
        <f t="shared" si="37"/>
        <v>0</v>
      </c>
      <c r="G972" s="395"/>
      <c r="H972" s="395"/>
      <c r="J972" s="42"/>
    </row>
    <row r="973" spans="1:10" s="393" customFormat="1" x14ac:dyDescent="0.25">
      <c r="A973" s="19" t="s">
        <v>21</v>
      </c>
      <c r="B973" s="2">
        <v>43933</v>
      </c>
      <c r="C973" s="1">
        <v>1</v>
      </c>
      <c r="D973" s="39">
        <v>19</v>
      </c>
      <c r="E973" s="1"/>
      <c r="F973" s="39">
        <f t="shared" si="37"/>
        <v>1</v>
      </c>
      <c r="G973" s="395"/>
      <c r="H973" s="395"/>
      <c r="J973" s="42"/>
    </row>
    <row r="974" spans="1:10" s="393" customFormat="1" x14ac:dyDescent="0.25">
      <c r="A974" s="19" t="s">
        <v>17</v>
      </c>
      <c r="B974" s="2">
        <v>43933</v>
      </c>
      <c r="C974" s="1">
        <v>3</v>
      </c>
      <c r="D974" s="39">
        <v>57</v>
      </c>
      <c r="E974" s="1"/>
      <c r="F974" s="39">
        <f t="shared" si="37"/>
        <v>4</v>
      </c>
      <c r="G974" s="395"/>
      <c r="H974" s="395"/>
      <c r="J974" s="42"/>
    </row>
    <row r="975" spans="1:10" s="393" customFormat="1" x14ac:dyDescent="0.25">
      <c r="A975" s="19" t="s">
        <v>23</v>
      </c>
      <c r="B975" s="2">
        <v>43933</v>
      </c>
      <c r="C975" s="1">
        <v>0</v>
      </c>
      <c r="D975" s="39">
        <v>3</v>
      </c>
      <c r="E975" s="1"/>
      <c r="F975" s="39">
        <f t="shared" si="37"/>
        <v>0</v>
      </c>
      <c r="G975" s="395"/>
      <c r="H975" s="395"/>
      <c r="J975" s="42"/>
    </row>
    <row r="976" spans="1:10" s="393" customFormat="1" x14ac:dyDescent="0.25">
      <c r="A976" s="19" t="s">
        <v>19</v>
      </c>
      <c r="B976" s="2">
        <v>43933</v>
      </c>
      <c r="C976" s="1">
        <v>1</v>
      </c>
      <c r="D976" s="39">
        <v>86</v>
      </c>
      <c r="E976" s="1"/>
      <c r="F976" s="39">
        <f t="shared" si="37"/>
        <v>3</v>
      </c>
      <c r="G976" s="395"/>
      <c r="H976" s="395"/>
      <c r="J976" s="42"/>
    </row>
    <row r="977" spans="1:10" s="393" customFormat="1" x14ac:dyDescent="0.25">
      <c r="A977" s="19" t="s">
        <v>18</v>
      </c>
      <c r="B977" s="2">
        <v>43933</v>
      </c>
      <c r="C977" s="1">
        <v>13</v>
      </c>
      <c r="D977" s="39">
        <v>78</v>
      </c>
      <c r="E977" s="1"/>
      <c r="F977" s="39">
        <f t="shared" si="37"/>
        <v>3</v>
      </c>
      <c r="G977" s="395"/>
      <c r="H977" s="395"/>
      <c r="J977" s="42"/>
    </row>
    <row r="978" spans="1:10" s="393" customFormat="1" x14ac:dyDescent="0.25">
      <c r="A978" s="19" t="s">
        <v>34</v>
      </c>
      <c r="B978" s="2">
        <v>43933</v>
      </c>
      <c r="C978" s="1">
        <v>0</v>
      </c>
      <c r="D978" s="39">
        <v>3</v>
      </c>
      <c r="E978" s="1"/>
      <c r="F978" s="39">
        <f t="shared" si="37"/>
        <v>0</v>
      </c>
      <c r="G978" s="395"/>
      <c r="H978" s="395"/>
      <c r="J978" s="42"/>
    </row>
    <row r="979" spans="1:10" s="393" customFormat="1" x14ac:dyDescent="0.25">
      <c r="A979" s="19" t="s">
        <v>35</v>
      </c>
      <c r="B979" s="2">
        <v>43933</v>
      </c>
      <c r="C979" s="1">
        <v>0</v>
      </c>
      <c r="D979" s="39">
        <v>2</v>
      </c>
      <c r="E979" s="1"/>
      <c r="F979" s="39">
        <f t="shared" si="37"/>
        <v>0</v>
      </c>
      <c r="G979" s="395"/>
      <c r="H979" s="395"/>
      <c r="J979" s="42"/>
    </row>
    <row r="980" spans="1:10" s="393" customFormat="1" x14ac:dyDescent="0.25">
      <c r="A980" s="19" t="s">
        <v>36</v>
      </c>
      <c r="B980" s="2">
        <v>43933</v>
      </c>
      <c r="C980" s="1">
        <v>0</v>
      </c>
      <c r="D980" s="39">
        <v>11</v>
      </c>
      <c r="E980" s="1"/>
      <c r="F980" s="39">
        <f t="shared" si="37"/>
        <v>0</v>
      </c>
      <c r="G980" s="395"/>
      <c r="H980" s="395"/>
      <c r="J980" s="42"/>
    </row>
    <row r="981" spans="1:10" s="393" customFormat="1" x14ac:dyDescent="0.25">
      <c r="A981" s="19" t="s">
        <v>37</v>
      </c>
      <c r="B981" s="2">
        <v>43933</v>
      </c>
      <c r="C981" s="1">
        <v>0</v>
      </c>
      <c r="D981" s="39">
        <v>40</v>
      </c>
      <c r="E981" s="1"/>
      <c r="F981" s="39">
        <f t="shared" si="37"/>
        <v>0</v>
      </c>
      <c r="G981" s="395"/>
      <c r="H981" s="395"/>
      <c r="J981" s="42"/>
    </row>
    <row r="982" spans="1:10" s="393" customFormat="1" x14ac:dyDescent="0.25">
      <c r="A982" s="19" t="s">
        <v>22</v>
      </c>
      <c r="B982" s="2">
        <v>43933</v>
      </c>
      <c r="C982" s="1">
        <v>3</v>
      </c>
      <c r="D982" s="39">
        <v>203</v>
      </c>
      <c r="E982" s="1"/>
      <c r="F982" s="39">
        <f>E982+F958</f>
        <v>2</v>
      </c>
      <c r="G982" s="395"/>
      <c r="H982" s="395"/>
      <c r="J982" s="42"/>
    </row>
    <row r="983" spans="1:10" s="393" customFormat="1" x14ac:dyDescent="0.25">
      <c r="A983" s="19" t="s">
        <v>38</v>
      </c>
      <c r="B983" s="2">
        <v>43933</v>
      </c>
      <c r="C983" s="1">
        <v>0</v>
      </c>
      <c r="D983" s="39">
        <v>12</v>
      </c>
      <c r="E983" s="1"/>
      <c r="F983" s="39">
        <f t="shared" si="37"/>
        <v>0</v>
      </c>
      <c r="G983" s="395"/>
      <c r="H983" s="395"/>
      <c r="J983" s="42"/>
    </row>
    <row r="984" spans="1:10" s="393" customFormat="1" x14ac:dyDescent="0.25">
      <c r="A984" s="19" t="s">
        <v>39</v>
      </c>
      <c r="B984" s="2">
        <v>43933</v>
      </c>
      <c r="C984" s="1">
        <v>4</v>
      </c>
      <c r="D984" s="39">
        <v>95</v>
      </c>
      <c r="E984" s="1"/>
      <c r="F984" s="39">
        <f t="shared" si="37"/>
        <v>0</v>
      </c>
      <c r="G984" s="395"/>
      <c r="H984" s="395"/>
      <c r="J984" s="42"/>
    </row>
    <row r="985" spans="1:10" s="393" customFormat="1" x14ac:dyDescent="0.25">
      <c r="A985" s="19" t="s">
        <v>40</v>
      </c>
      <c r="B985" s="2">
        <v>43933</v>
      </c>
      <c r="C985" s="1">
        <v>0</v>
      </c>
      <c r="D985" s="39">
        <v>30</v>
      </c>
      <c r="E985" s="1"/>
      <c r="F985" s="39">
        <f t="shared" si="37"/>
        <v>2</v>
      </c>
      <c r="G985" s="395"/>
      <c r="H985" s="395"/>
      <c r="J985" s="42"/>
    </row>
    <row r="986" spans="1:10" s="393" customFormat="1" x14ac:dyDescent="0.25">
      <c r="A986" s="394" t="s">
        <v>16</v>
      </c>
      <c r="B986" s="2">
        <v>43934</v>
      </c>
      <c r="C986" s="1">
        <v>29</v>
      </c>
      <c r="D986" s="39">
        <v>601</v>
      </c>
      <c r="E986" s="1">
        <v>1</v>
      </c>
      <c r="F986" s="39">
        <f>E986+F962</f>
        <v>40</v>
      </c>
      <c r="G986" s="395"/>
      <c r="H986" s="395"/>
      <c r="J986" s="42"/>
    </row>
    <row r="987" spans="1:10" s="393" customFormat="1" x14ac:dyDescent="0.25">
      <c r="A987" s="19" t="s">
        <v>28</v>
      </c>
      <c r="B987" s="2">
        <v>43934</v>
      </c>
      <c r="C987" s="1">
        <v>0</v>
      </c>
      <c r="D987" s="39">
        <v>0</v>
      </c>
      <c r="E987" s="1"/>
      <c r="F987" s="39">
        <f t="shared" ref="F987:F1009" si="38">E987+F963</f>
        <v>0</v>
      </c>
      <c r="G987" s="395"/>
      <c r="H987" s="395"/>
      <c r="J987" s="42"/>
    </row>
    <row r="988" spans="1:10" s="393" customFormat="1" x14ac:dyDescent="0.25">
      <c r="A988" s="19" t="s">
        <v>15</v>
      </c>
      <c r="B988" s="2">
        <v>43934</v>
      </c>
      <c r="C988" s="1">
        <v>3</v>
      </c>
      <c r="D988" s="39">
        <v>153</v>
      </c>
      <c r="E988" s="1"/>
      <c r="F988" s="39">
        <f t="shared" si="38"/>
        <v>7</v>
      </c>
      <c r="G988" s="395"/>
      <c r="H988" s="395"/>
      <c r="J988" s="42"/>
    </row>
    <row r="989" spans="1:10" s="393" customFormat="1" x14ac:dyDescent="0.25">
      <c r="A989" s="19" t="s">
        <v>29</v>
      </c>
      <c r="B989" s="2">
        <v>43934</v>
      </c>
      <c r="C989" s="1">
        <v>0</v>
      </c>
      <c r="D989" s="39">
        <v>0</v>
      </c>
      <c r="E989" s="1"/>
      <c r="F989" s="39">
        <f t="shared" si="38"/>
        <v>1</v>
      </c>
      <c r="G989" s="395"/>
      <c r="H989" s="395"/>
      <c r="J989" s="42"/>
    </row>
    <row r="990" spans="1:10" s="393" customFormat="1" x14ac:dyDescent="0.25">
      <c r="A990" s="19" t="s">
        <v>43</v>
      </c>
      <c r="B990" s="2">
        <v>43934</v>
      </c>
      <c r="C990" s="1">
        <v>10</v>
      </c>
      <c r="D990" s="39">
        <v>596</v>
      </c>
      <c r="E990" s="1">
        <v>1</v>
      </c>
      <c r="F990" s="39">
        <f t="shared" si="38"/>
        <v>26</v>
      </c>
      <c r="G990" s="395"/>
      <c r="H990" s="395"/>
      <c r="J990" s="42"/>
    </row>
    <row r="991" spans="1:10" s="393" customFormat="1" x14ac:dyDescent="0.25">
      <c r="A991" s="19" t="s">
        <v>20</v>
      </c>
      <c r="B991" s="2">
        <v>43934</v>
      </c>
      <c r="C991" s="1">
        <v>4</v>
      </c>
      <c r="D991" s="39">
        <v>210</v>
      </c>
      <c r="E991" s="1">
        <v>1</v>
      </c>
      <c r="F991" s="39">
        <f t="shared" si="38"/>
        <v>4</v>
      </c>
      <c r="G991" s="395"/>
      <c r="H991" s="395"/>
      <c r="J991" s="42"/>
    </row>
    <row r="992" spans="1:10" s="393" customFormat="1" x14ac:dyDescent="0.25">
      <c r="A992" s="19" t="s">
        <v>30</v>
      </c>
      <c r="B992" s="2">
        <v>43934</v>
      </c>
      <c r="C992" s="1">
        <v>7</v>
      </c>
      <c r="D992" s="39">
        <v>31</v>
      </c>
      <c r="E992" s="1"/>
      <c r="F992" s="39">
        <f t="shared" si="38"/>
        <v>0</v>
      </c>
      <c r="G992" s="395"/>
      <c r="H992" s="395"/>
      <c r="J992" s="42"/>
    </row>
    <row r="993" spans="1:10" x14ac:dyDescent="0.25">
      <c r="A993" s="19" t="s">
        <v>31</v>
      </c>
      <c r="B993" s="2">
        <v>43934</v>
      </c>
      <c r="C993" s="1">
        <v>0</v>
      </c>
      <c r="D993" s="39">
        <v>21</v>
      </c>
      <c r="F993" s="39">
        <f t="shared" si="38"/>
        <v>0</v>
      </c>
    </row>
    <row r="994" spans="1:10" s="393" customFormat="1" x14ac:dyDescent="0.25">
      <c r="A994" s="19" t="s">
        <v>41</v>
      </c>
      <c r="B994" s="2">
        <v>43934</v>
      </c>
      <c r="C994" s="1">
        <v>0</v>
      </c>
      <c r="D994" s="39">
        <v>0</v>
      </c>
      <c r="E994" s="1"/>
      <c r="F994" s="39">
        <f t="shared" si="38"/>
        <v>0</v>
      </c>
      <c r="G994" s="395"/>
      <c r="H994" s="395"/>
      <c r="J994" s="42"/>
    </row>
    <row r="995" spans="1:10" s="393" customFormat="1" x14ac:dyDescent="0.25">
      <c r="A995" s="19" t="s">
        <v>32</v>
      </c>
      <c r="B995" s="2">
        <v>43934</v>
      </c>
      <c r="C995" s="1">
        <v>0</v>
      </c>
      <c r="D995" s="39">
        <v>5</v>
      </c>
      <c r="E995" s="1"/>
      <c r="F995" s="39">
        <f t="shared" si="38"/>
        <v>0</v>
      </c>
      <c r="G995" s="395"/>
      <c r="H995" s="395"/>
      <c r="J995" s="42"/>
    </row>
    <row r="996" spans="1:10" s="393" customFormat="1" x14ac:dyDescent="0.25">
      <c r="A996" s="19" t="s">
        <v>33</v>
      </c>
      <c r="B996" s="2">
        <v>43934</v>
      </c>
      <c r="C996" s="1">
        <v>0</v>
      </c>
      <c r="D996" s="39">
        <v>5</v>
      </c>
      <c r="E996" s="1"/>
      <c r="F996" s="39">
        <f t="shared" si="38"/>
        <v>0</v>
      </c>
      <c r="G996" s="395"/>
      <c r="H996" s="395"/>
      <c r="J996" s="42"/>
    </row>
    <row r="997" spans="1:10" s="393" customFormat="1" x14ac:dyDescent="0.25">
      <c r="A997" s="19" t="s">
        <v>21</v>
      </c>
      <c r="B997" s="2">
        <v>43934</v>
      </c>
      <c r="C997" s="1">
        <v>3</v>
      </c>
      <c r="D997" s="39">
        <v>22</v>
      </c>
      <c r="E997" s="1"/>
      <c r="F997" s="39">
        <f t="shared" si="38"/>
        <v>1</v>
      </c>
      <c r="G997" s="395"/>
      <c r="H997" s="395"/>
      <c r="J997" s="42"/>
    </row>
    <row r="998" spans="1:10" s="393" customFormat="1" x14ac:dyDescent="0.25">
      <c r="A998" s="19" t="s">
        <v>17</v>
      </c>
      <c r="B998" s="2">
        <v>43934</v>
      </c>
      <c r="C998" s="1">
        <v>2</v>
      </c>
      <c r="D998" s="39">
        <v>59</v>
      </c>
      <c r="E998" s="1"/>
      <c r="F998" s="39">
        <f t="shared" si="38"/>
        <v>4</v>
      </c>
      <c r="G998" s="395"/>
      <c r="H998" s="395"/>
      <c r="J998" s="42"/>
    </row>
    <row r="999" spans="1:10" s="393" customFormat="1" x14ac:dyDescent="0.25">
      <c r="A999" s="19" t="s">
        <v>23</v>
      </c>
      <c r="B999" s="2">
        <v>43934</v>
      </c>
      <c r="C999" s="1">
        <v>0</v>
      </c>
      <c r="D999" s="39">
        <v>3</v>
      </c>
      <c r="E999" s="1"/>
      <c r="F999" s="39">
        <f t="shared" si="38"/>
        <v>0</v>
      </c>
      <c r="G999" s="395"/>
      <c r="H999" s="395"/>
      <c r="J999" s="42"/>
    </row>
    <row r="1000" spans="1:10" s="393" customFormat="1" x14ac:dyDescent="0.25">
      <c r="A1000" s="19" t="s">
        <v>19</v>
      </c>
      <c r="B1000" s="2">
        <v>43934</v>
      </c>
      <c r="C1000" s="1">
        <v>2</v>
      </c>
      <c r="D1000" s="39">
        <v>88</v>
      </c>
      <c r="E1000" s="1"/>
      <c r="F1000" s="39">
        <f t="shared" si="38"/>
        <v>3</v>
      </c>
      <c r="G1000" s="395"/>
      <c r="H1000" s="395"/>
      <c r="J1000" s="42"/>
    </row>
    <row r="1001" spans="1:10" s="393" customFormat="1" x14ac:dyDescent="0.25">
      <c r="A1001" s="19" t="s">
        <v>18</v>
      </c>
      <c r="B1001" s="2">
        <v>43934</v>
      </c>
      <c r="C1001" s="1">
        <v>3</v>
      </c>
      <c r="D1001" s="39">
        <v>81</v>
      </c>
      <c r="E1001" s="1"/>
      <c r="F1001" s="39">
        <f t="shared" si="38"/>
        <v>3</v>
      </c>
      <c r="G1001" s="395"/>
      <c r="H1001" s="395"/>
      <c r="J1001" s="42"/>
    </row>
    <row r="1002" spans="1:10" s="393" customFormat="1" x14ac:dyDescent="0.25">
      <c r="A1002" s="19" t="s">
        <v>34</v>
      </c>
      <c r="B1002" s="2">
        <v>43934</v>
      </c>
      <c r="C1002" s="1">
        <v>0</v>
      </c>
      <c r="D1002" s="39">
        <v>3</v>
      </c>
      <c r="E1002" s="1"/>
      <c r="F1002" s="39">
        <f t="shared" si="38"/>
        <v>0</v>
      </c>
      <c r="G1002" s="395"/>
      <c r="H1002" s="395"/>
      <c r="J1002" s="42"/>
    </row>
    <row r="1003" spans="1:10" s="393" customFormat="1" x14ac:dyDescent="0.25">
      <c r="A1003" s="19" t="s">
        <v>35</v>
      </c>
      <c r="B1003" s="2">
        <v>43934</v>
      </c>
      <c r="C1003" s="1">
        <v>0</v>
      </c>
      <c r="D1003" s="39">
        <v>2</v>
      </c>
      <c r="E1003" s="1"/>
      <c r="F1003" s="39">
        <f t="shared" si="38"/>
        <v>0</v>
      </c>
      <c r="G1003" s="395"/>
      <c r="H1003" s="395"/>
      <c r="J1003" s="42"/>
    </row>
    <row r="1004" spans="1:10" s="393" customFormat="1" x14ac:dyDescent="0.25">
      <c r="A1004" s="19" t="s">
        <v>36</v>
      </c>
      <c r="B1004" s="2">
        <v>43934</v>
      </c>
      <c r="C1004" s="1">
        <v>0</v>
      </c>
      <c r="D1004" s="39">
        <v>11</v>
      </c>
      <c r="E1004" s="1"/>
      <c r="F1004" s="39">
        <f t="shared" si="38"/>
        <v>0</v>
      </c>
      <c r="G1004" s="395"/>
      <c r="H1004" s="395"/>
      <c r="J1004" s="42"/>
    </row>
    <row r="1005" spans="1:10" s="393" customFormat="1" x14ac:dyDescent="0.25">
      <c r="A1005" s="19" t="s">
        <v>37</v>
      </c>
      <c r="B1005" s="2">
        <v>43934</v>
      </c>
      <c r="C1005" s="1">
        <v>0</v>
      </c>
      <c r="D1005" s="39">
        <v>40</v>
      </c>
      <c r="E1005" s="1"/>
      <c r="F1005" s="39">
        <f t="shared" si="38"/>
        <v>0</v>
      </c>
      <c r="G1005" s="395"/>
      <c r="H1005" s="395"/>
      <c r="J1005" s="42"/>
    </row>
    <row r="1006" spans="1:10" s="393" customFormat="1" x14ac:dyDescent="0.25">
      <c r="A1006" s="19" t="s">
        <v>22</v>
      </c>
      <c r="B1006" s="2">
        <v>43934</v>
      </c>
      <c r="C1006" s="1">
        <v>2</v>
      </c>
      <c r="D1006" s="39">
        <v>205</v>
      </c>
      <c r="E1006" s="1"/>
      <c r="F1006" s="39">
        <f>E1006+F982</f>
        <v>2</v>
      </c>
      <c r="G1006" s="395"/>
      <c r="H1006" s="395"/>
      <c r="J1006" s="42"/>
    </row>
    <row r="1007" spans="1:10" s="393" customFormat="1" x14ac:dyDescent="0.25">
      <c r="A1007" s="19" t="s">
        <v>38</v>
      </c>
      <c r="B1007" s="2">
        <v>43934</v>
      </c>
      <c r="C1007" s="1">
        <v>0</v>
      </c>
      <c r="D1007" s="39">
        <v>12</v>
      </c>
      <c r="E1007" s="1"/>
      <c r="F1007" s="39">
        <f t="shared" si="38"/>
        <v>0</v>
      </c>
      <c r="G1007" s="395"/>
      <c r="H1007" s="395"/>
      <c r="J1007" s="42"/>
    </row>
    <row r="1008" spans="1:10" s="393" customFormat="1" x14ac:dyDescent="0.25">
      <c r="A1008" s="19" t="s">
        <v>39</v>
      </c>
      <c r="B1008" s="2">
        <v>43934</v>
      </c>
      <c r="C1008" s="1">
        <v>4</v>
      </c>
      <c r="D1008" s="39">
        <v>99</v>
      </c>
      <c r="E1008" s="1"/>
      <c r="F1008" s="39">
        <f t="shared" si="38"/>
        <v>0</v>
      </c>
      <c r="G1008" s="395"/>
      <c r="H1008" s="395"/>
      <c r="J1008" s="42"/>
    </row>
    <row r="1009" spans="1:10" s="393" customFormat="1" x14ac:dyDescent="0.25">
      <c r="A1009" s="19" t="s">
        <v>40</v>
      </c>
      <c r="B1009" s="2">
        <v>43934</v>
      </c>
      <c r="C1009" s="1">
        <v>0</v>
      </c>
      <c r="D1009" s="39">
        <v>30</v>
      </c>
      <c r="E1009" s="1"/>
      <c r="F1009" s="39">
        <f t="shared" si="38"/>
        <v>2</v>
      </c>
      <c r="G1009" s="395"/>
      <c r="H1009" s="395"/>
      <c r="J1009" s="42"/>
    </row>
    <row r="1010" spans="1:10" s="393" customFormat="1" x14ac:dyDescent="0.25">
      <c r="A1010" s="394" t="s">
        <v>16</v>
      </c>
      <c r="B1010" s="2">
        <v>43935</v>
      </c>
      <c r="C1010" s="1">
        <v>66</v>
      </c>
      <c r="D1010" s="39">
        <v>667</v>
      </c>
      <c r="E1010" s="1">
        <v>2</v>
      </c>
      <c r="F1010" s="39">
        <f>E1010+F986</f>
        <v>42</v>
      </c>
      <c r="G1010" s="395"/>
      <c r="H1010" s="395"/>
      <c r="J1010" s="42"/>
    </row>
    <row r="1011" spans="1:10" s="393" customFormat="1" x14ac:dyDescent="0.25">
      <c r="A1011" s="19" t="s">
        <v>28</v>
      </c>
      <c r="B1011" s="2">
        <v>43935</v>
      </c>
      <c r="C1011" s="1">
        <v>0</v>
      </c>
      <c r="D1011" s="39">
        <v>0</v>
      </c>
      <c r="E1011" s="1"/>
      <c r="F1011" s="39">
        <f t="shared" ref="F1011:F1033" si="39">E1011+F987</f>
        <v>0</v>
      </c>
      <c r="G1011" s="395"/>
      <c r="H1011" s="395"/>
      <c r="J1011" s="42"/>
    </row>
    <row r="1012" spans="1:10" s="393" customFormat="1" x14ac:dyDescent="0.25">
      <c r="A1012" s="19" t="s">
        <v>15</v>
      </c>
      <c r="B1012" s="2">
        <v>43935</v>
      </c>
      <c r="C1012" s="1">
        <v>31</v>
      </c>
      <c r="D1012" s="39">
        <v>184</v>
      </c>
      <c r="E1012" s="1">
        <v>1</v>
      </c>
      <c r="F1012" s="39">
        <f t="shared" si="39"/>
        <v>8</v>
      </c>
      <c r="G1012" s="395"/>
      <c r="H1012" s="395"/>
      <c r="J1012" s="42"/>
    </row>
    <row r="1013" spans="1:10" s="393" customFormat="1" x14ac:dyDescent="0.25">
      <c r="A1013" s="19" t="s">
        <v>29</v>
      </c>
      <c r="B1013" s="2">
        <v>43935</v>
      </c>
      <c r="C1013" s="1">
        <v>0</v>
      </c>
      <c r="D1013" s="39">
        <v>0</v>
      </c>
      <c r="E1013" s="1"/>
      <c r="F1013" s="39">
        <f t="shared" si="39"/>
        <v>1</v>
      </c>
      <c r="G1013" s="395"/>
      <c r="H1013" s="395"/>
      <c r="J1013" s="42"/>
    </row>
    <row r="1014" spans="1:10" s="393" customFormat="1" x14ac:dyDescent="0.25">
      <c r="A1014" s="19" t="s">
        <v>43</v>
      </c>
      <c r="B1014" s="2">
        <v>43935</v>
      </c>
      <c r="C1014" s="1">
        <v>22</v>
      </c>
      <c r="D1014" s="39">
        <v>618</v>
      </c>
      <c r="E1014" s="1">
        <v>2</v>
      </c>
      <c r="F1014" s="39">
        <f t="shared" si="39"/>
        <v>28</v>
      </c>
      <c r="G1014" s="395"/>
      <c r="H1014" s="395"/>
      <c r="J1014" s="42"/>
    </row>
    <row r="1015" spans="1:10" s="393" customFormat="1" x14ac:dyDescent="0.25">
      <c r="A1015" s="19" t="s">
        <v>20</v>
      </c>
      <c r="B1015" s="2">
        <v>43935</v>
      </c>
      <c r="C1015" s="1">
        <v>12</v>
      </c>
      <c r="D1015" s="39">
        <v>222</v>
      </c>
      <c r="E1015" s="1">
        <v>1</v>
      </c>
      <c r="F1015" s="39">
        <f t="shared" si="39"/>
        <v>5</v>
      </c>
      <c r="G1015" s="395"/>
      <c r="H1015" s="395"/>
      <c r="J1015" s="42"/>
    </row>
    <row r="1016" spans="1:10" s="393" customFormat="1" x14ac:dyDescent="0.25">
      <c r="A1016" s="19" t="s">
        <v>30</v>
      </c>
      <c r="B1016" s="2">
        <v>43935</v>
      </c>
      <c r="C1016" s="1">
        <v>1</v>
      </c>
      <c r="D1016" s="39">
        <v>32</v>
      </c>
      <c r="E1016" s="1"/>
      <c r="F1016" s="39">
        <f t="shared" si="39"/>
        <v>0</v>
      </c>
      <c r="G1016" s="395"/>
      <c r="H1016" s="395"/>
      <c r="J1016" s="42"/>
    </row>
    <row r="1017" spans="1:10" x14ac:dyDescent="0.25">
      <c r="A1017" s="19" t="s">
        <v>31</v>
      </c>
      <c r="B1017" s="2">
        <v>43935</v>
      </c>
      <c r="C1017" s="1">
        <v>0</v>
      </c>
      <c r="D1017" s="39">
        <v>21</v>
      </c>
      <c r="F1017" s="39">
        <f t="shared" si="39"/>
        <v>0</v>
      </c>
    </row>
    <row r="1018" spans="1:10" s="393" customFormat="1" x14ac:dyDescent="0.25">
      <c r="A1018" s="19" t="s">
        <v>41</v>
      </c>
      <c r="B1018" s="2">
        <v>43935</v>
      </c>
      <c r="C1018" s="1">
        <v>0</v>
      </c>
      <c r="D1018" s="39">
        <v>0</v>
      </c>
      <c r="E1018" s="1"/>
      <c r="F1018" s="39">
        <f t="shared" si="39"/>
        <v>0</v>
      </c>
      <c r="G1018" s="395"/>
      <c r="H1018" s="395"/>
      <c r="J1018" s="42"/>
    </row>
    <row r="1019" spans="1:10" s="393" customFormat="1" x14ac:dyDescent="0.25">
      <c r="A1019" s="19" t="s">
        <v>32</v>
      </c>
      <c r="B1019" s="2">
        <v>43935</v>
      </c>
      <c r="C1019" s="1">
        <v>0</v>
      </c>
      <c r="D1019" s="39">
        <v>5</v>
      </c>
      <c r="E1019" s="1"/>
      <c r="F1019" s="39">
        <f t="shared" si="39"/>
        <v>0</v>
      </c>
      <c r="G1019" s="395"/>
      <c r="H1019" s="395"/>
      <c r="J1019" s="42"/>
    </row>
    <row r="1020" spans="1:10" s="393" customFormat="1" x14ac:dyDescent="0.25">
      <c r="A1020" s="19" t="s">
        <v>33</v>
      </c>
      <c r="B1020" s="2">
        <v>43935</v>
      </c>
      <c r="C1020" s="1">
        <v>0</v>
      </c>
      <c r="D1020" s="39">
        <v>5</v>
      </c>
      <c r="E1020" s="1"/>
      <c r="F1020" s="39">
        <f t="shared" si="39"/>
        <v>0</v>
      </c>
      <c r="G1020" s="395"/>
      <c r="H1020" s="395"/>
      <c r="J1020" s="42"/>
    </row>
    <row r="1021" spans="1:10" s="393" customFormat="1" x14ac:dyDescent="0.25">
      <c r="A1021" s="19" t="s">
        <v>21</v>
      </c>
      <c r="B1021" s="2">
        <v>43935</v>
      </c>
      <c r="C1021" s="1">
        <v>6</v>
      </c>
      <c r="D1021" s="39">
        <v>28</v>
      </c>
      <c r="E1021" s="1"/>
      <c r="F1021" s="39">
        <f t="shared" si="39"/>
        <v>1</v>
      </c>
      <c r="G1021" s="395"/>
      <c r="H1021" s="395"/>
      <c r="J1021" s="42"/>
    </row>
    <row r="1022" spans="1:10" s="393" customFormat="1" x14ac:dyDescent="0.25">
      <c r="A1022" s="19" t="s">
        <v>17</v>
      </c>
      <c r="B1022" s="2">
        <v>43935</v>
      </c>
      <c r="C1022" s="1">
        <v>3</v>
      </c>
      <c r="D1022" s="39">
        <v>62</v>
      </c>
      <c r="E1022" s="1"/>
      <c r="F1022" s="39">
        <f t="shared" si="39"/>
        <v>4</v>
      </c>
      <c r="G1022" s="395"/>
      <c r="H1022" s="395"/>
      <c r="J1022" s="42"/>
    </row>
    <row r="1023" spans="1:10" s="393" customFormat="1" x14ac:dyDescent="0.25">
      <c r="A1023" s="19" t="s">
        <v>23</v>
      </c>
      <c r="B1023" s="2">
        <v>43935</v>
      </c>
      <c r="C1023" s="1">
        <v>0</v>
      </c>
      <c r="D1023" s="39">
        <v>3</v>
      </c>
      <c r="E1023" s="1"/>
      <c r="F1023" s="39">
        <f t="shared" si="39"/>
        <v>0</v>
      </c>
      <c r="G1023" s="395"/>
      <c r="H1023" s="395"/>
      <c r="J1023" s="42"/>
    </row>
    <row r="1024" spans="1:10" s="393" customFormat="1" x14ac:dyDescent="0.25">
      <c r="A1024" s="19" t="s">
        <v>19</v>
      </c>
      <c r="B1024" s="2">
        <v>43935</v>
      </c>
      <c r="C1024" s="1">
        <v>2</v>
      </c>
      <c r="D1024" s="39">
        <v>90</v>
      </c>
      <c r="E1024" s="1"/>
      <c r="F1024" s="39">
        <f t="shared" si="39"/>
        <v>3</v>
      </c>
      <c r="G1024" s="395"/>
      <c r="H1024" s="395"/>
      <c r="J1024" s="42"/>
    </row>
    <row r="1025" spans="1:10" s="393" customFormat="1" x14ac:dyDescent="0.25">
      <c r="A1025" s="19" t="s">
        <v>18</v>
      </c>
      <c r="B1025" s="2">
        <v>43935</v>
      </c>
      <c r="C1025" s="1">
        <v>13</v>
      </c>
      <c r="D1025" s="39">
        <v>94</v>
      </c>
      <c r="E1025" s="1">
        <v>1</v>
      </c>
      <c r="F1025" s="39">
        <f t="shared" si="39"/>
        <v>4</v>
      </c>
      <c r="G1025" s="395"/>
      <c r="H1025" s="395"/>
      <c r="J1025" s="42"/>
    </row>
    <row r="1026" spans="1:10" s="393" customFormat="1" x14ac:dyDescent="0.25">
      <c r="A1026" s="19" t="s">
        <v>34</v>
      </c>
      <c r="B1026" s="2">
        <v>43935</v>
      </c>
      <c r="C1026" s="1">
        <v>0</v>
      </c>
      <c r="D1026" s="39">
        <v>3</v>
      </c>
      <c r="E1026" s="1"/>
      <c r="F1026" s="39">
        <f t="shared" si="39"/>
        <v>0</v>
      </c>
      <c r="G1026" s="395"/>
      <c r="H1026" s="395"/>
      <c r="J1026" s="42"/>
    </row>
    <row r="1027" spans="1:10" s="393" customFormat="1" x14ac:dyDescent="0.25">
      <c r="A1027" s="19" t="s">
        <v>35</v>
      </c>
      <c r="B1027" s="2">
        <v>43935</v>
      </c>
      <c r="C1027" s="1">
        <v>0</v>
      </c>
      <c r="D1027" s="39">
        <v>2</v>
      </c>
      <c r="E1027" s="1"/>
      <c r="F1027" s="39">
        <f t="shared" si="39"/>
        <v>0</v>
      </c>
      <c r="G1027" s="395"/>
      <c r="H1027" s="395"/>
      <c r="J1027" s="42"/>
    </row>
    <row r="1028" spans="1:10" s="393" customFormat="1" x14ac:dyDescent="0.25">
      <c r="A1028" s="19" t="s">
        <v>36</v>
      </c>
      <c r="B1028" s="2">
        <v>43935</v>
      </c>
      <c r="C1028" s="1">
        <v>0</v>
      </c>
      <c r="D1028" s="39">
        <v>11</v>
      </c>
      <c r="E1028" s="1"/>
      <c r="F1028" s="39">
        <f t="shared" si="39"/>
        <v>0</v>
      </c>
      <c r="G1028" s="395"/>
      <c r="H1028" s="395"/>
      <c r="J1028" s="42"/>
    </row>
    <row r="1029" spans="1:10" s="393" customFormat="1" x14ac:dyDescent="0.25">
      <c r="A1029" s="19" t="s">
        <v>37</v>
      </c>
      <c r="B1029" s="2">
        <v>43935</v>
      </c>
      <c r="C1029" s="1">
        <v>0</v>
      </c>
      <c r="D1029" s="39">
        <v>40</v>
      </c>
      <c r="E1029" s="1"/>
      <c r="F1029" s="39">
        <f t="shared" si="39"/>
        <v>0</v>
      </c>
      <c r="G1029" s="395"/>
      <c r="H1029" s="395"/>
      <c r="J1029" s="42"/>
    </row>
    <row r="1030" spans="1:10" s="393" customFormat="1" x14ac:dyDescent="0.25">
      <c r="A1030" s="19" t="s">
        <v>22</v>
      </c>
      <c r="B1030" s="2">
        <v>43935</v>
      </c>
      <c r="C1030" s="1">
        <v>2</v>
      </c>
      <c r="D1030" s="39">
        <v>207</v>
      </c>
      <c r="E1030" s="1"/>
      <c r="F1030" s="39">
        <f>E1030+F1006</f>
        <v>2</v>
      </c>
      <c r="G1030" s="395"/>
      <c r="H1030" s="395"/>
      <c r="J1030" s="42"/>
    </row>
    <row r="1031" spans="1:10" s="393" customFormat="1" x14ac:dyDescent="0.25">
      <c r="A1031" s="19" t="s">
        <v>38</v>
      </c>
      <c r="B1031" s="2">
        <v>43935</v>
      </c>
      <c r="C1031" s="1">
        <v>0</v>
      </c>
      <c r="D1031" s="39">
        <v>12</v>
      </c>
      <c r="E1031" s="1"/>
      <c r="F1031" s="39">
        <f t="shared" si="39"/>
        <v>0</v>
      </c>
      <c r="G1031" s="395"/>
      <c r="H1031" s="395"/>
      <c r="J1031" s="42"/>
    </row>
    <row r="1032" spans="1:10" s="393" customFormat="1" x14ac:dyDescent="0.25">
      <c r="A1032" s="19" t="s">
        <v>39</v>
      </c>
      <c r="B1032" s="2">
        <v>43935</v>
      </c>
      <c r="C1032" s="1">
        <v>8</v>
      </c>
      <c r="D1032" s="39">
        <v>107</v>
      </c>
      <c r="E1032" s="1"/>
      <c r="F1032" s="39">
        <f t="shared" si="39"/>
        <v>0</v>
      </c>
      <c r="G1032" s="395"/>
      <c r="H1032" s="395"/>
      <c r="J1032" s="42"/>
    </row>
    <row r="1033" spans="1:10" s="393" customFormat="1" x14ac:dyDescent="0.25">
      <c r="A1033" s="19" t="s">
        <v>40</v>
      </c>
      <c r="B1033" s="2">
        <v>43935</v>
      </c>
      <c r="C1033" s="1">
        <v>0</v>
      </c>
      <c r="D1033" s="39">
        <v>30</v>
      </c>
      <c r="E1033" s="1"/>
      <c r="F1033" s="39">
        <f t="shared" si="39"/>
        <v>2</v>
      </c>
      <c r="G1033" s="395"/>
      <c r="H1033" s="395"/>
      <c r="J1033" s="42"/>
    </row>
    <row r="1034" spans="1:10" s="393" customFormat="1" x14ac:dyDescent="0.25">
      <c r="A1034" s="394" t="s">
        <v>16</v>
      </c>
      <c r="B1034" s="2">
        <v>43936</v>
      </c>
      <c r="C1034" s="1">
        <v>62</v>
      </c>
      <c r="D1034" s="39">
        <v>729</v>
      </c>
      <c r="E1034" s="1">
        <v>1</v>
      </c>
      <c r="F1034" s="39">
        <f>E1034+F1010</f>
        <v>43</v>
      </c>
      <c r="G1034" s="395"/>
      <c r="H1034" s="395"/>
      <c r="J1034" s="42"/>
    </row>
    <row r="1035" spans="1:10" s="393" customFormat="1" x14ac:dyDescent="0.25">
      <c r="A1035" s="19" t="s">
        <v>28</v>
      </c>
      <c r="B1035" s="2">
        <v>43936</v>
      </c>
      <c r="C1035" s="1">
        <v>0</v>
      </c>
      <c r="D1035" s="39">
        <v>0</v>
      </c>
      <c r="E1035" s="1"/>
      <c r="F1035" s="39">
        <f t="shared" ref="F1035:F1057" si="40">E1035+F1011</f>
        <v>0</v>
      </c>
      <c r="G1035" s="395"/>
      <c r="H1035" s="395"/>
      <c r="J1035" s="42"/>
    </row>
    <row r="1036" spans="1:10" s="393" customFormat="1" x14ac:dyDescent="0.25">
      <c r="A1036" s="19" t="s">
        <v>15</v>
      </c>
      <c r="B1036" s="2">
        <v>43936</v>
      </c>
      <c r="C1036" s="1">
        <v>7</v>
      </c>
      <c r="D1036" s="39">
        <v>191</v>
      </c>
      <c r="E1036" s="1"/>
      <c r="F1036" s="39">
        <f t="shared" si="40"/>
        <v>8</v>
      </c>
      <c r="G1036" s="395"/>
      <c r="H1036" s="395"/>
      <c r="J1036" s="42"/>
    </row>
    <row r="1037" spans="1:10" s="393" customFormat="1" x14ac:dyDescent="0.25">
      <c r="A1037" s="19" t="s">
        <v>29</v>
      </c>
      <c r="B1037" s="2">
        <v>43936</v>
      </c>
      <c r="C1037" s="1">
        <v>1</v>
      </c>
      <c r="D1037" s="39">
        <v>1</v>
      </c>
      <c r="E1037" s="1"/>
      <c r="F1037" s="39">
        <f t="shared" si="40"/>
        <v>1</v>
      </c>
      <c r="G1037" s="395"/>
      <c r="H1037" s="395"/>
      <c r="J1037" s="42"/>
    </row>
    <row r="1038" spans="1:10" s="393" customFormat="1" x14ac:dyDescent="0.25">
      <c r="A1038" s="19" t="s">
        <v>43</v>
      </c>
      <c r="B1038" s="2">
        <v>43936</v>
      </c>
      <c r="C1038" s="1">
        <v>30</v>
      </c>
      <c r="D1038" s="39">
        <v>648</v>
      </c>
      <c r="E1038" s="1">
        <v>4</v>
      </c>
      <c r="F1038" s="39">
        <f t="shared" si="40"/>
        <v>32</v>
      </c>
      <c r="G1038" s="395"/>
      <c r="H1038" s="395"/>
      <c r="J1038" s="42"/>
    </row>
    <row r="1039" spans="1:10" s="393" customFormat="1" x14ac:dyDescent="0.25">
      <c r="A1039" s="19" t="s">
        <v>20</v>
      </c>
      <c r="B1039" s="2">
        <v>43936</v>
      </c>
      <c r="C1039" s="1">
        <v>6</v>
      </c>
      <c r="D1039" s="39">
        <v>228</v>
      </c>
      <c r="E1039" s="1">
        <v>1</v>
      </c>
      <c r="F1039" s="39">
        <f t="shared" si="40"/>
        <v>6</v>
      </c>
      <c r="G1039" s="395"/>
      <c r="H1039" s="395"/>
      <c r="J1039" s="42"/>
    </row>
    <row r="1040" spans="1:10" s="393" customFormat="1" x14ac:dyDescent="0.25">
      <c r="A1040" s="19" t="s">
        <v>30</v>
      </c>
      <c r="B1040" s="2">
        <v>43936</v>
      </c>
      <c r="C1040" s="1">
        <v>-1</v>
      </c>
      <c r="D1040" s="39">
        <v>31</v>
      </c>
      <c r="E1040" s="1"/>
      <c r="F1040" s="39">
        <f t="shared" si="40"/>
        <v>0</v>
      </c>
      <c r="G1040" s="395"/>
      <c r="H1040" s="395"/>
      <c r="J1040" s="42"/>
    </row>
    <row r="1041" spans="1:10" x14ac:dyDescent="0.25">
      <c r="A1041" s="19" t="s">
        <v>31</v>
      </c>
      <c r="B1041" s="2">
        <v>43936</v>
      </c>
      <c r="C1041" s="1">
        <v>0</v>
      </c>
      <c r="D1041" s="39">
        <v>21</v>
      </c>
      <c r="F1041" s="39">
        <f t="shared" si="40"/>
        <v>0</v>
      </c>
    </row>
    <row r="1042" spans="1:10" s="393" customFormat="1" x14ac:dyDescent="0.25">
      <c r="A1042" s="19" t="s">
        <v>41</v>
      </c>
      <c r="B1042" s="2">
        <v>43936</v>
      </c>
      <c r="C1042" s="1">
        <v>0</v>
      </c>
      <c r="D1042" s="39">
        <v>0</v>
      </c>
      <c r="E1042" s="1"/>
      <c r="F1042" s="39">
        <f t="shared" si="40"/>
        <v>0</v>
      </c>
      <c r="G1042" s="395"/>
      <c r="H1042" s="395"/>
      <c r="J1042" s="42"/>
    </row>
    <row r="1043" spans="1:10" s="393" customFormat="1" x14ac:dyDescent="0.25">
      <c r="A1043" s="19" t="s">
        <v>32</v>
      </c>
      <c r="B1043" s="2">
        <v>43936</v>
      </c>
      <c r="C1043" s="1">
        <v>0</v>
      </c>
      <c r="D1043" s="39">
        <v>5</v>
      </c>
      <c r="E1043" s="1"/>
      <c r="F1043" s="39">
        <f t="shared" si="40"/>
        <v>0</v>
      </c>
      <c r="G1043" s="395"/>
      <c r="H1043" s="395"/>
      <c r="J1043" s="42"/>
    </row>
    <row r="1044" spans="1:10" s="393" customFormat="1" x14ac:dyDescent="0.25">
      <c r="A1044" s="19" t="s">
        <v>33</v>
      </c>
      <c r="B1044" s="2">
        <v>43936</v>
      </c>
      <c r="C1044" s="1">
        <v>0</v>
      </c>
      <c r="D1044" s="39">
        <v>5</v>
      </c>
      <c r="E1044" s="1"/>
      <c r="F1044" s="39">
        <f t="shared" si="40"/>
        <v>0</v>
      </c>
      <c r="G1044" s="395"/>
      <c r="H1044" s="395"/>
      <c r="J1044" s="42"/>
    </row>
    <row r="1045" spans="1:10" s="393" customFormat="1" x14ac:dyDescent="0.25">
      <c r="A1045" s="19" t="s">
        <v>21</v>
      </c>
      <c r="B1045" s="2">
        <v>43936</v>
      </c>
      <c r="C1045" s="1">
        <v>3</v>
      </c>
      <c r="D1045" s="39">
        <v>31</v>
      </c>
      <c r="E1045" s="1">
        <v>1</v>
      </c>
      <c r="F1045" s="39">
        <f t="shared" si="40"/>
        <v>2</v>
      </c>
      <c r="G1045" s="395"/>
      <c r="H1045" s="395"/>
      <c r="J1045" s="42"/>
    </row>
    <row r="1046" spans="1:10" s="393" customFormat="1" x14ac:dyDescent="0.25">
      <c r="A1046" s="19" t="s">
        <v>17</v>
      </c>
      <c r="B1046" s="2">
        <v>43936</v>
      </c>
      <c r="C1046" s="1">
        <v>1</v>
      </c>
      <c r="D1046" s="39">
        <v>63</v>
      </c>
      <c r="E1046" s="1"/>
      <c r="F1046" s="39">
        <f t="shared" si="40"/>
        <v>4</v>
      </c>
      <c r="G1046" s="395"/>
      <c r="H1046" s="395"/>
      <c r="J1046" s="42"/>
    </row>
    <row r="1047" spans="1:10" s="393" customFormat="1" x14ac:dyDescent="0.25">
      <c r="A1047" s="19" t="s">
        <v>23</v>
      </c>
      <c r="B1047" s="2">
        <v>43936</v>
      </c>
      <c r="C1047" s="1">
        <v>0</v>
      </c>
      <c r="D1047" s="39">
        <v>3</v>
      </c>
      <c r="E1047" s="1"/>
      <c r="F1047" s="39">
        <f t="shared" si="40"/>
        <v>0</v>
      </c>
      <c r="G1047" s="395"/>
      <c r="H1047" s="395"/>
      <c r="J1047" s="42"/>
    </row>
    <row r="1048" spans="1:10" s="393" customFormat="1" x14ac:dyDescent="0.25">
      <c r="A1048" s="19" t="s">
        <v>19</v>
      </c>
      <c r="B1048" s="2">
        <v>43936</v>
      </c>
      <c r="C1048" s="1">
        <v>1</v>
      </c>
      <c r="D1048" s="39">
        <v>91</v>
      </c>
      <c r="E1048" s="1"/>
      <c r="F1048" s="39">
        <f t="shared" si="40"/>
        <v>3</v>
      </c>
      <c r="G1048" s="395"/>
      <c r="H1048" s="395"/>
      <c r="J1048" s="42"/>
    </row>
    <row r="1049" spans="1:10" s="393" customFormat="1" x14ac:dyDescent="0.25">
      <c r="A1049" s="19" t="s">
        <v>18</v>
      </c>
      <c r="B1049" s="2">
        <v>43936</v>
      </c>
      <c r="C1049" s="1">
        <v>12</v>
      </c>
      <c r="D1049" s="39">
        <v>106</v>
      </c>
      <c r="E1049" s="1"/>
      <c r="F1049" s="39">
        <f t="shared" si="40"/>
        <v>4</v>
      </c>
      <c r="G1049" s="395"/>
      <c r="H1049" s="395"/>
      <c r="J1049" s="42"/>
    </row>
    <row r="1050" spans="1:10" s="393" customFormat="1" x14ac:dyDescent="0.25">
      <c r="A1050" s="19" t="s">
        <v>34</v>
      </c>
      <c r="B1050" s="2">
        <v>43936</v>
      </c>
      <c r="C1050" s="1">
        <v>1</v>
      </c>
      <c r="D1050" s="39">
        <v>4</v>
      </c>
      <c r="E1050" s="1"/>
      <c r="F1050" s="39">
        <f t="shared" si="40"/>
        <v>0</v>
      </c>
      <c r="G1050" s="395"/>
      <c r="H1050" s="395"/>
      <c r="J1050" s="42"/>
    </row>
    <row r="1051" spans="1:10" s="393" customFormat="1" x14ac:dyDescent="0.25">
      <c r="A1051" s="19" t="s">
        <v>35</v>
      </c>
      <c r="B1051" s="2">
        <v>43936</v>
      </c>
      <c r="C1051" s="1">
        <v>0</v>
      </c>
      <c r="D1051" s="39">
        <v>2</v>
      </c>
      <c r="E1051" s="1"/>
      <c r="F1051" s="39">
        <f t="shared" si="40"/>
        <v>0</v>
      </c>
      <c r="G1051" s="395"/>
      <c r="H1051" s="395"/>
      <c r="J1051" s="42"/>
    </row>
    <row r="1052" spans="1:10" s="393" customFormat="1" x14ac:dyDescent="0.25">
      <c r="A1052" s="19" t="s">
        <v>36</v>
      </c>
      <c r="B1052" s="2">
        <v>43936</v>
      </c>
      <c r="C1052" s="1">
        <v>0</v>
      </c>
      <c r="D1052" s="39">
        <v>11</v>
      </c>
      <c r="E1052" s="1"/>
      <c r="F1052" s="39">
        <f t="shared" si="40"/>
        <v>0</v>
      </c>
      <c r="G1052" s="395"/>
      <c r="H1052" s="395"/>
      <c r="J1052" s="42"/>
    </row>
    <row r="1053" spans="1:10" s="393" customFormat="1" x14ac:dyDescent="0.25">
      <c r="A1053" s="19" t="s">
        <v>37</v>
      </c>
      <c r="B1053" s="2">
        <v>43936</v>
      </c>
      <c r="C1053" s="1">
        <v>0</v>
      </c>
      <c r="D1053" s="39">
        <v>40</v>
      </c>
      <c r="E1053" s="1"/>
      <c r="F1053" s="39">
        <f t="shared" si="40"/>
        <v>0</v>
      </c>
      <c r="G1053" s="395"/>
      <c r="H1053" s="395"/>
      <c r="J1053" s="42"/>
    </row>
    <row r="1054" spans="1:10" s="393" customFormat="1" x14ac:dyDescent="0.25">
      <c r="A1054" s="19" t="s">
        <v>22</v>
      </c>
      <c r="B1054" s="2">
        <v>43936</v>
      </c>
      <c r="C1054" s="1">
        <v>2</v>
      </c>
      <c r="D1054" s="39">
        <v>209</v>
      </c>
      <c r="E1054" s="1"/>
      <c r="F1054" s="39">
        <f>E1054+F1030</f>
        <v>2</v>
      </c>
      <c r="G1054" s="395"/>
      <c r="H1054" s="395"/>
      <c r="J1054" s="42"/>
    </row>
    <row r="1055" spans="1:10" s="393" customFormat="1" x14ac:dyDescent="0.25">
      <c r="A1055" s="19" t="s">
        <v>38</v>
      </c>
      <c r="B1055" s="2">
        <v>43936</v>
      </c>
      <c r="C1055" s="1">
        <v>0</v>
      </c>
      <c r="D1055" s="39">
        <v>12</v>
      </c>
      <c r="E1055" s="1"/>
      <c r="F1055" s="39">
        <f t="shared" si="40"/>
        <v>0</v>
      </c>
      <c r="G1055" s="395"/>
      <c r="H1055" s="395"/>
      <c r="J1055" s="42"/>
    </row>
    <row r="1056" spans="1:10" s="393" customFormat="1" x14ac:dyDescent="0.25">
      <c r="A1056" s="19" t="s">
        <v>39</v>
      </c>
      <c r="B1056" s="2">
        <v>43936</v>
      </c>
      <c r="C1056" s="1">
        <v>3</v>
      </c>
      <c r="D1056" s="39">
        <v>110</v>
      </c>
      <c r="E1056" s="1"/>
      <c r="F1056" s="39">
        <f t="shared" si="40"/>
        <v>0</v>
      </c>
      <c r="G1056" s="395"/>
      <c r="H1056" s="395"/>
      <c r="J1056" s="42"/>
    </row>
    <row r="1057" spans="1:10" s="393" customFormat="1" x14ac:dyDescent="0.25">
      <c r="A1057" s="19" t="s">
        <v>40</v>
      </c>
      <c r="B1057" s="2">
        <v>43936</v>
      </c>
      <c r="C1057" s="1">
        <v>0</v>
      </c>
      <c r="D1057" s="39">
        <v>30</v>
      </c>
      <c r="E1057" s="1"/>
      <c r="F1057" s="39">
        <f t="shared" si="40"/>
        <v>2</v>
      </c>
      <c r="G1057" s="395"/>
      <c r="H1057" s="395"/>
      <c r="J1057" s="42"/>
    </row>
    <row r="1058" spans="1:10" s="393" customFormat="1" x14ac:dyDescent="0.25">
      <c r="A1058" s="394" t="s">
        <v>16</v>
      </c>
      <c r="B1058" s="2">
        <v>43937</v>
      </c>
      <c r="C1058" s="1">
        <v>30</v>
      </c>
      <c r="D1058" s="39">
        <v>759</v>
      </c>
      <c r="E1058" s="1">
        <v>5</v>
      </c>
      <c r="F1058" s="39">
        <f>E1058+F1034</f>
        <v>48</v>
      </c>
      <c r="G1058" s="395"/>
      <c r="H1058" s="395"/>
      <c r="J1058" s="42"/>
    </row>
    <row r="1059" spans="1:10" s="393" customFormat="1" x14ac:dyDescent="0.25">
      <c r="A1059" s="19" t="s">
        <v>28</v>
      </c>
      <c r="B1059" s="2">
        <v>43937</v>
      </c>
      <c r="C1059" s="1">
        <v>0</v>
      </c>
      <c r="D1059" s="39">
        <v>0</v>
      </c>
      <c r="E1059" s="1"/>
      <c r="F1059" s="39">
        <f t="shared" ref="F1059:F1081" si="41">E1059+F1035</f>
        <v>0</v>
      </c>
      <c r="G1059" s="395"/>
      <c r="H1059" s="395"/>
      <c r="J1059" s="42"/>
    </row>
    <row r="1060" spans="1:10" s="393" customFormat="1" x14ac:dyDescent="0.25">
      <c r="A1060" s="19" t="s">
        <v>15</v>
      </c>
      <c r="B1060" s="2">
        <v>43937</v>
      </c>
      <c r="C1060" s="1">
        <v>11</v>
      </c>
      <c r="D1060" s="39">
        <v>202</v>
      </c>
      <c r="E1060" s="1">
        <v>1</v>
      </c>
      <c r="F1060" s="39">
        <f t="shared" si="41"/>
        <v>9</v>
      </c>
      <c r="G1060" s="395"/>
      <c r="H1060" s="395"/>
      <c r="J1060" s="42"/>
    </row>
    <row r="1061" spans="1:10" s="393" customFormat="1" x14ac:dyDescent="0.25">
      <c r="A1061" s="19" t="s">
        <v>29</v>
      </c>
      <c r="B1061" s="2">
        <v>43937</v>
      </c>
      <c r="C1061" s="1">
        <v>0</v>
      </c>
      <c r="D1061" s="39">
        <v>1</v>
      </c>
      <c r="E1061" s="1"/>
      <c r="F1061" s="39">
        <f t="shared" si="41"/>
        <v>1</v>
      </c>
      <c r="G1061" s="395"/>
      <c r="H1061" s="395"/>
      <c r="J1061" s="42"/>
    </row>
    <row r="1062" spans="1:10" s="393" customFormat="1" x14ac:dyDescent="0.25">
      <c r="A1062" s="19" t="s">
        <v>43</v>
      </c>
      <c r="B1062" s="2">
        <v>43937</v>
      </c>
      <c r="C1062" s="1">
        <v>15</v>
      </c>
      <c r="D1062" s="39">
        <v>663</v>
      </c>
      <c r="E1062" s="1">
        <v>3</v>
      </c>
      <c r="F1062" s="39">
        <f t="shared" si="41"/>
        <v>35</v>
      </c>
      <c r="G1062" s="395"/>
      <c r="H1062" s="395"/>
      <c r="J1062" s="42"/>
    </row>
    <row r="1063" spans="1:10" s="393" customFormat="1" x14ac:dyDescent="0.25">
      <c r="A1063" s="19" t="s">
        <v>20</v>
      </c>
      <c r="B1063" s="2">
        <v>43937</v>
      </c>
      <c r="C1063" s="1">
        <v>13</v>
      </c>
      <c r="D1063" s="39">
        <v>241</v>
      </c>
      <c r="E1063" s="1"/>
      <c r="F1063" s="39">
        <f t="shared" si="41"/>
        <v>6</v>
      </c>
      <c r="G1063" s="395"/>
      <c r="H1063" s="395"/>
      <c r="J1063" s="42"/>
    </row>
    <row r="1064" spans="1:10" s="393" customFormat="1" x14ac:dyDescent="0.25">
      <c r="A1064" s="19" t="s">
        <v>30</v>
      </c>
      <c r="B1064" s="2">
        <v>43937</v>
      </c>
      <c r="C1064" s="1">
        <v>0</v>
      </c>
      <c r="D1064" s="39">
        <v>31</v>
      </c>
      <c r="E1064" s="1"/>
      <c r="F1064" s="39">
        <f t="shared" si="41"/>
        <v>0</v>
      </c>
      <c r="G1064" s="395"/>
      <c r="H1064" s="395"/>
      <c r="J1064" s="42"/>
    </row>
    <row r="1065" spans="1:10" x14ac:dyDescent="0.25">
      <c r="A1065" s="19" t="s">
        <v>31</v>
      </c>
      <c r="B1065" s="2">
        <v>43937</v>
      </c>
      <c r="C1065" s="1">
        <v>1</v>
      </c>
      <c r="D1065" s="39">
        <v>22</v>
      </c>
      <c r="F1065" s="39">
        <f t="shared" si="41"/>
        <v>0</v>
      </c>
    </row>
    <row r="1066" spans="1:10" s="393" customFormat="1" x14ac:dyDescent="0.25">
      <c r="A1066" s="19" t="s">
        <v>41</v>
      </c>
      <c r="B1066" s="2">
        <v>43937</v>
      </c>
      <c r="C1066" s="1">
        <v>0</v>
      </c>
      <c r="D1066" s="39">
        <v>0</v>
      </c>
      <c r="E1066" s="1"/>
      <c r="F1066" s="39">
        <f t="shared" si="41"/>
        <v>0</v>
      </c>
      <c r="G1066" s="395"/>
      <c r="H1066" s="395"/>
      <c r="J1066" s="42"/>
    </row>
    <row r="1067" spans="1:10" s="393" customFormat="1" x14ac:dyDescent="0.25">
      <c r="A1067" s="19" t="s">
        <v>32</v>
      </c>
      <c r="B1067" s="2">
        <v>43937</v>
      </c>
      <c r="C1067" s="1">
        <v>0</v>
      </c>
      <c r="D1067" s="39">
        <v>5</v>
      </c>
      <c r="E1067" s="1"/>
      <c r="F1067" s="39">
        <f t="shared" si="41"/>
        <v>0</v>
      </c>
      <c r="G1067" s="395"/>
      <c r="H1067" s="395"/>
      <c r="J1067" s="42"/>
    </row>
    <row r="1068" spans="1:10" s="393" customFormat="1" x14ac:dyDescent="0.25">
      <c r="A1068" s="19" t="s">
        <v>33</v>
      </c>
      <c r="B1068" s="2">
        <v>43937</v>
      </c>
      <c r="C1068" s="1">
        <v>0</v>
      </c>
      <c r="D1068" s="39">
        <v>5</v>
      </c>
      <c r="E1068" s="1"/>
      <c r="F1068" s="39">
        <f t="shared" si="41"/>
        <v>0</v>
      </c>
      <c r="G1068" s="395"/>
      <c r="H1068" s="395"/>
      <c r="J1068" s="42"/>
    </row>
    <row r="1069" spans="1:10" s="393" customFormat="1" x14ac:dyDescent="0.25">
      <c r="A1069" s="19" t="s">
        <v>21</v>
      </c>
      <c r="B1069" s="2">
        <v>43937</v>
      </c>
      <c r="C1069" s="1">
        <v>3</v>
      </c>
      <c r="D1069" s="39">
        <v>34</v>
      </c>
      <c r="E1069" s="1"/>
      <c r="F1069" s="39">
        <f t="shared" si="41"/>
        <v>2</v>
      </c>
      <c r="G1069" s="395"/>
      <c r="H1069" s="395"/>
      <c r="J1069" s="42"/>
    </row>
    <row r="1070" spans="1:10" s="393" customFormat="1" x14ac:dyDescent="0.25">
      <c r="A1070" s="19" t="s">
        <v>17</v>
      </c>
      <c r="B1070" s="2">
        <v>43937</v>
      </c>
      <c r="C1070" s="1">
        <v>5</v>
      </c>
      <c r="D1070" s="39">
        <v>68</v>
      </c>
      <c r="E1070" s="1">
        <v>1</v>
      </c>
      <c r="F1070" s="39">
        <f t="shared" si="41"/>
        <v>5</v>
      </c>
      <c r="G1070" s="395"/>
      <c r="H1070" s="395"/>
      <c r="J1070" s="42"/>
    </row>
    <row r="1071" spans="1:10" s="393" customFormat="1" x14ac:dyDescent="0.25">
      <c r="A1071" s="19" t="s">
        <v>23</v>
      </c>
      <c r="B1071" s="2">
        <v>43937</v>
      </c>
      <c r="C1071" s="1">
        <v>0</v>
      </c>
      <c r="D1071" s="39">
        <v>3</v>
      </c>
      <c r="E1071" s="1"/>
      <c r="F1071" s="39">
        <f t="shared" si="41"/>
        <v>0</v>
      </c>
      <c r="G1071" s="395"/>
      <c r="H1071" s="395"/>
      <c r="J1071" s="42"/>
    </row>
    <row r="1072" spans="1:10" s="393" customFormat="1" x14ac:dyDescent="0.25">
      <c r="A1072" s="19" t="s">
        <v>19</v>
      </c>
      <c r="B1072" s="2">
        <v>43937</v>
      </c>
      <c r="C1072" s="1">
        <v>1</v>
      </c>
      <c r="D1072" s="39">
        <v>92</v>
      </c>
      <c r="E1072" s="1"/>
      <c r="F1072" s="39">
        <f t="shared" si="41"/>
        <v>3</v>
      </c>
      <c r="G1072" s="395"/>
      <c r="H1072" s="395"/>
      <c r="J1072" s="42"/>
    </row>
    <row r="1073" spans="1:10" s="393" customFormat="1" x14ac:dyDescent="0.25">
      <c r="A1073" s="19" t="s">
        <v>18</v>
      </c>
      <c r="B1073" s="2">
        <v>43937</v>
      </c>
      <c r="C1073" s="1">
        <v>9</v>
      </c>
      <c r="D1073" s="39">
        <v>115</v>
      </c>
      <c r="E1073" s="1"/>
      <c r="F1073" s="39">
        <f t="shared" si="41"/>
        <v>4</v>
      </c>
      <c r="G1073" s="395"/>
      <c r="H1073" s="395"/>
      <c r="J1073" s="42"/>
    </row>
    <row r="1074" spans="1:10" s="393" customFormat="1" x14ac:dyDescent="0.25">
      <c r="A1074" s="19" t="s">
        <v>34</v>
      </c>
      <c r="B1074" s="2">
        <v>43937</v>
      </c>
      <c r="C1074" s="1">
        <v>-1</v>
      </c>
      <c r="D1074" s="39">
        <v>3</v>
      </c>
      <c r="E1074" s="1"/>
      <c r="F1074" s="39">
        <f t="shared" si="41"/>
        <v>0</v>
      </c>
      <c r="G1074" s="395"/>
      <c r="H1074" s="395"/>
      <c r="J1074" s="42"/>
    </row>
    <row r="1075" spans="1:10" s="393" customFormat="1" x14ac:dyDescent="0.25">
      <c r="A1075" s="19" t="s">
        <v>35</v>
      </c>
      <c r="B1075" s="2">
        <v>43937</v>
      </c>
      <c r="C1075" s="1">
        <v>0</v>
      </c>
      <c r="D1075" s="39">
        <v>2</v>
      </c>
      <c r="E1075" s="1"/>
      <c r="F1075" s="39">
        <f t="shared" si="41"/>
        <v>0</v>
      </c>
      <c r="G1075" s="395"/>
      <c r="H1075" s="395"/>
      <c r="J1075" s="42"/>
    </row>
    <row r="1076" spans="1:10" s="393" customFormat="1" x14ac:dyDescent="0.25">
      <c r="A1076" s="19" t="s">
        <v>36</v>
      </c>
      <c r="B1076" s="2">
        <v>43937</v>
      </c>
      <c r="C1076" s="1">
        <v>0</v>
      </c>
      <c r="D1076" s="39">
        <v>11</v>
      </c>
      <c r="E1076" s="1"/>
      <c r="F1076" s="39">
        <f t="shared" si="41"/>
        <v>0</v>
      </c>
      <c r="G1076" s="395"/>
      <c r="H1076" s="395"/>
      <c r="J1076" s="42"/>
    </row>
    <row r="1077" spans="1:10" s="393" customFormat="1" x14ac:dyDescent="0.25">
      <c r="A1077" s="19" t="s">
        <v>37</v>
      </c>
      <c r="B1077" s="2">
        <v>43937</v>
      </c>
      <c r="C1077" s="1">
        <v>0</v>
      </c>
      <c r="D1077" s="39">
        <v>40</v>
      </c>
      <c r="E1077" s="1"/>
      <c r="F1077" s="39">
        <f t="shared" si="41"/>
        <v>0</v>
      </c>
      <c r="G1077" s="395"/>
      <c r="H1077" s="395"/>
      <c r="J1077" s="42"/>
    </row>
    <row r="1078" spans="1:10" s="393" customFormat="1" x14ac:dyDescent="0.25">
      <c r="A1078" s="19" t="s">
        <v>22</v>
      </c>
      <c r="B1078" s="2">
        <v>43937</v>
      </c>
      <c r="C1078" s="1">
        <v>3</v>
      </c>
      <c r="D1078" s="39">
        <v>212</v>
      </c>
      <c r="E1078" s="1"/>
      <c r="F1078" s="39">
        <f>E1078+F1054</f>
        <v>2</v>
      </c>
      <c r="G1078" s="395"/>
      <c r="H1078" s="395"/>
      <c r="J1078" s="42"/>
    </row>
    <row r="1079" spans="1:10" s="393" customFormat="1" x14ac:dyDescent="0.25">
      <c r="A1079" s="19" t="s">
        <v>38</v>
      </c>
      <c r="B1079" s="2">
        <v>43937</v>
      </c>
      <c r="C1079" s="1">
        <v>0</v>
      </c>
      <c r="D1079" s="39">
        <v>12</v>
      </c>
      <c r="E1079" s="1"/>
      <c r="F1079" s="39">
        <f t="shared" si="41"/>
        <v>0</v>
      </c>
      <c r="G1079" s="395"/>
      <c r="H1079" s="395"/>
      <c r="J1079" s="42"/>
    </row>
    <row r="1080" spans="1:10" s="393" customFormat="1" x14ac:dyDescent="0.25">
      <c r="A1080" s="19" t="s">
        <v>39</v>
      </c>
      <c r="B1080" s="2">
        <v>43937</v>
      </c>
      <c r="C1080" s="1">
        <v>7</v>
      </c>
      <c r="D1080" s="39">
        <v>117</v>
      </c>
      <c r="E1080" s="1"/>
      <c r="F1080" s="39">
        <f t="shared" si="41"/>
        <v>0</v>
      </c>
      <c r="G1080" s="395"/>
      <c r="H1080" s="395"/>
      <c r="J1080" s="42"/>
    </row>
    <row r="1081" spans="1:10" s="393" customFormat="1" x14ac:dyDescent="0.25">
      <c r="A1081" s="19" t="s">
        <v>40</v>
      </c>
      <c r="B1081" s="2">
        <v>43937</v>
      </c>
      <c r="C1081" s="1">
        <v>0</v>
      </c>
      <c r="D1081" s="39">
        <v>30</v>
      </c>
      <c r="E1081" s="1"/>
      <c r="F1081" s="39">
        <f t="shared" si="41"/>
        <v>2</v>
      </c>
      <c r="G1081" s="395"/>
      <c r="H1081" s="395"/>
      <c r="J1081" s="42"/>
    </row>
    <row r="1082" spans="1:10" s="393" customFormat="1" x14ac:dyDescent="0.25">
      <c r="A1082" s="394" t="s">
        <v>16</v>
      </c>
      <c r="B1082" s="2">
        <v>43938</v>
      </c>
      <c r="C1082" s="1">
        <v>35</v>
      </c>
      <c r="D1082" s="39">
        <v>794</v>
      </c>
      <c r="E1082" s="1">
        <v>3</v>
      </c>
      <c r="F1082" s="39">
        <f>E1082+F1058</f>
        <v>51</v>
      </c>
      <c r="G1082" s="395"/>
      <c r="H1082" s="395"/>
      <c r="J1082" s="42"/>
    </row>
    <row r="1083" spans="1:10" s="393" customFormat="1" x14ac:dyDescent="0.25">
      <c r="A1083" s="19" t="s">
        <v>28</v>
      </c>
      <c r="B1083" s="2">
        <v>43938</v>
      </c>
      <c r="C1083" s="1">
        <v>0</v>
      </c>
      <c r="D1083" s="39">
        <v>0</v>
      </c>
      <c r="E1083" s="1"/>
      <c r="F1083" s="39">
        <f t="shared" ref="F1083:F1105" si="42">E1083+F1059</f>
        <v>0</v>
      </c>
      <c r="G1083" s="395"/>
      <c r="H1083" s="395"/>
      <c r="J1083" s="42"/>
    </row>
    <row r="1084" spans="1:10" s="393" customFormat="1" x14ac:dyDescent="0.25">
      <c r="A1084" s="19" t="s">
        <v>15</v>
      </c>
      <c r="B1084" s="2">
        <v>43938</v>
      </c>
      <c r="C1084" s="1">
        <v>22</v>
      </c>
      <c r="D1084" s="39">
        <v>224</v>
      </c>
      <c r="E1084" s="1"/>
      <c r="F1084" s="39">
        <f t="shared" si="42"/>
        <v>9</v>
      </c>
      <c r="G1084" s="395"/>
      <c r="H1084" s="395"/>
      <c r="J1084" s="42"/>
    </row>
    <row r="1085" spans="1:10" s="393" customFormat="1" x14ac:dyDescent="0.25">
      <c r="A1085" s="19" t="s">
        <v>29</v>
      </c>
      <c r="B1085" s="2">
        <v>43938</v>
      </c>
      <c r="C1085" s="1">
        <v>0</v>
      </c>
      <c r="D1085" s="39">
        <v>1</v>
      </c>
      <c r="E1085" s="1"/>
      <c r="F1085" s="39">
        <f t="shared" si="42"/>
        <v>1</v>
      </c>
      <c r="G1085" s="395"/>
      <c r="H1085" s="395"/>
      <c r="J1085" s="42"/>
    </row>
    <row r="1086" spans="1:10" s="393" customFormat="1" x14ac:dyDescent="0.25">
      <c r="A1086" s="19" t="s">
        <v>43</v>
      </c>
      <c r="B1086" s="2">
        <v>43938</v>
      </c>
      <c r="C1086" s="1">
        <v>14</v>
      </c>
      <c r="D1086" s="39">
        <v>677</v>
      </c>
      <c r="E1086" s="1">
        <v>1</v>
      </c>
      <c r="F1086" s="39">
        <f t="shared" si="42"/>
        <v>36</v>
      </c>
      <c r="G1086" s="395"/>
      <c r="H1086" s="395"/>
      <c r="J1086" s="42"/>
    </row>
    <row r="1087" spans="1:10" s="393" customFormat="1" x14ac:dyDescent="0.25">
      <c r="A1087" s="19" t="s">
        <v>20</v>
      </c>
      <c r="B1087" s="2">
        <v>43938</v>
      </c>
      <c r="C1087" s="1">
        <v>6</v>
      </c>
      <c r="D1087" s="39">
        <v>247</v>
      </c>
      <c r="E1087" s="1"/>
      <c r="F1087" s="39">
        <f t="shared" si="42"/>
        <v>6</v>
      </c>
      <c r="G1087" s="395"/>
      <c r="H1087" s="395"/>
      <c r="J1087" s="42"/>
    </row>
    <row r="1088" spans="1:10" s="393" customFormat="1" x14ac:dyDescent="0.25">
      <c r="A1088" s="19" t="s">
        <v>30</v>
      </c>
      <c r="B1088" s="2">
        <v>43938</v>
      </c>
      <c r="C1088" s="1">
        <v>0</v>
      </c>
      <c r="D1088" s="39">
        <v>31</v>
      </c>
      <c r="E1088" s="1"/>
      <c r="F1088" s="39">
        <f t="shared" si="42"/>
        <v>0</v>
      </c>
      <c r="G1088" s="395"/>
      <c r="H1088" s="395"/>
      <c r="J1088" s="42"/>
    </row>
    <row r="1089" spans="1:10" x14ac:dyDescent="0.25">
      <c r="A1089" s="19" t="s">
        <v>31</v>
      </c>
      <c r="B1089" s="2">
        <v>43938</v>
      </c>
      <c r="C1089" s="1">
        <v>0</v>
      </c>
      <c r="D1089" s="39">
        <v>22</v>
      </c>
      <c r="F1089" s="39">
        <f t="shared" si="42"/>
        <v>0</v>
      </c>
    </row>
    <row r="1090" spans="1:10" s="393" customFormat="1" x14ac:dyDescent="0.25">
      <c r="A1090" s="19" t="s">
        <v>41</v>
      </c>
      <c r="B1090" s="2">
        <v>43938</v>
      </c>
      <c r="C1090" s="1">
        <v>0</v>
      </c>
      <c r="D1090" s="39">
        <v>0</v>
      </c>
      <c r="E1090" s="1"/>
      <c r="F1090" s="39">
        <f t="shared" si="42"/>
        <v>0</v>
      </c>
      <c r="G1090" s="395"/>
      <c r="H1090" s="395"/>
      <c r="J1090" s="42"/>
    </row>
    <row r="1091" spans="1:10" s="393" customFormat="1" x14ac:dyDescent="0.25">
      <c r="A1091" s="19" t="s">
        <v>32</v>
      </c>
      <c r="B1091" s="2">
        <v>43938</v>
      </c>
      <c r="C1091" s="1">
        <v>0</v>
      </c>
      <c r="D1091" s="39">
        <v>5</v>
      </c>
      <c r="E1091" s="1"/>
      <c r="F1091" s="39">
        <f t="shared" si="42"/>
        <v>0</v>
      </c>
      <c r="G1091" s="395"/>
      <c r="H1091" s="395"/>
      <c r="J1091" s="42"/>
    </row>
    <row r="1092" spans="1:10" s="393" customFormat="1" x14ac:dyDescent="0.25">
      <c r="A1092" s="19" t="s">
        <v>33</v>
      </c>
      <c r="B1092" s="2">
        <v>43938</v>
      </c>
      <c r="C1092" s="1">
        <v>0</v>
      </c>
      <c r="D1092" s="39">
        <v>5</v>
      </c>
      <c r="E1092" s="1"/>
      <c r="F1092" s="39">
        <f t="shared" si="42"/>
        <v>0</v>
      </c>
      <c r="G1092" s="395"/>
      <c r="H1092" s="395"/>
      <c r="J1092" s="42"/>
    </row>
    <row r="1093" spans="1:10" s="393" customFormat="1" x14ac:dyDescent="0.25">
      <c r="A1093" s="19" t="s">
        <v>21</v>
      </c>
      <c r="B1093" s="2">
        <v>43938</v>
      </c>
      <c r="C1093" s="1">
        <v>1</v>
      </c>
      <c r="D1093" s="39">
        <v>35</v>
      </c>
      <c r="E1093" s="1">
        <v>1</v>
      </c>
      <c r="F1093" s="39">
        <f t="shared" si="42"/>
        <v>3</v>
      </c>
      <c r="G1093" s="395"/>
      <c r="H1093" s="395"/>
      <c r="J1093" s="42"/>
    </row>
    <row r="1094" spans="1:10" s="393" customFormat="1" x14ac:dyDescent="0.25">
      <c r="A1094" s="19" t="s">
        <v>17</v>
      </c>
      <c r="B1094" s="2">
        <v>43938</v>
      </c>
      <c r="C1094" s="1">
        <v>1</v>
      </c>
      <c r="D1094" s="39">
        <v>69</v>
      </c>
      <c r="E1094" s="1">
        <v>2</v>
      </c>
      <c r="F1094" s="39">
        <f t="shared" si="42"/>
        <v>7</v>
      </c>
      <c r="G1094" s="395"/>
      <c r="H1094" s="395"/>
      <c r="J1094" s="42"/>
    </row>
    <row r="1095" spans="1:10" s="393" customFormat="1" x14ac:dyDescent="0.25">
      <c r="A1095" s="19" t="s">
        <v>23</v>
      </c>
      <c r="B1095" s="2">
        <v>43938</v>
      </c>
      <c r="C1095" s="1">
        <v>1</v>
      </c>
      <c r="D1095" s="39">
        <v>4</v>
      </c>
      <c r="E1095" s="1"/>
      <c r="F1095" s="39">
        <f t="shared" si="42"/>
        <v>0</v>
      </c>
      <c r="G1095" s="395"/>
      <c r="H1095" s="395"/>
      <c r="J1095" s="42"/>
    </row>
    <row r="1096" spans="1:10" s="393" customFormat="1" x14ac:dyDescent="0.25">
      <c r="A1096" s="19" t="s">
        <v>19</v>
      </c>
      <c r="B1096" s="2">
        <v>43938</v>
      </c>
      <c r="C1096" s="1">
        <v>1</v>
      </c>
      <c r="D1096" s="39">
        <v>93</v>
      </c>
      <c r="E1096" s="1"/>
      <c r="F1096" s="39">
        <f t="shared" si="42"/>
        <v>3</v>
      </c>
      <c r="G1096" s="395"/>
      <c r="H1096" s="395"/>
      <c r="J1096" s="42"/>
    </row>
    <row r="1097" spans="1:10" s="393" customFormat="1" x14ac:dyDescent="0.25">
      <c r="A1097" s="19" t="s">
        <v>18</v>
      </c>
      <c r="B1097" s="2">
        <v>43938</v>
      </c>
      <c r="C1097" s="1">
        <v>1</v>
      </c>
      <c r="D1097" s="39">
        <v>116</v>
      </c>
      <c r="E1097" s="1"/>
      <c r="F1097" s="39">
        <f t="shared" si="42"/>
        <v>4</v>
      </c>
      <c r="G1097" s="395"/>
      <c r="H1097" s="395"/>
      <c r="J1097" s="42"/>
    </row>
    <row r="1098" spans="1:10" s="393" customFormat="1" x14ac:dyDescent="0.25">
      <c r="A1098" s="19" t="s">
        <v>34</v>
      </c>
      <c r="B1098" s="2">
        <v>43938</v>
      </c>
      <c r="C1098" s="1">
        <v>0</v>
      </c>
      <c r="D1098" s="39">
        <v>3</v>
      </c>
      <c r="E1098" s="1"/>
      <c r="F1098" s="39">
        <f t="shared" si="42"/>
        <v>0</v>
      </c>
      <c r="G1098" s="395"/>
      <c r="H1098" s="395"/>
      <c r="J1098" s="42"/>
    </row>
    <row r="1099" spans="1:10" s="393" customFormat="1" x14ac:dyDescent="0.25">
      <c r="A1099" s="19" t="s">
        <v>35</v>
      </c>
      <c r="B1099" s="2">
        <v>43938</v>
      </c>
      <c r="C1099" s="1">
        <v>0</v>
      </c>
      <c r="D1099" s="39">
        <v>2</v>
      </c>
      <c r="E1099" s="1"/>
      <c r="F1099" s="39">
        <f t="shared" si="42"/>
        <v>0</v>
      </c>
      <c r="G1099" s="395"/>
      <c r="H1099" s="395"/>
      <c r="J1099" s="42"/>
    </row>
    <row r="1100" spans="1:10" s="393" customFormat="1" x14ac:dyDescent="0.25">
      <c r="A1100" s="19" t="s">
        <v>36</v>
      </c>
      <c r="B1100" s="2">
        <v>43938</v>
      </c>
      <c r="C1100" s="1">
        <v>0</v>
      </c>
      <c r="D1100" s="39">
        <v>11</v>
      </c>
      <c r="E1100" s="1"/>
      <c r="F1100" s="39">
        <f t="shared" si="42"/>
        <v>0</v>
      </c>
      <c r="G1100" s="395"/>
      <c r="H1100" s="395"/>
      <c r="J1100" s="42"/>
    </row>
    <row r="1101" spans="1:10" s="393" customFormat="1" x14ac:dyDescent="0.25">
      <c r="A1101" s="19" t="s">
        <v>37</v>
      </c>
      <c r="B1101" s="2">
        <v>43938</v>
      </c>
      <c r="C1101" s="1">
        <v>0</v>
      </c>
      <c r="D1101" s="39">
        <v>40</v>
      </c>
      <c r="E1101" s="1"/>
      <c r="F1101" s="39">
        <f t="shared" si="42"/>
        <v>0</v>
      </c>
      <c r="G1101" s="395"/>
      <c r="H1101" s="395"/>
      <c r="J1101" s="42"/>
    </row>
    <row r="1102" spans="1:10" s="393" customFormat="1" x14ac:dyDescent="0.25">
      <c r="A1102" s="19" t="s">
        <v>22</v>
      </c>
      <c r="B1102" s="2">
        <v>43938</v>
      </c>
      <c r="C1102" s="1">
        <v>6</v>
      </c>
      <c r="D1102" s="39">
        <v>218</v>
      </c>
      <c r="E1102" s="1"/>
      <c r="F1102" s="39">
        <f>E1102+F1078</f>
        <v>2</v>
      </c>
      <c r="G1102" s="395"/>
      <c r="H1102" s="395"/>
      <c r="J1102" s="42"/>
    </row>
    <row r="1103" spans="1:10" s="393" customFormat="1" x14ac:dyDescent="0.25">
      <c r="A1103" s="19" t="s">
        <v>38</v>
      </c>
      <c r="B1103" s="2">
        <v>43938</v>
      </c>
      <c r="C1103" s="1">
        <v>0</v>
      </c>
      <c r="D1103" s="39">
        <v>12</v>
      </c>
      <c r="E1103" s="1"/>
      <c r="F1103" s="39">
        <f t="shared" si="42"/>
        <v>0</v>
      </c>
      <c r="G1103" s="395"/>
      <c r="H1103" s="395"/>
      <c r="J1103" s="42"/>
    </row>
    <row r="1104" spans="1:10" s="393" customFormat="1" x14ac:dyDescent="0.25">
      <c r="A1104" s="19" t="s">
        <v>39</v>
      </c>
      <c r="B1104" s="2">
        <v>43938</v>
      </c>
      <c r="C1104" s="1">
        <v>2</v>
      </c>
      <c r="D1104" s="39">
        <v>119</v>
      </c>
      <c r="E1104" s="1"/>
      <c r="F1104" s="39">
        <f t="shared" si="42"/>
        <v>0</v>
      </c>
      <c r="G1104" s="395"/>
      <c r="H1104" s="395"/>
      <c r="J1104" s="42"/>
    </row>
    <row r="1105" spans="1:10" s="393" customFormat="1" x14ac:dyDescent="0.25">
      <c r="A1105" s="19" t="s">
        <v>40</v>
      </c>
      <c r="B1105" s="2">
        <v>43938</v>
      </c>
      <c r="C1105" s="1">
        <v>0</v>
      </c>
      <c r="D1105" s="39">
        <v>30</v>
      </c>
      <c r="E1105" s="1"/>
      <c r="F1105" s="39">
        <f t="shared" si="42"/>
        <v>2</v>
      </c>
      <c r="G1105" s="395"/>
      <c r="H1105" s="395"/>
      <c r="J1105" s="42"/>
    </row>
    <row r="1106" spans="1:10" s="393" customFormat="1" x14ac:dyDescent="0.25">
      <c r="A1106" s="394" t="s">
        <v>16</v>
      </c>
      <c r="B1106" s="2">
        <v>43939</v>
      </c>
      <c r="C1106" s="1">
        <v>31</v>
      </c>
      <c r="D1106" s="39">
        <v>825</v>
      </c>
      <c r="E1106" s="1">
        <v>2</v>
      </c>
      <c r="F1106" s="39">
        <f>E1106+F1082</f>
        <v>53</v>
      </c>
      <c r="G1106" s="395"/>
      <c r="H1106" s="395"/>
      <c r="J1106" s="42"/>
    </row>
    <row r="1107" spans="1:10" s="393" customFormat="1" x14ac:dyDescent="0.25">
      <c r="A1107" s="19" t="s">
        <v>28</v>
      </c>
      <c r="B1107" s="2">
        <v>43939</v>
      </c>
      <c r="C1107" s="1">
        <v>0</v>
      </c>
      <c r="D1107" s="39">
        <v>0</v>
      </c>
      <c r="E1107" s="1"/>
      <c r="F1107" s="39">
        <f t="shared" ref="F1107:F1129" si="43">E1107+F1083</f>
        <v>0</v>
      </c>
      <c r="G1107" s="395"/>
      <c r="H1107" s="395"/>
      <c r="J1107" s="42"/>
    </row>
    <row r="1108" spans="1:10" s="393" customFormat="1" x14ac:dyDescent="0.25">
      <c r="A1108" s="19" t="s">
        <v>15</v>
      </c>
      <c r="B1108" s="2">
        <v>43939</v>
      </c>
      <c r="C1108" s="1">
        <v>24</v>
      </c>
      <c r="D1108" s="39">
        <v>248</v>
      </c>
      <c r="E1108" s="1"/>
      <c r="F1108" s="39">
        <f t="shared" si="43"/>
        <v>9</v>
      </c>
      <c r="G1108" s="395"/>
      <c r="H1108" s="395"/>
      <c r="J1108" s="42"/>
    </row>
    <row r="1109" spans="1:10" s="393" customFormat="1" x14ac:dyDescent="0.25">
      <c r="A1109" s="19" t="s">
        <v>29</v>
      </c>
      <c r="B1109" s="2">
        <v>43939</v>
      </c>
      <c r="C1109" s="1">
        <v>0</v>
      </c>
      <c r="D1109" s="39">
        <v>1</v>
      </c>
      <c r="E1109" s="1"/>
      <c r="F1109" s="39">
        <f t="shared" si="43"/>
        <v>1</v>
      </c>
      <c r="G1109" s="395"/>
      <c r="H1109" s="395"/>
      <c r="J1109" s="42"/>
    </row>
    <row r="1110" spans="1:10" s="393" customFormat="1" x14ac:dyDescent="0.25">
      <c r="A1110" s="19" t="s">
        <v>43</v>
      </c>
      <c r="B1110" s="2">
        <v>43939</v>
      </c>
      <c r="C1110" s="1">
        <v>14</v>
      </c>
      <c r="D1110" s="39">
        <v>691</v>
      </c>
      <c r="E1110" s="1">
        <v>1</v>
      </c>
      <c r="F1110" s="39">
        <f t="shared" si="43"/>
        <v>37</v>
      </c>
      <c r="G1110" s="395"/>
      <c r="H1110" s="395"/>
      <c r="J1110" s="42"/>
    </row>
    <row r="1111" spans="1:10" s="393" customFormat="1" x14ac:dyDescent="0.25">
      <c r="A1111" s="19" t="s">
        <v>20</v>
      </c>
      <c r="B1111" s="2">
        <v>43939</v>
      </c>
      <c r="C1111" s="1">
        <v>2</v>
      </c>
      <c r="D1111" s="39">
        <v>249</v>
      </c>
      <c r="E1111" s="1"/>
      <c r="F1111" s="39">
        <f t="shared" si="43"/>
        <v>6</v>
      </c>
      <c r="G1111" s="395"/>
      <c r="H1111" s="395"/>
      <c r="J1111" s="42"/>
    </row>
    <row r="1112" spans="1:10" s="393" customFormat="1" x14ac:dyDescent="0.25">
      <c r="A1112" s="19" t="s">
        <v>30</v>
      </c>
      <c r="B1112" s="2">
        <v>43939</v>
      </c>
      <c r="C1112" s="1">
        <v>0</v>
      </c>
      <c r="D1112" s="39">
        <v>31</v>
      </c>
      <c r="E1112" s="1"/>
      <c r="F1112" s="39">
        <f t="shared" si="43"/>
        <v>0</v>
      </c>
      <c r="G1112" s="395"/>
      <c r="H1112" s="395"/>
      <c r="J1112" s="42"/>
    </row>
    <row r="1113" spans="1:10" x14ac:dyDescent="0.25">
      <c r="A1113" s="19" t="s">
        <v>31</v>
      </c>
      <c r="B1113" s="2">
        <v>43939</v>
      </c>
      <c r="C1113" s="1">
        <v>0</v>
      </c>
      <c r="D1113" s="39">
        <v>22</v>
      </c>
      <c r="F1113" s="39">
        <f t="shared" si="43"/>
        <v>0</v>
      </c>
    </row>
    <row r="1114" spans="1:10" s="393" customFormat="1" x14ac:dyDescent="0.25">
      <c r="A1114" s="19" t="s">
        <v>41</v>
      </c>
      <c r="B1114" s="2">
        <v>43939</v>
      </c>
      <c r="C1114" s="1">
        <v>0</v>
      </c>
      <c r="D1114" s="39">
        <v>0</v>
      </c>
      <c r="E1114" s="1"/>
      <c r="F1114" s="39">
        <f t="shared" si="43"/>
        <v>0</v>
      </c>
      <c r="G1114" s="395"/>
      <c r="H1114" s="395"/>
      <c r="J1114" s="42"/>
    </row>
    <row r="1115" spans="1:10" s="393" customFormat="1" x14ac:dyDescent="0.25">
      <c r="A1115" s="19" t="s">
        <v>32</v>
      </c>
      <c r="B1115" s="2">
        <v>43939</v>
      </c>
      <c r="C1115" s="1">
        <v>0</v>
      </c>
      <c r="D1115" s="39">
        <v>5</v>
      </c>
      <c r="E1115" s="1"/>
      <c r="F1115" s="39">
        <f t="shared" si="43"/>
        <v>0</v>
      </c>
      <c r="G1115" s="395"/>
      <c r="H1115" s="395"/>
      <c r="J1115" s="42"/>
    </row>
    <row r="1116" spans="1:10" s="393" customFormat="1" x14ac:dyDescent="0.25">
      <c r="A1116" s="19" t="s">
        <v>33</v>
      </c>
      <c r="B1116" s="2">
        <v>43939</v>
      </c>
      <c r="C1116" s="1">
        <v>0</v>
      </c>
      <c r="D1116" s="39">
        <v>5</v>
      </c>
      <c r="E1116" s="1"/>
      <c r="F1116" s="39">
        <f t="shared" si="43"/>
        <v>0</v>
      </c>
      <c r="G1116" s="395"/>
      <c r="H1116" s="395"/>
      <c r="J1116" s="42"/>
    </row>
    <row r="1117" spans="1:10" s="393" customFormat="1" x14ac:dyDescent="0.25">
      <c r="A1117" s="19" t="s">
        <v>21</v>
      </c>
      <c r="B1117" s="2">
        <v>43939</v>
      </c>
      <c r="C1117" s="1">
        <v>0</v>
      </c>
      <c r="D1117" s="39">
        <v>35</v>
      </c>
      <c r="E1117" s="1"/>
      <c r="F1117" s="39">
        <f t="shared" si="43"/>
        <v>3</v>
      </c>
      <c r="G1117" s="395"/>
      <c r="H1117" s="395"/>
      <c r="J1117" s="42"/>
    </row>
    <row r="1118" spans="1:10" s="393" customFormat="1" x14ac:dyDescent="0.25">
      <c r="A1118" s="19" t="s">
        <v>17</v>
      </c>
      <c r="B1118" s="2">
        <v>43939</v>
      </c>
      <c r="C1118" s="1">
        <v>0</v>
      </c>
      <c r="D1118" s="39">
        <v>69</v>
      </c>
      <c r="E1118" s="1"/>
      <c r="F1118" s="39">
        <f t="shared" si="43"/>
        <v>7</v>
      </c>
      <c r="G1118" s="395"/>
      <c r="H1118" s="395"/>
      <c r="J1118" s="42"/>
    </row>
    <row r="1119" spans="1:10" s="393" customFormat="1" x14ac:dyDescent="0.25">
      <c r="A1119" s="19" t="s">
        <v>23</v>
      </c>
      <c r="B1119" s="2">
        <v>43939</v>
      </c>
      <c r="C1119" s="1">
        <v>1</v>
      </c>
      <c r="D1119" s="39">
        <v>5</v>
      </c>
      <c r="E1119" s="1"/>
      <c r="F1119" s="39">
        <f t="shared" si="43"/>
        <v>0</v>
      </c>
      <c r="G1119" s="395"/>
      <c r="H1119" s="395"/>
      <c r="J1119" s="42"/>
    </row>
    <row r="1120" spans="1:10" s="393" customFormat="1" x14ac:dyDescent="0.25">
      <c r="A1120" s="19" t="s">
        <v>19</v>
      </c>
      <c r="B1120" s="2">
        <v>43939</v>
      </c>
      <c r="C1120" s="1">
        <v>3</v>
      </c>
      <c r="D1120" s="39">
        <v>96</v>
      </c>
      <c r="E1120" s="1"/>
      <c r="F1120" s="39">
        <f t="shared" si="43"/>
        <v>3</v>
      </c>
      <c r="G1120" s="395"/>
      <c r="H1120" s="395"/>
      <c r="J1120" s="42"/>
    </row>
    <row r="1121" spans="1:10" s="393" customFormat="1" x14ac:dyDescent="0.25">
      <c r="A1121" s="19" t="s">
        <v>18</v>
      </c>
      <c r="B1121" s="2">
        <v>43939</v>
      </c>
      <c r="C1121" s="1">
        <v>3</v>
      </c>
      <c r="D1121" s="39">
        <v>119</v>
      </c>
      <c r="E1121" s="1"/>
      <c r="F1121" s="39">
        <f t="shared" si="43"/>
        <v>4</v>
      </c>
      <c r="G1121" s="395"/>
      <c r="H1121" s="395"/>
      <c r="J1121" s="42"/>
    </row>
    <row r="1122" spans="1:10" s="393" customFormat="1" x14ac:dyDescent="0.25">
      <c r="A1122" s="19" t="s">
        <v>34</v>
      </c>
      <c r="B1122" s="2">
        <v>43939</v>
      </c>
      <c r="C1122" s="1">
        <v>0</v>
      </c>
      <c r="D1122" s="39">
        <v>3</v>
      </c>
      <c r="E1122" s="1"/>
      <c r="F1122" s="39">
        <f t="shared" si="43"/>
        <v>0</v>
      </c>
      <c r="G1122" s="395"/>
      <c r="H1122" s="395"/>
      <c r="J1122" s="42"/>
    </row>
    <row r="1123" spans="1:10" s="393" customFormat="1" x14ac:dyDescent="0.25">
      <c r="A1123" s="19" t="s">
        <v>35</v>
      </c>
      <c r="B1123" s="2">
        <v>43939</v>
      </c>
      <c r="C1123" s="1">
        <v>0</v>
      </c>
      <c r="D1123" s="39">
        <v>2</v>
      </c>
      <c r="E1123" s="1"/>
      <c r="F1123" s="39">
        <f t="shared" si="43"/>
        <v>0</v>
      </c>
      <c r="G1123" s="395"/>
      <c r="H1123" s="395"/>
      <c r="J1123" s="42"/>
    </row>
    <row r="1124" spans="1:10" s="393" customFormat="1" x14ac:dyDescent="0.25">
      <c r="A1124" s="19" t="s">
        <v>36</v>
      </c>
      <c r="B1124" s="2">
        <v>43939</v>
      </c>
      <c r="C1124" s="1">
        <v>0</v>
      </c>
      <c r="D1124" s="39">
        <v>11</v>
      </c>
      <c r="E1124" s="1"/>
      <c r="F1124" s="39">
        <f t="shared" si="43"/>
        <v>0</v>
      </c>
      <c r="G1124" s="395"/>
      <c r="H1124" s="395"/>
      <c r="J1124" s="42"/>
    </row>
    <row r="1125" spans="1:10" s="393" customFormat="1" x14ac:dyDescent="0.25">
      <c r="A1125" s="19" t="s">
        <v>37</v>
      </c>
      <c r="B1125" s="2">
        <v>43939</v>
      </c>
      <c r="C1125" s="1">
        <v>0</v>
      </c>
      <c r="D1125" s="39">
        <v>40</v>
      </c>
      <c r="E1125" s="1"/>
      <c r="F1125" s="39">
        <f t="shared" si="43"/>
        <v>0</v>
      </c>
      <c r="G1125" s="395"/>
      <c r="H1125" s="395"/>
      <c r="J1125" s="42"/>
    </row>
    <row r="1126" spans="1:10" s="393" customFormat="1" x14ac:dyDescent="0.25">
      <c r="A1126" s="19" t="s">
        <v>22</v>
      </c>
      <c r="B1126" s="2">
        <v>43939</v>
      </c>
      <c r="C1126" s="1">
        <v>3</v>
      </c>
      <c r="D1126" s="39">
        <v>221</v>
      </c>
      <c r="E1126" s="1"/>
      <c r="F1126" s="39">
        <f>E1126+F1102</f>
        <v>2</v>
      </c>
      <c r="G1126" s="395"/>
      <c r="H1126" s="395"/>
      <c r="J1126" s="42"/>
    </row>
    <row r="1127" spans="1:10" s="393" customFormat="1" x14ac:dyDescent="0.25">
      <c r="A1127" s="19" t="s">
        <v>38</v>
      </c>
      <c r="B1127" s="2">
        <v>43939</v>
      </c>
      <c r="C1127" s="1">
        <v>0</v>
      </c>
      <c r="D1127" s="39">
        <v>12</v>
      </c>
      <c r="E1127" s="1"/>
      <c r="F1127" s="39">
        <f t="shared" si="43"/>
        <v>0</v>
      </c>
      <c r="G1127" s="395"/>
      <c r="H1127" s="395"/>
      <c r="J1127" s="42"/>
    </row>
    <row r="1128" spans="1:10" s="393" customFormat="1" x14ac:dyDescent="0.25">
      <c r="A1128" s="19" t="s">
        <v>39</v>
      </c>
      <c r="B1128" s="2">
        <v>43939</v>
      </c>
      <c r="C1128" s="1">
        <v>0</v>
      </c>
      <c r="D1128" s="39">
        <v>119</v>
      </c>
      <c r="E1128" s="1"/>
      <c r="F1128" s="39">
        <f t="shared" si="43"/>
        <v>0</v>
      </c>
      <c r="G1128" s="395"/>
      <c r="H1128" s="395"/>
      <c r="J1128" s="42"/>
    </row>
    <row r="1129" spans="1:10" s="393" customFormat="1" x14ac:dyDescent="0.25">
      <c r="A1129" s="19" t="s">
        <v>40</v>
      </c>
      <c r="B1129" s="2">
        <v>43939</v>
      </c>
      <c r="C1129" s="1">
        <v>0</v>
      </c>
      <c r="D1129" s="39">
        <v>30</v>
      </c>
      <c r="E1129" s="1"/>
      <c r="F1129" s="39">
        <f t="shared" si="43"/>
        <v>2</v>
      </c>
      <c r="G1129" s="395"/>
      <c r="H1129" s="395"/>
      <c r="J1129" s="42"/>
    </row>
    <row r="1130" spans="1:10" s="393" customFormat="1" x14ac:dyDescent="0.25">
      <c r="A1130" s="394" t="s">
        <v>16</v>
      </c>
      <c r="B1130" s="2">
        <v>43940</v>
      </c>
      <c r="C1130" s="1">
        <v>48</v>
      </c>
      <c r="D1130" s="39">
        <v>873</v>
      </c>
      <c r="E1130" s="1">
        <v>1</v>
      </c>
      <c r="F1130" s="39">
        <f>E1130+F1106</f>
        <v>54</v>
      </c>
      <c r="G1130" s="395"/>
      <c r="H1130" s="395"/>
      <c r="J1130" s="42"/>
    </row>
    <row r="1131" spans="1:10" s="393" customFormat="1" x14ac:dyDescent="0.25">
      <c r="A1131" s="19" t="s">
        <v>28</v>
      </c>
      <c r="B1131" s="2">
        <v>43940</v>
      </c>
      <c r="C1131" s="1">
        <v>0</v>
      </c>
      <c r="D1131" s="39">
        <v>0</v>
      </c>
      <c r="E1131" s="1"/>
      <c r="F1131" s="39">
        <f t="shared" ref="F1131:F1153" si="44">E1131+F1107</f>
        <v>0</v>
      </c>
      <c r="G1131" s="395"/>
      <c r="H1131" s="395"/>
      <c r="J1131" s="42"/>
    </row>
    <row r="1132" spans="1:10" s="393" customFormat="1" x14ac:dyDescent="0.25">
      <c r="A1132" s="19" t="s">
        <v>15</v>
      </c>
      <c r="B1132" s="2">
        <v>43940</v>
      </c>
      <c r="C1132" s="1">
        <v>5</v>
      </c>
      <c r="D1132" s="39">
        <v>253</v>
      </c>
      <c r="E1132" s="1"/>
      <c r="F1132" s="39">
        <f t="shared" si="44"/>
        <v>9</v>
      </c>
      <c r="G1132" s="395"/>
      <c r="H1132" s="395"/>
      <c r="J1132" s="42"/>
    </row>
    <row r="1133" spans="1:10" s="393" customFormat="1" x14ac:dyDescent="0.25">
      <c r="A1133" s="19" t="s">
        <v>29</v>
      </c>
      <c r="B1133" s="2">
        <v>43940</v>
      </c>
      <c r="C1133" s="1">
        <v>1</v>
      </c>
      <c r="D1133" s="39">
        <v>2</v>
      </c>
      <c r="E1133" s="1"/>
      <c r="F1133" s="39">
        <f t="shared" si="44"/>
        <v>1</v>
      </c>
      <c r="G1133" s="395"/>
      <c r="H1133" s="395"/>
      <c r="J1133" s="42"/>
    </row>
    <row r="1134" spans="1:10" s="393" customFormat="1" x14ac:dyDescent="0.25">
      <c r="A1134" s="19" t="s">
        <v>43</v>
      </c>
      <c r="B1134" s="2">
        <v>43940</v>
      </c>
      <c r="C1134" s="1">
        <v>15</v>
      </c>
      <c r="D1134" s="39">
        <v>706</v>
      </c>
      <c r="E1134" s="1"/>
      <c r="F1134" s="39">
        <f t="shared" si="44"/>
        <v>37</v>
      </c>
      <c r="G1134" s="395"/>
      <c r="H1134" s="395"/>
      <c r="J1134" s="42"/>
    </row>
    <row r="1135" spans="1:10" s="393" customFormat="1" x14ac:dyDescent="0.25">
      <c r="A1135" s="19" t="s">
        <v>20</v>
      </c>
      <c r="B1135" s="2">
        <v>43940</v>
      </c>
      <c r="C1135" s="1">
        <v>11</v>
      </c>
      <c r="D1135" s="39">
        <v>260</v>
      </c>
      <c r="E1135" s="1">
        <v>1</v>
      </c>
      <c r="F1135" s="39">
        <f t="shared" si="44"/>
        <v>7</v>
      </c>
      <c r="G1135" s="395"/>
      <c r="H1135" s="395"/>
      <c r="J1135" s="42"/>
    </row>
    <row r="1136" spans="1:10" s="393" customFormat="1" x14ac:dyDescent="0.25">
      <c r="A1136" s="19" t="s">
        <v>30</v>
      </c>
      <c r="B1136" s="2">
        <v>43940</v>
      </c>
      <c r="C1136" s="1">
        <v>0</v>
      </c>
      <c r="D1136" s="39">
        <v>31</v>
      </c>
      <c r="E1136" s="1"/>
      <c r="F1136" s="39">
        <f t="shared" si="44"/>
        <v>0</v>
      </c>
      <c r="G1136" s="395"/>
      <c r="H1136" s="395"/>
      <c r="J1136" s="42"/>
    </row>
    <row r="1137" spans="1:10" x14ac:dyDescent="0.25">
      <c r="A1137" s="19" t="s">
        <v>31</v>
      </c>
      <c r="B1137" s="2">
        <v>43940</v>
      </c>
      <c r="C1137" s="1">
        <v>0</v>
      </c>
      <c r="D1137" s="39">
        <v>22</v>
      </c>
      <c r="F1137" s="39">
        <f t="shared" si="44"/>
        <v>0</v>
      </c>
    </row>
    <row r="1138" spans="1:10" s="393" customFormat="1" x14ac:dyDescent="0.25">
      <c r="A1138" s="19" t="s">
        <v>41</v>
      </c>
      <c r="B1138" s="2">
        <v>43940</v>
      </c>
      <c r="C1138" s="1">
        <v>0</v>
      </c>
      <c r="D1138" s="39">
        <v>0</v>
      </c>
      <c r="E1138" s="1"/>
      <c r="F1138" s="39">
        <f t="shared" si="44"/>
        <v>0</v>
      </c>
      <c r="G1138" s="395"/>
      <c r="H1138" s="395"/>
      <c r="J1138" s="42"/>
    </row>
    <row r="1139" spans="1:10" s="393" customFormat="1" x14ac:dyDescent="0.25">
      <c r="A1139" s="19" t="s">
        <v>32</v>
      </c>
      <c r="B1139" s="2">
        <v>43940</v>
      </c>
      <c r="C1139" s="1">
        <v>0</v>
      </c>
      <c r="D1139" s="39">
        <v>5</v>
      </c>
      <c r="E1139" s="1"/>
      <c r="F1139" s="39">
        <f t="shared" si="44"/>
        <v>0</v>
      </c>
      <c r="G1139" s="395"/>
      <c r="H1139" s="395"/>
      <c r="J1139" s="42"/>
    </row>
    <row r="1140" spans="1:10" s="393" customFormat="1" x14ac:dyDescent="0.25">
      <c r="A1140" s="19" t="s">
        <v>33</v>
      </c>
      <c r="B1140" s="2">
        <v>43940</v>
      </c>
      <c r="C1140" s="1">
        <v>0</v>
      </c>
      <c r="D1140" s="39">
        <v>5</v>
      </c>
      <c r="E1140" s="1"/>
      <c r="F1140" s="39">
        <f t="shared" si="44"/>
        <v>0</v>
      </c>
      <c r="G1140" s="395"/>
      <c r="H1140" s="395"/>
      <c r="J1140" s="42"/>
    </row>
    <row r="1141" spans="1:10" s="393" customFormat="1" x14ac:dyDescent="0.25">
      <c r="A1141" s="19" t="s">
        <v>21</v>
      </c>
      <c r="B1141" s="2">
        <v>43940</v>
      </c>
      <c r="C1141" s="1">
        <v>4</v>
      </c>
      <c r="D1141" s="39">
        <v>39</v>
      </c>
      <c r="E1141" s="1"/>
      <c r="F1141" s="39">
        <f t="shared" si="44"/>
        <v>3</v>
      </c>
      <c r="G1141" s="395"/>
      <c r="H1141" s="395"/>
      <c r="J1141" s="42"/>
    </row>
    <row r="1142" spans="1:10" s="393" customFormat="1" x14ac:dyDescent="0.25">
      <c r="A1142" s="19" t="s">
        <v>17</v>
      </c>
      <c r="B1142" s="2">
        <v>43940</v>
      </c>
      <c r="C1142" s="1">
        <v>3</v>
      </c>
      <c r="D1142" s="39">
        <v>72</v>
      </c>
      <c r="E1142" s="1"/>
      <c r="F1142" s="39">
        <f t="shared" si="44"/>
        <v>7</v>
      </c>
      <c r="G1142" s="395"/>
      <c r="H1142" s="395"/>
      <c r="J1142" s="42"/>
    </row>
    <row r="1143" spans="1:10" s="393" customFormat="1" x14ac:dyDescent="0.25">
      <c r="A1143" s="19" t="s">
        <v>23</v>
      </c>
      <c r="B1143" s="2">
        <v>43940</v>
      </c>
      <c r="C1143" s="1">
        <v>0</v>
      </c>
      <c r="D1143" s="39">
        <v>5</v>
      </c>
      <c r="E1143" s="1"/>
      <c r="F1143" s="39">
        <f t="shared" si="44"/>
        <v>0</v>
      </c>
      <c r="G1143" s="395"/>
      <c r="H1143" s="395"/>
      <c r="J1143" s="42"/>
    </row>
    <row r="1144" spans="1:10" s="393" customFormat="1" x14ac:dyDescent="0.25">
      <c r="A1144" s="19" t="s">
        <v>19</v>
      </c>
      <c r="B1144" s="2">
        <v>43940</v>
      </c>
      <c r="C1144" s="1">
        <v>3</v>
      </c>
      <c r="D1144" s="39">
        <v>99</v>
      </c>
      <c r="E1144" s="1"/>
      <c r="F1144" s="39">
        <f t="shared" si="44"/>
        <v>3</v>
      </c>
      <c r="G1144" s="395"/>
      <c r="H1144" s="395"/>
      <c r="J1144" s="42"/>
    </row>
    <row r="1145" spans="1:10" s="393" customFormat="1" x14ac:dyDescent="0.25">
      <c r="A1145" s="19" t="s">
        <v>18</v>
      </c>
      <c r="B1145" s="2">
        <v>43940</v>
      </c>
      <c r="C1145" s="1">
        <v>8</v>
      </c>
      <c r="D1145" s="39">
        <v>127</v>
      </c>
      <c r="E1145" s="1"/>
      <c r="F1145" s="39">
        <f t="shared" si="44"/>
        <v>4</v>
      </c>
      <c r="G1145" s="395"/>
      <c r="H1145" s="395"/>
      <c r="J1145" s="42"/>
    </row>
    <row r="1146" spans="1:10" s="393" customFormat="1" x14ac:dyDescent="0.25">
      <c r="A1146" s="19" t="s">
        <v>34</v>
      </c>
      <c r="B1146" s="2">
        <v>43940</v>
      </c>
      <c r="C1146" s="1">
        <v>0</v>
      </c>
      <c r="D1146" s="39">
        <v>3</v>
      </c>
      <c r="E1146" s="1"/>
      <c r="F1146" s="39">
        <f t="shared" si="44"/>
        <v>0</v>
      </c>
      <c r="G1146" s="395"/>
      <c r="H1146" s="395"/>
      <c r="J1146" s="42"/>
    </row>
    <row r="1147" spans="1:10" s="393" customFormat="1" x14ac:dyDescent="0.25">
      <c r="A1147" s="19" t="s">
        <v>35</v>
      </c>
      <c r="B1147" s="2">
        <v>43940</v>
      </c>
      <c r="C1147" s="1">
        <v>0</v>
      </c>
      <c r="D1147" s="39">
        <v>2</v>
      </c>
      <c r="E1147" s="1"/>
      <c r="F1147" s="39">
        <f t="shared" si="44"/>
        <v>0</v>
      </c>
      <c r="G1147" s="395"/>
      <c r="H1147" s="395"/>
      <c r="J1147" s="42"/>
    </row>
    <row r="1148" spans="1:10" s="393" customFormat="1" x14ac:dyDescent="0.25">
      <c r="A1148" s="19" t="s">
        <v>36</v>
      </c>
      <c r="B1148" s="2">
        <v>43940</v>
      </c>
      <c r="C1148" s="1">
        <v>0</v>
      </c>
      <c r="D1148" s="39">
        <v>11</v>
      </c>
      <c r="E1148" s="1"/>
      <c r="F1148" s="39">
        <f t="shared" si="44"/>
        <v>0</v>
      </c>
      <c r="G1148" s="395"/>
      <c r="H1148" s="395"/>
      <c r="J1148" s="42"/>
    </row>
    <row r="1149" spans="1:10" s="393" customFormat="1" x14ac:dyDescent="0.25">
      <c r="A1149" s="19" t="s">
        <v>37</v>
      </c>
      <c r="B1149" s="2">
        <v>43940</v>
      </c>
      <c r="C1149" s="1">
        <v>0</v>
      </c>
      <c r="D1149" s="39">
        <v>40</v>
      </c>
      <c r="E1149" s="1"/>
      <c r="F1149" s="39">
        <f t="shared" si="44"/>
        <v>0</v>
      </c>
      <c r="G1149" s="395"/>
      <c r="H1149" s="395"/>
      <c r="J1149" s="42"/>
    </row>
    <row r="1150" spans="1:10" s="393" customFormat="1" x14ac:dyDescent="0.25">
      <c r="A1150" s="19" t="s">
        <v>22</v>
      </c>
      <c r="B1150" s="2">
        <v>43940</v>
      </c>
      <c r="C1150" s="1">
        <v>1</v>
      </c>
      <c r="D1150" s="39">
        <v>222</v>
      </c>
      <c r="E1150" s="1"/>
      <c r="F1150" s="39">
        <f>E1150+F1126</f>
        <v>2</v>
      </c>
      <c r="G1150" s="395"/>
      <c r="H1150" s="395"/>
      <c r="J1150" s="42"/>
    </row>
    <row r="1151" spans="1:10" s="393" customFormat="1" x14ac:dyDescent="0.25">
      <c r="A1151" s="19" t="s">
        <v>38</v>
      </c>
      <c r="B1151" s="2">
        <v>43940</v>
      </c>
      <c r="C1151" s="1">
        <v>0</v>
      </c>
      <c r="D1151" s="39">
        <v>12</v>
      </c>
      <c r="E1151" s="1"/>
      <c r="F1151" s="39">
        <f t="shared" si="44"/>
        <v>0</v>
      </c>
      <c r="G1151" s="395"/>
      <c r="H1151" s="395"/>
      <c r="J1151" s="42"/>
    </row>
    <row r="1152" spans="1:10" s="393" customFormat="1" x14ac:dyDescent="0.25">
      <c r="A1152" s="19" t="s">
        <v>39</v>
      </c>
      <c r="B1152" s="2">
        <v>43940</v>
      </c>
      <c r="C1152" s="1">
        <v>3</v>
      </c>
      <c r="D1152" s="39">
        <v>122</v>
      </c>
      <c r="E1152" s="1"/>
      <c r="F1152" s="39">
        <f t="shared" si="44"/>
        <v>0</v>
      </c>
      <c r="G1152" s="395"/>
      <c r="H1152" s="395"/>
      <c r="J1152" s="42"/>
    </row>
    <row r="1153" spans="1:10" s="393" customFormat="1" x14ac:dyDescent="0.25">
      <c r="A1153" s="19" t="s">
        <v>40</v>
      </c>
      <c r="B1153" s="2">
        <v>43940</v>
      </c>
      <c r="C1153" s="1">
        <v>0</v>
      </c>
      <c r="D1153" s="39">
        <v>30</v>
      </c>
      <c r="E1153" s="1"/>
      <c r="F1153" s="39">
        <f t="shared" si="44"/>
        <v>2</v>
      </c>
      <c r="G1153" s="395"/>
      <c r="H1153" s="395"/>
      <c r="J1153" s="42"/>
    </row>
    <row r="1154" spans="1:10" s="393" customFormat="1" x14ac:dyDescent="0.25">
      <c r="A1154" s="394" t="s">
        <v>16</v>
      </c>
      <c r="B1154" s="2">
        <v>43941</v>
      </c>
      <c r="C1154" s="1">
        <v>42</v>
      </c>
      <c r="D1154" s="39">
        <v>915</v>
      </c>
      <c r="E1154" s="1"/>
      <c r="F1154" s="39">
        <f>E1154+F1130</f>
        <v>54</v>
      </c>
      <c r="G1154" s="395"/>
      <c r="H1154" s="395"/>
      <c r="J1154" s="42"/>
    </row>
    <row r="1155" spans="1:10" s="393" customFormat="1" x14ac:dyDescent="0.25">
      <c r="A1155" s="19" t="s">
        <v>28</v>
      </c>
      <c r="B1155" s="2">
        <v>43941</v>
      </c>
      <c r="C1155" s="1">
        <v>0</v>
      </c>
      <c r="D1155" s="39">
        <v>0</v>
      </c>
      <c r="E1155" s="1"/>
      <c r="F1155" s="39">
        <f t="shared" ref="F1155:F1177" si="45">E1155+F1131</f>
        <v>0</v>
      </c>
      <c r="G1155" s="395"/>
      <c r="H1155" s="395"/>
      <c r="J1155" s="42"/>
    </row>
    <row r="1156" spans="1:10" s="393" customFormat="1" x14ac:dyDescent="0.25">
      <c r="A1156" s="19" t="s">
        <v>15</v>
      </c>
      <c r="B1156" s="2">
        <v>43941</v>
      </c>
      <c r="C1156" s="1">
        <v>5</v>
      </c>
      <c r="D1156" s="39">
        <v>258</v>
      </c>
      <c r="E1156" s="1">
        <v>1</v>
      </c>
      <c r="F1156" s="39">
        <f t="shared" si="45"/>
        <v>10</v>
      </c>
      <c r="G1156" s="395"/>
      <c r="H1156" s="395"/>
      <c r="J1156" s="42"/>
    </row>
    <row r="1157" spans="1:10" s="393" customFormat="1" x14ac:dyDescent="0.25">
      <c r="A1157" s="19" t="s">
        <v>29</v>
      </c>
      <c r="B1157" s="2">
        <v>43941</v>
      </c>
      <c r="C1157" s="1">
        <v>0</v>
      </c>
      <c r="D1157" s="39">
        <v>2</v>
      </c>
      <c r="E1157" s="1"/>
      <c r="F1157" s="39">
        <f t="shared" si="45"/>
        <v>1</v>
      </c>
      <c r="G1157" s="395"/>
      <c r="H1157" s="395"/>
      <c r="J1157" s="42"/>
    </row>
    <row r="1158" spans="1:10" s="393" customFormat="1" x14ac:dyDescent="0.25">
      <c r="A1158" s="19" t="s">
        <v>43</v>
      </c>
      <c r="B1158" s="2">
        <v>43941</v>
      </c>
      <c r="C1158" s="1">
        <v>22</v>
      </c>
      <c r="D1158" s="39">
        <v>728</v>
      </c>
      <c r="E1158" s="1">
        <v>1</v>
      </c>
      <c r="F1158" s="39">
        <f t="shared" si="45"/>
        <v>38</v>
      </c>
      <c r="G1158" s="395"/>
      <c r="H1158" s="395"/>
      <c r="J1158" s="42"/>
    </row>
    <row r="1159" spans="1:10" s="393" customFormat="1" x14ac:dyDescent="0.25">
      <c r="A1159" s="19" t="s">
        <v>20</v>
      </c>
      <c r="B1159" s="2">
        <v>43941</v>
      </c>
      <c r="C1159" s="1">
        <v>0</v>
      </c>
      <c r="D1159" s="39">
        <v>260</v>
      </c>
      <c r="E1159" s="1">
        <v>2</v>
      </c>
      <c r="F1159" s="39">
        <f t="shared" si="45"/>
        <v>9</v>
      </c>
      <c r="G1159" s="395"/>
      <c r="H1159" s="395"/>
      <c r="J1159" s="42"/>
    </row>
    <row r="1160" spans="1:10" s="393" customFormat="1" x14ac:dyDescent="0.25">
      <c r="A1160" s="19" t="s">
        <v>30</v>
      </c>
      <c r="B1160" s="2">
        <v>43941</v>
      </c>
      <c r="C1160" s="1">
        <v>3</v>
      </c>
      <c r="D1160" s="39">
        <v>34</v>
      </c>
      <c r="E1160" s="1"/>
      <c r="F1160" s="39">
        <f t="shared" si="45"/>
        <v>0</v>
      </c>
      <c r="G1160" s="395"/>
      <c r="H1160" s="395"/>
      <c r="J1160" s="42"/>
    </row>
    <row r="1161" spans="1:10" x14ac:dyDescent="0.25">
      <c r="A1161" s="19" t="s">
        <v>31</v>
      </c>
      <c r="B1161" s="2">
        <v>43941</v>
      </c>
      <c r="C1161" s="1">
        <v>0</v>
      </c>
      <c r="D1161" s="39">
        <v>22</v>
      </c>
      <c r="F1161" s="39">
        <f t="shared" si="45"/>
        <v>0</v>
      </c>
    </row>
    <row r="1162" spans="1:10" s="393" customFormat="1" x14ac:dyDescent="0.25">
      <c r="A1162" s="19" t="s">
        <v>41</v>
      </c>
      <c r="B1162" s="2">
        <v>43941</v>
      </c>
      <c r="C1162" s="1">
        <v>0</v>
      </c>
      <c r="D1162" s="39">
        <v>0</v>
      </c>
      <c r="E1162" s="1"/>
      <c r="F1162" s="39">
        <f t="shared" si="45"/>
        <v>0</v>
      </c>
      <c r="G1162" s="395"/>
      <c r="H1162" s="395"/>
      <c r="J1162" s="42"/>
    </row>
    <row r="1163" spans="1:10" s="393" customFormat="1" x14ac:dyDescent="0.25">
      <c r="A1163" s="19" t="s">
        <v>32</v>
      </c>
      <c r="B1163" s="2">
        <v>43941</v>
      </c>
      <c r="C1163" s="1">
        <v>0</v>
      </c>
      <c r="D1163" s="39">
        <v>5</v>
      </c>
      <c r="E1163" s="1"/>
      <c r="F1163" s="39">
        <f t="shared" si="45"/>
        <v>0</v>
      </c>
      <c r="G1163" s="395"/>
      <c r="H1163" s="395"/>
      <c r="J1163" s="42"/>
    </row>
    <row r="1164" spans="1:10" s="393" customFormat="1" x14ac:dyDescent="0.25">
      <c r="A1164" s="19" t="s">
        <v>33</v>
      </c>
      <c r="B1164" s="2">
        <v>43941</v>
      </c>
      <c r="C1164" s="1">
        <v>0</v>
      </c>
      <c r="D1164" s="39">
        <v>5</v>
      </c>
      <c r="E1164" s="1"/>
      <c r="F1164" s="39">
        <f t="shared" si="45"/>
        <v>0</v>
      </c>
      <c r="G1164" s="395"/>
      <c r="H1164" s="395"/>
      <c r="J1164" s="42"/>
    </row>
    <row r="1165" spans="1:10" s="393" customFormat="1" x14ac:dyDescent="0.25">
      <c r="A1165" s="19" t="s">
        <v>21</v>
      </c>
      <c r="B1165" s="2">
        <v>43941</v>
      </c>
      <c r="C1165" s="1">
        <v>0</v>
      </c>
      <c r="D1165" s="39">
        <v>39</v>
      </c>
      <c r="E1165" s="1"/>
      <c r="F1165" s="39">
        <f t="shared" si="45"/>
        <v>3</v>
      </c>
      <c r="G1165" s="395"/>
      <c r="H1165" s="395"/>
      <c r="J1165" s="42"/>
    </row>
    <row r="1166" spans="1:10" s="393" customFormat="1" x14ac:dyDescent="0.25">
      <c r="A1166" s="19" t="s">
        <v>17</v>
      </c>
      <c r="B1166" s="2">
        <v>43941</v>
      </c>
      <c r="C1166" s="1">
        <v>1</v>
      </c>
      <c r="D1166" s="39">
        <v>73</v>
      </c>
      <c r="E1166" s="1">
        <v>1</v>
      </c>
      <c r="F1166" s="39">
        <f t="shared" si="45"/>
        <v>8</v>
      </c>
      <c r="G1166" s="395"/>
      <c r="H1166" s="395"/>
      <c r="J1166" s="42"/>
    </row>
    <row r="1167" spans="1:10" s="393" customFormat="1" x14ac:dyDescent="0.25">
      <c r="A1167" s="19" t="s">
        <v>23</v>
      </c>
      <c r="B1167" s="2">
        <v>43941</v>
      </c>
      <c r="C1167" s="1">
        <v>0</v>
      </c>
      <c r="D1167" s="39">
        <v>5</v>
      </c>
      <c r="E1167" s="1"/>
      <c r="F1167" s="39">
        <f t="shared" si="45"/>
        <v>0</v>
      </c>
      <c r="G1167" s="395"/>
      <c r="H1167" s="395"/>
      <c r="J1167" s="42"/>
    </row>
    <row r="1168" spans="1:10" s="393" customFormat="1" x14ac:dyDescent="0.25">
      <c r="A1168" s="19" t="s">
        <v>19</v>
      </c>
      <c r="B1168" s="2">
        <v>43941</v>
      </c>
      <c r="C1168" s="1">
        <v>3</v>
      </c>
      <c r="D1168" s="39">
        <v>102</v>
      </c>
      <c r="E1168" s="1"/>
      <c r="F1168" s="39">
        <f t="shared" si="45"/>
        <v>3</v>
      </c>
      <c r="G1168" s="395"/>
      <c r="H1168" s="395"/>
      <c r="J1168" s="42"/>
    </row>
    <row r="1169" spans="1:10" s="393" customFormat="1" x14ac:dyDescent="0.25">
      <c r="A1169" s="19" t="s">
        <v>18</v>
      </c>
      <c r="B1169" s="2">
        <v>43941</v>
      </c>
      <c r="C1169" s="1">
        <v>10</v>
      </c>
      <c r="D1169" s="39">
        <v>137</v>
      </c>
      <c r="E1169" s="1">
        <v>3</v>
      </c>
      <c r="F1169" s="39">
        <f t="shared" si="45"/>
        <v>7</v>
      </c>
      <c r="G1169" s="395"/>
      <c r="H1169" s="395"/>
      <c r="J1169" s="42"/>
    </row>
    <row r="1170" spans="1:10" s="393" customFormat="1" x14ac:dyDescent="0.25">
      <c r="A1170" s="19" t="s">
        <v>34</v>
      </c>
      <c r="B1170" s="2">
        <v>43941</v>
      </c>
      <c r="C1170" s="1">
        <v>0</v>
      </c>
      <c r="D1170" s="39">
        <v>3</v>
      </c>
      <c r="E1170" s="1"/>
      <c r="F1170" s="39">
        <f t="shared" si="45"/>
        <v>0</v>
      </c>
      <c r="G1170" s="395"/>
      <c r="H1170" s="395"/>
      <c r="J1170" s="42"/>
    </row>
    <row r="1171" spans="1:10" s="393" customFormat="1" x14ac:dyDescent="0.25">
      <c r="A1171" s="19" t="s">
        <v>35</v>
      </c>
      <c r="B1171" s="2">
        <v>43941</v>
      </c>
      <c r="C1171" s="1">
        <v>0</v>
      </c>
      <c r="D1171" s="39">
        <v>2</v>
      </c>
      <c r="E1171" s="1"/>
      <c r="F1171" s="39">
        <f t="shared" si="45"/>
        <v>0</v>
      </c>
      <c r="G1171" s="395"/>
      <c r="H1171" s="395"/>
      <c r="J1171" s="42"/>
    </row>
    <row r="1172" spans="1:10" s="393" customFormat="1" x14ac:dyDescent="0.25">
      <c r="A1172" s="19" t="s">
        <v>36</v>
      </c>
      <c r="B1172" s="2">
        <v>43941</v>
      </c>
      <c r="C1172" s="1">
        <v>0</v>
      </c>
      <c r="D1172" s="39">
        <v>11</v>
      </c>
      <c r="E1172" s="1"/>
      <c r="F1172" s="39">
        <f t="shared" si="45"/>
        <v>0</v>
      </c>
      <c r="G1172" s="395"/>
      <c r="H1172" s="395"/>
      <c r="J1172" s="42"/>
    </row>
    <row r="1173" spans="1:10" s="393" customFormat="1" x14ac:dyDescent="0.25">
      <c r="A1173" s="19" t="s">
        <v>37</v>
      </c>
      <c r="B1173" s="2">
        <v>43941</v>
      </c>
      <c r="C1173" s="1">
        <v>1</v>
      </c>
      <c r="D1173" s="39">
        <v>41</v>
      </c>
      <c r="E1173" s="1"/>
      <c r="F1173" s="39">
        <f t="shared" si="45"/>
        <v>0</v>
      </c>
      <c r="G1173" s="395"/>
      <c r="H1173" s="395"/>
      <c r="J1173" s="42"/>
    </row>
    <row r="1174" spans="1:10" s="393" customFormat="1" x14ac:dyDescent="0.25">
      <c r="A1174" s="19" t="s">
        <v>22</v>
      </c>
      <c r="B1174" s="2">
        <v>43941</v>
      </c>
      <c r="C1174" s="1">
        <v>2</v>
      </c>
      <c r="D1174" s="39">
        <v>224</v>
      </c>
      <c r="E1174" s="1"/>
      <c r="F1174" s="39">
        <f>E1174+F1150</f>
        <v>2</v>
      </c>
      <c r="G1174" s="395"/>
      <c r="H1174" s="395"/>
      <c r="J1174" s="42"/>
    </row>
    <row r="1175" spans="1:10" s="393" customFormat="1" x14ac:dyDescent="0.25">
      <c r="A1175" s="19" t="s">
        <v>38</v>
      </c>
      <c r="B1175" s="2">
        <v>43941</v>
      </c>
      <c r="C1175" s="1">
        <v>0</v>
      </c>
      <c r="D1175" s="39">
        <v>12</v>
      </c>
      <c r="E1175" s="1"/>
      <c r="F1175" s="39">
        <f t="shared" si="45"/>
        <v>0</v>
      </c>
      <c r="G1175" s="395"/>
      <c r="H1175" s="395"/>
      <c r="J1175" s="42"/>
    </row>
    <row r="1176" spans="1:10" s="393" customFormat="1" x14ac:dyDescent="0.25">
      <c r="A1176" s="19" t="s">
        <v>39</v>
      </c>
      <c r="B1176" s="2">
        <v>43941</v>
      </c>
      <c r="C1176" s="1">
        <v>0</v>
      </c>
      <c r="D1176" s="39">
        <v>122</v>
      </c>
      <c r="E1176" s="1"/>
      <c r="F1176" s="39">
        <f t="shared" si="45"/>
        <v>0</v>
      </c>
      <c r="G1176" s="395"/>
      <c r="H1176" s="395"/>
      <c r="J1176" s="42"/>
    </row>
    <row r="1177" spans="1:10" s="393" customFormat="1" x14ac:dyDescent="0.25">
      <c r="A1177" s="19" t="s">
        <v>40</v>
      </c>
      <c r="B1177" s="2">
        <v>43941</v>
      </c>
      <c r="C1177" s="1">
        <v>1</v>
      </c>
      <c r="D1177" s="39">
        <v>31</v>
      </c>
      <c r="E1177" s="1"/>
      <c r="F1177" s="39">
        <f t="shared" si="45"/>
        <v>2</v>
      </c>
      <c r="G1177" s="395"/>
      <c r="H1177" s="395"/>
      <c r="J1177" s="42"/>
    </row>
    <row r="1178" spans="1:10" s="393" customFormat="1" x14ac:dyDescent="0.25">
      <c r="A1178" s="394" t="s">
        <v>16</v>
      </c>
      <c r="B1178" s="2">
        <v>43942</v>
      </c>
      <c r="C1178" s="1">
        <v>60</v>
      </c>
      <c r="D1178" s="39">
        <v>975</v>
      </c>
      <c r="E1178" s="1">
        <v>4</v>
      </c>
      <c r="F1178" s="39">
        <f>E1178+F1154</f>
        <v>58</v>
      </c>
      <c r="G1178" s="395"/>
      <c r="H1178" s="395"/>
      <c r="J1178" s="42"/>
    </row>
    <row r="1179" spans="1:10" s="393" customFormat="1" x14ac:dyDescent="0.25">
      <c r="A1179" s="19" t="s">
        <v>28</v>
      </c>
      <c r="B1179" s="2">
        <v>43942</v>
      </c>
      <c r="C1179" s="1">
        <v>0</v>
      </c>
      <c r="D1179" s="39">
        <v>0</v>
      </c>
      <c r="E1179" s="1"/>
      <c r="F1179" s="39">
        <f t="shared" ref="F1179:F1201" si="46">E1179+F1155</f>
        <v>0</v>
      </c>
      <c r="G1179" s="395"/>
      <c r="H1179" s="395"/>
      <c r="J1179" s="42"/>
    </row>
    <row r="1180" spans="1:10" s="393" customFormat="1" x14ac:dyDescent="0.25">
      <c r="A1180" s="19" t="s">
        <v>15</v>
      </c>
      <c r="B1180" s="2">
        <v>43942</v>
      </c>
      <c r="C1180" s="1">
        <v>5</v>
      </c>
      <c r="D1180" s="39">
        <v>263</v>
      </c>
      <c r="E1180" s="1"/>
      <c r="F1180" s="39">
        <f t="shared" si="46"/>
        <v>10</v>
      </c>
      <c r="G1180" s="395"/>
      <c r="H1180" s="395"/>
      <c r="J1180" s="42"/>
    </row>
    <row r="1181" spans="1:10" s="393" customFormat="1" x14ac:dyDescent="0.25">
      <c r="A1181" s="19" t="s">
        <v>29</v>
      </c>
      <c r="B1181" s="2">
        <v>43942</v>
      </c>
      <c r="C1181" s="1">
        <v>0</v>
      </c>
      <c r="D1181" s="39">
        <v>2</v>
      </c>
      <c r="E1181" s="1"/>
      <c r="F1181" s="39">
        <f t="shared" si="46"/>
        <v>1</v>
      </c>
      <c r="G1181" s="395"/>
      <c r="H1181" s="395"/>
      <c r="J1181" s="42"/>
    </row>
    <row r="1182" spans="1:10" s="393" customFormat="1" x14ac:dyDescent="0.25">
      <c r="A1182" s="19" t="s">
        <v>43</v>
      </c>
      <c r="B1182" s="2">
        <v>43942</v>
      </c>
      <c r="C1182" s="1">
        <v>33</v>
      </c>
      <c r="D1182" s="39">
        <v>761</v>
      </c>
      <c r="E1182" s="1">
        <v>3</v>
      </c>
      <c r="F1182" s="39">
        <f t="shared" si="46"/>
        <v>41</v>
      </c>
      <c r="G1182" s="395"/>
      <c r="H1182" s="395"/>
      <c r="J1182" s="42"/>
    </row>
    <row r="1183" spans="1:10" s="393" customFormat="1" x14ac:dyDescent="0.25">
      <c r="A1183" s="19" t="s">
        <v>20</v>
      </c>
      <c r="B1183" s="2">
        <v>43942</v>
      </c>
      <c r="C1183" s="1">
        <v>0</v>
      </c>
      <c r="D1183" s="39">
        <v>260</v>
      </c>
      <c r="E1183" s="1"/>
      <c r="F1183" s="39">
        <f t="shared" si="46"/>
        <v>9</v>
      </c>
      <c r="G1183" s="395"/>
      <c r="H1183" s="395"/>
      <c r="J1183" s="42"/>
    </row>
    <row r="1184" spans="1:10" s="393" customFormat="1" x14ac:dyDescent="0.25">
      <c r="A1184" s="19" t="s">
        <v>30</v>
      </c>
      <c r="B1184" s="2">
        <v>43942</v>
      </c>
      <c r="C1184" s="1">
        <v>0</v>
      </c>
      <c r="D1184" s="39">
        <v>34</v>
      </c>
      <c r="E1184" s="1"/>
      <c r="F1184" s="39">
        <f t="shared" si="46"/>
        <v>0</v>
      </c>
      <c r="G1184" s="395"/>
      <c r="H1184" s="395"/>
      <c r="J1184" s="42"/>
    </row>
    <row r="1185" spans="1:10" x14ac:dyDescent="0.25">
      <c r="A1185" s="19" t="s">
        <v>31</v>
      </c>
      <c r="B1185" s="2">
        <v>43942</v>
      </c>
      <c r="C1185" s="1">
        <v>0</v>
      </c>
      <c r="D1185" s="39">
        <v>22</v>
      </c>
      <c r="F1185" s="39">
        <f t="shared" si="46"/>
        <v>0</v>
      </c>
    </row>
    <row r="1186" spans="1:10" s="393" customFormat="1" x14ac:dyDescent="0.25">
      <c r="A1186" s="19" t="s">
        <v>41</v>
      </c>
      <c r="B1186" s="2">
        <v>43942</v>
      </c>
      <c r="C1186" s="1">
        <v>0</v>
      </c>
      <c r="D1186" s="39">
        <v>0</v>
      </c>
      <c r="E1186" s="1"/>
      <c r="F1186" s="39">
        <f t="shared" si="46"/>
        <v>0</v>
      </c>
      <c r="G1186" s="395"/>
      <c r="H1186" s="395"/>
      <c r="J1186" s="42"/>
    </row>
    <row r="1187" spans="1:10" s="393" customFormat="1" x14ac:dyDescent="0.25">
      <c r="A1187" s="19" t="s">
        <v>32</v>
      </c>
      <c r="B1187" s="2">
        <v>43942</v>
      </c>
      <c r="C1187" s="1">
        <v>0</v>
      </c>
      <c r="D1187" s="39">
        <v>5</v>
      </c>
      <c r="E1187" s="1"/>
      <c r="F1187" s="39">
        <f t="shared" si="46"/>
        <v>0</v>
      </c>
      <c r="G1187" s="395"/>
      <c r="H1187" s="395"/>
      <c r="J1187" s="42"/>
    </row>
    <row r="1188" spans="1:10" s="393" customFormat="1" x14ac:dyDescent="0.25">
      <c r="A1188" s="19" t="s">
        <v>33</v>
      </c>
      <c r="B1188" s="2">
        <v>43942</v>
      </c>
      <c r="C1188" s="1">
        <v>0</v>
      </c>
      <c r="D1188" s="39">
        <v>5</v>
      </c>
      <c r="E1188" s="1"/>
      <c r="F1188" s="39">
        <f t="shared" si="46"/>
        <v>0</v>
      </c>
      <c r="G1188" s="395"/>
      <c r="H1188" s="395"/>
      <c r="J1188" s="42"/>
    </row>
    <row r="1189" spans="1:10" s="393" customFormat="1" x14ac:dyDescent="0.25">
      <c r="A1189" s="19" t="s">
        <v>21</v>
      </c>
      <c r="B1189" s="2">
        <v>43942</v>
      </c>
      <c r="C1189" s="1">
        <v>1</v>
      </c>
      <c r="D1189" s="39">
        <v>40</v>
      </c>
      <c r="E1189" s="1">
        <v>2</v>
      </c>
      <c r="F1189" s="39">
        <f t="shared" si="46"/>
        <v>5</v>
      </c>
      <c r="G1189" s="395"/>
      <c r="H1189" s="395"/>
      <c r="J1189" s="42"/>
    </row>
    <row r="1190" spans="1:10" s="393" customFormat="1" x14ac:dyDescent="0.25">
      <c r="A1190" s="19" t="s">
        <v>17</v>
      </c>
      <c r="B1190" s="2">
        <v>43942</v>
      </c>
      <c r="C1190" s="1">
        <v>0</v>
      </c>
      <c r="D1190" s="39">
        <v>73</v>
      </c>
      <c r="E1190" s="1"/>
      <c r="F1190" s="39">
        <f t="shared" si="46"/>
        <v>8</v>
      </c>
      <c r="G1190" s="395"/>
      <c r="H1190" s="395"/>
      <c r="J1190" s="42"/>
    </row>
    <row r="1191" spans="1:10" s="393" customFormat="1" x14ac:dyDescent="0.25">
      <c r="A1191" s="19" t="s">
        <v>23</v>
      </c>
      <c r="B1191" s="2">
        <v>43942</v>
      </c>
      <c r="C1191" s="1">
        <v>0</v>
      </c>
      <c r="D1191" s="39">
        <v>5</v>
      </c>
      <c r="E1191" s="1"/>
      <c r="F1191" s="39">
        <f t="shared" si="46"/>
        <v>0</v>
      </c>
      <c r="G1191" s="395"/>
      <c r="H1191" s="395"/>
      <c r="J1191" s="42"/>
    </row>
    <row r="1192" spans="1:10" s="393" customFormat="1" x14ac:dyDescent="0.25">
      <c r="A1192" s="19" t="s">
        <v>19</v>
      </c>
      <c r="B1192" s="2">
        <v>43942</v>
      </c>
      <c r="C1192" s="1">
        <v>0</v>
      </c>
      <c r="D1192" s="39">
        <v>102</v>
      </c>
      <c r="E1192" s="1"/>
      <c r="F1192" s="39">
        <f t="shared" si="46"/>
        <v>3</v>
      </c>
      <c r="G1192" s="395"/>
      <c r="H1192" s="395"/>
      <c r="J1192" s="42"/>
    </row>
    <row r="1193" spans="1:10" s="393" customFormat="1" x14ac:dyDescent="0.25">
      <c r="A1193" s="19" t="s">
        <v>18</v>
      </c>
      <c r="B1193" s="2">
        <v>43942</v>
      </c>
      <c r="C1193" s="1">
        <v>11</v>
      </c>
      <c r="D1193" s="39">
        <v>148</v>
      </c>
      <c r="E1193" s="1"/>
      <c r="F1193" s="39">
        <f t="shared" si="46"/>
        <v>7</v>
      </c>
      <c r="G1193" s="395"/>
      <c r="H1193" s="395"/>
      <c r="J1193" s="42"/>
    </row>
    <row r="1194" spans="1:10" s="393" customFormat="1" x14ac:dyDescent="0.25">
      <c r="A1194" s="19" t="s">
        <v>34</v>
      </c>
      <c r="B1194" s="2">
        <v>43942</v>
      </c>
      <c r="C1194" s="1">
        <v>0</v>
      </c>
      <c r="D1194" s="39">
        <v>3</v>
      </c>
      <c r="E1194" s="1"/>
      <c r="F1194" s="39">
        <f t="shared" si="46"/>
        <v>0</v>
      </c>
      <c r="G1194" s="395"/>
      <c r="H1194" s="395"/>
      <c r="J1194" s="42"/>
    </row>
    <row r="1195" spans="1:10" s="393" customFormat="1" x14ac:dyDescent="0.25">
      <c r="A1195" s="19" t="s">
        <v>35</v>
      </c>
      <c r="B1195" s="2">
        <v>43942</v>
      </c>
      <c r="C1195" s="1">
        <v>0</v>
      </c>
      <c r="D1195" s="39">
        <v>2</v>
      </c>
      <c r="E1195" s="1"/>
      <c r="F1195" s="39">
        <f t="shared" si="46"/>
        <v>0</v>
      </c>
      <c r="G1195" s="395"/>
      <c r="H1195" s="395"/>
      <c r="J1195" s="42"/>
    </row>
    <row r="1196" spans="1:10" s="393" customFormat="1" x14ac:dyDescent="0.25">
      <c r="A1196" s="19" t="s">
        <v>36</v>
      </c>
      <c r="B1196" s="2">
        <v>43942</v>
      </c>
      <c r="C1196" s="1">
        <v>0</v>
      </c>
      <c r="D1196" s="39">
        <v>11</v>
      </c>
      <c r="E1196" s="1"/>
      <c r="F1196" s="39">
        <f t="shared" si="46"/>
        <v>0</v>
      </c>
      <c r="G1196" s="395"/>
      <c r="H1196" s="395"/>
      <c r="J1196" s="42"/>
    </row>
    <row r="1197" spans="1:10" s="393" customFormat="1" x14ac:dyDescent="0.25">
      <c r="A1197" s="19" t="s">
        <v>37</v>
      </c>
      <c r="B1197" s="2">
        <v>43942</v>
      </c>
      <c r="C1197" s="1">
        <v>0</v>
      </c>
      <c r="D1197" s="39">
        <v>41</v>
      </c>
      <c r="E1197" s="1"/>
      <c r="F1197" s="39">
        <f t="shared" si="46"/>
        <v>0</v>
      </c>
      <c r="G1197" s="395"/>
      <c r="H1197" s="395"/>
      <c r="J1197" s="42"/>
    </row>
    <row r="1198" spans="1:10" s="393" customFormat="1" x14ac:dyDescent="0.25">
      <c r="A1198" s="19" t="s">
        <v>22</v>
      </c>
      <c r="B1198" s="2">
        <v>43942</v>
      </c>
      <c r="C1198" s="1">
        <v>1</v>
      </c>
      <c r="D1198" s="39">
        <v>225</v>
      </c>
      <c r="E1198" s="1"/>
      <c r="F1198" s="39">
        <f>E1198+F1174</f>
        <v>2</v>
      </c>
      <c r="G1198" s="395"/>
      <c r="H1198" s="395"/>
      <c r="J1198" s="42"/>
    </row>
    <row r="1199" spans="1:10" s="393" customFormat="1" x14ac:dyDescent="0.25">
      <c r="A1199" s="19" t="s">
        <v>38</v>
      </c>
      <c r="B1199" s="2">
        <v>43942</v>
      </c>
      <c r="C1199" s="1">
        <v>0</v>
      </c>
      <c r="D1199" s="39">
        <v>12</v>
      </c>
      <c r="E1199" s="1"/>
      <c r="F1199" s="39">
        <f t="shared" si="46"/>
        <v>0</v>
      </c>
      <c r="G1199" s="395"/>
      <c r="H1199" s="395"/>
      <c r="J1199" s="42"/>
    </row>
    <row r="1200" spans="1:10" s="393" customFormat="1" x14ac:dyDescent="0.25">
      <c r="A1200" s="19" t="s">
        <v>39</v>
      </c>
      <c r="B1200" s="2">
        <v>43942</v>
      </c>
      <c r="C1200" s="1">
        <v>2</v>
      </c>
      <c r="D1200" s="39">
        <v>124</v>
      </c>
      <c r="E1200" s="1"/>
      <c r="F1200" s="39">
        <f t="shared" si="46"/>
        <v>0</v>
      </c>
      <c r="G1200" s="395"/>
      <c r="H1200" s="395"/>
      <c r="J1200" s="42"/>
    </row>
    <row r="1201" spans="1:10" s="393" customFormat="1" x14ac:dyDescent="0.25">
      <c r="A1201" s="19" t="s">
        <v>40</v>
      </c>
      <c r="B1201" s="2">
        <v>43942</v>
      </c>
      <c r="C1201" s="1">
        <v>0</v>
      </c>
      <c r="D1201" s="39">
        <v>31</v>
      </c>
      <c r="E1201" s="1"/>
      <c r="F1201" s="39">
        <f t="shared" si="46"/>
        <v>2</v>
      </c>
      <c r="G1201" s="395"/>
      <c r="H1201" s="395"/>
      <c r="J1201" s="42"/>
    </row>
    <row r="1202" spans="1:10" s="393" customFormat="1" x14ac:dyDescent="0.25">
      <c r="A1202" s="394" t="s">
        <v>16</v>
      </c>
      <c r="B1202" s="2">
        <v>43943</v>
      </c>
      <c r="C1202" s="1">
        <v>61</v>
      </c>
      <c r="D1202" s="39">
        <v>1036</v>
      </c>
      <c r="E1202" s="1">
        <v>5</v>
      </c>
      <c r="F1202" s="39">
        <f>E1202+F1178</f>
        <v>63</v>
      </c>
      <c r="G1202" s="395"/>
      <c r="H1202" s="395"/>
      <c r="J1202" s="42"/>
    </row>
    <row r="1203" spans="1:10" s="393" customFormat="1" x14ac:dyDescent="0.25">
      <c r="A1203" s="19" t="s">
        <v>28</v>
      </c>
      <c r="B1203" s="2">
        <v>43943</v>
      </c>
      <c r="C1203" s="1">
        <v>0</v>
      </c>
      <c r="D1203" s="39">
        <v>0</v>
      </c>
      <c r="E1203" s="1"/>
      <c r="F1203" s="39">
        <f t="shared" ref="F1203:F1225" si="47">E1203+F1179</f>
        <v>0</v>
      </c>
      <c r="G1203" s="395"/>
      <c r="H1203" s="395"/>
      <c r="J1203" s="42"/>
    </row>
    <row r="1204" spans="1:10" s="393" customFormat="1" x14ac:dyDescent="0.25">
      <c r="A1204" s="19" t="s">
        <v>15</v>
      </c>
      <c r="B1204" s="2">
        <v>43943</v>
      </c>
      <c r="C1204" s="1">
        <v>7</v>
      </c>
      <c r="D1204" s="39">
        <v>270</v>
      </c>
      <c r="E1204" s="1"/>
      <c r="F1204" s="39">
        <f t="shared" si="47"/>
        <v>10</v>
      </c>
      <c r="G1204" s="395"/>
      <c r="H1204" s="395"/>
      <c r="J1204" s="42"/>
    </row>
    <row r="1205" spans="1:10" s="393" customFormat="1" x14ac:dyDescent="0.25">
      <c r="A1205" s="19" t="s">
        <v>29</v>
      </c>
      <c r="B1205" s="2">
        <v>43943</v>
      </c>
      <c r="C1205" s="1">
        <v>0</v>
      </c>
      <c r="D1205" s="39">
        <v>2</v>
      </c>
      <c r="E1205" s="1"/>
      <c r="F1205" s="39">
        <f t="shared" si="47"/>
        <v>1</v>
      </c>
      <c r="G1205" s="395"/>
      <c r="H1205" s="395"/>
      <c r="J1205" s="42"/>
    </row>
    <row r="1206" spans="1:10" s="393" customFormat="1" x14ac:dyDescent="0.25">
      <c r="A1206" s="19" t="s">
        <v>43</v>
      </c>
      <c r="B1206" s="2">
        <v>43943</v>
      </c>
      <c r="C1206" s="1">
        <v>39</v>
      </c>
      <c r="D1206" s="39">
        <v>800</v>
      </c>
      <c r="E1206" s="1">
        <v>2</v>
      </c>
      <c r="F1206" s="39">
        <f t="shared" si="47"/>
        <v>43</v>
      </c>
      <c r="G1206" s="395"/>
      <c r="H1206" s="395"/>
      <c r="J1206" s="42"/>
    </row>
    <row r="1207" spans="1:10" s="393" customFormat="1" x14ac:dyDescent="0.25">
      <c r="A1207" s="19" t="s">
        <v>20</v>
      </c>
      <c r="B1207" s="2">
        <v>43943</v>
      </c>
      <c r="C1207" s="1">
        <v>4</v>
      </c>
      <c r="D1207" s="39">
        <v>264</v>
      </c>
      <c r="E1207" s="1">
        <v>1</v>
      </c>
      <c r="F1207" s="39">
        <f t="shared" si="47"/>
        <v>10</v>
      </c>
      <c r="G1207" s="395"/>
      <c r="H1207" s="395"/>
      <c r="J1207" s="42"/>
    </row>
    <row r="1208" spans="1:10" s="393" customFormat="1" x14ac:dyDescent="0.25">
      <c r="A1208" s="19" t="s">
        <v>30</v>
      </c>
      <c r="B1208" s="2">
        <v>43943</v>
      </c>
      <c r="C1208" s="1">
        <v>0</v>
      </c>
      <c r="D1208" s="39">
        <v>34</v>
      </c>
      <c r="E1208" s="1"/>
      <c r="F1208" s="39">
        <f t="shared" si="47"/>
        <v>0</v>
      </c>
      <c r="G1208" s="395"/>
      <c r="H1208" s="395"/>
      <c r="J1208" s="42"/>
    </row>
    <row r="1209" spans="1:10" x14ac:dyDescent="0.25">
      <c r="A1209" s="19" t="s">
        <v>31</v>
      </c>
      <c r="B1209" s="2">
        <v>43943</v>
      </c>
      <c r="C1209" s="1">
        <v>0</v>
      </c>
      <c r="D1209" s="39">
        <v>22</v>
      </c>
      <c r="F1209" s="39">
        <f t="shared" si="47"/>
        <v>0</v>
      </c>
    </row>
    <row r="1210" spans="1:10" s="393" customFormat="1" x14ac:dyDescent="0.25">
      <c r="A1210" s="19" t="s">
        <v>41</v>
      </c>
      <c r="B1210" s="2">
        <v>43943</v>
      </c>
      <c r="C1210" s="1">
        <v>0</v>
      </c>
      <c r="D1210" s="39">
        <v>0</v>
      </c>
      <c r="E1210" s="1"/>
      <c r="F1210" s="39">
        <f t="shared" si="47"/>
        <v>0</v>
      </c>
      <c r="G1210" s="395"/>
      <c r="H1210" s="395"/>
      <c r="J1210" s="42"/>
    </row>
    <row r="1211" spans="1:10" s="393" customFormat="1" x14ac:dyDescent="0.25">
      <c r="A1211" s="19" t="s">
        <v>32</v>
      </c>
      <c r="B1211" s="2">
        <v>43943</v>
      </c>
      <c r="C1211" s="1">
        <v>0</v>
      </c>
      <c r="D1211" s="39">
        <v>5</v>
      </c>
      <c r="E1211" s="1"/>
      <c r="F1211" s="39">
        <f t="shared" si="47"/>
        <v>0</v>
      </c>
      <c r="G1211" s="395"/>
      <c r="H1211" s="395"/>
      <c r="J1211" s="42"/>
    </row>
    <row r="1212" spans="1:10" s="393" customFormat="1" x14ac:dyDescent="0.25">
      <c r="A1212" s="19" t="s">
        <v>33</v>
      </c>
      <c r="B1212" s="2">
        <v>43943</v>
      </c>
      <c r="C1212" s="1">
        <v>0</v>
      </c>
      <c r="D1212" s="39">
        <v>5</v>
      </c>
      <c r="E1212" s="1"/>
      <c r="F1212" s="39">
        <f t="shared" si="47"/>
        <v>0</v>
      </c>
      <c r="G1212" s="395"/>
      <c r="H1212" s="395"/>
      <c r="J1212" s="42"/>
    </row>
    <row r="1213" spans="1:10" s="393" customFormat="1" x14ac:dyDescent="0.25">
      <c r="A1213" s="19" t="s">
        <v>21</v>
      </c>
      <c r="B1213" s="2">
        <v>43943</v>
      </c>
      <c r="C1213" s="1">
        <v>5</v>
      </c>
      <c r="D1213" s="39">
        <v>45</v>
      </c>
      <c r="E1213" s="1"/>
      <c r="F1213" s="39">
        <f t="shared" si="47"/>
        <v>5</v>
      </c>
      <c r="G1213" s="395"/>
      <c r="H1213" s="395"/>
      <c r="J1213" s="42"/>
    </row>
    <row r="1214" spans="1:10" s="393" customFormat="1" x14ac:dyDescent="0.25">
      <c r="A1214" s="19" t="s">
        <v>17</v>
      </c>
      <c r="B1214" s="2">
        <v>43943</v>
      </c>
      <c r="C1214" s="1">
        <v>1</v>
      </c>
      <c r="D1214" s="39">
        <v>74</v>
      </c>
      <c r="E1214" s="1"/>
      <c r="F1214" s="39">
        <f t="shared" si="47"/>
        <v>8</v>
      </c>
      <c r="G1214" s="395"/>
      <c r="H1214" s="395"/>
      <c r="J1214" s="42"/>
    </row>
    <row r="1215" spans="1:10" s="393" customFormat="1" x14ac:dyDescent="0.25">
      <c r="A1215" s="19" t="s">
        <v>23</v>
      </c>
      <c r="B1215" s="2">
        <v>43943</v>
      </c>
      <c r="C1215" s="1">
        <v>0</v>
      </c>
      <c r="D1215" s="39">
        <v>5</v>
      </c>
      <c r="E1215" s="1"/>
      <c r="F1215" s="39">
        <f t="shared" si="47"/>
        <v>0</v>
      </c>
      <c r="G1215" s="395"/>
      <c r="H1215" s="395"/>
      <c r="J1215" s="42"/>
    </row>
    <row r="1216" spans="1:10" s="393" customFormat="1" x14ac:dyDescent="0.25">
      <c r="A1216" s="19" t="s">
        <v>19</v>
      </c>
      <c r="B1216" s="2">
        <v>43943</v>
      </c>
      <c r="C1216" s="1">
        <v>1</v>
      </c>
      <c r="D1216" s="39">
        <v>103</v>
      </c>
      <c r="E1216" s="1"/>
      <c r="F1216" s="39">
        <f t="shared" si="47"/>
        <v>3</v>
      </c>
      <c r="G1216" s="395"/>
      <c r="H1216" s="395"/>
      <c r="J1216" s="42"/>
    </row>
    <row r="1217" spans="1:10" s="393" customFormat="1" x14ac:dyDescent="0.25">
      <c r="A1217" s="19" t="s">
        <v>18</v>
      </c>
      <c r="B1217" s="2">
        <v>43943</v>
      </c>
      <c r="C1217" s="1">
        <v>17</v>
      </c>
      <c r="D1217" s="39">
        <v>165</v>
      </c>
      <c r="E1217" s="1"/>
      <c r="F1217" s="39">
        <f t="shared" si="47"/>
        <v>7</v>
      </c>
      <c r="G1217" s="395"/>
      <c r="H1217" s="395"/>
      <c r="J1217" s="42"/>
    </row>
    <row r="1218" spans="1:10" s="393" customFormat="1" x14ac:dyDescent="0.25">
      <c r="A1218" s="19" t="s">
        <v>34</v>
      </c>
      <c r="B1218" s="2">
        <v>43943</v>
      </c>
      <c r="C1218" s="1">
        <v>0</v>
      </c>
      <c r="D1218" s="39">
        <v>3</v>
      </c>
      <c r="E1218" s="1"/>
      <c r="F1218" s="39">
        <f t="shared" si="47"/>
        <v>0</v>
      </c>
      <c r="G1218" s="395"/>
      <c r="H1218" s="395"/>
      <c r="J1218" s="42"/>
    </row>
    <row r="1219" spans="1:10" s="393" customFormat="1" x14ac:dyDescent="0.25">
      <c r="A1219" s="19" t="s">
        <v>35</v>
      </c>
      <c r="B1219" s="2">
        <v>43943</v>
      </c>
      <c r="C1219" s="1">
        <v>0</v>
      </c>
      <c r="D1219" s="39">
        <v>2</v>
      </c>
      <c r="E1219" s="1"/>
      <c r="F1219" s="39">
        <f t="shared" si="47"/>
        <v>0</v>
      </c>
      <c r="G1219" s="395"/>
      <c r="H1219" s="395"/>
      <c r="J1219" s="42"/>
    </row>
    <row r="1220" spans="1:10" s="393" customFormat="1" x14ac:dyDescent="0.25">
      <c r="A1220" s="19" t="s">
        <v>36</v>
      </c>
      <c r="B1220" s="2">
        <v>43943</v>
      </c>
      <c r="C1220" s="1">
        <v>0</v>
      </c>
      <c r="D1220" s="39">
        <v>11</v>
      </c>
      <c r="E1220" s="1"/>
      <c r="F1220" s="39">
        <f t="shared" si="47"/>
        <v>0</v>
      </c>
      <c r="G1220" s="395"/>
      <c r="H1220" s="395"/>
      <c r="J1220" s="42"/>
    </row>
    <row r="1221" spans="1:10" s="393" customFormat="1" x14ac:dyDescent="0.25">
      <c r="A1221" s="19" t="s">
        <v>37</v>
      </c>
      <c r="B1221" s="2">
        <v>43943</v>
      </c>
      <c r="C1221" s="1">
        <v>0</v>
      </c>
      <c r="D1221" s="39">
        <v>41</v>
      </c>
      <c r="E1221" s="1"/>
      <c r="F1221" s="39">
        <f t="shared" si="47"/>
        <v>0</v>
      </c>
      <c r="G1221" s="395"/>
      <c r="H1221" s="395"/>
      <c r="J1221" s="42"/>
    </row>
    <row r="1222" spans="1:10" s="393" customFormat="1" x14ac:dyDescent="0.25">
      <c r="A1222" s="19" t="s">
        <v>22</v>
      </c>
      <c r="B1222" s="2">
        <v>43943</v>
      </c>
      <c r="C1222" s="1">
        <v>5</v>
      </c>
      <c r="D1222" s="39">
        <v>230</v>
      </c>
      <c r="E1222" s="1"/>
      <c r="F1222" s="39">
        <f>E1222+F1198</f>
        <v>2</v>
      </c>
      <c r="G1222" s="395"/>
      <c r="H1222" s="395"/>
      <c r="J1222" s="42"/>
    </row>
    <row r="1223" spans="1:10" s="393" customFormat="1" x14ac:dyDescent="0.25">
      <c r="A1223" s="19" t="s">
        <v>38</v>
      </c>
      <c r="B1223" s="2">
        <v>43943</v>
      </c>
      <c r="C1223" s="1">
        <v>0</v>
      </c>
      <c r="D1223" s="39">
        <v>12</v>
      </c>
      <c r="E1223" s="1"/>
      <c r="F1223" s="39">
        <f t="shared" si="47"/>
        <v>0</v>
      </c>
      <c r="G1223" s="395"/>
      <c r="H1223" s="395"/>
      <c r="J1223" s="42"/>
    </row>
    <row r="1224" spans="1:10" s="393" customFormat="1" x14ac:dyDescent="0.25">
      <c r="A1224" s="19" t="s">
        <v>39</v>
      </c>
      <c r="B1224" s="2">
        <v>43943</v>
      </c>
      <c r="C1224" s="1">
        <v>0</v>
      </c>
      <c r="D1224" s="39">
        <v>124</v>
      </c>
      <c r="E1224" s="1"/>
      <c r="F1224" s="39">
        <f t="shared" si="47"/>
        <v>0</v>
      </c>
      <c r="G1224" s="395"/>
      <c r="H1224" s="395"/>
      <c r="J1224" s="42"/>
    </row>
    <row r="1225" spans="1:10" s="393" customFormat="1" x14ac:dyDescent="0.25">
      <c r="A1225" s="19" t="s">
        <v>40</v>
      </c>
      <c r="B1225" s="2">
        <v>43943</v>
      </c>
      <c r="C1225" s="1">
        <v>4</v>
      </c>
      <c r="D1225" s="39">
        <v>35</v>
      </c>
      <c r="E1225" s="1"/>
      <c r="F1225" s="39">
        <f t="shared" si="47"/>
        <v>2</v>
      </c>
      <c r="G1225" s="395"/>
      <c r="H1225" s="395"/>
      <c r="J1225" s="42"/>
    </row>
    <row r="1226" spans="1:10" s="393" customFormat="1" x14ac:dyDescent="0.25">
      <c r="A1226" s="394" t="s">
        <v>16</v>
      </c>
      <c r="B1226" s="2">
        <v>43944</v>
      </c>
      <c r="C1226" s="1">
        <v>84</v>
      </c>
      <c r="D1226" s="39">
        <v>1120</v>
      </c>
      <c r="E1226" s="1">
        <v>4</v>
      </c>
      <c r="F1226" s="39">
        <f>E1226+F1202</f>
        <v>67</v>
      </c>
      <c r="G1226" s="395"/>
      <c r="H1226" s="395"/>
      <c r="J1226" s="42"/>
    </row>
    <row r="1227" spans="1:10" s="393" customFormat="1" x14ac:dyDescent="0.25">
      <c r="A1227" s="19" t="s">
        <v>28</v>
      </c>
      <c r="B1227" s="2">
        <v>43944</v>
      </c>
      <c r="C1227" s="1">
        <v>0</v>
      </c>
      <c r="D1227" s="39">
        <v>0</v>
      </c>
      <c r="E1227" s="1"/>
      <c r="F1227" s="39">
        <f t="shared" ref="F1227:F1249" si="48">E1227+F1203</f>
        <v>0</v>
      </c>
      <c r="G1227" s="395"/>
      <c r="H1227" s="395"/>
      <c r="J1227" s="42"/>
    </row>
    <row r="1228" spans="1:10" s="393" customFormat="1" x14ac:dyDescent="0.25">
      <c r="A1228" s="19" t="s">
        <v>15</v>
      </c>
      <c r="B1228" s="2">
        <v>43944</v>
      </c>
      <c r="C1228" s="1">
        <v>10</v>
      </c>
      <c r="D1228" s="39">
        <v>280</v>
      </c>
      <c r="E1228" s="1"/>
      <c r="F1228" s="39">
        <f t="shared" si="48"/>
        <v>10</v>
      </c>
      <c r="G1228" s="395"/>
      <c r="H1228" s="395"/>
      <c r="J1228" s="42"/>
    </row>
    <row r="1229" spans="1:10" s="393" customFormat="1" x14ac:dyDescent="0.25">
      <c r="A1229" s="19" t="s">
        <v>29</v>
      </c>
      <c r="B1229" s="2">
        <v>43944</v>
      </c>
      <c r="C1229" s="1">
        <v>0</v>
      </c>
      <c r="D1229" s="39">
        <v>2</v>
      </c>
      <c r="E1229" s="1"/>
      <c r="F1229" s="39">
        <f t="shared" si="48"/>
        <v>1</v>
      </c>
      <c r="G1229" s="395"/>
      <c r="H1229" s="395"/>
      <c r="J1229" s="42"/>
    </row>
    <row r="1230" spans="1:10" s="393" customFormat="1" x14ac:dyDescent="0.25">
      <c r="A1230" s="19" t="s">
        <v>43</v>
      </c>
      <c r="B1230" s="2">
        <v>43944</v>
      </c>
      <c r="C1230" s="1">
        <v>37</v>
      </c>
      <c r="D1230" s="39">
        <v>837</v>
      </c>
      <c r="E1230" s="1">
        <v>1</v>
      </c>
      <c r="F1230" s="39">
        <f t="shared" si="48"/>
        <v>44</v>
      </c>
      <c r="G1230" s="395"/>
      <c r="H1230" s="395"/>
      <c r="J1230" s="42"/>
    </row>
    <row r="1231" spans="1:10" s="393" customFormat="1" x14ac:dyDescent="0.25">
      <c r="A1231" s="19" t="s">
        <v>20</v>
      </c>
      <c r="B1231" s="2">
        <v>43944</v>
      </c>
      <c r="C1231" s="1">
        <v>2</v>
      </c>
      <c r="D1231" s="39">
        <v>266</v>
      </c>
      <c r="E1231" s="1"/>
      <c r="F1231" s="39">
        <f t="shared" si="48"/>
        <v>10</v>
      </c>
      <c r="G1231" s="395"/>
      <c r="H1231" s="395"/>
      <c r="J1231" s="42"/>
    </row>
    <row r="1232" spans="1:10" s="393" customFormat="1" x14ac:dyDescent="0.25">
      <c r="A1232" s="19" t="s">
        <v>30</v>
      </c>
      <c r="B1232" s="2">
        <v>43944</v>
      </c>
      <c r="C1232" s="1">
        <v>1</v>
      </c>
      <c r="D1232" s="39">
        <v>35</v>
      </c>
      <c r="E1232" s="1"/>
      <c r="F1232" s="39">
        <f t="shared" si="48"/>
        <v>0</v>
      </c>
      <c r="G1232" s="395"/>
      <c r="H1232" s="395"/>
      <c r="J1232" s="42"/>
    </row>
    <row r="1233" spans="1:10" x14ac:dyDescent="0.25">
      <c r="A1233" s="19" t="s">
        <v>31</v>
      </c>
      <c r="B1233" s="2">
        <v>43944</v>
      </c>
      <c r="C1233" s="1">
        <v>0</v>
      </c>
      <c r="D1233" s="39">
        <v>22</v>
      </c>
      <c r="F1233" s="39">
        <f t="shared" si="48"/>
        <v>0</v>
      </c>
    </row>
    <row r="1234" spans="1:10" s="393" customFormat="1" x14ac:dyDescent="0.25">
      <c r="A1234" s="19" t="s">
        <v>41</v>
      </c>
      <c r="B1234" s="2">
        <v>43944</v>
      </c>
      <c r="C1234" s="1">
        <v>0</v>
      </c>
      <c r="D1234" s="39">
        <v>0</v>
      </c>
      <c r="E1234" s="1"/>
      <c r="F1234" s="39">
        <f t="shared" si="48"/>
        <v>0</v>
      </c>
      <c r="G1234" s="395"/>
      <c r="H1234" s="395"/>
      <c r="J1234" s="42"/>
    </row>
    <row r="1235" spans="1:10" s="393" customFormat="1" x14ac:dyDescent="0.25">
      <c r="A1235" s="19" t="s">
        <v>32</v>
      </c>
      <c r="B1235" s="2">
        <v>43944</v>
      </c>
      <c r="C1235" s="1">
        <v>0</v>
      </c>
      <c r="D1235" s="39">
        <v>5</v>
      </c>
      <c r="E1235" s="1"/>
      <c r="F1235" s="39">
        <f t="shared" si="48"/>
        <v>0</v>
      </c>
      <c r="G1235" s="395"/>
      <c r="H1235" s="395"/>
      <c r="J1235" s="42"/>
    </row>
    <row r="1236" spans="1:10" s="393" customFormat="1" x14ac:dyDescent="0.25">
      <c r="A1236" s="19" t="s">
        <v>33</v>
      </c>
      <c r="B1236" s="2">
        <v>43944</v>
      </c>
      <c r="C1236" s="1">
        <v>0</v>
      </c>
      <c r="D1236" s="39">
        <v>5</v>
      </c>
      <c r="E1236" s="1"/>
      <c r="F1236" s="39">
        <f t="shared" si="48"/>
        <v>0</v>
      </c>
      <c r="G1236" s="395"/>
      <c r="H1236" s="395"/>
      <c r="J1236" s="42"/>
    </row>
    <row r="1237" spans="1:10" s="393" customFormat="1" x14ac:dyDescent="0.25">
      <c r="A1237" s="19" t="s">
        <v>21</v>
      </c>
      <c r="B1237" s="2">
        <v>43944</v>
      </c>
      <c r="C1237" s="1">
        <v>0</v>
      </c>
      <c r="D1237" s="39">
        <v>45</v>
      </c>
      <c r="E1237" s="1"/>
      <c r="F1237" s="39">
        <f t="shared" si="48"/>
        <v>5</v>
      </c>
      <c r="G1237" s="395"/>
      <c r="H1237" s="395"/>
      <c r="J1237" s="42"/>
    </row>
    <row r="1238" spans="1:10" s="393" customFormat="1" x14ac:dyDescent="0.25">
      <c r="A1238" s="19" t="s">
        <v>17</v>
      </c>
      <c r="B1238" s="2">
        <v>43944</v>
      </c>
      <c r="C1238" s="1">
        <v>1</v>
      </c>
      <c r="D1238" s="39">
        <v>75</v>
      </c>
      <c r="E1238" s="1">
        <v>1</v>
      </c>
      <c r="F1238" s="39">
        <f t="shared" si="48"/>
        <v>9</v>
      </c>
      <c r="G1238" s="395"/>
      <c r="H1238" s="395"/>
      <c r="J1238" s="42"/>
    </row>
    <row r="1239" spans="1:10" s="393" customFormat="1" x14ac:dyDescent="0.25">
      <c r="A1239" s="19" t="s">
        <v>23</v>
      </c>
      <c r="B1239" s="2">
        <v>43944</v>
      </c>
      <c r="C1239" s="1">
        <v>0</v>
      </c>
      <c r="D1239" s="39">
        <v>5</v>
      </c>
      <c r="E1239" s="1"/>
      <c r="F1239" s="39">
        <f t="shared" si="48"/>
        <v>0</v>
      </c>
      <c r="G1239" s="395"/>
      <c r="H1239" s="395"/>
      <c r="J1239" s="42"/>
    </row>
    <row r="1240" spans="1:10" s="393" customFormat="1" x14ac:dyDescent="0.25">
      <c r="A1240" s="19" t="s">
        <v>19</v>
      </c>
      <c r="B1240" s="2">
        <v>43944</v>
      </c>
      <c r="C1240" s="1">
        <v>1</v>
      </c>
      <c r="D1240" s="39">
        <v>104</v>
      </c>
      <c r="E1240" s="1"/>
      <c r="F1240" s="39">
        <f t="shared" si="48"/>
        <v>3</v>
      </c>
      <c r="G1240" s="395"/>
      <c r="H1240" s="395"/>
      <c r="J1240" s="42"/>
    </row>
    <row r="1241" spans="1:10" s="393" customFormat="1" x14ac:dyDescent="0.25">
      <c r="A1241" s="19" t="s">
        <v>18</v>
      </c>
      <c r="B1241" s="2">
        <v>43944</v>
      </c>
      <c r="C1241" s="1">
        <v>4</v>
      </c>
      <c r="D1241" s="39">
        <v>169</v>
      </c>
      <c r="E1241" s="1"/>
      <c r="F1241" s="39">
        <f t="shared" si="48"/>
        <v>7</v>
      </c>
      <c r="G1241" s="395"/>
      <c r="H1241" s="395"/>
      <c r="J1241" s="42"/>
    </row>
    <row r="1242" spans="1:10" s="393" customFormat="1" x14ac:dyDescent="0.25">
      <c r="A1242" s="19" t="s">
        <v>34</v>
      </c>
      <c r="B1242" s="2">
        <v>43944</v>
      </c>
      <c r="C1242" s="1">
        <v>0</v>
      </c>
      <c r="D1242" s="39">
        <v>3</v>
      </c>
      <c r="E1242" s="1"/>
      <c r="F1242" s="39">
        <f t="shared" si="48"/>
        <v>0</v>
      </c>
      <c r="G1242" s="395"/>
      <c r="H1242" s="395"/>
      <c r="J1242" s="42"/>
    </row>
    <row r="1243" spans="1:10" s="393" customFormat="1" x14ac:dyDescent="0.25">
      <c r="A1243" s="19" t="s">
        <v>35</v>
      </c>
      <c r="B1243" s="2">
        <v>43944</v>
      </c>
      <c r="C1243" s="1">
        <v>0</v>
      </c>
      <c r="D1243" s="39">
        <v>2</v>
      </c>
      <c r="E1243" s="1"/>
      <c r="F1243" s="39">
        <f t="shared" si="48"/>
        <v>0</v>
      </c>
      <c r="G1243" s="395"/>
      <c r="H1243" s="395"/>
      <c r="J1243" s="42"/>
    </row>
    <row r="1244" spans="1:10" s="393" customFormat="1" x14ac:dyDescent="0.25">
      <c r="A1244" s="19" t="s">
        <v>36</v>
      </c>
      <c r="B1244" s="2">
        <v>43944</v>
      </c>
      <c r="C1244" s="1">
        <v>0</v>
      </c>
      <c r="D1244" s="39">
        <v>11</v>
      </c>
      <c r="E1244" s="1"/>
      <c r="F1244" s="39">
        <f t="shared" si="48"/>
        <v>0</v>
      </c>
      <c r="G1244" s="395"/>
      <c r="H1244" s="395"/>
      <c r="J1244" s="42"/>
    </row>
    <row r="1245" spans="1:10" s="393" customFormat="1" x14ac:dyDescent="0.25">
      <c r="A1245" s="19" t="s">
        <v>37</v>
      </c>
      <c r="B1245" s="2">
        <v>43944</v>
      </c>
      <c r="C1245" s="1">
        <v>0</v>
      </c>
      <c r="D1245" s="39">
        <v>41</v>
      </c>
      <c r="E1245" s="1"/>
      <c r="F1245" s="39">
        <f t="shared" si="48"/>
        <v>0</v>
      </c>
      <c r="G1245" s="395"/>
      <c r="H1245" s="395"/>
      <c r="J1245" s="42"/>
    </row>
    <row r="1246" spans="1:10" s="393" customFormat="1" x14ac:dyDescent="0.25">
      <c r="A1246" s="19" t="s">
        <v>22</v>
      </c>
      <c r="B1246" s="2">
        <v>43944</v>
      </c>
      <c r="C1246" s="1">
        <v>6</v>
      </c>
      <c r="D1246" s="39">
        <v>236</v>
      </c>
      <c r="E1246" s="1"/>
      <c r="F1246" s="39">
        <f>E1246+F1222</f>
        <v>2</v>
      </c>
      <c r="G1246" s="395"/>
      <c r="H1246" s="395"/>
      <c r="J1246" s="42"/>
    </row>
    <row r="1247" spans="1:10" s="393" customFormat="1" x14ac:dyDescent="0.25">
      <c r="A1247" s="19" t="s">
        <v>38</v>
      </c>
      <c r="B1247" s="2">
        <v>43944</v>
      </c>
      <c r="C1247" s="1">
        <v>0</v>
      </c>
      <c r="D1247" s="39">
        <v>12</v>
      </c>
      <c r="E1247" s="1"/>
      <c r="F1247" s="39">
        <f t="shared" si="48"/>
        <v>0</v>
      </c>
      <c r="G1247" s="395"/>
      <c r="H1247" s="395"/>
      <c r="J1247" s="42"/>
    </row>
    <row r="1248" spans="1:10" s="393" customFormat="1" x14ac:dyDescent="0.25">
      <c r="A1248" s="19" t="s">
        <v>39</v>
      </c>
      <c r="B1248" s="2">
        <v>43944</v>
      </c>
      <c r="C1248" s="1">
        <v>1</v>
      </c>
      <c r="D1248" s="39">
        <v>125</v>
      </c>
      <c r="E1248" s="1"/>
      <c r="F1248" s="39">
        <f t="shared" si="48"/>
        <v>0</v>
      </c>
      <c r="G1248" s="395"/>
      <c r="H1248" s="395"/>
      <c r="J1248" s="42"/>
    </row>
    <row r="1249" spans="1:10" s="393" customFormat="1" x14ac:dyDescent="0.25">
      <c r="A1249" s="19" t="s">
        <v>40</v>
      </c>
      <c r="B1249" s="2">
        <v>43944</v>
      </c>
      <c r="C1249" s="1">
        <v>0</v>
      </c>
      <c r="D1249" s="39">
        <v>35</v>
      </c>
      <c r="E1249" s="1"/>
      <c r="F1249" s="39">
        <f t="shared" si="48"/>
        <v>2</v>
      </c>
      <c r="G1249" s="395"/>
      <c r="H1249" s="395"/>
      <c r="J1249" s="42"/>
    </row>
    <row r="1250" spans="1:10" s="393" customFormat="1" x14ac:dyDescent="0.25">
      <c r="A1250" s="394" t="s">
        <v>16</v>
      </c>
      <c r="B1250" s="2">
        <v>43945</v>
      </c>
      <c r="C1250" s="1">
        <v>61</v>
      </c>
      <c r="D1250" s="39">
        <v>1181</v>
      </c>
      <c r="E1250" s="1">
        <v>4</v>
      </c>
      <c r="F1250" s="39">
        <f>E1250+F1226</f>
        <v>71</v>
      </c>
      <c r="G1250" s="395"/>
      <c r="H1250" s="395"/>
      <c r="J1250" s="42"/>
    </row>
    <row r="1251" spans="1:10" s="393" customFormat="1" x14ac:dyDescent="0.25">
      <c r="A1251" s="19" t="s">
        <v>28</v>
      </c>
      <c r="B1251" s="2">
        <v>43945</v>
      </c>
      <c r="C1251" s="1">
        <v>0</v>
      </c>
      <c r="D1251" s="39">
        <v>0</v>
      </c>
      <c r="E1251" s="1"/>
      <c r="F1251" s="39">
        <f t="shared" ref="F1251:F1273" si="49">E1251+F1227</f>
        <v>0</v>
      </c>
      <c r="G1251" s="395"/>
      <c r="H1251" s="395"/>
      <c r="J1251" s="42"/>
    </row>
    <row r="1252" spans="1:10" s="393" customFormat="1" x14ac:dyDescent="0.25">
      <c r="A1252" s="19" t="s">
        <v>15</v>
      </c>
      <c r="B1252" s="2">
        <v>43945</v>
      </c>
      <c r="C1252" s="1">
        <v>7</v>
      </c>
      <c r="D1252" s="39">
        <v>287</v>
      </c>
      <c r="E1252" s="1">
        <v>1</v>
      </c>
      <c r="F1252" s="39">
        <f t="shared" si="49"/>
        <v>11</v>
      </c>
      <c r="G1252" s="395"/>
      <c r="H1252" s="395"/>
      <c r="J1252" s="42"/>
    </row>
    <row r="1253" spans="1:10" s="393" customFormat="1" x14ac:dyDescent="0.25">
      <c r="A1253" s="19" t="s">
        <v>29</v>
      </c>
      <c r="B1253" s="2">
        <v>43945</v>
      </c>
      <c r="C1253" s="1">
        <v>0</v>
      </c>
      <c r="D1253" s="39">
        <v>2</v>
      </c>
      <c r="E1253" s="1"/>
      <c r="F1253" s="39">
        <f t="shared" si="49"/>
        <v>1</v>
      </c>
      <c r="G1253" s="395"/>
      <c r="H1253" s="395"/>
      <c r="J1253" s="42"/>
    </row>
    <row r="1254" spans="1:10" s="393" customFormat="1" x14ac:dyDescent="0.25">
      <c r="A1254" s="19" t="s">
        <v>43</v>
      </c>
      <c r="B1254" s="2">
        <v>43945</v>
      </c>
      <c r="C1254" s="1">
        <v>79</v>
      </c>
      <c r="D1254" s="39">
        <v>916</v>
      </c>
      <c r="E1254" s="1">
        <v>4</v>
      </c>
      <c r="F1254" s="39">
        <f t="shared" si="49"/>
        <v>48</v>
      </c>
      <c r="G1254" s="395"/>
      <c r="H1254" s="395"/>
      <c r="J1254" s="42"/>
    </row>
    <row r="1255" spans="1:10" s="393" customFormat="1" x14ac:dyDescent="0.25">
      <c r="A1255" s="19" t="s">
        <v>20</v>
      </c>
      <c r="B1255" s="2">
        <v>43945</v>
      </c>
      <c r="C1255" s="1">
        <v>3</v>
      </c>
      <c r="D1255" s="39">
        <v>269</v>
      </c>
      <c r="E1255" s="1">
        <v>1</v>
      </c>
      <c r="F1255" s="39">
        <f t="shared" si="49"/>
        <v>11</v>
      </c>
      <c r="G1255" s="395"/>
      <c r="H1255" s="395"/>
      <c r="J1255" s="42"/>
    </row>
    <row r="1256" spans="1:10" s="393" customFormat="1" x14ac:dyDescent="0.25">
      <c r="A1256" s="19" t="s">
        <v>30</v>
      </c>
      <c r="B1256" s="2">
        <v>43945</v>
      </c>
      <c r="C1256" s="1">
        <v>4</v>
      </c>
      <c r="D1256" s="39">
        <v>39</v>
      </c>
      <c r="E1256" s="1"/>
      <c r="F1256" s="39">
        <f t="shared" si="49"/>
        <v>0</v>
      </c>
      <c r="G1256" s="395"/>
      <c r="H1256" s="395"/>
      <c r="J1256" s="42"/>
    </row>
    <row r="1257" spans="1:10" x14ac:dyDescent="0.25">
      <c r="A1257" s="19" t="s">
        <v>31</v>
      </c>
      <c r="B1257" s="2">
        <v>43945</v>
      </c>
      <c r="C1257" s="1">
        <v>0</v>
      </c>
      <c r="D1257" s="39">
        <v>22</v>
      </c>
      <c r="F1257" s="39">
        <f t="shared" si="49"/>
        <v>0</v>
      </c>
    </row>
    <row r="1258" spans="1:10" s="393" customFormat="1" x14ac:dyDescent="0.25">
      <c r="A1258" s="19" t="s">
        <v>41</v>
      </c>
      <c r="B1258" s="2">
        <v>43945</v>
      </c>
      <c r="C1258" s="1">
        <v>0</v>
      </c>
      <c r="D1258" s="39">
        <v>0</v>
      </c>
      <c r="E1258" s="1"/>
      <c r="F1258" s="39">
        <f t="shared" si="49"/>
        <v>0</v>
      </c>
      <c r="G1258" s="395"/>
      <c r="H1258" s="395"/>
      <c r="J1258" s="42"/>
    </row>
    <row r="1259" spans="1:10" s="393" customFormat="1" x14ac:dyDescent="0.25">
      <c r="A1259" s="19" t="s">
        <v>32</v>
      </c>
      <c r="B1259" s="2">
        <v>43945</v>
      </c>
      <c r="C1259" s="1">
        <v>0</v>
      </c>
      <c r="D1259" s="39">
        <v>5</v>
      </c>
      <c r="E1259" s="1"/>
      <c r="F1259" s="39">
        <f t="shared" si="49"/>
        <v>0</v>
      </c>
      <c r="G1259" s="395"/>
      <c r="H1259" s="395"/>
      <c r="J1259" s="42"/>
    </row>
    <row r="1260" spans="1:10" s="393" customFormat="1" x14ac:dyDescent="0.25">
      <c r="A1260" s="19" t="s">
        <v>33</v>
      </c>
      <c r="B1260" s="2">
        <v>43945</v>
      </c>
      <c r="C1260" s="1">
        <v>0</v>
      </c>
      <c r="D1260" s="39">
        <v>5</v>
      </c>
      <c r="E1260" s="1"/>
      <c r="F1260" s="39">
        <f t="shared" si="49"/>
        <v>0</v>
      </c>
      <c r="G1260" s="395"/>
      <c r="H1260" s="395"/>
      <c r="J1260" s="42"/>
    </row>
    <row r="1261" spans="1:10" s="393" customFormat="1" x14ac:dyDescent="0.25">
      <c r="A1261" s="19" t="s">
        <v>21</v>
      </c>
      <c r="B1261" s="2">
        <v>43945</v>
      </c>
      <c r="C1261" s="1">
        <v>2</v>
      </c>
      <c r="D1261" s="39">
        <v>47</v>
      </c>
      <c r="E1261" s="1"/>
      <c r="F1261" s="39">
        <f t="shared" si="49"/>
        <v>5</v>
      </c>
      <c r="G1261" s="395"/>
      <c r="H1261" s="395"/>
      <c r="J1261" s="42"/>
    </row>
    <row r="1262" spans="1:10" s="393" customFormat="1" x14ac:dyDescent="0.25">
      <c r="A1262" s="19" t="s">
        <v>17</v>
      </c>
      <c r="B1262" s="2">
        <v>43945</v>
      </c>
      <c r="C1262" s="1">
        <v>0</v>
      </c>
      <c r="D1262" s="39">
        <v>75</v>
      </c>
      <c r="E1262" s="1"/>
      <c r="F1262" s="39">
        <f t="shared" si="49"/>
        <v>9</v>
      </c>
      <c r="G1262" s="395"/>
      <c r="H1262" s="395"/>
      <c r="J1262" s="42"/>
    </row>
    <row r="1263" spans="1:10" s="393" customFormat="1" x14ac:dyDescent="0.25">
      <c r="A1263" s="19" t="s">
        <v>23</v>
      </c>
      <c r="B1263" s="2">
        <v>43945</v>
      </c>
      <c r="C1263" s="1">
        <v>1</v>
      </c>
      <c r="D1263" s="39">
        <v>6</v>
      </c>
      <c r="E1263" s="1">
        <v>1</v>
      </c>
      <c r="F1263" s="39">
        <f t="shared" si="49"/>
        <v>1</v>
      </c>
      <c r="G1263" s="395"/>
      <c r="H1263" s="395"/>
      <c r="J1263" s="42"/>
    </row>
    <row r="1264" spans="1:10" s="393" customFormat="1" x14ac:dyDescent="0.25">
      <c r="A1264" s="19" t="s">
        <v>19</v>
      </c>
      <c r="B1264" s="2">
        <v>43945</v>
      </c>
      <c r="C1264" s="1">
        <v>0</v>
      </c>
      <c r="D1264" s="39">
        <v>104</v>
      </c>
      <c r="E1264" s="1"/>
      <c r="F1264" s="39">
        <f t="shared" si="49"/>
        <v>3</v>
      </c>
      <c r="G1264" s="395"/>
      <c r="H1264" s="395"/>
      <c r="J1264" s="42"/>
    </row>
    <row r="1265" spans="1:10" s="393" customFormat="1" x14ac:dyDescent="0.25">
      <c r="A1265" s="19" t="s">
        <v>18</v>
      </c>
      <c r="B1265" s="2">
        <v>43945</v>
      </c>
      <c r="C1265" s="1">
        <v>11</v>
      </c>
      <c r="D1265" s="39">
        <v>180</v>
      </c>
      <c r="E1265" s="1"/>
      <c r="F1265" s="39">
        <f t="shared" si="49"/>
        <v>7</v>
      </c>
      <c r="G1265" s="395"/>
      <c r="H1265" s="395"/>
      <c r="J1265" s="42"/>
    </row>
    <row r="1266" spans="1:10" s="393" customFormat="1" x14ac:dyDescent="0.25">
      <c r="A1266" s="19" t="s">
        <v>34</v>
      </c>
      <c r="B1266" s="2">
        <v>43945</v>
      </c>
      <c r="C1266" s="1">
        <v>0</v>
      </c>
      <c r="D1266" s="39">
        <v>3</v>
      </c>
      <c r="E1266" s="1"/>
      <c r="F1266" s="39">
        <f t="shared" si="49"/>
        <v>0</v>
      </c>
      <c r="G1266" s="395"/>
      <c r="H1266" s="395"/>
      <c r="J1266" s="42"/>
    </row>
    <row r="1267" spans="1:10" s="393" customFormat="1" x14ac:dyDescent="0.25">
      <c r="A1267" s="19" t="s">
        <v>35</v>
      </c>
      <c r="B1267" s="2">
        <v>43945</v>
      </c>
      <c r="C1267" s="1">
        <v>0</v>
      </c>
      <c r="D1267" s="39">
        <v>2</v>
      </c>
      <c r="E1267" s="1"/>
      <c r="F1267" s="39">
        <f t="shared" si="49"/>
        <v>0</v>
      </c>
      <c r="G1267" s="395"/>
      <c r="H1267" s="395"/>
      <c r="J1267" s="42"/>
    </row>
    <row r="1268" spans="1:10" s="393" customFormat="1" x14ac:dyDescent="0.25">
      <c r="A1268" s="19" t="s">
        <v>36</v>
      </c>
      <c r="B1268" s="2">
        <v>43945</v>
      </c>
      <c r="C1268" s="1">
        <v>0</v>
      </c>
      <c r="D1268" s="39">
        <v>11</v>
      </c>
      <c r="E1268" s="1"/>
      <c r="F1268" s="39">
        <f t="shared" si="49"/>
        <v>0</v>
      </c>
      <c r="G1268" s="395"/>
      <c r="H1268" s="395"/>
      <c r="J1268" s="42"/>
    </row>
    <row r="1269" spans="1:10" s="393" customFormat="1" x14ac:dyDescent="0.25">
      <c r="A1269" s="19" t="s">
        <v>37</v>
      </c>
      <c r="B1269" s="2">
        <v>43945</v>
      </c>
      <c r="C1269" s="1">
        <v>1</v>
      </c>
      <c r="D1269" s="39">
        <v>42</v>
      </c>
      <c r="E1269" s="1"/>
      <c r="F1269" s="39">
        <f t="shared" si="49"/>
        <v>0</v>
      </c>
      <c r="G1269" s="395"/>
      <c r="H1269" s="395"/>
      <c r="J1269" s="42"/>
    </row>
    <row r="1270" spans="1:10" s="393" customFormat="1" x14ac:dyDescent="0.25">
      <c r="A1270" s="19" t="s">
        <v>22</v>
      </c>
      <c r="B1270" s="2">
        <v>43945</v>
      </c>
      <c r="C1270" s="1">
        <v>3</v>
      </c>
      <c r="D1270" s="39">
        <v>239</v>
      </c>
      <c r="E1270" s="1"/>
      <c r="F1270" s="39">
        <f>E1270+F1246</f>
        <v>2</v>
      </c>
      <c r="G1270" s="395"/>
      <c r="H1270" s="395"/>
      <c r="J1270" s="42"/>
    </row>
    <row r="1271" spans="1:10" s="393" customFormat="1" x14ac:dyDescent="0.25">
      <c r="A1271" s="19" t="s">
        <v>38</v>
      </c>
      <c r="B1271" s="2">
        <v>43945</v>
      </c>
      <c r="C1271" s="1">
        <v>0</v>
      </c>
      <c r="D1271" s="39">
        <v>12</v>
      </c>
      <c r="E1271" s="1"/>
      <c r="F1271" s="39">
        <f t="shared" si="49"/>
        <v>0</v>
      </c>
      <c r="G1271" s="395"/>
      <c r="H1271" s="395"/>
      <c r="J1271" s="42"/>
    </row>
    <row r="1272" spans="1:10" s="393" customFormat="1" x14ac:dyDescent="0.25">
      <c r="A1272" s="19" t="s">
        <v>39</v>
      </c>
      <c r="B1272" s="2">
        <v>43945</v>
      </c>
      <c r="C1272" s="1">
        <v>1</v>
      </c>
      <c r="D1272" s="39">
        <v>126</v>
      </c>
      <c r="E1272" s="1"/>
      <c r="F1272" s="39">
        <f t="shared" si="49"/>
        <v>0</v>
      </c>
      <c r="G1272" s="395"/>
      <c r="H1272" s="395"/>
      <c r="J1272" s="42"/>
    </row>
    <row r="1273" spans="1:10" s="393" customFormat="1" x14ac:dyDescent="0.25">
      <c r="A1273" s="19" t="s">
        <v>40</v>
      </c>
      <c r="B1273" s="2">
        <v>43945</v>
      </c>
      <c r="C1273" s="1">
        <v>-1</v>
      </c>
      <c r="D1273" s="39">
        <v>34</v>
      </c>
      <c r="E1273" s="1"/>
      <c r="F1273" s="39">
        <f t="shared" si="49"/>
        <v>2</v>
      </c>
      <c r="G1273" s="395"/>
      <c r="H1273" s="395"/>
      <c r="J1273" s="42"/>
    </row>
    <row r="1274" spans="1:10" s="393" customFormat="1" x14ac:dyDescent="0.25">
      <c r="A1274" s="394" t="s">
        <v>16</v>
      </c>
      <c r="B1274" s="2">
        <v>43946</v>
      </c>
      <c r="C1274" s="1">
        <v>94</v>
      </c>
      <c r="D1274" s="39">
        <v>1275</v>
      </c>
      <c r="E1274" s="1">
        <v>2</v>
      </c>
      <c r="F1274" s="39">
        <f>E1274+F1250</f>
        <v>73</v>
      </c>
      <c r="G1274" s="395"/>
      <c r="H1274" s="395"/>
      <c r="J1274" s="42"/>
    </row>
    <row r="1275" spans="1:10" s="393" customFormat="1" x14ac:dyDescent="0.25">
      <c r="A1275" s="19" t="s">
        <v>28</v>
      </c>
      <c r="B1275" s="2">
        <v>43946</v>
      </c>
      <c r="C1275" s="1">
        <v>0</v>
      </c>
      <c r="D1275" s="39">
        <v>0</v>
      </c>
      <c r="E1275" s="1"/>
      <c r="F1275" s="39">
        <f t="shared" ref="F1275:F1297" si="50">E1275+F1251</f>
        <v>0</v>
      </c>
      <c r="G1275" s="395"/>
      <c r="H1275" s="395"/>
      <c r="J1275" s="42"/>
    </row>
    <row r="1276" spans="1:10" s="393" customFormat="1" x14ac:dyDescent="0.25">
      <c r="A1276" s="19" t="s">
        <v>15</v>
      </c>
      <c r="B1276" s="2">
        <v>43946</v>
      </c>
      <c r="C1276" s="1">
        <v>7</v>
      </c>
      <c r="D1276" s="39">
        <v>294</v>
      </c>
      <c r="E1276" s="1"/>
      <c r="F1276" s="39">
        <f t="shared" si="50"/>
        <v>11</v>
      </c>
      <c r="G1276" s="395"/>
      <c r="H1276" s="395"/>
      <c r="J1276" s="42"/>
    </row>
    <row r="1277" spans="1:10" s="393" customFormat="1" x14ac:dyDescent="0.25">
      <c r="A1277" s="19" t="s">
        <v>29</v>
      </c>
      <c r="B1277" s="2">
        <v>43946</v>
      </c>
      <c r="C1277" s="1">
        <v>0</v>
      </c>
      <c r="D1277" s="39">
        <v>2</v>
      </c>
      <c r="E1277" s="1"/>
      <c r="F1277" s="39">
        <f t="shared" si="50"/>
        <v>1</v>
      </c>
      <c r="G1277" s="395"/>
      <c r="H1277" s="395"/>
      <c r="J1277" s="42"/>
    </row>
    <row r="1278" spans="1:10" s="393" customFormat="1" x14ac:dyDescent="0.25">
      <c r="A1278" s="19" t="s">
        <v>43</v>
      </c>
      <c r="B1278" s="2">
        <v>43946</v>
      </c>
      <c r="C1278" s="1">
        <v>55</v>
      </c>
      <c r="D1278" s="39">
        <v>971</v>
      </c>
      <c r="E1278" s="1">
        <v>4</v>
      </c>
      <c r="F1278" s="39">
        <f t="shared" si="50"/>
        <v>52</v>
      </c>
      <c r="G1278" s="395"/>
      <c r="H1278" s="395"/>
      <c r="J1278" s="42"/>
    </row>
    <row r="1279" spans="1:10" s="393" customFormat="1" x14ac:dyDescent="0.25">
      <c r="A1279" s="19" t="s">
        <v>20</v>
      </c>
      <c r="B1279" s="2">
        <v>43946</v>
      </c>
      <c r="C1279" s="1">
        <v>1</v>
      </c>
      <c r="D1279" s="39">
        <v>270</v>
      </c>
      <c r="E1279" s="1">
        <v>1</v>
      </c>
      <c r="F1279" s="39">
        <f t="shared" si="50"/>
        <v>12</v>
      </c>
      <c r="G1279" s="395"/>
      <c r="H1279" s="395"/>
      <c r="J1279" s="42"/>
    </row>
    <row r="1280" spans="1:10" s="393" customFormat="1" x14ac:dyDescent="0.25">
      <c r="A1280" s="19" t="s">
        <v>30</v>
      </c>
      <c r="B1280" s="2">
        <v>43946</v>
      </c>
      <c r="C1280" s="1">
        <v>1</v>
      </c>
      <c r="D1280" s="39">
        <v>40</v>
      </c>
      <c r="E1280" s="1"/>
      <c r="F1280" s="39">
        <f t="shared" si="50"/>
        <v>0</v>
      </c>
      <c r="G1280" s="395"/>
      <c r="H1280" s="395"/>
      <c r="J1280" s="42"/>
    </row>
    <row r="1281" spans="1:10" x14ac:dyDescent="0.25">
      <c r="A1281" s="19" t="s">
        <v>31</v>
      </c>
      <c r="B1281" s="2">
        <v>43946</v>
      </c>
      <c r="C1281" s="1">
        <v>0</v>
      </c>
      <c r="D1281" s="39">
        <v>22</v>
      </c>
      <c r="F1281" s="39">
        <f t="shared" si="50"/>
        <v>0</v>
      </c>
    </row>
    <row r="1282" spans="1:10" s="393" customFormat="1" x14ac:dyDescent="0.25">
      <c r="A1282" s="19" t="s">
        <v>41</v>
      </c>
      <c r="B1282" s="2">
        <v>43946</v>
      </c>
      <c r="C1282" s="1">
        <v>0</v>
      </c>
      <c r="D1282" s="39">
        <v>0</v>
      </c>
      <c r="E1282" s="1"/>
      <c r="F1282" s="39">
        <f t="shared" si="50"/>
        <v>0</v>
      </c>
      <c r="G1282" s="395"/>
      <c r="H1282" s="395"/>
      <c r="J1282" s="42"/>
    </row>
    <row r="1283" spans="1:10" s="393" customFormat="1" x14ac:dyDescent="0.25">
      <c r="A1283" s="19" t="s">
        <v>32</v>
      </c>
      <c r="B1283" s="2">
        <v>43946</v>
      </c>
      <c r="C1283" s="1">
        <v>0</v>
      </c>
      <c r="D1283" s="39">
        <v>5</v>
      </c>
      <c r="E1283" s="1"/>
      <c r="F1283" s="39">
        <f t="shared" si="50"/>
        <v>0</v>
      </c>
      <c r="G1283" s="395"/>
      <c r="H1283" s="395"/>
      <c r="J1283" s="42"/>
    </row>
    <row r="1284" spans="1:10" s="393" customFormat="1" x14ac:dyDescent="0.25">
      <c r="A1284" s="19" t="s">
        <v>33</v>
      </c>
      <c r="B1284" s="2">
        <v>43946</v>
      </c>
      <c r="C1284" s="1">
        <v>0</v>
      </c>
      <c r="D1284" s="39">
        <v>5</v>
      </c>
      <c r="E1284" s="1"/>
      <c r="F1284" s="39">
        <f t="shared" si="50"/>
        <v>0</v>
      </c>
      <c r="G1284" s="395"/>
      <c r="H1284" s="395"/>
      <c r="J1284" s="42"/>
    </row>
    <row r="1285" spans="1:10" s="393" customFormat="1" x14ac:dyDescent="0.25">
      <c r="A1285" s="19" t="s">
        <v>21</v>
      </c>
      <c r="B1285" s="2">
        <v>43946</v>
      </c>
      <c r="C1285" s="1">
        <v>3</v>
      </c>
      <c r="D1285" s="39">
        <v>50</v>
      </c>
      <c r="E1285" s="1">
        <v>1</v>
      </c>
      <c r="F1285" s="39">
        <f t="shared" si="50"/>
        <v>6</v>
      </c>
      <c r="G1285" s="395"/>
      <c r="H1285" s="395"/>
      <c r="J1285" s="42"/>
    </row>
    <row r="1286" spans="1:10" s="393" customFormat="1" x14ac:dyDescent="0.25">
      <c r="A1286" s="19" t="s">
        <v>17</v>
      </c>
      <c r="B1286" s="2">
        <v>43946</v>
      </c>
      <c r="C1286" s="1">
        <v>0</v>
      </c>
      <c r="D1286" s="39">
        <v>75</v>
      </c>
      <c r="E1286" s="1"/>
      <c r="F1286" s="39">
        <f t="shared" si="50"/>
        <v>9</v>
      </c>
      <c r="G1286" s="395"/>
      <c r="H1286" s="395"/>
      <c r="J1286" s="42"/>
    </row>
    <row r="1287" spans="1:10" s="393" customFormat="1" x14ac:dyDescent="0.25">
      <c r="A1287" s="19" t="s">
        <v>23</v>
      </c>
      <c r="B1287" s="2">
        <v>43946</v>
      </c>
      <c r="C1287" s="1">
        <v>0</v>
      </c>
      <c r="D1287" s="39">
        <v>6</v>
      </c>
      <c r="E1287" s="1"/>
      <c r="F1287" s="39">
        <f t="shared" si="50"/>
        <v>1</v>
      </c>
      <c r="G1287" s="395"/>
      <c r="H1287" s="395"/>
      <c r="J1287" s="42"/>
    </row>
    <row r="1288" spans="1:10" s="393" customFormat="1" x14ac:dyDescent="0.25">
      <c r="A1288" s="19" t="s">
        <v>19</v>
      </c>
      <c r="B1288" s="2">
        <v>43946</v>
      </c>
      <c r="C1288" s="1">
        <v>0</v>
      </c>
      <c r="D1288" s="39">
        <v>104</v>
      </c>
      <c r="E1288" s="1"/>
      <c r="F1288" s="39">
        <f t="shared" si="50"/>
        <v>3</v>
      </c>
      <c r="G1288" s="395"/>
      <c r="H1288" s="395"/>
      <c r="J1288" s="42"/>
    </row>
    <row r="1289" spans="1:10" s="393" customFormat="1" x14ac:dyDescent="0.25">
      <c r="A1289" s="19" t="s">
        <v>18</v>
      </c>
      <c r="B1289" s="2">
        <v>43946</v>
      </c>
      <c r="C1289" s="1">
        <v>4</v>
      </c>
      <c r="D1289" s="39">
        <v>184</v>
      </c>
      <c r="E1289" s="1">
        <v>1</v>
      </c>
      <c r="F1289" s="39">
        <f t="shared" si="50"/>
        <v>8</v>
      </c>
      <c r="G1289" s="395"/>
      <c r="H1289" s="395"/>
      <c r="J1289" s="42"/>
    </row>
    <row r="1290" spans="1:10" s="393" customFormat="1" x14ac:dyDescent="0.25">
      <c r="A1290" s="19" t="s">
        <v>34</v>
      </c>
      <c r="B1290" s="2">
        <v>43946</v>
      </c>
      <c r="C1290" s="1">
        <v>0</v>
      </c>
      <c r="D1290" s="39">
        <v>3</v>
      </c>
      <c r="E1290" s="1"/>
      <c r="F1290" s="39">
        <f t="shared" si="50"/>
        <v>0</v>
      </c>
      <c r="G1290" s="395"/>
      <c r="H1290" s="395"/>
      <c r="J1290" s="42"/>
    </row>
    <row r="1291" spans="1:10" s="393" customFormat="1" x14ac:dyDescent="0.25">
      <c r="A1291" s="19" t="s">
        <v>35</v>
      </c>
      <c r="B1291" s="2">
        <v>43946</v>
      </c>
      <c r="C1291" s="1">
        <v>0</v>
      </c>
      <c r="D1291" s="39">
        <v>2</v>
      </c>
      <c r="E1291" s="1"/>
      <c r="F1291" s="39">
        <f t="shared" si="50"/>
        <v>0</v>
      </c>
      <c r="G1291" s="395"/>
      <c r="H1291" s="395"/>
      <c r="J1291" s="42"/>
    </row>
    <row r="1292" spans="1:10" s="393" customFormat="1" x14ac:dyDescent="0.25">
      <c r="A1292" s="19" t="s">
        <v>36</v>
      </c>
      <c r="B1292" s="2">
        <v>43946</v>
      </c>
      <c r="C1292" s="1">
        <v>0</v>
      </c>
      <c r="D1292" s="39">
        <v>11</v>
      </c>
      <c r="E1292" s="1"/>
      <c r="F1292" s="39">
        <f t="shared" si="50"/>
        <v>0</v>
      </c>
      <c r="G1292" s="395"/>
      <c r="H1292" s="395"/>
      <c r="J1292" s="42"/>
    </row>
    <row r="1293" spans="1:10" s="393" customFormat="1" x14ac:dyDescent="0.25">
      <c r="A1293" s="19" t="s">
        <v>37</v>
      </c>
      <c r="B1293" s="2">
        <v>43946</v>
      </c>
      <c r="C1293" s="1">
        <v>0</v>
      </c>
      <c r="D1293" s="39">
        <v>42</v>
      </c>
      <c r="E1293" s="1"/>
      <c r="F1293" s="39">
        <f t="shared" si="50"/>
        <v>0</v>
      </c>
      <c r="G1293" s="395"/>
      <c r="H1293" s="395"/>
      <c r="J1293" s="42"/>
    </row>
    <row r="1294" spans="1:10" s="393" customFormat="1" x14ac:dyDescent="0.25">
      <c r="A1294" s="19" t="s">
        <v>22</v>
      </c>
      <c r="B1294" s="2">
        <v>43946</v>
      </c>
      <c r="C1294" s="1">
        <v>3</v>
      </c>
      <c r="D1294" s="39">
        <v>242</v>
      </c>
      <c r="E1294" s="1"/>
      <c r="F1294" s="39">
        <f>E1294+F1270</f>
        <v>2</v>
      </c>
      <c r="G1294" s="395"/>
      <c r="H1294" s="395"/>
      <c r="J1294" s="42"/>
    </row>
    <row r="1295" spans="1:10" s="393" customFormat="1" x14ac:dyDescent="0.25">
      <c r="A1295" s="19" t="s">
        <v>38</v>
      </c>
      <c r="B1295" s="2">
        <v>43946</v>
      </c>
      <c r="C1295" s="1">
        <v>1</v>
      </c>
      <c r="D1295" s="39">
        <v>13</v>
      </c>
      <c r="E1295" s="1"/>
      <c r="F1295" s="39">
        <f t="shared" si="50"/>
        <v>0</v>
      </c>
      <c r="G1295" s="395"/>
      <c r="H1295" s="395"/>
      <c r="J1295" s="42"/>
    </row>
    <row r="1296" spans="1:10" s="393" customFormat="1" x14ac:dyDescent="0.25">
      <c r="A1296" s="19" t="s">
        <v>39</v>
      </c>
      <c r="B1296" s="2">
        <v>43946</v>
      </c>
      <c r="C1296" s="1">
        <v>4</v>
      </c>
      <c r="D1296" s="39">
        <v>130</v>
      </c>
      <c r="E1296" s="1"/>
      <c r="F1296" s="39">
        <f t="shared" si="50"/>
        <v>0</v>
      </c>
      <c r="G1296" s="395"/>
      <c r="H1296" s="395"/>
      <c r="J1296" s="42"/>
    </row>
    <row r="1297" spans="1:10" s="393" customFormat="1" x14ac:dyDescent="0.25">
      <c r="A1297" s="19" t="s">
        <v>40</v>
      </c>
      <c r="B1297" s="2">
        <v>43946</v>
      </c>
      <c r="C1297" s="1">
        <v>0</v>
      </c>
      <c r="D1297" s="39">
        <v>34</v>
      </c>
      <c r="E1297" s="1"/>
      <c r="F1297" s="39">
        <f t="shared" si="50"/>
        <v>2</v>
      </c>
      <c r="G1297" s="395"/>
      <c r="H1297" s="395"/>
      <c r="J1297" s="42"/>
    </row>
    <row r="1298" spans="1:10" s="393" customFormat="1" x14ac:dyDescent="0.25">
      <c r="A1298" s="394" t="s">
        <v>16</v>
      </c>
      <c r="B1298" s="2">
        <v>43947</v>
      </c>
      <c r="C1298" s="1">
        <v>56</v>
      </c>
      <c r="D1298" s="39">
        <v>1331</v>
      </c>
      <c r="E1298" s="1">
        <v>2</v>
      </c>
      <c r="F1298" s="39">
        <f>E1298+F1274</f>
        <v>75</v>
      </c>
      <c r="G1298" s="395"/>
      <c r="H1298" s="395"/>
      <c r="J1298" s="42"/>
    </row>
    <row r="1299" spans="1:10" s="393" customFormat="1" x14ac:dyDescent="0.25">
      <c r="A1299" s="19" t="s">
        <v>28</v>
      </c>
      <c r="B1299" s="2">
        <v>43947</v>
      </c>
      <c r="C1299" s="1">
        <v>0</v>
      </c>
      <c r="D1299" s="39">
        <v>0</v>
      </c>
      <c r="E1299" s="1"/>
      <c r="F1299" s="39">
        <f t="shared" ref="F1299:F1320" si="51">E1299+F1275</f>
        <v>0</v>
      </c>
      <c r="G1299" s="395"/>
      <c r="H1299" s="395"/>
      <c r="J1299" s="42"/>
    </row>
    <row r="1300" spans="1:10" s="393" customFormat="1" x14ac:dyDescent="0.25">
      <c r="A1300" s="19" t="s">
        <v>15</v>
      </c>
      <c r="B1300" s="2">
        <v>43947</v>
      </c>
      <c r="C1300" s="1">
        <v>3</v>
      </c>
      <c r="D1300" s="39">
        <v>297</v>
      </c>
      <c r="E1300" s="1"/>
      <c r="F1300" s="39">
        <f t="shared" si="51"/>
        <v>11</v>
      </c>
      <c r="G1300" s="395"/>
      <c r="H1300" s="395"/>
      <c r="J1300" s="42"/>
    </row>
    <row r="1301" spans="1:10" s="393" customFormat="1" x14ac:dyDescent="0.25">
      <c r="A1301" s="19" t="s">
        <v>29</v>
      </c>
      <c r="B1301" s="2">
        <v>43947</v>
      </c>
      <c r="C1301" s="1">
        <v>0</v>
      </c>
      <c r="D1301" s="39">
        <v>2</v>
      </c>
      <c r="E1301" s="1"/>
      <c r="F1301" s="39">
        <f t="shared" si="51"/>
        <v>1</v>
      </c>
      <c r="G1301" s="395"/>
      <c r="H1301" s="395"/>
      <c r="J1301" s="42"/>
    </row>
    <row r="1302" spans="1:10" s="393" customFormat="1" x14ac:dyDescent="0.25">
      <c r="A1302" s="19" t="s">
        <v>43</v>
      </c>
      <c r="B1302" s="2">
        <v>43947</v>
      </c>
      <c r="C1302" s="1">
        <v>36</v>
      </c>
      <c r="D1302" s="39">
        <v>1007</v>
      </c>
      <c r="E1302" s="1">
        <v>5</v>
      </c>
      <c r="F1302" s="39">
        <f t="shared" si="51"/>
        <v>57</v>
      </c>
      <c r="G1302" s="395"/>
      <c r="H1302" s="395"/>
      <c r="J1302" s="42"/>
    </row>
    <row r="1303" spans="1:10" s="393" customFormat="1" x14ac:dyDescent="0.25">
      <c r="A1303" s="19" t="s">
        <v>20</v>
      </c>
      <c r="B1303" s="2">
        <v>43947</v>
      </c>
      <c r="C1303" s="1">
        <v>3</v>
      </c>
      <c r="D1303" s="39">
        <v>273</v>
      </c>
      <c r="E1303" s="1"/>
      <c r="F1303" s="39">
        <f t="shared" si="51"/>
        <v>12</v>
      </c>
      <c r="G1303" s="395"/>
      <c r="H1303" s="395"/>
      <c r="J1303" s="42"/>
    </row>
    <row r="1304" spans="1:10" s="393" customFormat="1" x14ac:dyDescent="0.25">
      <c r="A1304" s="19" t="s">
        <v>30</v>
      </c>
      <c r="B1304" s="2">
        <v>43947</v>
      </c>
      <c r="C1304" s="1">
        <v>6</v>
      </c>
      <c r="D1304" s="39">
        <v>46</v>
      </c>
      <c r="E1304" s="1"/>
      <c r="F1304" s="39">
        <f t="shared" si="51"/>
        <v>0</v>
      </c>
      <c r="G1304" s="395"/>
      <c r="H1304" s="395"/>
      <c r="J1304" s="42"/>
    </row>
    <row r="1305" spans="1:10" x14ac:dyDescent="0.25">
      <c r="A1305" s="19" t="s">
        <v>31</v>
      </c>
      <c r="B1305" s="2">
        <v>43947</v>
      </c>
      <c r="C1305" s="1">
        <v>1</v>
      </c>
      <c r="D1305" s="39">
        <v>23</v>
      </c>
      <c r="F1305" s="39">
        <f t="shared" si="51"/>
        <v>0</v>
      </c>
    </row>
    <row r="1306" spans="1:10" s="393" customFormat="1" x14ac:dyDescent="0.25">
      <c r="A1306" s="19" t="s">
        <v>41</v>
      </c>
      <c r="B1306" s="2">
        <v>43947</v>
      </c>
      <c r="C1306" s="1">
        <v>0</v>
      </c>
      <c r="D1306" s="39">
        <v>0</v>
      </c>
      <c r="E1306" s="1"/>
      <c r="F1306" s="39">
        <f t="shared" si="51"/>
        <v>0</v>
      </c>
      <c r="G1306" s="395"/>
      <c r="H1306" s="395"/>
      <c r="J1306" s="42"/>
    </row>
    <row r="1307" spans="1:10" s="393" customFormat="1" x14ac:dyDescent="0.25">
      <c r="A1307" s="19" t="s">
        <v>32</v>
      </c>
      <c r="B1307" s="2">
        <v>43947</v>
      </c>
      <c r="C1307" s="1">
        <v>0</v>
      </c>
      <c r="D1307" s="39">
        <v>5</v>
      </c>
      <c r="E1307" s="1"/>
      <c r="F1307" s="39">
        <f t="shared" si="51"/>
        <v>0</v>
      </c>
      <c r="G1307" s="395"/>
      <c r="H1307" s="395"/>
      <c r="J1307" s="42"/>
    </row>
    <row r="1308" spans="1:10" s="393" customFormat="1" x14ac:dyDescent="0.25">
      <c r="A1308" s="19" t="s">
        <v>33</v>
      </c>
      <c r="B1308" s="2">
        <v>43947</v>
      </c>
      <c r="C1308" s="1">
        <v>0</v>
      </c>
      <c r="D1308" s="39">
        <v>5</v>
      </c>
      <c r="E1308" s="1"/>
      <c r="F1308" s="39">
        <f t="shared" si="51"/>
        <v>0</v>
      </c>
      <c r="G1308" s="395"/>
      <c r="H1308" s="395"/>
      <c r="J1308" s="42"/>
    </row>
    <row r="1309" spans="1:10" s="393" customFormat="1" x14ac:dyDescent="0.25">
      <c r="A1309" s="19" t="s">
        <v>21</v>
      </c>
      <c r="B1309" s="2">
        <v>43947</v>
      </c>
      <c r="C1309" s="1">
        <v>0</v>
      </c>
      <c r="D1309" s="39">
        <v>50</v>
      </c>
      <c r="E1309" s="1"/>
      <c r="F1309" s="39">
        <f t="shared" si="51"/>
        <v>6</v>
      </c>
      <c r="G1309" s="395"/>
      <c r="H1309" s="395"/>
      <c r="J1309" s="42"/>
    </row>
    <row r="1310" spans="1:10" s="393" customFormat="1" x14ac:dyDescent="0.25">
      <c r="A1310" s="19" t="s">
        <v>17</v>
      </c>
      <c r="B1310" s="2">
        <v>43947</v>
      </c>
      <c r="C1310" s="1">
        <v>0</v>
      </c>
      <c r="D1310" s="39">
        <v>75</v>
      </c>
      <c r="E1310" s="1"/>
      <c r="F1310" s="39">
        <f t="shared" si="51"/>
        <v>9</v>
      </c>
      <c r="G1310" s="395"/>
      <c r="H1310" s="395"/>
      <c r="J1310" s="42"/>
    </row>
    <row r="1311" spans="1:10" s="393" customFormat="1" x14ac:dyDescent="0.25">
      <c r="A1311" s="19" t="s">
        <v>23</v>
      </c>
      <c r="B1311" s="2">
        <v>43947</v>
      </c>
      <c r="C1311" s="1">
        <v>0</v>
      </c>
      <c r="D1311" s="39">
        <v>6</v>
      </c>
      <c r="E1311" s="1"/>
      <c r="F1311" s="39">
        <f t="shared" si="51"/>
        <v>1</v>
      </c>
      <c r="G1311" s="395"/>
      <c r="H1311" s="395"/>
      <c r="J1311" s="42"/>
    </row>
    <row r="1312" spans="1:10" s="393" customFormat="1" x14ac:dyDescent="0.25">
      <c r="A1312" s="19" t="s">
        <v>19</v>
      </c>
      <c r="B1312" s="2">
        <v>43947</v>
      </c>
      <c r="C1312" s="1">
        <v>1</v>
      </c>
      <c r="D1312" s="39">
        <v>105</v>
      </c>
      <c r="E1312" s="1"/>
      <c r="F1312" s="39">
        <f t="shared" si="51"/>
        <v>3</v>
      </c>
      <c r="G1312" s="395"/>
      <c r="H1312" s="395"/>
      <c r="J1312" s="42"/>
    </row>
    <row r="1313" spans="1:10" s="393" customFormat="1" x14ac:dyDescent="0.25">
      <c r="A1313" s="19" t="s">
        <v>18</v>
      </c>
      <c r="B1313" s="2">
        <v>43947</v>
      </c>
      <c r="C1313" s="1">
        <v>1</v>
      </c>
      <c r="D1313" s="39">
        <v>185</v>
      </c>
      <c r="E1313" s="1"/>
      <c r="F1313" s="39">
        <f t="shared" si="51"/>
        <v>8</v>
      </c>
      <c r="G1313" s="395"/>
      <c r="H1313" s="395"/>
      <c r="J1313" s="42"/>
    </row>
    <row r="1314" spans="1:10" s="393" customFormat="1" x14ac:dyDescent="0.25">
      <c r="A1314" s="19" t="s">
        <v>34</v>
      </c>
      <c r="B1314" s="2">
        <v>43947</v>
      </c>
      <c r="C1314" s="1">
        <v>1</v>
      </c>
      <c r="D1314" s="39">
        <v>4</v>
      </c>
      <c r="E1314" s="1"/>
      <c r="F1314" s="39">
        <f t="shared" si="51"/>
        <v>0</v>
      </c>
      <c r="G1314" s="395"/>
      <c r="H1314" s="395"/>
      <c r="J1314" s="42"/>
    </row>
    <row r="1315" spans="1:10" s="393" customFormat="1" x14ac:dyDescent="0.25">
      <c r="A1315" s="19" t="s">
        <v>35</v>
      </c>
      <c r="B1315" s="2">
        <v>43947</v>
      </c>
      <c r="C1315" s="1">
        <v>0</v>
      </c>
      <c r="D1315" s="39">
        <v>2</v>
      </c>
      <c r="E1315" s="1"/>
      <c r="F1315" s="39">
        <f t="shared" si="51"/>
        <v>0</v>
      </c>
      <c r="G1315" s="395"/>
      <c r="H1315" s="395"/>
      <c r="J1315" s="42"/>
    </row>
    <row r="1316" spans="1:10" s="393" customFormat="1" x14ac:dyDescent="0.25">
      <c r="A1316" s="19" t="s">
        <v>36</v>
      </c>
      <c r="B1316" s="2">
        <v>43947</v>
      </c>
      <c r="C1316" s="1">
        <v>0</v>
      </c>
      <c r="D1316" s="39">
        <v>11</v>
      </c>
      <c r="E1316" s="1"/>
      <c r="F1316" s="39">
        <f t="shared" si="51"/>
        <v>0</v>
      </c>
      <c r="G1316" s="395"/>
      <c r="H1316" s="395"/>
      <c r="J1316" s="42"/>
    </row>
    <row r="1317" spans="1:10" s="393" customFormat="1" x14ac:dyDescent="0.25">
      <c r="A1317" s="19" t="s">
        <v>37</v>
      </c>
      <c r="B1317" s="2">
        <v>43947</v>
      </c>
      <c r="C1317" s="1">
        <v>1</v>
      </c>
      <c r="D1317" s="39">
        <v>43</v>
      </c>
      <c r="E1317" s="1"/>
      <c r="F1317" s="39">
        <f t="shared" si="51"/>
        <v>0</v>
      </c>
      <c r="G1317" s="395"/>
      <c r="H1317" s="395"/>
      <c r="J1317" s="42"/>
    </row>
    <row r="1318" spans="1:10" s="393" customFormat="1" x14ac:dyDescent="0.25">
      <c r="A1318" s="19" t="s">
        <v>22</v>
      </c>
      <c r="B1318" s="2">
        <v>43947</v>
      </c>
      <c r="C1318" s="1">
        <v>0</v>
      </c>
      <c r="D1318" s="39">
        <v>242</v>
      </c>
      <c r="E1318" s="1"/>
      <c r="F1318" s="39">
        <f>E1318+F1294</f>
        <v>2</v>
      </c>
      <c r="G1318" s="395"/>
      <c r="H1318" s="395"/>
      <c r="J1318" s="42"/>
    </row>
    <row r="1319" spans="1:10" s="393" customFormat="1" x14ac:dyDescent="0.25">
      <c r="A1319" s="19" t="s">
        <v>38</v>
      </c>
      <c r="B1319" s="2">
        <v>43947</v>
      </c>
      <c r="C1319" s="1">
        <v>2</v>
      </c>
      <c r="D1319" s="39">
        <v>15</v>
      </c>
      <c r="E1319" s="1"/>
      <c r="F1319" s="39">
        <f t="shared" si="51"/>
        <v>0</v>
      </c>
      <c r="G1319" s="395"/>
      <c r="H1319" s="395"/>
      <c r="J1319" s="42"/>
    </row>
    <row r="1320" spans="1:10" s="393" customFormat="1" x14ac:dyDescent="0.25">
      <c r="A1320" s="19" t="s">
        <v>39</v>
      </c>
      <c r="B1320" s="2">
        <v>43947</v>
      </c>
      <c r="C1320" s="1">
        <v>0</v>
      </c>
      <c r="D1320" s="39">
        <v>130</v>
      </c>
      <c r="E1320" s="1"/>
      <c r="F1320" s="39">
        <f t="shared" si="51"/>
        <v>0</v>
      </c>
      <c r="G1320" s="395"/>
      <c r="H1320" s="395"/>
      <c r="J1320" s="42"/>
    </row>
    <row r="1321" spans="1:10" s="393" customFormat="1" x14ac:dyDescent="0.25">
      <c r="A1321" s="19" t="s">
        <v>40</v>
      </c>
      <c r="B1321" s="2">
        <v>43947</v>
      </c>
      <c r="C1321" s="1">
        <v>1</v>
      </c>
      <c r="D1321" s="39">
        <v>35</v>
      </c>
      <c r="E1321" s="1"/>
      <c r="F1321" s="39">
        <f>E1321+F1297</f>
        <v>2</v>
      </c>
      <c r="G1321" s="395"/>
      <c r="H1321" s="395"/>
      <c r="J1321" s="42"/>
    </row>
    <row r="1322" spans="1:10" s="393" customFormat="1" x14ac:dyDescent="0.25">
      <c r="A1322" s="394" t="s">
        <v>16</v>
      </c>
      <c r="B1322" s="2">
        <v>43948</v>
      </c>
      <c r="C1322" s="1">
        <v>50</v>
      </c>
      <c r="D1322" s="39">
        <v>1381</v>
      </c>
      <c r="E1322" s="1">
        <v>1</v>
      </c>
      <c r="F1322" s="39">
        <f>E1322+F1298</f>
        <v>76</v>
      </c>
      <c r="G1322" s="395"/>
      <c r="H1322" s="395"/>
      <c r="J1322" s="42"/>
    </row>
    <row r="1323" spans="1:10" s="393" customFormat="1" x14ac:dyDescent="0.25">
      <c r="A1323" s="19" t="s">
        <v>28</v>
      </c>
      <c r="B1323" s="2">
        <v>43948</v>
      </c>
      <c r="C1323" s="1">
        <v>0</v>
      </c>
      <c r="D1323" s="39">
        <v>0</v>
      </c>
      <c r="E1323" s="1"/>
      <c r="F1323" s="39">
        <f t="shared" ref="F1323:F1344" si="52">E1323+F1299</f>
        <v>0</v>
      </c>
      <c r="G1323" s="395"/>
      <c r="H1323" s="395"/>
      <c r="J1323" s="42"/>
    </row>
    <row r="1324" spans="1:10" s="393" customFormat="1" x14ac:dyDescent="0.25">
      <c r="A1324" s="19" t="s">
        <v>15</v>
      </c>
      <c r="B1324" s="2">
        <v>43948</v>
      </c>
      <c r="C1324" s="1">
        <v>10</v>
      </c>
      <c r="D1324" s="39">
        <v>307</v>
      </c>
      <c r="E1324" s="1">
        <v>1</v>
      </c>
      <c r="F1324" s="39">
        <f t="shared" si="52"/>
        <v>12</v>
      </c>
      <c r="G1324" s="395"/>
      <c r="H1324" s="395"/>
      <c r="J1324" s="42"/>
    </row>
    <row r="1325" spans="1:10" s="393" customFormat="1" x14ac:dyDescent="0.25">
      <c r="A1325" s="19" t="s">
        <v>29</v>
      </c>
      <c r="B1325" s="2">
        <v>43948</v>
      </c>
      <c r="C1325" s="1">
        <v>0</v>
      </c>
      <c r="D1325" s="39">
        <v>2</v>
      </c>
      <c r="E1325" s="1"/>
      <c r="F1325" s="39">
        <f t="shared" si="52"/>
        <v>1</v>
      </c>
      <c r="G1325" s="395"/>
      <c r="H1325" s="395"/>
      <c r="J1325" s="42"/>
    </row>
    <row r="1326" spans="1:10" s="393" customFormat="1" x14ac:dyDescent="0.25">
      <c r="A1326" s="19" t="s">
        <v>43</v>
      </c>
      <c r="B1326" s="2">
        <v>43948</v>
      </c>
      <c r="C1326" s="1">
        <v>32</v>
      </c>
      <c r="D1326" s="39">
        <v>1039</v>
      </c>
      <c r="E1326" s="1">
        <v>2</v>
      </c>
      <c r="F1326" s="39">
        <f t="shared" si="52"/>
        <v>59</v>
      </c>
      <c r="G1326" s="395"/>
      <c r="H1326" s="395"/>
      <c r="J1326" s="42"/>
    </row>
    <row r="1327" spans="1:10" s="393" customFormat="1" x14ac:dyDescent="0.25">
      <c r="A1327" s="19" t="s">
        <v>20</v>
      </c>
      <c r="B1327" s="2">
        <v>43948</v>
      </c>
      <c r="C1327" s="1">
        <v>0</v>
      </c>
      <c r="D1327" s="39">
        <v>273</v>
      </c>
      <c r="E1327" s="1">
        <v>1</v>
      </c>
      <c r="F1327" s="39">
        <f t="shared" si="52"/>
        <v>13</v>
      </c>
      <c r="G1327" s="395"/>
      <c r="H1327" s="395"/>
      <c r="J1327" s="42"/>
    </row>
    <row r="1328" spans="1:10" s="393" customFormat="1" x14ac:dyDescent="0.25">
      <c r="A1328" s="19" t="s">
        <v>30</v>
      </c>
      <c r="B1328" s="2">
        <v>43948</v>
      </c>
      <c r="C1328" s="1">
        <v>0</v>
      </c>
      <c r="D1328" s="39">
        <v>46</v>
      </c>
      <c r="E1328" s="1"/>
      <c r="F1328" s="39">
        <f t="shared" si="52"/>
        <v>0</v>
      </c>
      <c r="G1328" s="395"/>
      <c r="H1328" s="395"/>
      <c r="J1328" s="42"/>
    </row>
    <row r="1329" spans="1:10" x14ac:dyDescent="0.25">
      <c r="A1329" s="19" t="s">
        <v>31</v>
      </c>
      <c r="B1329" s="2">
        <v>43948</v>
      </c>
      <c r="C1329" s="1">
        <v>0</v>
      </c>
      <c r="D1329" s="39">
        <v>23</v>
      </c>
      <c r="F1329" s="39">
        <f t="shared" si="52"/>
        <v>0</v>
      </c>
    </row>
    <row r="1330" spans="1:10" s="393" customFormat="1" x14ac:dyDescent="0.25">
      <c r="A1330" s="19" t="s">
        <v>41</v>
      </c>
      <c r="B1330" s="2">
        <v>43948</v>
      </c>
      <c r="C1330" s="1">
        <v>0</v>
      </c>
      <c r="D1330" s="39">
        <v>0</v>
      </c>
      <c r="E1330" s="1"/>
      <c r="F1330" s="39">
        <f t="shared" si="52"/>
        <v>0</v>
      </c>
      <c r="G1330" s="395"/>
      <c r="H1330" s="395"/>
      <c r="J1330" s="42"/>
    </row>
    <row r="1331" spans="1:10" s="393" customFormat="1" x14ac:dyDescent="0.25">
      <c r="A1331" s="19" t="s">
        <v>32</v>
      </c>
      <c r="B1331" s="2">
        <v>43948</v>
      </c>
      <c r="C1331" s="1">
        <v>0</v>
      </c>
      <c r="D1331" s="39">
        <v>5</v>
      </c>
      <c r="E1331" s="1"/>
      <c r="F1331" s="39">
        <f t="shared" si="52"/>
        <v>0</v>
      </c>
      <c r="G1331" s="395"/>
      <c r="H1331" s="395"/>
      <c r="J1331" s="42"/>
    </row>
    <row r="1332" spans="1:10" s="393" customFormat="1" x14ac:dyDescent="0.25">
      <c r="A1332" s="19" t="s">
        <v>33</v>
      </c>
      <c r="B1332" s="2">
        <v>43948</v>
      </c>
      <c r="C1332" s="1">
        <v>0</v>
      </c>
      <c r="D1332" s="39">
        <v>5</v>
      </c>
      <c r="E1332" s="1"/>
      <c r="F1332" s="39">
        <f t="shared" si="52"/>
        <v>0</v>
      </c>
      <c r="G1332" s="395"/>
      <c r="H1332" s="395"/>
      <c r="J1332" s="42"/>
    </row>
    <row r="1333" spans="1:10" s="393" customFormat="1" x14ac:dyDescent="0.25">
      <c r="A1333" s="19" t="s">
        <v>21</v>
      </c>
      <c r="B1333" s="2">
        <v>43948</v>
      </c>
      <c r="C1333" s="1">
        <v>0</v>
      </c>
      <c r="D1333" s="39">
        <v>50</v>
      </c>
      <c r="E1333" s="1"/>
      <c r="F1333" s="39">
        <f t="shared" si="52"/>
        <v>6</v>
      </c>
      <c r="G1333" s="395"/>
      <c r="H1333" s="395"/>
      <c r="J1333" s="42"/>
    </row>
    <row r="1334" spans="1:10" s="393" customFormat="1" x14ac:dyDescent="0.25">
      <c r="A1334" s="19" t="s">
        <v>17</v>
      </c>
      <c r="B1334" s="2">
        <v>43948</v>
      </c>
      <c r="C1334" s="1">
        <v>0</v>
      </c>
      <c r="D1334" s="39">
        <v>75</v>
      </c>
      <c r="E1334" s="1"/>
      <c r="F1334" s="39">
        <f t="shared" si="52"/>
        <v>9</v>
      </c>
      <c r="G1334" s="395"/>
      <c r="H1334" s="395"/>
      <c r="J1334" s="42"/>
    </row>
    <row r="1335" spans="1:10" s="393" customFormat="1" x14ac:dyDescent="0.25">
      <c r="A1335" s="19" t="s">
        <v>23</v>
      </c>
      <c r="B1335" s="2">
        <v>43948</v>
      </c>
      <c r="C1335" s="1">
        <v>2</v>
      </c>
      <c r="D1335" s="39">
        <v>8</v>
      </c>
      <c r="E1335" s="1"/>
      <c r="F1335" s="39">
        <f t="shared" si="52"/>
        <v>1</v>
      </c>
      <c r="G1335" s="395"/>
      <c r="H1335" s="395"/>
      <c r="J1335" s="42"/>
    </row>
    <row r="1336" spans="1:10" s="393" customFormat="1" x14ac:dyDescent="0.25">
      <c r="A1336" s="19" t="s">
        <v>19</v>
      </c>
      <c r="B1336" s="2">
        <v>43948</v>
      </c>
      <c r="C1336" s="1">
        <v>3</v>
      </c>
      <c r="D1336" s="39">
        <v>108</v>
      </c>
      <c r="E1336" s="1"/>
      <c r="F1336" s="39">
        <f t="shared" si="52"/>
        <v>3</v>
      </c>
      <c r="G1336" s="395"/>
      <c r="H1336" s="395"/>
      <c r="J1336" s="42"/>
    </row>
    <row r="1337" spans="1:10" s="393" customFormat="1" x14ac:dyDescent="0.25">
      <c r="A1337" s="19" t="s">
        <v>18</v>
      </c>
      <c r="B1337" s="2">
        <v>43948</v>
      </c>
      <c r="C1337" s="1">
        <v>8</v>
      </c>
      <c r="D1337" s="39">
        <v>193</v>
      </c>
      <c r="E1337" s="1"/>
      <c r="F1337" s="39">
        <f t="shared" si="52"/>
        <v>8</v>
      </c>
      <c r="G1337" s="395"/>
      <c r="H1337" s="395"/>
      <c r="J1337" s="42"/>
    </row>
    <row r="1338" spans="1:10" s="393" customFormat="1" x14ac:dyDescent="0.25">
      <c r="A1338" s="19" t="s">
        <v>34</v>
      </c>
      <c r="B1338" s="2">
        <v>43948</v>
      </c>
      <c r="C1338" s="1">
        <v>0</v>
      </c>
      <c r="D1338" s="39">
        <v>4</v>
      </c>
      <c r="E1338" s="1"/>
      <c r="F1338" s="39">
        <f t="shared" si="52"/>
        <v>0</v>
      </c>
      <c r="G1338" s="395"/>
      <c r="H1338" s="395"/>
      <c r="J1338" s="42"/>
    </row>
    <row r="1339" spans="1:10" s="393" customFormat="1" x14ac:dyDescent="0.25">
      <c r="A1339" s="19" t="s">
        <v>35</v>
      </c>
      <c r="B1339" s="2">
        <v>43948</v>
      </c>
      <c r="C1339" s="1">
        <v>0</v>
      </c>
      <c r="D1339" s="39">
        <v>2</v>
      </c>
      <c r="E1339" s="1"/>
      <c r="F1339" s="39">
        <f t="shared" si="52"/>
        <v>0</v>
      </c>
      <c r="G1339" s="395"/>
      <c r="H1339" s="395"/>
      <c r="J1339" s="42"/>
    </row>
    <row r="1340" spans="1:10" s="393" customFormat="1" x14ac:dyDescent="0.25">
      <c r="A1340" s="19" t="s">
        <v>36</v>
      </c>
      <c r="B1340" s="2">
        <v>43948</v>
      </c>
      <c r="C1340" s="1">
        <v>0</v>
      </c>
      <c r="D1340" s="39">
        <v>11</v>
      </c>
      <c r="E1340" s="1"/>
      <c r="F1340" s="39">
        <f t="shared" si="52"/>
        <v>0</v>
      </c>
      <c r="G1340" s="395"/>
      <c r="H1340" s="395"/>
      <c r="J1340" s="42"/>
    </row>
    <row r="1341" spans="1:10" s="393" customFormat="1" x14ac:dyDescent="0.25">
      <c r="A1341" s="19" t="s">
        <v>37</v>
      </c>
      <c r="B1341" s="2">
        <v>43948</v>
      </c>
      <c r="C1341" s="1">
        <v>5</v>
      </c>
      <c r="D1341" s="39">
        <v>48</v>
      </c>
      <c r="E1341" s="1"/>
      <c r="F1341" s="39">
        <f t="shared" si="52"/>
        <v>0</v>
      </c>
      <c r="G1341" s="395"/>
      <c r="H1341" s="395"/>
      <c r="J1341" s="42"/>
    </row>
    <row r="1342" spans="1:10" s="393" customFormat="1" x14ac:dyDescent="0.25">
      <c r="A1342" s="19" t="s">
        <v>22</v>
      </c>
      <c r="B1342" s="2">
        <v>43948</v>
      </c>
      <c r="C1342" s="1">
        <v>0</v>
      </c>
      <c r="D1342" s="39">
        <v>242</v>
      </c>
      <c r="E1342" s="1"/>
      <c r="F1342" s="39">
        <f>E1342+F1318</f>
        <v>2</v>
      </c>
      <c r="G1342" s="395"/>
      <c r="H1342" s="395"/>
      <c r="J1342" s="42"/>
    </row>
    <row r="1343" spans="1:10" s="393" customFormat="1" x14ac:dyDescent="0.25">
      <c r="A1343" s="19" t="s">
        <v>38</v>
      </c>
      <c r="B1343" s="2">
        <v>43948</v>
      </c>
      <c r="C1343" s="1">
        <v>0</v>
      </c>
      <c r="D1343" s="39">
        <v>15</v>
      </c>
      <c r="E1343" s="1"/>
      <c r="F1343" s="39">
        <f>E1343+F1319</f>
        <v>0</v>
      </c>
      <c r="G1343" s="395"/>
      <c r="H1343" s="395"/>
      <c r="J1343" s="42"/>
    </row>
    <row r="1344" spans="1:10" s="393" customFormat="1" x14ac:dyDescent="0.25">
      <c r="A1344" s="19" t="s">
        <v>39</v>
      </c>
      <c r="B1344" s="2">
        <v>43948</v>
      </c>
      <c r="C1344" s="1">
        <v>1</v>
      </c>
      <c r="D1344" s="39">
        <v>131</v>
      </c>
      <c r="E1344" s="1"/>
      <c r="F1344" s="39">
        <f t="shared" si="52"/>
        <v>0</v>
      </c>
      <c r="G1344" s="395"/>
      <c r="H1344" s="395"/>
      <c r="J1344" s="42"/>
    </row>
    <row r="1345" spans="1:10" s="393" customFormat="1" x14ac:dyDescent="0.25">
      <c r="A1345" s="19" t="s">
        <v>40</v>
      </c>
      <c r="B1345" s="2">
        <v>43948</v>
      </c>
      <c r="C1345" s="1">
        <v>0</v>
      </c>
      <c r="D1345" s="39">
        <v>35</v>
      </c>
      <c r="E1345" s="1"/>
      <c r="F1345" s="39">
        <f>E1345+F1321</f>
        <v>2</v>
      </c>
      <c r="G1345" s="395"/>
      <c r="H1345" s="395"/>
      <c r="J1345" s="42"/>
    </row>
    <row r="1346" spans="1:10" s="393" customFormat="1" x14ac:dyDescent="0.25">
      <c r="A1346" s="394" t="s">
        <v>16</v>
      </c>
      <c r="B1346" s="2">
        <v>43949</v>
      </c>
      <c r="C1346" s="1">
        <v>48</v>
      </c>
      <c r="D1346" s="39">
        <v>1429</v>
      </c>
      <c r="E1346" s="1">
        <v>6</v>
      </c>
      <c r="F1346" s="39">
        <f>E1346+F1322</f>
        <v>82</v>
      </c>
      <c r="G1346" s="395"/>
      <c r="H1346" s="395"/>
      <c r="J1346" s="42"/>
    </row>
    <row r="1347" spans="1:10" s="393" customFormat="1" x14ac:dyDescent="0.25">
      <c r="A1347" s="19" t="s">
        <v>28</v>
      </c>
      <c r="B1347" s="2">
        <v>43949</v>
      </c>
      <c r="C1347" s="1">
        <v>0</v>
      </c>
      <c r="D1347" s="39">
        <v>0</v>
      </c>
      <c r="E1347" s="1"/>
      <c r="F1347" s="39">
        <f t="shared" ref="F1347:F1353" si="53">E1347+F1323</f>
        <v>0</v>
      </c>
      <c r="G1347" s="395"/>
      <c r="H1347" s="395"/>
      <c r="J1347" s="42"/>
    </row>
    <row r="1348" spans="1:10" s="393" customFormat="1" x14ac:dyDescent="0.25">
      <c r="A1348" s="19" t="s">
        <v>15</v>
      </c>
      <c r="B1348" s="2">
        <v>43949</v>
      </c>
      <c r="C1348" s="1">
        <v>0</v>
      </c>
      <c r="D1348" s="39">
        <v>307</v>
      </c>
      <c r="E1348" s="1"/>
      <c r="F1348" s="39">
        <f t="shared" si="53"/>
        <v>12</v>
      </c>
      <c r="G1348" s="395"/>
      <c r="H1348" s="395"/>
      <c r="J1348" s="42"/>
    </row>
    <row r="1349" spans="1:10" s="393" customFormat="1" x14ac:dyDescent="0.25">
      <c r="A1349" s="19" t="s">
        <v>29</v>
      </c>
      <c r="B1349" s="2">
        <v>43949</v>
      </c>
      <c r="C1349" s="1">
        <v>0</v>
      </c>
      <c r="D1349" s="39">
        <v>2</v>
      </c>
      <c r="E1349" s="1"/>
      <c r="F1349" s="39">
        <f t="shared" si="53"/>
        <v>1</v>
      </c>
      <c r="G1349" s="395"/>
      <c r="H1349" s="395"/>
      <c r="J1349" s="42"/>
    </row>
    <row r="1350" spans="1:10" s="393" customFormat="1" x14ac:dyDescent="0.25">
      <c r="A1350" s="19" t="s">
        <v>43</v>
      </c>
      <c r="B1350" s="2">
        <v>43949</v>
      </c>
      <c r="C1350" s="1">
        <v>50</v>
      </c>
      <c r="D1350" s="39">
        <v>1089</v>
      </c>
      <c r="E1350" s="1">
        <v>2</v>
      </c>
      <c r="F1350" s="39">
        <f t="shared" si="53"/>
        <v>61</v>
      </c>
      <c r="G1350" s="395"/>
      <c r="H1350" s="395"/>
      <c r="J1350" s="42"/>
    </row>
    <row r="1351" spans="1:10" s="393" customFormat="1" x14ac:dyDescent="0.25">
      <c r="A1351" s="19" t="s">
        <v>20</v>
      </c>
      <c r="B1351" s="2">
        <v>43949</v>
      </c>
      <c r="C1351" s="1">
        <v>2</v>
      </c>
      <c r="D1351" s="39">
        <v>275</v>
      </c>
      <c r="E1351" s="1">
        <v>1</v>
      </c>
      <c r="F1351" s="39">
        <f t="shared" si="53"/>
        <v>14</v>
      </c>
      <c r="G1351" s="395"/>
      <c r="H1351" s="395"/>
      <c r="J1351" s="42"/>
    </row>
    <row r="1352" spans="1:10" s="393" customFormat="1" x14ac:dyDescent="0.25">
      <c r="A1352" s="19" t="s">
        <v>30</v>
      </c>
      <c r="B1352" s="2">
        <v>43949</v>
      </c>
      <c r="C1352" s="1">
        <v>1</v>
      </c>
      <c r="D1352" s="39">
        <v>47</v>
      </c>
      <c r="E1352" s="1"/>
      <c r="F1352" s="39">
        <f t="shared" si="53"/>
        <v>0</v>
      </c>
      <c r="G1352" s="395"/>
      <c r="H1352" s="395"/>
      <c r="J1352" s="42"/>
    </row>
    <row r="1353" spans="1:10" x14ac:dyDescent="0.25">
      <c r="A1353" s="19" t="s">
        <v>31</v>
      </c>
      <c r="B1353" s="2">
        <v>43949</v>
      </c>
      <c r="C1353" s="1">
        <v>0</v>
      </c>
      <c r="D1353" s="39">
        <v>23</v>
      </c>
      <c r="F1353" s="39">
        <f t="shared" si="53"/>
        <v>0</v>
      </c>
    </row>
    <row r="1354" spans="1:10" s="393" customFormat="1" x14ac:dyDescent="0.25">
      <c r="A1354" s="19" t="s">
        <v>41</v>
      </c>
      <c r="B1354" s="2">
        <v>43949</v>
      </c>
      <c r="C1354" s="1">
        <v>0</v>
      </c>
      <c r="D1354" s="39">
        <v>0</v>
      </c>
      <c r="E1354" s="1"/>
      <c r="F1354" s="39">
        <f t="shared" ref="F1354:F1368" si="54">E1354+F1329</f>
        <v>0</v>
      </c>
      <c r="G1354" s="395"/>
      <c r="H1354" s="395"/>
      <c r="J1354" s="42"/>
    </row>
    <row r="1355" spans="1:10" s="393" customFormat="1" x14ac:dyDescent="0.25">
      <c r="A1355" s="19" t="s">
        <v>32</v>
      </c>
      <c r="B1355" s="2">
        <v>43949</v>
      </c>
      <c r="C1355" s="1">
        <v>0</v>
      </c>
      <c r="D1355" s="39">
        <v>5</v>
      </c>
      <c r="E1355" s="1"/>
      <c r="F1355" s="39">
        <f t="shared" si="54"/>
        <v>0</v>
      </c>
      <c r="G1355" s="395"/>
      <c r="H1355" s="395"/>
      <c r="J1355" s="42"/>
    </row>
    <row r="1356" spans="1:10" s="393" customFormat="1" x14ac:dyDescent="0.25">
      <c r="A1356" s="19" t="s">
        <v>33</v>
      </c>
      <c r="B1356" s="2">
        <v>43949</v>
      </c>
      <c r="C1356" s="1">
        <v>0</v>
      </c>
      <c r="D1356" s="39">
        <v>5</v>
      </c>
      <c r="E1356" s="1"/>
      <c r="F1356" s="39">
        <f t="shared" si="54"/>
        <v>0</v>
      </c>
      <c r="G1356" s="395"/>
      <c r="H1356" s="395"/>
      <c r="J1356" s="42"/>
    </row>
    <row r="1357" spans="1:10" s="393" customFormat="1" x14ac:dyDescent="0.25">
      <c r="A1357" s="19" t="s">
        <v>21</v>
      </c>
      <c r="B1357" s="2">
        <v>43949</v>
      </c>
      <c r="C1357" s="1">
        <v>1</v>
      </c>
      <c r="D1357" s="39">
        <v>51</v>
      </c>
      <c r="E1357" s="1"/>
      <c r="F1357" s="39">
        <f t="shared" si="54"/>
        <v>0</v>
      </c>
      <c r="G1357" s="395"/>
      <c r="H1357" s="395"/>
      <c r="J1357" s="42"/>
    </row>
    <row r="1358" spans="1:10" s="393" customFormat="1" x14ac:dyDescent="0.25">
      <c r="A1358" s="19" t="s">
        <v>17</v>
      </c>
      <c r="B1358" s="2">
        <v>43949</v>
      </c>
      <c r="C1358" s="1">
        <v>1</v>
      </c>
      <c r="D1358" s="39">
        <v>76</v>
      </c>
      <c r="E1358" s="1"/>
      <c r="F1358" s="39">
        <f t="shared" si="54"/>
        <v>6</v>
      </c>
      <c r="G1358" s="395"/>
      <c r="H1358" s="395"/>
      <c r="J1358" s="42"/>
    </row>
    <row r="1359" spans="1:10" s="393" customFormat="1" x14ac:dyDescent="0.25">
      <c r="A1359" s="19" t="s">
        <v>23</v>
      </c>
      <c r="B1359" s="2">
        <v>43949</v>
      </c>
      <c r="C1359" s="1">
        <v>0</v>
      </c>
      <c r="D1359" s="39">
        <v>8</v>
      </c>
      <c r="E1359" s="1"/>
      <c r="F1359" s="39">
        <f t="shared" si="54"/>
        <v>9</v>
      </c>
      <c r="G1359" s="395"/>
      <c r="H1359" s="395"/>
      <c r="J1359" s="42"/>
    </row>
    <row r="1360" spans="1:10" s="393" customFormat="1" x14ac:dyDescent="0.25">
      <c r="A1360" s="19" t="s">
        <v>19</v>
      </c>
      <c r="B1360" s="2">
        <v>43949</v>
      </c>
      <c r="C1360" s="1">
        <v>0</v>
      </c>
      <c r="D1360" s="39">
        <v>108</v>
      </c>
      <c r="E1360" s="1">
        <v>1</v>
      </c>
      <c r="F1360" s="39">
        <f t="shared" si="54"/>
        <v>2</v>
      </c>
      <c r="G1360" s="395"/>
      <c r="H1360" s="395"/>
      <c r="J1360" s="42"/>
    </row>
    <row r="1361" spans="1:10" s="393" customFormat="1" x14ac:dyDescent="0.25">
      <c r="A1361" s="19" t="s">
        <v>18</v>
      </c>
      <c r="B1361" s="2">
        <v>43949</v>
      </c>
      <c r="C1361" s="1">
        <v>13</v>
      </c>
      <c r="D1361" s="39">
        <v>206</v>
      </c>
      <c r="E1361" s="1"/>
      <c r="F1361" s="39">
        <f t="shared" si="54"/>
        <v>3</v>
      </c>
      <c r="G1361" s="395"/>
      <c r="H1361" s="395"/>
      <c r="J1361" s="42"/>
    </row>
    <row r="1362" spans="1:10" s="393" customFormat="1" x14ac:dyDescent="0.25">
      <c r="A1362" s="19" t="s">
        <v>34</v>
      </c>
      <c r="B1362" s="2">
        <v>43949</v>
      </c>
      <c r="C1362" s="1">
        <v>0</v>
      </c>
      <c r="D1362" s="39">
        <v>4</v>
      </c>
      <c r="E1362" s="1"/>
      <c r="F1362" s="39">
        <f t="shared" si="54"/>
        <v>8</v>
      </c>
      <c r="G1362" s="395"/>
      <c r="H1362" s="395"/>
      <c r="J1362" s="42"/>
    </row>
    <row r="1363" spans="1:10" s="393" customFormat="1" x14ac:dyDescent="0.25">
      <c r="A1363" s="19" t="s">
        <v>35</v>
      </c>
      <c r="B1363" s="2">
        <v>43949</v>
      </c>
      <c r="C1363" s="1">
        <v>0</v>
      </c>
      <c r="D1363" s="39">
        <v>2</v>
      </c>
      <c r="E1363" s="1"/>
      <c r="F1363" s="39">
        <f t="shared" si="54"/>
        <v>0</v>
      </c>
      <c r="G1363" s="395"/>
      <c r="H1363" s="395"/>
      <c r="J1363" s="42"/>
    </row>
    <row r="1364" spans="1:10" s="393" customFormat="1" x14ac:dyDescent="0.25">
      <c r="A1364" s="19" t="s">
        <v>36</v>
      </c>
      <c r="B1364" s="2">
        <v>43949</v>
      </c>
      <c r="C1364" s="1">
        <v>0</v>
      </c>
      <c r="D1364" s="39">
        <v>11</v>
      </c>
      <c r="E1364" s="1"/>
      <c r="F1364" s="39">
        <f t="shared" si="54"/>
        <v>0</v>
      </c>
      <c r="G1364" s="395"/>
      <c r="H1364" s="395"/>
      <c r="J1364" s="42"/>
    </row>
    <row r="1365" spans="1:10" s="393" customFormat="1" x14ac:dyDescent="0.25">
      <c r="A1365" s="19" t="s">
        <v>37</v>
      </c>
      <c r="B1365" s="2">
        <v>43949</v>
      </c>
      <c r="C1365" s="1">
        <v>0</v>
      </c>
      <c r="D1365" s="39">
        <v>48</v>
      </c>
      <c r="E1365" s="1"/>
      <c r="F1365" s="39">
        <f t="shared" si="54"/>
        <v>0</v>
      </c>
      <c r="G1365" s="395"/>
      <c r="H1365" s="395"/>
      <c r="J1365" s="42"/>
    </row>
    <row r="1366" spans="1:10" s="393" customFormat="1" x14ac:dyDescent="0.25">
      <c r="A1366" s="19" t="s">
        <v>22</v>
      </c>
      <c r="B1366" s="2">
        <v>43949</v>
      </c>
      <c r="C1366" s="1">
        <v>1</v>
      </c>
      <c r="D1366" s="39">
        <v>243</v>
      </c>
      <c r="E1366" s="1"/>
      <c r="F1366" s="39">
        <f>E1366+F1342</f>
        <v>2</v>
      </c>
      <c r="G1366" s="395"/>
      <c r="H1366" s="395"/>
      <c r="J1366" s="42"/>
    </row>
    <row r="1367" spans="1:10" s="393" customFormat="1" x14ac:dyDescent="0.25">
      <c r="A1367" s="19" t="s">
        <v>38</v>
      </c>
      <c r="B1367" s="2">
        <v>43949</v>
      </c>
      <c r="C1367" s="1">
        <v>0</v>
      </c>
      <c r="D1367" s="39">
        <v>15</v>
      </c>
      <c r="E1367" s="1"/>
      <c r="F1367" s="39">
        <f>E1367+F1343</f>
        <v>0</v>
      </c>
      <c r="G1367" s="395"/>
      <c r="H1367" s="395"/>
      <c r="J1367" s="42"/>
    </row>
    <row r="1368" spans="1:10" s="393" customFormat="1" x14ac:dyDescent="0.25">
      <c r="A1368" s="19" t="s">
        <v>39</v>
      </c>
      <c r="B1368" s="2">
        <v>43949</v>
      </c>
      <c r="C1368" s="1">
        <v>6</v>
      </c>
      <c r="D1368" s="39">
        <v>137</v>
      </c>
      <c r="E1368" s="1"/>
      <c r="F1368" s="39">
        <f t="shared" si="54"/>
        <v>0</v>
      </c>
      <c r="G1368" s="395"/>
      <c r="H1368" s="395"/>
      <c r="J1368" s="42"/>
    </row>
    <row r="1369" spans="1:10" s="393" customFormat="1" x14ac:dyDescent="0.25">
      <c r="A1369" s="19" t="s">
        <v>40</v>
      </c>
      <c r="B1369" s="2">
        <v>43949</v>
      </c>
      <c r="C1369" s="1">
        <v>1</v>
      </c>
      <c r="D1369" s="39">
        <v>36</v>
      </c>
      <c r="E1369" s="1"/>
      <c r="F1369" s="39">
        <f>E1369+F1345</f>
        <v>2</v>
      </c>
      <c r="G1369" s="395"/>
      <c r="H1369" s="395"/>
      <c r="J1369" s="42"/>
    </row>
    <row r="1370" spans="1:10" s="393" customFormat="1" x14ac:dyDescent="0.25">
      <c r="A1370" s="394" t="s">
        <v>16</v>
      </c>
      <c r="B1370" s="2">
        <v>43950</v>
      </c>
      <c r="C1370" s="1">
        <v>103</v>
      </c>
      <c r="D1370" s="39">
        <v>1532</v>
      </c>
      <c r="E1370" s="1">
        <v>2</v>
      </c>
      <c r="F1370" s="39">
        <f>E1370+F1346</f>
        <v>84</v>
      </c>
      <c r="G1370" s="395"/>
      <c r="H1370" s="395"/>
      <c r="J1370" s="42"/>
    </row>
    <row r="1371" spans="1:10" s="393" customFormat="1" x14ac:dyDescent="0.25">
      <c r="A1371" s="19" t="s">
        <v>28</v>
      </c>
      <c r="B1371" s="2">
        <v>43950</v>
      </c>
      <c r="C1371" s="1">
        <v>0</v>
      </c>
      <c r="D1371" s="39">
        <v>0</v>
      </c>
      <c r="E1371" s="1"/>
      <c r="F1371" s="39">
        <f t="shared" ref="F1371:F1377" si="55">E1371+F1347</f>
        <v>0</v>
      </c>
      <c r="G1371" s="395"/>
      <c r="H1371" s="395"/>
      <c r="J1371" s="42"/>
    </row>
    <row r="1372" spans="1:10" s="393" customFormat="1" x14ac:dyDescent="0.25">
      <c r="A1372" s="19" t="s">
        <v>15</v>
      </c>
      <c r="B1372" s="2">
        <v>43950</v>
      </c>
      <c r="C1372" s="1">
        <v>4</v>
      </c>
      <c r="D1372" s="39">
        <v>311</v>
      </c>
      <c r="E1372" s="1">
        <v>1</v>
      </c>
      <c r="F1372" s="39">
        <f t="shared" si="55"/>
        <v>13</v>
      </c>
      <c r="G1372" s="395"/>
      <c r="H1372" s="395"/>
      <c r="J1372" s="42"/>
    </row>
    <row r="1373" spans="1:10" s="393" customFormat="1" x14ac:dyDescent="0.25">
      <c r="A1373" s="19" t="s">
        <v>29</v>
      </c>
      <c r="B1373" s="2">
        <v>43950</v>
      </c>
      <c r="C1373" s="1">
        <v>0</v>
      </c>
      <c r="D1373" s="39">
        <v>2</v>
      </c>
      <c r="E1373" s="1"/>
      <c r="F1373" s="39">
        <f t="shared" si="55"/>
        <v>1</v>
      </c>
      <c r="G1373" s="395"/>
      <c r="H1373" s="395"/>
      <c r="J1373" s="42"/>
    </row>
    <row r="1374" spans="1:10" s="393" customFormat="1" x14ac:dyDescent="0.25">
      <c r="A1374" s="19" t="s">
        <v>43</v>
      </c>
      <c r="B1374" s="2">
        <v>43950</v>
      </c>
      <c r="C1374" s="1">
        <v>34</v>
      </c>
      <c r="D1374" s="39">
        <v>1123</v>
      </c>
      <c r="E1374" s="1">
        <v>3</v>
      </c>
      <c r="F1374" s="39">
        <f t="shared" si="55"/>
        <v>64</v>
      </c>
      <c r="G1374" s="395"/>
      <c r="H1374" s="395"/>
      <c r="J1374" s="42"/>
    </row>
    <row r="1375" spans="1:10" s="393" customFormat="1" x14ac:dyDescent="0.25">
      <c r="A1375" s="19" t="s">
        <v>20</v>
      </c>
      <c r="B1375" s="2">
        <v>43950</v>
      </c>
      <c r="C1375" s="1">
        <v>1</v>
      </c>
      <c r="D1375" s="39">
        <v>276</v>
      </c>
      <c r="E1375" s="1"/>
      <c r="F1375" s="39">
        <f t="shared" si="55"/>
        <v>14</v>
      </c>
      <c r="G1375" s="395"/>
      <c r="H1375" s="395"/>
      <c r="J1375" s="42"/>
    </row>
    <row r="1376" spans="1:10" s="393" customFormat="1" x14ac:dyDescent="0.25">
      <c r="A1376" s="19" t="s">
        <v>30</v>
      </c>
      <c r="B1376" s="2">
        <v>43950</v>
      </c>
      <c r="C1376" s="1">
        <v>0</v>
      </c>
      <c r="D1376" s="39">
        <v>47</v>
      </c>
      <c r="E1376" s="1"/>
      <c r="F1376" s="39">
        <f t="shared" si="55"/>
        <v>0</v>
      </c>
      <c r="G1376" s="395"/>
      <c r="H1376" s="395"/>
      <c r="J1376" s="42"/>
    </row>
    <row r="1377" spans="1:10" x14ac:dyDescent="0.25">
      <c r="A1377" s="19" t="s">
        <v>31</v>
      </c>
      <c r="B1377" s="2">
        <v>43950</v>
      </c>
      <c r="C1377" s="1">
        <v>0</v>
      </c>
      <c r="D1377" s="39">
        <v>23</v>
      </c>
      <c r="F1377" s="39">
        <f t="shared" si="55"/>
        <v>0</v>
      </c>
    </row>
    <row r="1378" spans="1:10" s="393" customFormat="1" x14ac:dyDescent="0.25">
      <c r="A1378" s="19" t="s">
        <v>41</v>
      </c>
      <c r="B1378" s="2">
        <v>43950</v>
      </c>
      <c r="C1378" s="1">
        <v>0</v>
      </c>
      <c r="D1378" s="39">
        <v>0</v>
      </c>
      <c r="E1378" s="1"/>
      <c r="F1378" s="39">
        <f t="shared" ref="F1378:F1392" si="56">E1378+F1353</f>
        <v>0</v>
      </c>
      <c r="G1378" s="395"/>
      <c r="H1378" s="395"/>
      <c r="J1378" s="42"/>
    </row>
    <row r="1379" spans="1:10" s="393" customFormat="1" x14ac:dyDescent="0.25">
      <c r="A1379" s="19" t="s">
        <v>32</v>
      </c>
      <c r="B1379" s="2">
        <v>43950</v>
      </c>
      <c r="C1379" s="1">
        <v>0</v>
      </c>
      <c r="D1379" s="39">
        <v>5</v>
      </c>
      <c r="E1379" s="1"/>
      <c r="F1379" s="39">
        <f t="shared" si="56"/>
        <v>0</v>
      </c>
      <c r="G1379" s="395"/>
      <c r="H1379" s="395"/>
      <c r="J1379" s="42"/>
    </row>
    <row r="1380" spans="1:10" s="393" customFormat="1" x14ac:dyDescent="0.25">
      <c r="A1380" s="19" t="s">
        <v>33</v>
      </c>
      <c r="B1380" s="2">
        <v>43950</v>
      </c>
      <c r="C1380" s="1">
        <v>0</v>
      </c>
      <c r="D1380" s="39">
        <v>5</v>
      </c>
      <c r="E1380" s="1"/>
      <c r="F1380" s="39">
        <f t="shared" si="56"/>
        <v>0</v>
      </c>
      <c r="G1380" s="395"/>
      <c r="H1380" s="395"/>
      <c r="J1380" s="42"/>
    </row>
    <row r="1381" spans="1:10" s="393" customFormat="1" x14ac:dyDescent="0.25">
      <c r="A1381" s="19" t="s">
        <v>21</v>
      </c>
      <c r="B1381" s="2">
        <v>43950</v>
      </c>
      <c r="C1381" s="1">
        <v>1</v>
      </c>
      <c r="D1381" s="39">
        <v>52</v>
      </c>
      <c r="E1381" s="1"/>
      <c r="F1381" s="39">
        <f t="shared" si="56"/>
        <v>0</v>
      </c>
      <c r="G1381" s="395"/>
      <c r="H1381" s="395"/>
      <c r="J1381" s="42"/>
    </row>
    <row r="1382" spans="1:10" s="393" customFormat="1" x14ac:dyDescent="0.25">
      <c r="A1382" s="19" t="s">
        <v>17</v>
      </c>
      <c r="B1382" s="2">
        <v>43950</v>
      </c>
      <c r="C1382" s="1">
        <v>2</v>
      </c>
      <c r="D1382" s="39">
        <v>78</v>
      </c>
      <c r="E1382" s="1"/>
      <c r="F1382" s="39">
        <f t="shared" si="56"/>
        <v>0</v>
      </c>
      <c r="G1382" s="395"/>
      <c r="H1382" s="395"/>
      <c r="J1382" s="42"/>
    </row>
    <row r="1383" spans="1:10" s="393" customFormat="1" x14ac:dyDescent="0.25">
      <c r="A1383" s="19" t="s">
        <v>23</v>
      </c>
      <c r="B1383" s="2">
        <v>43950</v>
      </c>
      <c r="C1383" s="1">
        <v>4</v>
      </c>
      <c r="D1383" s="39">
        <v>12</v>
      </c>
      <c r="E1383" s="1"/>
      <c r="F1383" s="39">
        <f t="shared" si="56"/>
        <v>6</v>
      </c>
      <c r="G1383" s="395"/>
      <c r="H1383" s="395"/>
      <c r="J1383" s="42"/>
    </row>
    <row r="1384" spans="1:10" s="393" customFormat="1" x14ac:dyDescent="0.25">
      <c r="A1384" s="19" t="s">
        <v>19</v>
      </c>
      <c r="B1384" s="2">
        <v>43950</v>
      </c>
      <c r="C1384" s="1">
        <v>1</v>
      </c>
      <c r="D1384" s="39">
        <v>109</v>
      </c>
      <c r="E1384" s="1"/>
      <c r="F1384" s="39">
        <f t="shared" si="56"/>
        <v>9</v>
      </c>
      <c r="G1384" s="395"/>
      <c r="H1384" s="395"/>
      <c r="J1384" s="42"/>
    </row>
    <row r="1385" spans="1:10" s="393" customFormat="1" x14ac:dyDescent="0.25">
      <c r="A1385" s="19" t="s">
        <v>18</v>
      </c>
      <c r="B1385" s="2">
        <v>43950</v>
      </c>
      <c r="C1385" s="1">
        <v>8</v>
      </c>
      <c r="D1385" s="39">
        <v>214</v>
      </c>
      <c r="E1385" s="1">
        <v>1</v>
      </c>
      <c r="F1385" s="39">
        <f t="shared" si="56"/>
        <v>3</v>
      </c>
      <c r="G1385" s="395"/>
      <c r="H1385" s="395"/>
      <c r="J1385" s="42"/>
    </row>
    <row r="1386" spans="1:10" s="393" customFormat="1" x14ac:dyDescent="0.25">
      <c r="A1386" s="19" t="s">
        <v>34</v>
      </c>
      <c r="B1386" s="2">
        <v>43950</v>
      </c>
      <c r="C1386" s="1">
        <v>0</v>
      </c>
      <c r="D1386" s="39">
        <v>4</v>
      </c>
      <c r="E1386" s="1"/>
      <c r="F1386" s="39">
        <f t="shared" si="56"/>
        <v>3</v>
      </c>
      <c r="G1386" s="395"/>
      <c r="H1386" s="395"/>
      <c r="J1386" s="42"/>
    </row>
    <row r="1387" spans="1:10" s="393" customFormat="1" x14ac:dyDescent="0.25">
      <c r="A1387" s="19" t="s">
        <v>35</v>
      </c>
      <c r="B1387" s="2">
        <v>43950</v>
      </c>
      <c r="C1387" s="1">
        <v>0</v>
      </c>
      <c r="D1387" s="39">
        <v>2</v>
      </c>
      <c r="E1387" s="1"/>
      <c r="F1387" s="39">
        <f>E1387+F1363</f>
        <v>0</v>
      </c>
      <c r="G1387" s="395"/>
      <c r="H1387" s="395"/>
      <c r="J1387" s="42"/>
    </row>
    <row r="1388" spans="1:10" s="393" customFormat="1" x14ac:dyDescent="0.25">
      <c r="A1388" s="19" t="s">
        <v>36</v>
      </c>
      <c r="B1388" s="2">
        <v>43950</v>
      </c>
      <c r="C1388" s="1">
        <v>0</v>
      </c>
      <c r="D1388" s="39">
        <v>11</v>
      </c>
      <c r="E1388" s="1"/>
      <c r="F1388" s="39">
        <f t="shared" si="56"/>
        <v>0</v>
      </c>
      <c r="G1388" s="395"/>
      <c r="H1388" s="395"/>
      <c r="J1388" s="42"/>
    </row>
    <row r="1389" spans="1:10" s="393" customFormat="1" x14ac:dyDescent="0.25">
      <c r="A1389" s="19" t="s">
        <v>37</v>
      </c>
      <c r="B1389" s="2">
        <v>43950</v>
      </c>
      <c r="C1389" s="1">
        <v>0</v>
      </c>
      <c r="D1389" s="39">
        <v>48</v>
      </c>
      <c r="E1389" s="1"/>
      <c r="F1389" s="39">
        <f t="shared" si="56"/>
        <v>0</v>
      </c>
      <c r="G1389" s="395"/>
      <c r="H1389" s="395"/>
      <c r="J1389" s="42"/>
    </row>
    <row r="1390" spans="1:10" s="393" customFormat="1" x14ac:dyDescent="0.25">
      <c r="A1390" s="19" t="s">
        <v>22</v>
      </c>
      <c r="B1390" s="2">
        <v>43950</v>
      </c>
      <c r="C1390" s="1">
        <v>0</v>
      </c>
      <c r="D1390" s="39">
        <v>243</v>
      </c>
      <c r="E1390" s="1"/>
      <c r="F1390" s="39">
        <f>E1390+F1366</f>
        <v>2</v>
      </c>
      <c r="G1390" s="395"/>
      <c r="H1390" s="395"/>
      <c r="J1390" s="42"/>
    </row>
    <row r="1391" spans="1:10" s="393" customFormat="1" x14ac:dyDescent="0.25">
      <c r="A1391" s="19" t="s">
        <v>38</v>
      </c>
      <c r="B1391" s="2">
        <v>43950</v>
      </c>
      <c r="C1391" s="1">
        <v>0</v>
      </c>
      <c r="D1391" s="39">
        <v>15</v>
      </c>
      <c r="E1391" s="1"/>
      <c r="F1391" s="39">
        <f>E1391+F1367</f>
        <v>0</v>
      </c>
      <c r="G1391" s="395"/>
      <c r="H1391" s="395"/>
      <c r="J1391" s="42"/>
    </row>
    <row r="1392" spans="1:10" s="393" customFormat="1" x14ac:dyDescent="0.25">
      <c r="A1392" s="19" t="s">
        <v>39</v>
      </c>
      <c r="B1392" s="2">
        <v>43950</v>
      </c>
      <c r="C1392" s="1">
        <v>0</v>
      </c>
      <c r="D1392" s="39">
        <v>137</v>
      </c>
      <c r="E1392" s="1"/>
      <c r="F1392" s="39">
        <f t="shared" si="56"/>
        <v>0</v>
      </c>
      <c r="G1392" s="395"/>
      <c r="H1392" s="395"/>
      <c r="J1392" s="42"/>
    </row>
    <row r="1393" spans="1:10" s="393" customFormat="1" x14ac:dyDescent="0.25">
      <c r="A1393" s="19" t="s">
        <v>40</v>
      </c>
      <c r="B1393" s="2">
        <v>43950</v>
      </c>
      <c r="C1393" s="1">
        <v>0</v>
      </c>
      <c r="D1393" s="39">
        <v>36</v>
      </c>
      <c r="E1393" s="1"/>
      <c r="F1393" s="39">
        <f>E1393+F1369</f>
        <v>2</v>
      </c>
      <c r="G1393" s="395"/>
      <c r="H1393" s="395"/>
      <c r="J1393" s="42"/>
    </row>
    <row r="1394" spans="1:10" s="393" customFormat="1" x14ac:dyDescent="0.25">
      <c r="A1394" s="394" t="s">
        <v>16</v>
      </c>
      <c r="B1394" s="2">
        <v>43951</v>
      </c>
      <c r="C1394" s="1">
        <v>66</v>
      </c>
      <c r="D1394" s="39">
        <v>1598</v>
      </c>
      <c r="E1394" s="1">
        <v>2</v>
      </c>
      <c r="F1394" s="39">
        <f>E1394+F1370</f>
        <v>86</v>
      </c>
      <c r="G1394" s="395"/>
      <c r="H1394" s="395"/>
      <c r="J1394" s="42"/>
    </row>
    <row r="1395" spans="1:10" s="393" customFormat="1" x14ac:dyDescent="0.25">
      <c r="A1395" s="19" t="s">
        <v>28</v>
      </c>
      <c r="B1395" s="2">
        <v>43951</v>
      </c>
      <c r="C1395" s="1">
        <v>0</v>
      </c>
      <c r="D1395" s="39">
        <v>0</v>
      </c>
      <c r="E1395" s="1"/>
      <c r="F1395" s="39">
        <f t="shared" ref="F1395:F1400" si="57">E1395+F1371</f>
        <v>0</v>
      </c>
      <c r="G1395" s="395"/>
      <c r="H1395" s="395"/>
      <c r="J1395" s="42"/>
    </row>
    <row r="1396" spans="1:10" s="393" customFormat="1" x14ac:dyDescent="0.25">
      <c r="A1396" s="19" t="s">
        <v>15</v>
      </c>
      <c r="B1396" s="2">
        <v>43951</v>
      </c>
      <c r="C1396" s="1">
        <v>3</v>
      </c>
      <c r="D1396" s="39">
        <v>314</v>
      </c>
      <c r="E1396" s="1"/>
      <c r="F1396" s="39">
        <f t="shared" si="57"/>
        <v>13</v>
      </c>
      <c r="G1396" s="395"/>
      <c r="H1396" s="395"/>
      <c r="J1396" s="42"/>
    </row>
    <row r="1397" spans="1:10" s="393" customFormat="1" x14ac:dyDescent="0.25">
      <c r="A1397" s="19" t="s">
        <v>29</v>
      </c>
      <c r="B1397" s="2">
        <v>43951</v>
      </c>
      <c r="C1397" s="1">
        <v>0</v>
      </c>
      <c r="D1397" s="39">
        <v>2</v>
      </c>
      <c r="E1397" s="1"/>
      <c r="F1397" s="39">
        <f t="shared" si="57"/>
        <v>1</v>
      </c>
      <c r="G1397" s="395"/>
      <c r="H1397" s="395"/>
      <c r="J1397" s="42"/>
    </row>
    <row r="1398" spans="1:10" s="393" customFormat="1" x14ac:dyDescent="0.25">
      <c r="A1398" s="19" t="s">
        <v>43</v>
      </c>
      <c r="B1398" s="2">
        <v>43951</v>
      </c>
      <c r="C1398" s="1">
        <v>45</v>
      </c>
      <c r="D1398" s="39">
        <v>1168</v>
      </c>
      <c r="E1398" s="1">
        <v>2</v>
      </c>
      <c r="F1398" s="39">
        <f t="shared" si="57"/>
        <v>66</v>
      </c>
      <c r="G1398" s="395"/>
      <c r="H1398" s="395"/>
      <c r="J1398" s="42"/>
    </row>
    <row r="1399" spans="1:10" s="393" customFormat="1" x14ac:dyDescent="0.25">
      <c r="A1399" s="19" t="s">
        <v>20</v>
      </c>
      <c r="B1399" s="2">
        <v>43951</v>
      </c>
      <c r="C1399" s="1">
        <v>2</v>
      </c>
      <c r="D1399" s="39">
        <v>278</v>
      </c>
      <c r="E1399" s="1"/>
      <c r="F1399" s="39">
        <f t="shared" si="57"/>
        <v>14</v>
      </c>
      <c r="G1399" s="395"/>
      <c r="H1399" s="395"/>
      <c r="J1399" s="42"/>
    </row>
    <row r="1400" spans="1:10" s="393" customFormat="1" x14ac:dyDescent="0.25">
      <c r="A1400" s="19" t="s">
        <v>30</v>
      </c>
      <c r="B1400" s="2">
        <v>43951</v>
      </c>
      <c r="C1400" s="1">
        <v>1</v>
      </c>
      <c r="D1400" s="39">
        <v>48</v>
      </c>
      <c r="E1400" s="1"/>
      <c r="F1400" s="39">
        <f t="shared" si="57"/>
        <v>0</v>
      </c>
      <c r="G1400" s="395"/>
      <c r="H1400" s="395"/>
      <c r="J1400" s="42"/>
    </row>
    <row r="1401" spans="1:10" x14ac:dyDescent="0.25">
      <c r="A1401" s="19" t="s">
        <v>31</v>
      </c>
      <c r="B1401" s="2">
        <v>43951</v>
      </c>
      <c r="C1401" s="1">
        <v>0</v>
      </c>
      <c r="D1401" s="39">
        <v>23</v>
      </c>
      <c r="F1401" s="39">
        <f>E1401+F1377</f>
        <v>0</v>
      </c>
    </row>
    <row r="1402" spans="1:10" s="393" customFormat="1" x14ac:dyDescent="0.25">
      <c r="A1402" s="19" t="s">
        <v>41</v>
      </c>
      <c r="B1402" s="2">
        <v>43951</v>
      </c>
      <c r="C1402" s="1">
        <v>0</v>
      </c>
      <c r="D1402" s="39">
        <v>0</v>
      </c>
      <c r="E1402" s="1"/>
      <c r="F1402" s="39">
        <f t="shared" ref="F1402:F1416" si="58">E1402+F1377</f>
        <v>0</v>
      </c>
      <c r="G1402" s="395"/>
      <c r="H1402" s="395"/>
      <c r="J1402" s="42"/>
    </row>
    <row r="1403" spans="1:10" s="393" customFormat="1" x14ac:dyDescent="0.25">
      <c r="A1403" s="19" t="s">
        <v>32</v>
      </c>
      <c r="B1403" s="2">
        <v>43951</v>
      </c>
      <c r="C1403" s="1">
        <v>0</v>
      </c>
      <c r="D1403" s="39">
        <v>5</v>
      </c>
      <c r="E1403" s="1"/>
      <c r="F1403" s="39">
        <f t="shared" si="58"/>
        <v>0</v>
      </c>
      <c r="G1403" s="395"/>
      <c r="H1403" s="395"/>
      <c r="J1403" s="42"/>
    </row>
    <row r="1404" spans="1:10" s="393" customFormat="1" x14ac:dyDescent="0.25">
      <c r="A1404" s="19" t="s">
        <v>33</v>
      </c>
      <c r="B1404" s="2">
        <v>43951</v>
      </c>
      <c r="C1404" s="1">
        <v>0</v>
      </c>
      <c r="D1404" s="39">
        <v>5</v>
      </c>
      <c r="E1404" s="1"/>
      <c r="F1404" s="39">
        <f t="shared" si="58"/>
        <v>0</v>
      </c>
      <c r="G1404" s="395"/>
      <c r="H1404" s="395"/>
      <c r="J1404" s="42"/>
    </row>
    <row r="1405" spans="1:10" s="393" customFormat="1" x14ac:dyDescent="0.25">
      <c r="A1405" s="19" t="s">
        <v>21</v>
      </c>
      <c r="B1405" s="2">
        <v>43951</v>
      </c>
      <c r="C1405" s="1">
        <v>0</v>
      </c>
      <c r="D1405" s="39">
        <v>52</v>
      </c>
      <c r="E1405" s="1"/>
      <c r="F1405" s="39">
        <f t="shared" si="58"/>
        <v>0</v>
      </c>
      <c r="G1405" s="395"/>
      <c r="H1405" s="395"/>
      <c r="J1405" s="42"/>
    </row>
    <row r="1406" spans="1:10" s="393" customFormat="1" x14ac:dyDescent="0.25">
      <c r="A1406" s="19" t="s">
        <v>17</v>
      </c>
      <c r="B1406" s="2">
        <v>43951</v>
      </c>
      <c r="C1406" s="1">
        <v>5</v>
      </c>
      <c r="D1406" s="39">
        <v>83</v>
      </c>
      <c r="E1406" s="1"/>
      <c r="F1406" s="39">
        <f t="shared" si="58"/>
        <v>0</v>
      </c>
      <c r="G1406" s="395"/>
      <c r="H1406" s="395"/>
      <c r="J1406" s="42"/>
    </row>
    <row r="1407" spans="1:10" s="393" customFormat="1" x14ac:dyDescent="0.25">
      <c r="A1407" s="19" t="s">
        <v>23</v>
      </c>
      <c r="B1407" s="2">
        <v>43951</v>
      </c>
      <c r="C1407" s="1">
        <v>0</v>
      </c>
      <c r="D1407" s="39">
        <v>12</v>
      </c>
      <c r="E1407" s="1"/>
      <c r="F1407" s="39">
        <f t="shared" si="58"/>
        <v>0</v>
      </c>
      <c r="G1407" s="395"/>
      <c r="H1407" s="395"/>
      <c r="J1407" s="42"/>
    </row>
    <row r="1408" spans="1:10" s="393" customFormat="1" x14ac:dyDescent="0.25">
      <c r="A1408" s="19" t="s">
        <v>19</v>
      </c>
      <c r="B1408" s="2">
        <v>43951</v>
      </c>
      <c r="C1408" s="1">
        <v>1</v>
      </c>
      <c r="D1408" s="39">
        <v>110</v>
      </c>
      <c r="E1408" s="1"/>
      <c r="F1408" s="39">
        <f t="shared" si="58"/>
        <v>6</v>
      </c>
      <c r="G1408" s="395"/>
      <c r="H1408" s="395"/>
      <c r="J1408" s="42"/>
    </row>
    <row r="1409" spans="1:10" s="393" customFormat="1" x14ac:dyDescent="0.25">
      <c r="A1409" s="19" t="s">
        <v>18</v>
      </c>
      <c r="B1409" s="2">
        <v>43951</v>
      </c>
      <c r="C1409" s="1">
        <v>14</v>
      </c>
      <c r="D1409" s="39">
        <v>228</v>
      </c>
      <c r="E1409" s="1"/>
      <c r="F1409" s="39">
        <f t="shared" si="58"/>
        <v>9</v>
      </c>
      <c r="G1409" s="395"/>
      <c r="H1409" s="395"/>
      <c r="J1409" s="42"/>
    </row>
    <row r="1410" spans="1:10" s="393" customFormat="1" x14ac:dyDescent="0.25">
      <c r="A1410" s="19" t="s">
        <v>34</v>
      </c>
      <c r="B1410" s="2">
        <v>43951</v>
      </c>
      <c r="C1410" s="1">
        <v>0</v>
      </c>
      <c r="D1410" s="39">
        <v>4</v>
      </c>
      <c r="E1410" s="1"/>
      <c r="F1410" s="39">
        <f t="shared" si="58"/>
        <v>3</v>
      </c>
      <c r="G1410" s="395"/>
      <c r="H1410" s="395"/>
      <c r="J1410" s="42"/>
    </row>
    <row r="1411" spans="1:10" s="393" customFormat="1" x14ac:dyDescent="0.25">
      <c r="A1411" s="19" t="s">
        <v>35</v>
      </c>
      <c r="B1411" s="2">
        <v>43951</v>
      </c>
      <c r="C1411" s="1">
        <v>0</v>
      </c>
      <c r="D1411" s="39">
        <v>2</v>
      </c>
      <c r="E1411" s="1"/>
      <c r="F1411" s="39">
        <f>E1411+F1387</f>
        <v>0</v>
      </c>
      <c r="G1411" s="395"/>
      <c r="H1411" s="395"/>
      <c r="J1411" s="42"/>
    </row>
    <row r="1412" spans="1:10" s="393" customFormat="1" x14ac:dyDescent="0.25">
      <c r="A1412" s="19" t="s">
        <v>36</v>
      </c>
      <c r="B1412" s="2">
        <v>43951</v>
      </c>
      <c r="C1412" s="1">
        <v>0</v>
      </c>
      <c r="D1412" s="39">
        <v>11</v>
      </c>
      <c r="E1412" s="1"/>
      <c r="F1412" s="39">
        <f t="shared" si="58"/>
        <v>0</v>
      </c>
      <c r="G1412" s="395"/>
      <c r="H1412" s="395"/>
      <c r="J1412" s="42"/>
    </row>
    <row r="1413" spans="1:10" s="393" customFormat="1" x14ac:dyDescent="0.25">
      <c r="A1413" s="19" t="s">
        <v>37</v>
      </c>
      <c r="B1413" s="2">
        <v>43951</v>
      </c>
      <c r="C1413" s="1">
        <v>1</v>
      </c>
      <c r="D1413" s="39">
        <v>49</v>
      </c>
      <c r="E1413" s="1"/>
      <c r="F1413" s="39">
        <f t="shared" si="58"/>
        <v>0</v>
      </c>
      <c r="G1413" s="395"/>
      <c r="H1413" s="395"/>
      <c r="J1413" s="42"/>
    </row>
    <row r="1414" spans="1:10" s="393" customFormat="1" x14ac:dyDescent="0.25">
      <c r="A1414" s="19" t="s">
        <v>22</v>
      </c>
      <c r="B1414" s="2">
        <v>43951</v>
      </c>
      <c r="C1414" s="1">
        <v>0</v>
      </c>
      <c r="D1414" s="39">
        <v>243</v>
      </c>
      <c r="E1414" s="1"/>
      <c r="F1414" s="39">
        <f>E1414+F1390</f>
        <v>2</v>
      </c>
      <c r="G1414" s="395"/>
      <c r="H1414" s="395"/>
      <c r="J1414" s="42"/>
    </row>
    <row r="1415" spans="1:10" s="393" customFormat="1" x14ac:dyDescent="0.25">
      <c r="A1415" s="19" t="s">
        <v>38</v>
      </c>
      <c r="B1415" s="2">
        <v>43951</v>
      </c>
      <c r="C1415" s="1">
        <v>0</v>
      </c>
      <c r="D1415" s="39">
        <v>15</v>
      </c>
      <c r="E1415" s="1"/>
      <c r="F1415" s="39">
        <f>E1415+F1391</f>
        <v>0</v>
      </c>
      <c r="G1415" s="395"/>
      <c r="H1415" s="395"/>
      <c r="J1415" s="42"/>
    </row>
    <row r="1416" spans="1:10" s="393" customFormat="1" x14ac:dyDescent="0.25">
      <c r="A1416" s="19" t="s">
        <v>39</v>
      </c>
      <c r="B1416" s="2">
        <v>43951</v>
      </c>
      <c r="C1416" s="1">
        <v>2</v>
      </c>
      <c r="D1416" s="39">
        <v>139</v>
      </c>
      <c r="E1416" s="1"/>
      <c r="F1416" s="39">
        <f t="shared" si="58"/>
        <v>0</v>
      </c>
      <c r="G1416" s="395"/>
      <c r="H1416" s="395"/>
      <c r="J1416" s="42"/>
    </row>
    <row r="1417" spans="1:10" s="393" customFormat="1" x14ac:dyDescent="0.25">
      <c r="A1417" s="19" t="s">
        <v>40</v>
      </c>
      <c r="B1417" s="2">
        <v>43951</v>
      </c>
      <c r="C1417" s="1">
        <v>2</v>
      </c>
      <c r="D1417" s="39">
        <v>38</v>
      </c>
      <c r="E1417" s="1"/>
      <c r="F1417" s="39">
        <f>E1417+F1393</f>
        <v>2</v>
      </c>
      <c r="G1417" s="395"/>
      <c r="H1417" s="395"/>
      <c r="J1417" s="42"/>
    </row>
    <row r="1418" spans="1:10" s="393" customFormat="1" x14ac:dyDescent="0.25">
      <c r="A1418" s="394" t="s">
        <v>16</v>
      </c>
      <c r="B1418" s="2">
        <v>43952</v>
      </c>
      <c r="C1418" s="1">
        <v>34</v>
      </c>
      <c r="D1418" s="39">
        <v>1632</v>
      </c>
      <c r="E1418" s="1">
        <v>3</v>
      </c>
      <c r="F1418" s="39">
        <f>E1418+F1394</f>
        <v>89</v>
      </c>
      <c r="G1418" s="395"/>
      <c r="H1418" s="395"/>
      <c r="J1418" s="42"/>
    </row>
    <row r="1419" spans="1:10" s="393" customFormat="1" x14ac:dyDescent="0.25">
      <c r="A1419" s="19" t="s">
        <v>28</v>
      </c>
      <c r="B1419" s="2">
        <v>43952</v>
      </c>
      <c r="C1419" s="1">
        <v>0</v>
      </c>
      <c r="D1419" s="39">
        <v>0</v>
      </c>
      <c r="E1419" s="1"/>
      <c r="F1419" s="39">
        <f t="shared" ref="F1419:F1424" si="59">E1419+F1395</f>
        <v>0</v>
      </c>
      <c r="G1419" s="395"/>
      <c r="H1419" s="395"/>
      <c r="J1419" s="42"/>
    </row>
    <row r="1420" spans="1:10" s="393" customFormat="1" x14ac:dyDescent="0.25">
      <c r="A1420" s="19" t="s">
        <v>15</v>
      </c>
      <c r="B1420" s="2">
        <v>43952</v>
      </c>
      <c r="C1420" s="1">
        <v>12</v>
      </c>
      <c r="D1420" s="39">
        <v>326</v>
      </c>
      <c r="E1420" s="1"/>
      <c r="F1420" s="39">
        <f t="shared" si="59"/>
        <v>13</v>
      </c>
      <c r="G1420" s="395"/>
      <c r="H1420" s="395"/>
      <c r="J1420" s="42"/>
    </row>
    <row r="1421" spans="1:10" s="393" customFormat="1" x14ac:dyDescent="0.25">
      <c r="A1421" s="19" t="s">
        <v>29</v>
      </c>
      <c r="B1421" s="2">
        <v>43952</v>
      </c>
      <c r="C1421" s="1">
        <v>1</v>
      </c>
      <c r="D1421" s="39">
        <v>3</v>
      </c>
      <c r="E1421" s="1"/>
      <c r="F1421" s="39">
        <f t="shared" si="59"/>
        <v>1</v>
      </c>
      <c r="G1421" s="395"/>
      <c r="H1421" s="395"/>
      <c r="J1421" s="42"/>
    </row>
    <row r="1422" spans="1:10" s="393" customFormat="1" x14ac:dyDescent="0.25">
      <c r="A1422" s="19" t="s">
        <v>43</v>
      </c>
      <c r="B1422" s="2">
        <v>43952</v>
      </c>
      <c r="C1422" s="1">
        <v>29</v>
      </c>
      <c r="D1422" s="39">
        <v>1197</v>
      </c>
      <c r="E1422" s="1">
        <v>4</v>
      </c>
      <c r="F1422" s="39">
        <f t="shared" si="59"/>
        <v>70</v>
      </c>
      <c r="G1422" s="395"/>
      <c r="H1422" s="395"/>
      <c r="J1422" s="42"/>
    </row>
    <row r="1423" spans="1:10" s="393" customFormat="1" x14ac:dyDescent="0.25">
      <c r="A1423" s="19" t="s">
        <v>20</v>
      </c>
      <c r="B1423" s="2">
        <v>43952</v>
      </c>
      <c r="C1423" s="1">
        <v>13</v>
      </c>
      <c r="D1423" s="39">
        <v>291</v>
      </c>
      <c r="E1423" s="1"/>
      <c r="F1423" s="39">
        <f t="shared" si="59"/>
        <v>14</v>
      </c>
      <c r="G1423" s="395"/>
      <c r="H1423" s="395"/>
      <c r="J1423" s="42"/>
    </row>
    <row r="1424" spans="1:10" s="393" customFormat="1" x14ac:dyDescent="0.25">
      <c r="A1424" s="19" t="s">
        <v>30</v>
      </c>
      <c r="B1424" s="2">
        <v>43952</v>
      </c>
      <c r="C1424" s="1">
        <v>1</v>
      </c>
      <c r="D1424" s="39">
        <v>49</v>
      </c>
      <c r="E1424" s="1"/>
      <c r="F1424" s="39">
        <f t="shared" si="59"/>
        <v>0</v>
      </c>
      <c r="G1424" s="395"/>
      <c r="H1424" s="395"/>
      <c r="J1424" s="42"/>
    </row>
    <row r="1425" spans="1:10" x14ac:dyDescent="0.25">
      <c r="A1425" s="19" t="s">
        <v>31</v>
      </c>
      <c r="B1425" s="2">
        <v>43952</v>
      </c>
      <c r="C1425" s="1">
        <v>2</v>
      </c>
      <c r="D1425" s="39">
        <v>25</v>
      </c>
      <c r="F1425" s="39">
        <f>E1425+F1401</f>
        <v>0</v>
      </c>
    </row>
    <row r="1426" spans="1:10" s="393" customFormat="1" x14ac:dyDescent="0.25">
      <c r="A1426" s="19" t="s">
        <v>41</v>
      </c>
      <c r="B1426" s="2">
        <v>43952</v>
      </c>
      <c r="C1426" s="1">
        <v>0</v>
      </c>
      <c r="D1426" s="39">
        <v>0</v>
      </c>
      <c r="E1426" s="1"/>
      <c r="F1426" s="39">
        <f t="shared" ref="F1426:F1440" si="60">E1426+F1401</f>
        <v>0</v>
      </c>
      <c r="G1426" s="395"/>
      <c r="H1426" s="395"/>
      <c r="J1426" s="42"/>
    </row>
    <row r="1427" spans="1:10" s="393" customFormat="1" x14ac:dyDescent="0.25">
      <c r="A1427" s="19" t="s">
        <v>32</v>
      </c>
      <c r="B1427" s="2">
        <v>43952</v>
      </c>
      <c r="C1427" s="1">
        <v>0</v>
      </c>
      <c r="D1427" s="39">
        <v>5</v>
      </c>
      <c r="E1427" s="1"/>
      <c r="F1427" s="39">
        <f t="shared" si="60"/>
        <v>0</v>
      </c>
      <c r="G1427" s="395"/>
      <c r="H1427" s="395"/>
      <c r="J1427" s="42"/>
    </row>
    <row r="1428" spans="1:10" s="393" customFormat="1" x14ac:dyDescent="0.25">
      <c r="A1428" s="19" t="s">
        <v>33</v>
      </c>
      <c r="B1428" s="2">
        <v>43952</v>
      </c>
      <c r="C1428" s="1">
        <v>0</v>
      </c>
      <c r="D1428" s="39">
        <v>5</v>
      </c>
      <c r="E1428" s="1"/>
      <c r="F1428" s="39">
        <f t="shared" si="60"/>
        <v>0</v>
      </c>
      <c r="G1428" s="395"/>
      <c r="H1428" s="395"/>
      <c r="J1428" s="42"/>
    </row>
    <row r="1429" spans="1:10" s="393" customFormat="1" x14ac:dyDescent="0.25">
      <c r="A1429" s="19" t="s">
        <v>21</v>
      </c>
      <c r="B1429" s="2">
        <v>43952</v>
      </c>
      <c r="C1429" s="1">
        <v>3</v>
      </c>
      <c r="D1429" s="39">
        <v>55</v>
      </c>
      <c r="E1429" s="1"/>
      <c r="F1429" s="39">
        <f t="shared" si="60"/>
        <v>0</v>
      </c>
      <c r="G1429" s="395"/>
      <c r="H1429" s="395"/>
      <c r="J1429" s="42"/>
    </row>
    <row r="1430" spans="1:10" s="393" customFormat="1" x14ac:dyDescent="0.25">
      <c r="A1430" s="19" t="s">
        <v>17</v>
      </c>
      <c r="B1430" s="2">
        <v>43952</v>
      </c>
      <c r="C1430" s="1">
        <v>1</v>
      </c>
      <c r="D1430" s="39">
        <v>84</v>
      </c>
      <c r="E1430" s="1"/>
      <c r="F1430" s="39">
        <f t="shared" si="60"/>
        <v>0</v>
      </c>
      <c r="G1430" s="395"/>
      <c r="H1430" s="395"/>
      <c r="J1430" s="42"/>
    </row>
    <row r="1431" spans="1:10" s="393" customFormat="1" x14ac:dyDescent="0.25">
      <c r="A1431" s="19" t="s">
        <v>23</v>
      </c>
      <c r="B1431" s="2">
        <v>43952</v>
      </c>
      <c r="C1431" s="1">
        <v>0</v>
      </c>
      <c r="D1431" s="39">
        <v>12</v>
      </c>
      <c r="E1431" s="1"/>
      <c r="F1431" s="39">
        <f t="shared" si="60"/>
        <v>0</v>
      </c>
      <c r="G1431" s="395"/>
      <c r="H1431" s="395"/>
      <c r="J1431" s="42"/>
    </row>
    <row r="1432" spans="1:10" s="393" customFormat="1" x14ac:dyDescent="0.25">
      <c r="A1432" s="19" t="s">
        <v>19</v>
      </c>
      <c r="B1432" s="2">
        <v>43952</v>
      </c>
      <c r="C1432" s="1">
        <v>0</v>
      </c>
      <c r="D1432" s="39">
        <v>110</v>
      </c>
      <c r="E1432" s="1"/>
      <c r="F1432" s="39">
        <f t="shared" si="60"/>
        <v>0</v>
      </c>
      <c r="G1432" s="395"/>
      <c r="H1432" s="395"/>
      <c r="J1432" s="42"/>
    </row>
    <row r="1433" spans="1:10" s="393" customFormat="1" x14ac:dyDescent="0.25">
      <c r="A1433" s="19" t="s">
        <v>18</v>
      </c>
      <c r="B1433" s="2">
        <v>43952</v>
      </c>
      <c r="C1433" s="1">
        <v>8</v>
      </c>
      <c r="D1433" s="39">
        <v>236</v>
      </c>
      <c r="E1433" s="1"/>
      <c r="F1433" s="39">
        <f t="shared" si="60"/>
        <v>6</v>
      </c>
      <c r="G1433" s="395"/>
      <c r="H1433" s="395"/>
      <c r="J1433" s="42"/>
    </row>
    <row r="1434" spans="1:10" s="393" customFormat="1" x14ac:dyDescent="0.25">
      <c r="A1434" s="19" t="s">
        <v>34</v>
      </c>
      <c r="B1434" s="2">
        <v>43952</v>
      </c>
      <c r="C1434" s="1">
        <v>0</v>
      </c>
      <c r="D1434" s="39">
        <v>4</v>
      </c>
      <c r="E1434" s="1"/>
      <c r="F1434" s="39">
        <f t="shared" si="60"/>
        <v>9</v>
      </c>
      <c r="G1434" s="395"/>
      <c r="H1434" s="395"/>
      <c r="J1434" s="42"/>
    </row>
    <row r="1435" spans="1:10" s="393" customFormat="1" x14ac:dyDescent="0.25">
      <c r="A1435" s="19" t="s">
        <v>35</v>
      </c>
      <c r="B1435" s="2">
        <v>43952</v>
      </c>
      <c r="C1435" s="1">
        <v>0</v>
      </c>
      <c r="D1435" s="39">
        <v>2</v>
      </c>
      <c r="E1435" s="1"/>
      <c r="F1435" s="39">
        <f>E1435+F1411</f>
        <v>0</v>
      </c>
      <c r="G1435" s="395"/>
      <c r="H1435" s="395"/>
      <c r="J1435" s="42"/>
    </row>
    <row r="1436" spans="1:10" s="393" customFormat="1" x14ac:dyDescent="0.25">
      <c r="A1436" s="19" t="s">
        <v>36</v>
      </c>
      <c r="B1436" s="2">
        <v>43952</v>
      </c>
      <c r="C1436" s="1">
        <v>0</v>
      </c>
      <c r="D1436" s="39">
        <v>11</v>
      </c>
      <c r="E1436" s="1"/>
      <c r="F1436" s="39">
        <f t="shared" si="60"/>
        <v>0</v>
      </c>
      <c r="G1436" s="395"/>
      <c r="H1436" s="395"/>
      <c r="J1436" s="42"/>
    </row>
    <row r="1437" spans="1:10" s="393" customFormat="1" x14ac:dyDescent="0.25">
      <c r="A1437" s="19" t="s">
        <v>37</v>
      </c>
      <c r="B1437" s="2">
        <v>43952</v>
      </c>
      <c r="C1437" s="1">
        <v>0</v>
      </c>
      <c r="D1437" s="39">
        <v>49</v>
      </c>
      <c r="E1437" s="1"/>
      <c r="F1437" s="39">
        <f t="shared" si="60"/>
        <v>0</v>
      </c>
      <c r="G1437" s="395"/>
      <c r="H1437" s="395"/>
      <c r="J1437" s="42"/>
    </row>
    <row r="1438" spans="1:10" s="393" customFormat="1" x14ac:dyDescent="0.25">
      <c r="A1438" s="19" t="s">
        <v>22</v>
      </c>
      <c r="B1438" s="2">
        <v>43952</v>
      </c>
      <c r="C1438" s="1">
        <v>0</v>
      </c>
      <c r="D1438" s="39">
        <v>243</v>
      </c>
      <c r="E1438" s="1"/>
      <c r="F1438" s="39">
        <f>E1438+F1414</f>
        <v>2</v>
      </c>
      <c r="G1438" s="395"/>
      <c r="H1438" s="395"/>
      <c r="J1438" s="42"/>
    </row>
    <row r="1439" spans="1:10" s="393" customFormat="1" x14ac:dyDescent="0.25">
      <c r="A1439" s="19" t="s">
        <v>38</v>
      </c>
      <c r="B1439" s="2">
        <v>43952</v>
      </c>
      <c r="C1439" s="1">
        <v>0</v>
      </c>
      <c r="D1439" s="39">
        <v>15</v>
      </c>
      <c r="E1439" s="1"/>
      <c r="F1439" s="39">
        <f>E1439+F1415</f>
        <v>0</v>
      </c>
      <c r="G1439" s="395"/>
      <c r="H1439" s="395"/>
      <c r="J1439" s="42"/>
    </row>
    <row r="1440" spans="1:10" s="393" customFormat="1" x14ac:dyDescent="0.25">
      <c r="A1440" s="19" t="s">
        <v>39</v>
      </c>
      <c r="B1440" s="2">
        <v>43952</v>
      </c>
      <c r="C1440" s="1">
        <v>1</v>
      </c>
      <c r="D1440" s="39">
        <v>140</v>
      </c>
      <c r="E1440" s="1"/>
      <c r="F1440" s="39">
        <f t="shared" si="60"/>
        <v>0</v>
      </c>
      <c r="G1440" s="395"/>
      <c r="H1440" s="395"/>
      <c r="J1440" s="42"/>
    </row>
    <row r="1441" spans="1:10" s="393" customFormat="1" x14ac:dyDescent="0.25">
      <c r="A1441" s="19" t="s">
        <v>40</v>
      </c>
      <c r="B1441" s="2">
        <v>43952</v>
      </c>
      <c r="C1441" s="1">
        <v>0</v>
      </c>
      <c r="D1441" s="39">
        <v>38</v>
      </c>
      <c r="E1441" s="1"/>
      <c r="F1441" s="39">
        <f>E1441+F1417</f>
        <v>2</v>
      </c>
      <c r="G1441" s="395"/>
      <c r="H1441" s="395"/>
      <c r="J1441" s="42"/>
    </row>
    <row r="1442" spans="1:10" s="393" customFormat="1" x14ac:dyDescent="0.25">
      <c r="A1442" s="394" t="s">
        <v>16</v>
      </c>
      <c r="B1442" s="2">
        <v>43953</v>
      </c>
      <c r="C1442" s="1">
        <v>45</v>
      </c>
      <c r="D1442" s="39">
        <v>1677</v>
      </c>
      <c r="E1442" s="1">
        <v>2</v>
      </c>
      <c r="F1442" s="39">
        <f>E1442+F1418</f>
        <v>91</v>
      </c>
      <c r="G1442" s="395"/>
      <c r="H1442" s="395"/>
      <c r="J1442" s="42"/>
    </row>
    <row r="1443" spans="1:10" s="393" customFormat="1" x14ac:dyDescent="0.25">
      <c r="A1443" s="19" t="s">
        <v>28</v>
      </c>
      <c r="B1443" s="2">
        <v>43953</v>
      </c>
      <c r="C1443" s="1">
        <v>0</v>
      </c>
      <c r="D1443" s="39">
        <v>0</v>
      </c>
      <c r="E1443" s="1"/>
      <c r="F1443" s="39">
        <f t="shared" ref="F1443:F1448" si="61">E1443+F1419</f>
        <v>0</v>
      </c>
      <c r="G1443" s="395"/>
      <c r="H1443" s="395"/>
      <c r="J1443" s="42"/>
    </row>
    <row r="1444" spans="1:10" s="393" customFormat="1" x14ac:dyDescent="0.25">
      <c r="A1444" s="19" t="s">
        <v>15</v>
      </c>
      <c r="B1444" s="2">
        <v>43953</v>
      </c>
      <c r="C1444" s="1">
        <v>11</v>
      </c>
      <c r="D1444" s="39">
        <v>337</v>
      </c>
      <c r="E1444" s="1">
        <v>3</v>
      </c>
      <c r="F1444" s="39">
        <f t="shared" si="61"/>
        <v>16</v>
      </c>
      <c r="G1444" s="395"/>
      <c r="H1444" s="395"/>
      <c r="J1444" s="42"/>
    </row>
    <row r="1445" spans="1:10" s="393" customFormat="1" x14ac:dyDescent="0.25">
      <c r="A1445" s="19" t="s">
        <v>29</v>
      </c>
      <c r="B1445" s="2">
        <v>43953</v>
      </c>
      <c r="C1445" s="1">
        <v>1</v>
      </c>
      <c r="D1445" s="39">
        <v>4</v>
      </c>
      <c r="E1445" s="1"/>
      <c r="F1445" s="39">
        <f t="shared" si="61"/>
        <v>1</v>
      </c>
      <c r="G1445" s="395"/>
      <c r="H1445" s="395"/>
      <c r="J1445" s="42"/>
    </row>
    <row r="1446" spans="1:10" s="393" customFormat="1" x14ac:dyDescent="0.25">
      <c r="A1446" s="19" t="s">
        <v>43</v>
      </c>
      <c r="B1446" s="2">
        <v>43953</v>
      </c>
      <c r="C1446" s="1">
        <v>58</v>
      </c>
      <c r="D1446" s="39">
        <v>1255</v>
      </c>
      <c r="E1446" s="1">
        <v>6</v>
      </c>
      <c r="F1446" s="39">
        <f t="shared" si="61"/>
        <v>76</v>
      </c>
      <c r="G1446" s="395"/>
      <c r="H1446" s="395"/>
      <c r="J1446" s="42"/>
    </row>
    <row r="1447" spans="1:10" s="393" customFormat="1" x14ac:dyDescent="0.25">
      <c r="A1447" s="19" t="s">
        <v>20</v>
      </c>
      <c r="B1447" s="2">
        <v>43953</v>
      </c>
      <c r="C1447" s="1">
        <v>12</v>
      </c>
      <c r="D1447" s="39">
        <v>303</v>
      </c>
      <c r="E1447" s="1">
        <v>1</v>
      </c>
      <c r="F1447" s="39">
        <f t="shared" si="61"/>
        <v>15</v>
      </c>
      <c r="G1447" s="395"/>
      <c r="H1447" s="395"/>
      <c r="J1447" s="42"/>
    </row>
    <row r="1448" spans="1:10" s="393" customFormat="1" x14ac:dyDescent="0.25">
      <c r="A1448" s="19" t="s">
        <v>30</v>
      </c>
      <c r="B1448" s="2">
        <v>43953</v>
      </c>
      <c r="C1448" s="1">
        <v>0</v>
      </c>
      <c r="D1448" s="39">
        <v>49</v>
      </c>
      <c r="E1448" s="1"/>
      <c r="F1448" s="39">
        <f t="shared" si="61"/>
        <v>0</v>
      </c>
      <c r="G1448" s="395"/>
      <c r="H1448" s="395"/>
      <c r="J1448" s="42"/>
    </row>
    <row r="1449" spans="1:10" x14ac:dyDescent="0.25">
      <c r="A1449" s="19" t="s">
        <v>31</v>
      </c>
      <c r="B1449" s="2">
        <v>43953</v>
      </c>
      <c r="C1449" s="1">
        <v>0</v>
      </c>
      <c r="D1449" s="39">
        <v>25</v>
      </c>
      <c r="F1449" s="39">
        <f>E1449+F1425</f>
        <v>0</v>
      </c>
    </row>
    <row r="1450" spans="1:10" s="393" customFormat="1" x14ac:dyDescent="0.25">
      <c r="A1450" s="19" t="s">
        <v>41</v>
      </c>
      <c r="B1450" s="2">
        <v>43953</v>
      </c>
      <c r="C1450" s="1">
        <v>0</v>
      </c>
      <c r="D1450" s="39">
        <v>0</v>
      </c>
      <c r="E1450" s="1"/>
      <c r="F1450" s="39">
        <f t="shared" ref="F1450:F1464" si="62">E1450+F1425</f>
        <v>0</v>
      </c>
      <c r="G1450" s="395"/>
      <c r="H1450" s="395"/>
      <c r="J1450" s="42"/>
    </row>
    <row r="1451" spans="1:10" s="393" customFormat="1" x14ac:dyDescent="0.25">
      <c r="A1451" s="19" t="s">
        <v>32</v>
      </c>
      <c r="B1451" s="2">
        <v>43953</v>
      </c>
      <c r="C1451" s="1">
        <v>0</v>
      </c>
      <c r="D1451" s="39">
        <v>5</v>
      </c>
      <c r="E1451" s="1"/>
      <c r="F1451" s="39">
        <f t="shared" si="62"/>
        <v>0</v>
      </c>
      <c r="G1451" s="395"/>
      <c r="H1451" s="395"/>
      <c r="J1451" s="42"/>
    </row>
    <row r="1452" spans="1:10" s="393" customFormat="1" x14ac:dyDescent="0.25">
      <c r="A1452" s="19" t="s">
        <v>33</v>
      </c>
      <c r="B1452" s="2">
        <v>43953</v>
      </c>
      <c r="C1452" s="1">
        <v>0</v>
      </c>
      <c r="D1452" s="39">
        <v>5</v>
      </c>
      <c r="E1452" s="1"/>
      <c r="F1452" s="39">
        <f t="shared" si="62"/>
        <v>0</v>
      </c>
      <c r="G1452" s="395"/>
      <c r="H1452" s="395"/>
      <c r="J1452" s="42"/>
    </row>
    <row r="1453" spans="1:10" s="393" customFormat="1" x14ac:dyDescent="0.25">
      <c r="A1453" s="19" t="s">
        <v>21</v>
      </c>
      <c r="B1453" s="2">
        <v>43953</v>
      </c>
      <c r="C1453" s="1">
        <v>0</v>
      </c>
      <c r="D1453" s="39">
        <v>55</v>
      </c>
      <c r="E1453" s="1"/>
      <c r="F1453" s="39">
        <f t="shared" si="62"/>
        <v>0</v>
      </c>
      <c r="G1453" s="395"/>
      <c r="H1453" s="395"/>
      <c r="J1453" s="42"/>
    </row>
    <row r="1454" spans="1:10" s="393" customFormat="1" x14ac:dyDescent="0.25">
      <c r="A1454" s="19" t="s">
        <v>17</v>
      </c>
      <c r="B1454" s="2">
        <v>43953</v>
      </c>
      <c r="C1454" s="1">
        <v>1</v>
      </c>
      <c r="D1454" s="39">
        <v>85</v>
      </c>
      <c r="E1454" s="1"/>
      <c r="F1454" s="39">
        <f t="shared" si="62"/>
        <v>0</v>
      </c>
      <c r="G1454" s="395"/>
      <c r="H1454" s="395"/>
      <c r="J1454" s="42"/>
    </row>
    <row r="1455" spans="1:10" s="393" customFormat="1" x14ac:dyDescent="0.25">
      <c r="A1455" s="19" t="s">
        <v>23</v>
      </c>
      <c r="B1455" s="2">
        <v>43953</v>
      </c>
      <c r="C1455" s="1">
        <v>12</v>
      </c>
      <c r="D1455" s="39">
        <v>24</v>
      </c>
      <c r="E1455" s="1"/>
      <c r="F1455" s="39">
        <f t="shared" si="62"/>
        <v>0</v>
      </c>
      <c r="G1455" s="395"/>
      <c r="H1455" s="395"/>
      <c r="J1455" s="42"/>
    </row>
    <row r="1456" spans="1:10" s="393" customFormat="1" x14ac:dyDescent="0.25">
      <c r="A1456" s="19" t="s">
        <v>19</v>
      </c>
      <c r="B1456" s="2">
        <v>43953</v>
      </c>
      <c r="C1456" s="1">
        <v>0</v>
      </c>
      <c r="D1456" s="39">
        <v>110</v>
      </c>
      <c r="E1456" s="1"/>
      <c r="F1456" s="39">
        <f t="shared" si="62"/>
        <v>0</v>
      </c>
      <c r="G1456" s="395"/>
      <c r="H1456" s="395"/>
      <c r="J1456" s="42"/>
    </row>
    <row r="1457" spans="1:10" s="393" customFormat="1" x14ac:dyDescent="0.25">
      <c r="A1457" s="19" t="s">
        <v>18</v>
      </c>
      <c r="B1457" s="2">
        <v>43953</v>
      </c>
      <c r="C1457" s="1">
        <v>6</v>
      </c>
      <c r="D1457" s="39">
        <v>242</v>
      </c>
      <c r="E1457" s="1"/>
      <c r="F1457" s="39">
        <f t="shared" si="62"/>
        <v>0</v>
      </c>
      <c r="G1457" s="395"/>
      <c r="H1457" s="395"/>
      <c r="J1457" s="42"/>
    </row>
    <row r="1458" spans="1:10" s="393" customFormat="1" x14ac:dyDescent="0.25">
      <c r="A1458" s="19" t="s">
        <v>34</v>
      </c>
      <c r="B1458" s="2">
        <v>43953</v>
      </c>
      <c r="C1458" s="1">
        <v>0</v>
      </c>
      <c r="D1458" s="39">
        <v>4</v>
      </c>
      <c r="E1458" s="1"/>
      <c r="F1458" s="39">
        <f t="shared" si="62"/>
        <v>6</v>
      </c>
      <c r="G1458" s="395"/>
      <c r="H1458" s="395"/>
      <c r="J1458" s="42"/>
    </row>
    <row r="1459" spans="1:10" s="393" customFormat="1" x14ac:dyDescent="0.25">
      <c r="A1459" s="19" t="s">
        <v>35</v>
      </c>
      <c r="B1459" s="2">
        <v>43953</v>
      </c>
      <c r="C1459" s="1">
        <v>0</v>
      </c>
      <c r="D1459" s="39">
        <v>2</v>
      </c>
      <c r="E1459" s="1"/>
      <c r="F1459" s="39">
        <f>E1459+F1435</f>
        <v>0</v>
      </c>
      <c r="G1459" s="395"/>
      <c r="H1459" s="395"/>
      <c r="J1459" s="42"/>
    </row>
    <row r="1460" spans="1:10" s="393" customFormat="1" x14ac:dyDescent="0.25">
      <c r="A1460" s="19" t="s">
        <v>36</v>
      </c>
      <c r="B1460" s="2">
        <v>43953</v>
      </c>
      <c r="C1460" s="1">
        <v>0</v>
      </c>
      <c r="D1460" s="39">
        <v>11</v>
      </c>
      <c r="E1460" s="1"/>
      <c r="F1460" s="39">
        <f t="shared" si="62"/>
        <v>0</v>
      </c>
      <c r="G1460" s="395"/>
      <c r="H1460" s="395"/>
      <c r="J1460" s="42"/>
    </row>
    <row r="1461" spans="1:10" s="393" customFormat="1" x14ac:dyDescent="0.25">
      <c r="A1461" s="19" t="s">
        <v>37</v>
      </c>
      <c r="B1461" s="2">
        <v>43953</v>
      </c>
      <c r="C1461" s="1">
        <v>0</v>
      </c>
      <c r="D1461" s="39">
        <v>49</v>
      </c>
      <c r="E1461" s="1"/>
      <c r="F1461" s="39">
        <f t="shared" si="62"/>
        <v>0</v>
      </c>
      <c r="G1461" s="395"/>
      <c r="H1461" s="395"/>
      <c r="J1461" s="42"/>
    </row>
    <row r="1462" spans="1:10" s="393" customFormat="1" x14ac:dyDescent="0.25">
      <c r="A1462" s="19" t="s">
        <v>22</v>
      </c>
      <c r="B1462" s="2">
        <v>43953</v>
      </c>
      <c r="C1462" s="1">
        <v>0</v>
      </c>
      <c r="D1462" s="39">
        <v>243</v>
      </c>
      <c r="E1462" s="1"/>
      <c r="F1462" s="39">
        <f>E1462+F1438</f>
        <v>2</v>
      </c>
      <c r="G1462" s="395"/>
      <c r="H1462" s="395"/>
      <c r="J1462" s="42"/>
    </row>
    <row r="1463" spans="1:10" s="393" customFormat="1" x14ac:dyDescent="0.25">
      <c r="A1463" s="19" t="s">
        <v>38</v>
      </c>
      <c r="B1463" s="2">
        <v>43953</v>
      </c>
      <c r="C1463" s="1">
        <v>0</v>
      </c>
      <c r="D1463" s="39">
        <v>15</v>
      </c>
      <c r="E1463" s="1"/>
      <c r="F1463" s="39">
        <f>E1463+F1439</f>
        <v>0</v>
      </c>
      <c r="G1463" s="395"/>
      <c r="H1463" s="395"/>
      <c r="J1463" s="42"/>
    </row>
    <row r="1464" spans="1:10" s="393" customFormat="1" x14ac:dyDescent="0.25">
      <c r="A1464" s="19" t="s">
        <v>39</v>
      </c>
      <c r="B1464" s="2">
        <v>43953</v>
      </c>
      <c r="C1464" s="1">
        <v>3</v>
      </c>
      <c r="D1464" s="39">
        <v>143</v>
      </c>
      <c r="E1464" s="1"/>
      <c r="F1464" s="39">
        <f t="shared" si="62"/>
        <v>0</v>
      </c>
      <c r="G1464" s="395"/>
      <c r="H1464" s="395"/>
      <c r="J1464" s="42"/>
    </row>
    <row r="1465" spans="1:10" s="393" customFormat="1" x14ac:dyDescent="0.25">
      <c r="A1465" s="19" t="s">
        <v>40</v>
      </c>
      <c r="B1465" s="2">
        <v>43953</v>
      </c>
      <c r="C1465" s="1">
        <v>0</v>
      </c>
      <c r="D1465" s="39">
        <v>38</v>
      </c>
      <c r="E1465" s="1"/>
      <c r="F1465" s="39">
        <f>E1465+F1441</f>
        <v>2</v>
      </c>
      <c r="G1465" s="395"/>
      <c r="H1465" s="395"/>
      <c r="J1465" s="42"/>
    </row>
    <row r="1466" spans="1:10" s="393" customFormat="1" x14ac:dyDescent="0.25">
      <c r="A1466" s="394" t="s">
        <v>16</v>
      </c>
      <c r="B1466" s="2">
        <v>43954</v>
      </c>
      <c r="C1466" s="1">
        <v>38</v>
      </c>
      <c r="D1466" s="39">
        <v>1715</v>
      </c>
      <c r="E1466" s="1">
        <v>3</v>
      </c>
      <c r="F1466" s="39">
        <f>E1466+F1442</f>
        <v>94</v>
      </c>
      <c r="G1466" s="395"/>
      <c r="H1466" s="395"/>
      <c r="J1466" s="42"/>
    </row>
    <row r="1467" spans="1:10" s="393" customFormat="1" x14ac:dyDescent="0.25">
      <c r="A1467" s="19" t="s">
        <v>28</v>
      </c>
      <c r="B1467" s="2">
        <v>43954</v>
      </c>
      <c r="C1467" s="1">
        <v>0</v>
      </c>
      <c r="D1467" s="39">
        <v>0</v>
      </c>
      <c r="E1467" s="1"/>
      <c r="F1467" s="39">
        <f t="shared" ref="F1467:F1472" si="63">E1467+F1443</f>
        <v>0</v>
      </c>
      <c r="G1467" s="395"/>
      <c r="H1467" s="395"/>
      <c r="J1467" s="42"/>
    </row>
    <row r="1468" spans="1:10" s="393" customFormat="1" x14ac:dyDescent="0.25">
      <c r="A1468" s="19" t="s">
        <v>15</v>
      </c>
      <c r="B1468" s="2">
        <v>43954</v>
      </c>
      <c r="C1468" s="1">
        <v>5</v>
      </c>
      <c r="D1468" s="39">
        <v>342</v>
      </c>
      <c r="E1468" s="1">
        <v>2</v>
      </c>
      <c r="F1468" s="39">
        <f t="shared" si="63"/>
        <v>18</v>
      </c>
      <c r="G1468" s="395"/>
      <c r="H1468" s="395"/>
      <c r="J1468" s="42"/>
    </row>
    <row r="1469" spans="1:10" s="393" customFormat="1" x14ac:dyDescent="0.25">
      <c r="A1469" s="19" t="s">
        <v>29</v>
      </c>
      <c r="B1469" s="2">
        <v>43954</v>
      </c>
      <c r="C1469" s="1">
        <v>0</v>
      </c>
      <c r="D1469" s="39">
        <v>4</v>
      </c>
      <c r="E1469" s="1"/>
      <c r="F1469" s="39">
        <f t="shared" si="63"/>
        <v>1</v>
      </c>
      <c r="G1469" s="395"/>
      <c r="H1469" s="395"/>
      <c r="J1469" s="42"/>
    </row>
    <row r="1470" spans="1:10" s="393" customFormat="1" x14ac:dyDescent="0.25">
      <c r="A1470" s="19" t="s">
        <v>43</v>
      </c>
      <c r="B1470" s="2">
        <v>43954</v>
      </c>
      <c r="C1470" s="1">
        <v>49</v>
      </c>
      <c r="D1470" s="39">
        <v>1304</v>
      </c>
      <c r="E1470" s="1">
        <v>2</v>
      </c>
      <c r="F1470" s="39">
        <f t="shared" si="63"/>
        <v>78</v>
      </c>
      <c r="G1470" s="395"/>
      <c r="H1470" s="395"/>
      <c r="J1470" s="42"/>
    </row>
    <row r="1471" spans="1:10" s="393" customFormat="1" x14ac:dyDescent="0.25">
      <c r="A1471" s="19" t="s">
        <v>20</v>
      </c>
      <c r="B1471" s="2">
        <v>43954</v>
      </c>
      <c r="C1471" s="1">
        <v>1</v>
      </c>
      <c r="D1471" s="39">
        <v>304</v>
      </c>
      <c r="E1471" s="1">
        <v>1</v>
      </c>
      <c r="F1471" s="39">
        <f t="shared" si="63"/>
        <v>16</v>
      </c>
      <c r="G1471" s="395"/>
      <c r="H1471" s="395"/>
      <c r="J1471" s="42"/>
    </row>
    <row r="1472" spans="1:10" s="393" customFormat="1" x14ac:dyDescent="0.25">
      <c r="A1472" s="19" t="s">
        <v>30</v>
      </c>
      <c r="B1472" s="2">
        <v>43954</v>
      </c>
      <c r="C1472" s="1">
        <v>0</v>
      </c>
      <c r="D1472" s="39">
        <v>49</v>
      </c>
      <c r="E1472" s="1"/>
      <c r="F1472" s="39">
        <f t="shared" si="63"/>
        <v>0</v>
      </c>
      <c r="G1472" s="395"/>
      <c r="H1472" s="395"/>
      <c r="J1472" s="42"/>
    </row>
    <row r="1473" spans="1:10" x14ac:dyDescent="0.25">
      <c r="A1473" s="19" t="s">
        <v>31</v>
      </c>
      <c r="B1473" s="2">
        <v>43954</v>
      </c>
      <c r="C1473" s="1">
        <v>2</v>
      </c>
      <c r="D1473" s="39">
        <v>27</v>
      </c>
      <c r="F1473" s="39">
        <f>E1473+F1449</f>
        <v>0</v>
      </c>
    </row>
    <row r="1474" spans="1:10" s="393" customFormat="1" x14ac:dyDescent="0.25">
      <c r="A1474" s="19" t="s">
        <v>41</v>
      </c>
      <c r="B1474" s="2">
        <v>43954</v>
      </c>
      <c r="C1474" s="1">
        <v>0</v>
      </c>
      <c r="D1474" s="39">
        <v>0</v>
      </c>
      <c r="E1474" s="1"/>
      <c r="F1474" s="39">
        <f t="shared" ref="F1474:F1488" si="64">E1474+F1449</f>
        <v>0</v>
      </c>
      <c r="G1474" s="395"/>
      <c r="H1474" s="395"/>
      <c r="J1474" s="42"/>
    </row>
    <row r="1475" spans="1:10" s="393" customFormat="1" x14ac:dyDescent="0.25">
      <c r="A1475" s="19" t="s">
        <v>32</v>
      </c>
      <c r="B1475" s="2">
        <v>43954</v>
      </c>
      <c r="C1475" s="1">
        <v>0</v>
      </c>
      <c r="D1475" s="39">
        <v>5</v>
      </c>
      <c r="E1475" s="1"/>
      <c r="F1475" s="39">
        <f t="shared" si="64"/>
        <v>0</v>
      </c>
      <c r="G1475" s="395"/>
      <c r="H1475" s="395"/>
      <c r="J1475" s="42"/>
    </row>
    <row r="1476" spans="1:10" s="393" customFormat="1" x14ac:dyDescent="0.25">
      <c r="A1476" s="19" t="s">
        <v>33</v>
      </c>
      <c r="B1476" s="2">
        <v>43954</v>
      </c>
      <c r="C1476" s="1">
        <v>0</v>
      </c>
      <c r="D1476" s="39">
        <v>5</v>
      </c>
      <c r="E1476" s="1"/>
      <c r="F1476" s="39">
        <f t="shared" si="64"/>
        <v>0</v>
      </c>
      <c r="G1476" s="395"/>
      <c r="H1476" s="395"/>
      <c r="J1476" s="42"/>
    </row>
    <row r="1477" spans="1:10" s="393" customFormat="1" x14ac:dyDescent="0.25">
      <c r="A1477" s="19" t="s">
        <v>21</v>
      </c>
      <c r="B1477" s="2">
        <v>43954</v>
      </c>
      <c r="C1477" s="1">
        <v>0</v>
      </c>
      <c r="D1477" s="39">
        <v>55</v>
      </c>
      <c r="E1477" s="1"/>
      <c r="F1477" s="39">
        <f t="shared" si="64"/>
        <v>0</v>
      </c>
      <c r="G1477" s="395"/>
      <c r="H1477" s="395"/>
      <c r="J1477" s="42"/>
    </row>
    <row r="1478" spans="1:10" s="393" customFormat="1" x14ac:dyDescent="0.25">
      <c r="A1478" s="19" t="s">
        <v>17</v>
      </c>
      <c r="B1478" s="2">
        <v>43954</v>
      </c>
      <c r="C1478" s="1">
        <v>0</v>
      </c>
      <c r="D1478" s="39">
        <v>85</v>
      </c>
      <c r="E1478" s="1"/>
      <c r="F1478" s="39">
        <f t="shared" si="64"/>
        <v>0</v>
      </c>
      <c r="G1478" s="395"/>
      <c r="H1478" s="395"/>
      <c r="J1478" s="42"/>
    </row>
    <row r="1479" spans="1:10" s="393" customFormat="1" x14ac:dyDescent="0.25">
      <c r="A1479" s="19" t="s">
        <v>23</v>
      </c>
      <c r="B1479" s="2">
        <v>43954</v>
      </c>
      <c r="C1479" s="1">
        <v>0</v>
      </c>
      <c r="D1479" s="39">
        <v>24</v>
      </c>
      <c r="E1479" s="1"/>
      <c r="F1479" s="39">
        <f t="shared" si="64"/>
        <v>0</v>
      </c>
      <c r="G1479" s="395"/>
      <c r="H1479" s="395"/>
      <c r="J1479" s="42"/>
    </row>
    <row r="1480" spans="1:10" s="393" customFormat="1" x14ac:dyDescent="0.25">
      <c r="A1480" s="19" t="s">
        <v>19</v>
      </c>
      <c r="B1480" s="2">
        <v>43954</v>
      </c>
      <c r="C1480" s="1">
        <v>0</v>
      </c>
      <c r="D1480" s="39">
        <v>110</v>
      </c>
      <c r="E1480" s="1"/>
      <c r="F1480" s="39">
        <f t="shared" si="64"/>
        <v>0</v>
      </c>
      <c r="G1480" s="395"/>
      <c r="H1480" s="395"/>
      <c r="J1480" s="42"/>
    </row>
    <row r="1481" spans="1:10" s="393" customFormat="1" x14ac:dyDescent="0.25">
      <c r="A1481" s="19" t="s">
        <v>18</v>
      </c>
      <c r="B1481" s="2">
        <v>43954</v>
      </c>
      <c r="C1481" s="1">
        <v>6</v>
      </c>
      <c r="D1481" s="39">
        <v>248</v>
      </c>
      <c r="E1481" s="1">
        <v>1</v>
      </c>
      <c r="F1481" s="39">
        <f t="shared" si="64"/>
        <v>1</v>
      </c>
      <c r="G1481" s="395"/>
      <c r="H1481" s="395"/>
      <c r="J1481" s="42"/>
    </row>
    <row r="1482" spans="1:10" s="393" customFormat="1" x14ac:dyDescent="0.25">
      <c r="A1482" s="19" t="s">
        <v>34</v>
      </c>
      <c r="B1482" s="2">
        <v>43954</v>
      </c>
      <c r="C1482" s="1">
        <v>0</v>
      </c>
      <c r="D1482" s="39">
        <v>4</v>
      </c>
      <c r="E1482" s="1"/>
      <c r="F1482" s="39">
        <f t="shared" si="64"/>
        <v>0</v>
      </c>
      <c r="G1482" s="395"/>
      <c r="H1482" s="395"/>
      <c r="J1482" s="42"/>
    </row>
    <row r="1483" spans="1:10" s="393" customFormat="1" x14ac:dyDescent="0.25">
      <c r="A1483" s="19" t="s">
        <v>35</v>
      </c>
      <c r="B1483" s="2">
        <v>43954</v>
      </c>
      <c r="C1483" s="1">
        <v>0</v>
      </c>
      <c r="D1483" s="39">
        <v>2</v>
      </c>
      <c r="E1483" s="1"/>
      <c r="F1483" s="39">
        <f>E1483+F1459</f>
        <v>0</v>
      </c>
      <c r="G1483" s="395"/>
      <c r="H1483" s="395"/>
      <c r="J1483" s="42"/>
    </row>
    <row r="1484" spans="1:10" s="393" customFormat="1" x14ac:dyDescent="0.25">
      <c r="A1484" s="19" t="s">
        <v>36</v>
      </c>
      <c r="B1484" s="2">
        <v>43954</v>
      </c>
      <c r="C1484" s="1">
        <v>0</v>
      </c>
      <c r="D1484" s="39">
        <v>11</v>
      </c>
      <c r="E1484" s="1"/>
      <c r="F1484" s="39">
        <f t="shared" si="64"/>
        <v>0</v>
      </c>
      <c r="G1484" s="395"/>
      <c r="H1484" s="395"/>
      <c r="J1484" s="42"/>
    </row>
    <row r="1485" spans="1:10" s="393" customFormat="1" x14ac:dyDescent="0.25">
      <c r="A1485" s="19" t="s">
        <v>37</v>
      </c>
      <c r="B1485" s="2">
        <v>43954</v>
      </c>
      <c r="C1485" s="1">
        <v>0</v>
      </c>
      <c r="D1485" s="39">
        <v>49</v>
      </c>
      <c r="E1485" s="1"/>
      <c r="F1485" s="39">
        <f t="shared" si="64"/>
        <v>0</v>
      </c>
      <c r="G1485" s="395"/>
      <c r="H1485" s="395"/>
      <c r="J1485" s="42"/>
    </row>
    <row r="1486" spans="1:10" s="393" customFormat="1" x14ac:dyDescent="0.25">
      <c r="A1486" s="19" t="s">
        <v>22</v>
      </c>
      <c r="B1486" s="2">
        <v>43954</v>
      </c>
      <c r="C1486" s="1">
        <v>0</v>
      </c>
      <c r="D1486" s="39">
        <v>243</v>
      </c>
      <c r="E1486" s="1"/>
      <c r="F1486" s="39">
        <f>E1486+F1462</f>
        <v>2</v>
      </c>
      <c r="G1486" s="395"/>
      <c r="H1486" s="395"/>
      <c r="J1486" s="42"/>
    </row>
    <row r="1487" spans="1:10" s="393" customFormat="1" x14ac:dyDescent="0.25">
      <c r="A1487" s="19" t="s">
        <v>38</v>
      </c>
      <c r="B1487" s="2">
        <v>43954</v>
      </c>
      <c r="C1487" s="1">
        <v>0</v>
      </c>
      <c r="D1487" s="39">
        <v>15</v>
      </c>
      <c r="E1487" s="1"/>
      <c r="F1487" s="39">
        <f>E1487+F1463</f>
        <v>0</v>
      </c>
      <c r="G1487" s="395"/>
      <c r="H1487" s="395"/>
      <c r="J1487" s="42"/>
    </row>
    <row r="1488" spans="1:10" s="393" customFormat="1" x14ac:dyDescent="0.25">
      <c r="A1488" s="19" t="s">
        <v>39</v>
      </c>
      <c r="B1488" s="2">
        <v>43954</v>
      </c>
      <c r="C1488" s="1">
        <v>2</v>
      </c>
      <c r="D1488" s="39">
        <v>145</v>
      </c>
      <c r="E1488" s="1"/>
      <c r="F1488" s="39">
        <f t="shared" si="64"/>
        <v>0</v>
      </c>
      <c r="G1488" s="395"/>
      <c r="H1488" s="395"/>
      <c r="J1488" s="42"/>
    </row>
    <row r="1489" spans="1:10" s="393" customFormat="1" x14ac:dyDescent="0.25">
      <c r="A1489" s="19" t="s">
        <v>40</v>
      </c>
      <c r="B1489" s="2">
        <v>43954</v>
      </c>
      <c r="C1489" s="1">
        <v>0</v>
      </c>
      <c r="D1489" s="39">
        <v>38</v>
      </c>
      <c r="E1489" s="1"/>
      <c r="F1489" s="39">
        <f>E1489+F1465</f>
        <v>2</v>
      </c>
      <c r="G1489" s="395"/>
      <c r="H1489" s="395"/>
      <c r="J1489" s="42"/>
    </row>
    <row r="1490" spans="1:10" s="393" customFormat="1" x14ac:dyDescent="0.25">
      <c r="A1490" s="394" t="s">
        <v>16</v>
      </c>
      <c r="B1490" s="2">
        <v>43955</v>
      </c>
      <c r="C1490" s="1">
        <v>38</v>
      </c>
      <c r="D1490" s="39">
        <v>1753</v>
      </c>
      <c r="E1490" s="1">
        <v>7</v>
      </c>
      <c r="F1490" s="39">
        <f>E1490+F1466</f>
        <v>101</v>
      </c>
      <c r="G1490" s="395"/>
      <c r="H1490" s="395"/>
      <c r="J1490" s="42"/>
    </row>
    <row r="1491" spans="1:10" s="393" customFormat="1" x14ac:dyDescent="0.25">
      <c r="A1491" s="19" t="s">
        <v>28</v>
      </c>
      <c r="B1491" s="2">
        <v>43955</v>
      </c>
      <c r="C1491" s="1">
        <v>0</v>
      </c>
      <c r="D1491" s="39">
        <v>0</v>
      </c>
      <c r="E1491" s="1"/>
      <c r="F1491" s="39">
        <f t="shared" ref="F1491:F1496" si="65">E1491+F1467</f>
        <v>0</v>
      </c>
      <c r="G1491" s="395"/>
      <c r="H1491" s="395"/>
      <c r="J1491" s="42"/>
    </row>
    <row r="1492" spans="1:10" s="393" customFormat="1" x14ac:dyDescent="0.25">
      <c r="A1492" s="19" t="s">
        <v>15</v>
      </c>
      <c r="B1492" s="2">
        <v>43955</v>
      </c>
      <c r="C1492" s="1">
        <v>5</v>
      </c>
      <c r="D1492" s="39">
        <v>347</v>
      </c>
      <c r="E1492" s="1">
        <v>1</v>
      </c>
      <c r="F1492" s="39">
        <f t="shared" si="65"/>
        <v>19</v>
      </c>
      <c r="G1492" s="395"/>
      <c r="H1492" s="395"/>
      <c r="J1492" s="42"/>
    </row>
    <row r="1493" spans="1:10" s="393" customFormat="1" x14ac:dyDescent="0.25">
      <c r="A1493" s="19" t="s">
        <v>29</v>
      </c>
      <c r="B1493" s="2">
        <v>43955</v>
      </c>
      <c r="C1493" s="1">
        <v>0</v>
      </c>
      <c r="D1493" s="39">
        <v>4</v>
      </c>
      <c r="E1493" s="1"/>
      <c r="F1493" s="39">
        <f t="shared" si="65"/>
        <v>1</v>
      </c>
      <c r="G1493" s="395"/>
      <c r="H1493" s="395"/>
      <c r="J1493" s="42"/>
    </row>
    <row r="1494" spans="1:10" s="393" customFormat="1" x14ac:dyDescent="0.25">
      <c r="A1494" s="19" t="s">
        <v>43</v>
      </c>
      <c r="B1494" s="2">
        <v>43955</v>
      </c>
      <c r="C1494" s="1">
        <v>43</v>
      </c>
      <c r="D1494" s="39">
        <v>1347</v>
      </c>
      <c r="E1494" s="1">
        <v>4</v>
      </c>
      <c r="F1494" s="39">
        <f t="shared" si="65"/>
        <v>82</v>
      </c>
      <c r="G1494" s="395"/>
      <c r="H1494" s="395"/>
      <c r="J1494" s="42"/>
    </row>
    <row r="1495" spans="1:10" s="393" customFormat="1" x14ac:dyDescent="0.25">
      <c r="A1495" s="19" t="s">
        <v>20</v>
      </c>
      <c r="B1495" s="2">
        <v>43955</v>
      </c>
      <c r="C1495" s="1">
        <v>6</v>
      </c>
      <c r="D1495" s="39">
        <v>310</v>
      </c>
      <c r="E1495" s="1">
        <v>2</v>
      </c>
      <c r="F1495" s="39">
        <f t="shared" si="65"/>
        <v>18</v>
      </c>
      <c r="G1495" s="395"/>
      <c r="H1495" s="395"/>
      <c r="J1495" s="42"/>
    </row>
    <row r="1496" spans="1:10" s="393" customFormat="1" x14ac:dyDescent="0.25">
      <c r="A1496" s="19" t="s">
        <v>30</v>
      </c>
      <c r="B1496" s="2">
        <v>43955</v>
      </c>
      <c r="C1496" s="1">
        <v>0</v>
      </c>
      <c r="D1496" s="39">
        <v>49</v>
      </c>
      <c r="E1496" s="1"/>
      <c r="F1496" s="39">
        <f t="shared" si="65"/>
        <v>0</v>
      </c>
      <c r="G1496" s="395"/>
      <c r="H1496" s="395"/>
      <c r="J1496" s="42"/>
    </row>
    <row r="1497" spans="1:10" x14ac:dyDescent="0.25">
      <c r="A1497" s="19" t="s">
        <v>31</v>
      </c>
      <c r="B1497" s="2">
        <v>43955</v>
      </c>
      <c r="C1497" s="1">
        <v>0</v>
      </c>
      <c r="D1497" s="39">
        <v>27</v>
      </c>
      <c r="F1497" s="39">
        <f>E1497+F1473</f>
        <v>0</v>
      </c>
    </row>
    <row r="1498" spans="1:10" s="393" customFormat="1" x14ac:dyDescent="0.25">
      <c r="A1498" s="19" t="s">
        <v>41</v>
      </c>
      <c r="B1498" s="2">
        <v>43955</v>
      </c>
      <c r="C1498" s="1">
        <v>0</v>
      </c>
      <c r="D1498" s="39">
        <v>0</v>
      </c>
      <c r="E1498" s="1"/>
      <c r="F1498" s="39">
        <f t="shared" ref="F1498:F1512" si="66">E1498+F1473</f>
        <v>0</v>
      </c>
      <c r="G1498" s="395"/>
      <c r="H1498" s="395"/>
      <c r="J1498" s="42"/>
    </row>
    <row r="1499" spans="1:10" s="393" customFormat="1" x14ac:dyDescent="0.25">
      <c r="A1499" s="19" t="s">
        <v>32</v>
      </c>
      <c r="B1499" s="2">
        <v>43955</v>
      </c>
      <c r="C1499" s="1">
        <v>0</v>
      </c>
      <c r="D1499" s="39">
        <v>5</v>
      </c>
      <c r="E1499" s="1"/>
      <c r="F1499" s="39">
        <f t="shared" si="66"/>
        <v>0</v>
      </c>
      <c r="G1499" s="395"/>
      <c r="H1499" s="395"/>
      <c r="J1499" s="42"/>
    </row>
    <row r="1500" spans="1:10" s="393" customFormat="1" x14ac:dyDescent="0.25">
      <c r="A1500" s="19" t="s">
        <v>33</v>
      </c>
      <c r="B1500" s="2">
        <v>43955</v>
      </c>
      <c r="C1500" s="1">
        <v>0</v>
      </c>
      <c r="D1500" s="39">
        <v>5</v>
      </c>
      <c r="E1500" s="1"/>
      <c r="F1500" s="39">
        <f t="shared" si="66"/>
        <v>0</v>
      </c>
      <c r="G1500" s="395"/>
      <c r="H1500" s="395"/>
      <c r="J1500" s="42"/>
    </row>
    <row r="1501" spans="1:10" s="393" customFormat="1" x14ac:dyDescent="0.25">
      <c r="A1501" s="19" t="s">
        <v>21</v>
      </c>
      <c r="B1501" s="2">
        <v>43955</v>
      </c>
      <c r="C1501" s="1">
        <v>1</v>
      </c>
      <c r="D1501" s="39">
        <v>56</v>
      </c>
      <c r="E1501" s="1"/>
      <c r="F1501" s="39">
        <f t="shared" si="66"/>
        <v>0</v>
      </c>
      <c r="G1501" s="395"/>
      <c r="H1501" s="395"/>
      <c r="J1501" s="42"/>
    </row>
    <row r="1502" spans="1:10" s="393" customFormat="1" x14ac:dyDescent="0.25">
      <c r="A1502" s="19" t="s">
        <v>17</v>
      </c>
      <c r="B1502" s="2">
        <v>43955</v>
      </c>
      <c r="C1502" s="1">
        <v>-1</v>
      </c>
      <c r="D1502" s="39">
        <v>84</v>
      </c>
      <c r="E1502" s="1"/>
      <c r="F1502" s="39">
        <f t="shared" si="66"/>
        <v>0</v>
      </c>
      <c r="G1502" s="395"/>
      <c r="H1502" s="395"/>
      <c r="J1502" s="42"/>
    </row>
    <row r="1503" spans="1:10" s="393" customFormat="1" x14ac:dyDescent="0.25">
      <c r="A1503" s="19" t="s">
        <v>23</v>
      </c>
      <c r="B1503" s="2">
        <v>43955</v>
      </c>
      <c r="C1503" s="1">
        <v>1</v>
      </c>
      <c r="D1503" s="39">
        <v>25</v>
      </c>
      <c r="E1503" s="1"/>
      <c r="F1503" s="39">
        <f t="shared" si="66"/>
        <v>0</v>
      </c>
      <c r="G1503" s="395"/>
      <c r="H1503" s="395"/>
      <c r="J1503" s="42"/>
    </row>
    <row r="1504" spans="1:10" s="393" customFormat="1" x14ac:dyDescent="0.25">
      <c r="A1504" s="19" t="s">
        <v>19</v>
      </c>
      <c r="B1504" s="2">
        <v>43955</v>
      </c>
      <c r="C1504" s="1">
        <v>0</v>
      </c>
      <c r="D1504" s="39">
        <v>110</v>
      </c>
      <c r="E1504" s="1"/>
      <c r="F1504" s="39">
        <f t="shared" si="66"/>
        <v>0</v>
      </c>
      <c r="G1504" s="395"/>
      <c r="H1504" s="395"/>
      <c r="J1504" s="42"/>
    </row>
    <row r="1505" spans="1:10" s="393" customFormat="1" x14ac:dyDescent="0.25">
      <c r="A1505" s="19" t="s">
        <v>18</v>
      </c>
      <c r="B1505" s="2">
        <v>43955</v>
      </c>
      <c r="C1505" s="1">
        <v>7</v>
      </c>
      <c r="D1505" s="39">
        <v>255</v>
      </c>
      <c r="E1505" s="1"/>
      <c r="F1505" s="39">
        <f t="shared" si="66"/>
        <v>0</v>
      </c>
      <c r="G1505" s="395"/>
      <c r="H1505" s="395"/>
      <c r="J1505" s="42"/>
    </row>
    <row r="1506" spans="1:10" s="393" customFormat="1" x14ac:dyDescent="0.25">
      <c r="A1506" s="19" t="s">
        <v>34</v>
      </c>
      <c r="B1506" s="2">
        <v>43955</v>
      </c>
      <c r="C1506" s="1">
        <v>0</v>
      </c>
      <c r="D1506" s="39">
        <v>4</v>
      </c>
      <c r="E1506" s="1"/>
      <c r="F1506" s="39">
        <f t="shared" si="66"/>
        <v>1</v>
      </c>
      <c r="G1506" s="395"/>
      <c r="H1506" s="395"/>
      <c r="J1506" s="42"/>
    </row>
    <row r="1507" spans="1:10" s="393" customFormat="1" x14ac:dyDescent="0.25">
      <c r="A1507" s="19" t="s">
        <v>35</v>
      </c>
      <c r="B1507" s="2">
        <v>43955</v>
      </c>
      <c r="C1507" s="1">
        <v>0</v>
      </c>
      <c r="D1507" s="39">
        <v>2</v>
      </c>
      <c r="E1507" s="1"/>
      <c r="F1507" s="39">
        <f>E1507+F1483</f>
        <v>0</v>
      </c>
      <c r="G1507" s="395"/>
      <c r="H1507" s="395"/>
      <c r="J1507" s="42"/>
    </row>
    <row r="1508" spans="1:10" s="393" customFormat="1" x14ac:dyDescent="0.25">
      <c r="A1508" s="19" t="s">
        <v>36</v>
      </c>
      <c r="B1508" s="2">
        <v>43955</v>
      </c>
      <c r="C1508" s="1">
        <v>0</v>
      </c>
      <c r="D1508" s="39">
        <v>11</v>
      </c>
      <c r="E1508" s="1"/>
      <c r="F1508" s="39">
        <f t="shared" si="66"/>
        <v>0</v>
      </c>
      <c r="G1508" s="395"/>
      <c r="H1508" s="395"/>
      <c r="J1508" s="42"/>
    </row>
    <row r="1509" spans="1:10" s="393" customFormat="1" x14ac:dyDescent="0.25">
      <c r="A1509" s="19" t="s">
        <v>37</v>
      </c>
      <c r="B1509" s="2">
        <v>43955</v>
      </c>
      <c r="C1509" s="1">
        <v>0</v>
      </c>
      <c r="D1509" s="39">
        <v>49</v>
      </c>
      <c r="E1509" s="1"/>
      <c r="F1509" s="39">
        <f t="shared" si="66"/>
        <v>0</v>
      </c>
      <c r="G1509" s="395"/>
      <c r="H1509" s="395"/>
      <c r="J1509" s="42"/>
    </row>
    <row r="1510" spans="1:10" s="393" customFormat="1" x14ac:dyDescent="0.25">
      <c r="A1510" s="19" t="s">
        <v>22</v>
      </c>
      <c r="B1510" s="2">
        <v>43955</v>
      </c>
      <c r="C1510" s="1">
        <v>0</v>
      </c>
      <c r="D1510" s="39">
        <v>243</v>
      </c>
      <c r="E1510" s="1"/>
      <c r="F1510" s="39">
        <f>E1510+F1486</f>
        <v>2</v>
      </c>
      <c r="G1510" s="395"/>
      <c r="H1510" s="395"/>
      <c r="J1510" s="42"/>
    </row>
    <row r="1511" spans="1:10" s="393" customFormat="1" x14ac:dyDescent="0.25">
      <c r="A1511" s="19" t="s">
        <v>38</v>
      </c>
      <c r="B1511" s="2">
        <v>43955</v>
      </c>
      <c r="C1511" s="1">
        <v>0</v>
      </c>
      <c r="D1511" s="39">
        <v>15</v>
      </c>
      <c r="E1511" s="1"/>
      <c r="F1511" s="39">
        <f>E1511+F1487</f>
        <v>0</v>
      </c>
      <c r="G1511" s="395"/>
      <c r="H1511" s="395"/>
      <c r="J1511" s="42"/>
    </row>
    <row r="1512" spans="1:10" s="393" customFormat="1" x14ac:dyDescent="0.25">
      <c r="A1512" s="19" t="s">
        <v>39</v>
      </c>
      <c r="B1512" s="2">
        <v>43955</v>
      </c>
      <c r="C1512" s="1">
        <v>0</v>
      </c>
      <c r="D1512" s="39">
        <v>145</v>
      </c>
      <c r="E1512" s="1"/>
      <c r="F1512" s="39">
        <f t="shared" si="66"/>
        <v>0</v>
      </c>
      <c r="G1512" s="395"/>
      <c r="H1512" s="395"/>
      <c r="J1512" s="42"/>
    </row>
    <row r="1513" spans="1:10" s="393" customFormat="1" x14ac:dyDescent="0.25">
      <c r="A1513" s="19" t="s">
        <v>40</v>
      </c>
      <c r="B1513" s="2">
        <v>43955</v>
      </c>
      <c r="C1513" s="1">
        <v>3</v>
      </c>
      <c r="D1513" s="39">
        <v>41</v>
      </c>
      <c r="E1513" s="1"/>
      <c r="F1513" s="39">
        <f>E1513+F1489</f>
        <v>2</v>
      </c>
      <c r="G1513" s="395"/>
      <c r="H1513" s="395"/>
      <c r="J1513" s="42"/>
    </row>
    <row r="1514" spans="1:10" s="393" customFormat="1" x14ac:dyDescent="0.25">
      <c r="A1514" s="394" t="s">
        <v>16</v>
      </c>
      <c r="B1514" s="2">
        <v>43956</v>
      </c>
      <c r="C1514" s="1">
        <v>58</v>
      </c>
      <c r="D1514" s="39">
        <v>1811</v>
      </c>
      <c r="E1514" s="1">
        <v>1</v>
      </c>
      <c r="F1514" s="39">
        <f>E1514+F1490</f>
        <v>102</v>
      </c>
      <c r="G1514" s="395"/>
      <c r="H1514" s="395"/>
      <c r="J1514" s="42"/>
    </row>
    <row r="1515" spans="1:10" s="393" customFormat="1" x14ac:dyDescent="0.25">
      <c r="A1515" s="19" t="s">
        <v>28</v>
      </c>
      <c r="B1515" s="2">
        <v>43956</v>
      </c>
      <c r="C1515" s="1">
        <v>0</v>
      </c>
      <c r="D1515" s="39">
        <v>0</v>
      </c>
      <c r="E1515" s="1"/>
      <c r="F1515" s="39">
        <f t="shared" ref="F1515:F1520" si="67">E1515+F1491</f>
        <v>0</v>
      </c>
      <c r="G1515" s="395"/>
      <c r="H1515" s="395"/>
      <c r="J1515" s="42"/>
    </row>
    <row r="1516" spans="1:10" s="393" customFormat="1" x14ac:dyDescent="0.25">
      <c r="A1516" s="19" t="s">
        <v>15</v>
      </c>
      <c r="B1516" s="2">
        <v>43956</v>
      </c>
      <c r="C1516" s="1">
        <v>11</v>
      </c>
      <c r="D1516" s="39">
        <v>358</v>
      </c>
      <c r="E1516" s="1"/>
      <c r="F1516" s="39">
        <f t="shared" si="67"/>
        <v>19</v>
      </c>
      <c r="G1516" s="395"/>
      <c r="H1516" s="395"/>
      <c r="J1516" s="42"/>
    </row>
    <row r="1517" spans="1:10" s="393" customFormat="1" x14ac:dyDescent="0.25">
      <c r="A1517" s="19" t="s">
        <v>29</v>
      </c>
      <c r="B1517" s="2">
        <v>43956</v>
      </c>
      <c r="C1517" s="1">
        <v>0</v>
      </c>
      <c r="D1517" s="39">
        <v>4</v>
      </c>
      <c r="E1517" s="1"/>
      <c r="F1517" s="39">
        <f t="shared" si="67"/>
        <v>1</v>
      </c>
      <c r="G1517" s="395"/>
      <c r="H1517" s="395"/>
      <c r="J1517" s="42"/>
    </row>
    <row r="1518" spans="1:10" s="393" customFormat="1" x14ac:dyDescent="0.25">
      <c r="A1518" s="19" t="s">
        <v>43</v>
      </c>
      <c r="B1518" s="2">
        <v>43956</v>
      </c>
      <c r="C1518" s="1">
        <v>57</v>
      </c>
      <c r="D1518" s="39">
        <v>1404</v>
      </c>
      <c r="E1518" s="1">
        <v>1</v>
      </c>
      <c r="F1518" s="39">
        <f t="shared" si="67"/>
        <v>83</v>
      </c>
      <c r="G1518" s="395"/>
      <c r="H1518" s="395"/>
      <c r="J1518" s="42"/>
    </row>
    <row r="1519" spans="1:10" s="393" customFormat="1" x14ac:dyDescent="0.25">
      <c r="A1519" s="19" t="s">
        <v>20</v>
      </c>
      <c r="B1519" s="2">
        <v>43956</v>
      </c>
      <c r="C1519" s="1">
        <v>1</v>
      </c>
      <c r="D1519" s="39">
        <v>311</v>
      </c>
      <c r="E1519" s="1">
        <v>1</v>
      </c>
      <c r="F1519" s="39">
        <f t="shared" si="67"/>
        <v>19</v>
      </c>
      <c r="G1519" s="395"/>
      <c r="H1519" s="395"/>
      <c r="J1519" s="42"/>
    </row>
    <row r="1520" spans="1:10" s="393" customFormat="1" x14ac:dyDescent="0.25">
      <c r="A1520" s="19" t="s">
        <v>30</v>
      </c>
      <c r="B1520" s="2">
        <v>43956</v>
      </c>
      <c r="C1520" s="1">
        <v>-1</v>
      </c>
      <c r="D1520" s="39">
        <v>48</v>
      </c>
      <c r="E1520" s="1"/>
      <c r="F1520" s="39">
        <f t="shared" si="67"/>
        <v>0</v>
      </c>
      <c r="G1520" s="395"/>
      <c r="H1520" s="395"/>
      <c r="J1520" s="42"/>
    </row>
    <row r="1521" spans="1:10" x14ac:dyDescent="0.25">
      <c r="A1521" s="19" t="s">
        <v>31</v>
      </c>
      <c r="B1521" s="2">
        <v>43956</v>
      </c>
      <c r="C1521" s="1">
        <v>1</v>
      </c>
      <c r="D1521" s="39">
        <v>28</v>
      </c>
      <c r="F1521" s="39">
        <f>E1521+F1497</f>
        <v>0</v>
      </c>
    </row>
    <row r="1522" spans="1:10" s="393" customFormat="1" x14ac:dyDescent="0.25">
      <c r="A1522" s="19" t="s">
        <v>41</v>
      </c>
      <c r="B1522" s="2">
        <v>43956</v>
      </c>
      <c r="C1522" s="1">
        <v>0</v>
      </c>
      <c r="D1522" s="39">
        <v>0</v>
      </c>
      <c r="E1522" s="1"/>
      <c r="F1522" s="39">
        <f t="shared" ref="F1522:F1536" si="68">E1522+F1497</f>
        <v>0</v>
      </c>
      <c r="G1522" s="395"/>
      <c r="H1522" s="395"/>
      <c r="J1522" s="42"/>
    </row>
    <row r="1523" spans="1:10" s="393" customFormat="1" x14ac:dyDescent="0.25">
      <c r="A1523" s="19" t="s">
        <v>32</v>
      </c>
      <c r="B1523" s="2">
        <v>43956</v>
      </c>
      <c r="C1523" s="1">
        <v>0</v>
      </c>
      <c r="D1523" s="39">
        <v>5</v>
      </c>
      <c r="E1523" s="1"/>
      <c r="F1523" s="39">
        <f t="shared" si="68"/>
        <v>0</v>
      </c>
      <c r="G1523" s="395"/>
      <c r="H1523" s="395"/>
      <c r="J1523" s="42"/>
    </row>
    <row r="1524" spans="1:10" s="393" customFormat="1" x14ac:dyDescent="0.25">
      <c r="A1524" s="19" t="s">
        <v>33</v>
      </c>
      <c r="B1524" s="2">
        <v>43956</v>
      </c>
      <c r="C1524" s="1">
        <v>0</v>
      </c>
      <c r="D1524" s="39">
        <v>5</v>
      </c>
      <c r="E1524" s="1"/>
      <c r="F1524" s="39">
        <f t="shared" si="68"/>
        <v>0</v>
      </c>
      <c r="G1524" s="395"/>
      <c r="H1524" s="395"/>
      <c r="J1524" s="42"/>
    </row>
    <row r="1525" spans="1:10" s="393" customFormat="1" x14ac:dyDescent="0.25">
      <c r="A1525" s="19" t="s">
        <v>21</v>
      </c>
      <c r="B1525" s="2">
        <v>43956</v>
      </c>
      <c r="C1525" s="1">
        <v>0</v>
      </c>
      <c r="D1525" s="39">
        <v>56</v>
      </c>
      <c r="E1525" s="1"/>
      <c r="F1525" s="39">
        <f t="shared" si="68"/>
        <v>0</v>
      </c>
      <c r="G1525" s="395"/>
      <c r="H1525" s="395"/>
      <c r="J1525" s="42"/>
    </row>
    <row r="1526" spans="1:10" s="393" customFormat="1" x14ac:dyDescent="0.25">
      <c r="A1526" s="19" t="s">
        <v>17</v>
      </c>
      <c r="B1526" s="2">
        <v>43956</v>
      </c>
      <c r="C1526" s="1">
        <v>1</v>
      </c>
      <c r="D1526" s="39">
        <v>85</v>
      </c>
      <c r="E1526" s="1"/>
      <c r="F1526" s="39">
        <f t="shared" si="68"/>
        <v>0</v>
      </c>
      <c r="G1526" s="395"/>
      <c r="H1526" s="395"/>
      <c r="J1526" s="42"/>
    </row>
    <row r="1527" spans="1:10" s="393" customFormat="1" x14ac:dyDescent="0.25">
      <c r="A1527" s="19" t="s">
        <v>23</v>
      </c>
      <c r="B1527" s="2">
        <v>43956</v>
      </c>
      <c r="C1527" s="1">
        <v>0</v>
      </c>
      <c r="D1527" s="39">
        <v>25</v>
      </c>
      <c r="E1527" s="1"/>
      <c r="F1527" s="39">
        <f t="shared" si="68"/>
        <v>0</v>
      </c>
      <c r="G1527" s="395"/>
      <c r="H1527" s="395"/>
      <c r="J1527" s="42"/>
    </row>
    <row r="1528" spans="1:10" s="393" customFormat="1" x14ac:dyDescent="0.25">
      <c r="A1528" s="19" t="s">
        <v>19</v>
      </c>
      <c r="B1528" s="2">
        <v>43956</v>
      </c>
      <c r="C1528" s="1">
        <v>0</v>
      </c>
      <c r="D1528" s="39">
        <v>110</v>
      </c>
      <c r="E1528" s="1"/>
      <c r="F1528" s="39">
        <f t="shared" si="68"/>
        <v>0</v>
      </c>
      <c r="G1528" s="395"/>
      <c r="H1528" s="395"/>
      <c r="J1528" s="42"/>
    </row>
    <row r="1529" spans="1:10" s="393" customFormat="1" x14ac:dyDescent="0.25">
      <c r="A1529" s="19" t="s">
        <v>18</v>
      </c>
      <c r="B1529" s="2">
        <v>43956</v>
      </c>
      <c r="C1529" s="1">
        <v>4</v>
      </c>
      <c r="D1529" s="39">
        <v>259</v>
      </c>
      <c r="E1529" s="1"/>
      <c r="F1529" s="39">
        <f t="shared" si="68"/>
        <v>0</v>
      </c>
      <c r="G1529" s="395"/>
      <c r="H1529" s="395"/>
      <c r="J1529" s="42"/>
    </row>
    <row r="1530" spans="1:10" s="393" customFormat="1" x14ac:dyDescent="0.25">
      <c r="A1530" s="19" t="s">
        <v>34</v>
      </c>
      <c r="B1530" s="2">
        <v>43956</v>
      </c>
      <c r="C1530" s="1">
        <v>0</v>
      </c>
      <c r="D1530" s="39">
        <v>4</v>
      </c>
      <c r="E1530" s="1"/>
      <c r="F1530" s="39">
        <f t="shared" si="68"/>
        <v>0</v>
      </c>
      <c r="G1530" s="395"/>
      <c r="H1530" s="395"/>
      <c r="J1530" s="42"/>
    </row>
    <row r="1531" spans="1:10" s="393" customFormat="1" x14ac:dyDescent="0.25">
      <c r="A1531" s="19" t="s">
        <v>35</v>
      </c>
      <c r="B1531" s="2">
        <v>43956</v>
      </c>
      <c r="C1531" s="1">
        <v>0</v>
      </c>
      <c r="D1531" s="39">
        <v>2</v>
      </c>
      <c r="E1531" s="1"/>
      <c r="F1531" s="39">
        <f>E1531+F1507</f>
        <v>0</v>
      </c>
      <c r="G1531" s="395"/>
      <c r="H1531" s="395"/>
      <c r="J1531" s="42"/>
    </row>
    <row r="1532" spans="1:10" s="393" customFormat="1" x14ac:dyDescent="0.25">
      <c r="A1532" s="19" t="s">
        <v>36</v>
      </c>
      <c r="B1532" s="2">
        <v>43956</v>
      </c>
      <c r="C1532" s="1">
        <v>0</v>
      </c>
      <c r="D1532" s="39">
        <v>11</v>
      </c>
      <c r="E1532" s="1"/>
      <c r="F1532" s="39">
        <f t="shared" si="68"/>
        <v>0</v>
      </c>
      <c r="G1532" s="395"/>
      <c r="H1532" s="395"/>
      <c r="J1532" s="42"/>
    </row>
    <row r="1533" spans="1:10" s="393" customFormat="1" x14ac:dyDescent="0.25">
      <c r="A1533" s="19" t="s">
        <v>37</v>
      </c>
      <c r="B1533" s="2">
        <v>43956</v>
      </c>
      <c r="C1533" s="1">
        <v>0</v>
      </c>
      <c r="D1533" s="39">
        <v>49</v>
      </c>
      <c r="E1533" s="1"/>
      <c r="F1533" s="39">
        <f t="shared" si="68"/>
        <v>0</v>
      </c>
      <c r="G1533" s="395"/>
      <c r="H1533" s="395"/>
      <c r="J1533" s="42"/>
    </row>
    <row r="1534" spans="1:10" s="393" customFormat="1" x14ac:dyDescent="0.25">
      <c r="A1534" s="19" t="s">
        <v>22</v>
      </c>
      <c r="B1534" s="2">
        <v>43956</v>
      </c>
      <c r="C1534" s="1">
        <v>1</v>
      </c>
      <c r="D1534" s="39">
        <v>244</v>
      </c>
      <c r="E1534" s="1"/>
      <c r="F1534" s="39">
        <f>E1534+F1510</f>
        <v>2</v>
      </c>
      <c r="G1534" s="395"/>
      <c r="H1534" s="395"/>
      <c r="J1534" s="42"/>
    </row>
    <row r="1535" spans="1:10" s="393" customFormat="1" x14ac:dyDescent="0.25">
      <c r="A1535" s="19" t="s">
        <v>38</v>
      </c>
      <c r="B1535" s="2">
        <v>43956</v>
      </c>
      <c r="C1535" s="1">
        <v>0</v>
      </c>
      <c r="D1535" s="39">
        <v>15</v>
      </c>
      <c r="E1535" s="1"/>
      <c r="F1535" s="39">
        <f>E1535+F1511</f>
        <v>0</v>
      </c>
      <c r="G1535" s="395"/>
      <c r="H1535" s="395"/>
      <c r="J1535" s="42"/>
    </row>
    <row r="1536" spans="1:10" s="393" customFormat="1" x14ac:dyDescent="0.25">
      <c r="A1536" s="19" t="s">
        <v>39</v>
      </c>
      <c r="B1536" s="2">
        <v>43956</v>
      </c>
      <c r="C1536" s="1">
        <v>0</v>
      </c>
      <c r="D1536" s="39">
        <v>145</v>
      </c>
      <c r="E1536" s="1"/>
      <c r="F1536" s="39">
        <f t="shared" si="68"/>
        <v>0</v>
      </c>
      <c r="G1536" s="395"/>
      <c r="H1536" s="395"/>
      <c r="J1536" s="42"/>
    </row>
    <row r="1537" spans="1:10" s="393" customFormat="1" x14ac:dyDescent="0.25">
      <c r="A1537" s="19" t="s">
        <v>40</v>
      </c>
      <c r="B1537" s="2">
        <v>43956</v>
      </c>
      <c r="C1537" s="1">
        <v>0</v>
      </c>
      <c r="D1537" s="39">
        <v>41</v>
      </c>
      <c r="E1537" s="1"/>
      <c r="F1537" s="39">
        <f>E1537+F1513</f>
        <v>2</v>
      </c>
      <c r="G1537" s="395"/>
      <c r="H1537" s="395"/>
      <c r="J1537" s="42"/>
    </row>
    <row r="1538" spans="1:10" s="393" customFormat="1" x14ac:dyDescent="0.25">
      <c r="A1538" s="394" t="s">
        <v>16</v>
      </c>
      <c r="B1538" s="2">
        <v>43957</v>
      </c>
      <c r="C1538" s="1">
        <v>63</v>
      </c>
      <c r="D1538" s="39">
        <v>1874</v>
      </c>
      <c r="E1538" s="1">
        <v>5</v>
      </c>
      <c r="F1538" s="39">
        <f>E1538+F1514</f>
        <v>107</v>
      </c>
      <c r="G1538" s="395"/>
      <c r="H1538" s="395"/>
      <c r="J1538" s="42"/>
    </row>
    <row r="1539" spans="1:10" s="393" customFormat="1" x14ac:dyDescent="0.25">
      <c r="A1539" s="19" t="s">
        <v>28</v>
      </c>
      <c r="B1539" s="2">
        <v>43957</v>
      </c>
      <c r="C1539" s="1">
        <v>0</v>
      </c>
      <c r="D1539" s="39">
        <v>0</v>
      </c>
      <c r="E1539" s="1"/>
      <c r="F1539" s="39">
        <f t="shared" ref="F1539:F1544" si="69">E1539+F1515</f>
        <v>0</v>
      </c>
      <c r="G1539" s="395"/>
      <c r="H1539" s="395"/>
      <c r="J1539" s="42"/>
    </row>
    <row r="1540" spans="1:10" s="393" customFormat="1" x14ac:dyDescent="0.25">
      <c r="A1540" s="19" t="s">
        <v>15</v>
      </c>
      <c r="B1540" s="2">
        <v>43957</v>
      </c>
      <c r="C1540" s="1">
        <v>8</v>
      </c>
      <c r="D1540" s="39">
        <v>366</v>
      </c>
      <c r="E1540" s="1"/>
      <c r="F1540" s="39">
        <f t="shared" si="69"/>
        <v>19</v>
      </c>
      <c r="G1540" s="395"/>
      <c r="H1540" s="395"/>
      <c r="J1540" s="42"/>
    </row>
    <row r="1541" spans="1:10" s="393" customFormat="1" x14ac:dyDescent="0.25">
      <c r="A1541" s="19" t="s">
        <v>29</v>
      </c>
      <c r="B1541" s="2">
        <v>43957</v>
      </c>
      <c r="C1541" s="1">
        <v>0</v>
      </c>
      <c r="D1541" s="39">
        <v>4</v>
      </c>
      <c r="E1541" s="1"/>
      <c r="F1541" s="39">
        <f t="shared" si="69"/>
        <v>1</v>
      </c>
      <c r="G1541" s="395"/>
      <c r="H1541" s="395"/>
      <c r="J1541" s="42"/>
    </row>
    <row r="1542" spans="1:10" s="393" customFormat="1" x14ac:dyDescent="0.25">
      <c r="A1542" s="19" t="s">
        <v>43</v>
      </c>
      <c r="B1542" s="2">
        <v>43957</v>
      </c>
      <c r="C1542" s="1">
        <v>102</v>
      </c>
      <c r="D1542" s="39">
        <v>1506</v>
      </c>
      <c r="E1542" s="1">
        <v>2</v>
      </c>
      <c r="F1542" s="39">
        <f t="shared" si="69"/>
        <v>85</v>
      </c>
      <c r="G1542" s="395"/>
      <c r="H1542" s="395"/>
      <c r="J1542" s="42"/>
    </row>
    <row r="1543" spans="1:10" s="393" customFormat="1" x14ac:dyDescent="0.25">
      <c r="A1543" s="19" t="s">
        <v>20</v>
      </c>
      <c r="B1543" s="2">
        <v>43957</v>
      </c>
      <c r="C1543" s="1">
        <v>5</v>
      </c>
      <c r="D1543" s="39">
        <v>316</v>
      </c>
      <c r="E1543" s="1"/>
      <c r="F1543" s="39">
        <f t="shared" si="69"/>
        <v>19</v>
      </c>
      <c r="G1543" s="395"/>
      <c r="H1543" s="395"/>
      <c r="J1543" s="42"/>
    </row>
    <row r="1544" spans="1:10" s="393" customFormat="1" x14ac:dyDescent="0.25">
      <c r="A1544" s="19" t="s">
        <v>30</v>
      </c>
      <c r="B1544" s="2">
        <v>43957</v>
      </c>
      <c r="C1544" s="1">
        <v>3</v>
      </c>
      <c r="D1544" s="39">
        <v>51</v>
      </c>
      <c r="E1544" s="1"/>
      <c r="F1544" s="39">
        <f t="shared" si="69"/>
        <v>0</v>
      </c>
      <c r="G1544" s="395"/>
      <c r="H1544" s="395"/>
      <c r="J1544" s="42"/>
    </row>
    <row r="1545" spans="1:10" x14ac:dyDescent="0.25">
      <c r="A1545" s="19" t="s">
        <v>31</v>
      </c>
      <c r="B1545" s="2">
        <v>43957</v>
      </c>
      <c r="C1545" s="1">
        <v>0</v>
      </c>
      <c r="D1545" s="39">
        <v>28</v>
      </c>
      <c r="F1545" s="39">
        <f>E1545+F1521</f>
        <v>0</v>
      </c>
    </row>
    <row r="1546" spans="1:10" s="393" customFormat="1" x14ac:dyDescent="0.25">
      <c r="A1546" s="19" t="s">
        <v>41</v>
      </c>
      <c r="B1546" s="2">
        <v>43957</v>
      </c>
      <c r="C1546" s="1">
        <v>0</v>
      </c>
      <c r="D1546" s="39">
        <v>0</v>
      </c>
      <c r="E1546" s="1"/>
      <c r="F1546" s="39">
        <f t="shared" ref="F1546:F1560" si="70">E1546+F1521</f>
        <v>0</v>
      </c>
      <c r="G1546" s="395"/>
      <c r="H1546" s="395"/>
      <c r="J1546" s="42"/>
    </row>
    <row r="1547" spans="1:10" s="393" customFormat="1" x14ac:dyDescent="0.25">
      <c r="A1547" s="19" t="s">
        <v>32</v>
      </c>
      <c r="B1547" s="2">
        <v>43957</v>
      </c>
      <c r="C1547" s="1">
        <v>0</v>
      </c>
      <c r="D1547" s="39">
        <v>5</v>
      </c>
      <c r="E1547" s="1"/>
      <c r="F1547" s="39">
        <f t="shared" si="70"/>
        <v>0</v>
      </c>
      <c r="G1547" s="395"/>
      <c r="H1547" s="395"/>
      <c r="J1547" s="42"/>
    </row>
    <row r="1548" spans="1:10" s="393" customFormat="1" x14ac:dyDescent="0.25">
      <c r="A1548" s="19" t="s">
        <v>33</v>
      </c>
      <c r="B1548" s="2">
        <v>43957</v>
      </c>
      <c r="C1548" s="1">
        <v>0</v>
      </c>
      <c r="D1548" s="39">
        <v>5</v>
      </c>
      <c r="E1548" s="1"/>
      <c r="F1548" s="39">
        <f t="shared" si="70"/>
        <v>0</v>
      </c>
      <c r="G1548" s="395"/>
      <c r="H1548" s="395"/>
      <c r="J1548" s="42"/>
    </row>
    <row r="1549" spans="1:10" s="393" customFormat="1" x14ac:dyDescent="0.25">
      <c r="A1549" s="19" t="s">
        <v>21</v>
      </c>
      <c r="B1549" s="2">
        <v>43957</v>
      </c>
      <c r="C1549" s="1">
        <v>1</v>
      </c>
      <c r="D1549" s="39">
        <v>57</v>
      </c>
      <c r="E1549" s="1"/>
      <c r="F1549" s="39">
        <f t="shared" si="70"/>
        <v>0</v>
      </c>
      <c r="G1549" s="395"/>
      <c r="H1549" s="395"/>
      <c r="J1549" s="42"/>
    </row>
    <row r="1550" spans="1:10" s="393" customFormat="1" x14ac:dyDescent="0.25">
      <c r="A1550" s="19" t="s">
        <v>17</v>
      </c>
      <c r="B1550" s="2">
        <v>43957</v>
      </c>
      <c r="C1550" s="1">
        <v>0</v>
      </c>
      <c r="D1550" s="39">
        <v>85</v>
      </c>
      <c r="E1550" s="1"/>
      <c r="F1550" s="39">
        <f t="shared" si="70"/>
        <v>0</v>
      </c>
      <c r="G1550" s="395"/>
      <c r="H1550" s="395"/>
      <c r="J1550" s="42"/>
    </row>
    <row r="1551" spans="1:10" s="393" customFormat="1" x14ac:dyDescent="0.25">
      <c r="A1551" s="19" t="s">
        <v>23</v>
      </c>
      <c r="B1551" s="2">
        <v>43957</v>
      </c>
      <c r="C1551" s="1">
        <v>0</v>
      </c>
      <c r="D1551" s="39">
        <v>25</v>
      </c>
      <c r="E1551" s="1"/>
      <c r="F1551" s="39">
        <f t="shared" si="70"/>
        <v>0</v>
      </c>
      <c r="G1551" s="395"/>
      <c r="H1551" s="395"/>
      <c r="J1551" s="42"/>
    </row>
    <row r="1552" spans="1:10" s="393" customFormat="1" x14ac:dyDescent="0.25">
      <c r="A1552" s="19" t="s">
        <v>19</v>
      </c>
      <c r="B1552" s="2">
        <v>43957</v>
      </c>
      <c r="C1552" s="1">
        <v>0</v>
      </c>
      <c r="D1552" s="39">
        <v>110</v>
      </c>
      <c r="E1552" s="1"/>
      <c r="F1552" s="39">
        <f t="shared" si="70"/>
        <v>0</v>
      </c>
      <c r="G1552" s="395"/>
      <c r="H1552" s="395"/>
      <c r="J1552" s="42"/>
    </row>
    <row r="1553" spans="1:10" s="393" customFormat="1" x14ac:dyDescent="0.25">
      <c r="A1553" s="19" t="s">
        <v>18</v>
      </c>
      <c r="B1553" s="2">
        <v>43957</v>
      </c>
      <c r="C1553" s="1">
        <v>6</v>
      </c>
      <c r="D1553" s="39">
        <v>265</v>
      </c>
      <c r="E1553" s="1">
        <v>1</v>
      </c>
      <c r="F1553" s="39">
        <f t="shared" si="70"/>
        <v>1</v>
      </c>
      <c r="G1553" s="395"/>
      <c r="H1553" s="395"/>
      <c r="J1553" s="42"/>
    </row>
    <row r="1554" spans="1:10" s="393" customFormat="1" x14ac:dyDescent="0.25">
      <c r="A1554" s="19" t="s">
        <v>34</v>
      </c>
      <c r="B1554" s="2">
        <v>43957</v>
      </c>
      <c r="C1554" s="1">
        <v>0</v>
      </c>
      <c r="D1554" s="39">
        <v>4</v>
      </c>
      <c r="E1554" s="1"/>
      <c r="F1554" s="39">
        <f t="shared" si="70"/>
        <v>0</v>
      </c>
      <c r="G1554" s="395"/>
      <c r="H1554" s="395"/>
      <c r="J1554" s="42"/>
    </row>
    <row r="1555" spans="1:10" s="393" customFormat="1" x14ac:dyDescent="0.25">
      <c r="A1555" s="19" t="s">
        <v>35</v>
      </c>
      <c r="B1555" s="2">
        <v>43957</v>
      </c>
      <c r="C1555" s="1">
        <v>0</v>
      </c>
      <c r="D1555" s="39">
        <v>2</v>
      </c>
      <c r="E1555" s="1"/>
      <c r="F1555" s="39">
        <f>E1555+F1531</f>
        <v>0</v>
      </c>
      <c r="G1555" s="395"/>
      <c r="H1555" s="395"/>
      <c r="J1555" s="42"/>
    </row>
    <row r="1556" spans="1:10" s="393" customFormat="1" x14ac:dyDescent="0.25">
      <c r="A1556" s="19" t="s">
        <v>36</v>
      </c>
      <c r="B1556" s="2">
        <v>43957</v>
      </c>
      <c r="C1556" s="1">
        <v>0</v>
      </c>
      <c r="D1556" s="39">
        <v>11</v>
      </c>
      <c r="E1556" s="1"/>
      <c r="F1556" s="39">
        <f t="shared" si="70"/>
        <v>0</v>
      </c>
      <c r="G1556" s="395"/>
      <c r="H1556" s="395"/>
      <c r="J1556" s="42"/>
    </row>
    <row r="1557" spans="1:10" s="393" customFormat="1" x14ac:dyDescent="0.25">
      <c r="A1557" s="19" t="s">
        <v>37</v>
      </c>
      <c r="B1557" s="2">
        <v>43957</v>
      </c>
      <c r="C1557" s="1">
        <v>0</v>
      </c>
      <c r="D1557" s="39">
        <v>49</v>
      </c>
      <c r="E1557" s="1"/>
      <c r="F1557" s="39">
        <f t="shared" si="70"/>
        <v>0</v>
      </c>
      <c r="G1557" s="395"/>
      <c r="H1557" s="395"/>
      <c r="J1557" s="42"/>
    </row>
    <row r="1558" spans="1:10" s="393" customFormat="1" x14ac:dyDescent="0.25">
      <c r="A1558" s="19" t="s">
        <v>22</v>
      </c>
      <c r="B1558" s="2">
        <v>43957</v>
      </c>
      <c r="C1558" s="1">
        <v>0</v>
      </c>
      <c r="D1558" s="39">
        <v>244</v>
      </c>
      <c r="E1558" s="1"/>
      <c r="F1558" s="39">
        <f>E1558+F1534</f>
        <v>2</v>
      </c>
      <c r="G1558" s="395"/>
      <c r="H1558" s="395"/>
      <c r="J1558" s="42"/>
    </row>
    <row r="1559" spans="1:10" s="393" customFormat="1" x14ac:dyDescent="0.25">
      <c r="A1559" s="19" t="s">
        <v>38</v>
      </c>
      <c r="B1559" s="2">
        <v>43957</v>
      </c>
      <c r="C1559" s="1">
        <v>0</v>
      </c>
      <c r="D1559" s="39">
        <v>15</v>
      </c>
      <c r="E1559" s="1"/>
      <c r="F1559" s="39">
        <f>E1559+F1535</f>
        <v>0</v>
      </c>
      <c r="G1559" s="395"/>
      <c r="H1559" s="395"/>
      <c r="J1559" s="42"/>
    </row>
    <row r="1560" spans="1:10" s="393" customFormat="1" x14ac:dyDescent="0.25">
      <c r="A1560" s="19" t="s">
        <v>39</v>
      </c>
      <c r="B1560" s="2">
        <v>43957</v>
      </c>
      <c r="C1560" s="1">
        <v>0</v>
      </c>
      <c r="D1560" s="39">
        <v>145</v>
      </c>
      <c r="E1560" s="1"/>
      <c r="F1560" s="39">
        <f t="shared" si="70"/>
        <v>0</v>
      </c>
      <c r="G1560" s="395"/>
      <c r="H1560" s="395"/>
      <c r="J1560" s="42"/>
    </row>
    <row r="1561" spans="1:10" s="393" customFormat="1" x14ac:dyDescent="0.25">
      <c r="A1561" s="19" t="s">
        <v>40</v>
      </c>
      <c r="B1561" s="2">
        <v>43957</v>
      </c>
      <c r="C1561" s="1">
        <v>0</v>
      </c>
      <c r="D1561" s="39">
        <v>41</v>
      </c>
      <c r="E1561" s="1">
        <v>1</v>
      </c>
      <c r="F1561" s="39">
        <f>E1561+F1537</f>
        <v>3</v>
      </c>
      <c r="G1561" s="395"/>
      <c r="H1561" s="395"/>
      <c r="J1561" s="42"/>
    </row>
    <row r="1562" spans="1:10" s="393" customFormat="1" x14ac:dyDescent="0.25">
      <c r="A1562" s="394" t="s">
        <v>16</v>
      </c>
      <c r="B1562" s="2">
        <v>43958</v>
      </c>
      <c r="C1562" s="1">
        <v>50</v>
      </c>
      <c r="D1562" s="39">
        <v>1924</v>
      </c>
      <c r="E1562" s="1">
        <v>6</v>
      </c>
      <c r="F1562" s="39">
        <f>E1562+F1538</f>
        <v>113</v>
      </c>
      <c r="G1562" s="395"/>
      <c r="H1562" s="395"/>
      <c r="J1562" s="42"/>
    </row>
    <row r="1563" spans="1:10" s="393" customFormat="1" x14ac:dyDescent="0.25">
      <c r="A1563" s="19" t="s">
        <v>28</v>
      </c>
      <c r="B1563" s="2">
        <v>43958</v>
      </c>
      <c r="C1563" s="1">
        <v>0</v>
      </c>
      <c r="D1563" s="39">
        <v>0</v>
      </c>
      <c r="E1563" s="1"/>
      <c r="F1563" s="39">
        <f t="shared" ref="F1563:F1569" si="71">E1563+F1539</f>
        <v>0</v>
      </c>
      <c r="G1563" s="395"/>
      <c r="H1563" s="395"/>
      <c r="J1563" s="42"/>
    </row>
    <row r="1564" spans="1:10" s="393" customFormat="1" x14ac:dyDescent="0.25">
      <c r="A1564" s="19" t="s">
        <v>15</v>
      </c>
      <c r="B1564" s="2">
        <v>43958</v>
      </c>
      <c r="C1564" s="1">
        <v>26</v>
      </c>
      <c r="D1564" s="39">
        <v>392</v>
      </c>
      <c r="E1564" s="1"/>
      <c r="F1564" s="39">
        <f t="shared" si="71"/>
        <v>19</v>
      </c>
      <c r="G1564" s="395"/>
      <c r="H1564" s="395"/>
      <c r="J1564" s="42"/>
    </row>
    <row r="1565" spans="1:10" s="393" customFormat="1" x14ac:dyDescent="0.25">
      <c r="A1565" s="19" t="s">
        <v>29</v>
      </c>
      <c r="B1565" s="2">
        <v>43958</v>
      </c>
      <c r="C1565" s="1">
        <v>0</v>
      </c>
      <c r="D1565" s="39">
        <v>4</v>
      </c>
      <c r="E1565" s="1"/>
      <c r="F1565" s="39">
        <f t="shared" si="71"/>
        <v>1</v>
      </c>
      <c r="G1565" s="395"/>
      <c r="H1565" s="395"/>
      <c r="J1565" s="42"/>
    </row>
    <row r="1566" spans="1:10" s="393" customFormat="1" x14ac:dyDescent="0.25">
      <c r="A1566" s="19" t="s">
        <v>43</v>
      </c>
      <c r="B1566" s="2">
        <v>43958</v>
      </c>
      <c r="C1566" s="1">
        <v>77</v>
      </c>
      <c r="D1566" s="39">
        <v>1583</v>
      </c>
      <c r="E1566" s="1">
        <v>2</v>
      </c>
      <c r="F1566" s="39">
        <f t="shared" si="71"/>
        <v>87</v>
      </c>
      <c r="G1566" s="395"/>
      <c r="H1566" s="395"/>
      <c r="J1566" s="42"/>
    </row>
    <row r="1567" spans="1:10" s="393" customFormat="1" x14ac:dyDescent="0.25">
      <c r="A1567" s="19" t="s">
        <v>20</v>
      </c>
      <c r="B1567" s="2">
        <v>43958</v>
      </c>
      <c r="C1567" s="1">
        <v>4</v>
      </c>
      <c r="D1567" s="39">
        <v>320</v>
      </c>
      <c r="E1567" s="1"/>
      <c r="F1567" s="39">
        <f t="shared" si="71"/>
        <v>19</v>
      </c>
      <c r="G1567" s="395"/>
      <c r="H1567" s="395"/>
      <c r="J1567" s="42"/>
    </row>
    <row r="1568" spans="1:10" s="393" customFormat="1" x14ac:dyDescent="0.25">
      <c r="A1568" s="19" t="s">
        <v>30</v>
      </c>
      <c r="B1568" s="2">
        <v>43958</v>
      </c>
      <c r="C1568" s="1">
        <v>1</v>
      </c>
      <c r="D1568" s="39">
        <v>52</v>
      </c>
      <c r="E1568" s="1"/>
      <c r="F1568" s="39">
        <f t="shared" si="71"/>
        <v>0</v>
      </c>
      <c r="G1568" s="395"/>
      <c r="H1568" s="395"/>
      <c r="J1568" s="42"/>
    </row>
    <row r="1569" spans="1:10" x14ac:dyDescent="0.25">
      <c r="A1569" s="19" t="s">
        <v>31</v>
      </c>
      <c r="B1569" s="2">
        <v>43958</v>
      </c>
      <c r="C1569" s="1">
        <v>0</v>
      </c>
      <c r="D1569" s="39">
        <v>28</v>
      </c>
      <c r="F1569" s="39">
        <f t="shared" si="71"/>
        <v>0</v>
      </c>
    </row>
    <row r="1570" spans="1:10" s="393" customFormat="1" x14ac:dyDescent="0.25">
      <c r="A1570" s="19" t="s">
        <v>41</v>
      </c>
      <c r="B1570" s="2">
        <v>43958</v>
      </c>
      <c r="C1570" s="1">
        <v>0</v>
      </c>
      <c r="D1570" s="39">
        <v>0</v>
      </c>
      <c r="E1570" s="1"/>
      <c r="F1570" s="39">
        <f t="shared" ref="F1570:F1584" si="72">E1570+F1545</f>
        <v>0</v>
      </c>
      <c r="G1570" s="395"/>
      <c r="H1570" s="395"/>
      <c r="J1570" s="42"/>
    </row>
    <row r="1571" spans="1:10" s="393" customFormat="1" x14ac:dyDescent="0.25">
      <c r="A1571" s="19" t="s">
        <v>32</v>
      </c>
      <c r="B1571" s="2">
        <v>43958</v>
      </c>
      <c r="C1571" s="1">
        <v>0</v>
      </c>
      <c r="D1571" s="39">
        <v>5</v>
      </c>
      <c r="E1571" s="1"/>
      <c r="F1571" s="39">
        <f t="shared" si="72"/>
        <v>0</v>
      </c>
      <c r="G1571" s="395"/>
      <c r="H1571" s="395"/>
      <c r="J1571" s="42"/>
    </row>
    <row r="1572" spans="1:10" s="393" customFormat="1" x14ac:dyDescent="0.25">
      <c r="A1572" s="19" t="s">
        <v>33</v>
      </c>
      <c r="B1572" s="2">
        <v>43958</v>
      </c>
      <c r="C1572" s="1">
        <v>0</v>
      </c>
      <c r="D1572" s="39">
        <v>5</v>
      </c>
      <c r="E1572" s="1"/>
      <c r="F1572" s="39">
        <f t="shared" si="72"/>
        <v>0</v>
      </c>
      <c r="G1572" s="395"/>
      <c r="H1572" s="395"/>
      <c r="J1572" s="42"/>
    </row>
    <row r="1573" spans="1:10" s="393" customFormat="1" x14ac:dyDescent="0.25">
      <c r="A1573" s="19" t="s">
        <v>21</v>
      </c>
      <c r="B1573" s="2">
        <v>43958</v>
      </c>
      <c r="C1573" s="1">
        <v>1</v>
      </c>
      <c r="D1573" s="39">
        <v>58</v>
      </c>
      <c r="E1573" s="1"/>
      <c r="F1573" s="39">
        <f t="shared" si="72"/>
        <v>0</v>
      </c>
      <c r="G1573" s="395"/>
      <c r="H1573" s="395"/>
      <c r="J1573" s="42"/>
    </row>
    <row r="1574" spans="1:10" s="393" customFormat="1" x14ac:dyDescent="0.25">
      <c r="A1574" s="19" t="s">
        <v>17</v>
      </c>
      <c r="B1574" s="2">
        <v>43958</v>
      </c>
      <c r="C1574" s="1">
        <v>0</v>
      </c>
      <c r="D1574" s="39">
        <v>85</v>
      </c>
      <c r="E1574" s="1"/>
      <c r="F1574" s="39">
        <f t="shared" si="72"/>
        <v>0</v>
      </c>
      <c r="G1574" s="395"/>
      <c r="H1574" s="395"/>
      <c r="J1574" s="42"/>
    </row>
    <row r="1575" spans="1:10" s="393" customFormat="1" x14ac:dyDescent="0.25">
      <c r="A1575" s="19" t="s">
        <v>23</v>
      </c>
      <c r="B1575" s="2">
        <v>43958</v>
      </c>
      <c r="C1575" s="1">
        <v>0</v>
      </c>
      <c r="D1575" s="39">
        <v>25</v>
      </c>
      <c r="E1575" s="1"/>
      <c r="F1575" s="39">
        <f t="shared" si="72"/>
        <v>0</v>
      </c>
      <c r="G1575" s="395"/>
      <c r="H1575" s="395"/>
      <c r="J1575" s="42"/>
    </row>
    <row r="1576" spans="1:10" s="393" customFormat="1" x14ac:dyDescent="0.25">
      <c r="A1576" s="19" t="s">
        <v>19</v>
      </c>
      <c r="B1576" s="2">
        <v>43958</v>
      </c>
      <c r="C1576" s="1">
        <v>0</v>
      </c>
      <c r="D1576" s="39">
        <v>110</v>
      </c>
      <c r="E1576" s="1"/>
      <c r="F1576" s="39">
        <f t="shared" si="72"/>
        <v>0</v>
      </c>
      <c r="G1576" s="395"/>
      <c r="H1576" s="395"/>
      <c r="J1576" s="42"/>
    </row>
    <row r="1577" spans="1:10" s="393" customFormat="1" x14ac:dyDescent="0.25">
      <c r="A1577" s="19" t="s">
        <v>18</v>
      </c>
      <c r="B1577" s="2">
        <v>43958</v>
      </c>
      <c r="C1577" s="1">
        <v>3</v>
      </c>
      <c r="D1577" s="39">
        <v>268</v>
      </c>
      <c r="E1577" s="1"/>
      <c r="F1577" s="39">
        <f t="shared" si="72"/>
        <v>0</v>
      </c>
      <c r="G1577" s="395"/>
      <c r="H1577" s="395"/>
      <c r="J1577" s="42"/>
    </row>
    <row r="1578" spans="1:10" s="393" customFormat="1" x14ac:dyDescent="0.25">
      <c r="A1578" s="19" t="s">
        <v>34</v>
      </c>
      <c r="B1578" s="2">
        <v>43958</v>
      </c>
      <c r="C1578" s="1">
        <v>0</v>
      </c>
      <c r="D1578" s="39">
        <v>4</v>
      </c>
      <c r="E1578" s="1"/>
      <c r="F1578" s="39">
        <f t="shared" si="72"/>
        <v>1</v>
      </c>
      <c r="G1578" s="395"/>
      <c r="H1578" s="395"/>
      <c r="J1578" s="42"/>
    </row>
    <row r="1579" spans="1:10" s="393" customFormat="1" x14ac:dyDescent="0.25">
      <c r="A1579" s="19" t="s">
        <v>35</v>
      </c>
      <c r="B1579" s="2">
        <v>43958</v>
      </c>
      <c r="C1579" s="1">
        <v>1</v>
      </c>
      <c r="D1579" s="39">
        <v>3</v>
      </c>
      <c r="E1579" s="1"/>
      <c r="F1579" s="39">
        <f>E1579+F1555</f>
        <v>0</v>
      </c>
      <c r="G1579" s="395"/>
      <c r="H1579" s="395"/>
      <c r="J1579" s="42"/>
    </row>
    <row r="1580" spans="1:10" s="393" customFormat="1" x14ac:dyDescent="0.25">
      <c r="A1580" s="19" t="s">
        <v>36</v>
      </c>
      <c r="B1580" s="2">
        <v>43958</v>
      </c>
      <c r="C1580" s="1">
        <v>0</v>
      </c>
      <c r="D1580" s="39">
        <v>11</v>
      </c>
      <c r="E1580" s="1"/>
      <c r="F1580" s="39">
        <f t="shared" si="72"/>
        <v>0</v>
      </c>
      <c r="G1580" s="395"/>
      <c r="H1580" s="395"/>
      <c r="J1580" s="42"/>
    </row>
    <row r="1581" spans="1:10" s="393" customFormat="1" x14ac:dyDescent="0.25">
      <c r="A1581" s="19" t="s">
        <v>37</v>
      </c>
      <c r="B1581" s="2">
        <v>43958</v>
      </c>
      <c r="C1581" s="1">
        <v>0</v>
      </c>
      <c r="D1581" s="39">
        <v>49</v>
      </c>
      <c r="E1581" s="1"/>
      <c r="F1581" s="39">
        <f t="shared" si="72"/>
        <v>0</v>
      </c>
      <c r="G1581" s="395"/>
      <c r="H1581" s="395"/>
      <c r="J1581" s="42"/>
    </row>
    <row r="1582" spans="1:10" s="393" customFormat="1" x14ac:dyDescent="0.25">
      <c r="A1582" s="19" t="s">
        <v>22</v>
      </c>
      <c r="B1582" s="2">
        <v>43958</v>
      </c>
      <c r="C1582" s="1">
        <v>0</v>
      </c>
      <c r="D1582" s="39">
        <v>244</v>
      </c>
      <c r="E1582" s="1">
        <v>1</v>
      </c>
      <c r="F1582" s="39">
        <f>E1582+F1558</f>
        <v>3</v>
      </c>
      <c r="G1582" s="395"/>
      <c r="H1582" s="395"/>
      <c r="J1582" s="42"/>
    </row>
    <row r="1583" spans="1:10" s="393" customFormat="1" x14ac:dyDescent="0.25">
      <c r="A1583" s="19" t="s">
        <v>38</v>
      </c>
      <c r="B1583" s="2">
        <v>43958</v>
      </c>
      <c r="C1583" s="1">
        <v>0</v>
      </c>
      <c r="D1583" s="39">
        <v>15</v>
      </c>
      <c r="E1583" s="1"/>
      <c r="F1583" s="39">
        <f>E1583+F1559</f>
        <v>0</v>
      </c>
      <c r="G1583" s="395"/>
      <c r="H1583" s="395"/>
      <c r="J1583" s="42"/>
    </row>
    <row r="1584" spans="1:10" s="393" customFormat="1" x14ac:dyDescent="0.25">
      <c r="A1584" s="19" t="s">
        <v>39</v>
      </c>
      <c r="B1584" s="2">
        <v>43958</v>
      </c>
      <c r="C1584" s="1">
        <v>0</v>
      </c>
      <c r="D1584" s="39">
        <v>145</v>
      </c>
      <c r="E1584" s="1"/>
      <c r="F1584" s="39">
        <f t="shared" si="72"/>
        <v>0</v>
      </c>
      <c r="G1584" s="395"/>
      <c r="H1584" s="395"/>
      <c r="J1584" s="42"/>
    </row>
    <row r="1585" spans="1:10" s="393" customFormat="1" x14ac:dyDescent="0.25">
      <c r="A1585" s="19" t="s">
        <v>40</v>
      </c>
      <c r="B1585" s="2">
        <v>43958</v>
      </c>
      <c r="C1585" s="1">
        <v>0</v>
      </c>
      <c r="D1585" s="39">
        <v>41</v>
      </c>
      <c r="E1585" s="1"/>
      <c r="F1585" s="39">
        <f>E1585+F1561</f>
        <v>3</v>
      </c>
      <c r="G1585" s="395"/>
      <c r="H1585" s="395"/>
      <c r="J1585" s="42"/>
    </row>
    <row r="1586" spans="1:10" s="393" customFormat="1" x14ac:dyDescent="0.25">
      <c r="A1586" s="394" t="s">
        <v>16</v>
      </c>
      <c r="B1586" s="2">
        <v>43959</v>
      </c>
      <c r="C1586" s="1">
        <v>77</v>
      </c>
      <c r="D1586" s="39">
        <v>2001</v>
      </c>
      <c r="E1586" s="1">
        <v>5</v>
      </c>
      <c r="F1586" s="39">
        <f>E1586+F1562</f>
        <v>118</v>
      </c>
      <c r="G1586" s="395"/>
      <c r="H1586" s="395"/>
      <c r="J1586" s="42"/>
    </row>
    <row r="1587" spans="1:10" s="393" customFormat="1" x14ac:dyDescent="0.25">
      <c r="A1587" s="19" t="s">
        <v>28</v>
      </c>
      <c r="B1587" s="2">
        <v>43959</v>
      </c>
      <c r="C1587" s="1">
        <v>0</v>
      </c>
      <c r="D1587" s="39">
        <v>0</v>
      </c>
      <c r="E1587" s="1"/>
      <c r="F1587" s="39">
        <f t="shared" ref="F1587:F1593" si="73">E1587+F1563</f>
        <v>0</v>
      </c>
      <c r="G1587" s="395"/>
      <c r="H1587" s="395"/>
      <c r="J1587" s="42"/>
    </row>
    <row r="1588" spans="1:10" s="393" customFormat="1" x14ac:dyDescent="0.25">
      <c r="A1588" s="19" t="s">
        <v>15</v>
      </c>
      <c r="B1588" s="2">
        <v>43959</v>
      </c>
      <c r="C1588" s="1">
        <v>26</v>
      </c>
      <c r="D1588" s="39">
        <v>418</v>
      </c>
      <c r="E1588" s="1"/>
      <c r="F1588" s="39">
        <f t="shared" si="73"/>
        <v>19</v>
      </c>
      <c r="G1588" s="395"/>
      <c r="H1588" s="395"/>
      <c r="J1588" s="42"/>
    </row>
    <row r="1589" spans="1:10" s="393" customFormat="1" x14ac:dyDescent="0.25">
      <c r="A1589" s="19" t="s">
        <v>29</v>
      </c>
      <c r="B1589" s="2">
        <v>43959</v>
      </c>
      <c r="C1589" s="1">
        <v>0</v>
      </c>
      <c r="D1589" s="39">
        <v>4</v>
      </c>
      <c r="E1589" s="1"/>
      <c r="F1589" s="39">
        <f t="shared" si="73"/>
        <v>1</v>
      </c>
      <c r="G1589" s="395"/>
      <c r="H1589" s="395"/>
      <c r="J1589" s="42"/>
    </row>
    <row r="1590" spans="1:10" s="393" customFormat="1" x14ac:dyDescent="0.25">
      <c r="A1590" s="19" t="s">
        <v>43</v>
      </c>
      <c r="B1590" s="2">
        <v>43959</v>
      </c>
      <c r="C1590" s="1">
        <v>130</v>
      </c>
      <c r="D1590" s="39">
        <v>1713</v>
      </c>
      <c r="E1590" s="1">
        <v>6</v>
      </c>
      <c r="F1590" s="39">
        <f t="shared" si="73"/>
        <v>93</v>
      </c>
      <c r="G1590" s="395"/>
      <c r="H1590" s="395"/>
      <c r="J1590" s="42"/>
    </row>
    <row r="1591" spans="1:10" s="393" customFormat="1" x14ac:dyDescent="0.25">
      <c r="A1591" s="19" t="s">
        <v>20</v>
      </c>
      <c r="B1591" s="2">
        <v>43959</v>
      </c>
      <c r="C1591" s="1">
        <v>2</v>
      </c>
      <c r="D1591" s="39">
        <v>322</v>
      </c>
      <c r="E1591" s="1"/>
      <c r="F1591" s="39">
        <f t="shared" si="73"/>
        <v>19</v>
      </c>
      <c r="G1591" s="395"/>
      <c r="H1591" s="395"/>
      <c r="J1591" s="42"/>
    </row>
    <row r="1592" spans="1:10" s="393" customFormat="1" x14ac:dyDescent="0.25">
      <c r="A1592" s="19" t="s">
        <v>30</v>
      </c>
      <c r="B1592" s="2">
        <v>43959</v>
      </c>
      <c r="C1592" s="1">
        <v>1</v>
      </c>
      <c r="D1592" s="39">
        <v>53</v>
      </c>
      <c r="E1592" s="1"/>
      <c r="F1592" s="39">
        <f t="shared" si="73"/>
        <v>0</v>
      </c>
      <c r="G1592" s="395"/>
      <c r="H1592" s="395"/>
      <c r="J1592" s="42"/>
    </row>
    <row r="1593" spans="1:10" x14ac:dyDescent="0.25">
      <c r="A1593" s="19" t="s">
        <v>31</v>
      </c>
      <c r="B1593" s="2">
        <v>43959</v>
      </c>
      <c r="C1593" s="1">
        <v>0</v>
      </c>
      <c r="D1593" s="39">
        <v>28</v>
      </c>
      <c r="F1593" s="39">
        <f t="shared" si="73"/>
        <v>0</v>
      </c>
    </row>
    <row r="1594" spans="1:10" s="393" customFormat="1" x14ac:dyDescent="0.25">
      <c r="A1594" s="19" t="s">
        <v>41</v>
      </c>
      <c r="B1594" s="2">
        <v>43959</v>
      </c>
      <c r="C1594" s="1">
        <v>0</v>
      </c>
      <c r="D1594" s="39">
        <v>0</v>
      </c>
      <c r="E1594" s="1"/>
      <c r="F1594" s="39">
        <f t="shared" ref="F1594:F1608" si="74">E1594+F1569</f>
        <v>0</v>
      </c>
      <c r="G1594" s="395"/>
      <c r="H1594" s="395"/>
      <c r="J1594" s="42"/>
    </row>
    <row r="1595" spans="1:10" s="393" customFormat="1" x14ac:dyDescent="0.25">
      <c r="A1595" s="19" t="s">
        <v>32</v>
      </c>
      <c r="B1595" s="2">
        <v>43959</v>
      </c>
      <c r="C1595" s="1">
        <v>0</v>
      </c>
      <c r="D1595" s="39">
        <v>5</v>
      </c>
      <c r="E1595" s="1"/>
      <c r="F1595" s="39">
        <f t="shared" si="74"/>
        <v>0</v>
      </c>
      <c r="G1595" s="395"/>
      <c r="H1595" s="395"/>
      <c r="J1595" s="42"/>
    </row>
    <row r="1596" spans="1:10" s="393" customFormat="1" x14ac:dyDescent="0.25">
      <c r="A1596" s="19" t="s">
        <v>33</v>
      </c>
      <c r="B1596" s="2">
        <v>43959</v>
      </c>
      <c r="C1596" s="1">
        <v>0</v>
      </c>
      <c r="D1596" s="39">
        <v>5</v>
      </c>
      <c r="E1596" s="1"/>
      <c r="F1596" s="39">
        <f t="shared" si="74"/>
        <v>0</v>
      </c>
      <c r="G1596" s="395"/>
      <c r="H1596" s="395"/>
      <c r="J1596" s="42"/>
    </row>
    <row r="1597" spans="1:10" s="393" customFormat="1" x14ac:dyDescent="0.25">
      <c r="A1597" s="19" t="s">
        <v>21</v>
      </c>
      <c r="B1597" s="2">
        <v>43959</v>
      </c>
      <c r="C1597" s="1">
        <v>1</v>
      </c>
      <c r="D1597" s="39">
        <v>59</v>
      </c>
      <c r="E1597" s="1"/>
      <c r="F1597" s="39">
        <f t="shared" si="74"/>
        <v>0</v>
      </c>
      <c r="G1597" s="395"/>
      <c r="H1597" s="395"/>
      <c r="J1597" s="42"/>
    </row>
    <row r="1598" spans="1:10" s="393" customFormat="1" x14ac:dyDescent="0.25">
      <c r="A1598" s="19" t="s">
        <v>17</v>
      </c>
      <c r="B1598" s="2">
        <v>43959</v>
      </c>
      <c r="C1598" s="1">
        <v>1</v>
      </c>
      <c r="D1598" s="39">
        <v>86</v>
      </c>
      <c r="E1598" s="1"/>
      <c r="F1598" s="39">
        <f t="shared" si="74"/>
        <v>0</v>
      </c>
      <c r="G1598" s="395"/>
      <c r="H1598" s="395"/>
      <c r="J1598" s="42"/>
    </row>
    <row r="1599" spans="1:10" s="393" customFormat="1" x14ac:dyDescent="0.25">
      <c r="A1599" s="19" t="s">
        <v>23</v>
      </c>
      <c r="B1599" s="2">
        <v>43959</v>
      </c>
      <c r="C1599" s="1">
        <v>0</v>
      </c>
      <c r="D1599" s="39">
        <v>25</v>
      </c>
      <c r="E1599" s="1"/>
      <c r="F1599" s="39">
        <f t="shared" si="74"/>
        <v>0</v>
      </c>
      <c r="G1599" s="395"/>
      <c r="H1599" s="395"/>
      <c r="J1599" s="42"/>
    </row>
    <row r="1600" spans="1:10" s="393" customFormat="1" x14ac:dyDescent="0.25">
      <c r="A1600" s="19" t="s">
        <v>19</v>
      </c>
      <c r="B1600" s="2">
        <v>43959</v>
      </c>
      <c r="C1600" s="1">
        <v>0</v>
      </c>
      <c r="D1600" s="39">
        <v>110</v>
      </c>
      <c r="E1600" s="1"/>
      <c r="F1600" s="39">
        <f t="shared" si="74"/>
        <v>0</v>
      </c>
      <c r="G1600" s="395"/>
      <c r="H1600" s="395"/>
      <c r="J1600" s="42"/>
    </row>
    <row r="1601" spans="1:10" s="393" customFormat="1" x14ac:dyDescent="0.25">
      <c r="A1601" s="19" t="s">
        <v>18</v>
      </c>
      <c r="B1601" s="2">
        <v>43959</v>
      </c>
      <c r="C1601" s="1">
        <v>2</v>
      </c>
      <c r="D1601" s="39">
        <v>270</v>
      </c>
      <c r="E1601" s="1"/>
      <c r="F1601" s="39">
        <f t="shared" si="74"/>
        <v>0</v>
      </c>
      <c r="G1601" s="395"/>
      <c r="H1601" s="395"/>
      <c r="J1601" s="42"/>
    </row>
    <row r="1602" spans="1:10" s="393" customFormat="1" x14ac:dyDescent="0.25">
      <c r="A1602" s="19" t="s">
        <v>34</v>
      </c>
      <c r="B1602" s="2">
        <v>43959</v>
      </c>
      <c r="C1602" s="1">
        <v>0</v>
      </c>
      <c r="D1602" s="39">
        <v>4</v>
      </c>
      <c r="E1602" s="1"/>
      <c r="F1602" s="39">
        <f t="shared" si="74"/>
        <v>0</v>
      </c>
      <c r="G1602" s="395"/>
      <c r="H1602" s="395"/>
      <c r="J1602" s="42"/>
    </row>
    <row r="1603" spans="1:10" s="393" customFormat="1" x14ac:dyDescent="0.25">
      <c r="A1603" s="19" t="s">
        <v>35</v>
      </c>
      <c r="B1603" s="2">
        <v>43959</v>
      </c>
      <c r="C1603" s="1">
        <v>0</v>
      </c>
      <c r="D1603" s="39">
        <v>3</v>
      </c>
      <c r="E1603" s="1"/>
      <c r="F1603" s="39">
        <f>E1603+F1579</f>
        <v>0</v>
      </c>
      <c r="G1603" s="395"/>
      <c r="H1603" s="395"/>
      <c r="J1603" s="42"/>
    </row>
    <row r="1604" spans="1:10" s="393" customFormat="1" x14ac:dyDescent="0.25">
      <c r="A1604" s="19" t="s">
        <v>36</v>
      </c>
      <c r="B1604" s="2">
        <v>43959</v>
      </c>
      <c r="C1604" s="1">
        <v>0</v>
      </c>
      <c r="D1604" s="39">
        <v>11</v>
      </c>
      <c r="E1604" s="1"/>
      <c r="F1604" s="39">
        <f t="shared" si="74"/>
        <v>0</v>
      </c>
      <c r="G1604" s="395"/>
      <c r="H1604" s="395"/>
      <c r="J1604" s="42"/>
    </row>
    <row r="1605" spans="1:10" s="393" customFormat="1" x14ac:dyDescent="0.25">
      <c r="A1605" s="19" t="s">
        <v>37</v>
      </c>
      <c r="B1605" s="2">
        <v>43959</v>
      </c>
      <c r="C1605" s="1">
        <v>0</v>
      </c>
      <c r="D1605" s="39">
        <v>49</v>
      </c>
      <c r="E1605" s="1"/>
      <c r="F1605" s="39">
        <f t="shared" si="74"/>
        <v>0</v>
      </c>
      <c r="G1605" s="395"/>
      <c r="H1605" s="395"/>
      <c r="J1605" s="42"/>
    </row>
    <row r="1606" spans="1:10" s="393" customFormat="1" x14ac:dyDescent="0.25">
      <c r="A1606" s="19" t="s">
        <v>22</v>
      </c>
      <c r="B1606" s="2">
        <v>43959</v>
      </c>
      <c r="C1606" s="1">
        <v>0</v>
      </c>
      <c r="D1606" s="39">
        <v>244</v>
      </c>
      <c r="E1606" s="1"/>
      <c r="F1606" s="39">
        <f>E1606+F1582</f>
        <v>3</v>
      </c>
      <c r="G1606" s="395"/>
      <c r="H1606" s="395"/>
      <c r="J1606" s="42"/>
    </row>
    <row r="1607" spans="1:10" s="393" customFormat="1" x14ac:dyDescent="0.25">
      <c r="A1607" s="19" t="s">
        <v>38</v>
      </c>
      <c r="B1607" s="2">
        <v>43959</v>
      </c>
      <c r="C1607" s="1">
        <v>0</v>
      </c>
      <c r="D1607" s="39">
        <v>15</v>
      </c>
      <c r="E1607" s="1"/>
      <c r="F1607" s="39">
        <f>E1607+F1583</f>
        <v>0</v>
      </c>
      <c r="G1607" s="395"/>
      <c r="H1607" s="395"/>
      <c r="J1607" s="42"/>
    </row>
    <row r="1608" spans="1:10" s="393" customFormat="1" x14ac:dyDescent="0.25">
      <c r="A1608" s="19" t="s">
        <v>39</v>
      </c>
      <c r="B1608" s="2">
        <v>43959</v>
      </c>
      <c r="C1608" s="1">
        <v>0</v>
      </c>
      <c r="D1608" s="39">
        <v>145</v>
      </c>
      <c r="E1608" s="1"/>
      <c r="F1608" s="39">
        <f t="shared" si="74"/>
        <v>0</v>
      </c>
      <c r="G1608" s="395"/>
      <c r="H1608" s="395"/>
      <c r="J1608" s="42"/>
    </row>
    <row r="1609" spans="1:10" s="393" customFormat="1" x14ac:dyDescent="0.25">
      <c r="A1609" s="19" t="s">
        <v>40</v>
      </c>
      <c r="B1609" s="2">
        <v>43959</v>
      </c>
      <c r="C1609" s="1">
        <v>0</v>
      </c>
      <c r="D1609" s="39">
        <v>41</v>
      </c>
      <c r="E1609" s="1"/>
      <c r="F1609" s="39">
        <f>E1609+F1585</f>
        <v>3</v>
      </c>
      <c r="G1609" s="395"/>
      <c r="H1609" s="395"/>
      <c r="J1609" s="42"/>
    </row>
    <row r="1610" spans="1:10" s="393" customFormat="1" x14ac:dyDescent="0.25">
      <c r="A1610" s="394" t="s">
        <v>16</v>
      </c>
      <c r="B1610" s="2">
        <v>43960</v>
      </c>
      <c r="C1610" s="1">
        <v>60</v>
      </c>
      <c r="D1610" s="39">
        <v>2061</v>
      </c>
      <c r="E1610" s="1">
        <v>4</v>
      </c>
      <c r="F1610" s="39">
        <f>E1610+F1586</f>
        <v>122</v>
      </c>
      <c r="G1610" s="395"/>
      <c r="H1610" s="395"/>
      <c r="J1610" s="42"/>
    </row>
    <row r="1611" spans="1:10" s="393" customFormat="1" x14ac:dyDescent="0.25">
      <c r="A1611" s="19" t="s">
        <v>28</v>
      </c>
      <c r="B1611" s="2">
        <v>43960</v>
      </c>
      <c r="C1611" s="1">
        <v>0</v>
      </c>
      <c r="D1611" s="39">
        <v>0</v>
      </c>
      <c r="E1611" s="1"/>
      <c r="F1611" s="39">
        <f t="shared" ref="F1611:F1617" si="75">E1611+F1587</f>
        <v>0</v>
      </c>
      <c r="G1611" s="395"/>
      <c r="H1611" s="395"/>
      <c r="J1611" s="42"/>
    </row>
    <row r="1612" spans="1:10" s="393" customFormat="1" x14ac:dyDescent="0.25">
      <c r="A1612" s="19" t="s">
        <v>15</v>
      </c>
      <c r="B1612" s="2">
        <v>43960</v>
      </c>
      <c r="C1612" s="1">
        <v>9</v>
      </c>
      <c r="D1612" s="39">
        <v>427</v>
      </c>
      <c r="E1612" s="1"/>
      <c r="F1612" s="39">
        <f t="shared" si="75"/>
        <v>19</v>
      </c>
      <c r="G1612" s="395"/>
      <c r="H1612" s="395"/>
      <c r="J1612" s="42"/>
    </row>
    <row r="1613" spans="1:10" s="393" customFormat="1" x14ac:dyDescent="0.25">
      <c r="A1613" s="19" t="s">
        <v>29</v>
      </c>
      <c r="B1613" s="2">
        <v>43960</v>
      </c>
      <c r="C1613" s="1">
        <v>0</v>
      </c>
      <c r="D1613" s="39">
        <v>4</v>
      </c>
      <c r="E1613" s="1"/>
      <c r="F1613" s="39">
        <f t="shared" si="75"/>
        <v>1</v>
      </c>
      <c r="G1613" s="395"/>
      <c r="H1613" s="395"/>
      <c r="J1613" s="42"/>
    </row>
    <row r="1614" spans="1:10" s="393" customFormat="1" x14ac:dyDescent="0.25">
      <c r="A1614" s="19" t="s">
        <v>43</v>
      </c>
      <c r="B1614" s="2">
        <v>43960</v>
      </c>
      <c r="C1614" s="1">
        <v>83</v>
      </c>
      <c r="D1614" s="39">
        <v>1796</v>
      </c>
      <c r="E1614" s="1">
        <v>2</v>
      </c>
      <c r="F1614" s="39">
        <f t="shared" si="75"/>
        <v>95</v>
      </c>
      <c r="G1614" s="395"/>
      <c r="H1614" s="395"/>
      <c r="J1614" s="42"/>
    </row>
    <row r="1615" spans="1:10" s="393" customFormat="1" x14ac:dyDescent="0.25">
      <c r="A1615" s="19" t="s">
        <v>20</v>
      </c>
      <c r="B1615" s="2">
        <v>43960</v>
      </c>
      <c r="C1615" s="1">
        <v>6</v>
      </c>
      <c r="D1615" s="39">
        <v>328</v>
      </c>
      <c r="E1615" s="1"/>
      <c r="F1615" s="39">
        <f t="shared" si="75"/>
        <v>19</v>
      </c>
      <c r="G1615" s="395"/>
      <c r="H1615" s="395"/>
      <c r="J1615" s="42"/>
    </row>
    <row r="1616" spans="1:10" s="393" customFormat="1" x14ac:dyDescent="0.25">
      <c r="A1616" s="19" t="s">
        <v>30</v>
      </c>
      <c r="B1616" s="2">
        <v>43960</v>
      </c>
      <c r="C1616" s="1">
        <v>1</v>
      </c>
      <c r="D1616" s="39">
        <v>54</v>
      </c>
      <c r="E1616" s="1"/>
      <c r="F1616" s="39">
        <f t="shared" si="75"/>
        <v>0</v>
      </c>
      <c r="G1616" s="395"/>
      <c r="H1616" s="395"/>
      <c r="J1616" s="42"/>
    </row>
    <row r="1617" spans="1:10" x14ac:dyDescent="0.25">
      <c r="A1617" s="19" t="s">
        <v>31</v>
      </c>
      <c r="B1617" s="2">
        <v>43960</v>
      </c>
      <c r="C1617" s="1">
        <v>0</v>
      </c>
      <c r="D1617" s="39">
        <v>28</v>
      </c>
      <c r="F1617" s="39">
        <f t="shared" si="75"/>
        <v>0</v>
      </c>
    </row>
    <row r="1618" spans="1:10" s="393" customFormat="1" x14ac:dyDescent="0.25">
      <c r="A1618" s="19" t="s">
        <v>41</v>
      </c>
      <c r="B1618" s="2">
        <v>43960</v>
      </c>
      <c r="C1618" s="1">
        <v>0</v>
      </c>
      <c r="D1618" s="39">
        <v>0</v>
      </c>
      <c r="E1618" s="1"/>
      <c r="F1618" s="39">
        <f t="shared" ref="F1618:F1632" si="76">E1618+F1593</f>
        <v>0</v>
      </c>
      <c r="G1618" s="395"/>
      <c r="H1618" s="395"/>
      <c r="J1618" s="42"/>
    </row>
    <row r="1619" spans="1:10" s="393" customFormat="1" x14ac:dyDescent="0.25">
      <c r="A1619" s="19" t="s">
        <v>32</v>
      </c>
      <c r="B1619" s="2">
        <v>43960</v>
      </c>
      <c r="C1619" s="1">
        <v>0</v>
      </c>
      <c r="D1619" s="39">
        <v>5</v>
      </c>
      <c r="E1619" s="1"/>
      <c r="F1619" s="39">
        <f t="shared" si="76"/>
        <v>0</v>
      </c>
      <c r="G1619" s="395"/>
      <c r="H1619" s="395"/>
      <c r="J1619" s="42"/>
    </row>
    <row r="1620" spans="1:10" s="393" customFormat="1" x14ac:dyDescent="0.25">
      <c r="A1620" s="19" t="s">
        <v>33</v>
      </c>
      <c r="B1620" s="2">
        <v>43960</v>
      </c>
      <c r="C1620" s="1">
        <v>0</v>
      </c>
      <c r="D1620" s="39">
        <v>5</v>
      </c>
      <c r="E1620" s="1"/>
      <c r="F1620" s="39">
        <f t="shared" si="76"/>
        <v>0</v>
      </c>
      <c r="G1620" s="395"/>
      <c r="H1620" s="395"/>
      <c r="J1620" s="42"/>
    </row>
    <row r="1621" spans="1:10" s="393" customFormat="1" x14ac:dyDescent="0.25">
      <c r="A1621" s="19" t="s">
        <v>21</v>
      </c>
      <c r="B1621" s="2">
        <v>43960</v>
      </c>
      <c r="C1621" s="1">
        <v>0</v>
      </c>
      <c r="D1621" s="39">
        <v>59</v>
      </c>
      <c r="E1621" s="1">
        <v>1</v>
      </c>
      <c r="F1621" s="39">
        <f t="shared" si="76"/>
        <v>1</v>
      </c>
      <c r="G1621" s="395"/>
      <c r="H1621" s="395"/>
      <c r="J1621" s="42"/>
    </row>
    <row r="1622" spans="1:10" s="393" customFormat="1" x14ac:dyDescent="0.25">
      <c r="A1622" s="19" t="s">
        <v>17</v>
      </c>
      <c r="B1622" s="2">
        <v>43960</v>
      </c>
      <c r="C1622" s="1">
        <v>0</v>
      </c>
      <c r="D1622" s="39">
        <v>86</v>
      </c>
      <c r="E1622" s="1"/>
      <c r="F1622" s="39">
        <f t="shared" si="76"/>
        <v>0</v>
      </c>
      <c r="G1622" s="395"/>
      <c r="H1622" s="395"/>
      <c r="J1622" s="42"/>
    </row>
    <row r="1623" spans="1:10" s="393" customFormat="1" x14ac:dyDescent="0.25">
      <c r="A1623" s="19" t="s">
        <v>23</v>
      </c>
      <c r="B1623" s="2">
        <v>43960</v>
      </c>
      <c r="C1623" s="1">
        <v>0</v>
      </c>
      <c r="D1623" s="39">
        <v>25</v>
      </c>
      <c r="E1623" s="1"/>
      <c r="F1623" s="39">
        <f t="shared" si="76"/>
        <v>0</v>
      </c>
      <c r="G1623" s="395"/>
      <c r="H1623" s="395"/>
      <c r="J1623" s="42"/>
    </row>
    <row r="1624" spans="1:10" s="393" customFormat="1" x14ac:dyDescent="0.25">
      <c r="A1624" s="19" t="s">
        <v>19</v>
      </c>
      <c r="B1624" s="2">
        <v>43960</v>
      </c>
      <c r="C1624" s="1">
        <v>1</v>
      </c>
      <c r="D1624" s="39">
        <v>111</v>
      </c>
      <c r="E1624" s="1"/>
      <c r="F1624" s="39">
        <f t="shared" si="76"/>
        <v>0</v>
      </c>
      <c r="G1624" s="395"/>
      <c r="H1624" s="395"/>
      <c r="J1624" s="42"/>
    </row>
    <row r="1625" spans="1:10" s="393" customFormat="1" x14ac:dyDescent="0.25">
      <c r="A1625" s="19" t="s">
        <v>18</v>
      </c>
      <c r="B1625" s="2">
        <v>43960</v>
      </c>
      <c r="C1625" s="1">
        <v>4</v>
      </c>
      <c r="D1625" s="39">
        <v>274</v>
      </c>
      <c r="E1625" s="1"/>
      <c r="F1625" s="39">
        <f t="shared" si="76"/>
        <v>0</v>
      </c>
      <c r="G1625" s="395"/>
      <c r="H1625" s="395"/>
      <c r="J1625" s="42"/>
    </row>
    <row r="1626" spans="1:10" s="393" customFormat="1" x14ac:dyDescent="0.25">
      <c r="A1626" s="19" t="s">
        <v>34</v>
      </c>
      <c r="B1626" s="2">
        <v>43960</v>
      </c>
      <c r="C1626" s="1">
        <v>0</v>
      </c>
      <c r="D1626" s="39">
        <v>4</v>
      </c>
      <c r="E1626" s="1"/>
      <c r="F1626" s="39">
        <f t="shared" si="76"/>
        <v>0</v>
      </c>
      <c r="G1626" s="395"/>
      <c r="H1626" s="395"/>
      <c r="J1626" s="42"/>
    </row>
    <row r="1627" spans="1:10" s="393" customFormat="1" x14ac:dyDescent="0.25">
      <c r="A1627" s="19" t="s">
        <v>35</v>
      </c>
      <c r="B1627" s="2">
        <v>43960</v>
      </c>
      <c r="C1627" s="1">
        <v>0</v>
      </c>
      <c r="D1627" s="39">
        <v>3</v>
      </c>
      <c r="E1627" s="1"/>
      <c r="F1627" s="39">
        <f>E1627+F1603</f>
        <v>0</v>
      </c>
      <c r="G1627" s="395"/>
      <c r="H1627" s="395"/>
      <c r="J1627" s="42"/>
    </row>
    <row r="1628" spans="1:10" s="393" customFormat="1" x14ac:dyDescent="0.25">
      <c r="A1628" s="19" t="s">
        <v>36</v>
      </c>
      <c r="B1628" s="2">
        <v>43960</v>
      </c>
      <c r="C1628" s="1">
        <v>0</v>
      </c>
      <c r="D1628" s="39">
        <v>11</v>
      </c>
      <c r="E1628" s="1"/>
      <c r="F1628" s="39">
        <f t="shared" si="76"/>
        <v>0</v>
      </c>
      <c r="G1628" s="395"/>
      <c r="H1628" s="395"/>
      <c r="J1628" s="42"/>
    </row>
    <row r="1629" spans="1:10" s="393" customFormat="1" x14ac:dyDescent="0.25">
      <c r="A1629" s="19" t="s">
        <v>37</v>
      </c>
      <c r="B1629" s="2">
        <v>43960</v>
      </c>
      <c r="C1629" s="1">
        <v>0</v>
      </c>
      <c r="D1629" s="39">
        <v>49</v>
      </c>
      <c r="E1629" s="1"/>
      <c r="F1629" s="39">
        <f t="shared" si="76"/>
        <v>0</v>
      </c>
      <c r="G1629" s="395"/>
      <c r="H1629" s="395"/>
      <c r="J1629" s="42"/>
    </row>
    <row r="1630" spans="1:10" s="393" customFormat="1" x14ac:dyDescent="0.25">
      <c r="A1630" s="19" t="s">
        <v>22</v>
      </c>
      <c r="B1630" s="2">
        <v>43960</v>
      </c>
      <c r="C1630" s="1">
        <v>0</v>
      </c>
      <c r="D1630" s="39">
        <v>244</v>
      </c>
      <c r="E1630" s="1"/>
      <c r="F1630" s="39">
        <f>E1630+F1606</f>
        <v>3</v>
      </c>
      <c r="G1630" s="395"/>
      <c r="H1630" s="395"/>
      <c r="J1630" s="42"/>
    </row>
    <row r="1631" spans="1:10" s="393" customFormat="1" x14ac:dyDescent="0.25">
      <c r="A1631" s="19" t="s">
        <v>38</v>
      </c>
      <c r="B1631" s="2">
        <v>43960</v>
      </c>
      <c r="C1631" s="1">
        <v>0</v>
      </c>
      <c r="D1631" s="39">
        <v>15</v>
      </c>
      <c r="E1631" s="1"/>
      <c r="F1631" s="39">
        <f>E1631+F1607</f>
        <v>0</v>
      </c>
      <c r="G1631" s="395"/>
      <c r="H1631" s="395"/>
      <c r="J1631" s="42"/>
    </row>
    <row r="1632" spans="1:10" s="393" customFormat="1" x14ac:dyDescent="0.25">
      <c r="A1632" s="19" t="s">
        <v>39</v>
      </c>
      <c r="B1632" s="2">
        <v>43960</v>
      </c>
      <c r="C1632" s="1">
        <v>1</v>
      </c>
      <c r="D1632" s="39">
        <v>146</v>
      </c>
      <c r="E1632" s="1"/>
      <c r="F1632" s="39">
        <f t="shared" si="76"/>
        <v>0</v>
      </c>
      <c r="G1632" s="395"/>
      <c r="H1632" s="395"/>
      <c r="J1632" s="42"/>
    </row>
    <row r="1633" spans="1:10" s="393" customFormat="1" x14ac:dyDescent="0.25">
      <c r="A1633" s="19" t="s">
        <v>40</v>
      </c>
      <c r="B1633" s="2">
        <v>43960</v>
      </c>
      <c r="C1633" s="1">
        <v>0</v>
      </c>
      <c r="D1633" s="39">
        <v>41</v>
      </c>
      <c r="E1633" s="1"/>
      <c r="F1633" s="39">
        <f>E1633+F1609</f>
        <v>3</v>
      </c>
      <c r="G1633" s="395"/>
      <c r="H1633" s="395"/>
      <c r="J1633" s="42"/>
    </row>
    <row r="1634" spans="1:10" s="393" customFormat="1" x14ac:dyDescent="0.25">
      <c r="A1634" s="394" t="s">
        <v>16</v>
      </c>
      <c r="B1634" s="2">
        <v>43961</v>
      </c>
      <c r="C1634" s="1">
        <v>51</v>
      </c>
      <c r="D1634" s="39">
        <v>2112</v>
      </c>
      <c r="E1634" s="1">
        <v>3</v>
      </c>
      <c r="F1634" s="39">
        <f>E1634+F1610</f>
        <v>125</v>
      </c>
      <c r="G1634" s="395"/>
      <c r="H1634" s="395"/>
      <c r="J1634" s="42"/>
    </row>
    <row r="1635" spans="1:10" s="393" customFormat="1" x14ac:dyDescent="0.25">
      <c r="A1635" s="19" t="s">
        <v>28</v>
      </c>
      <c r="B1635" s="2">
        <v>43961</v>
      </c>
      <c r="C1635" s="1">
        <v>0</v>
      </c>
      <c r="D1635" s="39">
        <v>0</v>
      </c>
      <c r="E1635" s="1"/>
      <c r="F1635" s="39">
        <f t="shared" ref="F1635:F1641" si="77">E1635+F1611</f>
        <v>0</v>
      </c>
      <c r="G1635" s="395"/>
      <c r="H1635" s="395"/>
      <c r="J1635" s="42"/>
    </row>
    <row r="1636" spans="1:10" s="393" customFormat="1" x14ac:dyDescent="0.25">
      <c r="A1636" s="19" t="s">
        <v>15</v>
      </c>
      <c r="B1636" s="2">
        <v>43961</v>
      </c>
      <c r="C1636" s="1">
        <v>32</v>
      </c>
      <c r="D1636" s="39">
        <v>459</v>
      </c>
      <c r="E1636" s="1"/>
      <c r="F1636" s="39">
        <f t="shared" si="77"/>
        <v>19</v>
      </c>
      <c r="G1636" s="395"/>
      <c r="H1636" s="395"/>
      <c r="J1636" s="42"/>
    </row>
    <row r="1637" spans="1:10" s="393" customFormat="1" x14ac:dyDescent="0.25">
      <c r="A1637" s="19" t="s">
        <v>29</v>
      </c>
      <c r="B1637" s="2">
        <v>43961</v>
      </c>
      <c r="C1637" s="1">
        <v>0</v>
      </c>
      <c r="D1637" s="39">
        <v>4</v>
      </c>
      <c r="E1637" s="1"/>
      <c r="F1637" s="39">
        <f t="shared" si="77"/>
        <v>1</v>
      </c>
      <c r="G1637" s="395"/>
      <c r="H1637" s="395"/>
      <c r="J1637" s="42"/>
    </row>
    <row r="1638" spans="1:10" s="393" customFormat="1" x14ac:dyDescent="0.25">
      <c r="A1638" s="19" t="s">
        <v>43</v>
      </c>
      <c r="B1638" s="2">
        <v>43961</v>
      </c>
      <c r="C1638" s="1">
        <v>165</v>
      </c>
      <c r="D1638" s="39">
        <v>1961</v>
      </c>
      <c r="E1638" s="1">
        <v>2</v>
      </c>
      <c r="F1638" s="39">
        <f t="shared" si="77"/>
        <v>97</v>
      </c>
      <c r="G1638" s="395"/>
      <c r="H1638" s="395"/>
      <c r="J1638" s="42"/>
    </row>
    <row r="1639" spans="1:10" s="393" customFormat="1" x14ac:dyDescent="0.25">
      <c r="A1639" s="19" t="s">
        <v>20</v>
      </c>
      <c r="B1639" s="2">
        <v>43961</v>
      </c>
      <c r="C1639" s="1">
        <v>5</v>
      </c>
      <c r="D1639" s="39">
        <v>333</v>
      </c>
      <c r="E1639" s="1"/>
      <c r="F1639" s="39">
        <f t="shared" si="77"/>
        <v>19</v>
      </c>
      <c r="G1639" s="395"/>
      <c r="H1639" s="395"/>
      <c r="J1639" s="42"/>
    </row>
    <row r="1640" spans="1:10" s="393" customFormat="1" x14ac:dyDescent="0.25">
      <c r="A1640" s="19" t="s">
        <v>30</v>
      </c>
      <c r="B1640" s="2">
        <v>43961</v>
      </c>
      <c r="C1640" s="1">
        <v>0</v>
      </c>
      <c r="D1640" s="39">
        <v>54</v>
      </c>
      <c r="E1640" s="1"/>
      <c r="F1640" s="39">
        <f t="shared" si="77"/>
        <v>0</v>
      </c>
      <c r="G1640" s="395"/>
      <c r="H1640" s="395"/>
      <c r="J1640" s="42"/>
    </row>
    <row r="1641" spans="1:10" x14ac:dyDescent="0.25">
      <c r="A1641" s="19" t="s">
        <v>31</v>
      </c>
      <c r="B1641" s="2">
        <v>43961</v>
      </c>
      <c r="C1641" s="1">
        <v>0</v>
      </c>
      <c r="D1641" s="39">
        <v>28</v>
      </c>
      <c r="F1641" s="39">
        <f t="shared" si="77"/>
        <v>0</v>
      </c>
    </row>
    <row r="1642" spans="1:10" s="393" customFormat="1" x14ac:dyDescent="0.25">
      <c r="A1642" s="19" t="s">
        <v>41</v>
      </c>
      <c r="B1642" s="2">
        <v>43961</v>
      </c>
      <c r="C1642" s="1">
        <v>0</v>
      </c>
      <c r="D1642" s="39">
        <v>0</v>
      </c>
      <c r="E1642" s="1"/>
      <c r="F1642" s="39">
        <f t="shared" ref="F1642:F1656" si="78">E1642+F1617</f>
        <v>0</v>
      </c>
      <c r="G1642" s="395"/>
      <c r="H1642" s="395"/>
      <c r="J1642" s="42"/>
    </row>
    <row r="1643" spans="1:10" s="393" customFormat="1" x14ac:dyDescent="0.25">
      <c r="A1643" s="19" t="s">
        <v>32</v>
      </c>
      <c r="B1643" s="2">
        <v>43961</v>
      </c>
      <c r="C1643" s="1">
        <v>0</v>
      </c>
      <c r="D1643" s="39">
        <v>5</v>
      </c>
      <c r="E1643" s="1"/>
      <c r="F1643" s="39">
        <f t="shared" si="78"/>
        <v>0</v>
      </c>
      <c r="G1643" s="395"/>
      <c r="H1643" s="395"/>
      <c r="J1643" s="42"/>
    </row>
    <row r="1644" spans="1:10" s="393" customFormat="1" x14ac:dyDescent="0.25">
      <c r="A1644" s="19" t="s">
        <v>33</v>
      </c>
      <c r="B1644" s="2">
        <v>43961</v>
      </c>
      <c r="C1644" s="1">
        <v>0</v>
      </c>
      <c r="D1644" s="39">
        <v>5</v>
      </c>
      <c r="E1644" s="1"/>
      <c r="F1644" s="39">
        <f t="shared" si="78"/>
        <v>0</v>
      </c>
      <c r="G1644" s="395"/>
      <c r="H1644" s="395"/>
      <c r="J1644" s="42"/>
    </row>
    <row r="1645" spans="1:10" s="393" customFormat="1" x14ac:dyDescent="0.25">
      <c r="A1645" s="19" t="s">
        <v>21</v>
      </c>
      <c r="B1645" s="2">
        <v>43961</v>
      </c>
      <c r="C1645" s="1">
        <v>0</v>
      </c>
      <c r="D1645" s="39">
        <v>59</v>
      </c>
      <c r="E1645" s="1"/>
      <c r="F1645" s="39">
        <f t="shared" si="78"/>
        <v>0</v>
      </c>
      <c r="G1645" s="395"/>
      <c r="H1645" s="395"/>
      <c r="J1645" s="42"/>
    </row>
    <row r="1646" spans="1:10" s="393" customFormat="1" x14ac:dyDescent="0.25">
      <c r="A1646" s="19" t="s">
        <v>17</v>
      </c>
      <c r="B1646" s="2">
        <v>43961</v>
      </c>
      <c r="C1646" s="1">
        <v>0</v>
      </c>
      <c r="D1646" s="39">
        <v>86</v>
      </c>
      <c r="E1646" s="1"/>
      <c r="F1646" s="39">
        <f t="shared" si="78"/>
        <v>1</v>
      </c>
      <c r="G1646" s="395"/>
      <c r="H1646" s="395"/>
      <c r="J1646" s="42"/>
    </row>
    <row r="1647" spans="1:10" s="393" customFormat="1" x14ac:dyDescent="0.25">
      <c r="A1647" s="19" t="s">
        <v>23</v>
      </c>
      <c r="B1647" s="2">
        <v>43961</v>
      </c>
      <c r="C1647" s="1">
        <v>0</v>
      </c>
      <c r="D1647" s="39">
        <v>25</v>
      </c>
      <c r="E1647" s="1"/>
      <c r="F1647" s="39">
        <f t="shared" si="78"/>
        <v>0</v>
      </c>
      <c r="G1647" s="395"/>
      <c r="H1647" s="395"/>
      <c r="J1647" s="42"/>
    </row>
    <row r="1648" spans="1:10" s="393" customFormat="1" x14ac:dyDescent="0.25">
      <c r="A1648" s="19" t="s">
        <v>19</v>
      </c>
      <c r="B1648" s="2">
        <v>43961</v>
      </c>
      <c r="C1648" s="1">
        <v>0</v>
      </c>
      <c r="D1648" s="39">
        <v>111</v>
      </c>
      <c r="E1648" s="1"/>
      <c r="F1648" s="39">
        <f t="shared" si="78"/>
        <v>0</v>
      </c>
      <c r="G1648" s="395"/>
      <c r="H1648" s="395"/>
      <c r="J1648" s="42"/>
    </row>
    <row r="1649" spans="1:10" s="393" customFormat="1" x14ac:dyDescent="0.25">
      <c r="A1649" s="19" t="s">
        <v>18</v>
      </c>
      <c r="B1649" s="2">
        <v>43961</v>
      </c>
      <c r="C1649" s="1">
        <v>2</v>
      </c>
      <c r="D1649" s="39">
        <v>276</v>
      </c>
      <c r="E1649" s="1"/>
      <c r="F1649" s="39">
        <f t="shared" si="78"/>
        <v>0</v>
      </c>
      <c r="G1649" s="395"/>
      <c r="H1649" s="395"/>
      <c r="J1649" s="42"/>
    </row>
    <row r="1650" spans="1:10" s="393" customFormat="1" x14ac:dyDescent="0.25">
      <c r="A1650" s="19" t="s">
        <v>34</v>
      </c>
      <c r="B1650" s="2">
        <v>43961</v>
      </c>
      <c r="C1650" s="1">
        <v>0</v>
      </c>
      <c r="D1650" s="39">
        <v>4</v>
      </c>
      <c r="E1650" s="1"/>
      <c r="F1650" s="39">
        <f t="shared" si="78"/>
        <v>0</v>
      </c>
      <c r="G1650" s="395"/>
      <c r="H1650" s="395"/>
      <c r="J1650" s="42"/>
    </row>
    <row r="1651" spans="1:10" s="393" customFormat="1" x14ac:dyDescent="0.25">
      <c r="A1651" s="19" t="s">
        <v>35</v>
      </c>
      <c r="B1651" s="2">
        <v>43961</v>
      </c>
      <c r="C1651" s="1">
        <v>0</v>
      </c>
      <c r="D1651" s="39">
        <v>3</v>
      </c>
      <c r="E1651" s="1"/>
      <c r="F1651" s="39">
        <f>E1651+F1627</f>
        <v>0</v>
      </c>
      <c r="G1651" s="395"/>
      <c r="H1651" s="395"/>
      <c r="J1651" s="42"/>
    </row>
    <row r="1652" spans="1:10" s="393" customFormat="1" x14ac:dyDescent="0.25">
      <c r="A1652" s="19" t="s">
        <v>36</v>
      </c>
      <c r="B1652" s="2">
        <v>43961</v>
      </c>
      <c r="C1652" s="1">
        <v>0</v>
      </c>
      <c r="D1652" s="39">
        <v>11</v>
      </c>
      <c r="E1652" s="1"/>
      <c r="F1652" s="39">
        <f t="shared" si="78"/>
        <v>0</v>
      </c>
      <c r="G1652" s="395"/>
      <c r="H1652" s="395"/>
      <c r="J1652" s="42"/>
    </row>
    <row r="1653" spans="1:10" s="393" customFormat="1" x14ac:dyDescent="0.25">
      <c r="A1653" s="19" t="s">
        <v>37</v>
      </c>
      <c r="B1653" s="2">
        <v>43961</v>
      </c>
      <c r="C1653" s="1">
        <v>0</v>
      </c>
      <c r="D1653" s="39">
        <v>49</v>
      </c>
      <c r="E1653" s="1"/>
      <c r="F1653" s="39">
        <f t="shared" si="78"/>
        <v>0</v>
      </c>
      <c r="G1653" s="395"/>
      <c r="H1653" s="395"/>
      <c r="J1653" s="42"/>
    </row>
    <row r="1654" spans="1:10" s="393" customFormat="1" x14ac:dyDescent="0.25">
      <c r="A1654" s="19" t="s">
        <v>22</v>
      </c>
      <c r="B1654" s="2">
        <v>43961</v>
      </c>
      <c r="C1654" s="1">
        <v>0</v>
      </c>
      <c r="D1654" s="39">
        <v>244</v>
      </c>
      <c r="E1654" s="1"/>
      <c r="F1654" s="39">
        <f>E1654+F1630</f>
        <v>3</v>
      </c>
      <c r="G1654" s="395"/>
      <c r="H1654" s="395"/>
      <c r="J1654" s="42"/>
    </row>
    <row r="1655" spans="1:10" s="393" customFormat="1" x14ac:dyDescent="0.25">
      <c r="A1655" s="19" t="s">
        <v>38</v>
      </c>
      <c r="B1655" s="2">
        <v>43961</v>
      </c>
      <c r="C1655" s="1">
        <v>1</v>
      </c>
      <c r="D1655" s="39">
        <v>16</v>
      </c>
      <c r="E1655" s="1"/>
      <c r="F1655" s="39">
        <f>E1655+F1631</f>
        <v>0</v>
      </c>
      <c r="G1655" s="395"/>
      <c r="H1655" s="395"/>
      <c r="J1655" s="42"/>
    </row>
    <row r="1656" spans="1:10" s="393" customFormat="1" x14ac:dyDescent="0.25">
      <c r="A1656" s="19" t="s">
        <v>39</v>
      </c>
      <c r="B1656" s="2">
        <v>43961</v>
      </c>
      <c r="C1656" s="1">
        <v>2</v>
      </c>
      <c r="D1656" s="39">
        <v>148</v>
      </c>
      <c r="E1656" s="1"/>
      <c r="F1656" s="39">
        <f t="shared" si="78"/>
        <v>0</v>
      </c>
      <c r="G1656" s="395"/>
      <c r="H1656" s="395"/>
      <c r="J1656" s="42"/>
    </row>
    <row r="1657" spans="1:10" s="393" customFormat="1" x14ac:dyDescent="0.25">
      <c r="A1657" s="19" t="s">
        <v>40</v>
      </c>
      <c r="B1657" s="2">
        <v>43961</v>
      </c>
      <c r="C1657" s="1">
        <v>0</v>
      </c>
      <c r="D1657" s="39">
        <v>41</v>
      </c>
      <c r="E1657" s="1"/>
      <c r="F1657" s="39">
        <f>E1657+F1633</f>
        <v>3</v>
      </c>
      <c r="G1657" s="395"/>
      <c r="H1657" s="395"/>
      <c r="J1657" s="42"/>
    </row>
    <row r="1658" spans="1:10" s="393" customFormat="1" x14ac:dyDescent="0.25">
      <c r="A1658" s="394" t="s">
        <v>16</v>
      </c>
      <c r="B1658" s="2">
        <v>43962</v>
      </c>
      <c r="C1658" s="1">
        <v>44</v>
      </c>
      <c r="D1658" s="39">
        <v>2156</v>
      </c>
      <c r="E1658" s="1">
        <v>4</v>
      </c>
      <c r="F1658" s="39">
        <f>E1658+F1634</f>
        <v>129</v>
      </c>
      <c r="G1658" s="395"/>
      <c r="H1658" s="395"/>
      <c r="J1658" s="42"/>
    </row>
    <row r="1659" spans="1:10" s="393" customFormat="1" x14ac:dyDescent="0.25">
      <c r="A1659" s="19" t="s">
        <v>28</v>
      </c>
      <c r="B1659" s="2">
        <v>43962</v>
      </c>
      <c r="C1659" s="1">
        <v>0</v>
      </c>
      <c r="D1659" s="39">
        <v>0</v>
      </c>
      <c r="E1659" s="1"/>
      <c r="F1659" s="39">
        <f t="shared" ref="F1659:F1665" si="79">E1659+F1635</f>
        <v>0</v>
      </c>
      <c r="G1659" s="395"/>
      <c r="H1659" s="395"/>
      <c r="J1659" s="42"/>
    </row>
    <row r="1660" spans="1:10" s="393" customFormat="1" x14ac:dyDescent="0.25">
      <c r="A1660" s="19" t="s">
        <v>15</v>
      </c>
      <c r="B1660" s="2">
        <v>43962</v>
      </c>
      <c r="C1660" s="1">
        <v>17</v>
      </c>
      <c r="D1660" s="39">
        <v>476</v>
      </c>
      <c r="E1660" s="1">
        <v>1</v>
      </c>
      <c r="F1660" s="39">
        <f t="shared" si="79"/>
        <v>20</v>
      </c>
      <c r="G1660" s="395"/>
      <c r="H1660" s="395"/>
      <c r="J1660" s="42"/>
    </row>
    <row r="1661" spans="1:10" s="393" customFormat="1" x14ac:dyDescent="0.25">
      <c r="A1661" s="19" t="s">
        <v>29</v>
      </c>
      <c r="B1661" s="2">
        <v>43962</v>
      </c>
      <c r="C1661" s="1">
        <v>0</v>
      </c>
      <c r="D1661" s="39">
        <v>4</v>
      </c>
      <c r="E1661" s="1"/>
      <c r="F1661" s="39">
        <f t="shared" si="79"/>
        <v>1</v>
      </c>
      <c r="G1661" s="395"/>
      <c r="H1661" s="395"/>
      <c r="J1661" s="42"/>
    </row>
    <row r="1662" spans="1:10" s="393" customFormat="1" x14ac:dyDescent="0.25">
      <c r="A1662" s="19" t="s">
        <v>43</v>
      </c>
      <c r="B1662" s="2">
        <v>43962</v>
      </c>
      <c r="C1662" s="1">
        <v>137</v>
      </c>
      <c r="D1662" s="39">
        <v>2098</v>
      </c>
      <c r="E1662" s="1">
        <v>3</v>
      </c>
      <c r="F1662" s="39">
        <f t="shared" si="79"/>
        <v>100</v>
      </c>
      <c r="G1662" s="395"/>
      <c r="H1662" s="395"/>
      <c r="J1662" s="42"/>
    </row>
    <row r="1663" spans="1:10" s="393" customFormat="1" x14ac:dyDescent="0.25">
      <c r="A1663" s="19" t="s">
        <v>20</v>
      </c>
      <c r="B1663" s="2">
        <v>43962</v>
      </c>
      <c r="C1663" s="1">
        <v>14</v>
      </c>
      <c r="D1663" s="39">
        <v>347</v>
      </c>
      <c r="E1663" s="1"/>
      <c r="F1663" s="39">
        <f t="shared" si="79"/>
        <v>19</v>
      </c>
      <c r="G1663" s="395"/>
      <c r="H1663" s="395"/>
      <c r="J1663" s="42"/>
    </row>
    <row r="1664" spans="1:10" s="393" customFormat="1" x14ac:dyDescent="0.25">
      <c r="A1664" s="19" t="s">
        <v>30</v>
      </c>
      <c r="B1664" s="2">
        <v>43962</v>
      </c>
      <c r="C1664" s="1">
        <v>16</v>
      </c>
      <c r="D1664" s="39">
        <v>70</v>
      </c>
      <c r="E1664" s="1"/>
      <c r="F1664" s="39">
        <f t="shared" si="79"/>
        <v>0</v>
      </c>
      <c r="G1664" s="395"/>
      <c r="H1664" s="395"/>
      <c r="J1664" s="42"/>
    </row>
    <row r="1665" spans="1:10" x14ac:dyDescent="0.25">
      <c r="A1665" s="19" t="s">
        <v>31</v>
      </c>
      <c r="B1665" s="2">
        <v>43962</v>
      </c>
      <c r="C1665" s="1">
        <v>0</v>
      </c>
      <c r="D1665" s="39">
        <v>28</v>
      </c>
      <c r="F1665" s="39">
        <f t="shared" si="79"/>
        <v>0</v>
      </c>
    </row>
    <row r="1666" spans="1:10" s="393" customFormat="1" x14ac:dyDescent="0.25">
      <c r="A1666" s="19" t="s">
        <v>41</v>
      </c>
      <c r="B1666" s="2">
        <v>43962</v>
      </c>
      <c r="C1666" s="1">
        <v>0</v>
      </c>
      <c r="D1666" s="39">
        <v>0</v>
      </c>
      <c r="E1666" s="1"/>
      <c r="F1666" s="39">
        <f t="shared" ref="F1666:F1680" si="80">E1666+F1641</f>
        <v>0</v>
      </c>
      <c r="G1666" s="395"/>
      <c r="H1666" s="395"/>
      <c r="J1666" s="42"/>
    </row>
    <row r="1667" spans="1:10" s="393" customFormat="1" x14ac:dyDescent="0.25">
      <c r="A1667" s="19" t="s">
        <v>32</v>
      </c>
      <c r="B1667" s="2">
        <v>43962</v>
      </c>
      <c r="C1667" s="1">
        <v>0</v>
      </c>
      <c r="D1667" s="39">
        <v>5</v>
      </c>
      <c r="E1667" s="1"/>
      <c r="F1667" s="39">
        <f t="shared" si="80"/>
        <v>0</v>
      </c>
      <c r="G1667" s="395"/>
      <c r="H1667" s="395"/>
      <c r="J1667" s="42"/>
    </row>
    <row r="1668" spans="1:10" s="393" customFormat="1" x14ac:dyDescent="0.25">
      <c r="A1668" s="19" t="s">
        <v>33</v>
      </c>
      <c r="B1668" s="2">
        <v>43962</v>
      </c>
      <c r="C1668" s="1">
        <v>0</v>
      </c>
      <c r="D1668" s="39">
        <v>5</v>
      </c>
      <c r="E1668" s="1"/>
      <c r="F1668" s="39">
        <f t="shared" si="80"/>
        <v>0</v>
      </c>
      <c r="G1668" s="395"/>
      <c r="H1668" s="395"/>
      <c r="J1668" s="42"/>
    </row>
    <row r="1669" spans="1:10" s="393" customFormat="1" x14ac:dyDescent="0.25">
      <c r="A1669" s="19" t="s">
        <v>21</v>
      </c>
      <c r="B1669" s="2">
        <v>43962</v>
      </c>
      <c r="C1669" s="1">
        <v>1</v>
      </c>
      <c r="D1669" s="39">
        <v>60</v>
      </c>
      <c r="E1669" s="1"/>
      <c r="F1669" s="39">
        <f t="shared" si="80"/>
        <v>0</v>
      </c>
      <c r="G1669" s="395"/>
      <c r="H1669" s="395"/>
      <c r="J1669" s="42"/>
    </row>
    <row r="1670" spans="1:10" s="393" customFormat="1" x14ac:dyDescent="0.25">
      <c r="A1670" s="19" t="s">
        <v>17</v>
      </c>
      <c r="B1670" s="2">
        <v>43962</v>
      </c>
      <c r="C1670" s="1">
        <v>0</v>
      </c>
      <c r="D1670" s="39">
        <v>86</v>
      </c>
      <c r="E1670" s="1"/>
      <c r="F1670" s="39">
        <f t="shared" si="80"/>
        <v>0</v>
      </c>
      <c r="G1670" s="395"/>
      <c r="H1670" s="395"/>
      <c r="J1670" s="42"/>
    </row>
    <row r="1671" spans="1:10" s="393" customFormat="1" x14ac:dyDescent="0.25">
      <c r="A1671" s="19" t="s">
        <v>23</v>
      </c>
      <c r="B1671" s="2">
        <v>43962</v>
      </c>
      <c r="C1671" s="1">
        <v>1</v>
      </c>
      <c r="D1671" s="39">
        <v>26</v>
      </c>
      <c r="E1671" s="1"/>
      <c r="F1671" s="39">
        <f t="shared" si="80"/>
        <v>1</v>
      </c>
      <c r="G1671" s="395"/>
      <c r="H1671" s="395"/>
      <c r="J1671" s="42"/>
    </row>
    <row r="1672" spans="1:10" s="393" customFormat="1" x14ac:dyDescent="0.25">
      <c r="A1672" s="19" t="s">
        <v>19</v>
      </c>
      <c r="B1672" s="2">
        <v>43962</v>
      </c>
      <c r="C1672" s="1">
        <v>0</v>
      </c>
      <c r="D1672" s="39">
        <v>111</v>
      </c>
      <c r="E1672" s="1"/>
      <c r="F1672" s="39">
        <f t="shared" si="80"/>
        <v>0</v>
      </c>
      <c r="G1672" s="395"/>
      <c r="H1672" s="395"/>
      <c r="J1672" s="42"/>
    </row>
    <row r="1673" spans="1:10" s="393" customFormat="1" x14ac:dyDescent="0.25">
      <c r="A1673" s="19" t="s">
        <v>18</v>
      </c>
      <c r="B1673" s="2">
        <v>43962</v>
      </c>
      <c r="C1673" s="1">
        <v>13</v>
      </c>
      <c r="D1673" s="39">
        <v>289</v>
      </c>
      <c r="E1673" s="1">
        <v>1</v>
      </c>
      <c r="F1673" s="39">
        <f t="shared" si="80"/>
        <v>1</v>
      </c>
      <c r="G1673" s="395"/>
      <c r="H1673" s="395"/>
      <c r="J1673" s="42"/>
    </row>
    <row r="1674" spans="1:10" s="393" customFormat="1" x14ac:dyDescent="0.25">
      <c r="A1674" s="19" t="s">
        <v>34</v>
      </c>
      <c r="B1674" s="2">
        <v>43962</v>
      </c>
      <c r="C1674" s="1">
        <v>0</v>
      </c>
      <c r="D1674" s="39">
        <v>4</v>
      </c>
      <c r="E1674" s="1"/>
      <c r="F1674" s="39">
        <f t="shared" si="80"/>
        <v>0</v>
      </c>
      <c r="G1674" s="395"/>
      <c r="H1674" s="395"/>
      <c r="J1674" s="42"/>
    </row>
    <row r="1675" spans="1:10" s="393" customFormat="1" x14ac:dyDescent="0.25">
      <c r="A1675" s="19" t="s">
        <v>35</v>
      </c>
      <c r="B1675" s="2">
        <v>43962</v>
      </c>
      <c r="C1675" s="1">
        <v>0</v>
      </c>
      <c r="D1675" s="39">
        <v>3</v>
      </c>
      <c r="E1675" s="1"/>
      <c r="F1675" s="39">
        <f>E1675+F1651</f>
        <v>0</v>
      </c>
      <c r="G1675" s="395"/>
      <c r="H1675" s="395"/>
      <c r="J1675" s="42"/>
    </row>
    <row r="1676" spans="1:10" s="393" customFormat="1" x14ac:dyDescent="0.25">
      <c r="A1676" s="19" t="s">
        <v>36</v>
      </c>
      <c r="B1676" s="2">
        <v>43962</v>
      </c>
      <c r="C1676" s="1">
        <v>0</v>
      </c>
      <c r="D1676" s="39">
        <v>11</v>
      </c>
      <c r="E1676" s="1"/>
      <c r="F1676" s="39">
        <f t="shared" si="80"/>
        <v>0</v>
      </c>
      <c r="G1676" s="395"/>
      <c r="H1676" s="395"/>
      <c r="J1676" s="42"/>
    </row>
    <row r="1677" spans="1:10" s="393" customFormat="1" x14ac:dyDescent="0.25">
      <c r="A1677" s="19" t="s">
        <v>37</v>
      </c>
      <c r="B1677" s="2">
        <v>43962</v>
      </c>
      <c r="C1677" s="1">
        <v>0</v>
      </c>
      <c r="D1677" s="39">
        <v>49</v>
      </c>
      <c r="E1677" s="1"/>
      <c r="F1677" s="39">
        <f t="shared" si="80"/>
        <v>0</v>
      </c>
      <c r="G1677" s="395"/>
      <c r="H1677" s="395"/>
      <c r="J1677" s="42"/>
    </row>
    <row r="1678" spans="1:10" s="393" customFormat="1" x14ac:dyDescent="0.25">
      <c r="A1678" s="19" t="s">
        <v>22</v>
      </c>
      <c r="B1678" s="2">
        <v>43962</v>
      </c>
      <c r="C1678" s="1">
        <v>0</v>
      </c>
      <c r="D1678" s="39">
        <v>244</v>
      </c>
      <c r="E1678" s="1"/>
      <c r="F1678" s="39">
        <f>E1678+F1654</f>
        <v>3</v>
      </c>
      <c r="G1678" s="395"/>
      <c r="H1678" s="395"/>
      <c r="J1678" s="42"/>
    </row>
    <row r="1679" spans="1:10" s="393" customFormat="1" x14ac:dyDescent="0.25">
      <c r="A1679" s="19" t="s">
        <v>38</v>
      </c>
      <c r="B1679" s="2">
        <v>43962</v>
      </c>
      <c r="C1679" s="1">
        <v>0</v>
      </c>
      <c r="D1679" s="39">
        <v>16</v>
      </c>
      <c r="E1679" s="1"/>
      <c r="F1679" s="39">
        <f>E1679+F1655</f>
        <v>0</v>
      </c>
      <c r="G1679" s="395"/>
      <c r="H1679" s="395"/>
      <c r="J1679" s="42"/>
    </row>
    <row r="1680" spans="1:10" s="393" customFormat="1" x14ac:dyDescent="0.25">
      <c r="A1680" s="19" t="s">
        <v>39</v>
      </c>
      <c r="B1680" s="2">
        <v>43962</v>
      </c>
      <c r="C1680" s="1">
        <v>0</v>
      </c>
      <c r="D1680" s="39">
        <v>148</v>
      </c>
      <c r="E1680" s="1"/>
      <c r="F1680" s="39">
        <f t="shared" si="80"/>
        <v>0</v>
      </c>
      <c r="G1680" s="395"/>
      <c r="H1680" s="395"/>
      <c r="J1680" s="42"/>
    </row>
    <row r="1681" spans="1:10" s="393" customFormat="1" x14ac:dyDescent="0.25">
      <c r="A1681" s="19" t="s">
        <v>40</v>
      </c>
      <c r="B1681" s="2">
        <v>43962</v>
      </c>
      <c r="C1681" s="1">
        <v>1</v>
      </c>
      <c r="D1681" s="39">
        <v>42</v>
      </c>
      <c r="E1681" s="1"/>
      <c r="F1681" s="39">
        <f>E1681+F1657</f>
        <v>3</v>
      </c>
      <c r="G1681" s="395"/>
      <c r="H1681" s="395"/>
      <c r="J1681" s="42"/>
    </row>
    <row r="1682" spans="1:10" s="393" customFormat="1" x14ac:dyDescent="0.25">
      <c r="A1682" s="394" t="s">
        <v>16</v>
      </c>
      <c r="B1682" s="2">
        <v>43963</v>
      </c>
      <c r="C1682" s="1">
        <v>80</v>
      </c>
      <c r="D1682" s="39">
        <v>2236</v>
      </c>
      <c r="E1682" s="1">
        <v>2</v>
      </c>
      <c r="F1682" s="39">
        <f>E1682+F1658</f>
        <v>131</v>
      </c>
      <c r="G1682" s="395"/>
      <c r="H1682" s="395"/>
      <c r="J1682" s="42"/>
    </row>
    <row r="1683" spans="1:10" s="393" customFormat="1" x14ac:dyDescent="0.25">
      <c r="A1683" s="19" t="s">
        <v>28</v>
      </c>
      <c r="B1683" s="2">
        <v>43963</v>
      </c>
      <c r="C1683" s="1">
        <v>0</v>
      </c>
      <c r="D1683" s="39">
        <v>0</v>
      </c>
      <c r="E1683" s="1"/>
      <c r="F1683" s="39">
        <f t="shared" ref="F1683:F1689" si="81">E1683+F1659</f>
        <v>0</v>
      </c>
      <c r="G1683" s="395"/>
      <c r="H1683" s="395"/>
      <c r="J1683" s="42"/>
    </row>
    <row r="1684" spans="1:10" s="393" customFormat="1" x14ac:dyDescent="0.25">
      <c r="A1684" s="19" t="s">
        <v>15</v>
      </c>
      <c r="B1684" s="2">
        <v>43963</v>
      </c>
      <c r="C1684" s="1">
        <v>10</v>
      </c>
      <c r="D1684" s="39">
        <v>486</v>
      </c>
      <c r="E1684" s="1">
        <v>1</v>
      </c>
      <c r="F1684" s="39">
        <f t="shared" si="81"/>
        <v>21</v>
      </c>
      <c r="G1684" s="395"/>
      <c r="H1684" s="395"/>
      <c r="J1684" s="42"/>
    </row>
    <row r="1685" spans="1:10" s="393" customFormat="1" x14ac:dyDescent="0.25">
      <c r="A1685" s="19" t="s">
        <v>29</v>
      </c>
      <c r="B1685" s="2">
        <v>43963</v>
      </c>
      <c r="C1685" s="1">
        <v>0</v>
      </c>
      <c r="D1685" s="39">
        <v>4</v>
      </c>
      <c r="E1685" s="1"/>
      <c r="F1685" s="39">
        <f t="shared" si="81"/>
        <v>1</v>
      </c>
      <c r="G1685" s="395"/>
      <c r="H1685" s="395"/>
      <c r="J1685" s="42"/>
    </row>
    <row r="1686" spans="1:10" s="393" customFormat="1" x14ac:dyDescent="0.25">
      <c r="A1686" s="19" t="s">
        <v>43</v>
      </c>
      <c r="B1686" s="2">
        <v>43963</v>
      </c>
      <c r="C1686" s="1">
        <v>188</v>
      </c>
      <c r="D1686" s="39">
        <v>2286</v>
      </c>
      <c r="E1686" s="1">
        <v>1</v>
      </c>
      <c r="F1686" s="39">
        <f t="shared" si="81"/>
        <v>101</v>
      </c>
      <c r="G1686" s="395"/>
      <c r="H1686" s="395"/>
      <c r="J1686" s="42"/>
    </row>
    <row r="1687" spans="1:10" s="393" customFormat="1" x14ac:dyDescent="0.25">
      <c r="A1687" s="19" t="s">
        <v>20</v>
      </c>
      <c r="B1687" s="2">
        <v>43963</v>
      </c>
      <c r="C1687" s="1">
        <v>3</v>
      </c>
      <c r="D1687" s="39">
        <v>350</v>
      </c>
      <c r="E1687" s="1">
        <v>1</v>
      </c>
      <c r="F1687" s="39">
        <f t="shared" si="81"/>
        <v>20</v>
      </c>
      <c r="G1687" s="395"/>
      <c r="H1687" s="395"/>
      <c r="J1687" s="42"/>
    </row>
    <row r="1688" spans="1:10" s="393" customFormat="1" x14ac:dyDescent="0.25">
      <c r="A1688" s="19" t="s">
        <v>30</v>
      </c>
      <c r="B1688" s="2">
        <v>43963</v>
      </c>
      <c r="C1688" s="1">
        <v>1</v>
      </c>
      <c r="D1688" s="39">
        <v>71</v>
      </c>
      <c r="E1688" s="1"/>
      <c r="F1688" s="39">
        <f t="shared" si="81"/>
        <v>0</v>
      </c>
      <c r="G1688" s="395"/>
      <c r="H1688" s="395"/>
      <c r="J1688" s="42"/>
    </row>
    <row r="1689" spans="1:10" x14ac:dyDescent="0.25">
      <c r="A1689" s="19" t="s">
        <v>31</v>
      </c>
      <c r="B1689" s="2">
        <v>43963</v>
      </c>
      <c r="C1689" s="1">
        <v>0</v>
      </c>
      <c r="D1689" s="39">
        <v>28</v>
      </c>
      <c r="F1689" s="39">
        <f t="shared" si="81"/>
        <v>0</v>
      </c>
    </row>
    <row r="1690" spans="1:10" s="393" customFormat="1" x14ac:dyDescent="0.25">
      <c r="A1690" s="19" t="s">
        <v>41</v>
      </c>
      <c r="B1690" s="2">
        <v>43963</v>
      </c>
      <c r="C1690" s="1">
        <v>0</v>
      </c>
      <c r="D1690" s="39">
        <v>0</v>
      </c>
      <c r="E1690" s="1"/>
      <c r="F1690" s="39">
        <f t="shared" ref="F1690:F1704" si="82">E1690+F1665</f>
        <v>0</v>
      </c>
      <c r="G1690" s="395"/>
      <c r="H1690" s="395"/>
      <c r="J1690" s="42"/>
    </row>
    <row r="1691" spans="1:10" s="393" customFormat="1" x14ac:dyDescent="0.25">
      <c r="A1691" s="19" t="s">
        <v>32</v>
      </c>
      <c r="B1691" s="2">
        <v>43963</v>
      </c>
      <c r="C1691" s="1">
        <v>0</v>
      </c>
      <c r="D1691" s="39">
        <v>5</v>
      </c>
      <c r="E1691" s="1"/>
      <c r="F1691" s="39">
        <f t="shared" si="82"/>
        <v>0</v>
      </c>
      <c r="G1691" s="395"/>
      <c r="H1691" s="395"/>
      <c r="J1691" s="42"/>
    </row>
    <row r="1692" spans="1:10" s="393" customFormat="1" x14ac:dyDescent="0.25">
      <c r="A1692" s="19" t="s">
        <v>33</v>
      </c>
      <c r="B1692" s="2">
        <v>43963</v>
      </c>
      <c r="C1692" s="1">
        <v>0</v>
      </c>
      <c r="D1692" s="39">
        <v>5</v>
      </c>
      <c r="E1692" s="1"/>
      <c r="F1692" s="39">
        <f t="shared" si="82"/>
        <v>0</v>
      </c>
      <c r="G1692" s="395"/>
      <c r="H1692" s="395"/>
      <c r="J1692" s="42"/>
    </row>
    <row r="1693" spans="1:10" s="393" customFormat="1" x14ac:dyDescent="0.25">
      <c r="A1693" s="19" t="s">
        <v>21</v>
      </c>
      <c r="B1693" s="2">
        <v>43963</v>
      </c>
      <c r="C1693" s="1">
        <v>0</v>
      </c>
      <c r="D1693" s="39">
        <v>60</v>
      </c>
      <c r="E1693" s="1"/>
      <c r="F1693" s="39">
        <f t="shared" si="82"/>
        <v>0</v>
      </c>
      <c r="G1693" s="395"/>
      <c r="H1693" s="395"/>
      <c r="J1693" s="42"/>
    </row>
    <row r="1694" spans="1:10" s="393" customFormat="1" x14ac:dyDescent="0.25">
      <c r="A1694" s="19" t="s">
        <v>17</v>
      </c>
      <c r="B1694" s="2">
        <v>43963</v>
      </c>
      <c r="C1694" s="1">
        <v>1</v>
      </c>
      <c r="D1694" s="39">
        <v>87</v>
      </c>
      <c r="E1694" s="1"/>
      <c r="F1694" s="39">
        <f t="shared" si="82"/>
        <v>0</v>
      </c>
      <c r="G1694" s="395"/>
      <c r="H1694" s="395"/>
      <c r="J1694" s="42"/>
    </row>
    <row r="1695" spans="1:10" s="393" customFormat="1" x14ac:dyDescent="0.25">
      <c r="A1695" s="19" t="s">
        <v>23</v>
      </c>
      <c r="B1695" s="2">
        <v>43963</v>
      </c>
      <c r="C1695" s="1">
        <v>0</v>
      </c>
      <c r="D1695" s="39">
        <v>26</v>
      </c>
      <c r="E1695" s="1"/>
      <c r="F1695" s="39">
        <f t="shared" si="82"/>
        <v>0</v>
      </c>
      <c r="G1695" s="395"/>
      <c r="H1695" s="395"/>
      <c r="J1695" s="42"/>
    </row>
    <row r="1696" spans="1:10" s="393" customFormat="1" x14ac:dyDescent="0.25">
      <c r="A1696" s="19" t="s">
        <v>19</v>
      </c>
      <c r="B1696" s="2">
        <v>43963</v>
      </c>
      <c r="C1696" s="1">
        <v>0</v>
      </c>
      <c r="D1696" s="39">
        <v>111</v>
      </c>
      <c r="E1696" s="1"/>
      <c r="F1696" s="39">
        <f t="shared" si="82"/>
        <v>1</v>
      </c>
      <c r="G1696" s="395"/>
      <c r="H1696" s="395"/>
      <c r="J1696" s="42"/>
    </row>
    <row r="1697" spans="1:10" s="393" customFormat="1" x14ac:dyDescent="0.25">
      <c r="A1697" s="19" t="s">
        <v>18</v>
      </c>
      <c r="B1697" s="2">
        <v>43963</v>
      </c>
      <c r="C1697" s="1">
        <v>1</v>
      </c>
      <c r="D1697" s="39">
        <v>290</v>
      </c>
      <c r="E1697" s="1"/>
      <c r="F1697" s="39">
        <f t="shared" si="82"/>
        <v>0</v>
      </c>
      <c r="G1697" s="395"/>
      <c r="H1697" s="395"/>
      <c r="J1697" s="42"/>
    </row>
    <row r="1698" spans="1:10" s="393" customFormat="1" x14ac:dyDescent="0.25">
      <c r="A1698" s="19" t="s">
        <v>34</v>
      </c>
      <c r="B1698" s="2">
        <v>43963</v>
      </c>
      <c r="C1698" s="1">
        <v>1</v>
      </c>
      <c r="D1698" s="39">
        <v>5</v>
      </c>
      <c r="E1698" s="1"/>
      <c r="F1698" s="39">
        <f t="shared" si="82"/>
        <v>1</v>
      </c>
      <c r="G1698" s="395"/>
      <c r="H1698" s="395"/>
      <c r="J1698" s="42"/>
    </row>
    <row r="1699" spans="1:10" s="393" customFormat="1" x14ac:dyDescent="0.25">
      <c r="A1699" s="19" t="s">
        <v>35</v>
      </c>
      <c r="B1699" s="2">
        <v>43963</v>
      </c>
      <c r="C1699" s="1">
        <v>0</v>
      </c>
      <c r="D1699" s="39">
        <v>3</v>
      </c>
      <c r="E1699" s="1"/>
      <c r="F1699" s="39">
        <f>E1699+F1675</f>
        <v>0</v>
      </c>
      <c r="G1699" s="395"/>
      <c r="H1699" s="395"/>
      <c r="J1699" s="42"/>
    </row>
    <row r="1700" spans="1:10" s="393" customFormat="1" x14ac:dyDescent="0.25">
      <c r="A1700" s="19" t="s">
        <v>36</v>
      </c>
      <c r="B1700" s="2">
        <v>43963</v>
      </c>
      <c r="C1700" s="1">
        <v>0</v>
      </c>
      <c r="D1700" s="39">
        <v>11</v>
      </c>
      <c r="E1700" s="1"/>
      <c r="F1700" s="39">
        <f t="shared" si="82"/>
        <v>0</v>
      </c>
      <c r="G1700" s="395"/>
      <c r="H1700" s="395"/>
      <c r="J1700" s="42"/>
    </row>
    <row r="1701" spans="1:10" s="393" customFormat="1" x14ac:dyDescent="0.25">
      <c r="A1701" s="19" t="s">
        <v>37</v>
      </c>
      <c r="B1701" s="2">
        <v>43963</v>
      </c>
      <c r="C1701" s="1">
        <v>0</v>
      </c>
      <c r="D1701" s="39">
        <v>49</v>
      </c>
      <c r="E1701" s="1"/>
      <c r="F1701" s="39">
        <f t="shared" si="82"/>
        <v>0</v>
      </c>
      <c r="G1701" s="395"/>
      <c r="H1701" s="395"/>
      <c r="J1701" s="42"/>
    </row>
    <row r="1702" spans="1:10" s="393" customFormat="1" x14ac:dyDescent="0.25">
      <c r="A1702" s="19" t="s">
        <v>22</v>
      </c>
      <c r="B1702" s="2">
        <v>43963</v>
      </c>
      <c r="C1702" s="1">
        <v>0</v>
      </c>
      <c r="D1702" s="39">
        <v>244</v>
      </c>
      <c r="E1702" s="1"/>
      <c r="F1702" s="39">
        <f>E1702+F1678</f>
        <v>3</v>
      </c>
      <c r="G1702" s="395"/>
      <c r="H1702" s="395"/>
      <c r="J1702" s="42"/>
    </row>
    <row r="1703" spans="1:10" s="393" customFormat="1" x14ac:dyDescent="0.25">
      <c r="A1703" s="19" t="s">
        <v>38</v>
      </c>
      <c r="B1703" s="2">
        <v>43963</v>
      </c>
      <c r="C1703" s="1">
        <v>0</v>
      </c>
      <c r="D1703" s="39">
        <v>16</v>
      </c>
      <c r="E1703" s="1"/>
      <c r="F1703" s="39">
        <f>E1703+F1679</f>
        <v>0</v>
      </c>
      <c r="G1703" s="395"/>
      <c r="H1703" s="395"/>
      <c r="J1703" s="42"/>
    </row>
    <row r="1704" spans="1:10" s="393" customFormat="1" x14ac:dyDescent="0.25">
      <c r="A1704" s="19" t="s">
        <v>39</v>
      </c>
      <c r="B1704" s="2">
        <v>43963</v>
      </c>
      <c r="C1704" s="1">
        <v>0</v>
      </c>
      <c r="D1704" s="39">
        <v>148</v>
      </c>
      <c r="E1704" s="1"/>
      <c r="F1704" s="39">
        <f t="shared" si="82"/>
        <v>0</v>
      </c>
      <c r="G1704" s="395"/>
      <c r="H1704" s="395"/>
      <c r="J1704" s="42"/>
    </row>
    <row r="1705" spans="1:10" s="393" customFormat="1" x14ac:dyDescent="0.25">
      <c r="A1705" s="19" t="s">
        <v>40</v>
      </c>
      <c r="B1705" s="2">
        <v>43963</v>
      </c>
      <c r="C1705" s="1">
        <v>0</v>
      </c>
      <c r="D1705" s="39">
        <v>42</v>
      </c>
      <c r="E1705" s="1"/>
      <c r="F1705" s="39">
        <f>E1705+F1681</f>
        <v>3</v>
      </c>
      <c r="G1705" s="395"/>
      <c r="H1705" s="395"/>
      <c r="J1705" s="42"/>
    </row>
    <row r="1706" spans="1:10" s="393" customFormat="1" x14ac:dyDescent="0.25">
      <c r="A1706" s="394" t="s">
        <v>16</v>
      </c>
      <c r="B1706" s="2">
        <v>43964</v>
      </c>
      <c r="C1706" s="1">
        <v>96</v>
      </c>
      <c r="D1706" s="39">
        <v>2332</v>
      </c>
      <c r="E1706" s="1">
        <v>4</v>
      </c>
      <c r="F1706" s="39">
        <f>E1706+F1682</f>
        <v>135</v>
      </c>
      <c r="G1706" s="395"/>
      <c r="H1706" s="395"/>
      <c r="J1706" s="42"/>
    </row>
    <row r="1707" spans="1:10" s="393" customFormat="1" x14ac:dyDescent="0.25">
      <c r="A1707" s="19" t="s">
        <v>28</v>
      </c>
      <c r="B1707" s="2">
        <v>43964</v>
      </c>
      <c r="C1707" s="1">
        <v>0</v>
      </c>
      <c r="D1707" s="39">
        <v>0</v>
      </c>
      <c r="E1707" s="1"/>
      <c r="F1707" s="39">
        <f t="shared" ref="F1707:F1713" si="83">E1707+F1683</f>
        <v>0</v>
      </c>
      <c r="G1707" s="395"/>
      <c r="H1707" s="395"/>
      <c r="J1707" s="42"/>
    </row>
    <row r="1708" spans="1:10" s="393" customFormat="1" x14ac:dyDescent="0.25">
      <c r="A1708" s="19" t="s">
        <v>15</v>
      </c>
      <c r="B1708" s="2">
        <v>43964</v>
      </c>
      <c r="C1708" s="1">
        <v>18</v>
      </c>
      <c r="D1708" s="39">
        <v>504</v>
      </c>
      <c r="E1708" s="1">
        <v>1</v>
      </c>
      <c r="F1708" s="39">
        <f t="shared" si="83"/>
        <v>22</v>
      </c>
      <c r="G1708" s="395"/>
      <c r="H1708" s="395"/>
      <c r="J1708" s="42"/>
    </row>
    <row r="1709" spans="1:10" s="393" customFormat="1" x14ac:dyDescent="0.25">
      <c r="A1709" s="19" t="s">
        <v>29</v>
      </c>
      <c r="B1709" s="2">
        <v>43964</v>
      </c>
      <c r="C1709" s="1">
        <v>0</v>
      </c>
      <c r="D1709" s="39">
        <v>4</v>
      </c>
      <c r="E1709" s="1"/>
      <c r="F1709" s="39">
        <f t="shared" si="83"/>
        <v>1</v>
      </c>
      <c r="G1709" s="395"/>
      <c r="H1709" s="395"/>
      <c r="J1709" s="42"/>
    </row>
    <row r="1710" spans="1:10" s="393" customFormat="1" x14ac:dyDescent="0.25">
      <c r="A1710" s="19" t="s">
        <v>43</v>
      </c>
      <c r="B1710" s="2">
        <v>43964</v>
      </c>
      <c r="C1710" s="1">
        <v>179</v>
      </c>
      <c r="D1710" s="39">
        <v>2465</v>
      </c>
      <c r="E1710" s="1">
        <v>5</v>
      </c>
      <c r="F1710" s="39">
        <f t="shared" si="83"/>
        <v>106</v>
      </c>
      <c r="G1710" s="395"/>
      <c r="H1710" s="395"/>
      <c r="J1710" s="42"/>
    </row>
    <row r="1711" spans="1:10" s="393" customFormat="1" x14ac:dyDescent="0.25">
      <c r="A1711" s="19" t="s">
        <v>20</v>
      </c>
      <c r="B1711" s="2">
        <v>43964</v>
      </c>
      <c r="C1711" s="1">
        <v>11</v>
      </c>
      <c r="D1711" s="39">
        <v>361</v>
      </c>
      <c r="E1711" s="1"/>
      <c r="F1711" s="39">
        <f t="shared" si="83"/>
        <v>20</v>
      </c>
      <c r="G1711" s="395"/>
      <c r="H1711" s="395"/>
      <c r="J1711" s="42"/>
    </row>
    <row r="1712" spans="1:10" s="393" customFormat="1" x14ac:dyDescent="0.25">
      <c r="A1712" s="19" t="s">
        <v>30</v>
      </c>
      <c r="B1712" s="2">
        <v>43964</v>
      </c>
      <c r="C1712" s="1">
        <v>5</v>
      </c>
      <c r="D1712" s="39">
        <v>76</v>
      </c>
      <c r="E1712" s="1"/>
      <c r="F1712" s="39">
        <f t="shared" si="83"/>
        <v>0</v>
      </c>
      <c r="G1712" s="395"/>
      <c r="H1712" s="395"/>
      <c r="J1712" s="42"/>
    </row>
    <row r="1713" spans="1:10" x14ac:dyDescent="0.25">
      <c r="A1713" s="19" t="s">
        <v>31</v>
      </c>
      <c r="B1713" s="2">
        <v>43964</v>
      </c>
      <c r="C1713" s="1">
        <v>1</v>
      </c>
      <c r="D1713" s="39">
        <v>29</v>
      </c>
      <c r="F1713" s="39">
        <f t="shared" si="83"/>
        <v>0</v>
      </c>
    </row>
    <row r="1714" spans="1:10" s="393" customFormat="1" x14ac:dyDescent="0.25">
      <c r="A1714" s="19" t="s">
        <v>41</v>
      </c>
      <c r="B1714" s="2">
        <v>43964</v>
      </c>
      <c r="C1714" s="1">
        <v>0</v>
      </c>
      <c r="D1714" s="39">
        <v>0</v>
      </c>
      <c r="E1714" s="1"/>
      <c r="F1714" s="39">
        <f t="shared" ref="F1714:F1728" si="84">E1714+F1689</f>
        <v>0</v>
      </c>
      <c r="G1714" s="395"/>
      <c r="H1714" s="395"/>
      <c r="J1714" s="42"/>
    </row>
    <row r="1715" spans="1:10" s="393" customFormat="1" x14ac:dyDescent="0.25">
      <c r="A1715" s="19" t="s">
        <v>32</v>
      </c>
      <c r="B1715" s="2">
        <v>43964</v>
      </c>
      <c r="C1715" s="1">
        <v>0</v>
      </c>
      <c r="D1715" s="39">
        <v>5</v>
      </c>
      <c r="E1715" s="1"/>
      <c r="F1715" s="39">
        <f t="shared" si="84"/>
        <v>0</v>
      </c>
      <c r="G1715" s="395"/>
      <c r="H1715" s="395"/>
      <c r="J1715" s="42"/>
    </row>
    <row r="1716" spans="1:10" s="393" customFormat="1" x14ac:dyDescent="0.25">
      <c r="A1716" s="19" t="s">
        <v>33</v>
      </c>
      <c r="B1716" s="2">
        <v>43964</v>
      </c>
      <c r="C1716" s="1">
        <v>0</v>
      </c>
      <c r="D1716" s="39">
        <v>5</v>
      </c>
      <c r="E1716" s="1"/>
      <c r="F1716" s="39">
        <f t="shared" si="84"/>
        <v>0</v>
      </c>
      <c r="G1716" s="395"/>
      <c r="H1716" s="395"/>
      <c r="J1716" s="42"/>
    </row>
    <row r="1717" spans="1:10" s="393" customFormat="1" x14ac:dyDescent="0.25">
      <c r="A1717" s="19" t="s">
        <v>21</v>
      </c>
      <c r="B1717" s="2">
        <v>43964</v>
      </c>
      <c r="C1717" s="1">
        <v>0</v>
      </c>
      <c r="D1717" s="39">
        <v>60</v>
      </c>
      <c r="E1717" s="1"/>
      <c r="F1717" s="39">
        <f t="shared" si="84"/>
        <v>0</v>
      </c>
      <c r="G1717" s="395"/>
      <c r="H1717" s="395"/>
      <c r="J1717" s="42"/>
    </row>
    <row r="1718" spans="1:10" s="393" customFormat="1" x14ac:dyDescent="0.25">
      <c r="A1718" s="19" t="s">
        <v>17</v>
      </c>
      <c r="B1718" s="2">
        <v>43964</v>
      </c>
      <c r="C1718" s="1">
        <v>1</v>
      </c>
      <c r="D1718" s="39">
        <v>88</v>
      </c>
      <c r="E1718" s="1"/>
      <c r="F1718" s="39">
        <f t="shared" si="84"/>
        <v>0</v>
      </c>
      <c r="G1718" s="395"/>
      <c r="H1718" s="395"/>
      <c r="J1718" s="42"/>
    </row>
    <row r="1719" spans="1:10" s="393" customFormat="1" x14ac:dyDescent="0.25">
      <c r="A1719" s="19" t="s">
        <v>23</v>
      </c>
      <c r="B1719" s="2">
        <v>43964</v>
      </c>
      <c r="C1719" s="1">
        <v>-1</v>
      </c>
      <c r="D1719" s="39">
        <v>25</v>
      </c>
      <c r="E1719" s="1"/>
      <c r="F1719" s="39">
        <f t="shared" si="84"/>
        <v>0</v>
      </c>
      <c r="G1719" s="395"/>
      <c r="H1719" s="395"/>
      <c r="J1719" s="42"/>
    </row>
    <row r="1720" spans="1:10" s="393" customFormat="1" x14ac:dyDescent="0.25">
      <c r="A1720" s="19" t="s">
        <v>19</v>
      </c>
      <c r="B1720" s="2">
        <v>43964</v>
      </c>
      <c r="C1720" s="1">
        <v>2</v>
      </c>
      <c r="D1720" s="39">
        <v>113</v>
      </c>
      <c r="E1720" s="1"/>
      <c r="F1720" s="39">
        <f t="shared" si="84"/>
        <v>0</v>
      </c>
      <c r="G1720" s="395"/>
      <c r="H1720" s="395"/>
      <c r="J1720" s="42"/>
    </row>
    <row r="1721" spans="1:10" s="393" customFormat="1" x14ac:dyDescent="0.25">
      <c r="A1721" s="19" t="s">
        <v>18</v>
      </c>
      <c r="B1721" s="2">
        <v>43964</v>
      </c>
      <c r="C1721" s="1">
        <v>4</v>
      </c>
      <c r="D1721" s="39">
        <v>294</v>
      </c>
      <c r="E1721" s="1"/>
      <c r="F1721" s="39">
        <f t="shared" si="84"/>
        <v>1</v>
      </c>
      <c r="G1721" s="395"/>
      <c r="H1721" s="395"/>
      <c r="J1721" s="42"/>
    </row>
    <row r="1722" spans="1:10" s="393" customFormat="1" x14ac:dyDescent="0.25">
      <c r="A1722" s="19" t="s">
        <v>34</v>
      </c>
      <c r="B1722" s="2">
        <v>43964</v>
      </c>
      <c r="C1722" s="1">
        <v>0</v>
      </c>
      <c r="D1722" s="39">
        <v>5</v>
      </c>
      <c r="E1722" s="1"/>
      <c r="F1722" s="39">
        <f t="shared" si="84"/>
        <v>0</v>
      </c>
      <c r="G1722" s="395"/>
      <c r="H1722" s="395"/>
      <c r="J1722" s="42"/>
    </row>
    <row r="1723" spans="1:10" s="393" customFormat="1" x14ac:dyDescent="0.25">
      <c r="A1723" s="19" t="s">
        <v>35</v>
      </c>
      <c r="B1723" s="2">
        <v>43964</v>
      </c>
      <c r="C1723" s="1">
        <v>0</v>
      </c>
      <c r="D1723" s="39">
        <v>3</v>
      </c>
      <c r="E1723" s="1"/>
      <c r="F1723" s="39">
        <f>E1723+F1699</f>
        <v>0</v>
      </c>
      <c r="G1723" s="395"/>
      <c r="H1723" s="395"/>
      <c r="J1723" s="42"/>
    </row>
    <row r="1724" spans="1:10" s="393" customFormat="1" x14ac:dyDescent="0.25">
      <c r="A1724" s="19" t="s">
        <v>36</v>
      </c>
      <c r="B1724" s="2">
        <v>43964</v>
      </c>
      <c r="C1724" s="1">
        <v>0</v>
      </c>
      <c r="D1724" s="39">
        <v>11</v>
      </c>
      <c r="E1724" s="1"/>
      <c r="F1724" s="39">
        <f t="shared" si="84"/>
        <v>0</v>
      </c>
      <c r="G1724" s="395"/>
      <c r="H1724" s="395"/>
      <c r="J1724" s="42"/>
    </row>
    <row r="1725" spans="1:10" s="393" customFormat="1" x14ac:dyDescent="0.25">
      <c r="A1725" s="19" t="s">
        <v>37</v>
      </c>
      <c r="B1725" s="2">
        <v>43964</v>
      </c>
      <c r="C1725" s="1">
        <v>0</v>
      </c>
      <c r="D1725" s="39">
        <v>49</v>
      </c>
      <c r="E1725" s="1"/>
      <c r="F1725" s="39">
        <f t="shared" si="84"/>
        <v>0</v>
      </c>
      <c r="G1725" s="395"/>
      <c r="H1725" s="395"/>
      <c r="J1725" s="42"/>
    </row>
    <row r="1726" spans="1:10" s="393" customFormat="1" x14ac:dyDescent="0.25">
      <c r="A1726" s="19" t="s">
        <v>22</v>
      </c>
      <c r="B1726" s="2">
        <v>43964</v>
      </c>
      <c r="C1726" s="1">
        <v>0</v>
      </c>
      <c r="D1726" s="39">
        <v>244</v>
      </c>
      <c r="E1726" s="1"/>
      <c r="F1726" s="39">
        <f>E1726+F1702</f>
        <v>3</v>
      </c>
      <c r="G1726" s="395"/>
      <c r="H1726" s="395"/>
      <c r="J1726" s="42"/>
    </row>
    <row r="1727" spans="1:10" s="393" customFormat="1" x14ac:dyDescent="0.25">
      <c r="A1727" s="19" t="s">
        <v>38</v>
      </c>
      <c r="B1727" s="2">
        <v>43964</v>
      </c>
      <c r="C1727" s="1">
        <v>0</v>
      </c>
      <c r="D1727" s="39">
        <v>16</v>
      </c>
      <c r="E1727" s="1"/>
      <c r="F1727" s="39">
        <f>E1727+F1703</f>
        <v>0</v>
      </c>
      <c r="G1727" s="395"/>
      <c r="H1727" s="395"/>
      <c r="J1727" s="42"/>
    </row>
    <row r="1728" spans="1:10" s="393" customFormat="1" x14ac:dyDescent="0.25">
      <c r="A1728" s="19" t="s">
        <v>39</v>
      </c>
      <c r="B1728" s="2">
        <v>43964</v>
      </c>
      <c r="C1728" s="1">
        <v>0</v>
      </c>
      <c r="D1728" s="39">
        <v>148</v>
      </c>
      <c r="E1728" s="1"/>
      <c r="F1728" s="39">
        <f t="shared" si="84"/>
        <v>0</v>
      </c>
      <c r="G1728" s="395"/>
      <c r="H1728" s="395"/>
      <c r="J1728" s="42"/>
    </row>
    <row r="1729" spans="1:10" s="393" customFormat="1" x14ac:dyDescent="0.25">
      <c r="A1729" s="19" t="s">
        <v>40</v>
      </c>
      <c r="B1729" s="2">
        <v>43964</v>
      </c>
      <c r="C1729" s="1">
        <v>0</v>
      </c>
      <c r="D1729" s="39">
        <v>42</v>
      </c>
      <c r="E1729" s="1"/>
      <c r="F1729" s="39">
        <f>E1729+F1705</f>
        <v>3</v>
      </c>
      <c r="G1729" s="395"/>
      <c r="H1729" s="395"/>
      <c r="J1729" s="42"/>
    </row>
    <row r="1730" spans="1:10" s="393" customFormat="1" x14ac:dyDescent="0.25">
      <c r="A1730" s="394" t="s">
        <v>16</v>
      </c>
      <c r="B1730" s="2">
        <v>43965</v>
      </c>
      <c r="C1730" s="1">
        <v>79</v>
      </c>
      <c r="D1730" s="39">
        <v>2411</v>
      </c>
      <c r="E1730" s="1">
        <v>11</v>
      </c>
      <c r="F1730" s="39">
        <f>E1730+F1706</f>
        <v>146</v>
      </c>
      <c r="G1730" s="395"/>
      <c r="H1730" s="395"/>
      <c r="J1730" s="42"/>
    </row>
    <row r="1731" spans="1:10" s="393" customFormat="1" x14ac:dyDescent="0.25">
      <c r="A1731" s="19" t="s">
        <v>28</v>
      </c>
      <c r="B1731" s="2">
        <v>43965</v>
      </c>
      <c r="C1731" s="1">
        <v>0</v>
      </c>
      <c r="D1731" s="39">
        <v>0</v>
      </c>
      <c r="E1731" s="1"/>
      <c r="F1731" s="39">
        <f t="shared" ref="F1731:F1737" si="85">E1731+F1707</f>
        <v>0</v>
      </c>
      <c r="G1731" s="395"/>
      <c r="H1731" s="395"/>
      <c r="J1731" s="42"/>
    </row>
    <row r="1732" spans="1:10" s="393" customFormat="1" x14ac:dyDescent="0.25">
      <c r="A1732" s="19" t="s">
        <v>15</v>
      </c>
      <c r="B1732" s="2">
        <v>43965</v>
      </c>
      <c r="C1732" s="1">
        <v>9</v>
      </c>
      <c r="D1732" s="39">
        <v>513</v>
      </c>
      <c r="E1732" s="1">
        <v>1</v>
      </c>
      <c r="F1732" s="39">
        <f t="shared" si="85"/>
        <v>23</v>
      </c>
      <c r="G1732" s="395"/>
      <c r="H1732" s="395"/>
      <c r="J1732" s="42"/>
    </row>
    <row r="1733" spans="1:10" s="393" customFormat="1" x14ac:dyDescent="0.25">
      <c r="A1733" s="19" t="s">
        <v>29</v>
      </c>
      <c r="B1733" s="2">
        <v>43965</v>
      </c>
      <c r="C1733" s="1">
        <v>0</v>
      </c>
      <c r="D1733" s="39">
        <v>4</v>
      </c>
      <c r="E1733" s="1"/>
      <c r="F1733" s="39">
        <f t="shared" si="85"/>
        <v>1</v>
      </c>
      <c r="G1733" s="395"/>
      <c r="H1733" s="395"/>
      <c r="J1733" s="42"/>
    </row>
    <row r="1734" spans="1:10" s="393" customFormat="1" x14ac:dyDescent="0.25">
      <c r="A1734" s="19" t="s">
        <v>43</v>
      </c>
      <c r="B1734" s="2">
        <v>43965</v>
      </c>
      <c r="C1734" s="1">
        <v>153</v>
      </c>
      <c r="D1734" s="39">
        <v>2618</v>
      </c>
      <c r="E1734" s="1">
        <v>10</v>
      </c>
      <c r="F1734" s="39">
        <f t="shared" si="85"/>
        <v>116</v>
      </c>
      <c r="G1734" s="395"/>
      <c r="H1734" s="395"/>
      <c r="J1734" s="42"/>
    </row>
    <row r="1735" spans="1:10" s="393" customFormat="1" x14ac:dyDescent="0.25">
      <c r="A1735" s="19" t="s">
        <v>20</v>
      </c>
      <c r="B1735" s="2">
        <v>43965</v>
      </c>
      <c r="C1735" s="1">
        <v>5</v>
      </c>
      <c r="D1735" s="39">
        <v>366</v>
      </c>
      <c r="E1735" s="1">
        <v>1</v>
      </c>
      <c r="F1735" s="39">
        <f t="shared" si="85"/>
        <v>21</v>
      </c>
      <c r="G1735" s="395"/>
      <c r="H1735" s="395"/>
      <c r="J1735" s="42"/>
    </row>
    <row r="1736" spans="1:10" s="393" customFormat="1" x14ac:dyDescent="0.25">
      <c r="A1736" s="19" t="s">
        <v>30</v>
      </c>
      <c r="B1736" s="2">
        <v>43965</v>
      </c>
      <c r="C1736" s="1">
        <v>3</v>
      </c>
      <c r="D1736" s="39">
        <v>79</v>
      </c>
      <c r="E1736" s="1"/>
      <c r="F1736" s="39">
        <f t="shared" si="85"/>
        <v>0</v>
      </c>
      <c r="G1736" s="395"/>
      <c r="H1736" s="395"/>
      <c r="J1736" s="42"/>
    </row>
    <row r="1737" spans="1:10" x14ac:dyDescent="0.25">
      <c r="A1737" s="19" t="s">
        <v>31</v>
      </c>
      <c r="B1737" s="2">
        <v>43965</v>
      </c>
      <c r="C1737" s="1">
        <v>0</v>
      </c>
      <c r="D1737" s="39">
        <v>29</v>
      </c>
      <c r="F1737" s="39">
        <f t="shared" si="85"/>
        <v>0</v>
      </c>
    </row>
    <row r="1738" spans="1:10" s="393" customFormat="1" x14ac:dyDescent="0.25">
      <c r="A1738" s="19" t="s">
        <v>41</v>
      </c>
      <c r="B1738" s="2">
        <v>43965</v>
      </c>
      <c r="C1738" s="1">
        <v>0</v>
      </c>
      <c r="D1738" s="39">
        <v>0</v>
      </c>
      <c r="E1738" s="1"/>
      <c r="F1738" s="39">
        <f t="shared" ref="F1738:F1752" si="86">E1738+F1713</f>
        <v>0</v>
      </c>
      <c r="G1738" s="395"/>
      <c r="H1738" s="395"/>
      <c r="J1738" s="42"/>
    </row>
    <row r="1739" spans="1:10" s="393" customFormat="1" x14ac:dyDescent="0.25">
      <c r="A1739" s="19" t="s">
        <v>32</v>
      </c>
      <c r="B1739" s="2">
        <v>43965</v>
      </c>
      <c r="C1739" s="1">
        <v>0</v>
      </c>
      <c r="D1739" s="39">
        <v>5</v>
      </c>
      <c r="E1739" s="1"/>
      <c r="F1739" s="39">
        <f t="shared" si="86"/>
        <v>0</v>
      </c>
      <c r="G1739" s="395"/>
      <c r="H1739" s="395"/>
      <c r="J1739" s="42"/>
    </row>
    <row r="1740" spans="1:10" s="393" customFormat="1" x14ac:dyDescent="0.25">
      <c r="A1740" s="19" t="s">
        <v>33</v>
      </c>
      <c r="B1740" s="2">
        <v>43965</v>
      </c>
      <c r="C1740" s="1">
        <v>0</v>
      </c>
      <c r="D1740" s="39">
        <v>5</v>
      </c>
      <c r="E1740" s="1"/>
      <c r="F1740" s="39">
        <f t="shared" si="86"/>
        <v>0</v>
      </c>
      <c r="G1740" s="395"/>
      <c r="H1740" s="395"/>
      <c r="J1740" s="42"/>
    </row>
    <row r="1741" spans="1:10" s="393" customFormat="1" x14ac:dyDescent="0.25">
      <c r="A1741" s="19" t="s">
        <v>21</v>
      </c>
      <c r="B1741" s="2">
        <v>43965</v>
      </c>
      <c r="C1741" s="1">
        <v>0</v>
      </c>
      <c r="D1741" s="39">
        <v>60</v>
      </c>
      <c r="E1741" s="1"/>
      <c r="F1741" s="39">
        <f t="shared" si="86"/>
        <v>0</v>
      </c>
      <c r="G1741" s="395"/>
      <c r="H1741" s="395"/>
      <c r="J1741" s="42"/>
    </row>
    <row r="1742" spans="1:10" s="393" customFormat="1" x14ac:dyDescent="0.25">
      <c r="A1742" s="19" t="s">
        <v>17</v>
      </c>
      <c r="B1742" s="2">
        <v>43965</v>
      </c>
      <c r="C1742" s="1">
        <v>0</v>
      </c>
      <c r="D1742" s="39">
        <v>88</v>
      </c>
      <c r="E1742" s="1"/>
      <c r="F1742" s="39">
        <f t="shared" si="86"/>
        <v>0</v>
      </c>
      <c r="G1742" s="395"/>
      <c r="H1742" s="395"/>
      <c r="J1742" s="42"/>
    </row>
    <row r="1743" spans="1:10" s="393" customFormat="1" x14ac:dyDescent="0.25">
      <c r="A1743" s="19" t="s">
        <v>23</v>
      </c>
      <c r="B1743" s="2">
        <v>43965</v>
      </c>
      <c r="C1743" s="1">
        <v>0</v>
      </c>
      <c r="D1743" s="39">
        <v>25</v>
      </c>
      <c r="E1743" s="1"/>
      <c r="F1743" s="39">
        <f t="shared" si="86"/>
        <v>0</v>
      </c>
      <c r="G1743" s="395"/>
      <c r="H1743" s="395"/>
      <c r="J1743" s="42"/>
    </row>
    <row r="1744" spans="1:10" s="393" customFormat="1" x14ac:dyDescent="0.25">
      <c r="A1744" s="19" t="s">
        <v>19</v>
      </c>
      <c r="B1744" s="2">
        <v>43965</v>
      </c>
      <c r="C1744" s="1">
        <v>1</v>
      </c>
      <c r="D1744" s="39">
        <v>114</v>
      </c>
      <c r="E1744" s="1"/>
      <c r="F1744" s="39">
        <f t="shared" si="86"/>
        <v>0</v>
      </c>
      <c r="G1744" s="395"/>
      <c r="H1744" s="395"/>
      <c r="J1744" s="42"/>
    </row>
    <row r="1745" spans="1:10" s="393" customFormat="1" x14ac:dyDescent="0.25">
      <c r="A1745" s="19" t="s">
        <v>18</v>
      </c>
      <c r="B1745" s="2">
        <v>43965</v>
      </c>
      <c r="C1745" s="1">
        <v>4</v>
      </c>
      <c r="D1745" s="39">
        <v>298</v>
      </c>
      <c r="E1745" s="1">
        <v>1</v>
      </c>
      <c r="F1745" s="39">
        <f t="shared" si="86"/>
        <v>1</v>
      </c>
      <c r="G1745" s="395"/>
      <c r="H1745" s="395"/>
      <c r="J1745" s="42"/>
    </row>
    <row r="1746" spans="1:10" s="393" customFormat="1" x14ac:dyDescent="0.25">
      <c r="A1746" s="19" t="s">
        <v>34</v>
      </c>
      <c r="B1746" s="2">
        <v>43965</v>
      </c>
      <c r="C1746" s="1">
        <v>0</v>
      </c>
      <c r="D1746" s="39">
        <v>5</v>
      </c>
      <c r="E1746" s="1"/>
      <c r="F1746" s="39">
        <f t="shared" si="86"/>
        <v>1</v>
      </c>
      <c r="G1746" s="395"/>
      <c r="H1746" s="395"/>
      <c r="J1746" s="42"/>
    </row>
    <row r="1747" spans="1:10" s="393" customFormat="1" x14ac:dyDescent="0.25">
      <c r="A1747" s="19" t="s">
        <v>35</v>
      </c>
      <c r="B1747" s="2">
        <v>43965</v>
      </c>
      <c r="C1747" s="1">
        <v>0</v>
      </c>
      <c r="D1747" s="39">
        <v>3</v>
      </c>
      <c r="E1747" s="1"/>
      <c r="F1747" s="39">
        <f>E1747+F1723</f>
        <v>0</v>
      </c>
      <c r="G1747" s="395"/>
      <c r="H1747" s="395"/>
      <c r="J1747" s="42"/>
    </row>
    <row r="1748" spans="1:10" s="393" customFormat="1" x14ac:dyDescent="0.25">
      <c r="A1748" s="19" t="s">
        <v>36</v>
      </c>
      <c r="B1748" s="2">
        <v>43965</v>
      </c>
      <c r="C1748" s="1">
        <v>0</v>
      </c>
      <c r="D1748" s="39">
        <v>11</v>
      </c>
      <c r="E1748" s="1"/>
      <c r="F1748" s="39">
        <f t="shared" si="86"/>
        <v>0</v>
      </c>
      <c r="G1748" s="395"/>
      <c r="H1748" s="395"/>
      <c r="J1748" s="42"/>
    </row>
    <row r="1749" spans="1:10" s="393" customFormat="1" x14ac:dyDescent="0.25">
      <c r="A1749" s="19" t="s">
        <v>37</v>
      </c>
      <c r="B1749" s="2">
        <v>43965</v>
      </c>
      <c r="C1749" s="1">
        <v>0</v>
      </c>
      <c r="D1749" s="39">
        <v>49</v>
      </c>
      <c r="E1749" s="1"/>
      <c r="F1749" s="39">
        <f t="shared" si="86"/>
        <v>0</v>
      </c>
      <c r="G1749" s="395"/>
      <c r="H1749" s="395"/>
      <c r="J1749" s="42"/>
    </row>
    <row r="1750" spans="1:10" s="393" customFormat="1" x14ac:dyDescent="0.25">
      <c r="A1750" s="19" t="s">
        <v>22</v>
      </c>
      <c r="B1750" s="2">
        <v>43965</v>
      </c>
      <c r="C1750" s="1">
        <v>0</v>
      </c>
      <c r="D1750" s="39">
        <v>244</v>
      </c>
      <c r="E1750" s="1"/>
      <c r="F1750" s="39">
        <f>E1750+F1726</f>
        <v>3</v>
      </c>
      <c r="G1750" s="395"/>
      <c r="H1750" s="395"/>
      <c r="J1750" s="42"/>
    </row>
    <row r="1751" spans="1:10" s="393" customFormat="1" x14ac:dyDescent="0.25">
      <c r="A1751" s="19" t="s">
        <v>38</v>
      </c>
      <c r="B1751" s="2">
        <v>43965</v>
      </c>
      <c r="C1751" s="1">
        <v>0</v>
      </c>
      <c r="D1751" s="39">
        <v>16</v>
      </c>
      <c r="E1751" s="1"/>
      <c r="F1751" s="39">
        <f>E1751+F1727</f>
        <v>0</v>
      </c>
      <c r="G1751" s="395"/>
      <c r="H1751" s="395"/>
      <c r="J1751" s="42"/>
    </row>
    <row r="1752" spans="1:10" s="393" customFormat="1" x14ac:dyDescent="0.25">
      <c r="A1752" s="19" t="s">
        <v>39</v>
      </c>
      <c r="B1752" s="2">
        <v>43965</v>
      </c>
      <c r="C1752" s="1">
        <v>0</v>
      </c>
      <c r="D1752" s="39">
        <v>148</v>
      </c>
      <c r="E1752" s="1"/>
      <c r="F1752" s="39">
        <f t="shared" si="86"/>
        <v>0</v>
      </c>
      <c r="G1752" s="395"/>
      <c r="H1752" s="395"/>
      <c r="J1752" s="42"/>
    </row>
    <row r="1753" spans="1:10" s="393" customFormat="1" x14ac:dyDescent="0.25">
      <c r="A1753" s="19" t="s">
        <v>40</v>
      </c>
      <c r="B1753" s="2">
        <v>43965</v>
      </c>
      <c r="C1753" s="1">
        <v>0</v>
      </c>
      <c r="D1753" s="39">
        <v>42</v>
      </c>
      <c r="E1753" s="1"/>
      <c r="F1753" s="39">
        <f>E1753+F1729</f>
        <v>3</v>
      </c>
      <c r="G1753" s="395"/>
      <c r="H1753" s="395"/>
      <c r="J1753" s="42"/>
    </row>
    <row r="1754" spans="1:10" s="393" customFormat="1" x14ac:dyDescent="0.25">
      <c r="A1754" s="394" t="s">
        <v>16</v>
      </c>
      <c r="B1754" s="2">
        <v>43966</v>
      </c>
      <c r="C1754" s="1">
        <v>86</v>
      </c>
      <c r="D1754" s="39">
        <v>2497</v>
      </c>
      <c r="E1754" s="1">
        <v>2</v>
      </c>
      <c r="F1754" s="39">
        <f>E1754+F1730</f>
        <v>148</v>
      </c>
      <c r="G1754" s="395"/>
      <c r="H1754" s="395"/>
      <c r="J1754" s="42"/>
    </row>
    <row r="1755" spans="1:10" s="393" customFormat="1" x14ac:dyDescent="0.25">
      <c r="A1755" s="19" t="s">
        <v>28</v>
      </c>
      <c r="B1755" s="2">
        <v>43966</v>
      </c>
      <c r="C1755" s="1">
        <v>0</v>
      </c>
      <c r="D1755" s="39">
        <v>0</v>
      </c>
      <c r="E1755" s="1"/>
      <c r="F1755" s="39">
        <f t="shared" ref="F1755:F1761" si="87">E1755+F1731</f>
        <v>0</v>
      </c>
      <c r="G1755" s="395"/>
      <c r="H1755" s="395"/>
      <c r="J1755" s="42"/>
    </row>
    <row r="1756" spans="1:10" s="393" customFormat="1" x14ac:dyDescent="0.25">
      <c r="A1756" s="19" t="s">
        <v>15</v>
      </c>
      <c r="B1756" s="2">
        <v>43966</v>
      </c>
      <c r="C1756" s="1">
        <v>25</v>
      </c>
      <c r="D1756" s="39">
        <v>538</v>
      </c>
      <c r="E1756" s="1">
        <v>1</v>
      </c>
      <c r="F1756" s="39">
        <f t="shared" si="87"/>
        <v>24</v>
      </c>
      <c r="G1756" s="395"/>
      <c r="H1756" s="395"/>
      <c r="J1756" s="42"/>
    </row>
    <row r="1757" spans="1:10" s="393" customFormat="1" x14ac:dyDescent="0.25">
      <c r="A1757" s="19" t="s">
        <v>29</v>
      </c>
      <c r="B1757" s="2">
        <v>43966</v>
      </c>
      <c r="C1757" s="1">
        <v>0</v>
      </c>
      <c r="D1757" s="39">
        <v>4</v>
      </c>
      <c r="E1757" s="1"/>
      <c r="F1757" s="39">
        <f t="shared" si="87"/>
        <v>1</v>
      </c>
      <c r="G1757" s="395"/>
      <c r="H1757" s="395"/>
      <c r="J1757" s="42"/>
    </row>
    <row r="1758" spans="1:10" s="393" customFormat="1" x14ac:dyDescent="0.25">
      <c r="A1758" s="19" t="s">
        <v>43</v>
      </c>
      <c r="B1758" s="2">
        <v>43966</v>
      </c>
      <c r="C1758" s="1">
        <v>214</v>
      </c>
      <c r="D1758" s="39">
        <v>2832</v>
      </c>
      <c r="E1758" s="1"/>
      <c r="F1758" s="39">
        <f t="shared" si="87"/>
        <v>116</v>
      </c>
      <c r="G1758" s="395"/>
      <c r="H1758" s="395"/>
      <c r="J1758" s="42"/>
    </row>
    <row r="1759" spans="1:10" s="393" customFormat="1" x14ac:dyDescent="0.25">
      <c r="A1759" s="19" t="s">
        <v>20</v>
      </c>
      <c r="B1759" s="2">
        <v>43966</v>
      </c>
      <c r="C1759" s="1">
        <v>3</v>
      </c>
      <c r="D1759" s="39">
        <v>369</v>
      </c>
      <c r="E1759" s="1"/>
      <c r="F1759" s="39">
        <f t="shared" si="87"/>
        <v>21</v>
      </c>
      <c r="G1759" s="395"/>
      <c r="H1759" s="395"/>
      <c r="J1759" s="42"/>
    </row>
    <row r="1760" spans="1:10" s="393" customFormat="1" x14ac:dyDescent="0.25">
      <c r="A1760" s="19" t="s">
        <v>30</v>
      </c>
      <c r="B1760" s="2">
        <v>43966</v>
      </c>
      <c r="C1760" s="1">
        <v>0</v>
      </c>
      <c r="D1760" s="39">
        <v>79</v>
      </c>
      <c r="E1760" s="1"/>
      <c r="F1760" s="39">
        <f t="shared" si="87"/>
        <v>0</v>
      </c>
      <c r="G1760" s="395"/>
      <c r="H1760" s="395"/>
      <c r="J1760" s="42"/>
    </row>
    <row r="1761" spans="1:10" x14ac:dyDescent="0.25">
      <c r="A1761" s="19" t="s">
        <v>31</v>
      </c>
      <c r="B1761" s="2">
        <v>43966</v>
      </c>
      <c r="C1761" s="1">
        <v>0</v>
      </c>
      <c r="D1761" s="39">
        <v>29</v>
      </c>
      <c r="F1761" s="39">
        <f t="shared" si="87"/>
        <v>0</v>
      </c>
    </row>
    <row r="1762" spans="1:10" s="393" customFormat="1" x14ac:dyDescent="0.25">
      <c r="A1762" s="19" t="s">
        <v>41</v>
      </c>
      <c r="B1762" s="2">
        <v>43966</v>
      </c>
      <c r="C1762" s="1">
        <v>0</v>
      </c>
      <c r="D1762" s="39">
        <v>0</v>
      </c>
      <c r="E1762" s="1"/>
      <c r="F1762" s="39">
        <f t="shared" ref="F1762:F1776" si="88">E1762+F1737</f>
        <v>0</v>
      </c>
      <c r="G1762" s="395"/>
      <c r="H1762" s="395"/>
      <c r="J1762" s="42"/>
    </row>
    <row r="1763" spans="1:10" s="393" customFormat="1" x14ac:dyDescent="0.25">
      <c r="A1763" s="19" t="s">
        <v>32</v>
      </c>
      <c r="B1763" s="2">
        <v>43966</v>
      </c>
      <c r="C1763" s="1">
        <v>0</v>
      </c>
      <c r="D1763" s="39">
        <v>5</v>
      </c>
      <c r="E1763" s="1"/>
      <c r="F1763" s="39">
        <f t="shared" si="88"/>
        <v>0</v>
      </c>
      <c r="G1763" s="395"/>
      <c r="H1763" s="395"/>
      <c r="J1763" s="42"/>
    </row>
    <row r="1764" spans="1:10" s="393" customFormat="1" x14ac:dyDescent="0.25">
      <c r="A1764" s="19" t="s">
        <v>33</v>
      </c>
      <c r="B1764" s="2">
        <v>43966</v>
      </c>
      <c r="C1764" s="1">
        <v>0</v>
      </c>
      <c r="D1764" s="39">
        <v>5</v>
      </c>
      <c r="E1764" s="1"/>
      <c r="F1764" s="39">
        <f t="shared" si="88"/>
        <v>0</v>
      </c>
      <c r="G1764" s="395"/>
      <c r="H1764" s="395"/>
      <c r="J1764" s="42"/>
    </row>
    <row r="1765" spans="1:10" s="393" customFormat="1" x14ac:dyDescent="0.25">
      <c r="A1765" s="19" t="s">
        <v>21</v>
      </c>
      <c r="B1765" s="2">
        <v>43966</v>
      </c>
      <c r="C1765" s="1">
        <v>0</v>
      </c>
      <c r="D1765" s="39">
        <v>60</v>
      </c>
      <c r="E1765" s="1"/>
      <c r="F1765" s="39">
        <f t="shared" si="88"/>
        <v>0</v>
      </c>
      <c r="G1765" s="395"/>
      <c r="H1765" s="395"/>
      <c r="J1765" s="42"/>
    </row>
    <row r="1766" spans="1:10" s="393" customFormat="1" x14ac:dyDescent="0.25">
      <c r="A1766" s="19" t="s">
        <v>17</v>
      </c>
      <c r="B1766" s="2">
        <v>43966</v>
      </c>
      <c r="C1766" s="1">
        <v>-1</v>
      </c>
      <c r="D1766" s="39">
        <v>87</v>
      </c>
      <c r="E1766" s="1"/>
      <c r="F1766" s="39">
        <f t="shared" si="88"/>
        <v>0</v>
      </c>
      <c r="G1766" s="395"/>
      <c r="H1766" s="395"/>
      <c r="J1766" s="42"/>
    </row>
    <row r="1767" spans="1:10" s="393" customFormat="1" x14ac:dyDescent="0.25">
      <c r="A1767" s="19" t="s">
        <v>23</v>
      </c>
      <c r="B1767" s="2">
        <v>43966</v>
      </c>
      <c r="C1767" s="1">
        <v>0</v>
      </c>
      <c r="D1767" s="39">
        <v>25</v>
      </c>
      <c r="E1767" s="1"/>
      <c r="F1767" s="39">
        <f t="shared" si="88"/>
        <v>0</v>
      </c>
      <c r="G1767" s="395"/>
      <c r="H1767" s="395"/>
      <c r="J1767" s="42"/>
    </row>
    <row r="1768" spans="1:10" s="393" customFormat="1" x14ac:dyDescent="0.25">
      <c r="A1768" s="19" t="s">
        <v>19</v>
      </c>
      <c r="B1768" s="2">
        <v>43966</v>
      </c>
      <c r="C1768" s="1">
        <v>0</v>
      </c>
      <c r="D1768" s="39">
        <v>114</v>
      </c>
      <c r="E1768" s="1"/>
      <c r="F1768" s="39">
        <f t="shared" si="88"/>
        <v>0</v>
      </c>
      <c r="G1768" s="395"/>
      <c r="H1768" s="395"/>
      <c r="J1768" s="42"/>
    </row>
    <row r="1769" spans="1:10" s="393" customFormat="1" x14ac:dyDescent="0.25">
      <c r="A1769" s="19" t="s">
        <v>18</v>
      </c>
      <c r="B1769" s="2">
        <v>43966</v>
      </c>
      <c r="C1769" s="1">
        <v>17</v>
      </c>
      <c r="D1769" s="39">
        <v>315</v>
      </c>
      <c r="E1769" s="1"/>
      <c r="F1769" s="39">
        <f t="shared" si="88"/>
        <v>0</v>
      </c>
      <c r="G1769" s="395"/>
      <c r="H1769" s="395"/>
      <c r="J1769" s="42"/>
    </row>
    <row r="1770" spans="1:10" s="393" customFormat="1" x14ac:dyDescent="0.25">
      <c r="A1770" s="19" t="s">
        <v>34</v>
      </c>
      <c r="B1770" s="2">
        <v>43966</v>
      </c>
      <c r="C1770" s="1">
        <v>0</v>
      </c>
      <c r="D1770" s="39">
        <v>5</v>
      </c>
      <c r="E1770" s="1"/>
      <c r="F1770" s="39">
        <f t="shared" si="88"/>
        <v>1</v>
      </c>
      <c r="G1770" s="395"/>
      <c r="H1770" s="395"/>
      <c r="J1770" s="42"/>
    </row>
    <row r="1771" spans="1:10" s="393" customFormat="1" x14ac:dyDescent="0.25">
      <c r="A1771" s="19" t="s">
        <v>35</v>
      </c>
      <c r="B1771" s="2">
        <v>43966</v>
      </c>
      <c r="C1771" s="1">
        <v>0</v>
      </c>
      <c r="D1771" s="39">
        <v>3</v>
      </c>
      <c r="E1771" s="1"/>
      <c r="F1771" s="39">
        <f>E1771+F1747</f>
        <v>0</v>
      </c>
      <c r="G1771" s="395"/>
      <c r="H1771" s="395"/>
      <c r="J1771" s="42"/>
    </row>
    <row r="1772" spans="1:10" s="393" customFormat="1" x14ac:dyDescent="0.25">
      <c r="A1772" s="19" t="s">
        <v>36</v>
      </c>
      <c r="B1772" s="2">
        <v>43966</v>
      </c>
      <c r="C1772" s="1">
        <v>0</v>
      </c>
      <c r="D1772" s="39">
        <v>11</v>
      </c>
      <c r="E1772" s="1"/>
      <c r="F1772" s="39">
        <f t="shared" si="88"/>
        <v>0</v>
      </c>
      <c r="G1772" s="395"/>
      <c r="H1772" s="395"/>
      <c r="J1772" s="42"/>
    </row>
    <row r="1773" spans="1:10" s="393" customFormat="1" x14ac:dyDescent="0.25">
      <c r="A1773" s="19" t="s">
        <v>37</v>
      </c>
      <c r="B1773" s="2">
        <v>43966</v>
      </c>
      <c r="C1773" s="1">
        <v>0</v>
      </c>
      <c r="D1773" s="39">
        <v>49</v>
      </c>
      <c r="E1773" s="1"/>
      <c r="F1773" s="39">
        <f t="shared" si="88"/>
        <v>0</v>
      </c>
      <c r="G1773" s="395"/>
      <c r="H1773" s="395"/>
      <c r="J1773" s="42"/>
    </row>
    <row r="1774" spans="1:10" s="393" customFormat="1" x14ac:dyDescent="0.25">
      <c r="A1774" s="19" t="s">
        <v>22</v>
      </c>
      <c r="B1774" s="2">
        <v>43966</v>
      </c>
      <c r="C1774" s="1">
        <v>0</v>
      </c>
      <c r="D1774" s="39">
        <v>244</v>
      </c>
      <c r="E1774" s="1"/>
      <c r="F1774" s="39">
        <f>E1774+F1750</f>
        <v>3</v>
      </c>
      <c r="G1774" s="395"/>
      <c r="H1774" s="395"/>
      <c r="J1774" s="42"/>
    </row>
    <row r="1775" spans="1:10" s="393" customFormat="1" x14ac:dyDescent="0.25">
      <c r="A1775" s="19" t="s">
        <v>38</v>
      </c>
      <c r="B1775" s="2">
        <v>43966</v>
      </c>
      <c r="C1775" s="1">
        <v>0</v>
      </c>
      <c r="D1775" s="39">
        <v>16</v>
      </c>
      <c r="E1775" s="1"/>
      <c r="F1775" s="39">
        <f>E1775+F1751</f>
        <v>0</v>
      </c>
      <c r="G1775" s="395"/>
      <c r="H1775" s="395"/>
      <c r="J1775" s="42"/>
    </row>
    <row r="1776" spans="1:10" s="393" customFormat="1" x14ac:dyDescent="0.25">
      <c r="A1776" s="19" t="s">
        <v>39</v>
      </c>
      <c r="B1776" s="2">
        <v>43966</v>
      </c>
      <c r="C1776" s="1">
        <v>0</v>
      </c>
      <c r="D1776" s="39">
        <v>148</v>
      </c>
      <c r="E1776" s="1"/>
      <c r="F1776" s="39">
        <f t="shared" si="88"/>
        <v>0</v>
      </c>
      <c r="G1776" s="395"/>
      <c r="H1776" s="395"/>
      <c r="J1776" s="42"/>
    </row>
    <row r="1777" spans="1:10" s="393" customFormat="1" x14ac:dyDescent="0.25">
      <c r="A1777" s="19" t="s">
        <v>40</v>
      </c>
      <c r="B1777" s="2">
        <v>43966</v>
      </c>
      <c r="C1777" s="1">
        <v>0</v>
      </c>
      <c r="D1777" s="39">
        <v>42</v>
      </c>
      <c r="E1777" s="1"/>
      <c r="F1777" s="39">
        <f>E1777+F1753</f>
        <v>3</v>
      </c>
      <c r="G1777" s="395"/>
      <c r="H1777" s="395"/>
      <c r="J1777" s="42"/>
    </row>
    <row r="1778" spans="1:10" s="393" customFormat="1" x14ac:dyDescent="0.25">
      <c r="A1778" s="394" t="s">
        <v>16</v>
      </c>
      <c r="B1778" s="2">
        <v>43967</v>
      </c>
      <c r="C1778" s="1">
        <v>97</v>
      </c>
      <c r="D1778" s="39">
        <v>2594</v>
      </c>
      <c r="E1778" s="1">
        <v>2</v>
      </c>
      <c r="F1778" s="39">
        <f>E1778+F1754</f>
        <v>150</v>
      </c>
      <c r="G1778" s="395"/>
      <c r="H1778" s="395"/>
      <c r="J1778" s="42"/>
    </row>
    <row r="1779" spans="1:10" s="393" customFormat="1" x14ac:dyDescent="0.25">
      <c r="A1779" s="19" t="s">
        <v>28</v>
      </c>
      <c r="B1779" s="2">
        <v>43967</v>
      </c>
      <c r="C1779" s="1">
        <v>0</v>
      </c>
      <c r="D1779" s="39">
        <v>0</v>
      </c>
      <c r="E1779" s="1"/>
      <c r="F1779" s="39">
        <f t="shared" ref="F1779:F1785" si="89">E1779+F1755</f>
        <v>0</v>
      </c>
      <c r="G1779" s="395"/>
      <c r="H1779" s="395"/>
      <c r="J1779" s="42"/>
    </row>
    <row r="1780" spans="1:10" s="393" customFormat="1" x14ac:dyDescent="0.25">
      <c r="A1780" s="19" t="s">
        <v>15</v>
      </c>
      <c r="B1780" s="2">
        <v>43967</v>
      </c>
      <c r="C1780" s="1">
        <v>21</v>
      </c>
      <c r="D1780" s="39">
        <v>559</v>
      </c>
      <c r="E1780" s="1">
        <v>1</v>
      </c>
      <c r="F1780" s="39">
        <f t="shared" si="89"/>
        <v>25</v>
      </c>
      <c r="G1780" s="395"/>
      <c r="H1780" s="395"/>
      <c r="J1780" s="42"/>
    </row>
    <row r="1781" spans="1:10" s="393" customFormat="1" x14ac:dyDescent="0.25">
      <c r="A1781" s="19" t="s">
        <v>29</v>
      </c>
      <c r="B1781" s="2">
        <v>43967</v>
      </c>
      <c r="C1781" s="1">
        <v>0</v>
      </c>
      <c r="D1781" s="39">
        <v>4</v>
      </c>
      <c r="E1781" s="1"/>
      <c r="F1781" s="39">
        <f t="shared" si="89"/>
        <v>1</v>
      </c>
      <c r="G1781" s="395"/>
      <c r="H1781" s="395"/>
      <c r="J1781" s="42"/>
    </row>
    <row r="1782" spans="1:10" s="393" customFormat="1" x14ac:dyDescent="0.25">
      <c r="A1782" s="19" t="s">
        <v>43</v>
      </c>
      <c r="B1782" s="2">
        <v>43967</v>
      </c>
      <c r="C1782" s="1">
        <v>193</v>
      </c>
      <c r="D1782" s="39">
        <v>3025</v>
      </c>
      <c r="E1782" s="1">
        <v>4</v>
      </c>
      <c r="F1782" s="39">
        <f t="shared" si="89"/>
        <v>120</v>
      </c>
      <c r="G1782" s="395"/>
      <c r="H1782" s="395"/>
      <c r="J1782" s="42"/>
    </row>
    <row r="1783" spans="1:10" s="393" customFormat="1" x14ac:dyDescent="0.25">
      <c r="A1783" s="19" t="s">
        <v>20</v>
      </c>
      <c r="B1783" s="2">
        <v>43967</v>
      </c>
      <c r="C1783" s="1">
        <v>9</v>
      </c>
      <c r="D1783" s="39">
        <v>378</v>
      </c>
      <c r="E1783" s="1"/>
      <c r="F1783" s="39">
        <f t="shared" si="89"/>
        <v>21</v>
      </c>
      <c r="G1783" s="395"/>
      <c r="H1783" s="395"/>
      <c r="J1783" s="42"/>
    </row>
    <row r="1784" spans="1:10" s="393" customFormat="1" x14ac:dyDescent="0.25">
      <c r="A1784" s="19" t="s">
        <v>30</v>
      </c>
      <c r="B1784" s="2">
        <v>43967</v>
      </c>
      <c r="C1784" s="1">
        <v>0</v>
      </c>
      <c r="D1784" s="39">
        <v>79</v>
      </c>
      <c r="E1784" s="1"/>
      <c r="F1784" s="39">
        <f t="shared" si="89"/>
        <v>0</v>
      </c>
      <c r="G1784" s="395"/>
      <c r="H1784" s="395"/>
      <c r="J1784" s="42"/>
    </row>
    <row r="1785" spans="1:10" x14ac:dyDescent="0.25">
      <c r="A1785" s="19" t="s">
        <v>31</v>
      </c>
      <c r="B1785" s="2">
        <v>43967</v>
      </c>
      <c r="C1785" s="1">
        <v>0</v>
      </c>
      <c r="D1785" s="39">
        <v>29</v>
      </c>
      <c r="F1785" s="39">
        <f t="shared" si="89"/>
        <v>0</v>
      </c>
    </row>
    <row r="1786" spans="1:10" s="393" customFormat="1" x14ac:dyDescent="0.25">
      <c r="A1786" s="19" t="s">
        <v>41</v>
      </c>
      <c r="B1786" s="2">
        <v>43967</v>
      </c>
      <c r="C1786" s="1">
        <v>0</v>
      </c>
      <c r="D1786" s="39">
        <v>0</v>
      </c>
      <c r="E1786" s="1"/>
      <c r="F1786" s="39">
        <f t="shared" ref="F1786:F1800" si="90">E1786+F1761</f>
        <v>0</v>
      </c>
      <c r="G1786" s="395"/>
      <c r="H1786" s="395"/>
      <c r="J1786" s="42"/>
    </row>
    <row r="1787" spans="1:10" s="393" customFormat="1" x14ac:dyDescent="0.25">
      <c r="A1787" s="19" t="s">
        <v>32</v>
      </c>
      <c r="B1787" s="2">
        <v>43967</v>
      </c>
      <c r="C1787" s="1">
        <v>0</v>
      </c>
      <c r="D1787" s="39">
        <v>5</v>
      </c>
      <c r="E1787" s="1"/>
      <c r="F1787" s="39">
        <f t="shared" si="90"/>
        <v>0</v>
      </c>
      <c r="G1787" s="395"/>
      <c r="H1787" s="395"/>
      <c r="J1787" s="42"/>
    </row>
    <row r="1788" spans="1:10" s="393" customFormat="1" x14ac:dyDescent="0.25">
      <c r="A1788" s="19" t="s">
        <v>33</v>
      </c>
      <c r="B1788" s="2">
        <v>43967</v>
      </c>
      <c r="C1788" s="1">
        <v>0</v>
      </c>
      <c r="D1788" s="39">
        <v>5</v>
      </c>
      <c r="E1788" s="1"/>
      <c r="F1788" s="39">
        <f t="shared" si="90"/>
        <v>0</v>
      </c>
      <c r="G1788" s="395"/>
      <c r="H1788" s="395"/>
      <c r="J1788" s="42"/>
    </row>
    <row r="1789" spans="1:10" s="393" customFormat="1" x14ac:dyDescent="0.25">
      <c r="A1789" s="19" t="s">
        <v>21</v>
      </c>
      <c r="B1789" s="2">
        <v>43967</v>
      </c>
      <c r="C1789" s="1">
        <v>0</v>
      </c>
      <c r="D1789" s="39">
        <v>60</v>
      </c>
      <c r="E1789" s="1"/>
      <c r="F1789" s="39">
        <f t="shared" si="90"/>
        <v>0</v>
      </c>
      <c r="G1789" s="395"/>
      <c r="H1789" s="395"/>
      <c r="J1789" s="42"/>
    </row>
    <row r="1790" spans="1:10" s="393" customFormat="1" x14ac:dyDescent="0.25">
      <c r="A1790" s="19" t="s">
        <v>17</v>
      </c>
      <c r="B1790" s="2">
        <v>43967</v>
      </c>
      <c r="C1790" s="1">
        <v>0</v>
      </c>
      <c r="D1790" s="39">
        <v>87</v>
      </c>
      <c r="E1790" s="1"/>
      <c r="F1790" s="39">
        <f t="shared" si="90"/>
        <v>0</v>
      </c>
      <c r="G1790" s="395"/>
      <c r="H1790" s="395"/>
      <c r="J1790" s="42"/>
    </row>
    <row r="1791" spans="1:10" s="393" customFormat="1" x14ac:dyDescent="0.25">
      <c r="A1791" s="19" t="s">
        <v>23</v>
      </c>
      <c r="B1791" s="2">
        <v>43967</v>
      </c>
      <c r="C1791" s="1">
        <v>0</v>
      </c>
      <c r="D1791" s="39">
        <v>25</v>
      </c>
      <c r="E1791" s="1"/>
      <c r="F1791" s="39">
        <f t="shared" si="90"/>
        <v>0</v>
      </c>
      <c r="G1791" s="395"/>
      <c r="H1791" s="395"/>
      <c r="J1791" s="42"/>
    </row>
    <row r="1792" spans="1:10" s="393" customFormat="1" x14ac:dyDescent="0.25">
      <c r="A1792" s="19" t="s">
        <v>19</v>
      </c>
      <c r="B1792" s="2">
        <v>43967</v>
      </c>
      <c r="C1792" s="1">
        <v>0</v>
      </c>
      <c r="D1792" s="39">
        <v>114</v>
      </c>
      <c r="E1792" s="1"/>
      <c r="F1792" s="39">
        <f t="shared" si="90"/>
        <v>0</v>
      </c>
      <c r="G1792" s="395"/>
      <c r="H1792" s="395"/>
      <c r="J1792" s="42"/>
    </row>
    <row r="1793" spans="1:10" s="393" customFormat="1" x14ac:dyDescent="0.25">
      <c r="A1793" s="19" t="s">
        <v>18</v>
      </c>
      <c r="B1793" s="2">
        <v>43967</v>
      </c>
      <c r="C1793" s="1">
        <v>6</v>
      </c>
      <c r="D1793" s="39">
        <v>321</v>
      </c>
      <c r="E1793" s="1"/>
      <c r="F1793" s="39">
        <f t="shared" si="90"/>
        <v>0</v>
      </c>
      <c r="G1793" s="395"/>
      <c r="H1793" s="395"/>
      <c r="J1793" s="42"/>
    </row>
    <row r="1794" spans="1:10" s="393" customFormat="1" x14ac:dyDescent="0.25">
      <c r="A1794" s="19" t="s">
        <v>34</v>
      </c>
      <c r="B1794" s="2">
        <v>43967</v>
      </c>
      <c r="C1794" s="1">
        <v>0</v>
      </c>
      <c r="D1794" s="39">
        <v>5</v>
      </c>
      <c r="E1794" s="1"/>
      <c r="F1794" s="39">
        <f t="shared" si="90"/>
        <v>0</v>
      </c>
      <c r="G1794" s="395"/>
      <c r="H1794" s="395"/>
      <c r="J1794" s="42"/>
    </row>
    <row r="1795" spans="1:10" s="393" customFormat="1" x14ac:dyDescent="0.25">
      <c r="A1795" s="19" t="s">
        <v>35</v>
      </c>
      <c r="B1795" s="2">
        <v>43967</v>
      </c>
      <c r="C1795" s="1">
        <v>0</v>
      </c>
      <c r="D1795" s="39">
        <v>3</v>
      </c>
      <c r="E1795" s="1"/>
      <c r="F1795" s="39">
        <f>E1795+F1771</f>
        <v>0</v>
      </c>
      <c r="G1795" s="395"/>
      <c r="H1795" s="395"/>
      <c r="J1795" s="42"/>
    </row>
    <row r="1796" spans="1:10" s="393" customFormat="1" x14ac:dyDescent="0.25">
      <c r="A1796" s="19" t="s">
        <v>36</v>
      </c>
      <c r="B1796" s="2">
        <v>43967</v>
      </c>
      <c r="C1796" s="1">
        <v>0</v>
      </c>
      <c r="D1796" s="39">
        <v>11</v>
      </c>
      <c r="E1796" s="1"/>
      <c r="F1796" s="39">
        <f t="shared" si="90"/>
        <v>0</v>
      </c>
      <c r="G1796" s="395"/>
      <c r="H1796" s="395"/>
      <c r="J1796" s="42"/>
    </row>
    <row r="1797" spans="1:10" s="393" customFormat="1" x14ac:dyDescent="0.25">
      <c r="A1797" s="19" t="s">
        <v>37</v>
      </c>
      <c r="B1797" s="2">
        <v>43967</v>
      </c>
      <c r="C1797" s="1">
        <v>0</v>
      </c>
      <c r="D1797" s="39">
        <v>49</v>
      </c>
      <c r="E1797" s="1"/>
      <c r="F1797" s="39">
        <f t="shared" si="90"/>
        <v>0</v>
      </c>
      <c r="G1797" s="395"/>
      <c r="H1797" s="395"/>
      <c r="J1797" s="42"/>
    </row>
    <row r="1798" spans="1:10" s="393" customFormat="1" x14ac:dyDescent="0.25">
      <c r="A1798" s="19" t="s">
        <v>22</v>
      </c>
      <c r="B1798" s="2">
        <v>43967</v>
      </c>
      <c r="C1798" s="1">
        <v>1</v>
      </c>
      <c r="D1798" s="39">
        <v>245</v>
      </c>
      <c r="E1798" s="1"/>
      <c r="F1798" s="39">
        <f>E1798+F1774</f>
        <v>3</v>
      </c>
      <c r="G1798" s="395"/>
      <c r="H1798" s="395"/>
      <c r="J1798" s="42"/>
    </row>
    <row r="1799" spans="1:10" s="393" customFormat="1" x14ac:dyDescent="0.25">
      <c r="A1799" s="19" t="s">
        <v>38</v>
      </c>
      <c r="B1799" s="2">
        <v>43967</v>
      </c>
      <c r="C1799" s="1">
        <v>0</v>
      </c>
      <c r="D1799" s="39">
        <v>16</v>
      </c>
      <c r="E1799" s="1"/>
      <c r="F1799" s="39">
        <f>E1799+F1775</f>
        <v>0</v>
      </c>
      <c r="G1799" s="395"/>
      <c r="H1799" s="395"/>
      <c r="J1799" s="42"/>
    </row>
    <row r="1800" spans="1:10" s="393" customFormat="1" x14ac:dyDescent="0.25">
      <c r="A1800" s="19" t="s">
        <v>39</v>
      </c>
      <c r="B1800" s="2">
        <v>43967</v>
      </c>
      <c r="C1800" s="1">
        <v>0</v>
      </c>
      <c r="D1800" s="39">
        <v>148</v>
      </c>
      <c r="E1800" s="1"/>
      <c r="F1800" s="39">
        <f t="shared" si="90"/>
        <v>0</v>
      </c>
      <c r="G1800" s="395"/>
      <c r="H1800" s="395"/>
      <c r="J1800" s="42"/>
    </row>
    <row r="1801" spans="1:10" s="393" customFormat="1" x14ac:dyDescent="0.25">
      <c r="A1801" s="19" t="s">
        <v>40</v>
      </c>
      <c r="B1801" s="2">
        <v>43967</v>
      </c>
      <c r="C1801" s="1">
        <v>0</v>
      </c>
      <c r="D1801" s="39">
        <v>42</v>
      </c>
      <c r="E1801" s="1"/>
      <c r="F1801" s="39">
        <f>E1801+F1777</f>
        <v>3</v>
      </c>
      <c r="G1801" s="395"/>
      <c r="H1801" s="395"/>
      <c r="J1801" s="42"/>
    </row>
    <row r="1802" spans="1:10" s="393" customFormat="1" x14ac:dyDescent="0.25">
      <c r="A1802" s="394" t="s">
        <v>16</v>
      </c>
      <c r="B1802" s="2">
        <v>43968</v>
      </c>
      <c r="C1802" s="1">
        <v>74</v>
      </c>
      <c r="D1802" s="39">
        <v>2668</v>
      </c>
      <c r="E1802" s="1">
        <v>3</v>
      </c>
      <c r="F1802" s="39">
        <f>E1802+F1778</f>
        <v>153</v>
      </c>
      <c r="G1802" s="395"/>
      <c r="H1802" s="395"/>
      <c r="J1802" s="42"/>
    </row>
    <row r="1803" spans="1:10" s="393" customFormat="1" x14ac:dyDescent="0.25">
      <c r="A1803" s="19" t="s">
        <v>28</v>
      </c>
      <c r="B1803" s="2">
        <v>43968</v>
      </c>
      <c r="C1803" s="1">
        <v>0</v>
      </c>
      <c r="D1803" s="39">
        <v>0</v>
      </c>
      <c r="E1803" s="1"/>
      <c r="F1803" s="39">
        <f t="shared" ref="F1803:F1809" si="91">E1803+F1779</f>
        <v>0</v>
      </c>
      <c r="G1803" s="395"/>
      <c r="H1803" s="395"/>
      <c r="J1803" s="42"/>
    </row>
    <row r="1804" spans="1:10" s="393" customFormat="1" x14ac:dyDescent="0.25">
      <c r="A1804" s="19" t="s">
        <v>15</v>
      </c>
      <c r="B1804" s="2">
        <v>43968</v>
      </c>
      <c r="C1804" s="1">
        <v>19</v>
      </c>
      <c r="D1804" s="39">
        <v>578</v>
      </c>
      <c r="E1804" s="1">
        <v>2</v>
      </c>
      <c r="F1804" s="39">
        <f t="shared" si="91"/>
        <v>27</v>
      </c>
      <c r="G1804" s="395"/>
      <c r="H1804" s="395"/>
      <c r="J1804" s="42"/>
    </row>
    <row r="1805" spans="1:10" s="393" customFormat="1" x14ac:dyDescent="0.25">
      <c r="A1805" s="19" t="s">
        <v>29</v>
      </c>
      <c r="B1805" s="2">
        <v>43968</v>
      </c>
      <c r="C1805" s="1">
        <v>0</v>
      </c>
      <c r="D1805" s="39">
        <v>4</v>
      </c>
      <c r="E1805" s="1"/>
      <c r="F1805" s="39">
        <f t="shared" si="91"/>
        <v>1</v>
      </c>
      <c r="G1805" s="395"/>
      <c r="H1805" s="395"/>
      <c r="J1805" s="42"/>
    </row>
    <row r="1806" spans="1:10" s="393" customFormat="1" x14ac:dyDescent="0.25">
      <c r="A1806" s="19" t="s">
        <v>43</v>
      </c>
      <c r="B1806" s="2">
        <v>43968</v>
      </c>
      <c r="C1806" s="1">
        <v>147</v>
      </c>
      <c r="D1806" s="39">
        <v>3172</v>
      </c>
      <c r="E1806" s="1">
        <v>2</v>
      </c>
      <c r="F1806" s="39">
        <f t="shared" si="91"/>
        <v>122</v>
      </c>
      <c r="G1806" s="395"/>
      <c r="H1806" s="395"/>
      <c r="J1806" s="42"/>
    </row>
    <row r="1807" spans="1:10" s="393" customFormat="1" x14ac:dyDescent="0.25">
      <c r="A1807" s="19" t="s">
        <v>20</v>
      </c>
      <c r="B1807" s="2">
        <v>43968</v>
      </c>
      <c r="C1807" s="1">
        <v>20</v>
      </c>
      <c r="D1807" s="39">
        <v>398</v>
      </c>
      <c r="E1807" s="1">
        <v>2</v>
      </c>
      <c r="F1807" s="39">
        <f t="shared" si="91"/>
        <v>23</v>
      </c>
      <c r="G1807" s="395"/>
      <c r="H1807" s="395"/>
      <c r="J1807" s="42"/>
    </row>
    <row r="1808" spans="1:10" s="393" customFormat="1" x14ac:dyDescent="0.25">
      <c r="A1808" s="19" t="s">
        <v>30</v>
      </c>
      <c r="B1808" s="2">
        <v>43968</v>
      </c>
      <c r="C1808" s="1">
        <v>0</v>
      </c>
      <c r="D1808" s="39">
        <v>79</v>
      </c>
      <c r="E1808" s="1"/>
      <c r="F1808" s="39">
        <f t="shared" si="91"/>
        <v>0</v>
      </c>
      <c r="G1808" s="395"/>
      <c r="H1808" s="395"/>
      <c r="J1808" s="42"/>
    </row>
    <row r="1809" spans="1:10" x14ac:dyDescent="0.25">
      <c r="A1809" s="19" t="s">
        <v>31</v>
      </c>
      <c r="B1809" s="2">
        <v>43968</v>
      </c>
      <c r="C1809" s="1">
        <v>0</v>
      </c>
      <c r="D1809" s="39">
        <v>29</v>
      </c>
      <c r="F1809" s="39">
        <f t="shared" si="91"/>
        <v>0</v>
      </c>
    </row>
    <row r="1810" spans="1:10" s="393" customFormat="1" x14ac:dyDescent="0.25">
      <c r="A1810" s="19" t="s">
        <v>41</v>
      </c>
      <c r="B1810" s="2">
        <v>43968</v>
      </c>
      <c r="C1810" s="1">
        <v>0</v>
      </c>
      <c r="D1810" s="39">
        <v>0</v>
      </c>
      <c r="E1810" s="1"/>
      <c r="F1810" s="39">
        <f t="shared" ref="F1810:F1824" si="92">E1810+F1785</f>
        <v>0</v>
      </c>
      <c r="G1810" s="395"/>
      <c r="H1810" s="395"/>
      <c r="J1810" s="42"/>
    </row>
    <row r="1811" spans="1:10" s="393" customFormat="1" x14ac:dyDescent="0.25">
      <c r="A1811" s="19" t="s">
        <v>32</v>
      </c>
      <c r="B1811" s="2">
        <v>43968</v>
      </c>
      <c r="C1811" s="1">
        <v>0</v>
      </c>
      <c r="D1811" s="39">
        <v>5</v>
      </c>
      <c r="E1811" s="1"/>
      <c r="F1811" s="39">
        <f t="shared" si="92"/>
        <v>0</v>
      </c>
      <c r="G1811" s="395"/>
      <c r="H1811" s="395"/>
      <c r="J1811" s="42"/>
    </row>
    <row r="1812" spans="1:10" s="393" customFormat="1" x14ac:dyDescent="0.25">
      <c r="A1812" s="19" t="s">
        <v>33</v>
      </c>
      <c r="B1812" s="2">
        <v>43968</v>
      </c>
      <c r="C1812" s="1">
        <v>0</v>
      </c>
      <c r="D1812" s="39">
        <v>5</v>
      </c>
      <c r="E1812" s="1"/>
      <c r="F1812" s="39">
        <f t="shared" si="92"/>
        <v>0</v>
      </c>
      <c r="G1812" s="395"/>
      <c r="H1812" s="395"/>
      <c r="J1812" s="42"/>
    </row>
    <row r="1813" spans="1:10" s="393" customFormat="1" x14ac:dyDescent="0.25">
      <c r="A1813" s="19" t="s">
        <v>21</v>
      </c>
      <c r="B1813" s="2">
        <v>43968</v>
      </c>
      <c r="C1813" s="1">
        <v>1</v>
      </c>
      <c r="D1813" s="39">
        <v>61</v>
      </c>
      <c r="E1813" s="1"/>
      <c r="F1813" s="39">
        <f t="shared" si="92"/>
        <v>0</v>
      </c>
      <c r="G1813" s="395"/>
      <c r="H1813" s="395"/>
      <c r="J1813" s="42"/>
    </row>
    <row r="1814" spans="1:10" s="393" customFormat="1" x14ac:dyDescent="0.25">
      <c r="A1814" s="19" t="s">
        <v>17</v>
      </c>
      <c r="B1814" s="2">
        <v>43968</v>
      </c>
      <c r="C1814" s="1">
        <v>0</v>
      </c>
      <c r="D1814" s="39">
        <v>87</v>
      </c>
      <c r="E1814" s="1"/>
      <c r="F1814" s="39">
        <f t="shared" si="92"/>
        <v>0</v>
      </c>
      <c r="G1814" s="395"/>
      <c r="H1814" s="395"/>
      <c r="J1814" s="42"/>
    </row>
    <row r="1815" spans="1:10" s="393" customFormat="1" x14ac:dyDescent="0.25">
      <c r="A1815" s="19" t="s">
        <v>23</v>
      </c>
      <c r="B1815" s="2">
        <v>43968</v>
      </c>
      <c r="C1815" s="1">
        <v>0</v>
      </c>
      <c r="D1815" s="39">
        <v>25</v>
      </c>
      <c r="E1815" s="1"/>
      <c r="F1815" s="39">
        <f t="shared" si="92"/>
        <v>0</v>
      </c>
      <c r="G1815" s="395"/>
      <c r="H1815" s="395"/>
      <c r="J1815" s="42"/>
    </row>
    <row r="1816" spans="1:10" s="393" customFormat="1" x14ac:dyDescent="0.25">
      <c r="A1816" s="19" t="s">
        <v>19</v>
      </c>
      <c r="B1816" s="2">
        <v>43968</v>
      </c>
      <c r="C1816" s="1">
        <v>0</v>
      </c>
      <c r="D1816" s="39">
        <v>114</v>
      </c>
      <c r="E1816" s="1"/>
      <c r="F1816" s="39">
        <f t="shared" si="92"/>
        <v>0</v>
      </c>
      <c r="G1816" s="395"/>
      <c r="H1816" s="395"/>
      <c r="J1816" s="42"/>
    </row>
    <row r="1817" spans="1:10" s="393" customFormat="1" x14ac:dyDescent="0.25">
      <c r="A1817" s="19" t="s">
        <v>18</v>
      </c>
      <c r="B1817" s="2">
        <v>43968</v>
      </c>
      <c r="C1817" s="1">
        <v>2</v>
      </c>
      <c r="D1817" s="39">
        <v>323</v>
      </c>
      <c r="E1817" s="1">
        <v>1</v>
      </c>
      <c r="F1817" s="39">
        <f t="shared" si="92"/>
        <v>1</v>
      </c>
      <c r="G1817" s="395"/>
      <c r="H1817" s="395"/>
      <c r="J1817" s="42"/>
    </row>
    <row r="1818" spans="1:10" s="393" customFormat="1" x14ac:dyDescent="0.25">
      <c r="A1818" s="19" t="s">
        <v>34</v>
      </c>
      <c r="B1818" s="2">
        <v>43968</v>
      </c>
      <c r="C1818" s="1">
        <v>0</v>
      </c>
      <c r="D1818" s="39">
        <v>5</v>
      </c>
      <c r="E1818" s="1"/>
      <c r="F1818" s="39">
        <f t="shared" si="92"/>
        <v>0</v>
      </c>
      <c r="G1818" s="395"/>
      <c r="H1818" s="395"/>
      <c r="J1818" s="42"/>
    </row>
    <row r="1819" spans="1:10" s="393" customFormat="1" x14ac:dyDescent="0.25">
      <c r="A1819" s="19" t="s">
        <v>35</v>
      </c>
      <c r="B1819" s="2">
        <v>43968</v>
      </c>
      <c r="C1819" s="1">
        <v>0</v>
      </c>
      <c r="D1819" s="39">
        <v>3</v>
      </c>
      <c r="E1819" s="1"/>
      <c r="F1819" s="39">
        <f>E1819+F1795</f>
        <v>0</v>
      </c>
      <c r="G1819" s="395"/>
      <c r="H1819" s="395"/>
      <c r="J1819" s="42"/>
    </row>
    <row r="1820" spans="1:10" s="393" customFormat="1" x14ac:dyDescent="0.25">
      <c r="A1820" s="19" t="s">
        <v>36</v>
      </c>
      <c r="B1820" s="2">
        <v>43968</v>
      </c>
      <c r="C1820" s="1">
        <v>0</v>
      </c>
      <c r="D1820" s="39">
        <v>11</v>
      </c>
      <c r="E1820" s="1"/>
      <c r="F1820" s="39">
        <f t="shared" si="92"/>
        <v>0</v>
      </c>
      <c r="G1820" s="395"/>
      <c r="H1820" s="395"/>
      <c r="J1820" s="42"/>
    </row>
    <row r="1821" spans="1:10" s="393" customFormat="1" x14ac:dyDescent="0.25">
      <c r="A1821" s="19" t="s">
        <v>37</v>
      </c>
      <c r="B1821" s="2">
        <v>43968</v>
      </c>
      <c r="C1821" s="1">
        <v>0</v>
      </c>
      <c r="D1821" s="39">
        <v>49</v>
      </c>
      <c r="E1821" s="1"/>
      <c r="F1821" s="39">
        <f t="shared" si="92"/>
        <v>0</v>
      </c>
      <c r="G1821" s="395"/>
      <c r="H1821" s="395"/>
      <c r="J1821" s="42"/>
    </row>
    <row r="1822" spans="1:10" s="393" customFormat="1" x14ac:dyDescent="0.25">
      <c r="A1822" s="19" t="s">
        <v>22</v>
      </c>
      <c r="B1822" s="2">
        <v>43968</v>
      </c>
      <c r="C1822" s="1">
        <v>0</v>
      </c>
      <c r="D1822" s="39">
        <v>245</v>
      </c>
      <c r="E1822" s="1"/>
      <c r="F1822" s="39">
        <f>E1822+F1798</f>
        <v>3</v>
      </c>
      <c r="G1822" s="395"/>
      <c r="H1822" s="395"/>
      <c r="J1822" s="42"/>
    </row>
    <row r="1823" spans="1:10" s="393" customFormat="1" x14ac:dyDescent="0.25">
      <c r="A1823" s="19" t="s">
        <v>38</v>
      </c>
      <c r="B1823" s="2">
        <v>43968</v>
      </c>
      <c r="C1823" s="1">
        <v>0</v>
      </c>
      <c r="D1823" s="39">
        <v>16</v>
      </c>
      <c r="E1823" s="1"/>
      <c r="F1823" s="39">
        <f>E1823+F1799</f>
        <v>0</v>
      </c>
      <c r="G1823" s="395"/>
      <c r="H1823" s="395"/>
      <c r="J1823" s="42"/>
    </row>
    <row r="1824" spans="1:10" s="393" customFormat="1" x14ac:dyDescent="0.25">
      <c r="A1824" s="19" t="s">
        <v>39</v>
      </c>
      <c r="B1824" s="2">
        <v>43968</v>
      </c>
      <c r="C1824" s="1">
        <v>0</v>
      </c>
      <c r="D1824" s="39">
        <v>148</v>
      </c>
      <c r="E1824" s="1"/>
      <c r="F1824" s="39">
        <f t="shared" si="92"/>
        <v>0</v>
      </c>
      <c r="G1824" s="395"/>
      <c r="H1824" s="395"/>
      <c r="J1824" s="42"/>
    </row>
    <row r="1825" spans="1:10" s="393" customFormat="1" x14ac:dyDescent="0.25">
      <c r="A1825" s="19" t="s">
        <v>40</v>
      </c>
      <c r="B1825" s="2">
        <v>43968</v>
      </c>
      <c r="C1825" s="1">
        <v>0</v>
      </c>
      <c r="D1825" s="39">
        <v>42</v>
      </c>
      <c r="E1825" s="1"/>
      <c r="F1825" s="39">
        <f>E1825+F1801</f>
        <v>3</v>
      </c>
      <c r="G1825" s="395"/>
      <c r="H1825" s="395"/>
      <c r="J1825" s="42"/>
    </row>
    <row r="1826" spans="1:10" s="393" customFormat="1" x14ac:dyDescent="0.25">
      <c r="A1826" s="394" t="s">
        <v>16</v>
      </c>
      <c r="B1826" s="2">
        <v>43969</v>
      </c>
      <c r="C1826" s="1">
        <v>93</v>
      </c>
      <c r="D1826" s="39">
        <v>2761</v>
      </c>
      <c r="E1826" s="1">
        <v>2</v>
      </c>
      <c r="F1826" s="39">
        <f>E1826+F1802</f>
        <v>155</v>
      </c>
      <c r="G1826" s="395"/>
      <c r="H1826" s="395"/>
      <c r="J1826" s="42"/>
    </row>
    <row r="1827" spans="1:10" s="393" customFormat="1" x14ac:dyDescent="0.25">
      <c r="A1827" s="19" t="s">
        <v>28</v>
      </c>
      <c r="B1827" s="2">
        <v>43969</v>
      </c>
      <c r="C1827" s="1">
        <v>0</v>
      </c>
      <c r="D1827" s="39">
        <v>0</v>
      </c>
      <c r="E1827" s="1"/>
      <c r="F1827" s="39">
        <f t="shared" ref="F1827:F1833" si="93">E1827+F1803</f>
        <v>0</v>
      </c>
      <c r="G1827" s="395"/>
      <c r="H1827" s="395"/>
      <c r="J1827" s="42"/>
    </row>
    <row r="1828" spans="1:10" s="393" customFormat="1" x14ac:dyDescent="0.25">
      <c r="A1828" s="19" t="s">
        <v>15</v>
      </c>
      <c r="B1828" s="2">
        <v>43969</v>
      </c>
      <c r="C1828" s="1">
        <v>13</v>
      </c>
      <c r="D1828" s="39">
        <v>591</v>
      </c>
      <c r="E1828" s="1">
        <v>2</v>
      </c>
      <c r="F1828" s="39">
        <f t="shared" si="93"/>
        <v>29</v>
      </c>
      <c r="G1828" s="395"/>
      <c r="H1828" s="395"/>
      <c r="J1828" s="42"/>
    </row>
    <row r="1829" spans="1:10" s="393" customFormat="1" x14ac:dyDescent="0.25">
      <c r="A1829" s="19" t="s">
        <v>29</v>
      </c>
      <c r="B1829" s="2">
        <v>43969</v>
      </c>
      <c r="C1829" s="1">
        <v>0</v>
      </c>
      <c r="D1829" s="39">
        <v>4</v>
      </c>
      <c r="E1829" s="1"/>
      <c r="F1829" s="39">
        <f t="shared" si="93"/>
        <v>1</v>
      </c>
      <c r="G1829" s="395"/>
      <c r="H1829" s="395"/>
      <c r="J1829" s="42"/>
    </row>
    <row r="1830" spans="1:10" s="393" customFormat="1" x14ac:dyDescent="0.25">
      <c r="A1830" s="19" t="s">
        <v>43</v>
      </c>
      <c r="B1830" s="2">
        <v>43969</v>
      </c>
      <c r="C1830" s="1">
        <v>169</v>
      </c>
      <c r="D1830" s="39">
        <v>3341</v>
      </c>
      <c r="E1830" s="1">
        <v>5</v>
      </c>
      <c r="F1830" s="39">
        <f t="shared" si="93"/>
        <v>127</v>
      </c>
      <c r="G1830" s="395"/>
      <c r="H1830" s="395"/>
      <c r="J1830" s="42"/>
    </row>
    <row r="1831" spans="1:10" s="393" customFormat="1" x14ac:dyDescent="0.25">
      <c r="A1831" s="19" t="s">
        <v>20</v>
      </c>
      <c r="B1831" s="2">
        <v>43969</v>
      </c>
      <c r="C1831" s="1">
        <v>20</v>
      </c>
      <c r="D1831" s="39">
        <v>418</v>
      </c>
      <c r="E1831" s="1"/>
      <c r="F1831" s="39">
        <f t="shared" si="93"/>
        <v>23</v>
      </c>
      <c r="G1831" s="395"/>
      <c r="H1831" s="395"/>
      <c r="J1831" s="42"/>
    </row>
    <row r="1832" spans="1:10" s="393" customFormat="1" x14ac:dyDescent="0.25">
      <c r="A1832" s="19" t="s">
        <v>30</v>
      </c>
      <c r="B1832" s="2">
        <v>43969</v>
      </c>
      <c r="C1832" s="1">
        <v>-1</v>
      </c>
      <c r="D1832" s="39">
        <v>78</v>
      </c>
      <c r="E1832" s="1"/>
      <c r="F1832" s="39">
        <f t="shared" si="93"/>
        <v>0</v>
      </c>
      <c r="G1832" s="395"/>
      <c r="H1832" s="395"/>
      <c r="J1832" s="42"/>
    </row>
    <row r="1833" spans="1:10" x14ac:dyDescent="0.25">
      <c r="A1833" s="19" t="s">
        <v>31</v>
      </c>
      <c r="B1833" s="2">
        <v>43969</v>
      </c>
      <c r="C1833" s="1">
        <v>0</v>
      </c>
      <c r="D1833" s="39">
        <v>29</v>
      </c>
      <c r="F1833" s="39">
        <f t="shared" si="93"/>
        <v>0</v>
      </c>
    </row>
    <row r="1834" spans="1:10" s="393" customFormat="1" x14ac:dyDescent="0.25">
      <c r="A1834" s="19" t="s">
        <v>41</v>
      </c>
      <c r="B1834" s="2">
        <v>43969</v>
      </c>
      <c r="C1834" s="1">
        <v>0</v>
      </c>
      <c r="D1834" s="39">
        <v>0</v>
      </c>
      <c r="E1834" s="1"/>
      <c r="F1834" s="39">
        <f t="shared" ref="F1834:F1848" si="94">E1834+F1809</f>
        <v>0</v>
      </c>
      <c r="G1834" s="395"/>
      <c r="H1834" s="395"/>
      <c r="J1834" s="42"/>
    </row>
    <row r="1835" spans="1:10" s="393" customFormat="1" x14ac:dyDescent="0.25">
      <c r="A1835" s="19" t="s">
        <v>32</v>
      </c>
      <c r="B1835" s="2">
        <v>43969</v>
      </c>
      <c r="C1835" s="1">
        <v>0</v>
      </c>
      <c r="D1835" s="39">
        <v>5</v>
      </c>
      <c r="E1835" s="1"/>
      <c r="F1835" s="39">
        <f t="shared" si="94"/>
        <v>0</v>
      </c>
      <c r="G1835" s="395"/>
      <c r="H1835" s="395"/>
      <c r="J1835" s="42"/>
    </row>
    <row r="1836" spans="1:10" s="393" customFormat="1" x14ac:dyDescent="0.25">
      <c r="A1836" s="19" t="s">
        <v>33</v>
      </c>
      <c r="B1836" s="2">
        <v>43969</v>
      </c>
      <c r="C1836" s="1">
        <v>0</v>
      </c>
      <c r="D1836" s="39">
        <v>5</v>
      </c>
      <c r="E1836" s="1"/>
      <c r="F1836" s="39">
        <f t="shared" si="94"/>
        <v>0</v>
      </c>
      <c r="G1836" s="395"/>
      <c r="H1836" s="395"/>
      <c r="J1836" s="42"/>
    </row>
    <row r="1837" spans="1:10" s="393" customFormat="1" x14ac:dyDescent="0.25">
      <c r="A1837" s="19" t="s">
        <v>21</v>
      </c>
      <c r="B1837" s="2">
        <v>43969</v>
      </c>
      <c r="C1837" s="1">
        <v>2</v>
      </c>
      <c r="D1837" s="39">
        <v>63</v>
      </c>
      <c r="E1837" s="1"/>
      <c r="F1837" s="39">
        <f t="shared" si="94"/>
        <v>0</v>
      </c>
      <c r="G1837" s="395"/>
      <c r="H1837" s="395"/>
      <c r="J1837" s="42"/>
    </row>
    <row r="1838" spans="1:10" s="393" customFormat="1" x14ac:dyDescent="0.25">
      <c r="A1838" s="19" t="s">
        <v>17</v>
      </c>
      <c r="B1838" s="2">
        <v>43969</v>
      </c>
      <c r="C1838" s="1">
        <v>0</v>
      </c>
      <c r="D1838" s="39">
        <v>87</v>
      </c>
      <c r="E1838" s="1"/>
      <c r="F1838" s="39">
        <f t="shared" si="94"/>
        <v>0</v>
      </c>
      <c r="G1838" s="395"/>
      <c r="H1838" s="395"/>
      <c r="J1838" s="42"/>
    </row>
    <row r="1839" spans="1:10" s="393" customFormat="1" x14ac:dyDescent="0.25">
      <c r="A1839" s="19" t="s">
        <v>23</v>
      </c>
      <c r="B1839" s="2">
        <v>43969</v>
      </c>
      <c r="C1839" s="1">
        <v>0</v>
      </c>
      <c r="D1839" s="39">
        <v>25</v>
      </c>
      <c r="E1839" s="1"/>
      <c r="F1839" s="39">
        <f t="shared" si="94"/>
        <v>0</v>
      </c>
      <c r="G1839" s="395"/>
      <c r="H1839" s="395"/>
      <c r="J1839" s="42"/>
    </row>
    <row r="1840" spans="1:10" s="393" customFormat="1" x14ac:dyDescent="0.25">
      <c r="A1840" s="19" t="s">
        <v>19</v>
      </c>
      <c r="B1840" s="2">
        <v>43969</v>
      </c>
      <c r="C1840" s="1">
        <v>0</v>
      </c>
      <c r="D1840" s="39">
        <v>114</v>
      </c>
      <c r="E1840" s="1"/>
      <c r="F1840" s="39">
        <f t="shared" si="94"/>
        <v>0</v>
      </c>
      <c r="G1840" s="395"/>
      <c r="H1840" s="395"/>
      <c r="J1840" s="42"/>
    </row>
    <row r="1841" spans="1:10" s="393" customFormat="1" x14ac:dyDescent="0.25">
      <c r="A1841" s="19" t="s">
        <v>18</v>
      </c>
      <c r="B1841" s="2">
        <v>43969</v>
      </c>
      <c r="C1841" s="1">
        <v>2</v>
      </c>
      <c r="D1841" s="39">
        <v>325</v>
      </c>
      <c r="E1841" s="1"/>
      <c r="F1841" s="39">
        <f t="shared" si="94"/>
        <v>0</v>
      </c>
      <c r="G1841" s="395"/>
      <c r="H1841" s="395"/>
      <c r="J1841" s="42"/>
    </row>
    <row r="1842" spans="1:10" s="393" customFormat="1" x14ac:dyDescent="0.25">
      <c r="A1842" s="19" t="s">
        <v>34</v>
      </c>
      <c r="B1842" s="2">
        <v>43969</v>
      </c>
      <c r="C1842" s="1">
        <v>0</v>
      </c>
      <c r="D1842" s="39">
        <v>5</v>
      </c>
      <c r="E1842" s="1"/>
      <c r="F1842" s="39">
        <f t="shared" si="94"/>
        <v>1</v>
      </c>
      <c r="G1842" s="395"/>
      <c r="H1842" s="395"/>
      <c r="J1842" s="42"/>
    </row>
    <row r="1843" spans="1:10" s="393" customFormat="1" x14ac:dyDescent="0.25">
      <c r="A1843" s="19" t="s">
        <v>35</v>
      </c>
      <c r="B1843" s="2">
        <v>43969</v>
      </c>
      <c r="C1843" s="1">
        <v>1</v>
      </c>
      <c r="D1843" s="39">
        <v>4</v>
      </c>
      <c r="E1843" s="1"/>
      <c r="F1843" s="39">
        <f>E1843+F1819</f>
        <v>0</v>
      </c>
      <c r="G1843" s="395"/>
      <c r="H1843" s="395"/>
      <c r="J1843" s="42"/>
    </row>
    <row r="1844" spans="1:10" s="393" customFormat="1" x14ac:dyDescent="0.25">
      <c r="A1844" s="19" t="s">
        <v>36</v>
      </c>
      <c r="B1844" s="2">
        <v>43969</v>
      </c>
      <c r="C1844" s="1">
        <v>0</v>
      </c>
      <c r="D1844" s="39">
        <v>11</v>
      </c>
      <c r="E1844" s="1"/>
      <c r="F1844" s="39">
        <f t="shared" si="94"/>
        <v>0</v>
      </c>
      <c r="G1844" s="395"/>
      <c r="H1844" s="395"/>
      <c r="J1844" s="42"/>
    </row>
    <row r="1845" spans="1:10" s="393" customFormat="1" x14ac:dyDescent="0.25">
      <c r="A1845" s="19" t="s">
        <v>37</v>
      </c>
      <c r="B1845" s="2">
        <v>43969</v>
      </c>
      <c r="C1845" s="1">
        <v>0</v>
      </c>
      <c r="D1845" s="39">
        <v>49</v>
      </c>
      <c r="E1845" s="1"/>
      <c r="F1845" s="39">
        <f t="shared" si="94"/>
        <v>0</v>
      </c>
      <c r="G1845" s="395"/>
      <c r="H1845" s="395"/>
      <c r="J1845" s="42"/>
    </row>
    <row r="1846" spans="1:10" s="393" customFormat="1" x14ac:dyDescent="0.25">
      <c r="A1846" s="19" t="s">
        <v>22</v>
      </c>
      <c r="B1846" s="2">
        <v>43969</v>
      </c>
      <c r="C1846" s="1">
        <v>4</v>
      </c>
      <c r="D1846" s="39">
        <v>249</v>
      </c>
      <c r="E1846" s="1"/>
      <c r="F1846" s="39">
        <f>E1846+F1822</f>
        <v>3</v>
      </c>
      <c r="G1846" s="395"/>
      <c r="H1846" s="395"/>
      <c r="J1846" s="42"/>
    </row>
    <row r="1847" spans="1:10" s="393" customFormat="1" x14ac:dyDescent="0.25">
      <c r="A1847" s="19" t="s">
        <v>38</v>
      </c>
      <c r="B1847" s="2">
        <v>43969</v>
      </c>
      <c r="C1847" s="1">
        <v>0</v>
      </c>
      <c r="D1847" s="39">
        <v>16</v>
      </c>
      <c r="E1847" s="1"/>
      <c r="F1847" s="39">
        <f>E1847+F1823</f>
        <v>0</v>
      </c>
      <c r="G1847" s="395"/>
      <c r="H1847" s="395"/>
      <c r="J1847" s="42"/>
    </row>
    <row r="1848" spans="1:10" s="393" customFormat="1" x14ac:dyDescent="0.25">
      <c r="A1848" s="19" t="s">
        <v>39</v>
      </c>
      <c r="B1848" s="2">
        <v>43969</v>
      </c>
      <c r="C1848" s="1">
        <v>0</v>
      </c>
      <c r="D1848" s="39">
        <v>148</v>
      </c>
      <c r="E1848" s="1"/>
      <c r="F1848" s="39">
        <f t="shared" si="94"/>
        <v>0</v>
      </c>
      <c r="G1848" s="395"/>
      <c r="H1848" s="395"/>
      <c r="J1848" s="42"/>
    </row>
    <row r="1849" spans="1:10" s="393" customFormat="1" x14ac:dyDescent="0.25">
      <c r="A1849" s="19" t="s">
        <v>40</v>
      </c>
      <c r="B1849" s="2">
        <v>43969</v>
      </c>
      <c r="C1849" s="1">
        <v>0</v>
      </c>
      <c r="D1849" s="39">
        <v>42</v>
      </c>
      <c r="E1849" s="1"/>
      <c r="F1849" s="39">
        <f>E1849+F1825</f>
        <v>3</v>
      </c>
      <c r="G1849" s="395"/>
      <c r="H1849" s="395"/>
      <c r="J1849" s="42"/>
    </row>
    <row r="1850" spans="1:10" s="393" customFormat="1" x14ac:dyDescent="0.25">
      <c r="A1850" s="394" t="s">
        <v>16</v>
      </c>
      <c r="B1850" s="2">
        <v>43970</v>
      </c>
      <c r="C1850" s="1">
        <v>157</v>
      </c>
      <c r="D1850" s="39">
        <v>2918</v>
      </c>
      <c r="E1850" s="1">
        <v>2</v>
      </c>
      <c r="F1850" s="39">
        <f>E1850+F1826</f>
        <v>157</v>
      </c>
      <c r="G1850" s="395"/>
      <c r="H1850" s="395"/>
      <c r="J1850" s="42"/>
    </row>
    <row r="1851" spans="1:10" s="393" customFormat="1" x14ac:dyDescent="0.25">
      <c r="A1851" s="19" t="s">
        <v>28</v>
      </c>
      <c r="B1851" s="2">
        <v>43970</v>
      </c>
      <c r="C1851" s="1">
        <v>0</v>
      </c>
      <c r="D1851" s="39">
        <v>0</v>
      </c>
      <c r="E1851" s="1"/>
      <c r="F1851" s="39">
        <f t="shared" ref="F1851:F1857" si="95">E1851+F1827</f>
        <v>0</v>
      </c>
      <c r="G1851" s="395"/>
      <c r="H1851" s="395"/>
      <c r="J1851" s="42"/>
    </row>
    <row r="1852" spans="1:10" s="393" customFormat="1" x14ac:dyDescent="0.25">
      <c r="A1852" s="19" t="s">
        <v>15</v>
      </c>
      <c r="B1852" s="2">
        <v>43970</v>
      </c>
      <c r="C1852" s="1">
        <v>34</v>
      </c>
      <c r="D1852" s="39">
        <v>625</v>
      </c>
      <c r="E1852" s="1">
        <v>4</v>
      </c>
      <c r="F1852" s="39">
        <f t="shared" si="95"/>
        <v>33</v>
      </c>
      <c r="G1852" s="395"/>
      <c r="H1852" s="395"/>
      <c r="J1852" s="42"/>
    </row>
    <row r="1853" spans="1:10" s="393" customFormat="1" x14ac:dyDescent="0.25">
      <c r="A1853" s="19" t="s">
        <v>29</v>
      </c>
      <c r="B1853" s="2">
        <v>43970</v>
      </c>
      <c r="C1853" s="1">
        <v>0</v>
      </c>
      <c r="D1853" s="39">
        <v>4</v>
      </c>
      <c r="E1853" s="1"/>
      <c r="F1853" s="39">
        <f t="shared" si="95"/>
        <v>1</v>
      </c>
      <c r="G1853" s="395"/>
      <c r="H1853" s="395"/>
      <c r="J1853" s="42"/>
    </row>
    <row r="1854" spans="1:10" s="393" customFormat="1" x14ac:dyDescent="0.25">
      <c r="A1854" s="19" t="s">
        <v>43</v>
      </c>
      <c r="B1854" s="2">
        <v>43970</v>
      </c>
      <c r="C1854" s="1">
        <v>224</v>
      </c>
      <c r="D1854" s="39">
        <v>3565</v>
      </c>
      <c r="E1854" s="1">
        <v>5</v>
      </c>
      <c r="F1854" s="39">
        <f t="shared" si="95"/>
        <v>132</v>
      </c>
      <c r="G1854" s="395"/>
      <c r="H1854" s="395"/>
      <c r="J1854" s="42"/>
    </row>
    <row r="1855" spans="1:10" s="393" customFormat="1" x14ac:dyDescent="0.25">
      <c r="A1855" s="19" t="s">
        <v>20</v>
      </c>
      <c r="B1855" s="2">
        <v>43970</v>
      </c>
      <c r="C1855" s="1">
        <v>9</v>
      </c>
      <c r="D1855" s="39">
        <v>427</v>
      </c>
      <c r="E1855" s="1"/>
      <c r="F1855" s="39">
        <f t="shared" si="95"/>
        <v>23</v>
      </c>
      <c r="G1855" s="395"/>
      <c r="H1855" s="395"/>
      <c r="J1855" s="42"/>
    </row>
    <row r="1856" spans="1:10" s="393" customFormat="1" x14ac:dyDescent="0.25">
      <c r="A1856" s="19" t="s">
        <v>30</v>
      </c>
      <c r="B1856" s="2">
        <v>43970</v>
      </c>
      <c r="C1856" s="1">
        <v>0</v>
      </c>
      <c r="D1856" s="39">
        <v>78</v>
      </c>
      <c r="E1856" s="1"/>
      <c r="F1856" s="39">
        <f t="shared" si="95"/>
        <v>0</v>
      </c>
      <c r="G1856" s="395"/>
      <c r="H1856" s="395"/>
      <c r="J1856" s="42"/>
    </row>
    <row r="1857" spans="1:10" x14ac:dyDescent="0.25">
      <c r="A1857" s="19" t="s">
        <v>31</v>
      </c>
      <c r="B1857" s="2">
        <v>43970</v>
      </c>
      <c r="C1857" s="1">
        <v>0</v>
      </c>
      <c r="D1857" s="39">
        <v>29</v>
      </c>
      <c r="F1857" s="39">
        <f t="shared" si="95"/>
        <v>0</v>
      </c>
    </row>
    <row r="1858" spans="1:10" s="393" customFormat="1" x14ac:dyDescent="0.25">
      <c r="A1858" s="19" t="s">
        <v>41</v>
      </c>
      <c r="B1858" s="2">
        <v>43970</v>
      </c>
      <c r="C1858" s="1">
        <v>0</v>
      </c>
      <c r="D1858" s="39">
        <v>0</v>
      </c>
      <c r="E1858" s="1"/>
      <c r="F1858" s="39">
        <f t="shared" ref="F1858:F1872" si="96">E1858+F1833</f>
        <v>0</v>
      </c>
      <c r="G1858" s="395"/>
      <c r="H1858" s="395"/>
      <c r="J1858" s="42"/>
    </row>
    <row r="1859" spans="1:10" s="393" customFormat="1" x14ac:dyDescent="0.25">
      <c r="A1859" s="19" t="s">
        <v>32</v>
      </c>
      <c r="B1859" s="2">
        <v>43970</v>
      </c>
      <c r="C1859" s="1">
        <v>0</v>
      </c>
      <c r="D1859" s="39">
        <v>5</v>
      </c>
      <c r="E1859" s="1"/>
      <c r="F1859" s="39">
        <f t="shared" si="96"/>
        <v>0</v>
      </c>
      <c r="G1859" s="395"/>
      <c r="H1859" s="395"/>
      <c r="J1859" s="42"/>
    </row>
    <row r="1860" spans="1:10" s="393" customFormat="1" x14ac:dyDescent="0.25">
      <c r="A1860" s="19" t="s">
        <v>33</v>
      </c>
      <c r="B1860" s="2">
        <v>43970</v>
      </c>
      <c r="C1860" s="1">
        <v>0</v>
      </c>
      <c r="D1860" s="39">
        <v>5</v>
      </c>
      <c r="E1860" s="1"/>
      <c r="F1860" s="39">
        <f t="shared" si="96"/>
        <v>0</v>
      </c>
      <c r="G1860" s="395"/>
      <c r="H1860" s="395"/>
      <c r="J1860" s="42"/>
    </row>
    <row r="1861" spans="1:10" s="393" customFormat="1" x14ac:dyDescent="0.25">
      <c r="A1861" s="19" t="s">
        <v>21</v>
      </c>
      <c r="B1861" s="2">
        <v>43970</v>
      </c>
      <c r="C1861" s="1">
        <v>0</v>
      </c>
      <c r="D1861" s="39">
        <v>63</v>
      </c>
      <c r="E1861" s="1"/>
      <c r="F1861" s="39">
        <f t="shared" si="96"/>
        <v>0</v>
      </c>
      <c r="G1861" s="395"/>
      <c r="H1861" s="395"/>
      <c r="J1861" s="42"/>
    </row>
    <row r="1862" spans="1:10" s="393" customFormat="1" x14ac:dyDescent="0.25">
      <c r="A1862" s="19" t="s">
        <v>17</v>
      </c>
      <c r="B1862" s="2">
        <v>43970</v>
      </c>
      <c r="C1862" s="1">
        <v>2</v>
      </c>
      <c r="D1862" s="39">
        <v>89</v>
      </c>
      <c r="E1862" s="1"/>
      <c r="F1862" s="39">
        <f t="shared" si="96"/>
        <v>0</v>
      </c>
      <c r="G1862" s="395"/>
      <c r="H1862" s="395"/>
      <c r="J1862" s="42"/>
    </row>
    <row r="1863" spans="1:10" s="393" customFormat="1" x14ac:dyDescent="0.25">
      <c r="A1863" s="19" t="s">
        <v>23</v>
      </c>
      <c r="B1863" s="2">
        <v>43970</v>
      </c>
      <c r="C1863" s="1">
        <v>0</v>
      </c>
      <c r="D1863" s="39">
        <v>25</v>
      </c>
      <c r="E1863" s="1"/>
      <c r="F1863" s="39">
        <f t="shared" si="96"/>
        <v>0</v>
      </c>
      <c r="G1863" s="395"/>
      <c r="H1863" s="395"/>
      <c r="J1863" s="42"/>
    </row>
    <row r="1864" spans="1:10" s="393" customFormat="1" x14ac:dyDescent="0.25">
      <c r="A1864" s="19" t="s">
        <v>19</v>
      </c>
      <c r="B1864" s="2">
        <v>43970</v>
      </c>
      <c r="C1864" s="1">
        <v>0</v>
      </c>
      <c r="D1864" s="39">
        <v>114</v>
      </c>
      <c r="E1864" s="1"/>
      <c r="F1864" s="39">
        <f t="shared" si="96"/>
        <v>0</v>
      </c>
      <c r="G1864" s="395"/>
      <c r="H1864" s="395"/>
      <c r="J1864" s="42"/>
    </row>
    <row r="1865" spans="1:10" s="393" customFormat="1" x14ac:dyDescent="0.25">
      <c r="A1865" s="19" t="s">
        <v>18</v>
      </c>
      <c r="B1865" s="2">
        <v>43970</v>
      </c>
      <c r="C1865" s="1">
        <v>6</v>
      </c>
      <c r="D1865" s="39">
        <v>331</v>
      </c>
      <c r="E1865" s="1"/>
      <c r="F1865" s="39">
        <f t="shared" si="96"/>
        <v>0</v>
      </c>
      <c r="G1865" s="395"/>
      <c r="H1865" s="395"/>
      <c r="J1865" s="42"/>
    </row>
    <row r="1866" spans="1:10" s="393" customFormat="1" x14ac:dyDescent="0.25">
      <c r="A1866" s="19" t="s">
        <v>34</v>
      </c>
      <c r="B1866" s="2">
        <v>43970</v>
      </c>
      <c r="C1866" s="1">
        <v>0</v>
      </c>
      <c r="D1866" s="39">
        <v>5</v>
      </c>
      <c r="E1866" s="1"/>
      <c r="F1866" s="39">
        <f t="shared" si="96"/>
        <v>0</v>
      </c>
      <c r="G1866" s="395"/>
      <c r="H1866" s="395"/>
      <c r="J1866" s="42"/>
    </row>
    <row r="1867" spans="1:10" s="393" customFormat="1" x14ac:dyDescent="0.25">
      <c r="A1867" s="19" t="s">
        <v>35</v>
      </c>
      <c r="B1867" s="2">
        <v>43970</v>
      </c>
      <c r="C1867" s="1">
        <v>0</v>
      </c>
      <c r="D1867" s="39">
        <v>4</v>
      </c>
      <c r="E1867" s="1"/>
      <c r="F1867" s="39">
        <f>E1867+F1843</f>
        <v>0</v>
      </c>
      <c r="G1867" s="395"/>
      <c r="H1867" s="395"/>
      <c r="J1867" s="42"/>
    </row>
    <row r="1868" spans="1:10" s="393" customFormat="1" x14ac:dyDescent="0.25">
      <c r="A1868" s="19" t="s">
        <v>36</v>
      </c>
      <c r="B1868" s="2">
        <v>43970</v>
      </c>
      <c r="C1868" s="1">
        <v>0</v>
      </c>
      <c r="D1868" s="39">
        <v>11</v>
      </c>
      <c r="E1868" s="1"/>
      <c r="F1868" s="39">
        <f t="shared" si="96"/>
        <v>0</v>
      </c>
      <c r="G1868" s="395"/>
      <c r="H1868" s="395"/>
      <c r="J1868" s="42"/>
    </row>
    <row r="1869" spans="1:10" s="393" customFormat="1" x14ac:dyDescent="0.25">
      <c r="A1869" s="19" t="s">
        <v>37</v>
      </c>
      <c r="B1869" s="2">
        <v>43970</v>
      </c>
      <c r="C1869" s="1">
        <v>0</v>
      </c>
      <c r="D1869" s="39">
        <v>49</v>
      </c>
      <c r="E1869" s="1"/>
      <c r="F1869" s="39">
        <f t="shared" si="96"/>
        <v>0</v>
      </c>
      <c r="G1869" s="395"/>
      <c r="H1869" s="395"/>
      <c r="J1869" s="42"/>
    </row>
    <row r="1870" spans="1:10" s="393" customFormat="1" x14ac:dyDescent="0.25">
      <c r="A1870" s="19" t="s">
        <v>22</v>
      </c>
      <c r="B1870" s="2">
        <v>43970</v>
      </c>
      <c r="C1870" s="1">
        <v>0</v>
      </c>
      <c r="D1870" s="39">
        <v>249</v>
      </c>
      <c r="E1870" s="1"/>
      <c r="F1870" s="39">
        <f>E1870+F1846</f>
        <v>3</v>
      </c>
      <c r="G1870" s="395"/>
      <c r="H1870" s="395"/>
      <c r="J1870" s="42"/>
    </row>
    <row r="1871" spans="1:10" s="393" customFormat="1" x14ac:dyDescent="0.25">
      <c r="A1871" s="19" t="s">
        <v>38</v>
      </c>
      <c r="B1871" s="2">
        <v>43970</v>
      </c>
      <c r="C1871" s="1">
        <v>6</v>
      </c>
      <c r="D1871" s="39">
        <v>22</v>
      </c>
      <c r="E1871" s="1"/>
      <c r="F1871" s="39">
        <f>E1871+F1847</f>
        <v>0</v>
      </c>
      <c r="G1871" s="395"/>
      <c r="H1871" s="395"/>
      <c r="J1871" s="42"/>
    </row>
    <row r="1872" spans="1:10" s="393" customFormat="1" x14ac:dyDescent="0.25">
      <c r="A1872" s="19" t="s">
        <v>39</v>
      </c>
      <c r="B1872" s="2">
        <v>43970</v>
      </c>
      <c r="C1872" s="1">
        <v>0</v>
      </c>
      <c r="D1872" s="39">
        <v>148</v>
      </c>
      <c r="E1872" s="1"/>
      <c r="F1872" s="39">
        <f t="shared" si="96"/>
        <v>0</v>
      </c>
      <c r="G1872" s="395"/>
      <c r="H1872" s="395"/>
      <c r="J1872" s="42"/>
    </row>
    <row r="1873" spans="1:10" s="393" customFormat="1" x14ac:dyDescent="0.25">
      <c r="A1873" s="19" t="s">
        <v>40</v>
      </c>
      <c r="B1873" s="2">
        <v>43970</v>
      </c>
      <c r="C1873" s="1">
        <v>0</v>
      </c>
      <c r="D1873" s="39">
        <v>42</v>
      </c>
      <c r="E1873" s="1"/>
      <c r="F1873" s="39">
        <f>E1873+F1849</f>
        <v>3</v>
      </c>
      <c r="G1873" s="395"/>
      <c r="H1873" s="395"/>
      <c r="J1873" s="42"/>
    </row>
    <row r="1874" spans="1:10" s="393" customFormat="1" x14ac:dyDescent="0.25">
      <c r="A1874" s="394" t="s">
        <v>16</v>
      </c>
      <c r="B1874" s="2">
        <v>43971</v>
      </c>
      <c r="C1874" s="1">
        <v>178</v>
      </c>
      <c r="D1874" s="39">
        <v>3096</v>
      </c>
      <c r="E1874" s="1">
        <v>5</v>
      </c>
      <c r="F1874" s="39">
        <f>E1874+F1850</f>
        <v>162</v>
      </c>
      <c r="G1874" s="395"/>
      <c r="H1874" s="395"/>
      <c r="J1874" s="42"/>
    </row>
    <row r="1875" spans="1:10" s="393" customFormat="1" x14ac:dyDescent="0.25">
      <c r="A1875" s="19" t="s">
        <v>28</v>
      </c>
      <c r="B1875" s="2">
        <v>43971</v>
      </c>
      <c r="C1875" s="1">
        <v>0</v>
      </c>
      <c r="D1875" s="39">
        <v>0</v>
      </c>
      <c r="E1875" s="1"/>
      <c r="F1875" s="39">
        <f t="shared" ref="F1875:F1881" si="97">E1875+F1851</f>
        <v>0</v>
      </c>
      <c r="G1875" s="395"/>
      <c r="H1875" s="395"/>
      <c r="J1875" s="42"/>
    </row>
    <row r="1876" spans="1:10" s="393" customFormat="1" x14ac:dyDescent="0.25">
      <c r="A1876" s="19" t="s">
        <v>15</v>
      </c>
      <c r="B1876" s="2">
        <v>43971</v>
      </c>
      <c r="C1876" s="1">
        <v>35</v>
      </c>
      <c r="D1876" s="39">
        <v>660</v>
      </c>
      <c r="E1876" s="1">
        <v>1</v>
      </c>
      <c r="F1876" s="39">
        <f t="shared" si="97"/>
        <v>34</v>
      </c>
      <c r="G1876" s="395"/>
      <c r="H1876" s="395"/>
      <c r="J1876" s="42"/>
    </row>
    <row r="1877" spans="1:10" s="393" customFormat="1" x14ac:dyDescent="0.25">
      <c r="A1877" s="19" t="s">
        <v>29</v>
      </c>
      <c r="B1877" s="2">
        <v>43971</v>
      </c>
      <c r="C1877" s="1">
        <v>0</v>
      </c>
      <c r="D1877" s="39">
        <v>4</v>
      </c>
      <c r="E1877" s="1"/>
      <c r="F1877" s="39">
        <f t="shared" si="97"/>
        <v>1</v>
      </c>
      <c r="G1877" s="395"/>
      <c r="H1877" s="395"/>
      <c r="J1877" s="42"/>
    </row>
    <row r="1878" spans="1:10" s="393" customFormat="1" x14ac:dyDescent="0.25">
      <c r="A1878" s="19" t="s">
        <v>43</v>
      </c>
      <c r="B1878" s="2">
        <v>43971</v>
      </c>
      <c r="C1878" s="1">
        <v>257</v>
      </c>
      <c r="D1878" s="39">
        <v>3822</v>
      </c>
      <c r="E1878" s="1">
        <v>2</v>
      </c>
      <c r="F1878" s="39">
        <f>E1878+F1854</f>
        <v>134</v>
      </c>
      <c r="G1878" s="395"/>
      <c r="H1878" s="395"/>
      <c r="J1878" s="42"/>
    </row>
    <row r="1879" spans="1:10" s="393" customFormat="1" x14ac:dyDescent="0.25">
      <c r="A1879" s="19" t="s">
        <v>20</v>
      </c>
      <c r="B1879" s="2">
        <v>43971</v>
      </c>
      <c r="C1879" s="1">
        <v>2</v>
      </c>
      <c r="D1879" s="39">
        <v>429</v>
      </c>
      <c r="E1879" s="1">
        <v>1</v>
      </c>
      <c r="F1879" s="39">
        <f t="shared" si="97"/>
        <v>24</v>
      </c>
      <c r="G1879" s="395"/>
      <c r="H1879" s="395"/>
      <c r="J1879" s="42"/>
    </row>
    <row r="1880" spans="1:10" s="393" customFormat="1" x14ac:dyDescent="0.25">
      <c r="A1880" s="19" t="s">
        <v>30</v>
      </c>
      <c r="B1880" s="2">
        <v>43971</v>
      </c>
      <c r="C1880" s="1">
        <v>0</v>
      </c>
      <c r="D1880" s="39">
        <v>78</v>
      </c>
      <c r="E1880" s="1"/>
      <c r="F1880" s="39">
        <f t="shared" si="97"/>
        <v>0</v>
      </c>
      <c r="G1880" s="395"/>
      <c r="H1880" s="395"/>
      <c r="J1880" s="42"/>
    </row>
    <row r="1881" spans="1:10" x14ac:dyDescent="0.25">
      <c r="A1881" s="19" t="s">
        <v>31</v>
      </c>
      <c r="B1881" s="2">
        <v>43971</v>
      </c>
      <c r="C1881" s="1">
        <v>0</v>
      </c>
      <c r="D1881" s="39">
        <v>29</v>
      </c>
      <c r="F1881" s="39">
        <f t="shared" si="97"/>
        <v>0</v>
      </c>
    </row>
    <row r="1882" spans="1:10" s="393" customFormat="1" x14ac:dyDescent="0.25">
      <c r="A1882" s="19" t="s">
        <v>41</v>
      </c>
      <c r="B1882" s="2">
        <v>43971</v>
      </c>
      <c r="C1882" s="1">
        <v>0</v>
      </c>
      <c r="D1882" s="39">
        <v>0</v>
      </c>
      <c r="E1882" s="1"/>
      <c r="F1882" s="39">
        <f t="shared" ref="F1882:F1896" si="98">E1882+F1857</f>
        <v>0</v>
      </c>
      <c r="G1882" s="395"/>
      <c r="H1882" s="395"/>
      <c r="J1882" s="42"/>
    </row>
    <row r="1883" spans="1:10" s="393" customFormat="1" x14ac:dyDescent="0.25">
      <c r="A1883" s="19" t="s">
        <v>32</v>
      </c>
      <c r="B1883" s="2">
        <v>43971</v>
      </c>
      <c r="C1883" s="1">
        <v>0</v>
      </c>
      <c r="D1883" s="39">
        <v>5</v>
      </c>
      <c r="E1883" s="1"/>
      <c r="F1883" s="39">
        <f t="shared" si="98"/>
        <v>0</v>
      </c>
      <c r="G1883" s="395"/>
      <c r="H1883" s="395"/>
      <c r="J1883" s="42"/>
    </row>
    <row r="1884" spans="1:10" s="393" customFormat="1" x14ac:dyDescent="0.25">
      <c r="A1884" s="19" t="s">
        <v>33</v>
      </c>
      <c r="B1884" s="2">
        <v>43971</v>
      </c>
      <c r="C1884" s="1">
        <v>0</v>
      </c>
      <c r="D1884" s="39">
        <v>5</v>
      </c>
      <c r="E1884" s="1"/>
      <c r="F1884" s="39">
        <f t="shared" si="98"/>
        <v>0</v>
      </c>
      <c r="G1884" s="395"/>
      <c r="H1884" s="395"/>
      <c r="J1884" s="42"/>
    </row>
    <row r="1885" spans="1:10" s="393" customFormat="1" x14ac:dyDescent="0.25">
      <c r="A1885" s="19" t="s">
        <v>21</v>
      </c>
      <c r="B1885" s="2">
        <v>43971</v>
      </c>
      <c r="C1885" s="1">
        <v>0</v>
      </c>
      <c r="D1885" s="39">
        <v>63</v>
      </c>
      <c r="E1885" s="1"/>
      <c r="F1885" s="39">
        <f t="shared" si="98"/>
        <v>0</v>
      </c>
      <c r="G1885" s="395"/>
      <c r="H1885" s="395"/>
      <c r="J1885" s="42"/>
    </row>
    <row r="1886" spans="1:10" s="393" customFormat="1" x14ac:dyDescent="0.25">
      <c r="A1886" s="19" t="s">
        <v>17</v>
      </c>
      <c r="B1886" s="2">
        <v>43971</v>
      </c>
      <c r="C1886" s="1">
        <v>0</v>
      </c>
      <c r="D1886" s="39">
        <v>89</v>
      </c>
      <c r="E1886" s="1"/>
      <c r="F1886" s="39">
        <f t="shared" si="98"/>
        <v>0</v>
      </c>
      <c r="G1886" s="395"/>
      <c r="H1886" s="395"/>
      <c r="J1886" s="42"/>
    </row>
    <row r="1887" spans="1:10" s="393" customFormat="1" x14ac:dyDescent="0.25">
      <c r="A1887" s="19" t="s">
        <v>23</v>
      </c>
      <c r="B1887" s="2">
        <v>43971</v>
      </c>
      <c r="C1887" s="1">
        <v>0</v>
      </c>
      <c r="D1887" s="39">
        <v>25</v>
      </c>
      <c r="E1887" s="1"/>
      <c r="F1887" s="39">
        <f t="shared" si="98"/>
        <v>0</v>
      </c>
      <c r="G1887" s="395"/>
      <c r="H1887" s="395"/>
      <c r="J1887" s="42"/>
    </row>
    <row r="1888" spans="1:10" s="393" customFormat="1" x14ac:dyDescent="0.25">
      <c r="A1888" s="19" t="s">
        <v>19</v>
      </c>
      <c r="B1888" s="2">
        <v>43971</v>
      </c>
      <c r="C1888" s="1">
        <v>0</v>
      </c>
      <c r="D1888" s="39">
        <v>114</v>
      </c>
      <c r="E1888" s="1"/>
      <c r="F1888" s="39">
        <f t="shared" si="98"/>
        <v>0</v>
      </c>
      <c r="G1888" s="395"/>
      <c r="H1888" s="395"/>
      <c r="J1888" s="42"/>
    </row>
    <row r="1889" spans="1:10" s="393" customFormat="1" x14ac:dyDescent="0.25">
      <c r="A1889" s="19" t="s">
        <v>18</v>
      </c>
      <c r="B1889" s="2">
        <v>43971</v>
      </c>
      <c r="C1889" s="1">
        <v>2</v>
      </c>
      <c r="D1889" s="39">
        <v>333</v>
      </c>
      <c r="E1889" s="1">
        <v>1</v>
      </c>
      <c r="F1889" s="39">
        <f t="shared" si="98"/>
        <v>1</v>
      </c>
      <c r="G1889" s="395"/>
      <c r="H1889" s="395"/>
      <c r="J1889" s="42"/>
    </row>
    <row r="1890" spans="1:10" s="393" customFormat="1" x14ac:dyDescent="0.25">
      <c r="A1890" s="19" t="s">
        <v>34</v>
      </c>
      <c r="B1890" s="2">
        <v>43971</v>
      </c>
      <c r="C1890" s="1">
        <v>0</v>
      </c>
      <c r="D1890" s="39">
        <v>5</v>
      </c>
      <c r="E1890" s="1"/>
      <c r="F1890" s="39">
        <f t="shared" si="98"/>
        <v>0</v>
      </c>
      <c r="G1890" s="395"/>
      <c r="H1890" s="395"/>
      <c r="J1890" s="42"/>
    </row>
    <row r="1891" spans="1:10" s="393" customFormat="1" x14ac:dyDescent="0.25">
      <c r="A1891" s="19" t="s">
        <v>35</v>
      </c>
      <c r="B1891" s="2">
        <v>43971</v>
      </c>
      <c r="C1891" s="1">
        <v>0</v>
      </c>
      <c r="D1891" s="39">
        <v>4</v>
      </c>
      <c r="E1891" s="1"/>
      <c r="F1891" s="39">
        <f>E1891+F1867</f>
        <v>0</v>
      </c>
      <c r="G1891" s="395"/>
      <c r="H1891" s="395"/>
      <c r="J1891" s="42"/>
    </row>
    <row r="1892" spans="1:10" s="393" customFormat="1" x14ac:dyDescent="0.25">
      <c r="A1892" s="19" t="s">
        <v>36</v>
      </c>
      <c r="B1892" s="2">
        <v>43971</v>
      </c>
      <c r="C1892" s="1">
        <v>0</v>
      </c>
      <c r="D1892" s="39">
        <v>11</v>
      </c>
      <c r="E1892" s="1"/>
      <c r="F1892" s="39">
        <f t="shared" si="98"/>
        <v>0</v>
      </c>
      <c r="G1892" s="395"/>
      <c r="H1892" s="395"/>
      <c r="J1892" s="42"/>
    </row>
    <row r="1893" spans="1:10" s="393" customFormat="1" x14ac:dyDescent="0.25">
      <c r="A1893" s="19" t="s">
        <v>37</v>
      </c>
      <c r="B1893" s="2">
        <v>43971</v>
      </c>
      <c r="C1893" s="1">
        <v>0</v>
      </c>
      <c r="D1893" s="39">
        <v>49</v>
      </c>
      <c r="E1893" s="1"/>
      <c r="F1893" s="39">
        <f t="shared" si="98"/>
        <v>0</v>
      </c>
      <c r="G1893" s="395"/>
      <c r="H1893" s="395"/>
      <c r="J1893" s="42"/>
    </row>
    <row r="1894" spans="1:10" s="393" customFormat="1" x14ac:dyDescent="0.25">
      <c r="A1894" s="19" t="s">
        <v>22</v>
      </c>
      <c r="B1894" s="2">
        <v>43971</v>
      </c>
      <c r="C1894" s="1">
        <v>0</v>
      </c>
      <c r="D1894" s="39">
        <v>249</v>
      </c>
      <c r="E1894" s="1"/>
      <c r="F1894" s="39">
        <f>E1894+F1870</f>
        <v>3</v>
      </c>
      <c r="G1894" s="395"/>
      <c r="H1894" s="395"/>
      <c r="J1894" s="42"/>
    </row>
    <row r="1895" spans="1:10" s="393" customFormat="1" x14ac:dyDescent="0.25">
      <c r="A1895" s="19" t="s">
        <v>38</v>
      </c>
      <c r="B1895" s="2">
        <v>43971</v>
      </c>
      <c r="C1895" s="1">
        <v>0</v>
      </c>
      <c r="D1895" s="39">
        <v>22</v>
      </c>
      <c r="E1895" s="1"/>
      <c r="F1895" s="39">
        <f>E1895+F1871</f>
        <v>0</v>
      </c>
      <c r="G1895" s="395"/>
      <c r="H1895" s="395"/>
      <c r="J1895" s="42"/>
    </row>
    <row r="1896" spans="1:10" s="393" customFormat="1" x14ac:dyDescent="0.25">
      <c r="A1896" s="19" t="s">
        <v>39</v>
      </c>
      <c r="B1896" s="2">
        <v>43971</v>
      </c>
      <c r="C1896" s="1">
        <v>0</v>
      </c>
      <c r="D1896" s="39">
        <v>148</v>
      </c>
      <c r="E1896" s="1"/>
      <c r="F1896" s="39">
        <f t="shared" si="98"/>
        <v>0</v>
      </c>
      <c r="G1896" s="395"/>
      <c r="H1896" s="395"/>
      <c r="J1896" s="42"/>
    </row>
    <row r="1897" spans="1:10" s="393" customFormat="1" x14ac:dyDescent="0.25">
      <c r="A1897" s="19" t="s">
        <v>40</v>
      </c>
      <c r="B1897" s="2">
        <v>43971</v>
      </c>
      <c r="C1897" s="1">
        <v>0</v>
      </c>
      <c r="D1897" s="39">
        <v>42</v>
      </c>
      <c r="E1897" s="1"/>
      <c r="F1897" s="39">
        <f>E1897+F1873</f>
        <v>3</v>
      </c>
      <c r="G1897" s="395"/>
      <c r="H1897" s="395"/>
      <c r="J1897" s="42"/>
    </row>
    <row r="1898" spans="1:10" s="393" customFormat="1" x14ac:dyDescent="0.25">
      <c r="A1898" s="394" t="s">
        <v>16</v>
      </c>
      <c r="B1898" s="2">
        <v>43972</v>
      </c>
      <c r="C1898" s="1">
        <v>213</v>
      </c>
      <c r="D1898" s="39">
        <v>3309</v>
      </c>
      <c r="E1898" s="1">
        <v>9</v>
      </c>
      <c r="F1898" s="39">
        <f>E1898+F1874</f>
        <v>171</v>
      </c>
      <c r="G1898" s="395"/>
      <c r="H1898" s="395"/>
      <c r="J1898" s="42"/>
    </row>
    <row r="1899" spans="1:10" s="393" customFormat="1" x14ac:dyDescent="0.25">
      <c r="A1899" s="19" t="s">
        <v>28</v>
      </c>
      <c r="B1899" s="2">
        <v>43972</v>
      </c>
      <c r="C1899" s="1">
        <v>0</v>
      </c>
      <c r="D1899" s="39">
        <v>0</v>
      </c>
      <c r="E1899" s="1"/>
      <c r="F1899" s="39">
        <f t="shared" ref="F1899:F1905" si="99">E1899+F1875</f>
        <v>0</v>
      </c>
      <c r="G1899" s="395"/>
      <c r="H1899" s="395"/>
      <c r="J1899" s="42"/>
    </row>
    <row r="1900" spans="1:10" s="393" customFormat="1" x14ac:dyDescent="0.25">
      <c r="A1900" s="19" t="s">
        <v>15</v>
      </c>
      <c r="B1900" s="2">
        <v>43972</v>
      </c>
      <c r="C1900" s="1">
        <v>34</v>
      </c>
      <c r="D1900" s="39">
        <v>694</v>
      </c>
      <c r="E1900" s="1">
        <v>2</v>
      </c>
      <c r="F1900" s="39">
        <f t="shared" si="99"/>
        <v>36</v>
      </c>
      <c r="G1900" s="395"/>
      <c r="H1900" s="395"/>
      <c r="J1900" s="42"/>
    </row>
    <row r="1901" spans="1:10" s="393" customFormat="1" x14ac:dyDescent="0.25">
      <c r="A1901" s="19" t="s">
        <v>29</v>
      </c>
      <c r="B1901" s="2">
        <v>43972</v>
      </c>
      <c r="C1901" s="1">
        <v>0</v>
      </c>
      <c r="D1901" s="39">
        <v>4</v>
      </c>
      <c r="E1901" s="1"/>
      <c r="F1901" s="39">
        <f t="shared" si="99"/>
        <v>1</v>
      </c>
      <c r="G1901" s="395"/>
      <c r="H1901" s="395"/>
      <c r="J1901" s="42"/>
    </row>
    <row r="1902" spans="1:10" s="393" customFormat="1" x14ac:dyDescent="0.25">
      <c r="A1902" s="19" t="s">
        <v>43</v>
      </c>
      <c r="B1902" s="2">
        <v>43972</v>
      </c>
      <c r="C1902" s="1">
        <v>379</v>
      </c>
      <c r="D1902" s="39">
        <v>4201</v>
      </c>
      <c r="E1902" s="1">
        <v>2</v>
      </c>
      <c r="F1902" s="39">
        <f>E1902+F1878</f>
        <v>136</v>
      </c>
      <c r="G1902" s="395"/>
      <c r="H1902" s="395"/>
      <c r="J1902" s="42"/>
    </row>
    <row r="1903" spans="1:10" s="393" customFormat="1" x14ac:dyDescent="0.25">
      <c r="A1903" s="19" t="s">
        <v>20</v>
      </c>
      <c r="B1903" s="2">
        <v>43972</v>
      </c>
      <c r="C1903" s="1">
        <v>12</v>
      </c>
      <c r="D1903" s="39">
        <v>441</v>
      </c>
      <c r="E1903" s="1"/>
      <c r="F1903" s="39">
        <f t="shared" si="99"/>
        <v>24</v>
      </c>
      <c r="G1903" s="395"/>
      <c r="H1903" s="395"/>
      <c r="J1903" s="42"/>
    </row>
    <row r="1904" spans="1:10" s="393" customFormat="1" x14ac:dyDescent="0.25">
      <c r="A1904" s="19" t="s">
        <v>30</v>
      </c>
      <c r="B1904" s="2">
        <v>43972</v>
      </c>
      <c r="C1904" s="1">
        <v>0</v>
      </c>
      <c r="D1904" s="39">
        <v>78</v>
      </c>
      <c r="E1904" s="1"/>
      <c r="F1904" s="39">
        <f t="shared" si="99"/>
        <v>0</v>
      </c>
      <c r="G1904" s="395"/>
      <c r="H1904" s="395"/>
      <c r="J1904" s="42"/>
    </row>
    <row r="1905" spans="1:10" x14ac:dyDescent="0.25">
      <c r="A1905" s="19" t="s">
        <v>31</v>
      </c>
      <c r="B1905" s="2">
        <v>43972</v>
      </c>
      <c r="C1905" s="1">
        <v>0</v>
      </c>
      <c r="D1905" s="39">
        <v>29</v>
      </c>
      <c r="F1905" s="39">
        <f t="shared" si="99"/>
        <v>0</v>
      </c>
    </row>
    <row r="1906" spans="1:10" s="393" customFormat="1" x14ac:dyDescent="0.25">
      <c r="A1906" s="19" t="s">
        <v>41</v>
      </c>
      <c r="B1906" s="2">
        <v>43972</v>
      </c>
      <c r="C1906" s="1">
        <v>0</v>
      </c>
      <c r="D1906" s="39">
        <v>0</v>
      </c>
      <c r="E1906" s="1"/>
      <c r="F1906" s="39">
        <f t="shared" ref="F1906:F1920" si="100">E1906+F1881</f>
        <v>0</v>
      </c>
      <c r="G1906" s="395"/>
      <c r="H1906" s="395"/>
      <c r="J1906" s="42"/>
    </row>
    <row r="1907" spans="1:10" s="393" customFormat="1" x14ac:dyDescent="0.25">
      <c r="A1907" s="19" t="s">
        <v>32</v>
      </c>
      <c r="B1907" s="2">
        <v>43972</v>
      </c>
      <c r="C1907" s="1">
        <v>0</v>
      </c>
      <c r="D1907" s="39">
        <v>5</v>
      </c>
      <c r="E1907" s="1"/>
      <c r="F1907" s="39">
        <f t="shared" si="100"/>
        <v>0</v>
      </c>
      <c r="G1907" s="395"/>
      <c r="H1907" s="395"/>
      <c r="J1907" s="42"/>
    </row>
    <row r="1908" spans="1:10" s="393" customFormat="1" x14ac:dyDescent="0.25">
      <c r="A1908" s="19" t="s">
        <v>33</v>
      </c>
      <c r="B1908" s="2">
        <v>43972</v>
      </c>
      <c r="C1908" s="1">
        <v>0</v>
      </c>
      <c r="D1908" s="39">
        <v>5</v>
      </c>
      <c r="E1908" s="1"/>
      <c r="F1908" s="39">
        <f t="shared" si="100"/>
        <v>0</v>
      </c>
      <c r="G1908" s="395"/>
      <c r="H1908" s="395"/>
      <c r="J1908" s="42"/>
    </row>
    <row r="1909" spans="1:10" s="393" customFormat="1" x14ac:dyDescent="0.25">
      <c r="A1909" s="19" t="s">
        <v>21</v>
      </c>
      <c r="B1909" s="2">
        <v>43972</v>
      </c>
      <c r="C1909" s="1">
        <v>0</v>
      </c>
      <c r="D1909" s="39">
        <v>63</v>
      </c>
      <c r="E1909" s="1"/>
      <c r="F1909" s="39">
        <f t="shared" si="100"/>
        <v>0</v>
      </c>
      <c r="G1909" s="395"/>
      <c r="H1909" s="395"/>
      <c r="J1909" s="42"/>
    </row>
    <row r="1910" spans="1:10" s="393" customFormat="1" x14ac:dyDescent="0.25">
      <c r="A1910" s="19" t="s">
        <v>17</v>
      </c>
      <c r="B1910" s="2">
        <v>43972</v>
      </c>
      <c r="C1910" s="1">
        <v>1</v>
      </c>
      <c r="D1910" s="39">
        <v>90</v>
      </c>
      <c r="E1910" s="1"/>
      <c r="F1910" s="39">
        <f t="shared" si="100"/>
        <v>0</v>
      </c>
      <c r="G1910" s="395"/>
      <c r="H1910" s="395"/>
      <c r="J1910" s="42"/>
    </row>
    <row r="1911" spans="1:10" s="393" customFormat="1" x14ac:dyDescent="0.25">
      <c r="A1911" s="19" t="s">
        <v>23</v>
      </c>
      <c r="B1911" s="2">
        <v>43972</v>
      </c>
      <c r="C1911" s="1">
        <v>0</v>
      </c>
      <c r="D1911" s="39">
        <v>25</v>
      </c>
      <c r="E1911" s="1"/>
      <c r="F1911" s="39">
        <f t="shared" si="100"/>
        <v>0</v>
      </c>
      <c r="G1911" s="395"/>
      <c r="H1911" s="395"/>
      <c r="J1911" s="42"/>
    </row>
    <row r="1912" spans="1:10" s="393" customFormat="1" x14ac:dyDescent="0.25">
      <c r="A1912" s="19" t="s">
        <v>19</v>
      </c>
      <c r="B1912" s="2">
        <v>43972</v>
      </c>
      <c r="C1912" s="1">
        <v>0</v>
      </c>
      <c r="D1912" s="39">
        <v>114</v>
      </c>
      <c r="E1912" s="1"/>
      <c r="F1912" s="39">
        <f t="shared" si="100"/>
        <v>0</v>
      </c>
      <c r="G1912" s="395"/>
      <c r="H1912" s="395"/>
      <c r="J1912" s="42"/>
    </row>
    <row r="1913" spans="1:10" s="393" customFormat="1" x14ac:dyDescent="0.25">
      <c r="A1913" s="19" t="s">
        <v>18</v>
      </c>
      <c r="B1913" s="2">
        <v>43972</v>
      </c>
      <c r="C1913" s="1">
        <v>3</v>
      </c>
      <c r="D1913" s="39">
        <v>336</v>
      </c>
      <c r="E1913" s="1"/>
      <c r="F1913" s="39">
        <f t="shared" si="100"/>
        <v>0</v>
      </c>
      <c r="G1913" s="395"/>
      <c r="H1913" s="395"/>
      <c r="J1913" s="42"/>
    </row>
    <row r="1914" spans="1:10" s="393" customFormat="1" x14ac:dyDescent="0.25">
      <c r="A1914" s="19" t="s">
        <v>34</v>
      </c>
      <c r="B1914" s="2">
        <v>43972</v>
      </c>
      <c r="C1914" s="1">
        <v>0</v>
      </c>
      <c r="D1914" s="39">
        <v>5</v>
      </c>
      <c r="E1914" s="1"/>
      <c r="F1914" s="39">
        <f t="shared" si="100"/>
        <v>1</v>
      </c>
      <c r="G1914" s="395"/>
      <c r="H1914" s="395"/>
      <c r="J1914" s="42"/>
    </row>
    <row r="1915" spans="1:10" s="393" customFormat="1" x14ac:dyDescent="0.25">
      <c r="A1915" s="19" t="s">
        <v>35</v>
      </c>
      <c r="B1915" s="2">
        <v>43972</v>
      </c>
      <c r="C1915" s="1">
        <v>0</v>
      </c>
      <c r="D1915" s="39">
        <v>4</v>
      </c>
      <c r="E1915" s="1"/>
      <c r="F1915" s="39">
        <f>E1915+F1891</f>
        <v>0</v>
      </c>
      <c r="G1915" s="395"/>
      <c r="H1915" s="395"/>
      <c r="J1915" s="42"/>
    </row>
    <row r="1916" spans="1:10" s="393" customFormat="1" x14ac:dyDescent="0.25">
      <c r="A1916" s="19" t="s">
        <v>36</v>
      </c>
      <c r="B1916" s="2">
        <v>43972</v>
      </c>
      <c r="C1916" s="1">
        <v>0</v>
      </c>
      <c r="D1916" s="39">
        <v>11</v>
      </c>
      <c r="E1916" s="1"/>
      <c r="F1916" s="39">
        <f t="shared" si="100"/>
        <v>0</v>
      </c>
      <c r="G1916" s="395"/>
      <c r="H1916" s="395"/>
      <c r="J1916" s="42"/>
    </row>
    <row r="1917" spans="1:10" s="393" customFormat="1" x14ac:dyDescent="0.25">
      <c r="A1917" s="19" t="s">
        <v>37</v>
      </c>
      <c r="B1917" s="2">
        <v>43972</v>
      </c>
      <c r="C1917" s="1">
        <v>0</v>
      </c>
      <c r="D1917" s="39">
        <v>49</v>
      </c>
      <c r="E1917" s="1"/>
      <c r="F1917" s="39">
        <f t="shared" si="100"/>
        <v>0</v>
      </c>
      <c r="G1917" s="395"/>
      <c r="H1917" s="395"/>
      <c r="J1917" s="42"/>
    </row>
    <row r="1918" spans="1:10" s="393" customFormat="1" x14ac:dyDescent="0.25">
      <c r="A1918" s="19" t="s">
        <v>22</v>
      </c>
      <c r="B1918" s="2">
        <v>43972</v>
      </c>
      <c r="C1918" s="1">
        <v>5</v>
      </c>
      <c r="D1918" s="39">
        <v>254</v>
      </c>
      <c r="E1918" s="1"/>
      <c r="F1918" s="39">
        <f>E1918+F1894</f>
        <v>3</v>
      </c>
      <c r="G1918" s="395"/>
      <c r="H1918" s="395"/>
      <c r="J1918" s="42"/>
    </row>
    <row r="1919" spans="1:10" s="393" customFormat="1" x14ac:dyDescent="0.25">
      <c r="A1919" s="19" t="s">
        <v>38</v>
      </c>
      <c r="B1919" s="2">
        <v>43972</v>
      </c>
      <c r="C1919" s="1">
        <v>0</v>
      </c>
      <c r="D1919" s="39">
        <v>22</v>
      </c>
      <c r="E1919" s="1"/>
      <c r="F1919" s="39">
        <f>E1919+F1895</f>
        <v>0</v>
      </c>
      <c r="G1919" s="395"/>
      <c r="H1919" s="395"/>
      <c r="J1919" s="42"/>
    </row>
    <row r="1920" spans="1:10" s="393" customFormat="1" x14ac:dyDescent="0.25">
      <c r="A1920" s="19" t="s">
        <v>39</v>
      </c>
      <c r="B1920" s="2">
        <v>43972</v>
      </c>
      <c r="C1920" s="1">
        <v>0</v>
      </c>
      <c r="D1920" s="39">
        <v>148</v>
      </c>
      <c r="E1920" s="1"/>
      <c r="F1920" s="39">
        <f t="shared" si="100"/>
        <v>0</v>
      </c>
      <c r="G1920" s="395"/>
      <c r="H1920" s="395"/>
      <c r="J1920" s="42"/>
    </row>
    <row r="1921" spans="1:10" s="393" customFormat="1" x14ac:dyDescent="0.25">
      <c r="A1921" s="19" t="s">
        <v>40</v>
      </c>
      <c r="B1921" s="2">
        <v>43972</v>
      </c>
      <c r="C1921" s="1">
        <v>1</v>
      </c>
      <c r="D1921" s="39">
        <v>43</v>
      </c>
      <c r="E1921" s="1"/>
      <c r="F1921" s="39">
        <f>E1921+F1897</f>
        <v>3</v>
      </c>
      <c r="G1921" s="395"/>
      <c r="H1921" s="395"/>
      <c r="J1921" s="42"/>
    </row>
    <row r="1922" spans="1:10" s="393" customFormat="1" x14ac:dyDescent="0.25">
      <c r="A1922" s="394" t="s">
        <v>16</v>
      </c>
      <c r="B1922" s="2">
        <v>43973</v>
      </c>
      <c r="C1922" s="1">
        <v>266</v>
      </c>
      <c r="D1922" s="39">
        <v>3575</v>
      </c>
      <c r="E1922" s="1">
        <v>5</v>
      </c>
      <c r="F1922" s="39">
        <f>E1922+F1898</f>
        <v>176</v>
      </c>
      <c r="G1922" s="395"/>
      <c r="H1922" s="395"/>
      <c r="J1922" s="42"/>
    </row>
    <row r="1923" spans="1:10" s="393" customFormat="1" x14ac:dyDescent="0.25">
      <c r="A1923" s="19" t="s">
        <v>28</v>
      </c>
      <c r="B1923" s="2">
        <v>43973</v>
      </c>
      <c r="C1923" s="1">
        <v>0</v>
      </c>
      <c r="D1923" s="39">
        <v>0</v>
      </c>
      <c r="E1923" s="1"/>
      <c r="F1923" s="39">
        <f t="shared" ref="F1923:F1929" si="101">E1923+F1899</f>
        <v>0</v>
      </c>
      <c r="G1923" s="395"/>
      <c r="H1923" s="395"/>
      <c r="J1923" s="42"/>
    </row>
    <row r="1924" spans="1:10" s="393" customFormat="1" x14ac:dyDescent="0.25">
      <c r="A1924" s="19" t="s">
        <v>15</v>
      </c>
      <c r="B1924" s="2">
        <v>43973</v>
      </c>
      <c r="C1924" s="1">
        <v>27</v>
      </c>
      <c r="D1924" s="39">
        <v>721</v>
      </c>
      <c r="E1924" s="1">
        <v>2</v>
      </c>
      <c r="F1924" s="39">
        <f t="shared" si="101"/>
        <v>38</v>
      </c>
      <c r="G1924" s="395"/>
      <c r="H1924" s="395"/>
      <c r="J1924" s="42"/>
    </row>
    <row r="1925" spans="1:10" s="393" customFormat="1" x14ac:dyDescent="0.25">
      <c r="A1925" s="19" t="s">
        <v>29</v>
      </c>
      <c r="B1925" s="2">
        <v>43973</v>
      </c>
      <c r="C1925" s="1">
        <v>0</v>
      </c>
      <c r="D1925" s="39">
        <v>4</v>
      </c>
      <c r="E1925" s="1"/>
      <c r="F1925" s="39">
        <f t="shared" si="101"/>
        <v>1</v>
      </c>
      <c r="G1925" s="395"/>
      <c r="H1925" s="395"/>
      <c r="J1925" s="42"/>
    </row>
    <row r="1926" spans="1:10" s="393" customFormat="1" x14ac:dyDescent="0.25">
      <c r="A1926" s="19" t="s">
        <v>43</v>
      </c>
      <c r="B1926" s="2">
        <v>43973</v>
      </c>
      <c r="C1926" s="1">
        <v>404</v>
      </c>
      <c r="D1926" s="39">
        <v>4605</v>
      </c>
      <c r="E1926" s="1">
        <v>7</v>
      </c>
      <c r="F1926" s="39">
        <f t="shared" si="101"/>
        <v>143</v>
      </c>
      <c r="G1926" s="395"/>
      <c r="H1926" s="395"/>
      <c r="J1926" s="42"/>
    </row>
    <row r="1927" spans="1:10" s="393" customFormat="1" x14ac:dyDescent="0.25">
      <c r="A1927" s="19" t="s">
        <v>20</v>
      </c>
      <c r="B1927" s="2">
        <v>43973</v>
      </c>
      <c r="C1927" s="1">
        <v>9</v>
      </c>
      <c r="D1927" s="39">
        <v>450</v>
      </c>
      <c r="E1927" s="1">
        <v>1</v>
      </c>
      <c r="F1927" s="39">
        <f t="shared" si="101"/>
        <v>25</v>
      </c>
      <c r="G1927" s="395"/>
      <c r="H1927" s="395"/>
      <c r="J1927" s="42"/>
    </row>
    <row r="1928" spans="1:10" s="393" customFormat="1" x14ac:dyDescent="0.25">
      <c r="A1928" s="19" t="s">
        <v>30</v>
      </c>
      <c r="B1928" s="2">
        <v>43973</v>
      </c>
      <c r="C1928" s="1">
        <v>0</v>
      </c>
      <c r="D1928" s="39">
        <v>78</v>
      </c>
      <c r="E1928" s="1"/>
      <c r="F1928" s="39">
        <f t="shared" si="101"/>
        <v>0</v>
      </c>
      <c r="G1928" s="395"/>
      <c r="H1928" s="395"/>
      <c r="J1928" s="42"/>
    </row>
    <row r="1929" spans="1:10" x14ac:dyDescent="0.25">
      <c r="A1929" s="19" t="s">
        <v>31</v>
      </c>
      <c r="B1929" s="2">
        <v>43973</v>
      </c>
      <c r="C1929" s="1">
        <v>0</v>
      </c>
      <c r="D1929" s="39">
        <v>29</v>
      </c>
      <c r="F1929" s="39">
        <f t="shared" si="101"/>
        <v>0</v>
      </c>
    </row>
    <row r="1930" spans="1:10" s="393" customFormat="1" x14ac:dyDescent="0.25">
      <c r="A1930" s="19" t="s">
        <v>41</v>
      </c>
      <c r="B1930" s="2">
        <v>43973</v>
      </c>
      <c r="C1930" s="1">
        <v>0</v>
      </c>
      <c r="D1930" s="39">
        <v>0</v>
      </c>
      <c r="E1930" s="1"/>
      <c r="F1930" s="39">
        <f t="shared" ref="F1930:F1944" si="102">E1930+F1905</f>
        <v>0</v>
      </c>
      <c r="G1930" s="395"/>
      <c r="H1930" s="395"/>
      <c r="J1930" s="42"/>
    </row>
    <row r="1931" spans="1:10" s="393" customFormat="1" x14ac:dyDescent="0.25">
      <c r="A1931" s="19" t="s">
        <v>32</v>
      </c>
      <c r="B1931" s="2">
        <v>43973</v>
      </c>
      <c r="C1931" s="1">
        <v>0</v>
      </c>
      <c r="D1931" s="39">
        <v>5</v>
      </c>
      <c r="E1931" s="1"/>
      <c r="F1931" s="39">
        <f t="shared" si="102"/>
        <v>0</v>
      </c>
      <c r="G1931" s="395"/>
      <c r="H1931" s="395"/>
      <c r="J1931" s="42"/>
    </row>
    <row r="1932" spans="1:10" s="393" customFormat="1" x14ac:dyDescent="0.25">
      <c r="A1932" s="19" t="s">
        <v>33</v>
      </c>
      <c r="B1932" s="2">
        <v>43973</v>
      </c>
      <c r="C1932" s="1">
        <v>0</v>
      </c>
      <c r="D1932" s="39">
        <v>5</v>
      </c>
      <c r="E1932" s="1"/>
      <c r="F1932" s="39">
        <f t="shared" si="102"/>
        <v>0</v>
      </c>
      <c r="G1932" s="395"/>
      <c r="H1932" s="395"/>
      <c r="J1932" s="42"/>
    </row>
    <row r="1933" spans="1:10" s="393" customFormat="1" x14ac:dyDescent="0.25">
      <c r="A1933" s="19" t="s">
        <v>21</v>
      </c>
      <c r="B1933" s="2">
        <v>43973</v>
      </c>
      <c r="C1933" s="1">
        <v>0</v>
      </c>
      <c r="D1933" s="39">
        <v>63</v>
      </c>
      <c r="E1933" s="1"/>
      <c r="F1933" s="39">
        <f t="shared" si="102"/>
        <v>0</v>
      </c>
      <c r="G1933" s="395"/>
      <c r="H1933" s="395"/>
      <c r="J1933" s="42"/>
    </row>
    <row r="1934" spans="1:10" s="393" customFormat="1" x14ac:dyDescent="0.25">
      <c r="A1934" s="19" t="s">
        <v>17</v>
      </c>
      <c r="B1934" s="2">
        <v>43973</v>
      </c>
      <c r="C1934" s="1">
        <v>0</v>
      </c>
      <c r="D1934" s="39">
        <v>90</v>
      </c>
      <c r="E1934" s="1"/>
      <c r="F1934" s="39">
        <f t="shared" si="102"/>
        <v>0</v>
      </c>
      <c r="G1934" s="395"/>
      <c r="H1934" s="395"/>
      <c r="J1934" s="42"/>
    </row>
    <row r="1935" spans="1:10" s="393" customFormat="1" x14ac:dyDescent="0.25">
      <c r="A1935" s="19" t="s">
        <v>23</v>
      </c>
      <c r="B1935" s="2">
        <v>43973</v>
      </c>
      <c r="C1935" s="1">
        <v>0</v>
      </c>
      <c r="D1935" s="39">
        <v>25</v>
      </c>
      <c r="E1935" s="1"/>
      <c r="F1935" s="39">
        <f t="shared" si="102"/>
        <v>0</v>
      </c>
      <c r="G1935" s="395"/>
      <c r="H1935" s="395"/>
      <c r="J1935" s="42"/>
    </row>
    <row r="1936" spans="1:10" s="393" customFormat="1" x14ac:dyDescent="0.25">
      <c r="A1936" s="19" t="s">
        <v>19</v>
      </c>
      <c r="B1936" s="2">
        <v>43973</v>
      </c>
      <c r="C1936" s="1">
        <v>0</v>
      </c>
      <c r="D1936" s="39">
        <v>114</v>
      </c>
      <c r="E1936" s="1"/>
      <c r="F1936" s="39">
        <f t="shared" si="102"/>
        <v>0</v>
      </c>
      <c r="G1936" s="395"/>
      <c r="H1936" s="395"/>
      <c r="J1936" s="42"/>
    </row>
    <row r="1937" spans="1:10" s="393" customFormat="1" x14ac:dyDescent="0.25">
      <c r="A1937" s="19" t="s">
        <v>18</v>
      </c>
      <c r="B1937" s="2">
        <v>43973</v>
      </c>
      <c r="C1937" s="1">
        <v>6</v>
      </c>
      <c r="D1937" s="39">
        <v>342</v>
      </c>
      <c r="E1937" s="1">
        <v>2</v>
      </c>
      <c r="F1937" s="39">
        <f t="shared" si="102"/>
        <v>2</v>
      </c>
      <c r="G1937" s="395"/>
      <c r="H1937" s="395"/>
      <c r="J1937" s="42"/>
    </row>
    <row r="1938" spans="1:10" s="393" customFormat="1" x14ac:dyDescent="0.25">
      <c r="A1938" s="19" t="s">
        <v>34</v>
      </c>
      <c r="B1938" s="2">
        <v>43973</v>
      </c>
      <c r="C1938" s="1">
        <v>2</v>
      </c>
      <c r="D1938" s="39">
        <v>7</v>
      </c>
      <c r="E1938" s="1"/>
      <c r="F1938" s="39">
        <f t="shared" si="102"/>
        <v>0</v>
      </c>
      <c r="G1938" s="395"/>
      <c r="H1938" s="395"/>
      <c r="J1938" s="42"/>
    </row>
    <row r="1939" spans="1:10" s="393" customFormat="1" x14ac:dyDescent="0.25">
      <c r="A1939" s="19" t="s">
        <v>35</v>
      </c>
      <c r="B1939" s="2">
        <v>43973</v>
      </c>
      <c r="C1939" s="1">
        <v>0</v>
      </c>
      <c r="D1939" s="39">
        <v>4</v>
      </c>
      <c r="E1939" s="1"/>
      <c r="F1939" s="39">
        <f>E1939+F1915</f>
        <v>0</v>
      </c>
      <c r="G1939" s="395"/>
      <c r="H1939" s="395"/>
      <c r="J1939" s="42"/>
    </row>
    <row r="1940" spans="1:10" s="393" customFormat="1" x14ac:dyDescent="0.25">
      <c r="A1940" s="19" t="s">
        <v>36</v>
      </c>
      <c r="B1940" s="2">
        <v>43973</v>
      </c>
      <c r="C1940" s="1">
        <v>0</v>
      </c>
      <c r="D1940" s="39">
        <v>11</v>
      </c>
      <c r="E1940" s="1"/>
      <c r="F1940" s="39">
        <f t="shared" si="102"/>
        <v>0</v>
      </c>
      <c r="G1940" s="395"/>
      <c r="H1940" s="395"/>
      <c r="J1940" s="42"/>
    </row>
    <row r="1941" spans="1:10" s="393" customFormat="1" x14ac:dyDescent="0.25">
      <c r="A1941" s="19" t="s">
        <v>37</v>
      </c>
      <c r="B1941" s="2">
        <v>43973</v>
      </c>
      <c r="C1941" s="1">
        <v>0</v>
      </c>
      <c r="D1941" s="39">
        <v>49</v>
      </c>
      <c r="E1941" s="1"/>
      <c r="F1941" s="39">
        <f t="shared" si="102"/>
        <v>0</v>
      </c>
      <c r="G1941" s="395"/>
      <c r="H1941" s="395"/>
      <c r="J1941" s="42"/>
    </row>
    <row r="1942" spans="1:10" s="393" customFormat="1" x14ac:dyDescent="0.25">
      <c r="A1942" s="19" t="s">
        <v>22</v>
      </c>
      <c r="B1942" s="2">
        <v>43973</v>
      </c>
      <c r="C1942" s="1">
        <v>4</v>
      </c>
      <c r="D1942" s="39">
        <v>258</v>
      </c>
      <c r="E1942" s="1"/>
      <c r="F1942" s="39">
        <f>E1942+F1918</f>
        <v>3</v>
      </c>
      <c r="G1942" s="395"/>
      <c r="H1942" s="395"/>
      <c r="J1942" s="42"/>
    </row>
    <row r="1943" spans="1:10" s="393" customFormat="1" x14ac:dyDescent="0.25">
      <c r="A1943" s="19" t="s">
        <v>38</v>
      </c>
      <c r="B1943" s="2">
        <v>43973</v>
      </c>
      <c r="C1943" s="1">
        <v>0</v>
      </c>
      <c r="D1943" s="39">
        <v>22</v>
      </c>
      <c r="E1943" s="1"/>
      <c r="F1943" s="39">
        <f>E1943+F1919</f>
        <v>0</v>
      </c>
      <c r="G1943" s="395"/>
      <c r="H1943" s="395"/>
      <c r="J1943" s="42"/>
    </row>
    <row r="1944" spans="1:10" s="393" customFormat="1" x14ac:dyDescent="0.25">
      <c r="A1944" s="19" t="s">
        <v>39</v>
      </c>
      <c r="B1944" s="2">
        <v>43973</v>
      </c>
      <c r="C1944" s="1">
        <v>0</v>
      </c>
      <c r="D1944" s="39">
        <v>148</v>
      </c>
      <c r="E1944" s="1"/>
      <c r="F1944" s="39">
        <f t="shared" si="102"/>
        <v>0</v>
      </c>
      <c r="G1944" s="395"/>
      <c r="H1944" s="395"/>
      <c r="J1944" s="42"/>
    </row>
    <row r="1945" spans="1:10" s="393" customFormat="1" x14ac:dyDescent="0.25">
      <c r="A1945" s="19" t="s">
        <v>40</v>
      </c>
      <c r="B1945" s="2">
        <v>43973</v>
      </c>
      <c r="C1945" s="1">
        <v>0</v>
      </c>
      <c r="D1945" s="39">
        <v>43</v>
      </c>
      <c r="E1945" s="1"/>
      <c r="F1945" s="39">
        <f>E1945+F1921</f>
        <v>3</v>
      </c>
      <c r="G1945" s="395"/>
      <c r="H1945" s="395"/>
      <c r="J1945" s="42"/>
    </row>
    <row r="1946" spans="1:10" s="393" customFormat="1" x14ac:dyDescent="0.25">
      <c r="A1946" s="394" t="s">
        <v>16</v>
      </c>
      <c r="B1946" s="2">
        <v>43974</v>
      </c>
      <c r="C1946" s="1">
        <v>289</v>
      </c>
      <c r="D1946" s="39">
        <v>3864</v>
      </c>
      <c r="E1946" s="1">
        <v>4</v>
      </c>
      <c r="F1946" s="39">
        <f>E1946+F1922</f>
        <v>180</v>
      </c>
      <c r="G1946" s="395"/>
      <c r="H1946" s="395"/>
      <c r="J1946" s="42"/>
    </row>
    <row r="1947" spans="1:10" s="393" customFormat="1" x14ac:dyDescent="0.25">
      <c r="A1947" s="19" t="s">
        <v>28</v>
      </c>
      <c r="B1947" s="2">
        <v>43974</v>
      </c>
      <c r="C1947" s="1">
        <v>0</v>
      </c>
      <c r="D1947" s="39">
        <v>0</v>
      </c>
      <c r="E1947" s="1"/>
      <c r="F1947" s="39">
        <f t="shared" ref="F1947:F1953" si="103">E1947+F1923</f>
        <v>0</v>
      </c>
      <c r="G1947" s="395"/>
      <c r="H1947" s="395"/>
      <c r="J1947" s="42"/>
    </row>
    <row r="1948" spans="1:10" s="393" customFormat="1" x14ac:dyDescent="0.25">
      <c r="A1948" s="19" t="s">
        <v>15</v>
      </c>
      <c r="B1948" s="2">
        <v>43974</v>
      </c>
      <c r="C1948" s="1">
        <v>7</v>
      </c>
      <c r="D1948" s="39">
        <v>728</v>
      </c>
      <c r="E1948" s="1">
        <v>2</v>
      </c>
      <c r="F1948" s="39">
        <f t="shared" si="103"/>
        <v>40</v>
      </c>
      <c r="G1948" s="395"/>
      <c r="H1948" s="395"/>
      <c r="J1948" s="42"/>
    </row>
    <row r="1949" spans="1:10" s="393" customFormat="1" x14ac:dyDescent="0.25">
      <c r="A1949" s="19" t="s">
        <v>29</v>
      </c>
      <c r="B1949" s="2">
        <v>43974</v>
      </c>
      <c r="C1949" s="1">
        <v>0</v>
      </c>
      <c r="D1949" s="39">
        <v>4</v>
      </c>
      <c r="E1949" s="1"/>
      <c r="F1949" s="39">
        <f t="shared" si="103"/>
        <v>1</v>
      </c>
      <c r="G1949" s="395"/>
      <c r="H1949" s="395"/>
      <c r="J1949" s="42"/>
    </row>
    <row r="1950" spans="1:10" s="393" customFormat="1" x14ac:dyDescent="0.25">
      <c r="A1950" s="19" t="s">
        <v>43</v>
      </c>
      <c r="B1950" s="2">
        <v>43974</v>
      </c>
      <c r="C1950" s="1">
        <v>400</v>
      </c>
      <c r="D1950" s="39">
        <v>5005</v>
      </c>
      <c r="E1950" s="1">
        <v>6</v>
      </c>
      <c r="F1950" s="39">
        <f t="shared" si="103"/>
        <v>149</v>
      </c>
      <c r="G1950" s="395"/>
      <c r="H1950" s="395"/>
      <c r="J1950" s="42"/>
    </row>
    <row r="1951" spans="1:10" s="393" customFormat="1" x14ac:dyDescent="0.25">
      <c r="A1951" s="19" t="s">
        <v>20</v>
      </c>
      <c r="B1951" s="2">
        <v>43974</v>
      </c>
      <c r="C1951" s="1">
        <v>0</v>
      </c>
      <c r="D1951" s="39">
        <v>450</v>
      </c>
      <c r="E1951" s="1"/>
      <c r="F1951" s="39">
        <f t="shared" si="103"/>
        <v>25</v>
      </c>
      <c r="G1951" s="395"/>
      <c r="H1951" s="395"/>
      <c r="J1951" s="42"/>
    </row>
    <row r="1952" spans="1:10" s="393" customFormat="1" x14ac:dyDescent="0.25">
      <c r="A1952" s="19" t="s">
        <v>30</v>
      </c>
      <c r="B1952" s="2">
        <v>43974</v>
      </c>
      <c r="C1952" s="1">
        <v>0</v>
      </c>
      <c r="D1952" s="39">
        <v>78</v>
      </c>
      <c r="E1952" s="1"/>
      <c r="F1952" s="39">
        <f t="shared" si="103"/>
        <v>0</v>
      </c>
      <c r="G1952" s="395"/>
      <c r="H1952" s="395"/>
      <c r="J1952" s="42"/>
    </row>
    <row r="1953" spans="1:10" x14ac:dyDescent="0.25">
      <c r="A1953" s="19" t="s">
        <v>31</v>
      </c>
      <c r="B1953" s="2">
        <v>43974</v>
      </c>
      <c r="C1953" s="1">
        <v>0</v>
      </c>
      <c r="D1953" s="39">
        <v>29</v>
      </c>
      <c r="F1953" s="39">
        <f t="shared" si="103"/>
        <v>0</v>
      </c>
    </row>
    <row r="1954" spans="1:10" s="393" customFormat="1" x14ac:dyDescent="0.25">
      <c r="A1954" s="19" t="s">
        <v>41</v>
      </c>
      <c r="B1954" s="2">
        <v>43974</v>
      </c>
      <c r="C1954" s="1">
        <v>0</v>
      </c>
      <c r="D1954" s="39">
        <v>0</v>
      </c>
      <c r="E1954" s="1"/>
      <c r="F1954" s="39">
        <f t="shared" ref="F1954:F1968" si="104">E1954+F1929</f>
        <v>0</v>
      </c>
      <c r="G1954" s="395"/>
      <c r="H1954" s="395"/>
      <c r="J1954" s="42"/>
    </row>
    <row r="1955" spans="1:10" s="393" customFormat="1" x14ac:dyDescent="0.25">
      <c r="A1955" s="19" t="s">
        <v>32</v>
      </c>
      <c r="B1955" s="2">
        <v>43974</v>
      </c>
      <c r="C1955" s="1">
        <v>0</v>
      </c>
      <c r="D1955" s="39">
        <v>5</v>
      </c>
      <c r="E1955" s="1"/>
      <c r="F1955" s="39">
        <f t="shared" si="104"/>
        <v>0</v>
      </c>
      <c r="G1955" s="395"/>
      <c r="H1955" s="395"/>
      <c r="J1955" s="42"/>
    </row>
    <row r="1956" spans="1:10" s="393" customFormat="1" x14ac:dyDescent="0.25">
      <c r="A1956" s="19" t="s">
        <v>33</v>
      </c>
      <c r="B1956" s="2">
        <v>43974</v>
      </c>
      <c r="C1956" s="1">
        <v>0</v>
      </c>
      <c r="D1956" s="39">
        <v>5</v>
      </c>
      <c r="E1956" s="1"/>
      <c r="F1956" s="39">
        <f t="shared" si="104"/>
        <v>0</v>
      </c>
      <c r="G1956" s="395"/>
      <c r="H1956" s="395"/>
      <c r="J1956" s="42"/>
    </row>
    <row r="1957" spans="1:10" s="393" customFormat="1" x14ac:dyDescent="0.25">
      <c r="A1957" s="19" t="s">
        <v>21</v>
      </c>
      <c r="B1957" s="2">
        <v>43974</v>
      </c>
      <c r="C1957" s="1">
        <v>0</v>
      </c>
      <c r="D1957" s="39">
        <v>63</v>
      </c>
      <c r="E1957" s="1"/>
      <c r="F1957" s="39">
        <f t="shared" si="104"/>
        <v>0</v>
      </c>
      <c r="G1957" s="395"/>
      <c r="H1957" s="395"/>
      <c r="J1957" s="42"/>
    </row>
    <row r="1958" spans="1:10" s="393" customFormat="1" x14ac:dyDescent="0.25">
      <c r="A1958" s="19" t="s">
        <v>17</v>
      </c>
      <c r="B1958" s="2">
        <v>43974</v>
      </c>
      <c r="C1958" s="1">
        <v>0</v>
      </c>
      <c r="D1958" s="39">
        <v>90</v>
      </c>
      <c r="E1958" s="1"/>
      <c r="F1958" s="39">
        <f t="shared" si="104"/>
        <v>0</v>
      </c>
      <c r="G1958" s="395"/>
      <c r="H1958" s="395"/>
      <c r="J1958" s="42"/>
    </row>
    <row r="1959" spans="1:10" s="393" customFormat="1" x14ac:dyDescent="0.25">
      <c r="A1959" s="19" t="s">
        <v>23</v>
      </c>
      <c r="B1959" s="2">
        <v>43974</v>
      </c>
      <c r="C1959" s="1">
        <v>0</v>
      </c>
      <c r="D1959" s="39">
        <v>25</v>
      </c>
      <c r="E1959" s="1"/>
      <c r="F1959" s="39">
        <f t="shared" si="104"/>
        <v>0</v>
      </c>
      <c r="G1959" s="395"/>
      <c r="H1959" s="395"/>
      <c r="J1959" s="42"/>
    </row>
    <row r="1960" spans="1:10" s="393" customFormat="1" x14ac:dyDescent="0.25">
      <c r="A1960" s="19" t="s">
        <v>19</v>
      </c>
      <c r="B1960" s="2">
        <v>43974</v>
      </c>
      <c r="C1960" s="1">
        <v>0</v>
      </c>
      <c r="D1960" s="39">
        <v>114</v>
      </c>
      <c r="E1960" s="1"/>
      <c r="F1960" s="39">
        <f t="shared" si="104"/>
        <v>0</v>
      </c>
      <c r="G1960" s="395"/>
      <c r="H1960" s="395"/>
      <c r="J1960" s="42"/>
    </row>
    <row r="1961" spans="1:10" s="393" customFormat="1" x14ac:dyDescent="0.25">
      <c r="A1961" s="19" t="s">
        <v>18</v>
      </c>
      <c r="B1961" s="2">
        <v>43974</v>
      </c>
      <c r="C1961" s="1">
        <v>5</v>
      </c>
      <c r="D1961" s="39">
        <v>347</v>
      </c>
      <c r="E1961" s="1"/>
      <c r="F1961" s="39">
        <f t="shared" si="104"/>
        <v>0</v>
      </c>
      <c r="G1961" s="395"/>
      <c r="H1961" s="395"/>
      <c r="J1961" s="42"/>
    </row>
    <row r="1962" spans="1:10" s="393" customFormat="1" x14ac:dyDescent="0.25">
      <c r="A1962" s="19" t="s">
        <v>34</v>
      </c>
      <c r="B1962" s="2">
        <v>43974</v>
      </c>
      <c r="C1962" s="1">
        <v>0</v>
      </c>
      <c r="D1962" s="39">
        <v>7</v>
      </c>
      <c r="E1962" s="1"/>
      <c r="F1962" s="39">
        <f t="shared" si="104"/>
        <v>2</v>
      </c>
      <c r="G1962" s="395"/>
      <c r="H1962" s="395"/>
      <c r="J1962" s="42"/>
    </row>
    <row r="1963" spans="1:10" s="393" customFormat="1" x14ac:dyDescent="0.25">
      <c r="A1963" s="19" t="s">
        <v>35</v>
      </c>
      <c r="B1963" s="2">
        <v>43974</v>
      </c>
      <c r="C1963" s="1">
        <v>0</v>
      </c>
      <c r="D1963" s="39">
        <v>4</v>
      </c>
      <c r="E1963" s="1"/>
      <c r="F1963" s="39">
        <f>E1963+F1939</f>
        <v>0</v>
      </c>
      <c r="G1963" s="395"/>
      <c r="H1963" s="395"/>
      <c r="J1963" s="42"/>
    </row>
    <row r="1964" spans="1:10" s="393" customFormat="1" x14ac:dyDescent="0.25">
      <c r="A1964" s="19" t="s">
        <v>36</v>
      </c>
      <c r="B1964" s="2">
        <v>43974</v>
      </c>
      <c r="C1964" s="1">
        <v>0</v>
      </c>
      <c r="D1964" s="39">
        <v>11</v>
      </c>
      <c r="E1964" s="1"/>
      <c r="F1964" s="39">
        <f t="shared" si="104"/>
        <v>0</v>
      </c>
      <c r="G1964" s="395"/>
      <c r="H1964" s="395"/>
      <c r="J1964" s="42"/>
    </row>
    <row r="1965" spans="1:10" s="393" customFormat="1" x14ac:dyDescent="0.25">
      <c r="A1965" s="19" t="s">
        <v>37</v>
      </c>
      <c r="B1965" s="2">
        <v>43974</v>
      </c>
      <c r="C1965" s="1">
        <v>0</v>
      </c>
      <c r="D1965" s="39">
        <v>49</v>
      </c>
      <c r="E1965" s="1"/>
      <c r="F1965" s="39">
        <f t="shared" si="104"/>
        <v>0</v>
      </c>
      <c r="G1965" s="395"/>
      <c r="H1965" s="395"/>
      <c r="J1965" s="42"/>
    </row>
    <row r="1966" spans="1:10" s="393" customFormat="1" x14ac:dyDescent="0.25">
      <c r="A1966" s="19" t="s">
        <v>22</v>
      </c>
      <c r="B1966" s="2">
        <v>43974</v>
      </c>
      <c r="C1966" s="1">
        <v>0</v>
      </c>
      <c r="D1966" s="39">
        <v>258</v>
      </c>
      <c r="E1966" s="1"/>
      <c r="F1966" s="39">
        <f>E1966+F1942</f>
        <v>3</v>
      </c>
      <c r="G1966" s="395"/>
      <c r="H1966" s="395"/>
      <c r="J1966" s="42"/>
    </row>
    <row r="1967" spans="1:10" s="393" customFormat="1" x14ac:dyDescent="0.25">
      <c r="A1967" s="19" t="s">
        <v>38</v>
      </c>
      <c r="B1967" s="2">
        <v>43974</v>
      </c>
      <c r="C1967" s="1">
        <v>0</v>
      </c>
      <c r="D1967" s="39">
        <v>22</v>
      </c>
      <c r="E1967" s="1"/>
      <c r="F1967" s="39">
        <f>E1967+F1943</f>
        <v>0</v>
      </c>
      <c r="G1967" s="395"/>
      <c r="H1967" s="395"/>
      <c r="J1967" s="42"/>
    </row>
    <row r="1968" spans="1:10" s="393" customFormat="1" x14ac:dyDescent="0.25">
      <c r="A1968" s="19" t="s">
        <v>39</v>
      </c>
      <c r="B1968" s="2">
        <v>43974</v>
      </c>
      <c r="C1968" s="1">
        <v>0</v>
      </c>
      <c r="D1968" s="39">
        <v>148</v>
      </c>
      <c r="E1968" s="1"/>
      <c r="F1968" s="39">
        <f t="shared" si="104"/>
        <v>0</v>
      </c>
      <c r="G1968" s="395"/>
      <c r="H1968" s="395"/>
      <c r="J1968" s="42"/>
    </row>
    <row r="1969" spans="1:10" s="393" customFormat="1" x14ac:dyDescent="0.25">
      <c r="A1969" s="19" t="s">
        <v>40</v>
      </c>
      <c r="B1969" s="2">
        <v>43974</v>
      </c>
      <c r="C1969" s="1">
        <v>2</v>
      </c>
      <c r="D1969" s="39">
        <v>45</v>
      </c>
      <c r="E1969" s="1"/>
      <c r="F1969" s="39">
        <f>E1969+F1945</f>
        <v>3</v>
      </c>
      <c r="G1969" s="395"/>
      <c r="H1969" s="395"/>
      <c r="J1969" s="42"/>
    </row>
    <row r="1970" spans="1:10" s="393" customFormat="1" x14ac:dyDescent="0.25">
      <c r="A1970" s="394" t="s">
        <v>16</v>
      </c>
      <c r="B1970" s="2">
        <v>43975</v>
      </c>
      <c r="C1970" s="1">
        <v>196</v>
      </c>
      <c r="D1970" s="39">
        <v>4060</v>
      </c>
      <c r="E1970" s="1">
        <v>2</v>
      </c>
      <c r="F1970" s="39">
        <f>E1970+F1946</f>
        <v>182</v>
      </c>
      <c r="G1970" s="395"/>
      <c r="H1970" s="395"/>
      <c r="J1970" s="42"/>
    </row>
    <row r="1971" spans="1:10" s="393" customFormat="1" x14ac:dyDescent="0.25">
      <c r="A1971" s="19" t="s">
        <v>28</v>
      </c>
      <c r="B1971" s="2">
        <v>43975</v>
      </c>
      <c r="C1971" s="1">
        <v>0</v>
      </c>
      <c r="D1971" s="39">
        <v>0</v>
      </c>
      <c r="E1971" s="1"/>
      <c r="F1971" s="39">
        <f t="shared" ref="F1971:F1977" si="105">E1971+F1947</f>
        <v>0</v>
      </c>
      <c r="G1971" s="395"/>
      <c r="H1971" s="395"/>
      <c r="J1971" s="42"/>
    </row>
    <row r="1972" spans="1:10" s="393" customFormat="1" x14ac:dyDescent="0.25">
      <c r="A1972" s="19" t="s">
        <v>15</v>
      </c>
      <c r="B1972" s="2">
        <v>43975</v>
      </c>
      <c r="C1972" s="1">
        <v>20</v>
      </c>
      <c r="D1972" s="39">
        <v>748</v>
      </c>
      <c r="E1972" s="1">
        <v>2</v>
      </c>
      <c r="F1972" s="39">
        <f t="shared" si="105"/>
        <v>42</v>
      </c>
      <c r="G1972" s="395"/>
      <c r="H1972" s="395"/>
      <c r="J1972" s="42"/>
    </row>
    <row r="1973" spans="1:10" s="393" customFormat="1" x14ac:dyDescent="0.25">
      <c r="A1973" s="19" t="s">
        <v>29</v>
      </c>
      <c r="B1973" s="2">
        <v>43975</v>
      </c>
      <c r="C1973" s="1">
        <v>0</v>
      </c>
      <c r="D1973" s="39">
        <v>4</v>
      </c>
      <c r="E1973" s="1"/>
      <c r="F1973" s="39">
        <f t="shared" si="105"/>
        <v>1</v>
      </c>
      <c r="G1973" s="395"/>
      <c r="H1973" s="395"/>
      <c r="J1973" s="42"/>
    </row>
    <row r="1974" spans="1:10" s="393" customFormat="1" x14ac:dyDescent="0.25">
      <c r="A1974" s="19" t="s">
        <v>43</v>
      </c>
      <c r="B1974" s="2">
        <v>43975</v>
      </c>
      <c r="C1974" s="1">
        <v>495</v>
      </c>
      <c r="D1974" s="39">
        <v>5500</v>
      </c>
      <c r="E1974" s="1">
        <v>3</v>
      </c>
      <c r="F1974" s="39">
        <f t="shared" si="105"/>
        <v>152</v>
      </c>
      <c r="G1974" s="395"/>
      <c r="H1974" s="395"/>
      <c r="J1974" s="42"/>
    </row>
    <row r="1975" spans="1:10" s="393" customFormat="1" x14ac:dyDescent="0.25">
      <c r="A1975" s="19" t="s">
        <v>20</v>
      </c>
      <c r="B1975" s="2">
        <v>43975</v>
      </c>
      <c r="C1975" s="1">
        <v>6</v>
      </c>
      <c r="D1975" s="39">
        <v>456</v>
      </c>
      <c r="E1975" s="1"/>
      <c r="F1975" s="39">
        <f t="shared" si="105"/>
        <v>25</v>
      </c>
      <c r="G1975" s="395"/>
      <c r="H1975" s="395"/>
      <c r="J1975" s="42"/>
    </row>
    <row r="1976" spans="1:10" s="393" customFormat="1" x14ac:dyDescent="0.25">
      <c r="A1976" s="19" t="s">
        <v>30</v>
      </c>
      <c r="B1976" s="2">
        <v>43975</v>
      </c>
      <c r="C1976" s="1">
        <v>0</v>
      </c>
      <c r="D1976" s="39">
        <v>78</v>
      </c>
      <c r="E1976" s="1"/>
      <c r="F1976" s="39">
        <f t="shared" si="105"/>
        <v>0</v>
      </c>
      <c r="G1976" s="395"/>
      <c r="H1976" s="395"/>
      <c r="J1976" s="42"/>
    </row>
    <row r="1977" spans="1:10" x14ac:dyDescent="0.25">
      <c r="A1977" s="19" t="s">
        <v>31</v>
      </c>
      <c r="B1977" s="2">
        <v>43975</v>
      </c>
      <c r="C1977" s="1">
        <v>0</v>
      </c>
      <c r="D1977" s="39">
        <v>29</v>
      </c>
      <c r="F1977" s="39">
        <f t="shared" si="105"/>
        <v>0</v>
      </c>
    </row>
    <row r="1978" spans="1:10" s="393" customFormat="1" x14ac:dyDescent="0.25">
      <c r="A1978" s="19" t="s">
        <v>41</v>
      </c>
      <c r="B1978" s="2">
        <v>43975</v>
      </c>
      <c r="C1978" s="1">
        <v>0</v>
      </c>
      <c r="D1978" s="39">
        <v>0</v>
      </c>
      <c r="E1978" s="1"/>
      <c r="F1978" s="39">
        <f t="shared" ref="F1978:F1992" si="106">E1978+F1953</f>
        <v>0</v>
      </c>
      <c r="G1978" s="395"/>
      <c r="H1978" s="395"/>
      <c r="J1978" s="42"/>
    </row>
    <row r="1979" spans="1:10" s="393" customFormat="1" x14ac:dyDescent="0.25">
      <c r="A1979" s="19" t="s">
        <v>32</v>
      </c>
      <c r="B1979" s="2">
        <v>43975</v>
      </c>
      <c r="C1979" s="1">
        <v>0</v>
      </c>
      <c r="D1979" s="39">
        <v>5</v>
      </c>
      <c r="E1979" s="1"/>
      <c r="F1979" s="39">
        <f t="shared" si="106"/>
        <v>0</v>
      </c>
      <c r="G1979" s="395"/>
      <c r="H1979" s="395"/>
      <c r="J1979" s="42"/>
    </row>
    <row r="1980" spans="1:10" s="393" customFormat="1" x14ac:dyDescent="0.25">
      <c r="A1980" s="19" t="s">
        <v>33</v>
      </c>
      <c r="B1980" s="2">
        <v>43975</v>
      </c>
      <c r="C1980" s="1">
        <v>0</v>
      </c>
      <c r="D1980" s="39">
        <v>5</v>
      </c>
      <c r="E1980" s="1"/>
      <c r="F1980" s="39">
        <f t="shared" si="106"/>
        <v>0</v>
      </c>
      <c r="G1980" s="395"/>
      <c r="H1980" s="395"/>
      <c r="J1980" s="42"/>
    </row>
    <row r="1981" spans="1:10" s="393" customFormat="1" x14ac:dyDescent="0.25">
      <c r="A1981" s="19" t="s">
        <v>21</v>
      </c>
      <c r="B1981" s="2">
        <v>43975</v>
      </c>
      <c r="C1981" s="1">
        <v>0</v>
      </c>
      <c r="D1981" s="39">
        <v>63</v>
      </c>
      <c r="E1981" s="1"/>
      <c r="F1981" s="39">
        <f t="shared" si="106"/>
        <v>0</v>
      </c>
      <c r="G1981" s="395"/>
      <c r="H1981" s="395"/>
      <c r="J1981" s="42"/>
    </row>
    <row r="1982" spans="1:10" s="393" customFormat="1" x14ac:dyDescent="0.25">
      <c r="A1982" s="19" t="s">
        <v>17</v>
      </c>
      <c r="B1982" s="2">
        <v>43975</v>
      </c>
      <c r="C1982" s="1">
        <v>0</v>
      </c>
      <c r="D1982" s="39">
        <v>90</v>
      </c>
      <c r="E1982" s="1"/>
      <c r="F1982" s="39">
        <f t="shared" si="106"/>
        <v>0</v>
      </c>
      <c r="G1982" s="395"/>
      <c r="H1982" s="395"/>
      <c r="J1982" s="42"/>
    </row>
    <row r="1983" spans="1:10" s="393" customFormat="1" x14ac:dyDescent="0.25">
      <c r="A1983" s="19" t="s">
        <v>23</v>
      </c>
      <c r="B1983" s="2">
        <v>43975</v>
      </c>
      <c r="C1983" s="1">
        <v>0</v>
      </c>
      <c r="D1983" s="39">
        <v>25</v>
      </c>
      <c r="E1983" s="1"/>
      <c r="F1983" s="39">
        <f t="shared" si="106"/>
        <v>0</v>
      </c>
      <c r="G1983" s="395"/>
      <c r="H1983" s="395"/>
      <c r="J1983" s="42"/>
    </row>
    <row r="1984" spans="1:10" s="393" customFormat="1" x14ac:dyDescent="0.25">
      <c r="A1984" s="19" t="s">
        <v>19</v>
      </c>
      <c r="B1984" s="2">
        <v>43975</v>
      </c>
      <c r="C1984" s="1">
        <v>1</v>
      </c>
      <c r="D1984" s="39">
        <v>115</v>
      </c>
      <c r="E1984" s="1"/>
      <c r="F1984" s="39">
        <f t="shared" si="106"/>
        <v>0</v>
      </c>
      <c r="G1984" s="395"/>
      <c r="H1984" s="395"/>
      <c r="J1984" s="42"/>
    </row>
    <row r="1985" spans="1:10" s="393" customFormat="1" x14ac:dyDescent="0.25">
      <c r="A1985" s="19" t="s">
        <v>18</v>
      </c>
      <c r="B1985" s="2">
        <v>43975</v>
      </c>
      <c r="C1985" s="1">
        <v>5</v>
      </c>
      <c r="D1985" s="39">
        <v>352</v>
      </c>
      <c r="E1985" s="1"/>
      <c r="F1985" s="39">
        <f t="shared" si="106"/>
        <v>0</v>
      </c>
      <c r="G1985" s="395"/>
      <c r="H1985" s="395"/>
      <c r="J1985" s="42"/>
    </row>
    <row r="1986" spans="1:10" s="393" customFormat="1" x14ac:dyDescent="0.25">
      <c r="A1986" s="19" t="s">
        <v>34</v>
      </c>
      <c r="B1986" s="2">
        <v>43975</v>
      </c>
      <c r="C1986" s="1">
        <v>0</v>
      </c>
      <c r="D1986" s="39">
        <v>7</v>
      </c>
      <c r="E1986" s="1"/>
      <c r="F1986" s="39">
        <f t="shared" si="106"/>
        <v>0</v>
      </c>
      <c r="G1986" s="395"/>
      <c r="H1986" s="395"/>
      <c r="J1986" s="42"/>
    </row>
    <row r="1987" spans="1:10" s="393" customFormat="1" x14ac:dyDescent="0.25">
      <c r="A1987" s="19" t="s">
        <v>35</v>
      </c>
      <c r="B1987" s="2">
        <v>43975</v>
      </c>
      <c r="C1987" s="1">
        <v>0</v>
      </c>
      <c r="D1987" s="39">
        <v>4</v>
      </c>
      <c r="E1987" s="1"/>
      <c r="F1987" s="39">
        <f>E1987+F1963</f>
        <v>0</v>
      </c>
      <c r="G1987" s="395"/>
      <c r="H1987" s="395"/>
      <c r="J1987" s="42"/>
    </row>
    <row r="1988" spans="1:10" s="393" customFormat="1" x14ac:dyDescent="0.25">
      <c r="A1988" s="19" t="s">
        <v>36</v>
      </c>
      <c r="B1988" s="2">
        <v>43975</v>
      </c>
      <c r="C1988" s="1">
        <v>0</v>
      </c>
      <c r="D1988" s="39">
        <v>11</v>
      </c>
      <c r="E1988" s="1"/>
      <c r="F1988" s="39">
        <f t="shared" si="106"/>
        <v>0</v>
      </c>
      <c r="G1988" s="395"/>
      <c r="H1988" s="395"/>
      <c r="J1988" s="42"/>
    </row>
    <row r="1989" spans="1:10" s="393" customFormat="1" x14ac:dyDescent="0.25">
      <c r="A1989" s="19" t="s">
        <v>37</v>
      </c>
      <c r="B1989" s="2">
        <v>43975</v>
      </c>
      <c r="C1989" s="1">
        <v>0</v>
      </c>
      <c r="D1989" s="39">
        <v>49</v>
      </c>
      <c r="E1989" s="1"/>
      <c r="F1989" s="39">
        <f t="shared" si="106"/>
        <v>0</v>
      </c>
      <c r="G1989" s="395"/>
      <c r="H1989" s="395"/>
      <c r="J1989" s="42"/>
    </row>
    <row r="1990" spans="1:10" s="393" customFormat="1" x14ac:dyDescent="0.25">
      <c r="A1990" s="19" t="s">
        <v>22</v>
      </c>
      <c r="B1990" s="2">
        <v>43975</v>
      </c>
      <c r="C1990" s="1">
        <v>0</v>
      </c>
      <c r="D1990" s="39">
        <v>258</v>
      </c>
      <c r="E1990" s="1"/>
      <c r="F1990" s="39">
        <f>E1990+F1966</f>
        <v>3</v>
      </c>
      <c r="G1990" s="395"/>
      <c r="H1990" s="395"/>
      <c r="J1990" s="42"/>
    </row>
    <row r="1991" spans="1:10" s="393" customFormat="1" x14ac:dyDescent="0.25">
      <c r="A1991" s="19" t="s">
        <v>38</v>
      </c>
      <c r="B1991" s="2">
        <v>43975</v>
      </c>
      <c r="C1991" s="1">
        <v>0</v>
      </c>
      <c r="D1991" s="39">
        <v>22</v>
      </c>
      <c r="E1991" s="1"/>
      <c r="F1991" s="39">
        <f>E1991+F1967</f>
        <v>0</v>
      </c>
      <c r="G1991" s="395"/>
      <c r="H1991" s="395"/>
      <c r="J1991" s="42"/>
    </row>
    <row r="1992" spans="1:10" s="393" customFormat="1" x14ac:dyDescent="0.25">
      <c r="A1992" s="19" t="s">
        <v>39</v>
      </c>
      <c r="B1992" s="2">
        <v>43975</v>
      </c>
      <c r="C1992" s="1">
        <v>0</v>
      </c>
      <c r="D1992" s="39">
        <v>148</v>
      </c>
      <c r="E1992" s="1"/>
      <c r="F1992" s="39">
        <f t="shared" si="106"/>
        <v>0</v>
      </c>
      <c r="G1992" s="395"/>
      <c r="H1992" s="395"/>
      <c r="J1992" s="42"/>
    </row>
    <row r="1993" spans="1:10" s="393" customFormat="1" x14ac:dyDescent="0.25">
      <c r="A1993" s="19" t="s">
        <v>40</v>
      </c>
      <c r="B1993" s="2">
        <v>43975</v>
      </c>
      <c r="C1993" s="1">
        <v>0</v>
      </c>
      <c r="D1993" s="39">
        <v>45</v>
      </c>
      <c r="E1993" s="1"/>
      <c r="F1993" s="39">
        <f>E1993+F1969</f>
        <v>3</v>
      </c>
      <c r="G1993" s="395"/>
      <c r="H1993" s="395"/>
      <c r="J1993" s="42"/>
    </row>
    <row r="1994" spans="1:10" s="393" customFormat="1" x14ac:dyDescent="0.25">
      <c r="A1994" s="394" t="s">
        <v>16</v>
      </c>
      <c r="B1994" s="2">
        <v>43976</v>
      </c>
      <c r="C1994" s="1">
        <v>159</v>
      </c>
      <c r="D1994" s="39">
        <v>4219</v>
      </c>
      <c r="E1994" s="1">
        <v>5</v>
      </c>
      <c r="F1994" s="39">
        <f>E1994+F1970</f>
        <v>187</v>
      </c>
      <c r="G1994" s="395"/>
      <c r="H1994" s="395"/>
      <c r="J1994" s="42"/>
    </row>
    <row r="1995" spans="1:10" s="393" customFormat="1" x14ac:dyDescent="0.25">
      <c r="A1995" s="19" t="s">
        <v>28</v>
      </c>
      <c r="B1995" s="2">
        <v>43976</v>
      </c>
      <c r="C1995" s="1">
        <v>0</v>
      </c>
      <c r="D1995" s="39">
        <v>0</v>
      </c>
      <c r="E1995" s="1"/>
      <c r="F1995" s="39">
        <f t="shared" ref="F1995:F2001" si="107">E1995+F1971</f>
        <v>0</v>
      </c>
      <c r="G1995" s="395"/>
      <c r="H1995" s="395"/>
      <c r="J1995" s="42"/>
    </row>
    <row r="1996" spans="1:10" s="393" customFormat="1" x14ac:dyDescent="0.25">
      <c r="A1996" s="19" t="s">
        <v>15</v>
      </c>
      <c r="B1996" s="2">
        <v>43976</v>
      </c>
      <c r="C1996" s="1">
        <v>9</v>
      </c>
      <c r="D1996" s="39">
        <v>757</v>
      </c>
      <c r="E1996" s="1"/>
      <c r="F1996" s="39">
        <f t="shared" si="107"/>
        <v>42</v>
      </c>
      <c r="G1996" s="395"/>
      <c r="H1996" s="395"/>
      <c r="J1996" s="42"/>
    </row>
    <row r="1997" spans="1:10" s="393" customFormat="1" x14ac:dyDescent="0.25">
      <c r="A1997" s="19" t="s">
        <v>29</v>
      </c>
      <c r="B1997" s="2">
        <v>43976</v>
      </c>
      <c r="C1997" s="1">
        <v>0</v>
      </c>
      <c r="D1997" s="39">
        <v>4</v>
      </c>
      <c r="E1997" s="1"/>
      <c r="F1997" s="39">
        <f t="shared" si="107"/>
        <v>1</v>
      </c>
      <c r="G1997" s="395"/>
      <c r="H1997" s="395"/>
      <c r="J1997" s="42"/>
    </row>
    <row r="1998" spans="1:10" s="393" customFormat="1" x14ac:dyDescent="0.25">
      <c r="A1998" s="19" t="s">
        <v>43</v>
      </c>
      <c r="B1998" s="2">
        <v>43976</v>
      </c>
      <c r="C1998" s="1">
        <v>375</v>
      </c>
      <c r="D1998" s="39">
        <v>5875</v>
      </c>
      <c r="E1998" s="1">
        <v>8</v>
      </c>
      <c r="F1998" s="39">
        <f t="shared" si="107"/>
        <v>160</v>
      </c>
      <c r="G1998" s="395"/>
      <c r="H1998" s="395"/>
      <c r="J1998" s="42"/>
    </row>
    <row r="1999" spans="1:10" s="393" customFormat="1" x14ac:dyDescent="0.25">
      <c r="A1999" s="19" t="s">
        <v>20</v>
      </c>
      <c r="B1999" s="2">
        <v>43976</v>
      </c>
      <c r="C1999" s="1">
        <v>3</v>
      </c>
      <c r="D1999" s="39">
        <v>459</v>
      </c>
      <c r="E1999" s="1">
        <v>1</v>
      </c>
      <c r="F1999" s="39">
        <f t="shared" si="107"/>
        <v>26</v>
      </c>
      <c r="G1999" s="395"/>
      <c r="H1999" s="395"/>
      <c r="J1999" s="42"/>
    </row>
    <row r="2000" spans="1:10" s="393" customFormat="1" x14ac:dyDescent="0.25">
      <c r="A2000" s="19" t="s">
        <v>30</v>
      </c>
      <c r="B2000" s="2">
        <v>43976</v>
      </c>
      <c r="C2000" s="1">
        <v>0</v>
      </c>
      <c r="D2000" s="39">
        <v>78</v>
      </c>
      <c r="E2000" s="1"/>
      <c r="F2000" s="39">
        <f t="shared" si="107"/>
        <v>0</v>
      </c>
      <c r="G2000" s="395"/>
      <c r="H2000" s="395"/>
      <c r="J2000" s="42"/>
    </row>
    <row r="2001" spans="1:10" x14ac:dyDescent="0.25">
      <c r="A2001" s="19" t="s">
        <v>31</v>
      </c>
      <c r="B2001" s="2">
        <v>43976</v>
      </c>
      <c r="C2001" s="1">
        <v>0</v>
      </c>
      <c r="D2001" s="39">
        <v>29</v>
      </c>
      <c r="F2001" s="39">
        <f t="shared" si="107"/>
        <v>0</v>
      </c>
    </row>
    <row r="2002" spans="1:10" s="393" customFormat="1" x14ac:dyDescent="0.25">
      <c r="A2002" s="19" t="s">
        <v>41</v>
      </c>
      <c r="B2002" s="2">
        <v>43976</v>
      </c>
      <c r="C2002" s="1">
        <v>0</v>
      </c>
      <c r="D2002" s="39">
        <v>0</v>
      </c>
      <c r="E2002" s="1"/>
      <c r="F2002" s="39">
        <f t="shared" ref="F2002:F2016" si="108">E2002+F1977</f>
        <v>0</v>
      </c>
      <c r="G2002" s="395"/>
      <c r="H2002" s="395"/>
      <c r="J2002" s="42"/>
    </row>
    <row r="2003" spans="1:10" s="393" customFormat="1" x14ac:dyDescent="0.25">
      <c r="A2003" s="19" t="s">
        <v>32</v>
      </c>
      <c r="B2003" s="2">
        <v>43976</v>
      </c>
      <c r="C2003" s="1">
        <v>0</v>
      </c>
      <c r="D2003" s="39">
        <v>5</v>
      </c>
      <c r="E2003" s="1"/>
      <c r="F2003" s="39">
        <f t="shared" si="108"/>
        <v>0</v>
      </c>
      <c r="G2003" s="395"/>
      <c r="H2003" s="395"/>
      <c r="J2003" s="42"/>
    </row>
    <row r="2004" spans="1:10" s="393" customFormat="1" x14ac:dyDescent="0.25">
      <c r="A2004" s="19" t="s">
        <v>33</v>
      </c>
      <c r="B2004" s="2">
        <v>43976</v>
      </c>
      <c r="C2004" s="1">
        <v>0</v>
      </c>
      <c r="D2004" s="39">
        <v>5</v>
      </c>
      <c r="E2004" s="1"/>
      <c r="F2004" s="39">
        <f t="shared" si="108"/>
        <v>0</v>
      </c>
      <c r="G2004" s="395"/>
      <c r="H2004" s="395"/>
      <c r="J2004" s="42"/>
    </row>
    <row r="2005" spans="1:10" s="393" customFormat="1" x14ac:dyDescent="0.25">
      <c r="A2005" s="19" t="s">
        <v>21</v>
      </c>
      <c r="B2005" s="2">
        <v>43976</v>
      </c>
      <c r="C2005" s="1">
        <v>0</v>
      </c>
      <c r="D2005" s="39">
        <v>63</v>
      </c>
      <c r="E2005" s="1"/>
      <c r="F2005" s="39">
        <f t="shared" si="108"/>
        <v>0</v>
      </c>
      <c r="G2005" s="395"/>
      <c r="H2005" s="395"/>
      <c r="J2005" s="42"/>
    </row>
    <row r="2006" spans="1:10" s="393" customFormat="1" x14ac:dyDescent="0.25">
      <c r="A2006" s="19" t="s">
        <v>17</v>
      </c>
      <c r="B2006" s="2">
        <v>43976</v>
      </c>
      <c r="C2006" s="1">
        <v>0</v>
      </c>
      <c r="D2006" s="39">
        <v>90</v>
      </c>
      <c r="E2006" s="1"/>
      <c r="F2006" s="39">
        <f t="shared" si="108"/>
        <v>0</v>
      </c>
      <c r="G2006" s="395"/>
      <c r="H2006" s="395"/>
      <c r="J2006" s="42"/>
    </row>
    <row r="2007" spans="1:10" s="393" customFormat="1" x14ac:dyDescent="0.25">
      <c r="A2007" s="19" t="s">
        <v>23</v>
      </c>
      <c r="B2007" s="2">
        <v>43976</v>
      </c>
      <c r="C2007" s="1">
        <v>0</v>
      </c>
      <c r="D2007" s="39">
        <v>25</v>
      </c>
      <c r="E2007" s="1"/>
      <c r="F2007" s="39">
        <f t="shared" si="108"/>
        <v>0</v>
      </c>
      <c r="G2007" s="395"/>
      <c r="H2007" s="395"/>
      <c r="J2007" s="42"/>
    </row>
    <row r="2008" spans="1:10" s="393" customFormat="1" x14ac:dyDescent="0.25">
      <c r="A2008" s="19" t="s">
        <v>19</v>
      </c>
      <c r="B2008" s="2">
        <v>43976</v>
      </c>
      <c r="C2008" s="1">
        <v>1</v>
      </c>
      <c r="D2008" s="39">
        <v>116</v>
      </c>
      <c r="E2008" s="1"/>
      <c r="F2008" s="39">
        <f t="shared" si="108"/>
        <v>0</v>
      </c>
      <c r="G2008" s="395"/>
      <c r="H2008" s="395"/>
      <c r="J2008" s="42"/>
    </row>
    <row r="2009" spans="1:10" s="393" customFormat="1" x14ac:dyDescent="0.25">
      <c r="A2009" s="19" t="s">
        <v>18</v>
      </c>
      <c r="B2009" s="2">
        <v>43976</v>
      </c>
      <c r="C2009" s="1">
        <v>4</v>
      </c>
      <c r="D2009" s="39">
        <v>356</v>
      </c>
      <c r="E2009" s="1">
        <v>1</v>
      </c>
      <c r="F2009" s="39">
        <f t="shared" si="108"/>
        <v>1</v>
      </c>
      <c r="G2009" s="395"/>
      <c r="H2009" s="395"/>
      <c r="J2009" s="42"/>
    </row>
    <row r="2010" spans="1:10" s="393" customFormat="1" x14ac:dyDescent="0.25">
      <c r="A2010" s="19" t="s">
        <v>34</v>
      </c>
      <c r="B2010" s="2">
        <v>43976</v>
      </c>
      <c r="C2010" s="1">
        <v>0</v>
      </c>
      <c r="D2010" s="39">
        <v>7</v>
      </c>
      <c r="E2010" s="1"/>
      <c r="F2010" s="39">
        <f t="shared" si="108"/>
        <v>0</v>
      </c>
      <c r="G2010" s="395"/>
      <c r="H2010" s="395"/>
      <c r="J2010" s="42"/>
    </row>
    <row r="2011" spans="1:10" s="393" customFormat="1" x14ac:dyDescent="0.25">
      <c r="A2011" s="19" t="s">
        <v>35</v>
      </c>
      <c r="B2011" s="2">
        <v>43976</v>
      </c>
      <c r="C2011" s="1">
        <v>0</v>
      </c>
      <c r="D2011" s="39">
        <v>4</v>
      </c>
      <c r="E2011" s="1"/>
      <c r="F2011" s="39">
        <f>E2011+F1987</f>
        <v>0</v>
      </c>
      <c r="G2011" s="395"/>
      <c r="H2011" s="395"/>
      <c r="J2011" s="42"/>
    </row>
    <row r="2012" spans="1:10" s="393" customFormat="1" x14ac:dyDescent="0.25">
      <c r="A2012" s="19" t="s">
        <v>36</v>
      </c>
      <c r="B2012" s="2">
        <v>43976</v>
      </c>
      <c r="C2012" s="1">
        <v>0</v>
      </c>
      <c r="D2012" s="39">
        <v>11</v>
      </c>
      <c r="E2012" s="1"/>
      <c r="F2012" s="39">
        <f t="shared" si="108"/>
        <v>0</v>
      </c>
      <c r="G2012" s="395"/>
      <c r="H2012" s="395"/>
      <c r="J2012" s="42"/>
    </row>
    <row r="2013" spans="1:10" s="393" customFormat="1" x14ac:dyDescent="0.25">
      <c r="A2013" s="19" t="s">
        <v>37</v>
      </c>
      <c r="B2013" s="2">
        <v>43976</v>
      </c>
      <c r="C2013" s="1">
        <v>0</v>
      </c>
      <c r="D2013" s="39">
        <v>49</v>
      </c>
      <c r="E2013" s="1"/>
      <c r="F2013" s="39">
        <f t="shared" si="108"/>
        <v>0</v>
      </c>
      <c r="G2013" s="395"/>
      <c r="H2013" s="395"/>
      <c r="J2013" s="42"/>
    </row>
    <row r="2014" spans="1:10" s="393" customFormat="1" x14ac:dyDescent="0.25">
      <c r="A2014" s="19" t="s">
        <v>22</v>
      </c>
      <c r="B2014" s="2">
        <v>43976</v>
      </c>
      <c r="C2014" s="1">
        <v>0</v>
      </c>
      <c r="D2014" s="39">
        <v>258</v>
      </c>
      <c r="E2014" s="1"/>
      <c r="F2014" s="39">
        <f>E2014+F1990</f>
        <v>3</v>
      </c>
      <c r="G2014" s="395"/>
      <c r="H2014" s="395"/>
      <c r="J2014" s="42"/>
    </row>
    <row r="2015" spans="1:10" s="393" customFormat="1" x14ac:dyDescent="0.25">
      <c r="A2015" s="19" t="s">
        <v>38</v>
      </c>
      <c r="B2015" s="2">
        <v>43976</v>
      </c>
      <c r="C2015" s="1">
        <v>0</v>
      </c>
      <c r="D2015" s="39">
        <v>22</v>
      </c>
      <c r="E2015" s="1"/>
      <c r="F2015" s="39">
        <f>E2015+F1991</f>
        <v>0</v>
      </c>
      <c r="G2015" s="395"/>
      <c r="H2015" s="395"/>
      <c r="J2015" s="42"/>
    </row>
    <row r="2016" spans="1:10" s="393" customFormat="1" x14ac:dyDescent="0.25">
      <c r="A2016" s="19" t="s">
        <v>39</v>
      </c>
      <c r="B2016" s="2">
        <v>43976</v>
      </c>
      <c r="C2016" s="1">
        <v>0</v>
      </c>
      <c r="D2016" s="39">
        <v>148</v>
      </c>
      <c r="E2016" s="1"/>
      <c r="F2016" s="39">
        <f t="shared" si="108"/>
        <v>0</v>
      </c>
      <c r="G2016" s="395"/>
      <c r="H2016" s="395"/>
      <c r="J2016" s="42"/>
    </row>
    <row r="2017" spans="1:10" s="393" customFormat="1" x14ac:dyDescent="0.25">
      <c r="A2017" s="19" t="s">
        <v>40</v>
      </c>
      <c r="B2017" s="2">
        <v>43976</v>
      </c>
      <c r="C2017" s="1">
        <v>2</v>
      </c>
      <c r="D2017" s="39">
        <v>47</v>
      </c>
      <c r="E2017" s="1"/>
      <c r="F2017" s="39">
        <f>E2017+F1993</f>
        <v>3</v>
      </c>
      <c r="G2017" s="395"/>
      <c r="H2017" s="395"/>
      <c r="J2017" s="42"/>
    </row>
    <row r="2018" spans="1:10" s="393" customFormat="1" x14ac:dyDescent="0.25">
      <c r="A2018" s="394" t="s">
        <v>16</v>
      </c>
      <c r="B2018" s="2">
        <v>43977</v>
      </c>
      <c r="C2018" s="1">
        <v>236</v>
      </c>
      <c r="D2018" s="39">
        <v>4455</v>
      </c>
      <c r="E2018" s="1">
        <v>16</v>
      </c>
      <c r="F2018" s="39">
        <f>E2018+F1994</f>
        <v>203</v>
      </c>
      <c r="G2018" s="395"/>
      <c r="H2018" s="395"/>
      <c r="J2018" s="42"/>
    </row>
    <row r="2019" spans="1:10" s="393" customFormat="1" x14ac:dyDescent="0.25">
      <c r="A2019" s="19" t="s">
        <v>28</v>
      </c>
      <c r="B2019" s="2">
        <v>43977</v>
      </c>
      <c r="C2019" s="1">
        <v>0</v>
      </c>
      <c r="D2019" s="39">
        <v>0</v>
      </c>
      <c r="E2019" s="1"/>
      <c r="F2019" s="39">
        <f t="shared" ref="F2019:F2025" si="109">E2019+F1995</f>
        <v>0</v>
      </c>
      <c r="G2019" s="395"/>
      <c r="H2019" s="395"/>
      <c r="J2019" s="42"/>
    </row>
    <row r="2020" spans="1:10" s="393" customFormat="1" x14ac:dyDescent="0.25">
      <c r="A2020" s="19" t="s">
        <v>15</v>
      </c>
      <c r="B2020" s="2">
        <v>43977</v>
      </c>
      <c r="C2020" s="1">
        <v>23</v>
      </c>
      <c r="D2020" s="39">
        <v>780</v>
      </c>
      <c r="E2020" s="1">
        <v>2</v>
      </c>
      <c r="F2020" s="39">
        <f t="shared" si="109"/>
        <v>44</v>
      </c>
      <c r="G2020" s="395"/>
      <c r="H2020" s="395"/>
      <c r="J2020" s="42"/>
    </row>
    <row r="2021" spans="1:10" s="393" customFormat="1" x14ac:dyDescent="0.25">
      <c r="A2021" s="19" t="s">
        <v>29</v>
      </c>
      <c r="B2021" s="2">
        <v>43977</v>
      </c>
      <c r="C2021" s="1">
        <v>1</v>
      </c>
      <c r="D2021" s="39">
        <v>5</v>
      </c>
      <c r="E2021" s="1"/>
      <c r="F2021" s="39">
        <f t="shared" si="109"/>
        <v>1</v>
      </c>
      <c r="G2021" s="395"/>
      <c r="H2021" s="395"/>
      <c r="J2021" s="42"/>
    </row>
    <row r="2022" spans="1:10" s="393" customFormat="1" x14ac:dyDescent="0.25">
      <c r="A2022" s="19" t="s">
        <v>43</v>
      </c>
      <c r="B2022" s="2">
        <v>43977</v>
      </c>
      <c r="C2022" s="1">
        <v>327</v>
      </c>
      <c r="D2022" s="39">
        <v>6202</v>
      </c>
      <c r="E2022" s="1">
        <v>5</v>
      </c>
      <c r="F2022" s="39">
        <f t="shared" si="109"/>
        <v>165</v>
      </c>
      <c r="G2022" s="395"/>
      <c r="H2022" s="395"/>
      <c r="J2022" s="42"/>
    </row>
    <row r="2023" spans="1:10" s="393" customFormat="1" x14ac:dyDescent="0.25">
      <c r="A2023" s="19" t="s">
        <v>20</v>
      </c>
      <c r="B2023" s="2">
        <v>43977</v>
      </c>
      <c r="C2023" s="1">
        <v>0</v>
      </c>
      <c r="D2023" s="39">
        <v>459</v>
      </c>
      <c r="E2023" s="1"/>
      <c r="F2023" s="39">
        <f t="shared" si="109"/>
        <v>26</v>
      </c>
      <c r="G2023" s="395"/>
      <c r="H2023" s="395"/>
      <c r="J2023" s="42"/>
    </row>
    <row r="2024" spans="1:10" s="393" customFormat="1" x14ac:dyDescent="0.25">
      <c r="A2024" s="19" t="s">
        <v>30</v>
      </c>
      <c r="B2024" s="2">
        <v>43977</v>
      </c>
      <c r="C2024" s="1">
        <v>0</v>
      </c>
      <c r="D2024" s="39">
        <v>78</v>
      </c>
      <c r="E2024" s="1"/>
      <c r="F2024" s="39">
        <f t="shared" si="109"/>
        <v>0</v>
      </c>
      <c r="G2024" s="395"/>
      <c r="H2024" s="395"/>
      <c r="J2024" s="42"/>
    </row>
    <row r="2025" spans="1:10" x14ac:dyDescent="0.25">
      <c r="A2025" s="19" t="s">
        <v>31</v>
      </c>
      <c r="B2025" s="2">
        <v>43977</v>
      </c>
      <c r="C2025" s="1">
        <v>0</v>
      </c>
      <c r="D2025" s="39">
        <v>29</v>
      </c>
      <c r="F2025" s="39">
        <f t="shared" si="109"/>
        <v>0</v>
      </c>
    </row>
    <row r="2026" spans="1:10" s="393" customFormat="1" x14ac:dyDescent="0.25">
      <c r="A2026" s="19" t="s">
        <v>41</v>
      </c>
      <c r="B2026" s="2">
        <v>43977</v>
      </c>
      <c r="C2026" s="1">
        <v>0</v>
      </c>
      <c r="D2026" s="39">
        <v>0</v>
      </c>
      <c r="E2026" s="1"/>
      <c r="F2026" s="39">
        <f t="shared" ref="F2026:F2040" si="110">E2026+F2001</f>
        <v>0</v>
      </c>
      <c r="G2026" s="395"/>
      <c r="H2026" s="395"/>
      <c r="J2026" s="42"/>
    </row>
    <row r="2027" spans="1:10" s="393" customFormat="1" x14ac:dyDescent="0.25">
      <c r="A2027" s="19" t="s">
        <v>32</v>
      </c>
      <c r="B2027" s="2">
        <v>43977</v>
      </c>
      <c r="C2027" s="1">
        <v>0</v>
      </c>
      <c r="D2027" s="39">
        <v>5</v>
      </c>
      <c r="E2027" s="1"/>
      <c r="F2027" s="39">
        <f t="shared" si="110"/>
        <v>0</v>
      </c>
      <c r="G2027" s="395"/>
      <c r="H2027" s="395"/>
      <c r="J2027" s="42"/>
    </row>
    <row r="2028" spans="1:10" s="393" customFormat="1" x14ac:dyDescent="0.25">
      <c r="A2028" s="19" t="s">
        <v>33</v>
      </c>
      <c r="B2028" s="2">
        <v>43977</v>
      </c>
      <c r="C2028" s="1">
        <v>0</v>
      </c>
      <c r="D2028" s="39">
        <v>5</v>
      </c>
      <c r="E2028" s="1"/>
      <c r="F2028" s="39">
        <f t="shared" si="110"/>
        <v>0</v>
      </c>
      <c r="G2028" s="395"/>
      <c r="H2028" s="395"/>
      <c r="J2028" s="42"/>
    </row>
    <row r="2029" spans="1:10" s="393" customFormat="1" x14ac:dyDescent="0.25">
      <c r="A2029" s="19" t="s">
        <v>21</v>
      </c>
      <c r="B2029" s="2">
        <v>43977</v>
      </c>
      <c r="C2029" s="1">
        <v>0</v>
      </c>
      <c r="D2029" s="39">
        <v>63</v>
      </c>
      <c r="E2029" s="1"/>
      <c r="F2029" s="39">
        <f t="shared" si="110"/>
        <v>0</v>
      </c>
      <c r="G2029" s="395"/>
      <c r="H2029" s="395"/>
      <c r="J2029" s="42"/>
    </row>
    <row r="2030" spans="1:10" s="393" customFormat="1" x14ac:dyDescent="0.25">
      <c r="A2030" s="19" t="s">
        <v>17</v>
      </c>
      <c r="B2030" s="2">
        <v>43977</v>
      </c>
      <c r="C2030" s="1">
        <v>0</v>
      </c>
      <c r="D2030" s="39">
        <v>90</v>
      </c>
      <c r="E2030" s="1"/>
      <c r="F2030" s="39">
        <f t="shared" si="110"/>
        <v>0</v>
      </c>
      <c r="G2030" s="395"/>
      <c r="H2030" s="395"/>
      <c r="J2030" s="42"/>
    </row>
    <row r="2031" spans="1:10" s="393" customFormat="1" x14ac:dyDescent="0.25">
      <c r="A2031" s="19" t="s">
        <v>23</v>
      </c>
      <c r="B2031" s="2">
        <v>43977</v>
      </c>
      <c r="C2031" s="1">
        <v>0</v>
      </c>
      <c r="D2031" s="39">
        <v>25</v>
      </c>
      <c r="E2031" s="1"/>
      <c r="F2031" s="39">
        <f t="shared" si="110"/>
        <v>0</v>
      </c>
      <c r="G2031" s="395"/>
      <c r="H2031" s="395"/>
      <c r="J2031" s="42"/>
    </row>
    <row r="2032" spans="1:10" s="393" customFormat="1" x14ac:dyDescent="0.25">
      <c r="A2032" s="19" t="s">
        <v>19</v>
      </c>
      <c r="B2032" s="2">
        <v>43977</v>
      </c>
      <c r="C2032" s="1">
        <v>7</v>
      </c>
      <c r="D2032" s="39">
        <v>123</v>
      </c>
      <c r="E2032" s="1"/>
      <c r="F2032" s="39">
        <f t="shared" si="110"/>
        <v>0</v>
      </c>
      <c r="G2032" s="395"/>
      <c r="H2032" s="395"/>
      <c r="J2032" s="42"/>
    </row>
    <row r="2033" spans="1:10" s="393" customFormat="1" x14ac:dyDescent="0.25">
      <c r="A2033" s="19" t="s">
        <v>18</v>
      </c>
      <c r="B2033" s="2">
        <v>43977</v>
      </c>
      <c r="C2033" s="1">
        <v>4</v>
      </c>
      <c r="D2033" s="39">
        <v>360</v>
      </c>
      <c r="E2033" s="1"/>
      <c r="F2033" s="39">
        <f t="shared" si="110"/>
        <v>0</v>
      </c>
      <c r="G2033" s="395"/>
      <c r="H2033" s="395"/>
      <c r="J2033" s="42"/>
    </row>
    <row r="2034" spans="1:10" s="393" customFormat="1" x14ac:dyDescent="0.25">
      <c r="A2034" s="19" t="s">
        <v>34</v>
      </c>
      <c r="B2034" s="2">
        <v>43977</v>
      </c>
      <c r="C2034" s="1">
        <v>0</v>
      </c>
      <c r="D2034" s="39">
        <v>7</v>
      </c>
      <c r="E2034" s="1"/>
      <c r="F2034" s="39">
        <f t="shared" si="110"/>
        <v>1</v>
      </c>
      <c r="G2034" s="395"/>
      <c r="H2034" s="395"/>
      <c r="J2034" s="42"/>
    </row>
    <row r="2035" spans="1:10" s="393" customFormat="1" x14ac:dyDescent="0.25">
      <c r="A2035" s="19" t="s">
        <v>35</v>
      </c>
      <c r="B2035" s="2">
        <v>43977</v>
      </c>
      <c r="C2035" s="1">
        <v>0</v>
      </c>
      <c r="D2035" s="39">
        <v>4</v>
      </c>
      <c r="E2035" s="1"/>
      <c r="F2035" s="39">
        <f>E2035+F2011</f>
        <v>0</v>
      </c>
      <c r="G2035" s="395"/>
      <c r="H2035" s="395"/>
      <c r="J2035" s="42"/>
    </row>
    <row r="2036" spans="1:10" s="393" customFormat="1" x14ac:dyDescent="0.25">
      <c r="A2036" s="19" t="s">
        <v>36</v>
      </c>
      <c r="B2036" s="2">
        <v>43977</v>
      </c>
      <c r="C2036" s="1">
        <v>0</v>
      </c>
      <c r="D2036" s="39">
        <v>11</v>
      </c>
      <c r="E2036" s="1"/>
      <c r="F2036" s="39">
        <f t="shared" si="110"/>
        <v>0</v>
      </c>
      <c r="G2036" s="395"/>
      <c r="H2036" s="395"/>
      <c r="J2036" s="42"/>
    </row>
    <row r="2037" spans="1:10" s="393" customFormat="1" x14ac:dyDescent="0.25">
      <c r="A2037" s="19" t="s">
        <v>37</v>
      </c>
      <c r="B2037" s="2">
        <v>43977</v>
      </c>
      <c r="C2037" s="1">
        <v>0</v>
      </c>
      <c r="D2037" s="39">
        <v>49</v>
      </c>
      <c r="E2037" s="1"/>
      <c r="F2037" s="39">
        <f t="shared" si="110"/>
        <v>0</v>
      </c>
      <c r="G2037" s="395"/>
      <c r="H2037" s="395"/>
      <c r="J2037" s="42"/>
    </row>
    <row r="2038" spans="1:10" s="393" customFormat="1" x14ac:dyDescent="0.25">
      <c r="A2038" s="19" t="s">
        <v>22</v>
      </c>
      <c r="B2038" s="2">
        <v>43977</v>
      </c>
      <c r="C2038" s="1">
        <v>2</v>
      </c>
      <c r="D2038" s="39">
        <v>260</v>
      </c>
      <c r="E2038" s="1"/>
      <c r="F2038" s="39">
        <f>E2038+F2014</f>
        <v>3</v>
      </c>
      <c r="G2038" s="395"/>
      <c r="H2038" s="395"/>
      <c r="J2038" s="42"/>
    </row>
    <row r="2039" spans="1:10" s="393" customFormat="1" x14ac:dyDescent="0.25">
      <c r="A2039" s="19" t="s">
        <v>38</v>
      </c>
      <c r="B2039" s="2">
        <v>43977</v>
      </c>
      <c r="C2039" s="1">
        <v>0</v>
      </c>
      <c r="D2039" s="39">
        <v>22</v>
      </c>
      <c r="E2039" s="1"/>
      <c r="F2039" s="39">
        <f>E2039+F2015</f>
        <v>0</v>
      </c>
      <c r="G2039" s="395"/>
      <c r="H2039" s="395"/>
      <c r="J2039" s="42"/>
    </row>
    <row r="2040" spans="1:10" s="393" customFormat="1" x14ac:dyDescent="0.25">
      <c r="A2040" s="19" t="s">
        <v>39</v>
      </c>
      <c r="B2040" s="2">
        <v>43977</v>
      </c>
      <c r="C2040" s="1">
        <v>0</v>
      </c>
      <c r="D2040" s="39">
        <v>148</v>
      </c>
      <c r="E2040" s="1"/>
      <c r="F2040" s="39">
        <f t="shared" si="110"/>
        <v>0</v>
      </c>
      <c r="G2040" s="395"/>
      <c r="H2040" s="395"/>
      <c r="J2040" s="42"/>
    </row>
    <row r="2041" spans="1:10" s="393" customFormat="1" x14ac:dyDescent="0.25">
      <c r="A2041" s="19" t="s">
        <v>40</v>
      </c>
      <c r="B2041" s="2">
        <v>43977</v>
      </c>
      <c r="C2041" s="1">
        <v>0</v>
      </c>
      <c r="D2041" s="39">
        <v>47</v>
      </c>
      <c r="E2041" s="1"/>
      <c r="F2041" s="39">
        <f>E2041+F2017</f>
        <v>3</v>
      </c>
      <c r="G2041" s="395"/>
      <c r="H2041" s="395"/>
      <c r="J2041" s="42"/>
    </row>
    <row r="2042" spans="1:10" s="393" customFormat="1" x14ac:dyDescent="0.25">
      <c r="A2042" s="394" t="s">
        <v>16</v>
      </c>
      <c r="B2042" s="2">
        <v>43978</v>
      </c>
      <c r="C2042" s="1">
        <v>315</v>
      </c>
      <c r="D2042" s="39">
        <v>4770</v>
      </c>
      <c r="E2042" s="1">
        <v>3</v>
      </c>
      <c r="F2042" s="39">
        <f>E2042+F2018</f>
        <v>206</v>
      </c>
      <c r="G2042" s="395"/>
      <c r="H2042" s="395"/>
      <c r="J2042" s="42"/>
    </row>
    <row r="2043" spans="1:10" s="393" customFormat="1" x14ac:dyDescent="0.25">
      <c r="A2043" s="19" t="s">
        <v>28</v>
      </c>
      <c r="B2043" s="2">
        <v>43978</v>
      </c>
      <c r="C2043" s="1">
        <v>0</v>
      </c>
      <c r="D2043" s="39">
        <v>0</v>
      </c>
      <c r="E2043" s="1"/>
      <c r="F2043" s="39">
        <f t="shared" ref="F2043:F2049" si="111">E2043+F2019</f>
        <v>0</v>
      </c>
      <c r="G2043" s="395"/>
      <c r="H2043" s="395"/>
      <c r="J2043" s="42"/>
    </row>
    <row r="2044" spans="1:10" s="393" customFormat="1" x14ac:dyDescent="0.25">
      <c r="A2044" s="19" t="s">
        <v>15</v>
      </c>
      <c r="B2044" s="2">
        <v>43978</v>
      </c>
      <c r="C2044" s="1">
        <v>16</v>
      </c>
      <c r="D2044" s="39">
        <v>796</v>
      </c>
      <c r="E2044" s="1">
        <v>2</v>
      </c>
      <c r="F2044" s="39">
        <f t="shared" si="111"/>
        <v>46</v>
      </c>
      <c r="G2044" s="395"/>
      <c r="H2044" s="395"/>
      <c r="J2044" s="42"/>
    </row>
    <row r="2045" spans="1:10" s="393" customFormat="1" x14ac:dyDescent="0.25">
      <c r="A2045" s="19" t="s">
        <v>29</v>
      </c>
      <c r="B2045" s="2">
        <v>43978</v>
      </c>
      <c r="C2045" s="1">
        <v>0</v>
      </c>
      <c r="D2045" s="39">
        <v>5</v>
      </c>
      <c r="E2045" s="1"/>
      <c r="F2045" s="39">
        <f t="shared" si="111"/>
        <v>1</v>
      </c>
      <c r="G2045" s="395"/>
      <c r="H2045" s="395"/>
      <c r="J2045" s="42"/>
    </row>
    <row r="2046" spans="1:10" s="393" customFormat="1" x14ac:dyDescent="0.25">
      <c r="A2046" s="19" t="s">
        <v>43</v>
      </c>
      <c r="B2046" s="2">
        <v>43978</v>
      </c>
      <c r="C2046" s="1">
        <v>362</v>
      </c>
      <c r="D2046" s="39">
        <v>6564</v>
      </c>
      <c r="E2046" s="1">
        <v>4</v>
      </c>
      <c r="F2046" s="39">
        <f t="shared" si="111"/>
        <v>169</v>
      </c>
      <c r="G2046" s="395"/>
      <c r="H2046" s="395"/>
      <c r="J2046" s="42"/>
    </row>
    <row r="2047" spans="1:10" s="393" customFormat="1" x14ac:dyDescent="0.25">
      <c r="A2047" s="19" t="s">
        <v>20</v>
      </c>
      <c r="B2047" s="2">
        <v>43978</v>
      </c>
      <c r="C2047" s="1">
        <v>0</v>
      </c>
      <c r="D2047" s="39">
        <v>459</v>
      </c>
      <c r="E2047" s="1">
        <v>1</v>
      </c>
      <c r="F2047" s="39">
        <f t="shared" si="111"/>
        <v>27</v>
      </c>
      <c r="G2047" s="395"/>
      <c r="H2047" s="395"/>
      <c r="J2047" s="42"/>
    </row>
    <row r="2048" spans="1:10" s="393" customFormat="1" x14ac:dyDescent="0.25">
      <c r="A2048" s="19" t="s">
        <v>30</v>
      </c>
      <c r="B2048" s="2">
        <v>43978</v>
      </c>
      <c r="C2048" s="1">
        <v>2</v>
      </c>
      <c r="D2048" s="39">
        <v>80</v>
      </c>
      <c r="E2048" s="1"/>
      <c r="F2048" s="39">
        <f t="shared" si="111"/>
        <v>0</v>
      </c>
      <c r="G2048" s="395"/>
      <c r="H2048" s="395"/>
      <c r="J2048" s="42"/>
    </row>
    <row r="2049" spans="1:10" x14ac:dyDescent="0.25">
      <c r="A2049" s="19" t="s">
        <v>31</v>
      </c>
      <c r="B2049" s="2">
        <v>43978</v>
      </c>
      <c r="C2049" s="1">
        <v>0</v>
      </c>
      <c r="D2049" s="39">
        <v>29</v>
      </c>
      <c r="F2049" s="39">
        <f t="shared" si="111"/>
        <v>0</v>
      </c>
    </row>
    <row r="2050" spans="1:10" s="393" customFormat="1" x14ac:dyDescent="0.25">
      <c r="A2050" s="19" t="s">
        <v>41</v>
      </c>
      <c r="B2050" s="2">
        <v>43978</v>
      </c>
      <c r="C2050" s="1">
        <v>0</v>
      </c>
      <c r="D2050" s="39">
        <v>0</v>
      </c>
      <c r="E2050" s="1"/>
      <c r="F2050" s="39">
        <f t="shared" ref="F2050:F2064" si="112">E2050+F2025</f>
        <v>0</v>
      </c>
      <c r="G2050" s="395"/>
      <c r="H2050" s="395"/>
      <c r="J2050" s="42"/>
    </row>
    <row r="2051" spans="1:10" s="393" customFormat="1" x14ac:dyDescent="0.25">
      <c r="A2051" s="19" t="s">
        <v>32</v>
      </c>
      <c r="B2051" s="2">
        <v>43978</v>
      </c>
      <c r="C2051" s="1">
        <v>0</v>
      </c>
      <c r="D2051" s="39">
        <v>5</v>
      </c>
      <c r="E2051" s="1"/>
      <c r="F2051" s="39">
        <f t="shared" si="112"/>
        <v>0</v>
      </c>
      <c r="G2051" s="395"/>
      <c r="H2051" s="395"/>
      <c r="J2051" s="42"/>
    </row>
    <row r="2052" spans="1:10" s="393" customFormat="1" x14ac:dyDescent="0.25">
      <c r="A2052" s="19" t="s">
        <v>33</v>
      </c>
      <c r="B2052" s="2">
        <v>43978</v>
      </c>
      <c r="C2052" s="1">
        <v>0</v>
      </c>
      <c r="D2052" s="39">
        <v>5</v>
      </c>
      <c r="E2052" s="1"/>
      <c r="F2052" s="39">
        <f t="shared" si="112"/>
        <v>0</v>
      </c>
      <c r="G2052" s="395"/>
      <c r="H2052" s="395"/>
      <c r="J2052" s="42"/>
    </row>
    <row r="2053" spans="1:10" s="393" customFormat="1" x14ac:dyDescent="0.25">
      <c r="A2053" s="19" t="s">
        <v>21</v>
      </c>
      <c r="B2053" s="2">
        <v>43978</v>
      </c>
      <c r="C2053" s="1">
        <v>0</v>
      </c>
      <c r="D2053" s="39">
        <v>63</v>
      </c>
      <c r="E2053" s="1"/>
      <c r="F2053" s="39">
        <f t="shared" si="112"/>
        <v>0</v>
      </c>
      <c r="G2053" s="395"/>
      <c r="H2053" s="395"/>
      <c r="J2053" s="42"/>
    </row>
    <row r="2054" spans="1:10" s="393" customFormat="1" x14ac:dyDescent="0.25">
      <c r="A2054" s="19" t="s">
        <v>17</v>
      </c>
      <c r="B2054" s="2">
        <v>43978</v>
      </c>
      <c r="C2054" s="1">
        <v>-1</v>
      </c>
      <c r="D2054" s="39">
        <v>89</v>
      </c>
      <c r="E2054" s="1"/>
      <c r="F2054" s="39">
        <f t="shared" si="112"/>
        <v>0</v>
      </c>
      <c r="G2054" s="395"/>
      <c r="H2054" s="395"/>
      <c r="J2054" s="42"/>
    </row>
    <row r="2055" spans="1:10" s="393" customFormat="1" x14ac:dyDescent="0.25">
      <c r="A2055" s="19" t="s">
        <v>23</v>
      </c>
      <c r="B2055" s="2">
        <v>43978</v>
      </c>
      <c r="C2055" s="1">
        <v>0</v>
      </c>
      <c r="D2055" s="39">
        <v>25</v>
      </c>
      <c r="E2055" s="1"/>
      <c r="F2055" s="39">
        <f t="shared" si="112"/>
        <v>0</v>
      </c>
      <c r="G2055" s="395"/>
      <c r="H2055" s="395"/>
      <c r="J2055" s="42"/>
    </row>
    <row r="2056" spans="1:10" s="393" customFormat="1" x14ac:dyDescent="0.25">
      <c r="A2056" s="19" t="s">
        <v>19</v>
      </c>
      <c r="B2056" s="2">
        <v>43978</v>
      </c>
      <c r="C2056" s="1">
        <v>2</v>
      </c>
      <c r="D2056" s="39">
        <v>125</v>
      </c>
      <c r="E2056" s="1"/>
      <c r="F2056" s="39">
        <f t="shared" si="112"/>
        <v>0</v>
      </c>
      <c r="G2056" s="395"/>
      <c r="H2056" s="395"/>
      <c r="J2056" s="42"/>
    </row>
    <row r="2057" spans="1:10" s="393" customFormat="1" x14ac:dyDescent="0.25">
      <c r="A2057" s="19" t="s">
        <v>18</v>
      </c>
      <c r="B2057" s="2">
        <v>43978</v>
      </c>
      <c r="C2057" s="1">
        <v>8</v>
      </c>
      <c r="D2057" s="39">
        <v>368</v>
      </c>
      <c r="E2057" s="1"/>
      <c r="F2057" s="39">
        <f t="shared" si="112"/>
        <v>0</v>
      </c>
      <c r="G2057" s="395"/>
      <c r="H2057" s="395"/>
      <c r="J2057" s="42"/>
    </row>
    <row r="2058" spans="1:10" s="393" customFormat="1" x14ac:dyDescent="0.25">
      <c r="A2058" s="19" t="s">
        <v>34</v>
      </c>
      <c r="B2058" s="2">
        <v>43978</v>
      </c>
      <c r="C2058" s="1">
        <v>0</v>
      </c>
      <c r="D2058" s="39">
        <v>7</v>
      </c>
      <c r="E2058" s="1"/>
      <c r="F2058" s="39">
        <f t="shared" si="112"/>
        <v>0</v>
      </c>
      <c r="G2058" s="395"/>
      <c r="H2058" s="395"/>
      <c r="J2058" s="42"/>
    </row>
    <row r="2059" spans="1:10" s="393" customFormat="1" x14ac:dyDescent="0.25">
      <c r="A2059" s="19" t="s">
        <v>35</v>
      </c>
      <c r="B2059" s="2">
        <v>43978</v>
      </c>
      <c r="C2059" s="1">
        <v>1</v>
      </c>
      <c r="D2059" s="39">
        <v>5</v>
      </c>
      <c r="E2059" s="1"/>
      <c r="F2059" s="39">
        <f>E2059+F2035</f>
        <v>0</v>
      </c>
      <c r="G2059" s="395"/>
      <c r="H2059" s="395"/>
      <c r="J2059" s="42"/>
    </row>
    <row r="2060" spans="1:10" s="393" customFormat="1" x14ac:dyDescent="0.25">
      <c r="A2060" s="19" t="s">
        <v>36</v>
      </c>
      <c r="B2060" s="2">
        <v>43978</v>
      </c>
      <c r="C2060" s="1">
        <v>0</v>
      </c>
      <c r="D2060" s="39">
        <v>11</v>
      </c>
      <c r="E2060" s="1"/>
      <c r="F2060" s="39">
        <f t="shared" si="112"/>
        <v>0</v>
      </c>
      <c r="G2060" s="395"/>
      <c r="H2060" s="395"/>
      <c r="J2060" s="42"/>
    </row>
    <row r="2061" spans="1:10" s="393" customFormat="1" x14ac:dyDescent="0.25">
      <c r="A2061" s="19" t="s">
        <v>37</v>
      </c>
      <c r="B2061" s="2">
        <v>43978</v>
      </c>
      <c r="C2061" s="1">
        <v>0</v>
      </c>
      <c r="D2061" s="39">
        <v>49</v>
      </c>
      <c r="E2061" s="1"/>
      <c r="F2061" s="39">
        <f t="shared" si="112"/>
        <v>0</v>
      </c>
      <c r="G2061" s="395"/>
      <c r="H2061" s="395"/>
      <c r="J2061" s="42"/>
    </row>
    <row r="2062" spans="1:10" s="393" customFormat="1" x14ac:dyDescent="0.25">
      <c r="A2062" s="19" t="s">
        <v>22</v>
      </c>
      <c r="B2062" s="2">
        <v>43978</v>
      </c>
      <c r="C2062" s="1">
        <v>0</v>
      </c>
      <c r="D2062" s="39">
        <v>260</v>
      </c>
      <c r="E2062" s="1"/>
      <c r="F2062" s="39">
        <f>E2062+F2038</f>
        <v>3</v>
      </c>
      <c r="G2062" s="395"/>
      <c r="H2062" s="395"/>
      <c r="J2062" s="42"/>
    </row>
    <row r="2063" spans="1:10" s="393" customFormat="1" x14ac:dyDescent="0.25">
      <c r="A2063" s="19" t="s">
        <v>38</v>
      </c>
      <c r="B2063" s="2">
        <v>43978</v>
      </c>
      <c r="C2063" s="1">
        <v>0</v>
      </c>
      <c r="D2063" s="39">
        <v>22</v>
      </c>
      <c r="E2063" s="1"/>
      <c r="F2063" s="39">
        <f>E2063+F2039</f>
        <v>0</v>
      </c>
      <c r="G2063" s="395"/>
      <c r="H2063" s="395"/>
      <c r="J2063" s="42"/>
    </row>
    <row r="2064" spans="1:10" s="393" customFormat="1" x14ac:dyDescent="0.25">
      <c r="A2064" s="19" t="s">
        <v>39</v>
      </c>
      <c r="B2064" s="2">
        <v>43978</v>
      </c>
      <c r="C2064" s="1">
        <v>1</v>
      </c>
      <c r="D2064" s="39">
        <v>149</v>
      </c>
      <c r="E2064" s="1"/>
      <c r="F2064" s="39">
        <f t="shared" si="112"/>
        <v>0</v>
      </c>
      <c r="G2064" s="395"/>
      <c r="H2064" s="395"/>
      <c r="J2064" s="42"/>
    </row>
    <row r="2065" spans="1:10" s="393" customFormat="1" x14ac:dyDescent="0.25">
      <c r="A2065" s="19" t="s">
        <v>40</v>
      </c>
      <c r="B2065" s="2">
        <v>43978</v>
      </c>
      <c r="C2065" s="1">
        <v>0</v>
      </c>
      <c r="D2065" s="39">
        <v>47</v>
      </c>
      <c r="E2065" s="1"/>
      <c r="F2065" s="39">
        <f>E2065+F2041</f>
        <v>3</v>
      </c>
      <c r="G2065" s="395"/>
      <c r="H2065" s="395"/>
      <c r="J2065" s="42"/>
    </row>
    <row r="2066" spans="1:10" s="393" customFormat="1" x14ac:dyDescent="0.25">
      <c r="A2066" s="394" t="s">
        <v>16</v>
      </c>
      <c r="B2066" s="2">
        <v>43979</v>
      </c>
      <c r="C2066" s="1">
        <v>299</v>
      </c>
      <c r="D2066" s="39">
        <v>5069</v>
      </c>
      <c r="E2066" s="1">
        <v>4</v>
      </c>
      <c r="F2066" s="39">
        <f>E2066+F2042</f>
        <v>210</v>
      </c>
      <c r="G2066" s="395"/>
      <c r="H2066" s="395"/>
      <c r="J2066" s="42"/>
    </row>
    <row r="2067" spans="1:10" s="393" customFormat="1" x14ac:dyDescent="0.25">
      <c r="A2067" s="19" t="s">
        <v>28</v>
      </c>
      <c r="B2067" s="2">
        <v>43979</v>
      </c>
      <c r="C2067" s="1">
        <v>0</v>
      </c>
      <c r="D2067" s="39">
        <v>0</v>
      </c>
      <c r="E2067" s="1"/>
      <c r="F2067" s="39">
        <f t="shared" ref="F2067:F2073" si="113">E2067+F2043</f>
        <v>0</v>
      </c>
      <c r="G2067" s="395"/>
      <c r="H2067" s="395"/>
      <c r="J2067" s="42"/>
    </row>
    <row r="2068" spans="1:10" s="393" customFormat="1" x14ac:dyDescent="0.25">
      <c r="A2068" s="19" t="s">
        <v>15</v>
      </c>
      <c r="B2068" s="2">
        <v>43979</v>
      </c>
      <c r="C2068" s="1">
        <v>28</v>
      </c>
      <c r="D2068" s="39">
        <v>824</v>
      </c>
      <c r="E2068" s="1">
        <v>1</v>
      </c>
      <c r="F2068" s="39">
        <f t="shared" si="113"/>
        <v>47</v>
      </c>
      <c r="G2068" s="395"/>
      <c r="H2068" s="395"/>
      <c r="J2068" s="42"/>
    </row>
    <row r="2069" spans="1:10" s="393" customFormat="1" x14ac:dyDescent="0.25">
      <c r="A2069" s="19" t="s">
        <v>29</v>
      </c>
      <c r="B2069" s="2">
        <v>43979</v>
      </c>
      <c r="C2069" s="1">
        <v>3</v>
      </c>
      <c r="D2069" s="39">
        <v>8</v>
      </c>
      <c r="E2069" s="1"/>
      <c r="F2069" s="39">
        <f t="shared" si="113"/>
        <v>1</v>
      </c>
      <c r="G2069" s="395"/>
      <c r="H2069" s="395"/>
      <c r="J2069" s="42"/>
    </row>
    <row r="2070" spans="1:10" s="393" customFormat="1" x14ac:dyDescent="0.25">
      <c r="A2070" s="19" t="s">
        <v>43</v>
      </c>
      <c r="B2070" s="2">
        <v>43979</v>
      </c>
      <c r="C2070" s="1">
        <v>425</v>
      </c>
      <c r="D2070" s="39">
        <v>6989</v>
      </c>
      <c r="E2070" s="1">
        <v>3</v>
      </c>
      <c r="F2070" s="39">
        <f t="shared" si="113"/>
        <v>172</v>
      </c>
      <c r="G2070" s="395"/>
      <c r="H2070" s="395"/>
      <c r="J2070" s="42"/>
    </row>
    <row r="2071" spans="1:10" s="393" customFormat="1" x14ac:dyDescent="0.25">
      <c r="A2071" s="19" t="s">
        <v>20</v>
      </c>
      <c r="B2071" s="2">
        <v>43979</v>
      </c>
      <c r="C2071" s="1">
        <v>-1</v>
      </c>
      <c r="D2071" s="39">
        <v>458</v>
      </c>
      <c r="E2071" s="1"/>
      <c r="F2071" s="39">
        <f t="shared" si="113"/>
        <v>27</v>
      </c>
      <c r="G2071" s="395"/>
      <c r="H2071" s="395"/>
      <c r="J2071" s="42"/>
    </row>
    <row r="2072" spans="1:10" s="393" customFormat="1" x14ac:dyDescent="0.25">
      <c r="A2072" s="19" t="s">
        <v>30</v>
      </c>
      <c r="B2072" s="2">
        <v>43979</v>
      </c>
      <c r="C2072" s="1">
        <v>1</v>
      </c>
      <c r="D2072" s="39">
        <v>81</v>
      </c>
      <c r="E2072" s="1"/>
      <c r="F2072" s="39">
        <f t="shared" si="113"/>
        <v>0</v>
      </c>
      <c r="G2072" s="395"/>
      <c r="H2072" s="395"/>
      <c r="J2072" s="42"/>
    </row>
    <row r="2073" spans="1:10" x14ac:dyDescent="0.25">
      <c r="A2073" s="19" t="s">
        <v>31</v>
      </c>
      <c r="B2073" s="2">
        <v>43979</v>
      </c>
      <c r="C2073" s="1">
        <v>1</v>
      </c>
      <c r="D2073" s="39">
        <v>30</v>
      </c>
      <c r="F2073" s="39">
        <f t="shared" si="113"/>
        <v>0</v>
      </c>
    </row>
    <row r="2074" spans="1:10" s="393" customFormat="1" x14ac:dyDescent="0.25">
      <c r="A2074" s="19" t="s">
        <v>41</v>
      </c>
      <c r="B2074" s="2">
        <v>43979</v>
      </c>
      <c r="C2074" s="1">
        <v>0</v>
      </c>
      <c r="D2074" s="39">
        <v>0</v>
      </c>
      <c r="E2074" s="1"/>
      <c r="F2074" s="39">
        <f t="shared" ref="F2074:F2088" si="114">E2074+F2049</f>
        <v>0</v>
      </c>
      <c r="G2074" s="395"/>
      <c r="H2074" s="395"/>
      <c r="J2074" s="42"/>
    </row>
    <row r="2075" spans="1:10" s="393" customFormat="1" x14ac:dyDescent="0.25">
      <c r="A2075" s="19" t="s">
        <v>32</v>
      </c>
      <c r="B2075" s="2">
        <v>43979</v>
      </c>
      <c r="C2075" s="1">
        <v>1</v>
      </c>
      <c r="D2075" s="39">
        <v>6</v>
      </c>
      <c r="E2075" s="1"/>
      <c r="F2075" s="39">
        <f t="shared" si="114"/>
        <v>0</v>
      </c>
      <c r="G2075" s="395"/>
      <c r="H2075" s="395"/>
      <c r="J2075" s="42"/>
    </row>
    <row r="2076" spans="1:10" s="393" customFormat="1" x14ac:dyDescent="0.25">
      <c r="A2076" s="19" t="s">
        <v>33</v>
      </c>
      <c r="B2076" s="2">
        <v>43979</v>
      </c>
      <c r="C2076" s="1">
        <v>0</v>
      </c>
      <c r="D2076" s="39">
        <v>5</v>
      </c>
      <c r="E2076" s="1"/>
      <c r="F2076" s="39">
        <f t="shared" si="114"/>
        <v>0</v>
      </c>
      <c r="G2076" s="395"/>
      <c r="H2076" s="395"/>
      <c r="J2076" s="42"/>
    </row>
    <row r="2077" spans="1:10" s="393" customFormat="1" x14ac:dyDescent="0.25">
      <c r="A2077" s="19" t="s">
        <v>21</v>
      </c>
      <c r="B2077" s="2">
        <v>43979</v>
      </c>
      <c r="C2077" s="1">
        <v>0</v>
      </c>
      <c r="D2077" s="39">
        <v>63</v>
      </c>
      <c r="E2077" s="1"/>
      <c r="F2077" s="39">
        <f t="shared" si="114"/>
        <v>0</v>
      </c>
      <c r="G2077" s="395"/>
      <c r="H2077" s="395"/>
      <c r="J2077" s="42"/>
    </row>
    <row r="2078" spans="1:10" s="393" customFormat="1" x14ac:dyDescent="0.25">
      <c r="A2078" s="19" t="s">
        <v>17</v>
      </c>
      <c r="B2078" s="2">
        <v>43979</v>
      </c>
      <c r="C2078" s="1">
        <v>0</v>
      </c>
      <c r="D2078" s="39">
        <v>89</v>
      </c>
      <c r="E2078" s="1"/>
      <c r="F2078" s="39">
        <f t="shared" si="114"/>
        <v>0</v>
      </c>
      <c r="G2078" s="395"/>
      <c r="H2078" s="395"/>
      <c r="J2078" s="42"/>
    </row>
    <row r="2079" spans="1:10" s="393" customFormat="1" x14ac:dyDescent="0.25">
      <c r="A2079" s="19" t="s">
        <v>23</v>
      </c>
      <c r="B2079" s="2">
        <v>43979</v>
      </c>
      <c r="C2079" s="1">
        <v>2</v>
      </c>
      <c r="D2079" s="39">
        <v>27</v>
      </c>
      <c r="E2079" s="1"/>
      <c r="F2079" s="39">
        <f t="shared" si="114"/>
        <v>0</v>
      </c>
      <c r="G2079" s="395"/>
      <c r="H2079" s="395"/>
      <c r="J2079" s="42"/>
    </row>
    <row r="2080" spans="1:10" s="393" customFormat="1" x14ac:dyDescent="0.25">
      <c r="A2080" s="19" t="s">
        <v>19</v>
      </c>
      <c r="B2080" s="2">
        <v>43979</v>
      </c>
      <c r="C2080" s="1">
        <v>3</v>
      </c>
      <c r="D2080" s="39">
        <v>128</v>
      </c>
      <c r="E2080" s="1"/>
      <c r="F2080" s="39">
        <f t="shared" si="114"/>
        <v>0</v>
      </c>
      <c r="G2080" s="395"/>
      <c r="H2080" s="395"/>
      <c r="J2080" s="42"/>
    </row>
    <row r="2081" spans="1:10" s="393" customFormat="1" x14ac:dyDescent="0.25">
      <c r="A2081" s="19" t="s">
        <v>18</v>
      </c>
      <c r="B2081" s="2">
        <v>43979</v>
      </c>
      <c r="C2081" s="1">
        <v>7</v>
      </c>
      <c r="D2081" s="39">
        <v>375</v>
      </c>
      <c r="E2081" s="1"/>
      <c r="F2081" s="39">
        <f t="shared" si="114"/>
        <v>0</v>
      </c>
      <c r="G2081" s="395"/>
      <c r="H2081" s="395"/>
      <c r="J2081" s="42"/>
    </row>
    <row r="2082" spans="1:10" s="393" customFormat="1" x14ac:dyDescent="0.25">
      <c r="A2082" s="19" t="s">
        <v>34</v>
      </c>
      <c r="B2082" s="2">
        <v>43979</v>
      </c>
      <c r="C2082" s="1">
        <v>0</v>
      </c>
      <c r="D2082" s="39">
        <v>7</v>
      </c>
      <c r="E2082" s="1"/>
      <c r="F2082" s="39">
        <f t="shared" si="114"/>
        <v>0</v>
      </c>
      <c r="G2082" s="395"/>
      <c r="H2082" s="395"/>
      <c r="J2082" s="42"/>
    </row>
    <row r="2083" spans="1:10" s="393" customFormat="1" x14ac:dyDescent="0.25">
      <c r="A2083" s="19" t="s">
        <v>35</v>
      </c>
      <c r="B2083" s="2">
        <v>43979</v>
      </c>
      <c r="C2083" s="1">
        <v>0</v>
      </c>
      <c r="D2083" s="39">
        <v>5</v>
      </c>
      <c r="E2083" s="1"/>
      <c r="F2083" s="39">
        <f>E2083+F2059</f>
        <v>0</v>
      </c>
      <c r="G2083" s="395"/>
      <c r="H2083" s="395"/>
      <c r="J2083" s="42"/>
    </row>
    <row r="2084" spans="1:10" s="393" customFormat="1" x14ac:dyDescent="0.25">
      <c r="A2084" s="19" t="s">
        <v>36</v>
      </c>
      <c r="B2084" s="2">
        <v>43979</v>
      </c>
      <c r="C2084" s="1">
        <v>0</v>
      </c>
      <c r="D2084" s="39">
        <v>11</v>
      </c>
      <c r="E2084" s="1"/>
      <c r="F2084" s="39">
        <f t="shared" si="114"/>
        <v>0</v>
      </c>
      <c r="G2084" s="395"/>
      <c r="H2084" s="395"/>
      <c r="J2084" s="42"/>
    </row>
    <row r="2085" spans="1:10" s="393" customFormat="1" x14ac:dyDescent="0.25">
      <c r="A2085" s="19" t="s">
        <v>37</v>
      </c>
      <c r="B2085" s="2">
        <v>43979</v>
      </c>
      <c r="C2085" s="1">
        <v>0</v>
      </c>
      <c r="D2085" s="39">
        <v>49</v>
      </c>
      <c r="E2085" s="1"/>
      <c r="F2085" s="39">
        <f t="shared" si="114"/>
        <v>0</v>
      </c>
      <c r="G2085" s="395"/>
      <c r="H2085" s="395"/>
      <c r="J2085" s="42"/>
    </row>
    <row r="2086" spans="1:10" s="393" customFormat="1" x14ac:dyDescent="0.25">
      <c r="A2086" s="19" t="s">
        <v>22</v>
      </c>
      <c r="B2086" s="2">
        <v>43979</v>
      </c>
      <c r="C2086" s="1">
        <v>0</v>
      </c>
      <c r="D2086" s="39">
        <v>260</v>
      </c>
      <c r="E2086" s="1"/>
      <c r="F2086" s="39">
        <f>E2086+F2062</f>
        <v>3</v>
      </c>
      <c r="G2086" s="395"/>
      <c r="H2086" s="395"/>
      <c r="J2086" s="42"/>
    </row>
    <row r="2087" spans="1:10" s="393" customFormat="1" x14ac:dyDescent="0.25">
      <c r="A2087" s="19" t="s">
        <v>38</v>
      </c>
      <c r="B2087" s="2">
        <v>43979</v>
      </c>
      <c r="C2087" s="1">
        <v>0</v>
      </c>
      <c r="D2087" s="39">
        <v>22</v>
      </c>
      <c r="E2087" s="1"/>
      <c r="F2087" s="39">
        <f>E2087+F2063</f>
        <v>0</v>
      </c>
      <c r="G2087" s="395"/>
      <c r="H2087" s="395"/>
      <c r="J2087" s="42"/>
    </row>
    <row r="2088" spans="1:10" s="393" customFormat="1" x14ac:dyDescent="0.25">
      <c r="A2088" s="19" t="s">
        <v>39</v>
      </c>
      <c r="B2088" s="2">
        <v>43979</v>
      </c>
      <c r="C2088" s="1">
        <v>0</v>
      </c>
      <c r="D2088" s="39">
        <v>149</v>
      </c>
      <c r="E2088" s="1"/>
      <c r="F2088" s="39">
        <f t="shared" si="114"/>
        <v>0</v>
      </c>
      <c r="G2088" s="395"/>
      <c r="H2088" s="395"/>
      <c r="J2088" s="42"/>
    </row>
    <row r="2089" spans="1:10" s="393" customFormat="1" x14ac:dyDescent="0.25">
      <c r="A2089" s="19" t="s">
        <v>40</v>
      </c>
      <c r="B2089" s="2">
        <v>43979</v>
      </c>
      <c r="C2089" s="1">
        <v>0</v>
      </c>
      <c r="D2089" s="39">
        <v>47</v>
      </c>
      <c r="E2089" s="1"/>
      <c r="F2089" s="39">
        <f>E2089+F2065</f>
        <v>3</v>
      </c>
      <c r="G2089" s="395"/>
      <c r="H2089" s="395"/>
      <c r="J2089" s="42"/>
    </row>
    <row r="2090" spans="1:10" s="393" customFormat="1" x14ac:dyDescent="0.25">
      <c r="A2090" s="394" t="s">
        <v>16</v>
      </c>
      <c r="B2090" s="2">
        <v>43980</v>
      </c>
      <c r="C2090" s="1">
        <v>273</v>
      </c>
      <c r="D2090" s="39">
        <v>5342</v>
      </c>
      <c r="E2090" s="1">
        <v>5</v>
      </c>
      <c r="F2090" s="39">
        <f>E2090+F2066</f>
        <v>215</v>
      </c>
      <c r="G2090" s="395"/>
      <c r="H2090" s="395"/>
      <c r="J2090" s="42"/>
    </row>
    <row r="2091" spans="1:10" s="393" customFormat="1" x14ac:dyDescent="0.25">
      <c r="A2091" s="19" t="s">
        <v>28</v>
      </c>
      <c r="B2091" s="2">
        <v>43980</v>
      </c>
      <c r="C2091" s="1">
        <v>0</v>
      </c>
      <c r="D2091" s="39">
        <v>0</v>
      </c>
      <c r="E2091" s="1"/>
      <c r="F2091" s="39">
        <f t="shared" ref="F2091:F2097" si="115">E2091+F2067</f>
        <v>0</v>
      </c>
      <c r="G2091" s="395"/>
      <c r="H2091" s="395"/>
      <c r="J2091" s="42"/>
    </row>
    <row r="2092" spans="1:10" s="393" customFormat="1" x14ac:dyDescent="0.25">
      <c r="A2092" s="19" t="s">
        <v>15</v>
      </c>
      <c r="B2092" s="2">
        <v>43980</v>
      </c>
      <c r="C2092" s="1">
        <v>26</v>
      </c>
      <c r="D2092" s="39">
        <v>850</v>
      </c>
      <c r="E2092" s="1">
        <v>1</v>
      </c>
      <c r="F2092" s="39">
        <f t="shared" si="115"/>
        <v>48</v>
      </c>
      <c r="G2092" s="395"/>
      <c r="H2092" s="395"/>
      <c r="J2092" s="42"/>
    </row>
    <row r="2093" spans="1:10" s="393" customFormat="1" x14ac:dyDescent="0.25">
      <c r="A2093" s="19" t="s">
        <v>29</v>
      </c>
      <c r="B2093" s="2">
        <v>43980</v>
      </c>
      <c r="C2093" s="1">
        <v>0</v>
      </c>
      <c r="D2093" s="39">
        <v>8</v>
      </c>
      <c r="E2093" s="1"/>
      <c r="F2093" s="39">
        <f t="shared" si="115"/>
        <v>1</v>
      </c>
      <c r="G2093" s="395"/>
      <c r="H2093" s="395"/>
      <c r="J2093" s="42"/>
    </row>
    <row r="2094" spans="1:10" s="393" customFormat="1" x14ac:dyDescent="0.25">
      <c r="A2094" s="19" t="s">
        <v>43</v>
      </c>
      <c r="B2094" s="2">
        <v>43980</v>
      </c>
      <c r="C2094" s="1">
        <v>399</v>
      </c>
      <c r="D2094" s="39">
        <v>7388</v>
      </c>
      <c r="E2094" s="1">
        <v>6</v>
      </c>
      <c r="F2094" s="39">
        <f t="shared" si="115"/>
        <v>178</v>
      </c>
      <c r="G2094" s="395"/>
      <c r="H2094" s="395"/>
      <c r="J2094" s="42"/>
    </row>
    <row r="2095" spans="1:10" s="393" customFormat="1" x14ac:dyDescent="0.25">
      <c r="A2095" s="19" t="s">
        <v>20</v>
      </c>
      <c r="B2095" s="2">
        <v>43980</v>
      </c>
      <c r="C2095" s="1">
        <v>0</v>
      </c>
      <c r="D2095" s="39">
        <v>458</v>
      </c>
      <c r="E2095" s="1"/>
      <c r="F2095" s="39">
        <f t="shared" si="115"/>
        <v>27</v>
      </c>
      <c r="G2095" s="395"/>
      <c r="H2095" s="395"/>
      <c r="J2095" s="42"/>
    </row>
    <row r="2096" spans="1:10" s="393" customFormat="1" x14ac:dyDescent="0.25">
      <c r="A2096" s="19" t="s">
        <v>30</v>
      </c>
      <c r="B2096" s="2">
        <v>43980</v>
      </c>
      <c r="C2096" s="1">
        <v>6</v>
      </c>
      <c r="D2096" s="39">
        <v>87</v>
      </c>
      <c r="E2096" s="1"/>
      <c r="F2096" s="39">
        <f t="shared" si="115"/>
        <v>0</v>
      </c>
      <c r="G2096" s="395"/>
      <c r="H2096" s="395"/>
      <c r="J2096" s="42"/>
    </row>
    <row r="2097" spans="1:10" x14ac:dyDescent="0.25">
      <c r="A2097" s="19" t="s">
        <v>31</v>
      </c>
      <c r="B2097" s="2">
        <v>43980</v>
      </c>
      <c r="C2097" s="1">
        <v>0</v>
      </c>
      <c r="D2097" s="39">
        <v>30</v>
      </c>
      <c r="F2097" s="39">
        <f t="shared" si="115"/>
        <v>0</v>
      </c>
    </row>
    <row r="2098" spans="1:10" s="393" customFormat="1" x14ac:dyDescent="0.25">
      <c r="A2098" s="19" t="s">
        <v>41</v>
      </c>
      <c r="B2098" s="2">
        <v>43980</v>
      </c>
      <c r="C2098" s="1">
        <v>0</v>
      </c>
      <c r="D2098" s="39">
        <v>0</v>
      </c>
      <c r="E2098" s="1"/>
      <c r="F2098" s="39">
        <f t="shared" ref="F2098:F2112" si="116">E2098+F2073</f>
        <v>0</v>
      </c>
      <c r="G2098" s="395"/>
      <c r="H2098" s="395"/>
      <c r="J2098" s="42"/>
    </row>
    <row r="2099" spans="1:10" s="393" customFormat="1" x14ac:dyDescent="0.25">
      <c r="A2099" s="19" t="s">
        <v>32</v>
      </c>
      <c r="B2099" s="2">
        <v>43980</v>
      </c>
      <c r="C2099" s="1">
        <v>0</v>
      </c>
      <c r="D2099" s="39">
        <v>6</v>
      </c>
      <c r="E2099" s="1"/>
      <c r="F2099" s="39">
        <f t="shared" si="116"/>
        <v>0</v>
      </c>
      <c r="G2099" s="395"/>
      <c r="H2099" s="395"/>
      <c r="J2099" s="42"/>
    </row>
    <row r="2100" spans="1:10" s="393" customFormat="1" x14ac:dyDescent="0.25">
      <c r="A2100" s="19" t="s">
        <v>33</v>
      </c>
      <c r="B2100" s="2">
        <v>43980</v>
      </c>
      <c r="C2100" s="1">
        <v>0</v>
      </c>
      <c r="D2100" s="39">
        <v>5</v>
      </c>
      <c r="E2100" s="1"/>
      <c r="F2100" s="39">
        <f t="shared" si="116"/>
        <v>0</v>
      </c>
      <c r="G2100" s="395"/>
      <c r="H2100" s="395"/>
      <c r="J2100" s="42"/>
    </row>
    <row r="2101" spans="1:10" s="393" customFormat="1" x14ac:dyDescent="0.25">
      <c r="A2101" s="19" t="s">
        <v>21</v>
      </c>
      <c r="B2101" s="2">
        <v>43980</v>
      </c>
      <c r="C2101" s="1">
        <v>0</v>
      </c>
      <c r="D2101" s="39">
        <v>63</v>
      </c>
      <c r="E2101" s="1"/>
      <c r="F2101" s="39">
        <f t="shared" si="116"/>
        <v>0</v>
      </c>
      <c r="G2101" s="395"/>
      <c r="H2101" s="395"/>
      <c r="J2101" s="42"/>
    </row>
    <row r="2102" spans="1:10" s="393" customFormat="1" x14ac:dyDescent="0.25">
      <c r="A2102" s="19" t="s">
        <v>17</v>
      </c>
      <c r="B2102" s="2">
        <v>43980</v>
      </c>
      <c r="C2102" s="1">
        <v>0</v>
      </c>
      <c r="D2102" s="39">
        <v>89</v>
      </c>
      <c r="E2102" s="1"/>
      <c r="F2102" s="39">
        <f t="shared" si="116"/>
        <v>0</v>
      </c>
      <c r="G2102" s="395"/>
      <c r="H2102" s="395"/>
      <c r="J2102" s="42"/>
    </row>
    <row r="2103" spans="1:10" s="393" customFormat="1" x14ac:dyDescent="0.25">
      <c r="A2103" s="19" t="s">
        <v>23</v>
      </c>
      <c r="B2103" s="2">
        <v>43980</v>
      </c>
      <c r="C2103" s="1">
        <v>0</v>
      </c>
      <c r="D2103" s="39">
        <v>27</v>
      </c>
      <c r="E2103" s="1"/>
      <c r="F2103" s="39">
        <f t="shared" si="116"/>
        <v>0</v>
      </c>
      <c r="G2103" s="395"/>
      <c r="H2103" s="395"/>
      <c r="J2103" s="42"/>
    </row>
    <row r="2104" spans="1:10" s="393" customFormat="1" x14ac:dyDescent="0.25">
      <c r="A2104" s="19" t="s">
        <v>19</v>
      </c>
      <c r="B2104" s="2">
        <v>43980</v>
      </c>
      <c r="C2104" s="1">
        <v>2</v>
      </c>
      <c r="D2104" s="39">
        <v>130</v>
      </c>
      <c r="E2104" s="1"/>
      <c r="F2104" s="39">
        <f t="shared" si="116"/>
        <v>0</v>
      </c>
      <c r="G2104" s="395"/>
      <c r="H2104" s="395"/>
      <c r="J2104" s="42"/>
    </row>
    <row r="2105" spans="1:10" s="393" customFormat="1" x14ac:dyDescent="0.25">
      <c r="A2105" s="19" t="s">
        <v>18</v>
      </c>
      <c r="B2105" s="2">
        <v>43980</v>
      </c>
      <c r="C2105" s="1">
        <v>12</v>
      </c>
      <c r="D2105" s="39">
        <v>387</v>
      </c>
      <c r="E2105" s="1"/>
      <c r="F2105" s="39">
        <f t="shared" si="116"/>
        <v>0</v>
      </c>
      <c r="G2105" s="395"/>
      <c r="H2105" s="395"/>
      <c r="J2105" s="42"/>
    </row>
    <row r="2106" spans="1:10" s="393" customFormat="1" x14ac:dyDescent="0.25">
      <c r="A2106" s="19" t="s">
        <v>34</v>
      </c>
      <c r="B2106" s="2">
        <v>43980</v>
      </c>
      <c r="C2106" s="1">
        <v>0</v>
      </c>
      <c r="D2106" s="39">
        <v>7</v>
      </c>
      <c r="E2106" s="1"/>
      <c r="F2106" s="39">
        <f t="shared" si="116"/>
        <v>0</v>
      </c>
      <c r="G2106" s="395"/>
      <c r="H2106" s="395"/>
      <c r="J2106" s="42"/>
    </row>
    <row r="2107" spans="1:10" s="393" customFormat="1" x14ac:dyDescent="0.25">
      <c r="A2107" s="19" t="s">
        <v>35</v>
      </c>
      <c r="B2107" s="2">
        <v>43980</v>
      </c>
      <c r="C2107" s="1">
        <v>0</v>
      </c>
      <c r="D2107" s="39">
        <v>5</v>
      </c>
      <c r="E2107" s="1"/>
      <c r="F2107" s="39">
        <f>E2107+F2083</f>
        <v>0</v>
      </c>
      <c r="G2107" s="395"/>
      <c r="H2107" s="395"/>
      <c r="J2107" s="42"/>
    </row>
    <row r="2108" spans="1:10" s="393" customFormat="1" x14ac:dyDescent="0.25">
      <c r="A2108" s="19" t="s">
        <v>36</v>
      </c>
      <c r="B2108" s="2">
        <v>43980</v>
      </c>
      <c r="C2108" s="1">
        <v>0</v>
      </c>
      <c r="D2108" s="39">
        <v>11</v>
      </c>
      <c r="E2108" s="1"/>
      <c r="F2108" s="39">
        <f t="shared" si="116"/>
        <v>0</v>
      </c>
      <c r="G2108" s="395"/>
      <c r="H2108" s="395"/>
      <c r="J2108" s="42"/>
    </row>
    <row r="2109" spans="1:10" s="393" customFormat="1" x14ac:dyDescent="0.25">
      <c r="A2109" s="19" t="s">
        <v>37</v>
      </c>
      <c r="B2109" s="2">
        <v>43980</v>
      </c>
      <c r="C2109" s="1">
        <v>0</v>
      </c>
      <c r="D2109" s="39">
        <v>49</v>
      </c>
      <c r="E2109" s="1"/>
      <c r="F2109" s="39">
        <f t="shared" si="116"/>
        <v>0</v>
      </c>
      <c r="G2109" s="395"/>
      <c r="H2109" s="395"/>
      <c r="J2109" s="42"/>
    </row>
    <row r="2110" spans="1:10" s="393" customFormat="1" x14ac:dyDescent="0.25">
      <c r="A2110" s="19" t="s">
        <v>22</v>
      </c>
      <c r="B2110" s="2">
        <v>43980</v>
      </c>
      <c r="C2110" s="1">
        <v>0</v>
      </c>
      <c r="D2110" s="39">
        <v>260</v>
      </c>
      <c r="E2110" s="1"/>
      <c r="F2110" s="39">
        <f>E2110+F2086</f>
        <v>3</v>
      </c>
      <c r="G2110" s="395"/>
      <c r="H2110" s="395"/>
      <c r="J2110" s="42"/>
    </row>
    <row r="2111" spans="1:10" s="393" customFormat="1" x14ac:dyDescent="0.25">
      <c r="A2111" s="19" t="s">
        <v>38</v>
      </c>
      <c r="B2111" s="2">
        <v>43980</v>
      </c>
      <c r="C2111" s="1">
        <v>0</v>
      </c>
      <c r="D2111" s="39">
        <v>22</v>
      </c>
      <c r="E2111" s="1"/>
      <c r="F2111" s="39">
        <f>E2111+F2087</f>
        <v>0</v>
      </c>
      <c r="G2111" s="395"/>
      <c r="H2111" s="395"/>
      <c r="J2111" s="42"/>
    </row>
    <row r="2112" spans="1:10" s="393" customFormat="1" x14ac:dyDescent="0.25">
      <c r="A2112" s="19" t="s">
        <v>39</v>
      </c>
      <c r="B2112" s="2">
        <v>43980</v>
      </c>
      <c r="C2112" s="1">
        <v>0</v>
      </c>
      <c r="D2112" s="39">
        <v>149</v>
      </c>
      <c r="E2112" s="1"/>
      <c r="F2112" s="39">
        <f t="shared" si="116"/>
        <v>0</v>
      </c>
      <c r="G2112" s="395"/>
      <c r="H2112" s="395"/>
      <c r="J2112" s="42"/>
    </row>
    <row r="2113" spans="1:10" s="393" customFormat="1" x14ac:dyDescent="0.25">
      <c r="A2113" s="19" t="s">
        <v>40</v>
      </c>
      <c r="B2113" s="2">
        <v>43980</v>
      </c>
      <c r="C2113" s="1">
        <v>0</v>
      </c>
      <c r="D2113" s="39">
        <v>47</v>
      </c>
      <c r="E2113" s="1"/>
      <c r="F2113" s="39">
        <f>E2113+F2089</f>
        <v>3</v>
      </c>
      <c r="G2113" s="395"/>
      <c r="H2113" s="395"/>
      <c r="J2113" s="42"/>
    </row>
    <row r="2114" spans="1:10" s="393" customFormat="1" x14ac:dyDescent="0.25">
      <c r="A2114" s="394" t="s">
        <v>16</v>
      </c>
      <c r="B2114" s="2">
        <v>43981</v>
      </c>
      <c r="C2114" s="1">
        <v>296</v>
      </c>
      <c r="D2114" s="39">
        <v>5638</v>
      </c>
      <c r="E2114" s="1">
        <v>2</v>
      </c>
      <c r="F2114" s="39">
        <f>E2114+F2090</f>
        <v>217</v>
      </c>
      <c r="G2114" s="395"/>
      <c r="H2114" s="395"/>
      <c r="J2114" s="42"/>
    </row>
    <row r="2115" spans="1:10" s="393" customFormat="1" x14ac:dyDescent="0.25">
      <c r="A2115" s="19" t="s">
        <v>28</v>
      </c>
      <c r="B2115" s="2">
        <v>43981</v>
      </c>
      <c r="C2115" s="1">
        <v>0</v>
      </c>
      <c r="D2115" s="39">
        <v>0</v>
      </c>
      <c r="E2115" s="1"/>
      <c r="F2115" s="39">
        <f t="shared" ref="F2115:F2121" si="117">E2115+F2091</f>
        <v>0</v>
      </c>
      <c r="G2115" s="395"/>
      <c r="H2115" s="395"/>
      <c r="J2115" s="42"/>
    </row>
    <row r="2116" spans="1:10" s="393" customFormat="1" x14ac:dyDescent="0.25">
      <c r="A2116" s="19" t="s">
        <v>15</v>
      </c>
      <c r="B2116" s="2">
        <v>43981</v>
      </c>
      <c r="C2116" s="1">
        <v>24</v>
      </c>
      <c r="D2116" s="39">
        <v>874</v>
      </c>
      <c r="E2116" s="1">
        <v>4</v>
      </c>
      <c r="F2116" s="39">
        <f t="shared" si="117"/>
        <v>52</v>
      </c>
      <c r="G2116" s="395"/>
      <c r="H2116" s="395"/>
      <c r="J2116" s="42"/>
    </row>
    <row r="2117" spans="1:10" s="393" customFormat="1" x14ac:dyDescent="0.25">
      <c r="A2117" s="19" t="s">
        <v>29</v>
      </c>
      <c r="B2117" s="2">
        <v>43981</v>
      </c>
      <c r="C2117" s="1">
        <v>2</v>
      </c>
      <c r="D2117" s="39">
        <v>10</v>
      </c>
      <c r="E2117" s="1"/>
      <c r="F2117" s="39">
        <f t="shared" si="117"/>
        <v>1</v>
      </c>
      <c r="G2117" s="395"/>
      <c r="H2117" s="395"/>
      <c r="J2117" s="42"/>
    </row>
    <row r="2118" spans="1:10" s="393" customFormat="1" x14ac:dyDescent="0.25">
      <c r="A2118" s="19" t="s">
        <v>43</v>
      </c>
      <c r="B2118" s="2">
        <v>43981</v>
      </c>
      <c r="C2118" s="1">
        <v>460</v>
      </c>
      <c r="D2118" s="39">
        <v>7848</v>
      </c>
      <c r="E2118" s="1">
        <v>2</v>
      </c>
      <c r="F2118" s="39">
        <f t="shared" si="117"/>
        <v>180</v>
      </c>
      <c r="G2118" s="395"/>
      <c r="H2118" s="395"/>
      <c r="J2118" s="42"/>
    </row>
    <row r="2119" spans="1:10" s="393" customFormat="1" x14ac:dyDescent="0.25">
      <c r="A2119" s="19" t="s">
        <v>20</v>
      </c>
      <c r="B2119" s="2">
        <v>43981</v>
      </c>
      <c r="C2119" s="1">
        <v>0</v>
      </c>
      <c r="D2119" s="39">
        <v>458</v>
      </c>
      <c r="E2119" s="1"/>
      <c r="F2119" s="39">
        <f t="shared" si="117"/>
        <v>27</v>
      </c>
      <c r="G2119" s="395"/>
      <c r="H2119" s="395"/>
      <c r="J2119" s="42"/>
    </row>
    <row r="2120" spans="1:10" s="393" customFormat="1" x14ac:dyDescent="0.25">
      <c r="A2120" s="19" t="s">
        <v>30</v>
      </c>
      <c r="B2120" s="2">
        <v>43981</v>
      </c>
      <c r="C2120" s="1">
        <v>0</v>
      </c>
      <c r="D2120" s="39">
        <v>87</v>
      </c>
      <c r="E2120" s="1"/>
      <c r="F2120" s="39">
        <f t="shared" si="117"/>
        <v>0</v>
      </c>
      <c r="G2120" s="395"/>
      <c r="H2120" s="395"/>
      <c r="J2120" s="42"/>
    </row>
    <row r="2121" spans="1:10" x14ac:dyDescent="0.25">
      <c r="A2121" s="19" t="s">
        <v>31</v>
      </c>
      <c r="B2121" s="2">
        <v>43981</v>
      </c>
      <c r="C2121" s="1">
        <v>1</v>
      </c>
      <c r="D2121" s="39">
        <v>31</v>
      </c>
      <c r="F2121" s="39">
        <f t="shared" si="117"/>
        <v>0</v>
      </c>
    </row>
    <row r="2122" spans="1:10" s="393" customFormat="1" x14ac:dyDescent="0.25">
      <c r="A2122" s="19" t="s">
        <v>41</v>
      </c>
      <c r="B2122" s="2">
        <v>43981</v>
      </c>
      <c r="C2122" s="1">
        <v>0</v>
      </c>
      <c r="D2122" s="39">
        <v>0</v>
      </c>
      <c r="E2122" s="1"/>
      <c r="F2122" s="39">
        <f t="shared" ref="F2122:F2136" si="118">E2122+F2097</f>
        <v>0</v>
      </c>
      <c r="G2122" s="395"/>
      <c r="H2122" s="395"/>
      <c r="J2122" s="42"/>
    </row>
    <row r="2123" spans="1:10" s="393" customFormat="1" x14ac:dyDescent="0.25">
      <c r="A2123" s="19" t="s">
        <v>32</v>
      </c>
      <c r="B2123" s="2">
        <v>43981</v>
      </c>
      <c r="C2123" s="1">
        <v>0</v>
      </c>
      <c r="D2123" s="39">
        <v>6</v>
      </c>
      <c r="E2123" s="1"/>
      <c r="F2123" s="39">
        <f t="shared" si="118"/>
        <v>0</v>
      </c>
      <c r="G2123" s="395"/>
      <c r="H2123" s="395"/>
      <c r="J2123" s="42"/>
    </row>
    <row r="2124" spans="1:10" s="393" customFormat="1" x14ac:dyDescent="0.25">
      <c r="A2124" s="19" t="s">
        <v>33</v>
      </c>
      <c r="B2124" s="2">
        <v>43981</v>
      </c>
      <c r="C2124" s="1">
        <v>0</v>
      </c>
      <c r="D2124" s="39">
        <v>5</v>
      </c>
      <c r="E2124" s="1"/>
      <c r="F2124" s="39">
        <f t="shared" si="118"/>
        <v>0</v>
      </c>
      <c r="G2124" s="395"/>
      <c r="H2124" s="395"/>
      <c r="J2124" s="42"/>
    </row>
    <row r="2125" spans="1:10" s="393" customFormat="1" x14ac:dyDescent="0.25">
      <c r="A2125" s="19" t="s">
        <v>21</v>
      </c>
      <c r="B2125" s="2">
        <v>43981</v>
      </c>
      <c r="C2125" s="1">
        <v>0</v>
      </c>
      <c r="D2125" s="39">
        <v>63</v>
      </c>
      <c r="E2125" s="1"/>
      <c r="F2125" s="39">
        <f t="shared" si="118"/>
        <v>0</v>
      </c>
      <c r="G2125" s="395"/>
      <c r="H2125" s="395"/>
      <c r="J2125" s="42"/>
    </row>
    <row r="2126" spans="1:10" s="393" customFormat="1" x14ac:dyDescent="0.25">
      <c r="A2126" s="19" t="s">
        <v>17</v>
      </c>
      <c r="B2126" s="2">
        <v>43981</v>
      </c>
      <c r="C2126" s="1">
        <v>3</v>
      </c>
      <c r="D2126" s="39">
        <v>92</v>
      </c>
      <c r="E2126" s="1"/>
      <c r="F2126" s="39">
        <f t="shared" si="118"/>
        <v>0</v>
      </c>
      <c r="G2126" s="395"/>
      <c r="H2126" s="395"/>
      <c r="J2126" s="42"/>
    </row>
    <row r="2127" spans="1:10" s="393" customFormat="1" x14ac:dyDescent="0.25">
      <c r="A2127" s="19" t="s">
        <v>23</v>
      </c>
      <c r="B2127" s="2">
        <v>43981</v>
      </c>
      <c r="C2127" s="1">
        <v>0</v>
      </c>
      <c r="D2127" s="39">
        <v>27</v>
      </c>
      <c r="E2127" s="1"/>
      <c r="F2127" s="39">
        <f t="shared" si="118"/>
        <v>0</v>
      </c>
      <c r="G2127" s="395"/>
      <c r="H2127" s="395"/>
      <c r="J2127" s="42"/>
    </row>
    <row r="2128" spans="1:10" s="393" customFormat="1" x14ac:dyDescent="0.25">
      <c r="A2128" s="19" t="s">
        <v>19</v>
      </c>
      <c r="B2128" s="2">
        <v>43981</v>
      </c>
      <c r="C2128" s="1">
        <v>1</v>
      </c>
      <c r="D2128" s="39">
        <v>131</v>
      </c>
      <c r="E2128" s="1"/>
      <c r="F2128" s="39">
        <f t="shared" si="118"/>
        <v>0</v>
      </c>
      <c r="G2128" s="395"/>
      <c r="H2128" s="395"/>
      <c r="J2128" s="42"/>
    </row>
    <row r="2129" spans="1:10" s="393" customFormat="1" x14ac:dyDescent="0.25">
      <c r="A2129" s="19" t="s">
        <v>18</v>
      </c>
      <c r="B2129" s="2">
        <v>43981</v>
      </c>
      <c r="C2129" s="1">
        <v>5</v>
      </c>
      <c r="D2129" s="39">
        <v>392</v>
      </c>
      <c r="E2129" s="1"/>
      <c r="F2129" s="39">
        <f t="shared" si="118"/>
        <v>0</v>
      </c>
      <c r="G2129" s="395"/>
      <c r="H2129" s="395"/>
      <c r="J2129" s="42"/>
    </row>
    <row r="2130" spans="1:10" s="393" customFormat="1" x14ac:dyDescent="0.25">
      <c r="A2130" s="19" t="s">
        <v>34</v>
      </c>
      <c r="B2130" s="2">
        <v>43981</v>
      </c>
      <c r="C2130" s="1">
        <v>1</v>
      </c>
      <c r="D2130" s="39">
        <v>8</v>
      </c>
      <c r="E2130" s="1"/>
      <c r="F2130" s="39">
        <f t="shared" si="118"/>
        <v>0</v>
      </c>
      <c r="G2130" s="395"/>
      <c r="H2130" s="395"/>
      <c r="J2130" s="42"/>
    </row>
    <row r="2131" spans="1:10" s="393" customFormat="1" x14ac:dyDescent="0.25">
      <c r="A2131" s="19" t="s">
        <v>35</v>
      </c>
      <c r="B2131" s="2">
        <v>43981</v>
      </c>
      <c r="C2131" s="1">
        <v>0</v>
      </c>
      <c r="D2131" s="39">
        <v>5</v>
      </c>
      <c r="E2131" s="1"/>
      <c r="F2131" s="39">
        <f>E2131+F2107</f>
        <v>0</v>
      </c>
      <c r="G2131" s="395"/>
      <c r="H2131" s="395"/>
      <c r="J2131" s="42"/>
    </row>
    <row r="2132" spans="1:10" s="393" customFormat="1" x14ac:dyDescent="0.25">
      <c r="A2132" s="19" t="s">
        <v>36</v>
      </c>
      <c r="B2132" s="2">
        <v>43981</v>
      </c>
      <c r="C2132" s="1">
        <v>0</v>
      </c>
      <c r="D2132" s="39">
        <v>11</v>
      </c>
      <c r="E2132" s="1"/>
      <c r="F2132" s="39">
        <f t="shared" si="118"/>
        <v>0</v>
      </c>
      <c r="G2132" s="395"/>
      <c r="H2132" s="395"/>
      <c r="J2132" s="42"/>
    </row>
    <row r="2133" spans="1:10" s="393" customFormat="1" x14ac:dyDescent="0.25">
      <c r="A2133" s="19" t="s">
        <v>37</v>
      </c>
      <c r="B2133" s="2">
        <v>43981</v>
      </c>
      <c r="C2133" s="1">
        <v>0</v>
      </c>
      <c r="D2133" s="39">
        <v>49</v>
      </c>
      <c r="E2133" s="1"/>
      <c r="F2133" s="39">
        <f t="shared" si="118"/>
        <v>0</v>
      </c>
      <c r="G2133" s="395"/>
      <c r="H2133" s="395"/>
      <c r="J2133" s="42"/>
    </row>
    <row r="2134" spans="1:10" s="393" customFormat="1" x14ac:dyDescent="0.25">
      <c r="A2134" s="19" t="s">
        <v>22</v>
      </c>
      <c r="B2134" s="2">
        <v>43981</v>
      </c>
      <c r="C2134" s="1">
        <v>2</v>
      </c>
      <c r="D2134" s="39">
        <v>262</v>
      </c>
      <c r="E2134" s="1"/>
      <c r="F2134" s="39">
        <f>E2134+F2110</f>
        <v>3</v>
      </c>
      <c r="G2134" s="395"/>
      <c r="H2134" s="395"/>
      <c r="J2134" s="42"/>
    </row>
    <row r="2135" spans="1:10" s="393" customFormat="1" x14ac:dyDescent="0.25">
      <c r="A2135" s="19" t="s">
        <v>38</v>
      </c>
      <c r="B2135" s="2">
        <v>43981</v>
      </c>
      <c r="C2135" s="1">
        <v>0</v>
      </c>
      <c r="D2135" s="39">
        <v>22</v>
      </c>
      <c r="E2135" s="1"/>
      <c r="F2135" s="39">
        <f>E2135+F2111</f>
        <v>0</v>
      </c>
      <c r="G2135" s="395"/>
      <c r="H2135" s="395"/>
      <c r="J2135" s="42"/>
    </row>
    <row r="2136" spans="1:10" s="393" customFormat="1" x14ac:dyDescent="0.25">
      <c r="A2136" s="19" t="s">
        <v>39</v>
      </c>
      <c r="B2136" s="2">
        <v>43981</v>
      </c>
      <c r="C2136" s="1">
        <v>0</v>
      </c>
      <c r="D2136" s="39">
        <v>149</v>
      </c>
      <c r="E2136" s="1"/>
      <c r="F2136" s="39">
        <f t="shared" si="118"/>
        <v>0</v>
      </c>
      <c r="G2136" s="395"/>
      <c r="H2136" s="395"/>
      <c r="J2136" s="42"/>
    </row>
    <row r="2137" spans="1:10" s="393" customFormat="1" x14ac:dyDescent="0.25">
      <c r="A2137" s="19" t="s">
        <v>40</v>
      </c>
      <c r="B2137" s="2">
        <v>43981</v>
      </c>
      <c r="C2137" s="1">
        <v>1</v>
      </c>
      <c r="D2137" s="39">
        <v>48</v>
      </c>
      <c r="E2137" s="1"/>
      <c r="F2137" s="39">
        <f>E2137+F2113</f>
        <v>3</v>
      </c>
      <c r="G2137" s="395"/>
      <c r="H2137" s="395"/>
      <c r="J2137" s="42"/>
    </row>
    <row r="2138" spans="1:10" s="393" customFormat="1" x14ac:dyDescent="0.25">
      <c r="A2138" s="394" t="s">
        <v>16</v>
      </c>
      <c r="B2138" s="2">
        <v>43982</v>
      </c>
      <c r="C2138" s="1">
        <v>254</v>
      </c>
      <c r="D2138" s="39">
        <v>5892</v>
      </c>
      <c r="E2138" s="1">
        <v>6</v>
      </c>
      <c r="F2138" s="39">
        <f>E2138+F2114</f>
        <v>223</v>
      </c>
      <c r="G2138" s="395"/>
      <c r="H2138" s="395"/>
      <c r="J2138" s="42"/>
    </row>
    <row r="2139" spans="1:10" s="393" customFormat="1" x14ac:dyDescent="0.25">
      <c r="A2139" s="19" t="s">
        <v>28</v>
      </c>
      <c r="B2139" s="2">
        <v>43982</v>
      </c>
      <c r="C2139" s="1">
        <v>0</v>
      </c>
      <c r="D2139" s="39">
        <v>0</v>
      </c>
      <c r="E2139" s="1"/>
      <c r="F2139" s="39">
        <f t="shared" ref="F2139:F2145" si="119">E2139+F2115</f>
        <v>0</v>
      </c>
      <c r="G2139" s="395"/>
      <c r="H2139" s="395"/>
      <c r="J2139" s="42"/>
    </row>
    <row r="2140" spans="1:10" s="393" customFormat="1" x14ac:dyDescent="0.25">
      <c r="A2140" s="19" t="s">
        <v>15</v>
      </c>
      <c r="B2140" s="2">
        <v>43982</v>
      </c>
      <c r="C2140" s="1">
        <v>13</v>
      </c>
      <c r="D2140" s="39">
        <v>887</v>
      </c>
      <c r="E2140" s="1"/>
      <c r="F2140" s="39">
        <f t="shared" si="119"/>
        <v>52</v>
      </c>
      <c r="G2140" s="395"/>
      <c r="H2140" s="395"/>
      <c r="J2140" s="42"/>
    </row>
    <row r="2141" spans="1:10" s="393" customFormat="1" x14ac:dyDescent="0.25">
      <c r="A2141" s="19" t="s">
        <v>29</v>
      </c>
      <c r="B2141" s="2">
        <v>43982</v>
      </c>
      <c r="C2141" s="1">
        <v>0</v>
      </c>
      <c r="D2141" s="39">
        <v>10</v>
      </c>
      <c r="E2141" s="1"/>
      <c r="F2141" s="39">
        <f t="shared" si="119"/>
        <v>1</v>
      </c>
      <c r="G2141" s="395"/>
      <c r="H2141" s="395"/>
      <c r="J2141" s="42"/>
    </row>
    <row r="2142" spans="1:10" s="393" customFormat="1" x14ac:dyDescent="0.25">
      <c r="A2142" s="19" t="s">
        <v>43</v>
      </c>
      <c r="B2142" s="2">
        <v>43982</v>
      </c>
      <c r="C2142" s="1">
        <v>358</v>
      </c>
      <c r="D2142" s="39">
        <v>8206</v>
      </c>
      <c r="E2142" s="1">
        <v>5</v>
      </c>
      <c r="F2142" s="39">
        <f t="shared" si="119"/>
        <v>185</v>
      </c>
      <c r="G2142" s="395"/>
      <c r="H2142" s="395"/>
      <c r="J2142" s="42"/>
    </row>
    <row r="2143" spans="1:10" s="393" customFormat="1" x14ac:dyDescent="0.25">
      <c r="A2143" s="19" t="s">
        <v>20</v>
      </c>
      <c r="B2143" s="2">
        <v>43982</v>
      </c>
      <c r="C2143" s="1">
        <v>2</v>
      </c>
      <c r="D2143" s="39">
        <v>460</v>
      </c>
      <c r="E2143" s="1"/>
      <c r="F2143" s="39">
        <f t="shared" si="119"/>
        <v>27</v>
      </c>
      <c r="G2143" s="395"/>
      <c r="H2143" s="395"/>
      <c r="J2143" s="42"/>
    </row>
    <row r="2144" spans="1:10" s="393" customFormat="1" x14ac:dyDescent="0.25">
      <c r="A2144" s="19" t="s">
        <v>30</v>
      </c>
      <c r="B2144" s="2">
        <v>43982</v>
      </c>
      <c r="C2144" s="1">
        <v>1</v>
      </c>
      <c r="D2144" s="39">
        <v>88</v>
      </c>
      <c r="E2144" s="1"/>
      <c r="F2144" s="39">
        <f t="shared" si="119"/>
        <v>0</v>
      </c>
      <c r="G2144" s="395"/>
      <c r="H2144" s="395"/>
      <c r="J2144" s="42"/>
    </row>
    <row r="2145" spans="1:10" x14ac:dyDescent="0.25">
      <c r="A2145" s="19" t="s">
        <v>31</v>
      </c>
      <c r="B2145" s="2">
        <v>43982</v>
      </c>
      <c r="C2145" s="1">
        <v>0</v>
      </c>
      <c r="D2145" s="39">
        <v>31</v>
      </c>
      <c r="F2145" s="39">
        <f t="shared" si="119"/>
        <v>0</v>
      </c>
    </row>
    <row r="2146" spans="1:10" s="393" customFormat="1" x14ac:dyDescent="0.25">
      <c r="A2146" s="19" t="s">
        <v>41</v>
      </c>
      <c r="B2146" s="2">
        <v>43982</v>
      </c>
      <c r="C2146" s="1">
        <v>0</v>
      </c>
      <c r="D2146" s="39">
        <v>0</v>
      </c>
      <c r="E2146" s="1"/>
      <c r="F2146" s="39">
        <f t="shared" ref="F2146:F2160" si="120">E2146+F2121</f>
        <v>0</v>
      </c>
      <c r="G2146" s="395"/>
      <c r="H2146" s="395"/>
      <c r="J2146" s="42"/>
    </row>
    <row r="2147" spans="1:10" s="393" customFormat="1" x14ac:dyDescent="0.25">
      <c r="A2147" s="19" t="s">
        <v>32</v>
      </c>
      <c r="B2147" s="2">
        <v>43982</v>
      </c>
      <c r="C2147" s="1">
        <v>0</v>
      </c>
      <c r="D2147" s="39">
        <v>6</v>
      </c>
      <c r="E2147" s="1"/>
      <c r="F2147" s="39">
        <f t="shared" si="120"/>
        <v>0</v>
      </c>
      <c r="G2147" s="395"/>
      <c r="H2147" s="395"/>
      <c r="J2147" s="42"/>
    </row>
    <row r="2148" spans="1:10" s="393" customFormat="1" x14ac:dyDescent="0.25">
      <c r="A2148" s="19" t="s">
        <v>33</v>
      </c>
      <c r="B2148" s="2">
        <v>43982</v>
      </c>
      <c r="C2148" s="1">
        <v>0</v>
      </c>
      <c r="D2148" s="39">
        <v>5</v>
      </c>
      <c r="E2148" s="1"/>
      <c r="F2148" s="39">
        <f t="shared" si="120"/>
        <v>0</v>
      </c>
      <c r="G2148" s="395"/>
      <c r="H2148" s="395"/>
      <c r="J2148" s="42"/>
    </row>
    <row r="2149" spans="1:10" s="393" customFormat="1" x14ac:dyDescent="0.25">
      <c r="A2149" s="19" t="s">
        <v>21</v>
      </c>
      <c r="B2149" s="2">
        <v>43982</v>
      </c>
      <c r="C2149" s="1">
        <v>0</v>
      </c>
      <c r="D2149" s="39">
        <v>63</v>
      </c>
      <c r="E2149" s="1"/>
      <c r="F2149" s="39">
        <f t="shared" si="120"/>
        <v>0</v>
      </c>
      <c r="G2149" s="395"/>
      <c r="H2149" s="395"/>
      <c r="J2149" s="42"/>
    </row>
    <row r="2150" spans="1:10" s="393" customFormat="1" x14ac:dyDescent="0.25">
      <c r="A2150" s="19" t="s">
        <v>17</v>
      </c>
      <c r="B2150" s="2">
        <v>43982</v>
      </c>
      <c r="C2150" s="1">
        <v>0</v>
      </c>
      <c r="D2150" s="39">
        <v>92</v>
      </c>
      <c r="E2150" s="1"/>
      <c r="F2150" s="39">
        <f t="shared" si="120"/>
        <v>0</v>
      </c>
      <c r="G2150" s="395"/>
      <c r="H2150" s="395"/>
      <c r="J2150" s="42"/>
    </row>
    <row r="2151" spans="1:10" s="393" customFormat="1" x14ac:dyDescent="0.25">
      <c r="A2151" s="19" t="s">
        <v>23</v>
      </c>
      <c r="B2151" s="2">
        <v>43982</v>
      </c>
      <c r="C2151" s="1">
        <v>1</v>
      </c>
      <c r="D2151" s="39">
        <v>28</v>
      </c>
      <c r="E2151" s="1"/>
      <c r="F2151" s="39">
        <f t="shared" si="120"/>
        <v>0</v>
      </c>
      <c r="G2151" s="395"/>
      <c r="H2151" s="395"/>
      <c r="J2151" s="42"/>
    </row>
    <row r="2152" spans="1:10" s="393" customFormat="1" x14ac:dyDescent="0.25">
      <c r="A2152" s="19" t="s">
        <v>19</v>
      </c>
      <c r="B2152" s="2">
        <v>43982</v>
      </c>
      <c r="C2152" s="1">
        <v>3</v>
      </c>
      <c r="D2152" s="39">
        <v>134</v>
      </c>
      <c r="E2152" s="1"/>
      <c r="F2152" s="39">
        <f t="shared" si="120"/>
        <v>0</v>
      </c>
      <c r="G2152" s="395"/>
      <c r="H2152" s="395"/>
      <c r="J2152" s="42"/>
    </row>
    <row r="2153" spans="1:10" s="393" customFormat="1" x14ac:dyDescent="0.25">
      <c r="A2153" s="19" t="s">
        <v>18</v>
      </c>
      <c r="B2153" s="2">
        <v>43982</v>
      </c>
      <c r="C2153" s="1">
        <v>4</v>
      </c>
      <c r="D2153" s="39">
        <v>396</v>
      </c>
      <c r="E2153" s="1"/>
      <c r="F2153" s="39">
        <f t="shared" si="120"/>
        <v>0</v>
      </c>
      <c r="G2153" s="395"/>
      <c r="H2153" s="395"/>
      <c r="J2153" s="42"/>
    </row>
    <row r="2154" spans="1:10" s="393" customFormat="1" x14ac:dyDescent="0.25">
      <c r="A2154" s="19" t="s">
        <v>34</v>
      </c>
      <c r="B2154" s="2">
        <v>43982</v>
      </c>
      <c r="C2154" s="1">
        <v>0</v>
      </c>
      <c r="D2154" s="39">
        <v>8</v>
      </c>
      <c r="E2154" s="1"/>
      <c r="F2154" s="39">
        <f t="shared" si="120"/>
        <v>0</v>
      </c>
      <c r="G2154" s="395"/>
      <c r="H2154" s="395"/>
      <c r="J2154" s="42"/>
    </row>
    <row r="2155" spans="1:10" s="393" customFormat="1" x14ac:dyDescent="0.25">
      <c r="A2155" s="19" t="s">
        <v>35</v>
      </c>
      <c r="B2155" s="2">
        <v>43982</v>
      </c>
      <c r="C2155" s="1">
        <v>0</v>
      </c>
      <c r="D2155" s="39">
        <v>5</v>
      </c>
      <c r="E2155" s="1"/>
      <c r="F2155" s="39">
        <f>E2155+F2131</f>
        <v>0</v>
      </c>
      <c r="G2155" s="395"/>
      <c r="H2155" s="395"/>
      <c r="J2155" s="42"/>
    </row>
    <row r="2156" spans="1:10" s="393" customFormat="1" x14ac:dyDescent="0.25">
      <c r="A2156" s="19" t="s">
        <v>36</v>
      </c>
      <c r="B2156" s="2">
        <v>43982</v>
      </c>
      <c r="C2156" s="1">
        <v>0</v>
      </c>
      <c r="D2156" s="39">
        <v>11</v>
      </c>
      <c r="E2156" s="1"/>
      <c r="F2156" s="39">
        <f t="shared" si="120"/>
        <v>0</v>
      </c>
      <c r="G2156" s="395"/>
      <c r="H2156" s="395"/>
      <c r="J2156" s="42"/>
    </row>
    <row r="2157" spans="1:10" s="393" customFormat="1" x14ac:dyDescent="0.25">
      <c r="A2157" s="19" t="s">
        <v>37</v>
      </c>
      <c r="B2157" s="2">
        <v>43982</v>
      </c>
      <c r="C2157" s="1">
        <v>1</v>
      </c>
      <c r="D2157" s="39">
        <v>50</v>
      </c>
      <c r="E2157" s="1"/>
      <c r="F2157" s="39">
        <f t="shared" si="120"/>
        <v>0</v>
      </c>
      <c r="G2157" s="395"/>
      <c r="H2157" s="395"/>
      <c r="J2157" s="42"/>
    </row>
    <row r="2158" spans="1:10" s="393" customFormat="1" x14ac:dyDescent="0.25">
      <c r="A2158" s="19" t="s">
        <v>22</v>
      </c>
      <c r="B2158" s="2">
        <v>43982</v>
      </c>
      <c r="C2158" s="1">
        <v>0</v>
      </c>
      <c r="D2158" s="39">
        <v>262</v>
      </c>
      <c r="E2158" s="1"/>
      <c r="F2158" s="39">
        <f>E2158+F2134</f>
        <v>3</v>
      </c>
      <c r="G2158" s="395"/>
      <c r="H2158" s="395"/>
      <c r="J2158" s="42"/>
    </row>
    <row r="2159" spans="1:10" s="393" customFormat="1" x14ac:dyDescent="0.25">
      <c r="A2159" s="19" t="s">
        <v>38</v>
      </c>
      <c r="B2159" s="2">
        <v>43982</v>
      </c>
      <c r="C2159" s="1">
        <v>0</v>
      </c>
      <c r="D2159" s="39">
        <v>22</v>
      </c>
      <c r="E2159" s="1"/>
      <c r="F2159" s="39">
        <f>E2159+F2135</f>
        <v>0</v>
      </c>
      <c r="G2159" s="395"/>
      <c r="H2159" s="395"/>
      <c r="J2159" s="42"/>
    </row>
    <row r="2160" spans="1:10" s="393" customFormat="1" x14ac:dyDescent="0.25">
      <c r="A2160" s="19" t="s">
        <v>39</v>
      </c>
      <c r="B2160" s="2">
        <v>43982</v>
      </c>
      <c r="C2160" s="1">
        <v>0</v>
      </c>
      <c r="D2160" s="39">
        <v>149</v>
      </c>
      <c r="E2160" s="1"/>
      <c r="F2160" s="39">
        <f t="shared" si="120"/>
        <v>0</v>
      </c>
      <c r="G2160" s="395"/>
      <c r="H2160" s="395"/>
      <c r="J2160" s="42"/>
    </row>
    <row r="2161" spans="1:10" s="393" customFormat="1" x14ac:dyDescent="0.25">
      <c r="A2161" s="19" t="s">
        <v>40</v>
      </c>
      <c r="B2161" s="2">
        <v>43982</v>
      </c>
      <c r="C2161" s="1">
        <v>0</v>
      </c>
      <c r="D2161" s="39">
        <v>48</v>
      </c>
      <c r="E2161" s="1"/>
      <c r="F2161" s="39">
        <f>E2161+F2137</f>
        <v>3</v>
      </c>
      <c r="G2161" s="395"/>
      <c r="H2161" s="395"/>
      <c r="J2161" s="42"/>
    </row>
    <row r="2162" spans="1:10" s="393" customFormat="1" x14ac:dyDescent="0.25">
      <c r="A2162" s="394" t="s">
        <v>16</v>
      </c>
      <c r="B2162" s="2">
        <v>43983</v>
      </c>
      <c r="C2162" s="1">
        <v>252</v>
      </c>
      <c r="D2162" s="39">
        <v>6144</v>
      </c>
      <c r="E2162" s="1">
        <v>5</v>
      </c>
      <c r="F2162" s="39">
        <f>E2162+F2138</f>
        <v>228</v>
      </c>
      <c r="G2162" s="395"/>
      <c r="H2162" s="395"/>
      <c r="J2162" s="42"/>
    </row>
    <row r="2163" spans="1:10" s="393" customFormat="1" x14ac:dyDescent="0.25">
      <c r="A2163" s="19" t="s">
        <v>28</v>
      </c>
      <c r="B2163" s="2">
        <v>43983</v>
      </c>
      <c r="C2163" s="1">
        <v>0</v>
      </c>
      <c r="D2163" s="39">
        <v>0</v>
      </c>
      <c r="E2163" s="1"/>
      <c r="F2163" s="39">
        <f t="shared" ref="F2163:F2169" si="121">E2163+F2139</f>
        <v>0</v>
      </c>
      <c r="G2163" s="395"/>
      <c r="H2163" s="395"/>
      <c r="J2163" s="42"/>
    </row>
    <row r="2164" spans="1:10" s="393" customFormat="1" x14ac:dyDescent="0.25">
      <c r="A2164" s="19" t="s">
        <v>15</v>
      </c>
      <c r="B2164" s="2">
        <v>43983</v>
      </c>
      <c r="C2164" s="1">
        <v>3</v>
      </c>
      <c r="D2164" s="39">
        <v>890</v>
      </c>
      <c r="E2164" s="1">
        <v>3</v>
      </c>
      <c r="F2164" s="39">
        <f t="shared" si="121"/>
        <v>55</v>
      </c>
      <c r="G2164" s="395"/>
      <c r="H2164" s="395"/>
      <c r="J2164" s="42"/>
    </row>
    <row r="2165" spans="1:10" s="393" customFormat="1" x14ac:dyDescent="0.25">
      <c r="A2165" s="19" t="s">
        <v>29</v>
      </c>
      <c r="B2165" s="2">
        <v>43983</v>
      </c>
      <c r="C2165" s="1">
        <v>0</v>
      </c>
      <c r="D2165" s="39">
        <v>10</v>
      </c>
      <c r="E2165" s="1"/>
      <c r="F2165" s="39">
        <f t="shared" si="121"/>
        <v>1</v>
      </c>
      <c r="G2165" s="395"/>
      <c r="H2165" s="395"/>
      <c r="J2165" s="42"/>
    </row>
    <row r="2166" spans="1:10" s="393" customFormat="1" x14ac:dyDescent="0.25">
      <c r="A2166" s="19" t="s">
        <v>43</v>
      </c>
      <c r="B2166" s="2">
        <v>43983</v>
      </c>
      <c r="C2166" s="1">
        <v>274</v>
      </c>
      <c r="D2166" s="39">
        <v>8480</v>
      </c>
      <c r="E2166" s="1">
        <v>8</v>
      </c>
      <c r="F2166" s="39">
        <f t="shared" si="121"/>
        <v>193</v>
      </c>
      <c r="G2166" s="395"/>
      <c r="H2166" s="395"/>
      <c r="J2166" s="42"/>
    </row>
    <row r="2167" spans="1:10" s="393" customFormat="1" x14ac:dyDescent="0.25">
      <c r="A2167" s="19" t="s">
        <v>20</v>
      </c>
      <c r="B2167" s="2">
        <v>43983</v>
      </c>
      <c r="C2167" s="1">
        <v>0</v>
      </c>
      <c r="D2167" s="39">
        <v>460</v>
      </c>
      <c r="E2167" s="1">
        <v>1</v>
      </c>
      <c r="F2167" s="39">
        <f t="shared" si="121"/>
        <v>28</v>
      </c>
      <c r="G2167" s="395"/>
      <c r="H2167" s="395"/>
      <c r="J2167" s="42"/>
    </row>
    <row r="2168" spans="1:10" s="393" customFormat="1" x14ac:dyDescent="0.25">
      <c r="A2168" s="19" t="s">
        <v>30</v>
      </c>
      <c r="B2168" s="2">
        <v>43983</v>
      </c>
      <c r="C2168" s="1">
        <v>6</v>
      </c>
      <c r="D2168" s="39">
        <v>94</v>
      </c>
      <c r="E2168" s="1"/>
      <c r="F2168" s="39">
        <f t="shared" si="121"/>
        <v>0</v>
      </c>
      <c r="G2168" s="395"/>
      <c r="H2168" s="395"/>
      <c r="J2168" s="42"/>
    </row>
    <row r="2169" spans="1:10" x14ac:dyDescent="0.25">
      <c r="A2169" s="19" t="s">
        <v>31</v>
      </c>
      <c r="B2169" s="2">
        <v>43983</v>
      </c>
      <c r="C2169" s="1">
        <v>0</v>
      </c>
      <c r="D2169" s="39">
        <v>31</v>
      </c>
      <c r="F2169" s="39">
        <f t="shared" si="121"/>
        <v>0</v>
      </c>
    </row>
    <row r="2170" spans="1:10" s="393" customFormat="1" x14ac:dyDescent="0.25">
      <c r="A2170" s="19" t="s">
        <v>41</v>
      </c>
      <c r="B2170" s="2">
        <v>43983</v>
      </c>
      <c r="C2170" s="1">
        <v>0</v>
      </c>
      <c r="D2170" s="39">
        <v>0</v>
      </c>
      <c r="E2170" s="1"/>
      <c r="F2170" s="39">
        <f t="shared" ref="F2170:F2184" si="122">E2170+F2145</f>
        <v>0</v>
      </c>
      <c r="G2170" s="395"/>
      <c r="H2170" s="395"/>
      <c r="J2170" s="42"/>
    </row>
    <row r="2171" spans="1:10" s="393" customFormat="1" x14ac:dyDescent="0.25">
      <c r="A2171" s="19" t="s">
        <v>32</v>
      </c>
      <c r="B2171" s="2">
        <v>43983</v>
      </c>
      <c r="C2171" s="1">
        <v>0</v>
      </c>
      <c r="D2171" s="39">
        <v>6</v>
      </c>
      <c r="E2171" s="1"/>
      <c r="F2171" s="39">
        <f t="shared" si="122"/>
        <v>0</v>
      </c>
      <c r="G2171" s="395"/>
      <c r="H2171" s="395"/>
      <c r="J2171" s="42"/>
    </row>
    <row r="2172" spans="1:10" s="393" customFormat="1" x14ac:dyDescent="0.25">
      <c r="A2172" s="19" t="s">
        <v>33</v>
      </c>
      <c r="B2172" s="2">
        <v>43983</v>
      </c>
      <c r="C2172" s="1">
        <v>0</v>
      </c>
      <c r="D2172" s="39">
        <v>5</v>
      </c>
      <c r="E2172" s="1"/>
      <c r="F2172" s="39">
        <f t="shared" si="122"/>
        <v>0</v>
      </c>
      <c r="G2172" s="395"/>
      <c r="H2172" s="395"/>
      <c r="J2172" s="42"/>
    </row>
    <row r="2173" spans="1:10" s="393" customFormat="1" x14ac:dyDescent="0.25">
      <c r="A2173" s="19" t="s">
        <v>21</v>
      </c>
      <c r="B2173" s="2">
        <v>43983</v>
      </c>
      <c r="C2173" s="1">
        <v>0</v>
      </c>
      <c r="D2173" s="39">
        <v>63</v>
      </c>
      <c r="E2173" s="1"/>
      <c r="F2173" s="39">
        <f t="shared" si="122"/>
        <v>0</v>
      </c>
      <c r="G2173" s="395"/>
      <c r="H2173" s="395"/>
      <c r="J2173" s="42"/>
    </row>
    <row r="2174" spans="1:10" s="393" customFormat="1" x14ac:dyDescent="0.25">
      <c r="A2174" s="19" t="s">
        <v>17</v>
      </c>
      <c r="B2174" s="2">
        <v>43983</v>
      </c>
      <c r="C2174" s="1">
        <v>8</v>
      </c>
      <c r="D2174" s="39">
        <v>100</v>
      </c>
      <c r="E2174" s="1"/>
      <c r="F2174" s="39">
        <f t="shared" si="122"/>
        <v>0</v>
      </c>
      <c r="G2174" s="395"/>
      <c r="H2174" s="395"/>
      <c r="J2174" s="42"/>
    </row>
    <row r="2175" spans="1:10" s="393" customFormat="1" x14ac:dyDescent="0.25">
      <c r="A2175" s="19" t="s">
        <v>23</v>
      </c>
      <c r="B2175" s="2">
        <v>43983</v>
      </c>
      <c r="C2175" s="1">
        <v>0</v>
      </c>
      <c r="D2175" s="39">
        <v>28</v>
      </c>
      <c r="E2175" s="1"/>
      <c r="F2175" s="39">
        <f t="shared" si="122"/>
        <v>0</v>
      </c>
      <c r="G2175" s="395"/>
      <c r="H2175" s="395"/>
      <c r="J2175" s="42"/>
    </row>
    <row r="2176" spans="1:10" s="393" customFormat="1" x14ac:dyDescent="0.25">
      <c r="A2176" s="19" t="s">
        <v>19</v>
      </c>
      <c r="B2176" s="2">
        <v>43983</v>
      </c>
      <c r="C2176" s="1">
        <v>3</v>
      </c>
      <c r="D2176" s="39">
        <v>137</v>
      </c>
      <c r="E2176" s="1"/>
      <c r="F2176" s="39">
        <f t="shared" si="122"/>
        <v>0</v>
      </c>
      <c r="G2176" s="395"/>
      <c r="H2176" s="395"/>
      <c r="J2176" s="42"/>
    </row>
    <row r="2177" spans="1:10" s="393" customFormat="1" x14ac:dyDescent="0.25">
      <c r="A2177" s="19" t="s">
        <v>18</v>
      </c>
      <c r="B2177" s="2">
        <v>43983</v>
      </c>
      <c r="C2177" s="1">
        <v>11</v>
      </c>
      <c r="D2177" s="39">
        <v>407</v>
      </c>
      <c r="E2177" s="1"/>
      <c r="F2177" s="39">
        <f t="shared" si="122"/>
        <v>0</v>
      </c>
      <c r="G2177" s="395"/>
      <c r="H2177" s="395"/>
      <c r="J2177" s="42"/>
    </row>
    <row r="2178" spans="1:10" s="393" customFormat="1" x14ac:dyDescent="0.25">
      <c r="A2178" s="19" t="s">
        <v>34</v>
      </c>
      <c r="B2178" s="2">
        <v>43983</v>
      </c>
      <c r="C2178" s="1">
        <v>3</v>
      </c>
      <c r="D2178" s="39">
        <v>11</v>
      </c>
      <c r="E2178" s="1"/>
      <c r="F2178" s="39">
        <f t="shared" si="122"/>
        <v>0</v>
      </c>
      <c r="G2178" s="395"/>
      <c r="H2178" s="395"/>
      <c r="J2178" s="42"/>
    </row>
    <row r="2179" spans="1:10" s="393" customFormat="1" x14ac:dyDescent="0.25">
      <c r="A2179" s="19" t="s">
        <v>35</v>
      </c>
      <c r="B2179" s="2">
        <v>43983</v>
      </c>
      <c r="C2179" s="1">
        <v>0</v>
      </c>
      <c r="D2179" s="39">
        <v>5</v>
      </c>
      <c r="E2179" s="1"/>
      <c r="F2179" s="39">
        <f>E2179+F2155</f>
        <v>0</v>
      </c>
      <c r="G2179" s="395"/>
      <c r="H2179" s="395"/>
      <c r="J2179" s="42"/>
    </row>
    <row r="2180" spans="1:10" s="393" customFormat="1" x14ac:dyDescent="0.25">
      <c r="A2180" s="19" t="s">
        <v>36</v>
      </c>
      <c r="B2180" s="2">
        <v>43983</v>
      </c>
      <c r="C2180" s="1">
        <v>0</v>
      </c>
      <c r="D2180" s="39">
        <v>11</v>
      </c>
      <c r="E2180" s="1"/>
      <c r="F2180" s="39">
        <f t="shared" si="122"/>
        <v>0</v>
      </c>
      <c r="G2180" s="395"/>
      <c r="H2180" s="395"/>
      <c r="J2180" s="42"/>
    </row>
    <row r="2181" spans="1:10" s="393" customFormat="1" x14ac:dyDescent="0.25">
      <c r="A2181" s="19" t="s">
        <v>37</v>
      </c>
      <c r="B2181" s="2">
        <v>43983</v>
      </c>
      <c r="C2181" s="1">
        <v>1</v>
      </c>
      <c r="D2181" s="39">
        <v>51</v>
      </c>
      <c r="E2181" s="1"/>
      <c r="F2181" s="39">
        <f t="shared" si="122"/>
        <v>0</v>
      </c>
      <c r="G2181" s="395"/>
      <c r="H2181" s="395"/>
      <c r="J2181" s="42"/>
    </row>
    <row r="2182" spans="1:10" s="393" customFormat="1" x14ac:dyDescent="0.25">
      <c r="A2182" s="19" t="s">
        <v>22</v>
      </c>
      <c r="B2182" s="2">
        <v>43983</v>
      </c>
      <c r="C2182" s="1">
        <v>3</v>
      </c>
      <c r="D2182" s="39">
        <v>265</v>
      </c>
      <c r="E2182" s="1"/>
      <c r="F2182" s="39">
        <f>E2182+F2158</f>
        <v>3</v>
      </c>
      <c r="G2182" s="395"/>
      <c r="H2182" s="395"/>
      <c r="J2182" s="42"/>
    </row>
    <row r="2183" spans="1:10" s="393" customFormat="1" x14ac:dyDescent="0.25">
      <c r="A2183" s="19" t="s">
        <v>38</v>
      </c>
      <c r="B2183" s="2">
        <v>43983</v>
      </c>
      <c r="C2183" s="1">
        <v>0</v>
      </c>
      <c r="D2183" s="39">
        <v>22</v>
      </c>
      <c r="E2183" s="1"/>
      <c r="F2183" s="39">
        <f>E2183+F2159</f>
        <v>0</v>
      </c>
      <c r="G2183" s="395"/>
      <c r="H2183" s="395"/>
      <c r="J2183" s="42"/>
    </row>
    <row r="2184" spans="1:10" s="393" customFormat="1" x14ac:dyDescent="0.25">
      <c r="A2184" s="19" t="s">
        <v>39</v>
      </c>
      <c r="B2184" s="2">
        <v>43983</v>
      </c>
      <c r="C2184" s="1">
        <v>0</v>
      </c>
      <c r="D2184" s="39">
        <v>149</v>
      </c>
      <c r="E2184" s="1"/>
      <c r="F2184" s="39">
        <f t="shared" si="122"/>
        <v>0</v>
      </c>
      <c r="G2184" s="395"/>
      <c r="H2184" s="395"/>
      <c r="J2184" s="42"/>
    </row>
    <row r="2185" spans="1:10" s="393" customFormat="1" x14ac:dyDescent="0.25">
      <c r="A2185" s="19" t="s">
        <v>40</v>
      </c>
      <c r="B2185" s="2">
        <v>43983</v>
      </c>
      <c r="C2185" s="1">
        <v>0</v>
      </c>
      <c r="D2185" s="39">
        <v>48</v>
      </c>
      <c r="E2185" s="1"/>
      <c r="F2185" s="39">
        <f>E2185+F2161</f>
        <v>3</v>
      </c>
      <c r="G2185" s="395"/>
      <c r="H2185" s="395"/>
      <c r="J2185" s="42"/>
    </row>
    <row r="2186" spans="1:10" s="393" customFormat="1" x14ac:dyDescent="0.25">
      <c r="A2186" s="394" t="s">
        <v>16</v>
      </c>
      <c r="B2186" s="2">
        <v>43984</v>
      </c>
      <c r="C2186" s="1">
        <v>488</v>
      </c>
      <c r="D2186" s="39">
        <v>6632</v>
      </c>
      <c r="E2186" s="1">
        <v>8</v>
      </c>
      <c r="F2186" s="39">
        <f>E2186+F2162</f>
        <v>236</v>
      </c>
      <c r="G2186" s="395"/>
      <c r="H2186" s="395"/>
      <c r="J2186" s="42"/>
    </row>
    <row r="2187" spans="1:10" s="393" customFormat="1" x14ac:dyDescent="0.25">
      <c r="A2187" s="19" t="s">
        <v>28</v>
      </c>
      <c r="B2187" s="2">
        <v>43984</v>
      </c>
      <c r="C2187" s="1">
        <v>0</v>
      </c>
      <c r="D2187" s="39">
        <v>0</v>
      </c>
      <c r="E2187" s="1"/>
      <c r="F2187" s="39">
        <f t="shared" ref="F2187:F2193" si="123">E2187+F2163</f>
        <v>0</v>
      </c>
      <c r="G2187" s="395"/>
      <c r="H2187" s="395"/>
      <c r="J2187" s="42"/>
    </row>
    <row r="2188" spans="1:10" s="393" customFormat="1" x14ac:dyDescent="0.25">
      <c r="A2188" s="19" t="s">
        <v>15</v>
      </c>
      <c r="B2188" s="2">
        <v>43984</v>
      </c>
      <c r="C2188" s="1">
        <v>30</v>
      </c>
      <c r="D2188" s="39">
        <v>920</v>
      </c>
      <c r="E2188" s="1">
        <v>2</v>
      </c>
      <c r="F2188" s="39">
        <f t="shared" si="123"/>
        <v>57</v>
      </c>
      <c r="G2188" s="395"/>
      <c r="H2188" s="395"/>
      <c r="J2188" s="42"/>
    </row>
    <row r="2189" spans="1:10" s="393" customFormat="1" x14ac:dyDescent="0.25">
      <c r="A2189" s="19" t="s">
        <v>29</v>
      </c>
      <c r="B2189" s="2">
        <v>43984</v>
      </c>
      <c r="C2189" s="1">
        <v>0</v>
      </c>
      <c r="D2189" s="39">
        <v>10</v>
      </c>
      <c r="E2189" s="1"/>
      <c r="F2189" s="39">
        <f t="shared" si="123"/>
        <v>1</v>
      </c>
      <c r="G2189" s="395"/>
      <c r="H2189" s="395"/>
      <c r="J2189" s="42"/>
    </row>
    <row r="2190" spans="1:10" s="393" customFormat="1" x14ac:dyDescent="0.25">
      <c r="A2190" s="19" t="s">
        <v>43</v>
      </c>
      <c r="B2190" s="2">
        <v>43984</v>
      </c>
      <c r="C2190" s="1">
        <v>371</v>
      </c>
      <c r="D2190" s="39">
        <v>8851</v>
      </c>
      <c r="E2190" s="1">
        <v>3</v>
      </c>
      <c r="F2190" s="39">
        <f t="shared" si="123"/>
        <v>196</v>
      </c>
      <c r="G2190" s="395"/>
      <c r="H2190" s="395"/>
      <c r="J2190" s="42"/>
    </row>
    <row r="2191" spans="1:10" s="393" customFormat="1" x14ac:dyDescent="0.25">
      <c r="A2191" s="19" t="s">
        <v>20</v>
      </c>
      <c r="B2191" s="2">
        <v>43984</v>
      </c>
      <c r="C2191" s="1">
        <v>1</v>
      </c>
      <c r="D2191" s="39">
        <v>461</v>
      </c>
      <c r="E2191" s="1"/>
      <c r="F2191" s="39">
        <f t="shared" si="123"/>
        <v>28</v>
      </c>
      <c r="G2191" s="395"/>
      <c r="H2191" s="395"/>
      <c r="J2191" s="42"/>
    </row>
    <row r="2192" spans="1:10" s="393" customFormat="1" x14ac:dyDescent="0.25">
      <c r="A2192" s="19" t="s">
        <v>30</v>
      </c>
      <c r="B2192" s="2">
        <v>43984</v>
      </c>
      <c r="C2192" s="1">
        <v>2</v>
      </c>
      <c r="D2192" s="39">
        <v>96</v>
      </c>
      <c r="E2192" s="1"/>
      <c r="F2192" s="39">
        <f t="shared" si="123"/>
        <v>0</v>
      </c>
      <c r="G2192" s="395"/>
      <c r="H2192" s="395"/>
      <c r="J2192" s="42"/>
    </row>
    <row r="2193" spans="1:10" x14ac:dyDescent="0.25">
      <c r="A2193" s="19" t="s">
        <v>31</v>
      </c>
      <c r="B2193" s="2">
        <v>43984</v>
      </c>
      <c r="C2193" s="1">
        <v>2</v>
      </c>
      <c r="D2193" s="39">
        <v>33</v>
      </c>
      <c r="F2193" s="39">
        <f t="shared" si="123"/>
        <v>0</v>
      </c>
    </row>
    <row r="2194" spans="1:10" s="393" customFormat="1" x14ac:dyDescent="0.25">
      <c r="A2194" s="19" t="s">
        <v>41</v>
      </c>
      <c r="B2194" s="2">
        <v>43984</v>
      </c>
      <c r="C2194" s="1">
        <v>0</v>
      </c>
      <c r="D2194" s="39">
        <v>0</v>
      </c>
      <c r="E2194" s="1"/>
      <c r="F2194" s="39">
        <f t="shared" ref="F2194:F2208" si="124">E2194+F2169</f>
        <v>0</v>
      </c>
      <c r="G2194" s="395"/>
      <c r="H2194" s="395"/>
      <c r="J2194" s="42"/>
    </row>
    <row r="2195" spans="1:10" s="393" customFormat="1" x14ac:dyDescent="0.25">
      <c r="A2195" s="19" t="s">
        <v>32</v>
      </c>
      <c r="B2195" s="2">
        <v>43984</v>
      </c>
      <c r="C2195" s="1">
        <v>0</v>
      </c>
      <c r="D2195" s="39">
        <v>6</v>
      </c>
      <c r="E2195" s="1"/>
      <c r="F2195" s="39">
        <f t="shared" si="124"/>
        <v>0</v>
      </c>
      <c r="G2195" s="395"/>
      <c r="H2195" s="395"/>
      <c r="J2195" s="42"/>
    </row>
    <row r="2196" spans="1:10" s="393" customFormat="1" x14ac:dyDescent="0.25">
      <c r="A2196" s="19" t="s">
        <v>33</v>
      </c>
      <c r="B2196" s="2">
        <v>43984</v>
      </c>
      <c r="C2196" s="1">
        <v>0</v>
      </c>
      <c r="D2196" s="39">
        <v>5</v>
      </c>
      <c r="E2196" s="1"/>
      <c r="F2196" s="39">
        <f t="shared" si="124"/>
        <v>0</v>
      </c>
      <c r="G2196" s="395"/>
      <c r="H2196" s="395"/>
      <c r="J2196" s="42"/>
    </row>
    <row r="2197" spans="1:10" s="393" customFormat="1" x14ac:dyDescent="0.25">
      <c r="A2197" s="19" t="s">
        <v>21</v>
      </c>
      <c r="B2197" s="2">
        <v>43984</v>
      </c>
      <c r="C2197" s="1">
        <v>0</v>
      </c>
      <c r="D2197" s="39">
        <v>63</v>
      </c>
      <c r="E2197" s="1"/>
      <c r="F2197" s="39">
        <f t="shared" si="124"/>
        <v>0</v>
      </c>
      <c r="G2197" s="395"/>
      <c r="H2197" s="395"/>
      <c r="J2197" s="42"/>
    </row>
    <row r="2198" spans="1:10" s="393" customFormat="1" x14ac:dyDescent="0.25">
      <c r="A2198" s="19" t="s">
        <v>17</v>
      </c>
      <c r="B2198" s="2">
        <v>43984</v>
      </c>
      <c r="C2198" s="1">
        <v>0</v>
      </c>
      <c r="D2198" s="39">
        <v>100</v>
      </c>
      <c r="E2198" s="1"/>
      <c r="F2198" s="39">
        <f t="shared" si="124"/>
        <v>0</v>
      </c>
      <c r="G2198" s="395"/>
      <c r="H2198" s="395"/>
      <c r="J2198" s="42"/>
    </row>
    <row r="2199" spans="1:10" s="393" customFormat="1" x14ac:dyDescent="0.25">
      <c r="A2199" s="19" t="s">
        <v>23</v>
      </c>
      <c r="B2199" s="2">
        <v>43984</v>
      </c>
      <c r="C2199" s="1">
        <v>0</v>
      </c>
      <c r="D2199" s="39">
        <v>28</v>
      </c>
      <c r="E2199" s="1"/>
      <c r="F2199" s="39">
        <f t="shared" si="124"/>
        <v>0</v>
      </c>
      <c r="G2199" s="395"/>
      <c r="H2199" s="395"/>
      <c r="J2199" s="42"/>
    </row>
    <row r="2200" spans="1:10" s="393" customFormat="1" x14ac:dyDescent="0.25">
      <c r="A2200" s="19" t="s">
        <v>19</v>
      </c>
      <c r="B2200" s="2">
        <v>43984</v>
      </c>
      <c r="C2200" s="1">
        <v>3</v>
      </c>
      <c r="D2200" s="39">
        <v>140</v>
      </c>
      <c r="E2200" s="1"/>
      <c r="F2200" s="39">
        <f t="shared" si="124"/>
        <v>0</v>
      </c>
      <c r="G2200" s="395"/>
      <c r="H2200" s="395"/>
      <c r="J2200" s="42"/>
    </row>
    <row r="2201" spans="1:10" s="393" customFormat="1" x14ac:dyDescent="0.25">
      <c r="A2201" s="19" t="s">
        <v>18</v>
      </c>
      <c r="B2201" s="2">
        <v>43984</v>
      </c>
      <c r="C2201" s="1">
        <v>3</v>
      </c>
      <c r="D2201" s="39">
        <v>410</v>
      </c>
      <c r="E2201" s="1"/>
      <c r="F2201" s="39">
        <f t="shared" si="124"/>
        <v>0</v>
      </c>
      <c r="G2201" s="395"/>
      <c r="H2201" s="395"/>
      <c r="J2201" s="42"/>
    </row>
    <row r="2202" spans="1:10" s="393" customFormat="1" x14ac:dyDescent="0.25">
      <c r="A2202" s="19" t="s">
        <v>34</v>
      </c>
      <c r="B2202" s="2">
        <v>43984</v>
      </c>
      <c r="C2202" s="1">
        <v>4</v>
      </c>
      <c r="D2202" s="39">
        <v>15</v>
      </c>
      <c r="E2202" s="1"/>
      <c r="F2202" s="39">
        <f t="shared" si="124"/>
        <v>0</v>
      </c>
      <c r="G2202" s="395"/>
      <c r="H2202" s="395"/>
      <c r="J2202" s="42"/>
    </row>
    <row r="2203" spans="1:10" s="393" customFormat="1" x14ac:dyDescent="0.25">
      <c r="A2203" s="19" t="s">
        <v>35</v>
      </c>
      <c r="B2203" s="2">
        <v>43984</v>
      </c>
      <c r="C2203" s="1">
        <v>0</v>
      </c>
      <c r="D2203" s="39">
        <v>5</v>
      </c>
      <c r="E2203" s="1"/>
      <c r="F2203" s="39">
        <f>E2203+F2179</f>
        <v>0</v>
      </c>
      <c r="G2203" s="395"/>
      <c r="H2203" s="395"/>
      <c r="J2203" s="42"/>
    </row>
    <row r="2204" spans="1:10" s="393" customFormat="1" x14ac:dyDescent="0.25">
      <c r="A2204" s="19" t="s">
        <v>36</v>
      </c>
      <c r="B2204" s="2">
        <v>43984</v>
      </c>
      <c r="C2204" s="1">
        <v>0</v>
      </c>
      <c r="D2204" s="39">
        <v>11</v>
      </c>
      <c r="E2204" s="1"/>
      <c r="F2204" s="39">
        <f t="shared" si="124"/>
        <v>0</v>
      </c>
      <c r="G2204" s="395"/>
      <c r="H2204" s="395"/>
      <c r="J2204" s="42"/>
    </row>
    <row r="2205" spans="1:10" s="393" customFormat="1" x14ac:dyDescent="0.25">
      <c r="A2205" s="19" t="s">
        <v>37</v>
      </c>
      <c r="B2205" s="2">
        <v>43984</v>
      </c>
      <c r="C2205" s="1">
        <v>0</v>
      </c>
      <c r="D2205" s="39">
        <v>51</v>
      </c>
      <c r="E2205" s="1"/>
      <c r="F2205" s="39">
        <f t="shared" si="124"/>
        <v>0</v>
      </c>
      <c r="G2205" s="395"/>
      <c r="H2205" s="395"/>
      <c r="J2205" s="42"/>
    </row>
    <row r="2206" spans="1:10" s="393" customFormat="1" x14ac:dyDescent="0.25">
      <c r="A2206" s="19" t="s">
        <v>22</v>
      </c>
      <c r="B2206" s="2">
        <v>43984</v>
      </c>
      <c r="C2206" s="1">
        <v>0</v>
      </c>
      <c r="D2206" s="39">
        <v>265</v>
      </c>
      <c r="E2206" s="1"/>
      <c r="F2206" s="39">
        <f>E2206+F2182</f>
        <v>3</v>
      </c>
      <c r="G2206" s="395"/>
      <c r="H2206" s="395"/>
      <c r="J2206" s="42"/>
    </row>
    <row r="2207" spans="1:10" s="393" customFormat="1" x14ac:dyDescent="0.25">
      <c r="A2207" s="19" t="s">
        <v>38</v>
      </c>
      <c r="B2207" s="2">
        <v>43984</v>
      </c>
      <c r="C2207" s="1">
        <v>0</v>
      </c>
      <c r="D2207" s="39">
        <v>22</v>
      </c>
      <c r="E2207" s="1"/>
      <c r="F2207" s="39">
        <f>E2207+F2183</f>
        <v>0</v>
      </c>
      <c r="G2207" s="395"/>
      <c r="H2207" s="395"/>
      <c r="J2207" s="42"/>
    </row>
    <row r="2208" spans="1:10" s="393" customFormat="1" x14ac:dyDescent="0.25">
      <c r="A2208" s="19" t="s">
        <v>39</v>
      </c>
      <c r="B2208" s="2">
        <v>43984</v>
      </c>
      <c r="C2208" s="1">
        <v>0</v>
      </c>
      <c r="D2208" s="39">
        <v>149</v>
      </c>
      <c r="E2208" s="1"/>
      <c r="F2208" s="39">
        <f t="shared" si="124"/>
        <v>0</v>
      </c>
      <c r="G2208" s="395"/>
      <c r="H2208" s="395"/>
      <c r="J2208" s="42"/>
    </row>
    <row r="2209" spans="1:10" s="393" customFormat="1" x14ac:dyDescent="0.25">
      <c r="A2209" s="19" t="s">
        <v>40</v>
      </c>
      <c r="B2209" s="2">
        <v>43984</v>
      </c>
      <c r="C2209" s="1">
        <v>0</v>
      </c>
      <c r="D2209" s="39">
        <v>48</v>
      </c>
      <c r="E2209" s="1"/>
      <c r="F2209" s="39">
        <f>E2209+F2185</f>
        <v>3</v>
      </c>
      <c r="G2209" s="395"/>
      <c r="H2209" s="395"/>
      <c r="J2209" s="42"/>
    </row>
    <row r="2210" spans="1:10" s="393" customFormat="1" x14ac:dyDescent="0.25">
      <c r="A2210" s="394" t="s">
        <v>16</v>
      </c>
      <c r="B2210" s="2">
        <v>43985</v>
      </c>
      <c r="C2210" s="1">
        <v>442</v>
      </c>
      <c r="D2210" s="39">
        <v>7074</v>
      </c>
      <c r="E2210" s="1">
        <v>6</v>
      </c>
      <c r="F2210" s="39">
        <f>E2210+F2186</f>
        <v>242</v>
      </c>
      <c r="G2210" s="395"/>
      <c r="H2210" s="395"/>
      <c r="J2210" s="42"/>
    </row>
    <row r="2211" spans="1:10" s="393" customFormat="1" x14ac:dyDescent="0.25">
      <c r="A2211" s="19" t="s">
        <v>28</v>
      </c>
      <c r="B2211" s="2">
        <v>43985</v>
      </c>
      <c r="C2211" s="1">
        <v>0</v>
      </c>
      <c r="D2211" s="39">
        <v>0</v>
      </c>
      <c r="E2211" s="1"/>
      <c r="F2211" s="39">
        <f t="shared" ref="F2211:F2217" si="125">E2211+F2187</f>
        <v>0</v>
      </c>
      <c r="G2211" s="395"/>
      <c r="H2211" s="395"/>
      <c r="J2211" s="42"/>
    </row>
    <row r="2212" spans="1:10" s="393" customFormat="1" x14ac:dyDescent="0.25">
      <c r="A2212" s="19" t="s">
        <v>15</v>
      </c>
      <c r="B2212" s="2">
        <v>43985</v>
      </c>
      <c r="C2212" s="1">
        <v>6</v>
      </c>
      <c r="D2212" s="39">
        <v>926</v>
      </c>
      <c r="E2212" s="1">
        <v>1</v>
      </c>
      <c r="F2212" s="39">
        <f t="shared" si="125"/>
        <v>58</v>
      </c>
      <c r="G2212" s="395"/>
      <c r="H2212" s="395"/>
      <c r="J2212" s="42"/>
    </row>
    <row r="2213" spans="1:10" s="393" customFormat="1" x14ac:dyDescent="0.25">
      <c r="A2213" s="19" t="s">
        <v>29</v>
      </c>
      <c r="B2213" s="2">
        <v>43985</v>
      </c>
      <c r="C2213" s="1">
        <v>1</v>
      </c>
      <c r="D2213" s="39">
        <v>11</v>
      </c>
      <c r="E2213" s="1"/>
      <c r="F2213" s="39">
        <f t="shared" si="125"/>
        <v>1</v>
      </c>
      <c r="G2213" s="395"/>
      <c r="H2213" s="395"/>
      <c r="J2213" s="42"/>
    </row>
    <row r="2214" spans="1:10" s="393" customFormat="1" x14ac:dyDescent="0.25">
      <c r="A2214" s="19" t="s">
        <v>43</v>
      </c>
      <c r="B2214" s="2">
        <v>43985</v>
      </c>
      <c r="C2214" s="1">
        <v>467</v>
      </c>
      <c r="D2214" s="39">
        <v>9318</v>
      </c>
      <c r="E2214" s="1">
        <v>5</v>
      </c>
      <c r="F2214" s="39">
        <f t="shared" si="125"/>
        <v>201</v>
      </c>
      <c r="G2214" s="395"/>
      <c r="H2214" s="395"/>
      <c r="J2214" s="42"/>
    </row>
    <row r="2215" spans="1:10" s="393" customFormat="1" x14ac:dyDescent="0.25">
      <c r="A2215" s="19" t="s">
        <v>20</v>
      </c>
      <c r="B2215" s="2">
        <v>43985</v>
      </c>
      <c r="C2215" s="1">
        <v>1</v>
      </c>
      <c r="D2215" s="39">
        <v>462</v>
      </c>
      <c r="E2215" s="1">
        <v>1</v>
      </c>
      <c r="F2215" s="39">
        <f t="shared" si="125"/>
        <v>29</v>
      </c>
      <c r="G2215" s="395"/>
      <c r="H2215" s="395"/>
      <c r="J2215" s="42"/>
    </row>
    <row r="2216" spans="1:10" s="393" customFormat="1" x14ac:dyDescent="0.25">
      <c r="A2216" s="19" t="s">
        <v>30</v>
      </c>
      <c r="B2216" s="2">
        <v>43985</v>
      </c>
      <c r="C2216" s="1">
        <v>0</v>
      </c>
      <c r="D2216" s="39">
        <v>96</v>
      </c>
      <c r="E2216" s="1"/>
      <c r="F2216" s="39">
        <f t="shared" si="125"/>
        <v>0</v>
      </c>
      <c r="G2216" s="395"/>
      <c r="H2216" s="395"/>
      <c r="J2216" s="42"/>
    </row>
    <row r="2217" spans="1:10" x14ac:dyDescent="0.25">
      <c r="A2217" s="19" t="s">
        <v>31</v>
      </c>
      <c r="B2217" s="2">
        <v>43985</v>
      </c>
      <c r="C2217" s="1">
        <v>2</v>
      </c>
      <c r="D2217" s="39">
        <v>35</v>
      </c>
      <c r="F2217" s="39">
        <f t="shared" si="125"/>
        <v>0</v>
      </c>
    </row>
    <row r="2218" spans="1:10" s="393" customFormat="1" x14ac:dyDescent="0.25">
      <c r="A2218" s="19" t="s">
        <v>41</v>
      </c>
      <c r="B2218" s="2">
        <v>43985</v>
      </c>
      <c r="C2218" s="1">
        <v>0</v>
      </c>
      <c r="D2218" s="39">
        <v>0</v>
      </c>
      <c r="E2218" s="1"/>
      <c r="F2218" s="39">
        <f t="shared" ref="F2218:F2232" si="126">E2218+F2193</f>
        <v>0</v>
      </c>
      <c r="G2218" s="395"/>
      <c r="H2218" s="395"/>
      <c r="J2218" s="42"/>
    </row>
    <row r="2219" spans="1:10" s="393" customFormat="1" x14ac:dyDescent="0.25">
      <c r="A2219" s="19" t="s">
        <v>32</v>
      </c>
      <c r="B2219" s="2">
        <v>43985</v>
      </c>
      <c r="C2219" s="1">
        <v>0</v>
      </c>
      <c r="D2219" s="39">
        <v>6</v>
      </c>
      <c r="E2219" s="1"/>
      <c r="F2219" s="39">
        <f t="shared" si="126"/>
        <v>0</v>
      </c>
      <c r="G2219" s="395"/>
      <c r="H2219" s="395"/>
      <c r="J2219" s="42"/>
    </row>
    <row r="2220" spans="1:10" s="393" customFormat="1" x14ac:dyDescent="0.25">
      <c r="A2220" s="19" t="s">
        <v>33</v>
      </c>
      <c r="B2220" s="2">
        <v>43985</v>
      </c>
      <c r="C2220" s="1">
        <v>0</v>
      </c>
      <c r="D2220" s="39">
        <v>5</v>
      </c>
      <c r="E2220" s="1"/>
      <c r="F2220" s="39">
        <f t="shared" si="126"/>
        <v>0</v>
      </c>
      <c r="G2220" s="395"/>
      <c r="H2220" s="395"/>
      <c r="J2220" s="42"/>
    </row>
    <row r="2221" spans="1:10" s="393" customFormat="1" x14ac:dyDescent="0.25">
      <c r="A2221" s="19" t="s">
        <v>21</v>
      </c>
      <c r="B2221" s="2">
        <v>43985</v>
      </c>
      <c r="C2221" s="1">
        <v>0</v>
      </c>
      <c r="D2221" s="39">
        <v>63</v>
      </c>
      <c r="E2221" s="1"/>
      <c r="F2221" s="39">
        <f t="shared" si="126"/>
        <v>0</v>
      </c>
      <c r="G2221" s="395"/>
      <c r="H2221" s="395"/>
      <c r="J2221" s="42"/>
    </row>
    <row r="2222" spans="1:10" s="393" customFormat="1" x14ac:dyDescent="0.25">
      <c r="A2222" s="19" t="s">
        <v>17</v>
      </c>
      <c r="B2222" s="2">
        <v>43985</v>
      </c>
      <c r="C2222" s="1">
        <v>0</v>
      </c>
      <c r="D2222" s="39">
        <v>100</v>
      </c>
      <c r="E2222" s="1"/>
      <c r="F2222" s="39">
        <f t="shared" si="126"/>
        <v>0</v>
      </c>
      <c r="G2222" s="395"/>
      <c r="H2222" s="395"/>
      <c r="J2222" s="42"/>
    </row>
    <row r="2223" spans="1:10" s="393" customFormat="1" x14ac:dyDescent="0.25">
      <c r="A2223" s="19" t="s">
        <v>23</v>
      </c>
      <c r="B2223" s="2">
        <v>43985</v>
      </c>
      <c r="C2223" s="1">
        <v>1</v>
      </c>
      <c r="D2223" s="39">
        <v>29</v>
      </c>
      <c r="E2223" s="1"/>
      <c r="F2223" s="39">
        <f t="shared" si="126"/>
        <v>0</v>
      </c>
      <c r="G2223" s="395"/>
      <c r="H2223" s="395"/>
      <c r="J2223" s="42"/>
    </row>
    <row r="2224" spans="1:10" s="393" customFormat="1" x14ac:dyDescent="0.25">
      <c r="A2224" s="19" t="s">
        <v>19</v>
      </c>
      <c r="B2224" s="2">
        <v>43985</v>
      </c>
      <c r="C2224" s="1">
        <v>10</v>
      </c>
      <c r="D2224" s="39">
        <v>150</v>
      </c>
      <c r="E2224" s="1"/>
      <c r="F2224" s="39">
        <f t="shared" si="126"/>
        <v>0</v>
      </c>
      <c r="G2224" s="395"/>
      <c r="H2224" s="395"/>
      <c r="J2224" s="42"/>
    </row>
    <row r="2225" spans="1:10" s="393" customFormat="1" x14ac:dyDescent="0.25">
      <c r="A2225" s="19" t="s">
        <v>18</v>
      </c>
      <c r="B2225" s="2">
        <v>43985</v>
      </c>
      <c r="C2225" s="1">
        <v>16</v>
      </c>
      <c r="D2225" s="39">
        <v>426</v>
      </c>
      <c r="E2225" s="1">
        <v>1</v>
      </c>
      <c r="F2225" s="39">
        <f t="shared" si="126"/>
        <v>1</v>
      </c>
      <c r="G2225" s="395"/>
      <c r="H2225" s="395"/>
      <c r="J2225" s="42"/>
    </row>
    <row r="2226" spans="1:10" s="393" customFormat="1" x14ac:dyDescent="0.25">
      <c r="A2226" s="19" t="s">
        <v>34</v>
      </c>
      <c r="B2226" s="2">
        <v>43985</v>
      </c>
      <c r="C2226" s="1">
        <v>0</v>
      </c>
      <c r="D2226" s="39">
        <v>15</v>
      </c>
      <c r="E2226" s="1"/>
      <c r="F2226" s="39">
        <f t="shared" si="126"/>
        <v>0</v>
      </c>
      <c r="G2226" s="395"/>
      <c r="H2226" s="395"/>
      <c r="J2226" s="42"/>
    </row>
    <row r="2227" spans="1:10" s="393" customFormat="1" x14ac:dyDescent="0.25">
      <c r="A2227" s="19" t="s">
        <v>35</v>
      </c>
      <c r="B2227" s="2">
        <v>43985</v>
      </c>
      <c r="C2227" s="1">
        <v>0</v>
      </c>
      <c r="D2227" s="39">
        <v>5</v>
      </c>
      <c r="E2227" s="1"/>
      <c r="F2227" s="39">
        <f>E2227+F2203</f>
        <v>0</v>
      </c>
      <c r="G2227" s="395"/>
      <c r="H2227" s="395"/>
      <c r="J2227" s="42"/>
    </row>
    <row r="2228" spans="1:10" s="393" customFormat="1" x14ac:dyDescent="0.25">
      <c r="A2228" s="19" t="s">
        <v>36</v>
      </c>
      <c r="B2228" s="2">
        <v>43985</v>
      </c>
      <c r="C2228" s="1">
        <v>0</v>
      </c>
      <c r="D2228" s="39">
        <v>11</v>
      </c>
      <c r="E2228" s="1"/>
      <c r="F2228" s="39">
        <f t="shared" si="126"/>
        <v>0</v>
      </c>
      <c r="G2228" s="395"/>
      <c r="H2228" s="395"/>
      <c r="J2228" s="42"/>
    </row>
    <row r="2229" spans="1:10" s="393" customFormat="1" x14ac:dyDescent="0.25">
      <c r="A2229" s="19" t="s">
        <v>37</v>
      </c>
      <c r="B2229" s="2">
        <v>43985</v>
      </c>
      <c r="C2229" s="1">
        <v>0</v>
      </c>
      <c r="D2229" s="39">
        <v>51</v>
      </c>
      <c r="E2229" s="1"/>
      <c r="F2229" s="39">
        <f t="shared" si="126"/>
        <v>0</v>
      </c>
      <c r="G2229" s="395"/>
      <c r="H2229" s="395"/>
      <c r="J2229" s="42"/>
    </row>
    <row r="2230" spans="1:10" s="393" customFormat="1" x14ac:dyDescent="0.25">
      <c r="A2230" s="19" t="s">
        <v>22</v>
      </c>
      <c r="B2230" s="2">
        <v>43985</v>
      </c>
      <c r="C2230" s="1">
        <v>3</v>
      </c>
      <c r="D2230" s="39">
        <v>268</v>
      </c>
      <c r="E2230" s="1"/>
      <c r="F2230" s="39">
        <f>E2230+F2206</f>
        <v>3</v>
      </c>
      <c r="G2230" s="395"/>
      <c r="H2230" s="395"/>
      <c r="J2230" s="42"/>
    </row>
    <row r="2231" spans="1:10" s="393" customFormat="1" x14ac:dyDescent="0.25">
      <c r="A2231" s="19" t="s">
        <v>38</v>
      </c>
      <c r="B2231" s="2">
        <v>43985</v>
      </c>
      <c r="C2231" s="1">
        <v>0</v>
      </c>
      <c r="D2231" s="39">
        <v>22</v>
      </c>
      <c r="E2231" s="1"/>
      <c r="F2231" s="39">
        <f>E2231+F2207</f>
        <v>0</v>
      </c>
      <c r="G2231" s="395"/>
      <c r="H2231" s="395"/>
      <c r="J2231" s="42"/>
    </row>
    <row r="2232" spans="1:10" s="393" customFormat="1" x14ac:dyDescent="0.25">
      <c r="A2232" s="19" t="s">
        <v>39</v>
      </c>
      <c r="B2232" s="2">
        <v>43985</v>
      </c>
      <c r="C2232" s="1">
        <v>0</v>
      </c>
      <c r="D2232" s="39">
        <v>149</v>
      </c>
      <c r="E2232" s="1"/>
      <c r="F2232" s="39">
        <f t="shared" si="126"/>
        <v>0</v>
      </c>
      <c r="G2232" s="395"/>
      <c r="H2232" s="395"/>
      <c r="J2232" s="42"/>
    </row>
    <row r="2233" spans="1:10" s="393" customFormat="1" x14ac:dyDescent="0.25">
      <c r="A2233" s="19" t="s">
        <v>40</v>
      </c>
      <c r="B2233" s="2">
        <v>43985</v>
      </c>
      <c r="C2233" s="1">
        <v>0</v>
      </c>
      <c r="D2233" s="39">
        <v>48</v>
      </c>
      <c r="E2233" s="1"/>
      <c r="F2233" s="39">
        <f>E2233+F2209</f>
        <v>3</v>
      </c>
      <c r="G2233" s="395"/>
      <c r="H2233" s="395"/>
      <c r="J2233" s="42"/>
    </row>
    <row r="2234" spans="1:10" s="393" customFormat="1" x14ac:dyDescent="0.25">
      <c r="A2234" s="394" t="s">
        <v>16</v>
      </c>
      <c r="B2234" s="2">
        <v>43986</v>
      </c>
      <c r="C2234" s="1">
        <v>422</v>
      </c>
      <c r="D2234" s="39">
        <v>7496</v>
      </c>
      <c r="E2234" s="1">
        <v>11</v>
      </c>
      <c r="F2234" s="39">
        <f>E2234+F2210</f>
        <v>253</v>
      </c>
      <c r="G2234" s="395"/>
      <c r="H2234" s="395"/>
      <c r="J2234" s="42"/>
    </row>
    <row r="2235" spans="1:10" s="393" customFormat="1" x14ac:dyDescent="0.25">
      <c r="A2235" s="19" t="s">
        <v>28</v>
      </c>
      <c r="B2235" s="2">
        <v>43986</v>
      </c>
      <c r="C2235" s="1">
        <v>0</v>
      </c>
      <c r="D2235" s="39">
        <v>0</v>
      </c>
      <c r="E2235" s="1"/>
      <c r="F2235" s="39">
        <f t="shared" ref="F2235:F2241" si="127">E2235+F2211</f>
        <v>0</v>
      </c>
      <c r="G2235" s="395"/>
      <c r="H2235" s="395"/>
      <c r="J2235" s="42"/>
    </row>
    <row r="2236" spans="1:10" s="393" customFormat="1" x14ac:dyDescent="0.25">
      <c r="A2236" s="19" t="s">
        <v>15</v>
      </c>
      <c r="B2236" s="2">
        <v>43986</v>
      </c>
      <c r="C2236" s="1">
        <v>53</v>
      </c>
      <c r="D2236" s="39">
        <v>979</v>
      </c>
      <c r="E2236" s="1">
        <v>1</v>
      </c>
      <c r="F2236" s="39">
        <f t="shared" si="127"/>
        <v>59</v>
      </c>
      <c r="G2236" s="395"/>
      <c r="H2236" s="395"/>
      <c r="J2236" s="42"/>
    </row>
    <row r="2237" spans="1:10" s="393" customFormat="1" x14ac:dyDescent="0.25">
      <c r="A2237" s="19" t="s">
        <v>29</v>
      </c>
      <c r="B2237" s="2">
        <v>43986</v>
      </c>
      <c r="C2237" s="1">
        <v>0</v>
      </c>
      <c r="D2237" s="39">
        <v>11</v>
      </c>
      <c r="E2237" s="1"/>
      <c r="F2237" s="39">
        <f t="shared" si="127"/>
        <v>1</v>
      </c>
      <c r="G2237" s="395"/>
      <c r="H2237" s="395"/>
      <c r="J2237" s="42"/>
    </row>
    <row r="2238" spans="1:10" s="393" customFormat="1" x14ac:dyDescent="0.25">
      <c r="A2238" s="19" t="s">
        <v>43</v>
      </c>
      <c r="B2238" s="2">
        <v>43986</v>
      </c>
      <c r="C2238" s="1">
        <v>436</v>
      </c>
      <c r="D2238" s="39">
        <v>9754</v>
      </c>
      <c r="E2238" s="1">
        <v>12</v>
      </c>
      <c r="F2238" s="39">
        <f t="shared" si="127"/>
        <v>213</v>
      </c>
      <c r="G2238" s="395"/>
      <c r="H2238" s="395"/>
      <c r="J2238" s="42"/>
    </row>
    <row r="2239" spans="1:10" s="393" customFormat="1" x14ac:dyDescent="0.25">
      <c r="A2239" s="19" t="s">
        <v>20</v>
      </c>
      <c r="B2239" s="2">
        <v>43986</v>
      </c>
      <c r="C2239" s="1">
        <v>2</v>
      </c>
      <c r="D2239" s="39">
        <v>464</v>
      </c>
      <c r="E2239" s="1"/>
      <c r="F2239" s="39">
        <f t="shared" si="127"/>
        <v>29</v>
      </c>
      <c r="G2239" s="395"/>
      <c r="H2239" s="395"/>
      <c r="J2239" s="42"/>
    </row>
    <row r="2240" spans="1:10" s="393" customFormat="1" x14ac:dyDescent="0.25">
      <c r="A2240" s="19" t="s">
        <v>30</v>
      </c>
      <c r="B2240" s="2">
        <v>43986</v>
      </c>
      <c r="C2240" s="1">
        <v>0</v>
      </c>
      <c r="D2240" s="39">
        <v>96</v>
      </c>
      <c r="E2240" s="1"/>
      <c r="F2240" s="39">
        <f t="shared" si="127"/>
        <v>0</v>
      </c>
      <c r="G2240" s="395"/>
      <c r="H2240" s="395"/>
      <c r="J2240" s="42"/>
    </row>
    <row r="2241" spans="1:10" x14ac:dyDescent="0.25">
      <c r="A2241" s="19" t="s">
        <v>31</v>
      </c>
      <c r="B2241" s="2">
        <v>43986</v>
      </c>
      <c r="C2241" s="1">
        <v>0</v>
      </c>
      <c r="D2241" s="39">
        <v>35</v>
      </c>
      <c r="F2241" s="39">
        <f t="shared" si="127"/>
        <v>0</v>
      </c>
    </row>
    <row r="2242" spans="1:10" s="393" customFormat="1" x14ac:dyDescent="0.25">
      <c r="A2242" s="19" t="s">
        <v>41</v>
      </c>
      <c r="B2242" s="2">
        <v>43986</v>
      </c>
      <c r="C2242" s="1">
        <v>0</v>
      </c>
      <c r="D2242" s="39">
        <v>0</v>
      </c>
      <c r="E2242" s="1"/>
      <c r="F2242" s="39">
        <f t="shared" ref="F2242:F2256" si="128">E2242+F2217</f>
        <v>0</v>
      </c>
      <c r="G2242" s="395"/>
      <c r="H2242" s="395"/>
      <c r="J2242" s="42"/>
    </row>
    <row r="2243" spans="1:10" s="393" customFormat="1" x14ac:dyDescent="0.25">
      <c r="A2243" s="19" t="s">
        <v>32</v>
      </c>
      <c r="B2243" s="2">
        <v>43986</v>
      </c>
      <c r="C2243" s="1">
        <v>0</v>
      </c>
      <c r="D2243" s="39">
        <v>6</v>
      </c>
      <c r="E2243" s="1"/>
      <c r="F2243" s="39">
        <f t="shared" si="128"/>
        <v>0</v>
      </c>
      <c r="G2243" s="395"/>
      <c r="H2243" s="395"/>
      <c r="J2243" s="42"/>
    </row>
    <row r="2244" spans="1:10" s="393" customFormat="1" x14ac:dyDescent="0.25">
      <c r="A2244" s="19" t="s">
        <v>33</v>
      </c>
      <c r="B2244" s="2">
        <v>43986</v>
      </c>
      <c r="C2244" s="1">
        <v>0</v>
      </c>
      <c r="D2244" s="39">
        <v>5</v>
      </c>
      <c r="E2244" s="1"/>
      <c r="F2244" s="39">
        <f t="shared" si="128"/>
        <v>0</v>
      </c>
      <c r="G2244" s="395"/>
      <c r="H2244" s="395"/>
      <c r="J2244" s="42"/>
    </row>
    <row r="2245" spans="1:10" s="393" customFormat="1" x14ac:dyDescent="0.25">
      <c r="A2245" s="19" t="s">
        <v>21</v>
      </c>
      <c r="B2245" s="2">
        <v>43986</v>
      </c>
      <c r="C2245" s="1">
        <v>0</v>
      </c>
      <c r="D2245" s="39">
        <v>63</v>
      </c>
      <c r="E2245" s="1"/>
      <c r="F2245" s="39">
        <f t="shared" si="128"/>
        <v>0</v>
      </c>
      <c r="G2245" s="395"/>
      <c r="H2245" s="395"/>
      <c r="J2245" s="42"/>
    </row>
    <row r="2246" spans="1:10" s="393" customFormat="1" x14ac:dyDescent="0.25">
      <c r="A2246" s="19" t="s">
        <v>17</v>
      </c>
      <c r="B2246" s="2">
        <v>43986</v>
      </c>
      <c r="C2246" s="1">
        <v>0</v>
      </c>
      <c r="D2246" s="39">
        <v>100</v>
      </c>
      <c r="E2246" s="1"/>
      <c r="F2246" s="39">
        <f t="shared" si="128"/>
        <v>0</v>
      </c>
      <c r="G2246" s="395"/>
      <c r="H2246" s="395"/>
      <c r="J2246" s="42"/>
    </row>
    <row r="2247" spans="1:10" s="393" customFormat="1" x14ac:dyDescent="0.25">
      <c r="A2247" s="19" t="s">
        <v>23</v>
      </c>
      <c r="B2247" s="2">
        <v>43986</v>
      </c>
      <c r="C2247" s="1">
        <v>2</v>
      </c>
      <c r="D2247" s="39">
        <v>31</v>
      </c>
      <c r="E2247" s="1"/>
      <c r="F2247" s="39">
        <f t="shared" si="128"/>
        <v>0</v>
      </c>
      <c r="G2247" s="395"/>
      <c r="H2247" s="395"/>
      <c r="J2247" s="42"/>
    </row>
    <row r="2248" spans="1:10" s="393" customFormat="1" x14ac:dyDescent="0.25">
      <c r="A2248" s="19" t="s">
        <v>19</v>
      </c>
      <c r="B2248" s="2">
        <v>43986</v>
      </c>
      <c r="C2248" s="1">
        <v>0</v>
      </c>
      <c r="D2248" s="39">
        <v>150</v>
      </c>
      <c r="E2248" s="1"/>
      <c r="F2248" s="39">
        <f t="shared" si="128"/>
        <v>0</v>
      </c>
      <c r="G2248" s="395"/>
      <c r="H2248" s="395"/>
      <c r="J2248" s="42"/>
    </row>
    <row r="2249" spans="1:10" s="393" customFormat="1" x14ac:dyDescent="0.25">
      <c r="A2249" s="19" t="s">
        <v>18</v>
      </c>
      <c r="B2249" s="2">
        <v>43986</v>
      </c>
      <c r="C2249" s="1">
        <v>8</v>
      </c>
      <c r="D2249" s="39">
        <v>434</v>
      </c>
      <c r="E2249" s="1">
        <v>1</v>
      </c>
      <c r="F2249" s="39">
        <f t="shared" si="128"/>
        <v>1</v>
      </c>
      <c r="G2249" s="395"/>
      <c r="H2249" s="395"/>
      <c r="J2249" s="42"/>
    </row>
    <row r="2250" spans="1:10" s="393" customFormat="1" x14ac:dyDescent="0.25">
      <c r="A2250" s="19" t="s">
        <v>34</v>
      </c>
      <c r="B2250" s="2">
        <v>43986</v>
      </c>
      <c r="C2250" s="1">
        <v>0</v>
      </c>
      <c r="D2250" s="39">
        <v>15</v>
      </c>
      <c r="E2250" s="1"/>
      <c r="F2250" s="39">
        <f t="shared" si="128"/>
        <v>1</v>
      </c>
      <c r="G2250" s="395"/>
      <c r="H2250" s="395"/>
      <c r="J2250" s="42"/>
    </row>
    <row r="2251" spans="1:10" s="393" customFormat="1" x14ac:dyDescent="0.25">
      <c r="A2251" s="19" t="s">
        <v>35</v>
      </c>
      <c r="B2251" s="2">
        <v>43986</v>
      </c>
      <c r="C2251" s="1">
        <v>0</v>
      </c>
      <c r="D2251" s="39">
        <v>5</v>
      </c>
      <c r="E2251" s="1"/>
      <c r="F2251" s="39">
        <f>E2251+F2227</f>
        <v>0</v>
      </c>
      <c r="G2251" s="395"/>
      <c r="H2251" s="395"/>
      <c r="J2251" s="42"/>
    </row>
    <row r="2252" spans="1:10" s="393" customFormat="1" x14ac:dyDescent="0.25">
      <c r="A2252" s="19" t="s">
        <v>36</v>
      </c>
      <c r="B2252" s="2">
        <v>43986</v>
      </c>
      <c r="C2252" s="1">
        <v>0</v>
      </c>
      <c r="D2252" s="39">
        <v>11</v>
      </c>
      <c r="E2252" s="1"/>
      <c r="F2252" s="39">
        <f t="shared" si="128"/>
        <v>0</v>
      </c>
      <c r="G2252" s="395"/>
      <c r="H2252" s="395"/>
      <c r="J2252" s="42"/>
    </row>
    <row r="2253" spans="1:10" s="393" customFormat="1" x14ac:dyDescent="0.25">
      <c r="A2253" s="19" t="s">
        <v>37</v>
      </c>
      <c r="B2253" s="2">
        <v>43986</v>
      </c>
      <c r="C2253" s="1">
        <v>0</v>
      </c>
      <c r="D2253" s="39">
        <v>51</v>
      </c>
      <c r="E2253" s="1"/>
      <c r="F2253" s="39">
        <f t="shared" si="128"/>
        <v>0</v>
      </c>
      <c r="G2253" s="395"/>
      <c r="H2253" s="395"/>
      <c r="J2253" s="42"/>
    </row>
    <row r="2254" spans="1:10" s="393" customFormat="1" x14ac:dyDescent="0.25">
      <c r="A2254" s="19" t="s">
        <v>22</v>
      </c>
      <c r="B2254" s="2">
        <v>43986</v>
      </c>
      <c r="C2254" s="1">
        <v>5</v>
      </c>
      <c r="D2254" s="39">
        <v>273</v>
      </c>
      <c r="E2254" s="1"/>
      <c r="F2254" s="39">
        <f>E2254+F2230</f>
        <v>3</v>
      </c>
      <c r="G2254" s="395"/>
      <c r="H2254" s="395"/>
      <c r="J2254" s="42"/>
    </row>
    <row r="2255" spans="1:10" s="393" customFormat="1" x14ac:dyDescent="0.25">
      <c r="A2255" s="19" t="s">
        <v>38</v>
      </c>
      <c r="B2255" s="2">
        <v>43986</v>
      </c>
      <c r="C2255" s="1">
        <v>0</v>
      </c>
      <c r="D2255" s="39">
        <v>22</v>
      </c>
      <c r="E2255" s="1"/>
      <c r="F2255" s="39">
        <f>E2255+F2231</f>
        <v>0</v>
      </c>
      <c r="G2255" s="395"/>
      <c r="H2255" s="395"/>
      <c r="J2255" s="42"/>
    </row>
    <row r="2256" spans="1:10" s="393" customFormat="1" x14ac:dyDescent="0.25">
      <c r="A2256" s="19" t="s">
        <v>39</v>
      </c>
      <c r="B2256" s="2">
        <v>43986</v>
      </c>
      <c r="C2256" s="1">
        <v>0</v>
      </c>
      <c r="D2256" s="39">
        <v>149</v>
      </c>
      <c r="E2256" s="1"/>
      <c r="F2256" s="39">
        <f t="shared" si="128"/>
        <v>0</v>
      </c>
      <c r="G2256" s="395"/>
      <c r="H2256" s="395"/>
      <c r="J2256" s="42"/>
    </row>
    <row r="2257" spans="1:10" s="393" customFormat="1" x14ac:dyDescent="0.25">
      <c r="A2257" s="19" t="s">
        <v>40</v>
      </c>
      <c r="B2257" s="2">
        <v>43986</v>
      </c>
      <c r="C2257" s="1">
        <v>1</v>
      </c>
      <c r="D2257" s="39">
        <v>49</v>
      </c>
      <c r="E2257" s="1"/>
      <c r="F2257" s="39">
        <f>E2257+F2233</f>
        <v>3</v>
      </c>
      <c r="G2257" s="395"/>
      <c r="H2257" s="395"/>
      <c r="J2257" s="42"/>
    </row>
    <row r="2258" spans="1:10" s="393" customFormat="1" x14ac:dyDescent="0.25">
      <c r="A2258" s="394" t="s">
        <v>16</v>
      </c>
      <c r="B2258" s="2">
        <v>43987</v>
      </c>
      <c r="C2258" s="1">
        <v>371</v>
      </c>
      <c r="D2258" s="39">
        <v>7867</v>
      </c>
      <c r="E2258" s="1">
        <v>8</v>
      </c>
      <c r="F2258" s="39">
        <f>E2258+F2234</f>
        <v>261</v>
      </c>
      <c r="G2258" s="395"/>
      <c r="H2258" s="395"/>
      <c r="J2258" s="42"/>
    </row>
    <row r="2259" spans="1:10" s="393" customFormat="1" x14ac:dyDescent="0.25">
      <c r="A2259" s="19" t="s">
        <v>28</v>
      </c>
      <c r="B2259" s="2">
        <v>43987</v>
      </c>
      <c r="C2259" s="1">
        <v>0</v>
      </c>
      <c r="D2259" s="39">
        <v>0</v>
      </c>
      <c r="E2259" s="1"/>
      <c r="F2259" s="39">
        <f t="shared" ref="F2259:F2265" si="129">E2259+F2235</f>
        <v>0</v>
      </c>
      <c r="G2259" s="395"/>
      <c r="H2259" s="395"/>
      <c r="J2259" s="42"/>
    </row>
    <row r="2260" spans="1:10" s="393" customFormat="1" x14ac:dyDescent="0.25">
      <c r="A2260" s="19" t="s">
        <v>15</v>
      </c>
      <c r="B2260" s="2">
        <v>43987</v>
      </c>
      <c r="C2260" s="1">
        <v>29</v>
      </c>
      <c r="D2260" s="39">
        <v>1008</v>
      </c>
      <c r="E2260" s="1">
        <v>1</v>
      </c>
      <c r="F2260" s="39">
        <f t="shared" si="129"/>
        <v>60</v>
      </c>
      <c r="G2260" s="395"/>
      <c r="H2260" s="395"/>
      <c r="J2260" s="42"/>
    </row>
    <row r="2261" spans="1:10" s="393" customFormat="1" x14ac:dyDescent="0.25">
      <c r="A2261" s="19" t="s">
        <v>29</v>
      </c>
      <c r="B2261" s="2">
        <v>43987</v>
      </c>
      <c r="C2261" s="1">
        <v>3</v>
      </c>
      <c r="D2261" s="39">
        <v>14</v>
      </c>
      <c r="E2261" s="1"/>
      <c r="F2261" s="39">
        <f t="shared" si="129"/>
        <v>1</v>
      </c>
      <c r="G2261" s="395"/>
      <c r="H2261" s="395"/>
      <c r="J2261" s="42"/>
    </row>
    <row r="2262" spans="1:10" s="393" customFormat="1" x14ac:dyDescent="0.25">
      <c r="A2262" s="19" t="s">
        <v>43</v>
      </c>
      <c r="B2262" s="2">
        <v>43987</v>
      </c>
      <c r="C2262" s="1">
        <v>420</v>
      </c>
      <c r="D2262" s="39">
        <v>10174</v>
      </c>
      <c r="E2262" s="1">
        <v>15</v>
      </c>
      <c r="F2262" s="39">
        <f t="shared" si="129"/>
        <v>228</v>
      </c>
      <c r="G2262" s="395"/>
      <c r="H2262" s="395"/>
      <c r="J2262" s="42"/>
    </row>
    <row r="2263" spans="1:10" s="393" customFormat="1" x14ac:dyDescent="0.25">
      <c r="A2263" s="19" t="s">
        <v>20</v>
      </c>
      <c r="B2263" s="2">
        <v>43987</v>
      </c>
      <c r="C2263" s="1">
        <v>2</v>
      </c>
      <c r="D2263" s="39">
        <v>466</v>
      </c>
      <c r="E2263" s="1"/>
      <c r="F2263" s="39">
        <f t="shared" si="129"/>
        <v>29</v>
      </c>
      <c r="G2263" s="395"/>
      <c r="H2263" s="395"/>
      <c r="J2263" s="42"/>
    </row>
    <row r="2264" spans="1:10" s="393" customFormat="1" x14ac:dyDescent="0.25">
      <c r="A2264" s="19" t="s">
        <v>30</v>
      </c>
      <c r="B2264" s="2">
        <v>43987</v>
      </c>
      <c r="C2264" s="1">
        <v>0</v>
      </c>
      <c r="D2264" s="39">
        <v>96</v>
      </c>
      <c r="E2264" s="1"/>
      <c r="F2264" s="39">
        <f t="shared" si="129"/>
        <v>0</v>
      </c>
      <c r="G2264" s="395"/>
      <c r="H2264" s="395"/>
      <c r="J2264" s="42"/>
    </row>
    <row r="2265" spans="1:10" x14ac:dyDescent="0.25">
      <c r="A2265" s="19" t="s">
        <v>31</v>
      </c>
      <c r="B2265" s="2">
        <v>43987</v>
      </c>
      <c r="C2265" s="1">
        <v>4</v>
      </c>
      <c r="D2265" s="39">
        <v>39</v>
      </c>
      <c r="F2265" s="39">
        <f t="shared" si="129"/>
        <v>0</v>
      </c>
    </row>
    <row r="2266" spans="1:10" s="393" customFormat="1" x14ac:dyDescent="0.25">
      <c r="A2266" s="19" t="s">
        <v>41</v>
      </c>
      <c r="B2266" s="2">
        <v>43987</v>
      </c>
      <c r="C2266" s="1">
        <v>0</v>
      </c>
      <c r="D2266" s="39">
        <v>0</v>
      </c>
      <c r="E2266" s="1"/>
      <c r="F2266" s="39">
        <f t="shared" ref="F2266:F2280" si="130">E2266+F2241</f>
        <v>0</v>
      </c>
      <c r="G2266" s="395"/>
      <c r="H2266" s="395"/>
      <c r="J2266" s="42"/>
    </row>
    <row r="2267" spans="1:10" s="393" customFormat="1" x14ac:dyDescent="0.25">
      <c r="A2267" s="19" t="s">
        <v>32</v>
      </c>
      <c r="B2267" s="2">
        <v>43987</v>
      </c>
      <c r="C2267" s="1">
        <v>0</v>
      </c>
      <c r="D2267" s="39">
        <v>6</v>
      </c>
      <c r="E2267" s="1"/>
      <c r="F2267" s="39">
        <f t="shared" si="130"/>
        <v>0</v>
      </c>
      <c r="G2267" s="395"/>
      <c r="H2267" s="395"/>
      <c r="J2267" s="42"/>
    </row>
    <row r="2268" spans="1:10" s="393" customFormat="1" x14ac:dyDescent="0.25">
      <c r="A2268" s="19" t="s">
        <v>33</v>
      </c>
      <c r="B2268" s="2">
        <v>43987</v>
      </c>
      <c r="C2268" s="1">
        <v>0</v>
      </c>
      <c r="D2268" s="39">
        <v>5</v>
      </c>
      <c r="E2268" s="1"/>
      <c r="F2268" s="39">
        <f t="shared" si="130"/>
        <v>0</v>
      </c>
      <c r="G2268" s="395"/>
      <c r="H2268" s="395"/>
      <c r="J2268" s="42"/>
    </row>
    <row r="2269" spans="1:10" s="393" customFormat="1" x14ac:dyDescent="0.25">
      <c r="A2269" s="19" t="s">
        <v>21</v>
      </c>
      <c r="B2269" s="2">
        <v>43987</v>
      </c>
      <c r="C2269" s="1">
        <v>0</v>
      </c>
      <c r="D2269" s="39">
        <v>63</v>
      </c>
      <c r="E2269" s="1"/>
      <c r="F2269" s="39">
        <f t="shared" si="130"/>
        <v>0</v>
      </c>
      <c r="G2269" s="395"/>
      <c r="H2269" s="395"/>
      <c r="J2269" s="42"/>
    </row>
    <row r="2270" spans="1:10" s="393" customFormat="1" x14ac:dyDescent="0.25">
      <c r="A2270" s="19" t="s">
        <v>17</v>
      </c>
      <c r="B2270" s="2">
        <v>43987</v>
      </c>
      <c r="C2270" s="266">
        <v>1</v>
      </c>
      <c r="D2270" s="39">
        <v>101</v>
      </c>
      <c r="E2270" s="1"/>
      <c r="F2270" s="39">
        <f t="shared" si="130"/>
        <v>0</v>
      </c>
      <c r="G2270" s="395"/>
      <c r="H2270" s="395"/>
      <c r="J2270" s="42"/>
    </row>
    <row r="2271" spans="1:10" s="393" customFormat="1" x14ac:dyDescent="0.25">
      <c r="A2271" s="19" t="s">
        <v>23</v>
      </c>
      <c r="B2271" s="2">
        <v>43987</v>
      </c>
      <c r="C2271" s="1">
        <v>0</v>
      </c>
      <c r="D2271" s="39">
        <v>31</v>
      </c>
      <c r="E2271" s="1"/>
      <c r="F2271" s="39">
        <f t="shared" si="130"/>
        <v>0</v>
      </c>
      <c r="G2271" s="395"/>
      <c r="H2271" s="395"/>
      <c r="J2271" s="42"/>
    </row>
    <row r="2272" spans="1:10" s="393" customFormat="1" x14ac:dyDescent="0.25">
      <c r="A2272" s="19" t="s">
        <v>19</v>
      </c>
      <c r="B2272" s="2">
        <v>43987</v>
      </c>
      <c r="C2272" s="1">
        <v>1</v>
      </c>
      <c r="D2272" s="39">
        <v>151</v>
      </c>
      <c r="E2272" s="1"/>
      <c r="F2272" s="39">
        <f t="shared" si="130"/>
        <v>0</v>
      </c>
      <c r="G2272" s="395"/>
      <c r="H2272" s="395"/>
      <c r="J2272" s="42"/>
    </row>
    <row r="2273" spans="1:10" s="393" customFormat="1" x14ac:dyDescent="0.25">
      <c r="A2273" s="19" t="s">
        <v>18</v>
      </c>
      <c r="B2273" s="2">
        <v>43987</v>
      </c>
      <c r="C2273" s="1">
        <v>8</v>
      </c>
      <c r="D2273" s="39">
        <v>442</v>
      </c>
      <c r="E2273" s="1"/>
      <c r="F2273" s="39">
        <f t="shared" si="130"/>
        <v>0</v>
      </c>
      <c r="G2273" s="395"/>
      <c r="H2273" s="395"/>
      <c r="J2273" s="42"/>
    </row>
    <row r="2274" spans="1:10" s="393" customFormat="1" x14ac:dyDescent="0.25">
      <c r="A2274" s="19" t="s">
        <v>34</v>
      </c>
      <c r="B2274" s="2">
        <v>43987</v>
      </c>
      <c r="C2274" s="1">
        <v>0</v>
      </c>
      <c r="D2274" s="39">
        <v>15</v>
      </c>
      <c r="E2274" s="1"/>
      <c r="F2274" s="39">
        <f t="shared" si="130"/>
        <v>1</v>
      </c>
      <c r="G2274" s="395"/>
      <c r="H2274" s="395"/>
      <c r="J2274" s="42"/>
    </row>
    <row r="2275" spans="1:10" s="393" customFormat="1" x14ac:dyDescent="0.25">
      <c r="A2275" s="19" t="s">
        <v>35</v>
      </c>
      <c r="B2275" s="2">
        <v>43987</v>
      </c>
      <c r="C2275" s="1">
        <v>0</v>
      </c>
      <c r="D2275" s="39">
        <v>5</v>
      </c>
      <c r="E2275" s="1"/>
      <c r="F2275" s="39">
        <f>E2275+F2251</f>
        <v>0</v>
      </c>
      <c r="G2275" s="395"/>
      <c r="H2275" s="395"/>
      <c r="J2275" s="42"/>
    </row>
    <row r="2276" spans="1:10" s="393" customFormat="1" x14ac:dyDescent="0.25">
      <c r="A2276" s="19" t="s">
        <v>36</v>
      </c>
      <c r="B2276" s="2">
        <v>43987</v>
      </c>
      <c r="C2276" s="1">
        <v>0</v>
      </c>
      <c r="D2276" s="39">
        <v>11</v>
      </c>
      <c r="E2276" s="1"/>
      <c r="F2276" s="39">
        <f t="shared" si="130"/>
        <v>0</v>
      </c>
      <c r="G2276" s="395"/>
      <c r="H2276" s="395"/>
      <c r="J2276" s="42"/>
    </row>
    <row r="2277" spans="1:10" s="393" customFormat="1" x14ac:dyDescent="0.25">
      <c r="A2277" s="19" t="s">
        <v>37</v>
      </c>
      <c r="B2277" s="2">
        <v>43987</v>
      </c>
      <c r="C2277" s="1">
        <v>0</v>
      </c>
      <c r="D2277" s="39">
        <v>51</v>
      </c>
      <c r="E2277" s="1"/>
      <c r="F2277" s="39">
        <f t="shared" si="130"/>
        <v>0</v>
      </c>
      <c r="G2277" s="395"/>
      <c r="H2277" s="395"/>
      <c r="J2277" s="42"/>
    </row>
    <row r="2278" spans="1:10" s="393" customFormat="1" x14ac:dyDescent="0.25">
      <c r="A2278" s="19" t="s">
        <v>22</v>
      </c>
      <c r="B2278" s="2">
        <v>43987</v>
      </c>
      <c r="C2278" s="1">
        <v>1</v>
      </c>
      <c r="D2278" s="39">
        <v>274</v>
      </c>
      <c r="E2278" s="1"/>
      <c r="F2278" s="39">
        <f>E2278+F2254</f>
        <v>3</v>
      </c>
      <c r="G2278" s="395"/>
      <c r="H2278" s="395"/>
      <c r="J2278" s="42"/>
    </row>
    <row r="2279" spans="1:10" s="393" customFormat="1" x14ac:dyDescent="0.25">
      <c r="A2279" s="19" t="s">
        <v>38</v>
      </c>
      <c r="B2279" s="2">
        <v>43987</v>
      </c>
      <c r="C2279" s="1">
        <v>0</v>
      </c>
      <c r="D2279" s="39">
        <v>22</v>
      </c>
      <c r="E2279" s="1"/>
      <c r="F2279" s="39">
        <f>E2279+F2255</f>
        <v>0</v>
      </c>
      <c r="G2279" s="395"/>
      <c r="H2279" s="395"/>
      <c r="J2279" s="42"/>
    </row>
    <row r="2280" spans="1:10" s="393" customFormat="1" x14ac:dyDescent="0.25">
      <c r="A2280" s="19" t="s">
        <v>39</v>
      </c>
      <c r="B2280" s="2">
        <v>43987</v>
      </c>
      <c r="C2280" s="1">
        <v>0</v>
      </c>
      <c r="D2280" s="39">
        <v>149</v>
      </c>
      <c r="E2280" s="1"/>
      <c r="F2280" s="39">
        <f t="shared" si="130"/>
        <v>0</v>
      </c>
      <c r="G2280" s="395"/>
      <c r="H2280" s="395"/>
      <c r="J2280" s="42"/>
    </row>
    <row r="2281" spans="1:10" s="393" customFormat="1" x14ac:dyDescent="0.25">
      <c r="A2281" s="19" t="s">
        <v>40</v>
      </c>
      <c r="B2281" s="2">
        <v>43987</v>
      </c>
      <c r="C2281" s="1">
        <v>0</v>
      </c>
      <c r="D2281" s="39">
        <v>49</v>
      </c>
      <c r="E2281" s="1"/>
      <c r="F2281" s="39">
        <f>E2281+F2257</f>
        <v>3</v>
      </c>
      <c r="G2281" s="395"/>
      <c r="H2281" s="395"/>
      <c r="J2281" s="42"/>
    </row>
    <row r="2282" spans="1:10" s="393" customFormat="1" x14ac:dyDescent="0.25">
      <c r="A2282" s="394" t="s">
        <v>16</v>
      </c>
      <c r="B2282" s="2">
        <v>43988</v>
      </c>
      <c r="C2282" s="1">
        <v>457</v>
      </c>
      <c r="D2282" s="39">
        <v>8324</v>
      </c>
      <c r="E2282" s="1">
        <v>2</v>
      </c>
      <c r="F2282" s="39">
        <f>E2282+F2258</f>
        <v>263</v>
      </c>
      <c r="G2282" s="395"/>
      <c r="H2282" s="395"/>
      <c r="J2282" s="42"/>
    </row>
    <row r="2283" spans="1:10" s="393" customFormat="1" x14ac:dyDescent="0.25">
      <c r="A2283" s="19" t="s">
        <v>28</v>
      </c>
      <c r="B2283" s="2">
        <v>43988</v>
      </c>
      <c r="C2283" s="1">
        <v>0</v>
      </c>
      <c r="D2283" s="39">
        <v>0</v>
      </c>
      <c r="E2283" s="1"/>
      <c r="F2283" s="39">
        <f t="shared" ref="F2283:F2289" si="131">E2283+F2259</f>
        <v>0</v>
      </c>
      <c r="G2283" s="395"/>
      <c r="H2283" s="395"/>
      <c r="J2283" s="42"/>
    </row>
    <row r="2284" spans="1:10" s="393" customFormat="1" x14ac:dyDescent="0.25">
      <c r="A2284" s="19" t="s">
        <v>15</v>
      </c>
      <c r="B2284" s="2">
        <v>43988</v>
      </c>
      <c r="C2284" s="1">
        <v>19</v>
      </c>
      <c r="D2284" s="39">
        <v>1027</v>
      </c>
      <c r="E2284" s="1"/>
      <c r="F2284" s="39">
        <f t="shared" si="131"/>
        <v>60</v>
      </c>
      <c r="G2284" s="395"/>
      <c r="H2284" s="395"/>
      <c r="J2284" s="42"/>
    </row>
    <row r="2285" spans="1:10" s="393" customFormat="1" x14ac:dyDescent="0.25">
      <c r="A2285" s="19" t="s">
        <v>29</v>
      </c>
      <c r="B2285" s="2">
        <v>43988</v>
      </c>
      <c r="C2285" s="1">
        <v>1</v>
      </c>
      <c r="D2285" s="39">
        <v>15</v>
      </c>
      <c r="E2285" s="1"/>
      <c r="F2285" s="39">
        <f t="shared" si="131"/>
        <v>1</v>
      </c>
      <c r="G2285" s="395"/>
      <c r="H2285" s="395"/>
      <c r="J2285" s="42"/>
    </row>
    <row r="2286" spans="1:10" s="393" customFormat="1" x14ac:dyDescent="0.25">
      <c r="A2286" s="19" t="s">
        <v>43</v>
      </c>
      <c r="B2286" s="2">
        <v>43988</v>
      </c>
      <c r="C2286" s="1">
        <v>474</v>
      </c>
      <c r="D2286" s="39">
        <v>10648</v>
      </c>
      <c r="E2286" s="1">
        <v>13</v>
      </c>
      <c r="F2286" s="39">
        <f t="shared" si="131"/>
        <v>241</v>
      </c>
      <c r="G2286" s="395"/>
      <c r="H2286" s="395"/>
      <c r="J2286" s="42"/>
    </row>
    <row r="2287" spans="1:10" s="393" customFormat="1" x14ac:dyDescent="0.25">
      <c r="A2287" s="19" t="s">
        <v>20</v>
      </c>
      <c r="B2287" s="2">
        <v>43988</v>
      </c>
      <c r="C2287" s="1">
        <v>0</v>
      </c>
      <c r="D2287" s="39">
        <v>466</v>
      </c>
      <c r="E2287" s="1">
        <v>1</v>
      </c>
      <c r="F2287" s="39">
        <f t="shared" si="131"/>
        <v>30</v>
      </c>
      <c r="G2287" s="395"/>
      <c r="H2287" s="395"/>
      <c r="J2287" s="42"/>
    </row>
    <row r="2288" spans="1:10" s="393" customFormat="1" x14ac:dyDescent="0.25">
      <c r="A2288" s="19" t="s">
        <v>30</v>
      </c>
      <c r="B2288" s="2">
        <v>43988</v>
      </c>
      <c r="C2288" s="1">
        <v>0</v>
      </c>
      <c r="D2288" s="39">
        <v>96</v>
      </c>
      <c r="E2288" s="1"/>
      <c r="F2288" s="39">
        <f t="shared" si="131"/>
        <v>0</v>
      </c>
      <c r="G2288" s="395"/>
      <c r="H2288" s="395"/>
      <c r="J2288" s="42"/>
    </row>
    <row r="2289" spans="1:10" x14ac:dyDescent="0.25">
      <c r="A2289" s="19" t="s">
        <v>31</v>
      </c>
      <c r="B2289" s="2">
        <v>43988</v>
      </c>
      <c r="C2289" s="1">
        <v>10</v>
      </c>
      <c r="D2289" s="39">
        <v>49</v>
      </c>
      <c r="F2289" s="39">
        <f t="shared" si="131"/>
        <v>0</v>
      </c>
    </row>
    <row r="2290" spans="1:10" s="393" customFormat="1" x14ac:dyDescent="0.25">
      <c r="A2290" s="19" t="s">
        <v>41</v>
      </c>
      <c r="B2290" s="2">
        <v>43988</v>
      </c>
      <c r="C2290" s="1">
        <v>0</v>
      </c>
      <c r="D2290" s="39">
        <v>0</v>
      </c>
      <c r="E2290" s="1"/>
      <c r="F2290" s="39">
        <f t="shared" ref="F2290:F2304" si="132">E2290+F2265</f>
        <v>0</v>
      </c>
      <c r="G2290" s="395"/>
      <c r="H2290" s="395"/>
      <c r="J2290" s="42"/>
    </row>
    <row r="2291" spans="1:10" s="393" customFormat="1" x14ac:dyDescent="0.25">
      <c r="A2291" s="19" t="s">
        <v>32</v>
      </c>
      <c r="B2291" s="2">
        <v>43988</v>
      </c>
      <c r="C2291" s="1">
        <v>0</v>
      </c>
      <c r="D2291" s="39">
        <v>6</v>
      </c>
      <c r="E2291" s="1"/>
      <c r="F2291" s="39">
        <f t="shared" si="132"/>
        <v>0</v>
      </c>
      <c r="G2291" s="395"/>
      <c r="H2291" s="395"/>
      <c r="J2291" s="42"/>
    </row>
    <row r="2292" spans="1:10" s="393" customFormat="1" x14ac:dyDescent="0.25">
      <c r="A2292" s="19" t="s">
        <v>33</v>
      </c>
      <c r="B2292" s="2">
        <v>43988</v>
      </c>
      <c r="C2292" s="1">
        <v>0</v>
      </c>
      <c r="D2292" s="39">
        <v>5</v>
      </c>
      <c r="E2292" s="1"/>
      <c r="F2292" s="39">
        <f t="shared" si="132"/>
        <v>0</v>
      </c>
      <c r="G2292" s="395"/>
      <c r="H2292" s="395"/>
      <c r="J2292" s="42"/>
    </row>
    <row r="2293" spans="1:10" s="393" customFormat="1" x14ac:dyDescent="0.25">
      <c r="A2293" s="19" t="s">
        <v>21</v>
      </c>
      <c r="B2293" s="2">
        <v>43988</v>
      </c>
      <c r="C2293" s="1">
        <v>0</v>
      </c>
      <c r="D2293" s="39">
        <v>63</v>
      </c>
      <c r="E2293" s="1"/>
      <c r="F2293" s="39">
        <f t="shared" si="132"/>
        <v>0</v>
      </c>
      <c r="G2293" s="395"/>
      <c r="H2293" s="395"/>
      <c r="J2293" s="42"/>
    </row>
    <row r="2294" spans="1:10" s="393" customFormat="1" x14ac:dyDescent="0.25">
      <c r="A2294" s="19" t="s">
        <v>17</v>
      </c>
      <c r="B2294" s="2">
        <v>43988</v>
      </c>
      <c r="C2294" s="266">
        <v>0</v>
      </c>
      <c r="D2294" s="39">
        <v>101</v>
      </c>
      <c r="E2294" s="1"/>
      <c r="F2294" s="39">
        <f t="shared" si="132"/>
        <v>0</v>
      </c>
      <c r="G2294" s="395"/>
      <c r="H2294" s="395"/>
      <c r="J2294" s="42"/>
    </row>
    <row r="2295" spans="1:10" s="393" customFormat="1" x14ac:dyDescent="0.25">
      <c r="A2295" s="19" t="s">
        <v>23</v>
      </c>
      <c r="B2295" s="2">
        <v>43988</v>
      </c>
      <c r="C2295" s="1">
        <v>4</v>
      </c>
      <c r="D2295" s="39">
        <v>35</v>
      </c>
      <c r="E2295" s="1"/>
      <c r="F2295" s="39">
        <f t="shared" si="132"/>
        <v>0</v>
      </c>
      <c r="G2295" s="395"/>
      <c r="H2295" s="395"/>
      <c r="J2295" s="42"/>
    </row>
    <row r="2296" spans="1:10" s="393" customFormat="1" x14ac:dyDescent="0.25">
      <c r="A2296" s="19" t="s">
        <v>19</v>
      </c>
      <c r="B2296" s="2">
        <v>43988</v>
      </c>
      <c r="C2296" s="1">
        <v>1</v>
      </c>
      <c r="D2296" s="39">
        <v>152</v>
      </c>
      <c r="E2296" s="1"/>
      <c r="F2296" s="39">
        <f t="shared" si="132"/>
        <v>0</v>
      </c>
      <c r="G2296" s="395"/>
      <c r="H2296" s="395"/>
      <c r="J2296" s="42"/>
    </row>
    <row r="2297" spans="1:10" s="393" customFormat="1" x14ac:dyDescent="0.25">
      <c r="A2297" s="19" t="s">
        <v>18</v>
      </c>
      <c r="B2297" s="2">
        <v>43988</v>
      </c>
      <c r="C2297" s="1">
        <v>15</v>
      </c>
      <c r="D2297" s="39">
        <v>457</v>
      </c>
      <c r="E2297" s="1"/>
      <c r="F2297" s="39">
        <f t="shared" si="132"/>
        <v>0</v>
      </c>
      <c r="G2297" s="395"/>
      <c r="H2297" s="395"/>
      <c r="J2297" s="42"/>
    </row>
    <row r="2298" spans="1:10" s="393" customFormat="1" x14ac:dyDescent="0.25">
      <c r="A2298" s="19" t="s">
        <v>34</v>
      </c>
      <c r="B2298" s="2">
        <v>43988</v>
      </c>
      <c r="C2298" s="1">
        <v>0</v>
      </c>
      <c r="D2298" s="39">
        <v>15</v>
      </c>
      <c r="E2298" s="1"/>
      <c r="F2298" s="39">
        <f t="shared" si="132"/>
        <v>0</v>
      </c>
      <c r="G2298" s="395"/>
      <c r="H2298" s="395"/>
      <c r="J2298" s="42"/>
    </row>
    <row r="2299" spans="1:10" s="393" customFormat="1" x14ac:dyDescent="0.25">
      <c r="A2299" s="19" t="s">
        <v>35</v>
      </c>
      <c r="B2299" s="2">
        <v>43988</v>
      </c>
      <c r="C2299" s="1">
        <v>0</v>
      </c>
      <c r="D2299" s="39">
        <v>5</v>
      </c>
      <c r="E2299" s="1"/>
      <c r="F2299" s="39">
        <f>E2299+F2275</f>
        <v>0</v>
      </c>
      <c r="G2299" s="395"/>
      <c r="H2299" s="395"/>
      <c r="J2299" s="42"/>
    </row>
    <row r="2300" spans="1:10" s="393" customFormat="1" x14ac:dyDescent="0.25">
      <c r="A2300" s="19" t="s">
        <v>36</v>
      </c>
      <c r="B2300" s="2">
        <v>43988</v>
      </c>
      <c r="C2300" s="1">
        <v>0</v>
      </c>
      <c r="D2300" s="39">
        <v>11</v>
      </c>
      <c r="E2300" s="1"/>
      <c r="F2300" s="39">
        <f t="shared" si="132"/>
        <v>0</v>
      </c>
      <c r="G2300" s="395"/>
      <c r="H2300" s="395"/>
      <c r="J2300" s="42"/>
    </row>
    <row r="2301" spans="1:10" s="393" customFormat="1" x14ac:dyDescent="0.25">
      <c r="A2301" s="19" t="s">
        <v>37</v>
      </c>
      <c r="B2301" s="2">
        <v>43988</v>
      </c>
      <c r="C2301" s="1">
        <v>0</v>
      </c>
      <c r="D2301" s="39">
        <v>51</v>
      </c>
      <c r="E2301" s="1"/>
      <c r="F2301" s="39">
        <f t="shared" si="132"/>
        <v>0</v>
      </c>
      <c r="G2301" s="395"/>
      <c r="H2301" s="395"/>
      <c r="J2301" s="42"/>
    </row>
    <row r="2302" spans="1:10" s="393" customFormat="1" x14ac:dyDescent="0.25">
      <c r="A2302" s="19" t="s">
        <v>22</v>
      </c>
      <c r="B2302" s="2">
        <v>43988</v>
      </c>
      <c r="C2302" s="1">
        <v>2</v>
      </c>
      <c r="D2302" s="39">
        <v>276</v>
      </c>
      <c r="E2302" s="1"/>
      <c r="F2302" s="39">
        <f>E2302+F2278</f>
        <v>3</v>
      </c>
      <c r="G2302" s="395"/>
      <c r="H2302" s="395"/>
      <c r="J2302" s="42"/>
    </row>
    <row r="2303" spans="1:10" s="393" customFormat="1" x14ac:dyDescent="0.25">
      <c r="A2303" s="19" t="s">
        <v>38</v>
      </c>
      <c r="B2303" s="2">
        <v>43988</v>
      </c>
      <c r="C2303" s="1">
        <v>0</v>
      </c>
      <c r="D2303" s="39">
        <v>22</v>
      </c>
      <c r="E2303" s="1"/>
      <c r="F2303" s="39">
        <f>E2303+F2279</f>
        <v>0</v>
      </c>
      <c r="G2303" s="395"/>
      <c r="H2303" s="395"/>
      <c r="J2303" s="42"/>
    </row>
    <row r="2304" spans="1:10" s="393" customFormat="1" x14ac:dyDescent="0.25">
      <c r="A2304" s="19" t="s">
        <v>39</v>
      </c>
      <c r="B2304" s="2">
        <v>43988</v>
      </c>
      <c r="C2304" s="1">
        <v>0</v>
      </c>
      <c r="D2304" s="39">
        <v>149</v>
      </c>
      <c r="E2304" s="1"/>
      <c r="F2304" s="39">
        <f t="shared" si="132"/>
        <v>0</v>
      </c>
      <c r="G2304" s="395"/>
      <c r="H2304" s="395"/>
      <c r="J2304" s="42"/>
    </row>
    <row r="2305" spans="1:10" s="393" customFormat="1" x14ac:dyDescent="0.25">
      <c r="A2305" s="19" t="s">
        <v>40</v>
      </c>
      <c r="B2305" s="2">
        <v>43988</v>
      </c>
      <c r="C2305" s="1">
        <v>0</v>
      </c>
      <c r="D2305" s="39">
        <v>49</v>
      </c>
      <c r="E2305" s="1"/>
      <c r="F2305" s="39">
        <f>E2305+F2281</f>
        <v>3</v>
      </c>
      <c r="G2305" s="395"/>
      <c r="H2305" s="395"/>
      <c r="J2305" s="42"/>
    </row>
    <row r="2306" spans="1:10" s="393" customFormat="1" x14ac:dyDescent="0.25">
      <c r="A2306" s="394" t="s">
        <v>16</v>
      </c>
      <c r="B2306" s="2">
        <v>43989</v>
      </c>
      <c r="C2306" s="1">
        <v>375</v>
      </c>
      <c r="D2306" s="39">
        <v>8699</v>
      </c>
      <c r="E2306" s="1">
        <v>9</v>
      </c>
      <c r="F2306" s="39">
        <f>E2306+F2282</f>
        <v>272</v>
      </c>
      <c r="G2306" s="395"/>
      <c r="H2306" s="395"/>
      <c r="J2306" s="42"/>
    </row>
    <row r="2307" spans="1:10" s="393" customFormat="1" x14ac:dyDescent="0.25">
      <c r="A2307" s="19" t="s">
        <v>28</v>
      </c>
      <c r="B2307" s="2">
        <v>43989</v>
      </c>
      <c r="C2307" s="1">
        <v>0</v>
      </c>
      <c r="D2307" s="39">
        <v>0</v>
      </c>
      <c r="E2307" s="1"/>
      <c r="F2307" s="39">
        <f t="shared" ref="F2307:F2313" si="133">E2307+F2283</f>
        <v>0</v>
      </c>
      <c r="G2307" s="395"/>
      <c r="H2307" s="395"/>
      <c r="J2307" s="42"/>
    </row>
    <row r="2308" spans="1:10" s="393" customFormat="1" x14ac:dyDescent="0.25">
      <c r="A2308" s="19" t="s">
        <v>15</v>
      </c>
      <c r="B2308" s="2">
        <v>43989</v>
      </c>
      <c r="C2308" s="1">
        <v>18</v>
      </c>
      <c r="D2308" s="39">
        <v>1045</v>
      </c>
      <c r="E2308" s="1">
        <v>1</v>
      </c>
      <c r="F2308" s="39">
        <f t="shared" si="133"/>
        <v>61</v>
      </c>
      <c r="G2308" s="395"/>
      <c r="H2308" s="395"/>
      <c r="J2308" s="42"/>
    </row>
    <row r="2309" spans="1:10" s="393" customFormat="1" x14ac:dyDescent="0.25">
      <c r="A2309" s="19" t="s">
        <v>29</v>
      </c>
      <c r="B2309" s="2">
        <v>43989</v>
      </c>
      <c r="C2309" s="1">
        <v>5</v>
      </c>
      <c r="D2309" s="39">
        <v>20</v>
      </c>
      <c r="E2309" s="1"/>
      <c r="F2309" s="39">
        <f t="shared" si="133"/>
        <v>1</v>
      </c>
      <c r="G2309" s="395"/>
      <c r="H2309" s="395"/>
      <c r="J2309" s="42"/>
    </row>
    <row r="2310" spans="1:10" s="393" customFormat="1" x14ac:dyDescent="0.25">
      <c r="A2310" s="19" t="s">
        <v>43</v>
      </c>
      <c r="B2310" s="2">
        <v>43989</v>
      </c>
      <c r="C2310" s="1">
        <v>359</v>
      </c>
      <c r="D2310" s="39">
        <v>11007</v>
      </c>
      <c r="E2310" s="1">
        <v>4</v>
      </c>
      <c r="F2310" s="39">
        <f t="shared" si="133"/>
        <v>245</v>
      </c>
      <c r="G2310" s="395"/>
      <c r="H2310" s="395"/>
      <c r="J2310" s="42"/>
    </row>
    <row r="2311" spans="1:10" s="393" customFormat="1" x14ac:dyDescent="0.25">
      <c r="A2311" s="19" t="s">
        <v>20</v>
      </c>
      <c r="B2311" s="2">
        <v>43989</v>
      </c>
      <c r="C2311" s="1">
        <v>0</v>
      </c>
      <c r="D2311" s="39">
        <v>466</v>
      </c>
      <c r="E2311" s="1"/>
      <c r="F2311" s="39">
        <f t="shared" si="133"/>
        <v>30</v>
      </c>
      <c r="G2311" s="395"/>
      <c r="H2311" s="395"/>
      <c r="J2311" s="42"/>
    </row>
    <row r="2312" spans="1:10" s="393" customFormat="1" x14ac:dyDescent="0.25">
      <c r="A2312" s="19" t="s">
        <v>30</v>
      </c>
      <c r="B2312" s="2">
        <v>43989</v>
      </c>
      <c r="C2312" s="1">
        <v>0</v>
      </c>
      <c r="D2312" s="39">
        <v>96</v>
      </c>
      <c r="E2312" s="1"/>
      <c r="F2312" s="39">
        <f t="shared" si="133"/>
        <v>0</v>
      </c>
      <c r="G2312" s="395"/>
      <c r="H2312" s="395"/>
      <c r="J2312" s="42"/>
    </row>
    <row r="2313" spans="1:10" x14ac:dyDescent="0.25">
      <c r="A2313" s="19" t="s">
        <v>31</v>
      </c>
      <c r="B2313" s="2">
        <v>43989</v>
      </c>
      <c r="C2313" s="1">
        <v>2</v>
      </c>
      <c r="D2313" s="39">
        <v>51</v>
      </c>
      <c r="F2313" s="39">
        <f t="shared" si="133"/>
        <v>0</v>
      </c>
    </row>
    <row r="2314" spans="1:10" s="393" customFormat="1" x14ac:dyDescent="0.25">
      <c r="A2314" s="19" t="s">
        <v>41</v>
      </c>
      <c r="B2314" s="2">
        <v>43989</v>
      </c>
      <c r="C2314" s="1">
        <v>0</v>
      </c>
      <c r="D2314" s="39">
        <v>0</v>
      </c>
      <c r="E2314" s="1"/>
      <c r="F2314" s="39">
        <f t="shared" ref="F2314:F2328" si="134">E2314+F2289</f>
        <v>0</v>
      </c>
      <c r="G2314" s="395"/>
      <c r="H2314" s="395"/>
      <c r="J2314" s="42"/>
    </row>
    <row r="2315" spans="1:10" s="393" customFormat="1" x14ac:dyDescent="0.25">
      <c r="A2315" s="19" t="s">
        <v>32</v>
      </c>
      <c r="B2315" s="2">
        <v>43989</v>
      </c>
      <c r="C2315" s="1">
        <v>0</v>
      </c>
      <c r="D2315" s="39">
        <v>6</v>
      </c>
      <c r="E2315" s="1"/>
      <c r="F2315" s="39">
        <f t="shared" si="134"/>
        <v>0</v>
      </c>
      <c r="G2315" s="395"/>
      <c r="H2315" s="395"/>
      <c r="J2315" s="42"/>
    </row>
    <row r="2316" spans="1:10" s="393" customFormat="1" x14ac:dyDescent="0.25">
      <c r="A2316" s="19" t="s">
        <v>33</v>
      </c>
      <c r="B2316" s="2">
        <v>43989</v>
      </c>
      <c r="C2316" s="1">
        <v>0</v>
      </c>
      <c r="D2316" s="39">
        <v>5</v>
      </c>
      <c r="E2316" s="1"/>
      <c r="F2316" s="39">
        <f t="shared" si="134"/>
        <v>0</v>
      </c>
      <c r="G2316" s="395"/>
      <c r="H2316" s="395"/>
      <c r="J2316" s="42"/>
    </row>
    <row r="2317" spans="1:10" s="393" customFormat="1" x14ac:dyDescent="0.25">
      <c r="A2317" s="19" t="s">
        <v>21</v>
      </c>
      <c r="B2317" s="2">
        <v>43989</v>
      </c>
      <c r="C2317" s="1">
        <v>1</v>
      </c>
      <c r="D2317" s="39">
        <v>64</v>
      </c>
      <c r="E2317" s="1">
        <v>1</v>
      </c>
      <c r="F2317" s="39">
        <f t="shared" si="134"/>
        <v>1</v>
      </c>
      <c r="G2317" s="395"/>
      <c r="H2317" s="395"/>
      <c r="J2317" s="42"/>
    </row>
    <row r="2318" spans="1:10" s="393" customFormat="1" x14ac:dyDescent="0.25">
      <c r="A2318" s="19" t="s">
        <v>17</v>
      </c>
      <c r="B2318" s="2">
        <v>43989</v>
      </c>
      <c r="C2318" s="1">
        <v>0</v>
      </c>
      <c r="D2318" s="39">
        <v>101</v>
      </c>
      <c r="E2318" s="1"/>
      <c r="F2318" s="39">
        <f t="shared" si="134"/>
        <v>0</v>
      </c>
      <c r="G2318" s="395"/>
      <c r="H2318" s="395"/>
      <c r="J2318" s="42"/>
    </row>
    <row r="2319" spans="1:10" s="393" customFormat="1" x14ac:dyDescent="0.25">
      <c r="A2319" s="19" t="s">
        <v>23</v>
      </c>
      <c r="B2319" s="2">
        <v>43989</v>
      </c>
      <c r="C2319" s="1">
        <v>3</v>
      </c>
      <c r="D2319" s="39">
        <v>38</v>
      </c>
      <c r="E2319" s="1"/>
      <c r="F2319" s="39">
        <f t="shared" si="134"/>
        <v>0</v>
      </c>
      <c r="G2319" s="395"/>
      <c r="H2319" s="395"/>
      <c r="J2319" s="42"/>
    </row>
    <row r="2320" spans="1:10" s="393" customFormat="1" x14ac:dyDescent="0.25">
      <c r="A2320" s="19" t="s">
        <v>19</v>
      </c>
      <c r="B2320" s="2">
        <v>43989</v>
      </c>
      <c r="C2320" s="1">
        <v>0</v>
      </c>
      <c r="D2320" s="39">
        <v>152</v>
      </c>
      <c r="E2320" s="1"/>
      <c r="F2320" s="39">
        <f t="shared" si="134"/>
        <v>0</v>
      </c>
      <c r="G2320" s="395"/>
      <c r="H2320" s="395"/>
      <c r="J2320" s="42"/>
    </row>
    <row r="2321" spans="1:10" s="393" customFormat="1" x14ac:dyDescent="0.25">
      <c r="A2321" s="19" t="s">
        <v>18</v>
      </c>
      <c r="B2321" s="2">
        <v>43989</v>
      </c>
      <c r="C2321" s="1">
        <v>10</v>
      </c>
      <c r="D2321" s="39">
        <v>467</v>
      </c>
      <c r="E2321" s="1">
        <v>1</v>
      </c>
      <c r="F2321" s="39">
        <f t="shared" si="134"/>
        <v>1</v>
      </c>
      <c r="G2321" s="395"/>
      <c r="H2321" s="395"/>
      <c r="J2321" s="42"/>
    </row>
    <row r="2322" spans="1:10" s="393" customFormat="1" x14ac:dyDescent="0.25">
      <c r="A2322" s="19" t="s">
        <v>34</v>
      </c>
      <c r="B2322" s="2">
        <v>43989</v>
      </c>
      <c r="C2322" s="1">
        <v>1</v>
      </c>
      <c r="D2322" s="39">
        <v>16</v>
      </c>
      <c r="E2322" s="1"/>
      <c r="F2322" s="39">
        <f t="shared" si="134"/>
        <v>0</v>
      </c>
      <c r="G2322" s="395"/>
      <c r="H2322" s="395"/>
      <c r="J2322" s="42"/>
    </row>
    <row r="2323" spans="1:10" s="393" customFormat="1" x14ac:dyDescent="0.25">
      <c r="A2323" s="19" t="s">
        <v>35</v>
      </c>
      <c r="B2323" s="2">
        <v>43989</v>
      </c>
      <c r="C2323" s="1">
        <v>0</v>
      </c>
      <c r="D2323" s="39">
        <v>5</v>
      </c>
      <c r="E2323" s="1"/>
      <c r="F2323" s="39">
        <f>E2323+F2299</f>
        <v>0</v>
      </c>
      <c r="G2323" s="395"/>
      <c r="H2323" s="395"/>
      <c r="J2323" s="42"/>
    </row>
    <row r="2324" spans="1:10" s="393" customFormat="1" x14ac:dyDescent="0.25">
      <c r="A2324" s="19" t="s">
        <v>36</v>
      </c>
      <c r="B2324" s="2">
        <v>43989</v>
      </c>
      <c r="C2324" s="1">
        <v>0</v>
      </c>
      <c r="D2324" s="39">
        <v>11</v>
      </c>
      <c r="E2324" s="1"/>
      <c r="F2324" s="39">
        <f t="shared" si="134"/>
        <v>0</v>
      </c>
      <c r="G2324" s="395"/>
      <c r="H2324" s="395"/>
      <c r="J2324" s="42"/>
    </row>
    <row r="2325" spans="1:10" s="393" customFormat="1" x14ac:dyDescent="0.25">
      <c r="A2325" s="19" t="s">
        <v>37</v>
      </c>
      <c r="B2325" s="2">
        <v>43989</v>
      </c>
      <c r="C2325" s="1">
        <v>0</v>
      </c>
      <c r="D2325" s="39">
        <v>51</v>
      </c>
      <c r="E2325" s="1"/>
      <c r="F2325" s="39">
        <f t="shared" si="134"/>
        <v>0</v>
      </c>
      <c r="G2325" s="395"/>
      <c r="H2325" s="395"/>
      <c r="J2325" s="42"/>
    </row>
    <row r="2326" spans="1:10" s="393" customFormat="1" x14ac:dyDescent="0.25">
      <c r="A2326" s="19" t="s">
        <v>22</v>
      </c>
      <c r="B2326" s="2">
        <v>43989</v>
      </c>
      <c r="C2326" s="1">
        <v>0</v>
      </c>
      <c r="D2326" s="39">
        <v>276</v>
      </c>
      <c r="E2326" s="1"/>
      <c r="F2326" s="39">
        <f>E2326+F2302</f>
        <v>3</v>
      </c>
      <c r="G2326" s="395"/>
      <c r="H2326" s="395"/>
      <c r="J2326" s="42"/>
    </row>
    <row r="2327" spans="1:10" s="393" customFormat="1" x14ac:dyDescent="0.25">
      <c r="A2327" s="19" t="s">
        <v>38</v>
      </c>
      <c r="B2327" s="2">
        <v>43989</v>
      </c>
      <c r="C2327" s="1">
        <v>0</v>
      </c>
      <c r="D2327" s="39">
        <v>22</v>
      </c>
      <c r="E2327" s="1"/>
      <c r="F2327" s="39">
        <f>E2327+F2303</f>
        <v>0</v>
      </c>
      <c r="G2327" s="395"/>
      <c r="H2327" s="395"/>
      <c r="J2327" s="42"/>
    </row>
    <row r="2328" spans="1:10" s="393" customFormat="1" x14ac:dyDescent="0.25">
      <c r="A2328" s="19" t="s">
        <v>39</v>
      </c>
      <c r="B2328" s="2">
        <v>43989</v>
      </c>
      <c r="C2328" s="1">
        <v>0</v>
      </c>
      <c r="D2328" s="39">
        <v>149</v>
      </c>
      <c r="E2328" s="1"/>
      <c r="F2328" s="39">
        <f t="shared" si="134"/>
        <v>0</v>
      </c>
      <c r="G2328" s="395"/>
      <c r="H2328" s="395"/>
      <c r="J2328" s="42"/>
    </row>
    <row r="2329" spans="1:10" s="393" customFormat="1" x14ac:dyDescent="0.25">
      <c r="A2329" s="19" t="s">
        <v>40</v>
      </c>
      <c r="B2329" s="2">
        <v>43989</v>
      </c>
      <c r="C2329" s="1">
        <v>0</v>
      </c>
      <c r="D2329" s="39">
        <v>49</v>
      </c>
      <c r="E2329" s="1"/>
      <c r="F2329" s="39">
        <f>E2329+F2305</f>
        <v>3</v>
      </c>
      <c r="G2329" s="395"/>
      <c r="H2329" s="395"/>
      <c r="J2329" s="42"/>
    </row>
    <row r="2330" spans="1:10" s="393" customFormat="1" x14ac:dyDescent="0.25">
      <c r="A2330" s="394" t="s">
        <v>16</v>
      </c>
      <c r="B2330" s="2">
        <v>43990</v>
      </c>
      <c r="C2330" s="1">
        <v>344</v>
      </c>
      <c r="D2330" s="39">
        <v>9043</v>
      </c>
      <c r="E2330" s="1">
        <v>16</v>
      </c>
      <c r="F2330" s="39">
        <f>E2330+F2306</f>
        <v>288</v>
      </c>
      <c r="G2330" s="395"/>
      <c r="H2330" s="395"/>
      <c r="J2330" s="42"/>
    </row>
    <row r="2331" spans="1:10" s="393" customFormat="1" x14ac:dyDescent="0.25">
      <c r="A2331" s="19" t="s">
        <v>28</v>
      </c>
      <c r="B2331" s="2">
        <v>43990</v>
      </c>
      <c r="C2331" s="1">
        <v>0</v>
      </c>
      <c r="D2331" s="39">
        <v>0</v>
      </c>
      <c r="E2331" s="1"/>
      <c r="F2331" s="39">
        <f t="shared" ref="F2331:F2337" si="135">E2331+F2307</f>
        <v>0</v>
      </c>
      <c r="G2331" s="395"/>
      <c r="H2331" s="395"/>
      <c r="J2331" s="42"/>
    </row>
    <row r="2332" spans="1:10" s="393" customFormat="1" x14ac:dyDescent="0.25">
      <c r="A2332" s="19" t="s">
        <v>15</v>
      </c>
      <c r="B2332" s="2">
        <v>43990</v>
      </c>
      <c r="C2332" s="1">
        <v>45</v>
      </c>
      <c r="D2332" s="39">
        <v>1090</v>
      </c>
      <c r="E2332" s="1">
        <v>1</v>
      </c>
      <c r="F2332" s="39">
        <f t="shared" si="135"/>
        <v>62</v>
      </c>
      <c r="G2332" s="395"/>
      <c r="H2332" s="395"/>
      <c r="J2332" s="42"/>
    </row>
    <row r="2333" spans="1:10" s="393" customFormat="1" x14ac:dyDescent="0.25">
      <c r="A2333" s="19" t="s">
        <v>29</v>
      </c>
      <c r="B2333" s="2">
        <v>43990</v>
      </c>
      <c r="C2333" s="1">
        <v>1</v>
      </c>
      <c r="D2333" s="39">
        <v>21</v>
      </c>
      <c r="E2333" s="1"/>
      <c r="F2333" s="39">
        <f t="shared" si="135"/>
        <v>1</v>
      </c>
      <c r="G2333" s="395"/>
      <c r="H2333" s="395"/>
      <c r="J2333" s="42"/>
    </row>
    <row r="2334" spans="1:10" s="393" customFormat="1" x14ac:dyDescent="0.25">
      <c r="A2334" s="19" t="s">
        <v>43</v>
      </c>
      <c r="B2334" s="2">
        <v>43990</v>
      </c>
      <c r="C2334" s="1">
        <v>420</v>
      </c>
      <c r="D2334" s="39">
        <v>11427</v>
      </c>
      <c r="E2334" s="1">
        <v>9</v>
      </c>
      <c r="F2334" s="39">
        <f t="shared" si="135"/>
        <v>254</v>
      </c>
      <c r="G2334" s="395"/>
      <c r="H2334" s="395"/>
      <c r="J2334" s="42"/>
    </row>
    <row r="2335" spans="1:10" s="393" customFormat="1" x14ac:dyDescent="0.25">
      <c r="A2335" s="19" t="s">
        <v>20</v>
      </c>
      <c r="B2335" s="2">
        <v>43990</v>
      </c>
      <c r="C2335" s="1">
        <v>1</v>
      </c>
      <c r="D2335" s="39">
        <v>467</v>
      </c>
      <c r="E2335" s="1"/>
      <c r="F2335" s="39">
        <f t="shared" si="135"/>
        <v>30</v>
      </c>
      <c r="G2335" s="395"/>
      <c r="H2335" s="395"/>
      <c r="J2335" s="42"/>
    </row>
    <row r="2336" spans="1:10" s="393" customFormat="1" x14ac:dyDescent="0.25">
      <c r="A2336" s="19" t="s">
        <v>30</v>
      </c>
      <c r="B2336" s="2">
        <v>43990</v>
      </c>
      <c r="C2336" s="1">
        <v>0</v>
      </c>
      <c r="D2336" s="39">
        <v>96</v>
      </c>
      <c r="E2336" s="1"/>
      <c r="F2336" s="39">
        <f t="shared" si="135"/>
        <v>0</v>
      </c>
      <c r="G2336" s="395"/>
      <c r="H2336" s="395"/>
      <c r="J2336" s="42"/>
    </row>
    <row r="2337" spans="1:10" x14ac:dyDescent="0.25">
      <c r="A2337" s="19" t="s">
        <v>31</v>
      </c>
      <c r="B2337" s="2">
        <v>43990</v>
      </c>
      <c r="C2337" s="1">
        <v>2</v>
      </c>
      <c r="D2337" s="39">
        <v>53</v>
      </c>
      <c r="F2337" s="39">
        <f t="shared" si="135"/>
        <v>0</v>
      </c>
    </row>
    <row r="2338" spans="1:10" s="393" customFormat="1" x14ac:dyDescent="0.25">
      <c r="A2338" s="19" t="s">
        <v>41</v>
      </c>
      <c r="B2338" s="2">
        <v>43990</v>
      </c>
      <c r="C2338" s="1">
        <v>0</v>
      </c>
      <c r="D2338" s="39">
        <v>0</v>
      </c>
      <c r="E2338" s="1"/>
      <c r="F2338" s="39">
        <f t="shared" ref="F2338:F2352" si="136">E2338+F2313</f>
        <v>0</v>
      </c>
      <c r="G2338" s="395"/>
      <c r="H2338" s="395"/>
      <c r="J2338" s="42"/>
    </row>
    <row r="2339" spans="1:10" s="393" customFormat="1" x14ac:dyDescent="0.25">
      <c r="A2339" s="19" t="s">
        <v>32</v>
      </c>
      <c r="B2339" s="2">
        <v>43990</v>
      </c>
      <c r="C2339" s="1">
        <v>0</v>
      </c>
      <c r="D2339" s="39">
        <v>6</v>
      </c>
      <c r="E2339" s="1"/>
      <c r="F2339" s="39">
        <f t="shared" si="136"/>
        <v>0</v>
      </c>
      <c r="G2339" s="395"/>
      <c r="H2339" s="395"/>
      <c r="J2339" s="42"/>
    </row>
    <row r="2340" spans="1:10" s="393" customFormat="1" x14ac:dyDescent="0.25">
      <c r="A2340" s="19" t="s">
        <v>33</v>
      </c>
      <c r="B2340" s="2">
        <v>43990</v>
      </c>
      <c r="C2340" s="1">
        <v>0</v>
      </c>
      <c r="D2340" s="39">
        <v>5</v>
      </c>
      <c r="E2340" s="1"/>
      <c r="F2340" s="39">
        <f t="shared" si="136"/>
        <v>0</v>
      </c>
      <c r="G2340" s="395"/>
      <c r="H2340" s="395"/>
      <c r="J2340" s="42"/>
    </row>
    <row r="2341" spans="1:10" s="393" customFormat="1" x14ac:dyDescent="0.25">
      <c r="A2341" s="19" t="s">
        <v>21</v>
      </c>
      <c r="B2341" s="2">
        <v>43990</v>
      </c>
      <c r="C2341" s="1">
        <v>0</v>
      </c>
      <c r="D2341" s="39">
        <v>64</v>
      </c>
      <c r="E2341" s="1"/>
      <c r="F2341" s="39">
        <f t="shared" si="136"/>
        <v>0</v>
      </c>
      <c r="G2341" s="395"/>
      <c r="H2341" s="395"/>
      <c r="J2341" s="42"/>
    </row>
    <row r="2342" spans="1:10" s="393" customFormat="1" x14ac:dyDescent="0.25">
      <c r="A2342" s="19" t="s">
        <v>17</v>
      </c>
      <c r="B2342" s="2">
        <v>43990</v>
      </c>
      <c r="C2342" s="1">
        <v>1</v>
      </c>
      <c r="D2342" s="39">
        <v>102</v>
      </c>
      <c r="E2342" s="1"/>
      <c r="F2342" s="39">
        <f t="shared" si="136"/>
        <v>1</v>
      </c>
      <c r="G2342" s="395"/>
      <c r="H2342" s="395"/>
      <c r="J2342" s="42"/>
    </row>
    <row r="2343" spans="1:10" s="393" customFormat="1" x14ac:dyDescent="0.25">
      <c r="A2343" s="19" t="s">
        <v>23</v>
      </c>
      <c r="B2343" s="2">
        <v>43990</v>
      </c>
      <c r="C2343" s="1">
        <v>1</v>
      </c>
      <c r="D2343" s="39">
        <v>39</v>
      </c>
      <c r="E2343" s="1"/>
      <c r="F2343" s="39">
        <f t="shared" si="136"/>
        <v>0</v>
      </c>
      <c r="G2343" s="395"/>
      <c r="H2343" s="395"/>
      <c r="J2343" s="42"/>
    </row>
    <row r="2344" spans="1:10" s="393" customFormat="1" x14ac:dyDescent="0.25">
      <c r="A2344" s="19" t="s">
        <v>19</v>
      </c>
      <c r="B2344" s="2">
        <v>43990</v>
      </c>
      <c r="C2344" s="1">
        <v>0</v>
      </c>
      <c r="D2344" s="39">
        <v>152</v>
      </c>
      <c r="E2344" s="1"/>
      <c r="F2344" s="39">
        <f t="shared" si="136"/>
        <v>0</v>
      </c>
      <c r="G2344" s="395"/>
      <c r="H2344" s="395"/>
      <c r="J2344" s="42"/>
    </row>
    <row r="2345" spans="1:10" s="393" customFormat="1" x14ac:dyDescent="0.25">
      <c r="A2345" s="19" t="s">
        <v>18</v>
      </c>
      <c r="B2345" s="2">
        <v>43990</v>
      </c>
      <c r="C2345" s="1">
        <v>11</v>
      </c>
      <c r="D2345" s="39">
        <v>478</v>
      </c>
      <c r="E2345" s="1">
        <v>2</v>
      </c>
      <c r="F2345" s="39">
        <f t="shared" si="136"/>
        <v>2</v>
      </c>
      <c r="G2345" s="395"/>
      <c r="H2345" s="395"/>
      <c r="J2345" s="42"/>
    </row>
    <row r="2346" spans="1:10" s="393" customFormat="1" x14ac:dyDescent="0.25">
      <c r="A2346" s="19" t="s">
        <v>34</v>
      </c>
      <c r="B2346" s="2">
        <v>43990</v>
      </c>
      <c r="C2346" s="1">
        <v>0</v>
      </c>
      <c r="D2346" s="39">
        <v>16</v>
      </c>
      <c r="E2346" s="1"/>
      <c r="F2346" s="39">
        <f t="shared" si="136"/>
        <v>1</v>
      </c>
      <c r="G2346" s="395"/>
      <c r="H2346" s="395"/>
      <c r="J2346" s="42"/>
    </row>
    <row r="2347" spans="1:10" s="393" customFormat="1" x14ac:dyDescent="0.25">
      <c r="A2347" s="19" t="s">
        <v>35</v>
      </c>
      <c r="B2347" s="2">
        <v>43990</v>
      </c>
      <c r="C2347" s="1">
        <v>0</v>
      </c>
      <c r="D2347" s="39">
        <v>5</v>
      </c>
      <c r="E2347" s="1"/>
      <c r="F2347" s="39">
        <f>E2347+F2323</f>
        <v>0</v>
      </c>
      <c r="G2347" s="395"/>
      <c r="H2347" s="395"/>
      <c r="J2347" s="42"/>
    </row>
    <row r="2348" spans="1:10" s="393" customFormat="1" x14ac:dyDescent="0.25">
      <c r="A2348" s="19" t="s">
        <v>36</v>
      </c>
      <c r="B2348" s="2">
        <v>43990</v>
      </c>
      <c r="C2348" s="1">
        <v>0</v>
      </c>
      <c r="D2348" s="39">
        <v>11</v>
      </c>
      <c r="E2348" s="1"/>
      <c r="F2348" s="39">
        <f t="shared" si="136"/>
        <v>0</v>
      </c>
      <c r="G2348" s="395"/>
      <c r="H2348" s="395"/>
      <c r="J2348" s="42"/>
    </row>
    <row r="2349" spans="1:10" s="393" customFormat="1" x14ac:dyDescent="0.25">
      <c r="A2349" s="19" t="s">
        <v>37</v>
      </c>
      <c r="B2349" s="2">
        <v>43990</v>
      </c>
      <c r="C2349" s="1">
        <v>0</v>
      </c>
      <c r="D2349" s="39">
        <v>51</v>
      </c>
      <c r="E2349" s="1"/>
      <c r="F2349" s="39">
        <f t="shared" si="136"/>
        <v>0</v>
      </c>
      <c r="G2349" s="395"/>
      <c r="H2349" s="395"/>
      <c r="J2349" s="42"/>
    </row>
    <row r="2350" spans="1:10" s="393" customFormat="1" x14ac:dyDescent="0.25">
      <c r="A2350" s="19" t="s">
        <v>22</v>
      </c>
      <c r="B2350" s="2">
        <v>43990</v>
      </c>
      <c r="C2350" s="1">
        <v>0</v>
      </c>
      <c r="D2350" s="39">
        <v>276</v>
      </c>
      <c r="E2350" s="1"/>
      <c r="F2350" s="39">
        <f>E2350+F2326</f>
        <v>3</v>
      </c>
      <c r="G2350" s="395"/>
      <c r="H2350" s="395"/>
      <c r="J2350" s="42"/>
    </row>
    <row r="2351" spans="1:10" s="393" customFormat="1" x14ac:dyDescent="0.25">
      <c r="A2351" s="19" t="s">
        <v>38</v>
      </c>
      <c r="B2351" s="2">
        <v>43990</v>
      </c>
      <c r="C2351" s="1">
        <v>0</v>
      </c>
      <c r="D2351" s="39">
        <v>22</v>
      </c>
      <c r="E2351" s="1"/>
      <c r="F2351" s="39">
        <f>E2351+F2327</f>
        <v>0</v>
      </c>
      <c r="G2351" s="395"/>
      <c r="H2351" s="395"/>
      <c r="J2351" s="42"/>
    </row>
    <row r="2352" spans="1:10" s="393" customFormat="1" x14ac:dyDescent="0.25">
      <c r="A2352" s="19" t="s">
        <v>39</v>
      </c>
      <c r="B2352" s="2">
        <v>43990</v>
      </c>
      <c r="C2352" s="1">
        <v>0</v>
      </c>
      <c r="D2352" s="39">
        <v>149</v>
      </c>
      <c r="E2352" s="1"/>
      <c r="F2352" s="39">
        <f t="shared" si="136"/>
        <v>0</v>
      </c>
      <c r="G2352" s="395"/>
      <c r="H2352" s="395"/>
      <c r="J2352" s="42"/>
    </row>
    <row r="2353" spans="1:10" s="393" customFormat="1" x14ac:dyDescent="0.25">
      <c r="A2353" s="19" t="s">
        <v>40</v>
      </c>
      <c r="B2353" s="2">
        <v>43990</v>
      </c>
      <c r="C2353" s="1">
        <v>0</v>
      </c>
      <c r="D2353" s="39">
        <v>49</v>
      </c>
      <c r="E2353" s="1">
        <v>1</v>
      </c>
      <c r="F2353" s="39">
        <f>E2353+F2329</f>
        <v>4</v>
      </c>
      <c r="G2353" s="395"/>
      <c r="H2353" s="395"/>
      <c r="J2353" s="42"/>
    </row>
    <row r="2354" spans="1:10" s="393" customFormat="1" x14ac:dyDescent="0.25">
      <c r="A2354" s="394" t="s">
        <v>16</v>
      </c>
      <c r="B2354" s="2">
        <v>43991</v>
      </c>
      <c r="C2354" s="1">
        <v>545</v>
      </c>
      <c r="D2354" s="39">
        <v>9588</v>
      </c>
      <c r="E2354" s="1">
        <v>13</v>
      </c>
      <c r="F2354" s="39">
        <f>E2354+F2330</f>
        <v>301</v>
      </c>
      <c r="G2354" s="395"/>
      <c r="H2354" s="395"/>
      <c r="J2354" s="42"/>
    </row>
    <row r="2355" spans="1:10" s="393" customFormat="1" x14ac:dyDescent="0.25">
      <c r="A2355" s="19" t="s">
        <v>28</v>
      </c>
      <c r="B2355" s="2">
        <v>43991</v>
      </c>
      <c r="C2355" s="1">
        <v>0</v>
      </c>
      <c r="D2355" s="39">
        <v>0</v>
      </c>
      <c r="E2355" s="1"/>
      <c r="F2355" s="39">
        <f t="shared" ref="F2355:F2361" si="137">E2355+F2331</f>
        <v>0</v>
      </c>
      <c r="G2355" s="395"/>
      <c r="H2355" s="395"/>
      <c r="J2355" s="42"/>
    </row>
    <row r="2356" spans="1:10" s="393" customFormat="1" x14ac:dyDescent="0.25">
      <c r="A2356" s="19" t="s">
        <v>15</v>
      </c>
      <c r="B2356" s="2">
        <v>43991</v>
      </c>
      <c r="C2356" s="1">
        <v>28</v>
      </c>
      <c r="D2356" s="39">
        <v>1118</v>
      </c>
      <c r="E2356" s="1">
        <v>2</v>
      </c>
      <c r="F2356" s="39">
        <f t="shared" si="137"/>
        <v>64</v>
      </c>
      <c r="G2356" s="395"/>
      <c r="H2356" s="395"/>
      <c r="J2356" s="42"/>
    </row>
    <row r="2357" spans="1:10" s="393" customFormat="1" x14ac:dyDescent="0.25">
      <c r="A2357" s="19" t="s">
        <v>29</v>
      </c>
      <c r="B2357" s="2">
        <v>43991</v>
      </c>
      <c r="C2357" s="1">
        <v>5</v>
      </c>
      <c r="D2357" s="39">
        <v>26</v>
      </c>
      <c r="E2357" s="1"/>
      <c r="F2357" s="39">
        <f t="shared" si="137"/>
        <v>1</v>
      </c>
      <c r="G2357" s="395"/>
      <c r="H2357" s="395"/>
      <c r="J2357" s="42"/>
    </row>
    <row r="2358" spans="1:10" s="393" customFormat="1" x14ac:dyDescent="0.25">
      <c r="A2358" s="19" t="s">
        <v>43</v>
      </c>
      <c r="B2358" s="2">
        <v>43991</v>
      </c>
      <c r="C2358" s="1">
        <v>535</v>
      </c>
      <c r="D2358" s="39">
        <v>11962</v>
      </c>
      <c r="E2358" s="1">
        <v>8</v>
      </c>
      <c r="F2358" s="39">
        <f t="shared" si="137"/>
        <v>262</v>
      </c>
      <c r="G2358" s="395"/>
      <c r="H2358" s="395"/>
      <c r="J2358" s="42"/>
    </row>
    <row r="2359" spans="1:10" s="393" customFormat="1" x14ac:dyDescent="0.25">
      <c r="A2359" s="19" t="s">
        <v>20</v>
      </c>
      <c r="B2359" s="2">
        <v>43991</v>
      </c>
      <c r="C2359" s="1">
        <v>2</v>
      </c>
      <c r="D2359" s="39">
        <v>469</v>
      </c>
      <c r="E2359" s="1"/>
      <c r="F2359" s="39">
        <f t="shared" si="137"/>
        <v>30</v>
      </c>
      <c r="G2359" s="395"/>
      <c r="H2359" s="395"/>
      <c r="J2359" s="42"/>
    </row>
    <row r="2360" spans="1:10" s="393" customFormat="1" x14ac:dyDescent="0.25">
      <c r="A2360" s="19" t="s">
        <v>30</v>
      </c>
      <c r="B2360" s="2">
        <v>43991</v>
      </c>
      <c r="C2360" s="1">
        <v>1</v>
      </c>
      <c r="D2360" s="39">
        <v>97</v>
      </c>
      <c r="E2360" s="1"/>
      <c r="F2360" s="39">
        <f t="shared" si="137"/>
        <v>0</v>
      </c>
      <c r="G2360" s="395"/>
      <c r="H2360" s="395"/>
      <c r="J2360" s="42"/>
    </row>
    <row r="2361" spans="1:10" x14ac:dyDescent="0.25">
      <c r="A2361" s="19" t="s">
        <v>31</v>
      </c>
      <c r="B2361" s="2">
        <v>43991</v>
      </c>
      <c r="C2361" s="1">
        <v>2</v>
      </c>
      <c r="D2361" s="39">
        <v>55</v>
      </c>
      <c r="F2361" s="39">
        <f t="shared" si="137"/>
        <v>0</v>
      </c>
    </row>
    <row r="2362" spans="1:10" s="393" customFormat="1" x14ac:dyDescent="0.25">
      <c r="A2362" s="19" t="s">
        <v>41</v>
      </c>
      <c r="B2362" s="2">
        <v>43991</v>
      </c>
      <c r="C2362" s="1">
        <v>0</v>
      </c>
      <c r="D2362" s="39">
        <v>0</v>
      </c>
      <c r="E2362" s="1"/>
      <c r="F2362" s="39">
        <f t="shared" ref="F2362:F2376" si="138">E2362+F2337</f>
        <v>0</v>
      </c>
      <c r="G2362" s="395"/>
      <c r="H2362" s="395"/>
      <c r="J2362" s="42"/>
    </row>
    <row r="2363" spans="1:10" s="393" customFormat="1" x14ac:dyDescent="0.25">
      <c r="A2363" s="19" t="s">
        <v>32</v>
      </c>
      <c r="B2363" s="2">
        <v>43991</v>
      </c>
      <c r="C2363" s="1">
        <v>2</v>
      </c>
      <c r="D2363" s="39">
        <v>8</v>
      </c>
      <c r="E2363" s="1"/>
      <c r="F2363" s="39">
        <f t="shared" si="138"/>
        <v>0</v>
      </c>
      <c r="G2363" s="395"/>
      <c r="H2363" s="395"/>
      <c r="J2363" s="42"/>
    </row>
    <row r="2364" spans="1:10" s="393" customFormat="1" x14ac:dyDescent="0.25">
      <c r="A2364" s="19" t="s">
        <v>33</v>
      </c>
      <c r="B2364" s="2">
        <v>43991</v>
      </c>
      <c r="C2364" s="1">
        <v>0</v>
      </c>
      <c r="D2364" s="39">
        <v>5</v>
      </c>
      <c r="E2364" s="1"/>
      <c r="F2364" s="39">
        <f t="shared" si="138"/>
        <v>0</v>
      </c>
      <c r="G2364" s="395"/>
      <c r="H2364" s="395"/>
      <c r="J2364" s="42"/>
    </row>
    <row r="2365" spans="1:10" s="393" customFormat="1" x14ac:dyDescent="0.25">
      <c r="A2365" s="19" t="s">
        <v>21</v>
      </c>
      <c r="B2365" s="2">
        <v>43991</v>
      </c>
      <c r="C2365" s="1">
        <v>0</v>
      </c>
      <c r="D2365" s="39">
        <v>64</v>
      </c>
      <c r="E2365" s="1"/>
      <c r="F2365" s="39">
        <f t="shared" si="138"/>
        <v>0</v>
      </c>
      <c r="G2365" s="395"/>
      <c r="H2365" s="395"/>
      <c r="J2365" s="42"/>
    </row>
    <row r="2366" spans="1:10" s="393" customFormat="1" x14ac:dyDescent="0.25">
      <c r="A2366" s="19" t="s">
        <v>17</v>
      </c>
      <c r="B2366" s="2">
        <v>43991</v>
      </c>
      <c r="C2366" s="1">
        <v>1</v>
      </c>
      <c r="D2366" s="39">
        <v>103</v>
      </c>
      <c r="E2366" s="1"/>
      <c r="F2366" s="39">
        <f t="shared" si="138"/>
        <v>0</v>
      </c>
      <c r="G2366" s="395"/>
      <c r="H2366" s="395"/>
      <c r="J2366" s="42"/>
    </row>
    <row r="2367" spans="1:10" s="393" customFormat="1" x14ac:dyDescent="0.25">
      <c r="A2367" s="19" t="s">
        <v>23</v>
      </c>
      <c r="B2367" s="2">
        <v>43991</v>
      </c>
      <c r="C2367" s="1">
        <v>-1</v>
      </c>
      <c r="D2367" s="39">
        <v>38</v>
      </c>
      <c r="E2367" s="1"/>
      <c r="F2367" s="39">
        <f t="shared" si="138"/>
        <v>1</v>
      </c>
      <c r="G2367" s="395"/>
      <c r="H2367" s="395"/>
      <c r="J2367" s="42"/>
    </row>
    <row r="2368" spans="1:10" s="393" customFormat="1" x14ac:dyDescent="0.25">
      <c r="A2368" s="19" t="s">
        <v>19</v>
      </c>
      <c r="B2368" s="2">
        <v>43991</v>
      </c>
      <c r="C2368" s="1">
        <v>5</v>
      </c>
      <c r="D2368" s="39">
        <v>157</v>
      </c>
      <c r="E2368" s="1"/>
      <c r="F2368" s="39">
        <f t="shared" si="138"/>
        <v>0</v>
      </c>
      <c r="G2368" s="395"/>
      <c r="H2368" s="395"/>
      <c r="J2368" s="42"/>
    </row>
    <row r="2369" spans="1:10" s="393" customFormat="1" x14ac:dyDescent="0.25">
      <c r="A2369" s="19" t="s">
        <v>18</v>
      </c>
      <c r="B2369" s="2">
        <v>43991</v>
      </c>
      <c r="C2369" s="1">
        <v>13</v>
      </c>
      <c r="D2369" s="39">
        <v>491</v>
      </c>
      <c r="E2369" s="1">
        <v>1</v>
      </c>
      <c r="F2369" s="39">
        <f t="shared" si="138"/>
        <v>1</v>
      </c>
      <c r="G2369" s="395"/>
      <c r="H2369" s="395"/>
      <c r="J2369" s="42"/>
    </row>
    <row r="2370" spans="1:10" s="393" customFormat="1" x14ac:dyDescent="0.25">
      <c r="A2370" s="19" t="s">
        <v>34</v>
      </c>
      <c r="B2370" s="2">
        <v>43991</v>
      </c>
      <c r="C2370" s="1">
        <v>0</v>
      </c>
      <c r="D2370" s="39">
        <v>16</v>
      </c>
      <c r="E2370" s="1"/>
      <c r="F2370" s="39">
        <f t="shared" si="138"/>
        <v>2</v>
      </c>
      <c r="G2370" s="395"/>
      <c r="H2370" s="395"/>
      <c r="J2370" s="42"/>
    </row>
    <row r="2371" spans="1:10" s="393" customFormat="1" x14ac:dyDescent="0.25">
      <c r="A2371" s="19" t="s">
        <v>35</v>
      </c>
      <c r="B2371" s="2">
        <v>43991</v>
      </c>
      <c r="C2371" s="1">
        <v>0</v>
      </c>
      <c r="D2371" s="39">
        <v>5</v>
      </c>
      <c r="E2371" s="1"/>
      <c r="F2371" s="39">
        <f>E2371+F2347</f>
        <v>0</v>
      </c>
      <c r="G2371" s="395"/>
      <c r="H2371" s="395"/>
      <c r="J2371" s="42"/>
    </row>
    <row r="2372" spans="1:10" s="393" customFormat="1" x14ac:dyDescent="0.25">
      <c r="A2372" s="19" t="s">
        <v>36</v>
      </c>
      <c r="B2372" s="2">
        <v>43991</v>
      </c>
      <c r="C2372" s="1">
        <v>0</v>
      </c>
      <c r="D2372" s="39">
        <v>11</v>
      </c>
      <c r="E2372" s="1"/>
      <c r="F2372" s="39">
        <f t="shared" si="138"/>
        <v>0</v>
      </c>
      <c r="G2372" s="395"/>
      <c r="H2372" s="395"/>
      <c r="J2372" s="42"/>
    </row>
    <row r="2373" spans="1:10" s="393" customFormat="1" x14ac:dyDescent="0.25">
      <c r="A2373" s="19" t="s">
        <v>37</v>
      </c>
      <c r="B2373" s="2">
        <v>43991</v>
      </c>
      <c r="C2373" s="1">
        <v>0</v>
      </c>
      <c r="D2373" s="39">
        <v>51</v>
      </c>
      <c r="E2373" s="1"/>
      <c r="F2373" s="39">
        <f t="shared" si="138"/>
        <v>0</v>
      </c>
      <c r="G2373" s="395"/>
      <c r="H2373" s="395"/>
      <c r="J2373" s="42"/>
    </row>
    <row r="2374" spans="1:10" s="393" customFormat="1" x14ac:dyDescent="0.25">
      <c r="A2374" s="19" t="s">
        <v>22</v>
      </c>
      <c r="B2374" s="2">
        <v>43991</v>
      </c>
      <c r="C2374" s="1">
        <v>2</v>
      </c>
      <c r="D2374" s="39">
        <v>278</v>
      </c>
      <c r="E2374" s="1"/>
      <c r="F2374" s="39">
        <f>E2374+F2350</f>
        <v>3</v>
      </c>
      <c r="G2374" s="395"/>
      <c r="H2374" s="395"/>
      <c r="J2374" s="42"/>
    </row>
    <row r="2375" spans="1:10" s="393" customFormat="1" x14ac:dyDescent="0.25">
      <c r="A2375" s="19" t="s">
        <v>38</v>
      </c>
      <c r="B2375" s="2">
        <v>43991</v>
      </c>
      <c r="C2375" s="1">
        <v>0</v>
      </c>
      <c r="D2375" s="39">
        <v>22</v>
      </c>
      <c r="E2375" s="1"/>
      <c r="F2375" s="39">
        <f>E2375+F2351</f>
        <v>0</v>
      </c>
      <c r="G2375" s="395"/>
      <c r="H2375" s="395"/>
      <c r="J2375" s="42"/>
    </row>
    <row r="2376" spans="1:10" s="393" customFormat="1" x14ac:dyDescent="0.25">
      <c r="A2376" s="19" t="s">
        <v>39</v>
      </c>
      <c r="B2376" s="2">
        <v>43991</v>
      </c>
      <c r="C2376" s="1">
        <v>0</v>
      </c>
      <c r="D2376" s="39">
        <v>149</v>
      </c>
      <c r="E2376" s="1"/>
      <c r="F2376" s="39">
        <f t="shared" si="138"/>
        <v>0</v>
      </c>
      <c r="G2376" s="395"/>
      <c r="H2376" s="395"/>
      <c r="J2376" s="42"/>
    </row>
    <row r="2377" spans="1:10" s="393" customFormat="1" x14ac:dyDescent="0.25">
      <c r="A2377" s="19" t="s">
        <v>40</v>
      </c>
      <c r="B2377" s="2">
        <v>43991</v>
      </c>
      <c r="C2377" s="1">
        <v>0</v>
      </c>
      <c r="D2377" s="39">
        <v>49</v>
      </c>
      <c r="E2377" s="1"/>
      <c r="F2377" s="39">
        <f>E2377+F2353</f>
        <v>4</v>
      </c>
      <c r="G2377" s="395"/>
      <c r="H2377" s="395"/>
      <c r="J2377" s="42"/>
    </row>
    <row r="2378" spans="1:10" s="393" customFormat="1" x14ac:dyDescent="0.25">
      <c r="A2378" s="394" t="s">
        <v>16</v>
      </c>
      <c r="B2378" s="2">
        <v>43992</v>
      </c>
      <c r="C2378" s="1">
        <v>621</v>
      </c>
      <c r="D2378" s="39">
        <v>10209</v>
      </c>
      <c r="E2378" s="1">
        <v>7</v>
      </c>
      <c r="F2378" s="39">
        <f>E2378+F2354</f>
        <v>308</v>
      </c>
      <c r="G2378" s="395"/>
      <c r="H2378" s="395"/>
      <c r="J2378" s="42"/>
    </row>
    <row r="2379" spans="1:10" s="393" customFormat="1" x14ac:dyDescent="0.25">
      <c r="A2379" s="19" t="s">
        <v>28</v>
      </c>
      <c r="B2379" s="2">
        <v>43992</v>
      </c>
      <c r="C2379" s="1">
        <v>0</v>
      </c>
      <c r="D2379" s="39">
        <v>0</v>
      </c>
      <c r="E2379" s="1"/>
      <c r="F2379" s="39">
        <f t="shared" ref="F2379:F2385" si="139">E2379+F2355</f>
        <v>0</v>
      </c>
      <c r="G2379" s="395"/>
      <c r="H2379" s="395"/>
      <c r="J2379" s="42"/>
    </row>
    <row r="2380" spans="1:10" s="393" customFormat="1" x14ac:dyDescent="0.25">
      <c r="A2380" s="19" t="s">
        <v>15</v>
      </c>
      <c r="B2380" s="2">
        <v>43992</v>
      </c>
      <c r="C2380" s="1">
        <v>45</v>
      </c>
      <c r="D2380" s="39">
        <v>1163</v>
      </c>
      <c r="E2380" s="1"/>
      <c r="F2380" s="39">
        <f t="shared" si="139"/>
        <v>64</v>
      </c>
      <c r="G2380" s="395"/>
      <c r="H2380" s="395"/>
      <c r="J2380" s="42"/>
    </row>
    <row r="2381" spans="1:10" s="393" customFormat="1" x14ac:dyDescent="0.25">
      <c r="A2381" s="19" t="s">
        <v>29</v>
      </c>
      <c r="B2381" s="2">
        <v>43992</v>
      </c>
      <c r="C2381" s="1">
        <v>0</v>
      </c>
      <c r="D2381" s="39">
        <v>26</v>
      </c>
      <c r="E2381" s="1"/>
      <c r="F2381" s="39">
        <f t="shared" si="139"/>
        <v>1</v>
      </c>
      <c r="G2381" s="395"/>
      <c r="H2381" s="395"/>
      <c r="J2381" s="42"/>
    </row>
    <row r="2382" spans="1:10" s="393" customFormat="1" x14ac:dyDescent="0.25">
      <c r="A2382" s="19" t="s">
        <v>43</v>
      </c>
      <c r="B2382" s="2">
        <v>43992</v>
      </c>
      <c r="C2382" s="1">
        <v>521</v>
      </c>
      <c r="D2382" s="39">
        <v>12483</v>
      </c>
      <c r="E2382" s="1">
        <v>11</v>
      </c>
      <c r="F2382" s="39">
        <f>E2382+F2358</f>
        <v>273</v>
      </c>
      <c r="G2382" s="395"/>
      <c r="H2382" s="395"/>
      <c r="J2382" s="42"/>
    </row>
    <row r="2383" spans="1:10" s="393" customFormat="1" x14ac:dyDescent="0.25">
      <c r="A2383" s="19" t="s">
        <v>20</v>
      </c>
      <c r="B2383" s="2">
        <v>43992</v>
      </c>
      <c r="C2383" s="1">
        <v>5</v>
      </c>
      <c r="D2383" s="39">
        <v>474</v>
      </c>
      <c r="E2383" s="1"/>
      <c r="F2383" s="39">
        <f t="shared" si="139"/>
        <v>30</v>
      </c>
      <c r="G2383" s="395"/>
      <c r="H2383" s="395"/>
      <c r="J2383" s="42"/>
    </row>
    <row r="2384" spans="1:10" s="393" customFormat="1" x14ac:dyDescent="0.25">
      <c r="A2384" s="19" t="s">
        <v>30</v>
      </c>
      <c r="B2384" s="2">
        <v>43992</v>
      </c>
      <c r="C2384" s="1">
        <v>0</v>
      </c>
      <c r="D2384" s="39">
        <v>97</v>
      </c>
      <c r="E2384" s="1"/>
      <c r="F2384" s="39">
        <f t="shared" si="139"/>
        <v>0</v>
      </c>
      <c r="G2384" s="395"/>
      <c r="H2384" s="395"/>
      <c r="J2384" s="42"/>
    </row>
    <row r="2385" spans="1:10" x14ac:dyDescent="0.25">
      <c r="A2385" s="19" t="s">
        <v>31</v>
      </c>
      <c r="B2385" s="2">
        <v>43992</v>
      </c>
      <c r="C2385" s="1">
        <v>4</v>
      </c>
      <c r="D2385" s="39">
        <v>59</v>
      </c>
      <c r="F2385" s="39">
        <f t="shared" si="139"/>
        <v>0</v>
      </c>
    </row>
    <row r="2386" spans="1:10" s="393" customFormat="1" x14ac:dyDescent="0.25">
      <c r="A2386" s="19" t="s">
        <v>41</v>
      </c>
      <c r="B2386" s="2">
        <v>43992</v>
      </c>
      <c r="C2386" s="1">
        <v>0</v>
      </c>
      <c r="D2386" s="39">
        <v>0</v>
      </c>
      <c r="E2386" s="1"/>
      <c r="F2386" s="39">
        <f t="shared" ref="F2386:F2400" si="140">E2386+F2361</f>
        <v>0</v>
      </c>
      <c r="G2386" s="395"/>
      <c r="H2386" s="395"/>
      <c r="J2386" s="42"/>
    </row>
    <row r="2387" spans="1:10" s="393" customFormat="1" x14ac:dyDescent="0.25">
      <c r="A2387" s="19" t="s">
        <v>32</v>
      </c>
      <c r="B2387" s="2">
        <v>43992</v>
      </c>
      <c r="C2387" s="1">
        <v>0</v>
      </c>
      <c r="D2387" s="39">
        <v>8</v>
      </c>
      <c r="E2387" s="1"/>
      <c r="F2387" s="39">
        <f t="shared" si="140"/>
        <v>0</v>
      </c>
      <c r="G2387" s="395"/>
      <c r="H2387" s="395"/>
      <c r="J2387" s="42"/>
    </row>
    <row r="2388" spans="1:10" s="393" customFormat="1" x14ac:dyDescent="0.25">
      <c r="A2388" s="19" t="s">
        <v>33</v>
      </c>
      <c r="B2388" s="2">
        <v>43992</v>
      </c>
      <c r="C2388" s="1">
        <v>0</v>
      </c>
      <c r="D2388" s="39">
        <v>5</v>
      </c>
      <c r="E2388" s="1"/>
      <c r="F2388" s="39">
        <f t="shared" si="140"/>
        <v>0</v>
      </c>
      <c r="G2388" s="395"/>
      <c r="H2388" s="395"/>
      <c r="J2388" s="42"/>
    </row>
    <row r="2389" spans="1:10" s="393" customFormat="1" x14ac:dyDescent="0.25">
      <c r="A2389" s="19" t="s">
        <v>21</v>
      </c>
      <c r="B2389" s="2">
        <v>43992</v>
      </c>
      <c r="C2389" s="1">
        <v>0</v>
      </c>
      <c r="D2389" s="39">
        <v>64</v>
      </c>
      <c r="E2389" s="1"/>
      <c r="F2389" s="39">
        <f t="shared" si="140"/>
        <v>0</v>
      </c>
      <c r="G2389" s="395"/>
      <c r="H2389" s="395"/>
      <c r="J2389" s="42"/>
    </row>
    <row r="2390" spans="1:10" s="393" customFormat="1" x14ac:dyDescent="0.25">
      <c r="A2390" s="19" t="s">
        <v>17</v>
      </c>
      <c r="B2390" s="2">
        <v>43992</v>
      </c>
      <c r="C2390" s="1">
        <v>0</v>
      </c>
      <c r="D2390" s="39">
        <v>103</v>
      </c>
      <c r="E2390" s="1"/>
      <c r="F2390" s="39">
        <f t="shared" si="140"/>
        <v>0</v>
      </c>
      <c r="G2390" s="395"/>
      <c r="H2390" s="395"/>
      <c r="J2390" s="42"/>
    </row>
    <row r="2391" spans="1:10" s="393" customFormat="1" x14ac:dyDescent="0.25">
      <c r="A2391" s="19" t="s">
        <v>23</v>
      </c>
      <c r="B2391" s="2">
        <v>43992</v>
      </c>
      <c r="C2391" s="1">
        <v>0</v>
      </c>
      <c r="D2391" s="39">
        <v>38</v>
      </c>
      <c r="E2391" s="1"/>
      <c r="F2391" s="39">
        <f t="shared" si="140"/>
        <v>0</v>
      </c>
      <c r="G2391" s="395"/>
      <c r="H2391" s="395"/>
      <c r="J2391" s="42"/>
    </row>
    <row r="2392" spans="1:10" s="393" customFormat="1" x14ac:dyDescent="0.25">
      <c r="A2392" s="19" t="s">
        <v>19</v>
      </c>
      <c r="B2392" s="2">
        <v>43992</v>
      </c>
      <c r="C2392" s="1">
        <v>10</v>
      </c>
      <c r="D2392" s="39">
        <v>167</v>
      </c>
      <c r="E2392" s="1"/>
      <c r="F2392" s="39">
        <f t="shared" si="140"/>
        <v>1</v>
      </c>
      <c r="G2392" s="395"/>
      <c r="H2392" s="395"/>
      <c r="J2392" s="42"/>
    </row>
    <row r="2393" spans="1:10" s="393" customFormat="1" x14ac:dyDescent="0.25">
      <c r="A2393" s="19" t="s">
        <v>18</v>
      </c>
      <c r="B2393" s="2">
        <v>43992</v>
      </c>
      <c r="C2393" s="1">
        <v>12</v>
      </c>
      <c r="D2393" s="39">
        <v>503</v>
      </c>
      <c r="E2393" s="1"/>
      <c r="F2393" s="39">
        <f t="shared" si="140"/>
        <v>0</v>
      </c>
      <c r="G2393" s="395"/>
      <c r="H2393" s="395"/>
      <c r="J2393" s="42"/>
    </row>
    <row r="2394" spans="1:10" s="393" customFormat="1" x14ac:dyDescent="0.25">
      <c r="A2394" s="19" t="s">
        <v>34</v>
      </c>
      <c r="B2394" s="2">
        <v>43992</v>
      </c>
      <c r="C2394" s="1">
        <v>3</v>
      </c>
      <c r="D2394" s="39">
        <v>19</v>
      </c>
      <c r="E2394" s="1"/>
      <c r="F2394" s="39">
        <f t="shared" si="140"/>
        <v>1</v>
      </c>
      <c r="G2394" s="395"/>
      <c r="H2394" s="395"/>
      <c r="J2394" s="42"/>
    </row>
    <row r="2395" spans="1:10" s="393" customFormat="1" x14ac:dyDescent="0.25">
      <c r="A2395" s="19" t="s">
        <v>35</v>
      </c>
      <c r="B2395" s="2">
        <v>43992</v>
      </c>
      <c r="C2395" s="1">
        <v>1</v>
      </c>
      <c r="D2395" s="39">
        <v>6</v>
      </c>
      <c r="E2395" s="1"/>
      <c r="F2395" s="39">
        <f>E2395+F2371</f>
        <v>0</v>
      </c>
      <c r="G2395" s="395"/>
      <c r="H2395" s="395"/>
      <c r="J2395" s="42"/>
    </row>
    <row r="2396" spans="1:10" s="393" customFormat="1" x14ac:dyDescent="0.25">
      <c r="A2396" s="19" t="s">
        <v>36</v>
      </c>
      <c r="B2396" s="2">
        <v>43992</v>
      </c>
      <c r="C2396" s="1">
        <v>0</v>
      </c>
      <c r="D2396" s="39">
        <v>11</v>
      </c>
      <c r="E2396" s="1"/>
      <c r="F2396" s="39">
        <f t="shared" si="140"/>
        <v>0</v>
      </c>
      <c r="G2396" s="395"/>
      <c r="H2396" s="395"/>
      <c r="J2396" s="42"/>
    </row>
    <row r="2397" spans="1:10" s="393" customFormat="1" x14ac:dyDescent="0.25">
      <c r="A2397" s="19" t="s">
        <v>37</v>
      </c>
      <c r="B2397" s="2">
        <v>43992</v>
      </c>
      <c r="C2397" s="1">
        <v>0</v>
      </c>
      <c r="D2397" s="39">
        <v>51</v>
      </c>
      <c r="E2397" s="1"/>
      <c r="F2397" s="39">
        <f t="shared" si="140"/>
        <v>0</v>
      </c>
      <c r="G2397" s="395"/>
      <c r="H2397" s="395"/>
      <c r="J2397" s="42"/>
    </row>
    <row r="2398" spans="1:10" s="393" customFormat="1" x14ac:dyDescent="0.25">
      <c r="A2398" s="19" t="s">
        <v>22</v>
      </c>
      <c r="B2398" s="2">
        <v>43992</v>
      </c>
      <c r="C2398" s="1">
        <v>4</v>
      </c>
      <c r="D2398" s="39">
        <v>282</v>
      </c>
      <c r="E2398" s="1"/>
      <c r="F2398" s="39">
        <f>E2398+F2374</f>
        <v>3</v>
      </c>
      <c r="G2398" s="395"/>
      <c r="H2398" s="395"/>
      <c r="J2398" s="42"/>
    </row>
    <row r="2399" spans="1:10" s="393" customFormat="1" x14ac:dyDescent="0.25">
      <c r="A2399" s="19" t="s">
        <v>38</v>
      </c>
      <c r="B2399" s="2">
        <v>43992</v>
      </c>
      <c r="C2399" s="1">
        <v>0</v>
      </c>
      <c r="D2399" s="39">
        <v>22</v>
      </c>
      <c r="E2399" s="1"/>
      <c r="F2399" s="39">
        <f>E2399+F2375</f>
        <v>0</v>
      </c>
      <c r="G2399" s="395"/>
      <c r="H2399" s="395"/>
      <c r="J2399" s="42"/>
    </row>
    <row r="2400" spans="1:10" s="393" customFormat="1" x14ac:dyDescent="0.25">
      <c r="A2400" s="19" t="s">
        <v>39</v>
      </c>
      <c r="B2400" s="2">
        <v>43992</v>
      </c>
      <c r="C2400" s="1">
        <v>0</v>
      </c>
      <c r="D2400" s="39">
        <v>149</v>
      </c>
      <c r="E2400" s="1"/>
      <c r="F2400" s="39">
        <f t="shared" si="140"/>
        <v>0</v>
      </c>
      <c r="G2400" s="395"/>
      <c r="H2400" s="395"/>
      <c r="J2400" s="42"/>
    </row>
    <row r="2401" spans="1:10" s="393" customFormat="1" x14ac:dyDescent="0.25">
      <c r="A2401" s="19" t="s">
        <v>40</v>
      </c>
      <c r="B2401" s="2">
        <v>43992</v>
      </c>
      <c r="C2401" s="1">
        <v>0</v>
      </c>
      <c r="D2401" s="39">
        <v>49</v>
      </c>
      <c r="E2401" s="1"/>
      <c r="F2401" s="39">
        <f>E2401+F2377</f>
        <v>4</v>
      </c>
      <c r="G2401" s="395"/>
      <c r="H2401" s="395"/>
      <c r="J2401" s="42"/>
    </row>
    <row r="2402" spans="1:10" s="393" customFormat="1" x14ac:dyDescent="0.25">
      <c r="A2402" s="394" t="s">
        <v>16</v>
      </c>
      <c r="B2402" s="2">
        <v>43993</v>
      </c>
      <c r="C2402" s="1">
        <v>756</v>
      </c>
      <c r="D2402" s="39">
        <v>10965</v>
      </c>
      <c r="E2402" s="1">
        <v>19</v>
      </c>
      <c r="F2402" s="39">
        <f>E2402+F2378</f>
        <v>327</v>
      </c>
      <c r="G2402" s="395"/>
      <c r="H2402" s="395"/>
      <c r="J2402" s="42"/>
    </row>
    <row r="2403" spans="1:10" s="393" customFormat="1" x14ac:dyDescent="0.25">
      <c r="A2403" s="19" t="s">
        <v>28</v>
      </c>
      <c r="B2403" s="2">
        <v>43993</v>
      </c>
      <c r="C2403" s="1">
        <v>0</v>
      </c>
      <c r="D2403" s="39">
        <v>0</v>
      </c>
      <c r="E2403" s="1"/>
      <c r="F2403" s="39">
        <f t="shared" ref="F2403:F2409" si="141">E2403+F2379</f>
        <v>0</v>
      </c>
      <c r="G2403" s="395"/>
      <c r="H2403" s="395"/>
      <c r="J2403" s="42"/>
    </row>
    <row r="2404" spans="1:10" s="393" customFormat="1" x14ac:dyDescent="0.25">
      <c r="A2404" s="19" t="s">
        <v>15</v>
      </c>
      <c r="B2404" s="2">
        <v>43993</v>
      </c>
      <c r="C2404" s="1">
        <v>48</v>
      </c>
      <c r="D2404" s="39">
        <v>1211</v>
      </c>
      <c r="E2404" s="1">
        <v>1</v>
      </c>
      <c r="F2404" s="39">
        <f t="shared" si="141"/>
        <v>65</v>
      </c>
      <c r="G2404" s="395"/>
      <c r="H2404" s="395"/>
      <c r="J2404" s="42"/>
    </row>
    <row r="2405" spans="1:10" s="393" customFormat="1" x14ac:dyDescent="0.25">
      <c r="A2405" s="19" t="s">
        <v>29</v>
      </c>
      <c r="B2405" s="2">
        <v>43993</v>
      </c>
      <c r="C2405" s="1">
        <v>0</v>
      </c>
      <c r="D2405" s="39">
        <v>26</v>
      </c>
      <c r="E2405" s="1"/>
      <c r="F2405" s="39">
        <f t="shared" si="141"/>
        <v>1</v>
      </c>
      <c r="G2405" s="395"/>
      <c r="H2405" s="395"/>
      <c r="J2405" s="42"/>
    </row>
    <row r="2406" spans="1:10" s="393" customFormat="1" x14ac:dyDescent="0.25">
      <c r="A2406" s="19" t="s">
        <v>43</v>
      </c>
      <c r="B2406" s="2">
        <v>43993</v>
      </c>
      <c r="C2406" s="1">
        <v>538</v>
      </c>
      <c r="D2406" s="39">
        <v>13021</v>
      </c>
      <c r="E2406" s="1">
        <v>7</v>
      </c>
      <c r="F2406" s="39">
        <f t="shared" si="141"/>
        <v>280</v>
      </c>
      <c r="G2406" s="395"/>
      <c r="H2406" s="395"/>
      <c r="J2406" s="42"/>
    </row>
    <row r="2407" spans="1:10" s="393" customFormat="1" x14ac:dyDescent="0.25">
      <c r="A2407" s="19" t="s">
        <v>20</v>
      </c>
      <c r="B2407" s="2">
        <v>43993</v>
      </c>
      <c r="C2407" s="1">
        <v>3</v>
      </c>
      <c r="D2407" s="39">
        <v>477</v>
      </c>
      <c r="E2407" s="1"/>
      <c r="F2407" s="39">
        <f t="shared" si="141"/>
        <v>30</v>
      </c>
      <c r="G2407" s="395"/>
      <c r="H2407" s="395"/>
      <c r="J2407" s="42"/>
    </row>
    <row r="2408" spans="1:10" s="393" customFormat="1" x14ac:dyDescent="0.25">
      <c r="A2408" s="19" t="s">
        <v>30</v>
      </c>
      <c r="B2408" s="2">
        <v>43993</v>
      </c>
      <c r="C2408" s="1">
        <v>3</v>
      </c>
      <c r="D2408" s="39">
        <v>100</v>
      </c>
      <c r="E2408" s="1"/>
      <c r="F2408" s="39">
        <f t="shared" si="141"/>
        <v>0</v>
      </c>
      <c r="G2408" s="395"/>
      <c r="H2408" s="395"/>
      <c r="J2408" s="42"/>
    </row>
    <row r="2409" spans="1:10" x14ac:dyDescent="0.25">
      <c r="A2409" s="19" t="s">
        <v>31</v>
      </c>
      <c r="B2409" s="2">
        <v>43993</v>
      </c>
      <c r="C2409" s="1">
        <v>6</v>
      </c>
      <c r="D2409" s="39">
        <v>65</v>
      </c>
      <c r="F2409" s="39">
        <f t="shared" si="141"/>
        <v>0</v>
      </c>
    </row>
    <row r="2410" spans="1:10" s="393" customFormat="1" x14ac:dyDescent="0.25">
      <c r="A2410" s="19" t="s">
        <v>41</v>
      </c>
      <c r="B2410" s="2">
        <v>43993</v>
      </c>
      <c r="C2410" s="1">
        <v>0</v>
      </c>
      <c r="D2410" s="39">
        <v>0</v>
      </c>
      <c r="E2410" s="1"/>
      <c r="F2410" s="39">
        <f t="shared" ref="F2410:F2424" si="142">E2410+F2385</f>
        <v>0</v>
      </c>
      <c r="G2410" s="395"/>
      <c r="H2410" s="395"/>
      <c r="J2410" s="42"/>
    </row>
    <row r="2411" spans="1:10" s="393" customFormat="1" x14ac:dyDescent="0.25">
      <c r="A2411" s="19" t="s">
        <v>32</v>
      </c>
      <c r="B2411" s="2">
        <v>43993</v>
      </c>
      <c r="C2411" s="1">
        <v>0</v>
      </c>
      <c r="D2411" s="39">
        <v>8</v>
      </c>
      <c r="E2411" s="1"/>
      <c r="F2411" s="39">
        <f t="shared" si="142"/>
        <v>0</v>
      </c>
      <c r="G2411" s="395"/>
      <c r="H2411" s="395"/>
      <c r="J2411" s="42"/>
    </row>
    <row r="2412" spans="1:10" s="393" customFormat="1" x14ac:dyDescent="0.25">
      <c r="A2412" s="19" t="s">
        <v>33</v>
      </c>
      <c r="B2412" s="2">
        <v>43993</v>
      </c>
      <c r="C2412" s="1">
        <v>0</v>
      </c>
      <c r="D2412" s="39">
        <v>5</v>
      </c>
      <c r="E2412" s="1"/>
      <c r="F2412" s="39">
        <f t="shared" si="142"/>
        <v>0</v>
      </c>
      <c r="G2412" s="395"/>
      <c r="H2412" s="395"/>
      <c r="J2412" s="42"/>
    </row>
    <row r="2413" spans="1:10" s="393" customFormat="1" x14ac:dyDescent="0.25">
      <c r="A2413" s="19" t="s">
        <v>21</v>
      </c>
      <c r="B2413" s="2">
        <v>43993</v>
      </c>
      <c r="C2413" s="1">
        <v>0</v>
      </c>
      <c r="D2413" s="39">
        <v>64</v>
      </c>
      <c r="E2413" s="1"/>
      <c r="F2413" s="39">
        <f t="shared" si="142"/>
        <v>0</v>
      </c>
      <c r="G2413" s="395"/>
      <c r="H2413" s="395"/>
      <c r="J2413" s="42"/>
    </row>
    <row r="2414" spans="1:10" s="393" customFormat="1" x14ac:dyDescent="0.25">
      <c r="A2414" s="19" t="s">
        <v>17</v>
      </c>
      <c r="B2414" s="2">
        <v>43993</v>
      </c>
      <c r="C2414" s="1">
        <v>1</v>
      </c>
      <c r="D2414" s="39">
        <v>104</v>
      </c>
      <c r="E2414" s="1"/>
      <c r="F2414" s="39">
        <f t="shared" si="142"/>
        <v>0</v>
      </c>
      <c r="G2414" s="395"/>
      <c r="H2414" s="395"/>
      <c r="J2414" s="42"/>
    </row>
    <row r="2415" spans="1:10" s="393" customFormat="1" x14ac:dyDescent="0.25">
      <c r="A2415" s="19" t="s">
        <v>23</v>
      </c>
      <c r="B2415" s="2">
        <v>43993</v>
      </c>
      <c r="C2415" s="1">
        <v>1</v>
      </c>
      <c r="D2415" s="39">
        <v>39</v>
      </c>
      <c r="E2415" s="1">
        <v>1</v>
      </c>
      <c r="F2415" s="39">
        <f t="shared" si="142"/>
        <v>1</v>
      </c>
      <c r="G2415" s="395"/>
      <c r="H2415" s="395"/>
      <c r="J2415" s="42"/>
    </row>
    <row r="2416" spans="1:10" s="393" customFormat="1" x14ac:dyDescent="0.25">
      <c r="A2416" s="19" t="s">
        <v>19</v>
      </c>
      <c r="B2416" s="2">
        <v>43993</v>
      </c>
      <c r="C2416" s="1">
        <v>14</v>
      </c>
      <c r="D2416" s="39">
        <v>181</v>
      </c>
      <c r="E2416" s="1"/>
      <c r="F2416" s="39">
        <f t="shared" si="142"/>
        <v>0</v>
      </c>
      <c r="G2416" s="395"/>
      <c r="H2416" s="395"/>
      <c r="J2416" s="42"/>
    </row>
    <row r="2417" spans="1:10" s="393" customFormat="1" x14ac:dyDescent="0.25">
      <c r="A2417" s="19" t="s">
        <v>18</v>
      </c>
      <c r="B2417" s="2">
        <v>43993</v>
      </c>
      <c r="C2417" s="1">
        <v>14</v>
      </c>
      <c r="D2417" s="39">
        <v>517</v>
      </c>
      <c r="E2417" s="1">
        <v>1</v>
      </c>
      <c r="F2417" s="39">
        <f t="shared" si="142"/>
        <v>2</v>
      </c>
      <c r="G2417" s="395"/>
      <c r="H2417" s="395"/>
      <c r="J2417" s="42"/>
    </row>
    <row r="2418" spans="1:10" s="393" customFormat="1" x14ac:dyDescent="0.25">
      <c r="A2418" s="19" t="s">
        <v>34</v>
      </c>
      <c r="B2418" s="2">
        <v>43993</v>
      </c>
      <c r="C2418" s="1">
        <v>-2</v>
      </c>
      <c r="D2418" s="39">
        <v>17</v>
      </c>
      <c r="E2418" s="1"/>
      <c r="F2418" s="39">
        <f t="shared" si="142"/>
        <v>0</v>
      </c>
      <c r="G2418" s="395"/>
      <c r="H2418" s="395"/>
      <c r="J2418" s="42"/>
    </row>
    <row r="2419" spans="1:10" s="393" customFormat="1" x14ac:dyDescent="0.25">
      <c r="A2419" s="19" t="s">
        <v>35</v>
      </c>
      <c r="B2419" s="2">
        <v>43993</v>
      </c>
      <c r="C2419" s="1">
        <v>0</v>
      </c>
      <c r="D2419" s="39">
        <v>6</v>
      </c>
      <c r="E2419" s="1"/>
      <c r="F2419" s="39">
        <f>E2419+F2395</f>
        <v>0</v>
      </c>
      <c r="G2419" s="395"/>
      <c r="H2419" s="395"/>
      <c r="J2419" s="42"/>
    </row>
    <row r="2420" spans="1:10" s="393" customFormat="1" x14ac:dyDescent="0.25">
      <c r="A2420" s="19" t="s">
        <v>36</v>
      </c>
      <c r="B2420" s="2">
        <v>43993</v>
      </c>
      <c r="C2420" s="1">
        <v>0</v>
      </c>
      <c r="D2420" s="39">
        <v>11</v>
      </c>
      <c r="E2420" s="1"/>
      <c r="F2420" s="39">
        <f t="shared" si="142"/>
        <v>0</v>
      </c>
      <c r="G2420" s="395"/>
      <c r="H2420" s="395"/>
      <c r="J2420" s="42"/>
    </row>
    <row r="2421" spans="1:10" s="393" customFormat="1" x14ac:dyDescent="0.25">
      <c r="A2421" s="19" t="s">
        <v>37</v>
      </c>
      <c r="B2421" s="2">
        <v>43993</v>
      </c>
      <c r="C2421" s="1">
        <v>0</v>
      </c>
      <c r="D2421" s="39">
        <v>51</v>
      </c>
      <c r="E2421" s="1"/>
      <c r="F2421" s="39">
        <f t="shared" si="142"/>
        <v>0</v>
      </c>
      <c r="G2421" s="395"/>
      <c r="H2421" s="395"/>
      <c r="J2421" s="42"/>
    </row>
    <row r="2422" spans="1:10" s="393" customFormat="1" x14ac:dyDescent="0.25">
      <c r="A2422" s="19" t="s">
        <v>22</v>
      </c>
      <c r="B2422" s="2">
        <v>43993</v>
      </c>
      <c r="C2422" s="1">
        <v>2</v>
      </c>
      <c r="D2422" s="39">
        <v>284</v>
      </c>
      <c r="E2422" s="1"/>
      <c r="F2422" s="39">
        <f>E2422+F2398</f>
        <v>3</v>
      </c>
      <c r="G2422" s="395"/>
      <c r="H2422" s="395"/>
      <c r="J2422" s="42"/>
    </row>
    <row r="2423" spans="1:10" s="393" customFormat="1" x14ac:dyDescent="0.25">
      <c r="A2423" s="19" t="s">
        <v>38</v>
      </c>
      <c r="B2423" s="2">
        <v>43993</v>
      </c>
      <c r="C2423" s="1">
        <v>0</v>
      </c>
      <c r="D2423" s="39">
        <v>22</v>
      </c>
      <c r="E2423" s="1"/>
      <c r="F2423" s="39">
        <f>E2423+F2399</f>
        <v>0</v>
      </c>
      <c r="G2423" s="395"/>
      <c r="H2423" s="395"/>
      <c r="J2423" s="42"/>
    </row>
    <row r="2424" spans="1:10" s="393" customFormat="1" x14ac:dyDescent="0.25">
      <c r="A2424" s="19" t="s">
        <v>39</v>
      </c>
      <c r="B2424" s="2">
        <v>43993</v>
      </c>
      <c r="C2424" s="1">
        <v>0</v>
      </c>
      <c r="D2424" s="39">
        <v>149</v>
      </c>
      <c r="E2424" s="1"/>
      <c r="F2424" s="39">
        <f t="shared" si="142"/>
        <v>0</v>
      </c>
      <c r="G2424" s="395"/>
      <c r="H2424" s="395"/>
      <c r="J2424" s="42"/>
    </row>
    <row r="2425" spans="1:10" s="393" customFormat="1" x14ac:dyDescent="0.25">
      <c r="A2425" s="19" t="s">
        <v>40</v>
      </c>
      <c r="B2425" s="2">
        <v>43993</v>
      </c>
      <c r="C2425" s="1">
        <v>0</v>
      </c>
      <c r="D2425" s="39">
        <v>49</v>
      </c>
      <c r="E2425" s="1"/>
      <c r="F2425" s="39">
        <f>E2425+F2401</f>
        <v>4</v>
      </c>
      <c r="G2425" s="395"/>
      <c r="H2425" s="395"/>
      <c r="J2425" s="42"/>
    </row>
    <row r="2426" spans="1:10" s="393" customFormat="1" x14ac:dyDescent="0.25">
      <c r="A2426" s="394" t="s">
        <v>16</v>
      </c>
      <c r="B2426" s="2">
        <v>43994</v>
      </c>
      <c r="C2426" s="1">
        <v>745</v>
      </c>
      <c r="D2426" s="39">
        <v>11710</v>
      </c>
      <c r="E2426" s="1">
        <v>11</v>
      </c>
      <c r="F2426" s="39">
        <f>E2426+F2402</f>
        <v>338</v>
      </c>
      <c r="G2426" s="395"/>
      <c r="H2426" s="395"/>
      <c r="J2426" s="42"/>
    </row>
    <row r="2427" spans="1:10" s="393" customFormat="1" x14ac:dyDescent="0.25">
      <c r="A2427" s="19" t="s">
        <v>28</v>
      </c>
      <c r="B2427" s="2">
        <v>43994</v>
      </c>
      <c r="C2427" s="1">
        <v>0</v>
      </c>
      <c r="D2427" s="39">
        <v>0</v>
      </c>
      <c r="E2427" s="1"/>
      <c r="F2427" s="39">
        <f t="shared" ref="F2427:F2433" si="143">E2427+F2403</f>
        <v>0</v>
      </c>
      <c r="G2427" s="395"/>
      <c r="H2427" s="395"/>
      <c r="J2427" s="42"/>
    </row>
    <row r="2428" spans="1:10" s="393" customFormat="1" x14ac:dyDescent="0.25">
      <c r="A2428" s="19" t="s">
        <v>15</v>
      </c>
      <c r="B2428" s="2">
        <v>43994</v>
      </c>
      <c r="C2428" s="1">
        <v>39</v>
      </c>
      <c r="D2428" s="39">
        <v>1250</v>
      </c>
      <c r="E2428" s="1">
        <v>3</v>
      </c>
      <c r="F2428" s="39">
        <f t="shared" si="143"/>
        <v>68</v>
      </c>
      <c r="G2428" s="395"/>
      <c r="H2428" s="395"/>
      <c r="J2428" s="42"/>
    </row>
    <row r="2429" spans="1:10" s="393" customFormat="1" x14ac:dyDescent="0.25">
      <c r="A2429" s="19" t="s">
        <v>29</v>
      </c>
      <c r="B2429" s="2">
        <v>43994</v>
      </c>
      <c r="C2429" s="1">
        <v>4</v>
      </c>
      <c r="D2429" s="39">
        <v>30</v>
      </c>
      <c r="E2429" s="1">
        <v>1</v>
      </c>
      <c r="F2429" s="39">
        <f t="shared" si="143"/>
        <v>2</v>
      </c>
      <c r="G2429" s="395"/>
      <c r="H2429" s="395"/>
      <c r="J2429" s="42"/>
    </row>
    <row r="2430" spans="1:10" s="393" customFormat="1" x14ac:dyDescent="0.25">
      <c r="A2430" s="19" t="s">
        <v>43</v>
      </c>
      <c r="B2430" s="2">
        <v>43994</v>
      </c>
      <c r="C2430" s="1">
        <v>565</v>
      </c>
      <c r="D2430" s="39">
        <v>13586</v>
      </c>
      <c r="E2430" s="1">
        <v>4</v>
      </c>
      <c r="F2430" s="39">
        <f t="shared" si="143"/>
        <v>284</v>
      </c>
      <c r="G2430" s="395"/>
      <c r="H2430" s="395"/>
      <c r="J2430" s="42"/>
    </row>
    <row r="2431" spans="1:10" s="393" customFormat="1" x14ac:dyDescent="0.25">
      <c r="A2431" s="19" t="s">
        <v>20</v>
      </c>
      <c r="B2431" s="2">
        <v>43994</v>
      </c>
      <c r="C2431" s="1">
        <v>9</v>
      </c>
      <c r="D2431" s="39">
        <v>486</v>
      </c>
      <c r="E2431" s="1">
        <v>1</v>
      </c>
      <c r="F2431" s="39">
        <f t="shared" si="143"/>
        <v>31</v>
      </c>
      <c r="G2431" s="395"/>
      <c r="H2431" s="395"/>
      <c r="J2431" s="42"/>
    </row>
    <row r="2432" spans="1:10" s="393" customFormat="1" x14ac:dyDescent="0.25">
      <c r="A2432" s="19" t="s">
        <v>30</v>
      </c>
      <c r="B2432" s="2">
        <v>43994</v>
      </c>
      <c r="C2432" s="1">
        <v>0</v>
      </c>
      <c r="D2432" s="39">
        <v>100</v>
      </c>
      <c r="E2432" s="1"/>
      <c r="F2432" s="39">
        <f t="shared" si="143"/>
        <v>0</v>
      </c>
      <c r="G2432" s="395"/>
      <c r="H2432" s="395"/>
      <c r="J2432" s="42"/>
    </row>
    <row r="2433" spans="1:10" x14ac:dyDescent="0.25">
      <c r="A2433" s="19" t="s">
        <v>31</v>
      </c>
      <c r="B2433" s="2">
        <v>43994</v>
      </c>
      <c r="C2433" s="1">
        <v>4</v>
      </c>
      <c r="D2433" s="39">
        <v>69</v>
      </c>
      <c r="F2433" s="39">
        <f t="shared" si="143"/>
        <v>0</v>
      </c>
    </row>
    <row r="2434" spans="1:10" s="393" customFormat="1" x14ac:dyDescent="0.25">
      <c r="A2434" s="19" t="s">
        <v>41</v>
      </c>
      <c r="B2434" s="2">
        <v>43994</v>
      </c>
      <c r="C2434" s="1">
        <v>1</v>
      </c>
      <c r="D2434" s="39">
        <v>1</v>
      </c>
      <c r="E2434" s="1"/>
      <c r="F2434" s="39">
        <f t="shared" ref="F2434:F2448" si="144">E2434+F2409</f>
        <v>0</v>
      </c>
      <c r="G2434" s="395"/>
      <c r="H2434" s="395"/>
      <c r="J2434" s="42"/>
    </row>
    <row r="2435" spans="1:10" s="393" customFormat="1" x14ac:dyDescent="0.25">
      <c r="A2435" s="19" t="s">
        <v>32</v>
      </c>
      <c r="B2435" s="2">
        <v>43994</v>
      </c>
      <c r="C2435" s="1">
        <v>0</v>
      </c>
      <c r="D2435" s="39">
        <v>8</v>
      </c>
      <c r="E2435" s="1"/>
      <c r="F2435" s="39">
        <f t="shared" si="144"/>
        <v>0</v>
      </c>
      <c r="G2435" s="395"/>
      <c r="H2435" s="395"/>
      <c r="J2435" s="42"/>
    </row>
    <row r="2436" spans="1:10" s="393" customFormat="1" x14ac:dyDescent="0.25">
      <c r="A2436" s="19" t="s">
        <v>33</v>
      </c>
      <c r="B2436" s="2">
        <v>43994</v>
      </c>
      <c r="C2436" s="1">
        <v>0</v>
      </c>
      <c r="D2436" s="39">
        <v>5</v>
      </c>
      <c r="E2436" s="1"/>
      <c r="F2436" s="39">
        <f t="shared" si="144"/>
        <v>0</v>
      </c>
      <c r="G2436" s="395"/>
      <c r="H2436" s="395"/>
      <c r="J2436" s="42"/>
    </row>
    <row r="2437" spans="1:10" s="393" customFormat="1" x14ac:dyDescent="0.25">
      <c r="A2437" s="19" t="s">
        <v>21</v>
      </c>
      <c r="B2437" s="2">
        <v>43994</v>
      </c>
      <c r="C2437" s="1">
        <v>0</v>
      </c>
      <c r="D2437" s="39">
        <v>64</v>
      </c>
      <c r="E2437" s="1"/>
      <c r="F2437" s="39">
        <f t="shared" si="144"/>
        <v>0</v>
      </c>
      <c r="G2437" s="395"/>
      <c r="H2437" s="395"/>
      <c r="J2437" s="42"/>
    </row>
    <row r="2438" spans="1:10" s="393" customFormat="1" x14ac:dyDescent="0.25">
      <c r="A2438" s="19" t="s">
        <v>17</v>
      </c>
      <c r="B2438" s="2">
        <v>43994</v>
      </c>
      <c r="C2438" s="1">
        <v>2</v>
      </c>
      <c r="D2438" s="39">
        <v>106</v>
      </c>
      <c r="E2438" s="1"/>
      <c r="F2438" s="39">
        <f t="shared" si="144"/>
        <v>0</v>
      </c>
      <c r="G2438" s="395"/>
      <c r="H2438" s="395"/>
      <c r="J2438" s="42"/>
    </row>
    <row r="2439" spans="1:10" s="393" customFormat="1" x14ac:dyDescent="0.25">
      <c r="A2439" s="19" t="s">
        <v>23</v>
      </c>
      <c r="B2439" s="2">
        <v>43994</v>
      </c>
      <c r="C2439" s="1">
        <v>0</v>
      </c>
      <c r="D2439" s="39">
        <v>39</v>
      </c>
      <c r="E2439" s="1"/>
      <c r="F2439" s="39">
        <f t="shared" si="144"/>
        <v>0</v>
      </c>
      <c r="G2439" s="395"/>
      <c r="H2439" s="395"/>
      <c r="J2439" s="42"/>
    </row>
    <row r="2440" spans="1:10" s="393" customFormat="1" x14ac:dyDescent="0.25">
      <c r="A2440" s="19" t="s">
        <v>19</v>
      </c>
      <c r="B2440" s="2">
        <v>43994</v>
      </c>
      <c r="C2440" s="1">
        <v>6</v>
      </c>
      <c r="D2440" s="39">
        <v>187</v>
      </c>
      <c r="E2440" s="1"/>
      <c r="F2440" s="39">
        <f t="shared" si="144"/>
        <v>1</v>
      </c>
      <c r="G2440" s="395"/>
      <c r="H2440" s="395"/>
      <c r="J2440" s="42"/>
    </row>
    <row r="2441" spans="1:10" s="393" customFormat="1" x14ac:dyDescent="0.25">
      <c r="A2441" s="19" t="s">
        <v>18</v>
      </c>
      <c r="B2441" s="2">
        <v>43994</v>
      </c>
      <c r="C2441" s="1">
        <v>16</v>
      </c>
      <c r="D2441" s="39">
        <v>533</v>
      </c>
      <c r="E2441" s="1"/>
      <c r="F2441" s="39">
        <f t="shared" si="144"/>
        <v>0</v>
      </c>
      <c r="G2441" s="395"/>
      <c r="H2441" s="395"/>
      <c r="J2441" s="42"/>
    </row>
    <row r="2442" spans="1:10" s="393" customFormat="1" x14ac:dyDescent="0.25">
      <c r="A2442" s="19" t="s">
        <v>34</v>
      </c>
      <c r="B2442" s="2">
        <v>43994</v>
      </c>
      <c r="C2442" s="1">
        <v>0</v>
      </c>
      <c r="D2442" s="39">
        <v>17</v>
      </c>
      <c r="E2442" s="1"/>
      <c r="F2442" s="39">
        <f t="shared" si="144"/>
        <v>2</v>
      </c>
      <c r="G2442" s="395"/>
      <c r="H2442" s="395"/>
      <c r="J2442" s="42"/>
    </row>
    <row r="2443" spans="1:10" s="393" customFormat="1" x14ac:dyDescent="0.25">
      <c r="A2443" s="19" t="s">
        <v>35</v>
      </c>
      <c r="B2443" s="2">
        <v>43994</v>
      </c>
      <c r="C2443" s="1">
        <v>0</v>
      </c>
      <c r="D2443" s="39">
        <v>6</v>
      </c>
      <c r="E2443" s="1"/>
      <c r="F2443" s="39">
        <f>E2443+F2419</f>
        <v>0</v>
      </c>
      <c r="G2443" s="395"/>
      <c r="H2443" s="395"/>
      <c r="J2443" s="42"/>
    </row>
    <row r="2444" spans="1:10" s="393" customFormat="1" x14ac:dyDescent="0.25">
      <c r="A2444" s="19" t="s">
        <v>36</v>
      </c>
      <c r="B2444" s="2">
        <v>43994</v>
      </c>
      <c r="C2444" s="1">
        <v>0</v>
      </c>
      <c r="D2444" s="39">
        <v>11</v>
      </c>
      <c r="E2444" s="1"/>
      <c r="F2444" s="39">
        <f t="shared" si="144"/>
        <v>0</v>
      </c>
      <c r="G2444" s="395"/>
      <c r="H2444" s="395"/>
      <c r="J2444" s="42"/>
    </row>
    <row r="2445" spans="1:10" s="393" customFormat="1" x14ac:dyDescent="0.25">
      <c r="A2445" s="19" t="s">
        <v>37</v>
      </c>
      <c r="B2445" s="2">
        <v>43994</v>
      </c>
      <c r="C2445" s="1">
        <v>0</v>
      </c>
      <c r="D2445" s="39">
        <v>51</v>
      </c>
      <c r="E2445" s="1"/>
      <c r="F2445" s="39">
        <f t="shared" si="144"/>
        <v>0</v>
      </c>
      <c r="G2445" s="395"/>
      <c r="H2445" s="395"/>
      <c r="J2445" s="42"/>
    </row>
    <row r="2446" spans="1:10" s="393" customFormat="1" x14ac:dyDescent="0.25">
      <c r="A2446" s="19" t="s">
        <v>22</v>
      </c>
      <c r="B2446" s="2">
        <v>43994</v>
      </c>
      <c r="C2446" s="1">
        <v>0</v>
      </c>
      <c r="D2446" s="39">
        <v>284</v>
      </c>
      <c r="E2446" s="1"/>
      <c r="F2446" s="39">
        <f>E2446+F2422</f>
        <v>3</v>
      </c>
      <c r="G2446" s="395"/>
      <c r="H2446" s="395"/>
      <c r="J2446" s="42"/>
    </row>
    <row r="2447" spans="1:10" s="393" customFormat="1" x14ac:dyDescent="0.25">
      <c r="A2447" s="19" t="s">
        <v>38</v>
      </c>
      <c r="B2447" s="2">
        <v>43994</v>
      </c>
      <c r="C2447" s="1">
        <v>0</v>
      </c>
      <c r="D2447" s="39">
        <v>22</v>
      </c>
      <c r="E2447" s="1"/>
      <c r="F2447" s="39">
        <f>E2447+F2423</f>
        <v>0</v>
      </c>
      <c r="G2447" s="395"/>
      <c r="H2447" s="395"/>
      <c r="J2447" s="42"/>
    </row>
    <row r="2448" spans="1:10" s="393" customFormat="1" x14ac:dyDescent="0.25">
      <c r="A2448" s="19" t="s">
        <v>39</v>
      </c>
      <c r="B2448" s="2">
        <v>43994</v>
      </c>
      <c r="C2448" s="1">
        <v>0</v>
      </c>
      <c r="D2448" s="39">
        <v>149</v>
      </c>
      <c r="E2448" s="1"/>
      <c r="F2448" s="39">
        <f t="shared" si="144"/>
        <v>0</v>
      </c>
      <c r="G2448" s="395"/>
      <c r="H2448" s="395"/>
      <c r="J2448" s="42"/>
    </row>
    <row r="2449" spans="1:10" s="393" customFormat="1" x14ac:dyDescent="0.25">
      <c r="A2449" s="19" t="s">
        <v>40</v>
      </c>
      <c r="B2449" s="2">
        <v>43994</v>
      </c>
      <c r="C2449" s="1">
        <v>1</v>
      </c>
      <c r="D2449" s="39">
        <v>50</v>
      </c>
      <c r="E2449" s="1"/>
      <c r="F2449" s="39">
        <f>E2449+F2425</f>
        <v>4</v>
      </c>
      <c r="G2449" s="395"/>
      <c r="H2449" s="395"/>
      <c r="J2449" s="42"/>
    </row>
    <row r="2450" spans="1:10" s="393" customFormat="1" x14ac:dyDescent="0.25">
      <c r="A2450" s="394" t="s">
        <v>16</v>
      </c>
      <c r="B2450" s="2">
        <v>43995</v>
      </c>
      <c r="C2450" s="1">
        <v>849</v>
      </c>
      <c r="D2450" s="39">
        <v>12559</v>
      </c>
      <c r="E2450" s="1">
        <v>19</v>
      </c>
      <c r="F2450" s="39">
        <f>E2450+F2426</f>
        <v>357</v>
      </c>
      <c r="G2450" s="395"/>
      <c r="H2450" s="395"/>
      <c r="J2450" s="42"/>
    </row>
    <row r="2451" spans="1:10" s="393" customFormat="1" x14ac:dyDescent="0.25">
      <c r="A2451" s="19" t="s">
        <v>28</v>
      </c>
      <c r="B2451" s="2">
        <v>43995</v>
      </c>
      <c r="C2451" s="1">
        <v>0</v>
      </c>
      <c r="D2451" s="39">
        <v>0</v>
      </c>
      <c r="E2451" s="1"/>
      <c r="F2451" s="39">
        <f t="shared" ref="F2451:F2457" si="145">E2451+F2427</f>
        <v>0</v>
      </c>
      <c r="G2451" s="395"/>
      <c r="H2451" s="395"/>
      <c r="J2451" s="42"/>
    </row>
    <row r="2452" spans="1:10" s="393" customFormat="1" x14ac:dyDescent="0.25">
      <c r="A2452" s="19" t="s">
        <v>15</v>
      </c>
      <c r="B2452" s="2">
        <v>43995</v>
      </c>
      <c r="C2452" s="1">
        <v>49</v>
      </c>
      <c r="D2452" s="39">
        <v>1299</v>
      </c>
      <c r="E2452" s="1"/>
      <c r="F2452" s="39">
        <f t="shared" si="145"/>
        <v>68</v>
      </c>
      <c r="G2452" s="395"/>
      <c r="H2452" s="395"/>
      <c r="J2452" s="42"/>
    </row>
    <row r="2453" spans="1:10" s="393" customFormat="1" x14ac:dyDescent="0.25">
      <c r="A2453" s="19" t="s">
        <v>29</v>
      </c>
      <c r="B2453" s="2">
        <v>43995</v>
      </c>
      <c r="C2453" s="1">
        <v>9</v>
      </c>
      <c r="D2453" s="39">
        <v>39</v>
      </c>
      <c r="E2453" s="1"/>
      <c r="F2453" s="39">
        <f t="shared" si="145"/>
        <v>2</v>
      </c>
      <c r="G2453" s="395"/>
      <c r="H2453" s="395"/>
      <c r="J2453" s="42"/>
    </row>
    <row r="2454" spans="1:10" s="393" customFormat="1" x14ac:dyDescent="0.25">
      <c r="A2454" s="19" t="s">
        <v>43</v>
      </c>
      <c r="B2454" s="2">
        <v>43995</v>
      </c>
      <c r="C2454" s="1">
        <v>558</v>
      </c>
      <c r="D2454" s="39">
        <v>14144</v>
      </c>
      <c r="E2454" s="1">
        <v>7</v>
      </c>
      <c r="F2454" s="39">
        <f t="shared" si="145"/>
        <v>291</v>
      </c>
      <c r="G2454" s="395"/>
      <c r="H2454" s="395"/>
      <c r="J2454" s="42"/>
    </row>
    <row r="2455" spans="1:10" s="393" customFormat="1" x14ac:dyDescent="0.25">
      <c r="A2455" s="19" t="s">
        <v>20</v>
      </c>
      <c r="B2455" s="2">
        <v>43995</v>
      </c>
      <c r="C2455" s="1">
        <v>6</v>
      </c>
      <c r="D2455" s="39">
        <v>492</v>
      </c>
      <c r="E2455" s="1"/>
      <c r="F2455" s="39">
        <f t="shared" si="145"/>
        <v>31</v>
      </c>
      <c r="G2455" s="395"/>
      <c r="H2455" s="395"/>
      <c r="J2455" s="42"/>
    </row>
    <row r="2456" spans="1:10" s="393" customFormat="1" x14ac:dyDescent="0.25">
      <c r="A2456" s="19" t="s">
        <v>30</v>
      </c>
      <c r="B2456" s="2">
        <v>43995</v>
      </c>
      <c r="C2456" s="1">
        <v>1</v>
      </c>
      <c r="D2456" s="39">
        <v>101</v>
      </c>
      <c r="E2456" s="1"/>
      <c r="F2456" s="39">
        <f t="shared" si="145"/>
        <v>0</v>
      </c>
      <c r="G2456" s="395"/>
      <c r="H2456" s="395"/>
      <c r="J2456" s="42"/>
    </row>
    <row r="2457" spans="1:10" x14ac:dyDescent="0.25">
      <c r="A2457" s="19" t="s">
        <v>31</v>
      </c>
      <c r="B2457" s="2">
        <v>43995</v>
      </c>
      <c r="C2457" s="1">
        <v>2</v>
      </c>
      <c r="D2457" s="39">
        <v>71</v>
      </c>
      <c r="F2457" s="39">
        <f t="shared" si="145"/>
        <v>0</v>
      </c>
    </row>
    <row r="2458" spans="1:10" s="393" customFormat="1" x14ac:dyDescent="0.25">
      <c r="A2458" s="19" t="s">
        <v>41</v>
      </c>
      <c r="B2458" s="2">
        <v>43995</v>
      </c>
      <c r="C2458" s="1">
        <v>26</v>
      </c>
      <c r="D2458" s="39">
        <v>27</v>
      </c>
      <c r="E2458" s="1"/>
      <c r="F2458" s="39">
        <f t="shared" ref="F2458:F2472" si="146">E2458+F2433</f>
        <v>0</v>
      </c>
      <c r="G2458" s="395"/>
      <c r="H2458" s="395"/>
      <c r="J2458" s="42"/>
    </row>
    <row r="2459" spans="1:10" s="393" customFormat="1" x14ac:dyDescent="0.25">
      <c r="A2459" s="19" t="s">
        <v>32</v>
      </c>
      <c r="B2459" s="2">
        <v>43995</v>
      </c>
      <c r="C2459" s="1">
        <v>0</v>
      </c>
      <c r="D2459" s="39">
        <v>8</v>
      </c>
      <c r="E2459" s="1">
        <v>1</v>
      </c>
      <c r="F2459" s="39">
        <f t="shared" si="146"/>
        <v>1</v>
      </c>
      <c r="G2459" s="395"/>
      <c r="H2459" s="395"/>
      <c r="J2459" s="42"/>
    </row>
    <row r="2460" spans="1:10" s="393" customFormat="1" x14ac:dyDescent="0.25">
      <c r="A2460" s="19" t="s">
        <v>33</v>
      </c>
      <c r="B2460" s="2">
        <v>43995</v>
      </c>
      <c r="C2460" s="1">
        <v>0</v>
      </c>
      <c r="D2460" s="39">
        <v>5</v>
      </c>
      <c r="E2460" s="1"/>
      <c r="F2460" s="39">
        <f t="shared" si="146"/>
        <v>0</v>
      </c>
      <c r="G2460" s="395"/>
      <c r="H2460" s="395"/>
      <c r="J2460" s="42"/>
    </row>
    <row r="2461" spans="1:10" s="393" customFormat="1" x14ac:dyDescent="0.25">
      <c r="A2461" s="19" t="s">
        <v>21</v>
      </c>
      <c r="B2461" s="2">
        <v>43995</v>
      </c>
      <c r="C2461" s="1">
        <v>0</v>
      </c>
      <c r="D2461" s="39">
        <v>64</v>
      </c>
      <c r="E2461" s="1"/>
      <c r="F2461" s="39">
        <f t="shared" si="146"/>
        <v>0</v>
      </c>
      <c r="G2461" s="395"/>
      <c r="H2461" s="395"/>
      <c r="J2461" s="42"/>
    </row>
    <row r="2462" spans="1:10" s="393" customFormat="1" x14ac:dyDescent="0.25">
      <c r="A2462" s="19" t="s">
        <v>17</v>
      </c>
      <c r="B2462" s="2">
        <v>43995</v>
      </c>
      <c r="C2462" s="1">
        <v>0</v>
      </c>
      <c r="D2462" s="39">
        <v>106</v>
      </c>
      <c r="E2462" s="1"/>
      <c r="F2462" s="39">
        <f t="shared" si="146"/>
        <v>0</v>
      </c>
      <c r="G2462" s="395"/>
      <c r="H2462" s="395"/>
      <c r="J2462" s="42"/>
    </row>
    <row r="2463" spans="1:10" s="393" customFormat="1" x14ac:dyDescent="0.25">
      <c r="A2463" s="19" t="s">
        <v>23</v>
      </c>
      <c r="B2463" s="2">
        <v>43995</v>
      </c>
      <c r="C2463" s="1">
        <v>0</v>
      </c>
      <c r="D2463" s="39">
        <v>39</v>
      </c>
      <c r="E2463" s="1"/>
      <c r="F2463" s="39">
        <f t="shared" si="146"/>
        <v>0</v>
      </c>
      <c r="G2463" s="395"/>
      <c r="H2463" s="395"/>
      <c r="J2463" s="42"/>
    </row>
    <row r="2464" spans="1:10" s="393" customFormat="1" x14ac:dyDescent="0.25">
      <c r="A2464" s="19" t="s">
        <v>19</v>
      </c>
      <c r="B2464" s="2">
        <v>43995</v>
      </c>
      <c r="C2464" s="1">
        <v>13</v>
      </c>
      <c r="D2464" s="39">
        <v>200</v>
      </c>
      <c r="E2464" s="1"/>
      <c r="F2464" s="39">
        <f t="shared" si="146"/>
        <v>0</v>
      </c>
      <c r="G2464" s="395"/>
      <c r="H2464" s="395"/>
      <c r="J2464" s="42"/>
    </row>
    <row r="2465" spans="1:10" s="393" customFormat="1" x14ac:dyDescent="0.25">
      <c r="A2465" s="19" t="s">
        <v>18</v>
      </c>
      <c r="B2465" s="2">
        <v>43995</v>
      </c>
      <c r="C2465" s="1">
        <v>13</v>
      </c>
      <c r="D2465" s="39">
        <v>546</v>
      </c>
      <c r="E2465" s="1">
        <v>3</v>
      </c>
      <c r="F2465" s="39">
        <f t="shared" si="146"/>
        <v>4</v>
      </c>
      <c r="G2465" s="395"/>
      <c r="H2465" s="395"/>
      <c r="J2465" s="42"/>
    </row>
    <row r="2466" spans="1:10" s="393" customFormat="1" x14ac:dyDescent="0.25">
      <c r="A2466" s="19" t="s">
        <v>34</v>
      </c>
      <c r="B2466" s="2">
        <v>43995</v>
      </c>
      <c r="C2466" s="1">
        <v>2</v>
      </c>
      <c r="D2466" s="39">
        <v>19</v>
      </c>
      <c r="E2466" s="1"/>
      <c r="F2466" s="39">
        <f t="shared" si="146"/>
        <v>0</v>
      </c>
      <c r="G2466" s="395"/>
      <c r="H2466" s="395"/>
      <c r="J2466" s="42"/>
    </row>
    <row r="2467" spans="1:10" s="393" customFormat="1" x14ac:dyDescent="0.25">
      <c r="A2467" s="19" t="s">
        <v>35</v>
      </c>
      <c r="B2467" s="2">
        <v>43995</v>
      </c>
      <c r="C2467" s="1">
        <v>1</v>
      </c>
      <c r="D2467" s="39">
        <v>7</v>
      </c>
      <c r="E2467" s="1"/>
      <c r="F2467" s="39">
        <f>E2467+F2443</f>
        <v>0</v>
      </c>
      <c r="G2467" s="395"/>
      <c r="H2467" s="395"/>
      <c r="J2467" s="42"/>
    </row>
    <row r="2468" spans="1:10" s="393" customFormat="1" x14ac:dyDescent="0.25">
      <c r="A2468" s="19" t="s">
        <v>36</v>
      </c>
      <c r="B2468" s="2">
        <v>43995</v>
      </c>
      <c r="C2468" s="1">
        <v>0</v>
      </c>
      <c r="D2468" s="39">
        <v>11</v>
      </c>
      <c r="E2468" s="1"/>
      <c r="F2468" s="39">
        <f t="shared" si="146"/>
        <v>0</v>
      </c>
      <c r="G2468" s="395"/>
      <c r="H2468" s="395"/>
      <c r="J2468" s="42"/>
    </row>
    <row r="2469" spans="1:10" s="393" customFormat="1" x14ac:dyDescent="0.25">
      <c r="A2469" s="19" t="s">
        <v>37</v>
      </c>
      <c r="B2469" s="2">
        <v>43995</v>
      </c>
      <c r="C2469" s="1">
        <v>0</v>
      </c>
      <c r="D2469" s="39">
        <v>51</v>
      </c>
      <c r="E2469" s="1"/>
      <c r="F2469" s="39">
        <f t="shared" si="146"/>
        <v>0</v>
      </c>
      <c r="G2469" s="395"/>
      <c r="H2469" s="395"/>
      <c r="J2469" s="42"/>
    </row>
    <row r="2470" spans="1:10" s="393" customFormat="1" x14ac:dyDescent="0.25">
      <c r="A2470" s="19" t="s">
        <v>22</v>
      </c>
      <c r="B2470" s="2">
        <v>43995</v>
      </c>
      <c r="C2470" s="1">
        <v>1</v>
      </c>
      <c r="D2470" s="39">
        <v>285</v>
      </c>
      <c r="E2470" s="1"/>
      <c r="F2470" s="39">
        <f>E2470+F2446</f>
        <v>3</v>
      </c>
      <c r="G2470" s="395"/>
      <c r="H2470" s="395"/>
      <c r="J2470" s="42"/>
    </row>
    <row r="2471" spans="1:10" s="393" customFormat="1" x14ac:dyDescent="0.25">
      <c r="A2471" s="19" t="s">
        <v>38</v>
      </c>
      <c r="B2471" s="2">
        <v>43995</v>
      </c>
      <c r="C2471" s="1">
        <v>0</v>
      </c>
      <c r="D2471" s="39">
        <v>22</v>
      </c>
      <c r="E2471" s="1"/>
      <c r="F2471" s="39">
        <f>E2471+F2447</f>
        <v>0</v>
      </c>
      <c r="G2471" s="395"/>
      <c r="H2471" s="395"/>
      <c r="J2471" s="42"/>
    </row>
    <row r="2472" spans="1:10" s="393" customFormat="1" x14ac:dyDescent="0.25">
      <c r="A2472" s="19" t="s">
        <v>39</v>
      </c>
      <c r="B2472" s="2">
        <v>43995</v>
      </c>
      <c r="C2472" s="1">
        <v>0</v>
      </c>
      <c r="D2472" s="39">
        <v>149</v>
      </c>
      <c r="E2472" s="1"/>
      <c r="F2472" s="39">
        <f t="shared" si="146"/>
        <v>0</v>
      </c>
      <c r="G2472" s="395"/>
      <c r="H2472" s="395"/>
      <c r="J2472" s="42"/>
    </row>
    <row r="2473" spans="1:10" s="393" customFormat="1" x14ac:dyDescent="0.25">
      <c r="A2473" s="19" t="s">
        <v>40</v>
      </c>
      <c r="B2473" s="2">
        <v>43995</v>
      </c>
      <c r="C2473" s="1">
        <v>1</v>
      </c>
      <c r="D2473" s="39">
        <v>51</v>
      </c>
      <c r="E2473" s="1"/>
      <c r="F2473" s="39">
        <f>E2473+F2449</f>
        <v>4</v>
      </c>
      <c r="G2473" s="395"/>
      <c r="H2473" s="395"/>
      <c r="J2473" s="42"/>
    </row>
    <row r="2474" spans="1:10" s="393" customFormat="1" x14ac:dyDescent="0.25">
      <c r="A2474" s="394" t="s">
        <v>16</v>
      </c>
      <c r="B2474" s="2">
        <v>43996</v>
      </c>
      <c r="C2474" s="1">
        <v>635</v>
      </c>
      <c r="D2474" s="39">
        <v>13194</v>
      </c>
      <c r="E2474" s="1">
        <v>9</v>
      </c>
      <c r="F2474" s="39">
        <f>E2474+F2450</f>
        <v>366</v>
      </c>
      <c r="G2474" s="395"/>
      <c r="H2474" s="395"/>
      <c r="J2474" s="42"/>
    </row>
    <row r="2475" spans="1:10" s="393" customFormat="1" x14ac:dyDescent="0.25">
      <c r="A2475" s="19" t="s">
        <v>28</v>
      </c>
      <c r="B2475" s="2">
        <v>43996</v>
      </c>
      <c r="C2475" s="1">
        <v>0</v>
      </c>
      <c r="D2475" s="39">
        <v>0</v>
      </c>
      <c r="E2475" s="1"/>
      <c r="F2475" s="39">
        <f t="shared" ref="F2475:F2481" si="147">E2475+F2451</f>
        <v>0</v>
      </c>
      <c r="G2475" s="395"/>
      <c r="H2475" s="395"/>
      <c r="J2475" s="42"/>
    </row>
    <row r="2476" spans="1:10" s="393" customFormat="1" x14ac:dyDescent="0.25">
      <c r="A2476" s="19" t="s">
        <v>15</v>
      </c>
      <c r="B2476" s="2">
        <v>43996</v>
      </c>
      <c r="C2476" s="1">
        <v>27</v>
      </c>
      <c r="D2476" s="39">
        <v>1326</v>
      </c>
      <c r="E2476" s="1">
        <v>3</v>
      </c>
      <c r="F2476" s="39">
        <f t="shared" si="147"/>
        <v>71</v>
      </c>
      <c r="G2476" s="395"/>
      <c r="H2476" s="395"/>
      <c r="J2476" s="42"/>
    </row>
    <row r="2477" spans="1:10" s="393" customFormat="1" x14ac:dyDescent="0.25">
      <c r="A2477" s="19" t="s">
        <v>29</v>
      </c>
      <c r="B2477" s="2">
        <v>43996</v>
      </c>
      <c r="C2477" s="1">
        <v>2</v>
      </c>
      <c r="D2477" s="39">
        <v>41</v>
      </c>
      <c r="E2477" s="1"/>
      <c r="F2477" s="39">
        <f t="shared" si="147"/>
        <v>2</v>
      </c>
      <c r="G2477" s="395"/>
      <c r="H2477" s="395"/>
      <c r="J2477" s="42"/>
    </row>
    <row r="2478" spans="1:10" s="393" customFormat="1" x14ac:dyDescent="0.25">
      <c r="A2478" s="19" t="s">
        <v>43</v>
      </c>
      <c r="B2478" s="2">
        <v>43996</v>
      </c>
      <c r="C2478" s="1">
        <v>558</v>
      </c>
      <c r="D2478" s="39">
        <v>14702</v>
      </c>
      <c r="E2478" s="1">
        <v>5</v>
      </c>
      <c r="F2478" s="39">
        <f t="shared" si="147"/>
        <v>296</v>
      </c>
      <c r="G2478" s="395"/>
      <c r="H2478" s="395"/>
      <c r="J2478" s="42"/>
    </row>
    <row r="2479" spans="1:10" s="393" customFormat="1" x14ac:dyDescent="0.25">
      <c r="A2479" s="19" t="s">
        <v>20</v>
      </c>
      <c r="B2479" s="2">
        <v>43996</v>
      </c>
      <c r="C2479" s="1">
        <v>6</v>
      </c>
      <c r="D2479" s="39">
        <v>498</v>
      </c>
      <c r="E2479" s="1">
        <v>1</v>
      </c>
      <c r="F2479" s="39">
        <f t="shared" si="147"/>
        <v>32</v>
      </c>
      <c r="G2479" s="395"/>
      <c r="H2479" s="395"/>
      <c r="J2479" s="42"/>
    </row>
    <row r="2480" spans="1:10" s="393" customFormat="1" x14ac:dyDescent="0.25">
      <c r="A2480" s="19" t="s">
        <v>30</v>
      </c>
      <c r="B2480" s="2">
        <v>43996</v>
      </c>
      <c r="C2480" s="1">
        <v>2</v>
      </c>
      <c r="D2480" s="39">
        <v>103</v>
      </c>
      <c r="E2480" s="1"/>
      <c r="F2480" s="39">
        <f t="shared" si="147"/>
        <v>0</v>
      </c>
      <c r="G2480" s="395"/>
      <c r="H2480" s="395"/>
      <c r="J2480" s="42"/>
    </row>
    <row r="2481" spans="1:10" x14ac:dyDescent="0.25">
      <c r="A2481" s="19" t="s">
        <v>31</v>
      </c>
      <c r="B2481" s="2">
        <v>43996</v>
      </c>
      <c r="C2481" s="1">
        <v>15</v>
      </c>
      <c r="D2481" s="39">
        <v>86</v>
      </c>
      <c r="F2481" s="39">
        <f t="shared" si="147"/>
        <v>0</v>
      </c>
    </row>
    <row r="2482" spans="1:10" s="393" customFormat="1" x14ac:dyDescent="0.25">
      <c r="A2482" s="19" t="s">
        <v>41</v>
      </c>
      <c r="B2482" s="2">
        <v>43996</v>
      </c>
      <c r="C2482" s="1">
        <v>6</v>
      </c>
      <c r="D2482" s="39">
        <v>33</v>
      </c>
      <c r="E2482" s="1"/>
      <c r="F2482" s="39">
        <f t="shared" ref="F2482:F2496" si="148">E2482+F2457</f>
        <v>0</v>
      </c>
      <c r="G2482" s="395"/>
      <c r="H2482" s="395"/>
      <c r="J2482" s="42"/>
    </row>
    <row r="2483" spans="1:10" s="393" customFormat="1" x14ac:dyDescent="0.25">
      <c r="A2483" s="19" t="s">
        <v>32</v>
      </c>
      <c r="B2483" s="2">
        <v>43996</v>
      </c>
      <c r="C2483" s="1">
        <v>0</v>
      </c>
      <c r="D2483" s="39">
        <v>8</v>
      </c>
      <c r="E2483" s="1"/>
      <c r="F2483" s="39">
        <f t="shared" si="148"/>
        <v>0</v>
      </c>
      <c r="G2483" s="395"/>
      <c r="H2483" s="395"/>
      <c r="J2483" s="42"/>
    </row>
    <row r="2484" spans="1:10" s="393" customFormat="1" x14ac:dyDescent="0.25">
      <c r="A2484" s="19" t="s">
        <v>33</v>
      </c>
      <c r="B2484" s="2">
        <v>43996</v>
      </c>
      <c r="C2484" s="1">
        <v>1</v>
      </c>
      <c r="D2484" s="39">
        <v>6</v>
      </c>
      <c r="E2484" s="1"/>
      <c r="F2484" s="39">
        <f t="shared" si="148"/>
        <v>1</v>
      </c>
      <c r="G2484" s="395"/>
      <c r="H2484" s="395"/>
      <c r="J2484" s="42"/>
    </row>
    <row r="2485" spans="1:10" s="393" customFormat="1" x14ac:dyDescent="0.25">
      <c r="A2485" s="19" t="s">
        <v>21</v>
      </c>
      <c r="B2485" s="2">
        <v>43996</v>
      </c>
      <c r="C2485" s="1">
        <v>0</v>
      </c>
      <c r="D2485" s="39">
        <v>64</v>
      </c>
      <c r="E2485" s="1"/>
      <c r="F2485" s="39">
        <f t="shared" si="148"/>
        <v>0</v>
      </c>
      <c r="G2485" s="395"/>
      <c r="H2485" s="395"/>
      <c r="J2485" s="42"/>
    </row>
    <row r="2486" spans="1:10" s="393" customFormat="1" x14ac:dyDescent="0.25">
      <c r="A2486" s="19" t="s">
        <v>17</v>
      </c>
      <c r="B2486" s="2">
        <v>43996</v>
      </c>
      <c r="C2486" s="1">
        <v>7</v>
      </c>
      <c r="D2486" s="39">
        <v>113</v>
      </c>
      <c r="E2486" s="1"/>
      <c r="F2486" s="39">
        <f t="shared" si="148"/>
        <v>0</v>
      </c>
      <c r="G2486" s="395"/>
      <c r="H2486" s="395"/>
      <c r="J2486" s="42"/>
    </row>
    <row r="2487" spans="1:10" s="393" customFormat="1" x14ac:dyDescent="0.25">
      <c r="A2487" s="19" t="s">
        <v>23</v>
      </c>
      <c r="B2487" s="2">
        <v>43996</v>
      </c>
      <c r="C2487" s="1">
        <v>0</v>
      </c>
      <c r="D2487" s="39">
        <v>39</v>
      </c>
      <c r="E2487" s="1"/>
      <c r="F2487" s="39">
        <f t="shared" si="148"/>
        <v>0</v>
      </c>
      <c r="G2487" s="395"/>
      <c r="H2487" s="395"/>
      <c r="J2487" s="42"/>
    </row>
    <row r="2488" spans="1:10" s="393" customFormat="1" x14ac:dyDescent="0.25">
      <c r="A2488" s="19" t="s">
        <v>19</v>
      </c>
      <c r="B2488" s="2">
        <v>43996</v>
      </c>
      <c r="C2488" s="1">
        <v>9</v>
      </c>
      <c r="D2488" s="39">
        <v>209</v>
      </c>
      <c r="E2488" s="1"/>
      <c r="F2488" s="39">
        <f t="shared" si="148"/>
        <v>0</v>
      </c>
      <c r="G2488" s="395"/>
      <c r="H2488" s="395"/>
      <c r="J2488" s="42"/>
    </row>
    <row r="2489" spans="1:10" s="393" customFormat="1" x14ac:dyDescent="0.25">
      <c r="A2489" s="19" t="s">
        <v>18</v>
      </c>
      <c r="B2489" s="2">
        <v>43996</v>
      </c>
      <c r="C2489" s="1">
        <v>6</v>
      </c>
      <c r="D2489" s="39">
        <v>552</v>
      </c>
      <c r="E2489" s="1"/>
      <c r="F2489" s="39">
        <f t="shared" si="148"/>
        <v>0</v>
      </c>
      <c r="G2489" s="395"/>
      <c r="H2489" s="395"/>
      <c r="J2489" s="42"/>
    </row>
    <row r="2490" spans="1:10" s="393" customFormat="1" x14ac:dyDescent="0.25">
      <c r="A2490" s="19" t="s">
        <v>34</v>
      </c>
      <c r="B2490" s="2">
        <v>43996</v>
      </c>
      <c r="C2490" s="1">
        <v>2</v>
      </c>
      <c r="D2490" s="39">
        <v>21</v>
      </c>
      <c r="E2490" s="1"/>
      <c r="F2490" s="39">
        <f t="shared" si="148"/>
        <v>4</v>
      </c>
      <c r="G2490" s="395"/>
      <c r="H2490" s="395"/>
      <c r="J2490" s="42"/>
    </row>
    <row r="2491" spans="1:10" s="393" customFormat="1" x14ac:dyDescent="0.25">
      <c r="A2491" s="19" t="s">
        <v>35</v>
      </c>
      <c r="B2491" s="2">
        <v>43996</v>
      </c>
      <c r="C2491" s="1">
        <v>0</v>
      </c>
      <c r="D2491" s="39">
        <v>7</v>
      </c>
      <c r="E2491" s="1"/>
      <c r="F2491" s="39">
        <f>E2491+F2467</f>
        <v>0</v>
      </c>
      <c r="G2491" s="395"/>
      <c r="H2491" s="395"/>
      <c r="J2491" s="42"/>
    </row>
    <row r="2492" spans="1:10" s="393" customFormat="1" x14ac:dyDescent="0.25">
      <c r="A2492" s="19" t="s">
        <v>36</v>
      </c>
      <c r="B2492" s="2">
        <v>43996</v>
      </c>
      <c r="C2492" s="1">
        <v>0</v>
      </c>
      <c r="D2492" s="39">
        <v>11</v>
      </c>
      <c r="E2492" s="1"/>
      <c r="F2492" s="39">
        <f t="shared" si="148"/>
        <v>0</v>
      </c>
      <c r="G2492" s="395"/>
      <c r="H2492" s="395"/>
      <c r="J2492" s="42"/>
    </row>
    <row r="2493" spans="1:10" s="393" customFormat="1" x14ac:dyDescent="0.25">
      <c r="A2493" s="19" t="s">
        <v>37</v>
      </c>
      <c r="B2493" s="2">
        <v>43996</v>
      </c>
      <c r="C2493" s="1">
        <v>0</v>
      </c>
      <c r="D2493" s="39">
        <v>51</v>
      </c>
      <c r="E2493" s="1"/>
      <c r="F2493" s="39">
        <f t="shared" si="148"/>
        <v>0</v>
      </c>
      <c r="G2493" s="395"/>
      <c r="H2493" s="395"/>
      <c r="J2493" s="42"/>
    </row>
    <row r="2494" spans="1:10" s="393" customFormat="1" x14ac:dyDescent="0.25">
      <c r="A2494" s="19" t="s">
        <v>22</v>
      </c>
      <c r="B2494" s="2">
        <v>43996</v>
      </c>
      <c r="C2494" s="1">
        <v>0</v>
      </c>
      <c r="D2494" s="39">
        <v>285</v>
      </c>
      <c r="E2494" s="1"/>
      <c r="F2494" s="39">
        <f>E2494+F2470</f>
        <v>3</v>
      </c>
      <c r="G2494" s="395"/>
      <c r="H2494" s="395"/>
      <c r="J2494" s="42"/>
    </row>
    <row r="2495" spans="1:10" s="393" customFormat="1" x14ac:dyDescent="0.25">
      <c r="A2495" s="19" t="s">
        <v>38</v>
      </c>
      <c r="B2495" s="2">
        <v>43996</v>
      </c>
      <c r="C2495" s="1">
        <v>0</v>
      </c>
      <c r="D2495" s="39">
        <v>22</v>
      </c>
      <c r="E2495" s="1"/>
      <c r="F2495" s="39">
        <f>E2495+F2471</f>
        <v>0</v>
      </c>
      <c r="G2495" s="395"/>
      <c r="H2495" s="395"/>
      <c r="J2495" s="42"/>
    </row>
    <row r="2496" spans="1:10" s="393" customFormat="1" x14ac:dyDescent="0.25">
      <c r="A2496" s="19" t="s">
        <v>39</v>
      </c>
      <c r="B2496" s="2">
        <v>43996</v>
      </c>
      <c r="C2496" s="1">
        <v>0</v>
      </c>
      <c r="D2496" s="39">
        <v>149</v>
      </c>
      <c r="E2496" s="1"/>
      <c r="F2496" s="39">
        <f t="shared" si="148"/>
        <v>0</v>
      </c>
      <c r="G2496" s="395"/>
      <c r="H2496" s="395"/>
      <c r="J2496" s="42"/>
    </row>
    <row r="2497" spans="1:10" s="393" customFormat="1" x14ac:dyDescent="0.25">
      <c r="A2497" s="19" t="s">
        <v>40</v>
      </c>
      <c r="B2497" s="2">
        <v>43996</v>
      </c>
      <c r="C2497" s="1">
        <v>6</v>
      </c>
      <c r="D2497" s="39">
        <v>57</v>
      </c>
      <c r="E2497" s="1"/>
      <c r="F2497" s="39">
        <f>E2497+F2473</f>
        <v>4</v>
      </c>
      <c r="G2497" s="395"/>
      <c r="H2497" s="395"/>
      <c r="J2497" s="42"/>
    </row>
    <row r="2498" spans="1:10" s="393" customFormat="1" x14ac:dyDescent="0.25">
      <c r="A2498" s="394" t="s">
        <v>16</v>
      </c>
      <c r="B2498" s="2">
        <v>43997</v>
      </c>
      <c r="C2498" s="1">
        <v>552</v>
      </c>
      <c r="D2498" s="39">
        <v>13746</v>
      </c>
      <c r="E2498" s="1">
        <v>12</v>
      </c>
      <c r="F2498" s="39">
        <f>E2498+F2474</f>
        <v>378</v>
      </c>
      <c r="G2498" s="395"/>
      <c r="H2498" s="395"/>
      <c r="J2498" s="42"/>
    </row>
    <row r="2499" spans="1:10" s="393" customFormat="1" x14ac:dyDescent="0.25">
      <c r="A2499" s="19" t="s">
        <v>28</v>
      </c>
      <c r="B2499" s="2">
        <v>43997</v>
      </c>
      <c r="C2499" s="1">
        <v>0</v>
      </c>
      <c r="D2499" s="39">
        <v>0</v>
      </c>
      <c r="E2499" s="1"/>
      <c r="F2499" s="39">
        <f t="shared" ref="F2499:F2505" si="149">E2499+F2475</f>
        <v>0</v>
      </c>
      <c r="G2499" s="395"/>
      <c r="H2499" s="395"/>
      <c r="J2499" s="42"/>
    </row>
    <row r="2500" spans="1:10" s="393" customFormat="1" x14ac:dyDescent="0.25">
      <c r="A2500" s="19" t="s">
        <v>15</v>
      </c>
      <c r="B2500" s="2">
        <v>43997</v>
      </c>
      <c r="C2500" s="1">
        <v>38</v>
      </c>
      <c r="D2500" s="39">
        <v>1364</v>
      </c>
      <c r="E2500" s="1"/>
      <c r="F2500" s="39">
        <f t="shared" si="149"/>
        <v>71</v>
      </c>
      <c r="G2500" s="395"/>
      <c r="H2500" s="395"/>
      <c r="J2500" s="42"/>
    </row>
    <row r="2501" spans="1:10" s="393" customFormat="1" x14ac:dyDescent="0.25">
      <c r="A2501" s="19" t="s">
        <v>29</v>
      </c>
      <c r="B2501" s="2">
        <v>43997</v>
      </c>
      <c r="C2501" s="1">
        <v>22</v>
      </c>
      <c r="D2501" s="39">
        <v>63</v>
      </c>
      <c r="E2501" s="1"/>
      <c r="F2501" s="39">
        <f t="shared" si="149"/>
        <v>2</v>
      </c>
      <c r="G2501" s="395"/>
      <c r="H2501" s="395"/>
      <c r="J2501" s="42"/>
    </row>
    <row r="2502" spans="1:10" s="393" customFormat="1" x14ac:dyDescent="0.25">
      <c r="A2502" s="19" t="s">
        <v>43</v>
      </c>
      <c r="B2502" s="2">
        <v>43997</v>
      </c>
      <c r="C2502" s="1">
        <v>575</v>
      </c>
      <c r="D2502" s="39">
        <v>15277</v>
      </c>
      <c r="E2502" s="1">
        <v>7</v>
      </c>
      <c r="F2502" s="39">
        <f t="shared" si="149"/>
        <v>303</v>
      </c>
      <c r="G2502" s="395"/>
      <c r="H2502" s="395"/>
      <c r="J2502" s="42"/>
    </row>
    <row r="2503" spans="1:10" s="393" customFormat="1" x14ac:dyDescent="0.25">
      <c r="A2503" s="19" t="s">
        <v>20</v>
      </c>
      <c r="B2503" s="2">
        <v>43997</v>
      </c>
      <c r="C2503" s="1">
        <v>2</v>
      </c>
      <c r="D2503" s="39">
        <v>500</v>
      </c>
      <c r="E2503" s="1">
        <v>1</v>
      </c>
      <c r="F2503" s="39">
        <f t="shared" si="149"/>
        <v>33</v>
      </c>
      <c r="G2503" s="395"/>
      <c r="H2503" s="395"/>
      <c r="J2503" s="42"/>
    </row>
    <row r="2504" spans="1:10" s="393" customFormat="1" x14ac:dyDescent="0.25">
      <c r="A2504" s="19" t="s">
        <v>30</v>
      </c>
      <c r="B2504" s="2">
        <v>43997</v>
      </c>
      <c r="C2504" s="1">
        <v>1</v>
      </c>
      <c r="D2504" s="39">
        <v>104</v>
      </c>
      <c r="E2504" s="1"/>
      <c r="F2504" s="39">
        <f t="shared" si="149"/>
        <v>0</v>
      </c>
      <c r="G2504" s="395"/>
      <c r="H2504" s="395"/>
      <c r="J2504" s="42"/>
    </row>
    <row r="2505" spans="1:10" x14ac:dyDescent="0.25">
      <c r="A2505" s="19" t="s">
        <v>31</v>
      </c>
      <c r="B2505" s="2">
        <v>43997</v>
      </c>
      <c r="C2505" s="1">
        <v>2</v>
      </c>
      <c r="D2505" s="39">
        <v>88</v>
      </c>
      <c r="F2505" s="39">
        <f t="shared" si="149"/>
        <v>0</v>
      </c>
    </row>
    <row r="2506" spans="1:10" s="393" customFormat="1" x14ac:dyDescent="0.25">
      <c r="A2506" s="19" t="s">
        <v>41</v>
      </c>
      <c r="B2506" s="2">
        <v>43997</v>
      </c>
      <c r="C2506" s="1">
        <v>0</v>
      </c>
      <c r="D2506" s="39">
        <v>33</v>
      </c>
      <c r="E2506" s="1"/>
      <c r="F2506" s="39">
        <f t="shared" ref="F2506:F2520" si="150">E2506+F2481</f>
        <v>0</v>
      </c>
      <c r="G2506" s="395"/>
      <c r="H2506" s="395"/>
      <c r="J2506" s="42"/>
    </row>
    <row r="2507" spans="1:10" s="393" customFormat="1" x14ac:dyDescent="0.25">
      <c r="A2507" s="19" t="s">
        <v>32</v>
      </c>
      <c r="B2507" s="2">
        <v>43997</v>
      </c>
      <c r="C2507" s="1">
        <v>0</v>
      </c>
      <c r="D2507" s="39">
        <v>8</v>
      </c>
      <c r="E2507" s="1"/>
      <c r="F2507" s="39">
        <f t="shared" si="150"/>
        <v>0</v>
      </c>
      <c r="G2507" s="395"/>
      <c r="H2507" s="395"/>
      <c r="J2507" s="42"/>
    </row>
    <row r="2508" spans="1:10" s="393" customFormat="1" x14ac:dyDescent="0.25">
      <c r="A2508" s="19" t="s">
        <v>33</v>
      </c>
      <c r="B2508" s="2">
        <v>43997</v>
      </c>
      <c r="C2508" s="1">
        <v>0</v>
      </c>
      <c r="D2508" s="39">
        <v>6</v>
      </c>
      <c r="E2508" s="1"/>
      <c r="F2508" s="39">
        <f t="shared" si="150"/>
        <v>0</v>
      </c>
      <c r="G2508" s="395"/>
      <c r="H2508" s="395"/>
      <c r="J2508" s="42"/>
    </row>
    <row r="2509" spans="1:10" s="393" customFormat="1" x14ac:dyDescent="0.25">
      <c r="A2509" s="19" t="s">
        <v>21</v>
      </c>
      <c r="B2509" s="2">
        <v>43997</v>
      </c>
      <c r="C2509" s="1">
        <v>0</v>
      </c>
      <c r="D2509" s="39">
        <v>64</v>
      </c>
      <c r="E2509" s="1"/>
      <c r="F2509" s="39">
        <f t="shared" si="150"/>
        <v>1</v>
      </c>
      <c r="G2509" s="395"/>
      <c r="H2509" s="395"/>
      <c r="J2509" s="42"/>
    </row>
    <row r="2510" spans="1:10" s="393" customFormat="1" x14ac:dyDescent="0.25">
      <c r="A2510" s="19" t="s">
        <v>17</v>
      </c>
      <c r="B2510" s="2">
        <v>43997</v>
      </c>
      <c r="C2510" s="1">
        <v>0</v>
      </c>
      <c r="D2510" s="39">
        <v>113</v>
      </c>
      <c r="E2510" s="1"/>
      <c r="F2510" s="39">
        <f t="shared" si="150"/>
        <v>0</v>
      </c>
      <c r="G2510" s="395"/>
      <c r="H2510" s="395"/>
      <c r="J2510" s="42"/>
    </row>
    <row r="2511" spans="1:10" s="393" customFormat="1" x14ac:dyDescent="0.25">
      <c r="A2511" s="19" t="s">
        <v>23</v>
      </c>
      <c r="B2511" s="2">
        <v>43997</v>
      </c>
      <c r="C2511" s="1">
        <v>1</v>
      </c>
      <c r="D2511" s="39">
        <v>40</v>
      </c>
      <c r="E2511" s="1"/>
      <c r="F2511" s="39">
        <f t="shared" si="150"/>
        <v>0</v>
      </c>
      <c r="G2511" s="395"/>
      <c r="H2511" s="395"/>
      <c r="J2511" s="42"/>
    </row>
    <row r="2512" spans="1:10" s="393" customFormat="1" x14ac:dyDescent="0.25">
      <c r="A2512" s="19" t="s">
        <v>19</v>
      </c>
      <c r="B2512" s="2">
        <v>43997</v>
      </c>
      <c r="C2512" s="1">
        <v>3</v>
      </c>
      <c r="D2512" s="39">
        <v>212</v>
      </c>
      <c r="E2512" s="1"/>
      <c r="F2512" s="39">
        <f t="shared" si="150"/>
        <v>0</v>
      </c>
      <c r="G2512" s="395"/>
      <c r="H2512" s="395"/>
      <c r="J2512" s="42"/>
    </row>
    <row r="2513" spans="1:10" s="393" customFormat="1" x14ac:dyDescent="0.25">
      <c r="A2513" s="19" t="s">
        <v>18</v>
      </c>
      <c r="B2513" s="2">
        <v>43997</v>
      </c>
      <c r="C2513" s="1">
        <v>12</v>
      </c>
      <c r="D2513" s="39">
        <v>564</v>
      </c>
      <c r="E2513" s="1">
        <v>1</v>
      </c>
      <c r="F2513" s="39">
        <f t="shared" si="150"/>
        <v>1</v>
      </c>
      <c r="G2513" s="395"/>
      <c r="H2513" s="395"/>
      <c r="J2513" s="42"/>
    </row>
    <row r="2514" spans="1:10" s="393" customFormat="1" x14ac:dyDescent="0.25">
      <c r="A2514" s="19" t="s">
        <v>34</v>
      </c>
      <c r="B2514" s="2">
        <v>43997</v>
      </c>
      <c r="C2514" s="1">
        <v>0</v>
      </c>
      <c r="D2514" s="39">
        <v>21</v>
      </c>
      <c r="E2514" s="1"/>
      <c r="F2514" s="39">
        <f t="shared" si="150"/>
        <v>0</v>
      </c>
      <c r="G2514" s="395"/>
      <c r="H2514" s="395"/>
      <c r="J2514" s="42"/>
    </row>
    <row r="2515" spans="1:10" s="393" customFormat="1" x14ac:dyDescent="0.25">
      <c r="A2515" s="19" t="s">
        <v>35</v>
      </c>
      <c r="B2515" s="2">
        <v>43997</v>
      </c>
      <c r="C2515" s="1">
        <v>0</v>
      </c>
      <c r="D2515" s="39">
        <v>7</v>
      </c>
      <c r="E2515" s="1"/>
      <c r="F2515" s="39">
        <f>E2515+F2491</f>
        <v>0</v>
      </c>
      <c r="G2515" s="395"/>
      <c r="H2515" s="395"/>
      <c r="J2515" s="42"/>
    </row>
    <row r="2516" spans="1:10" s="393" customFormat="1" x14ac:dyDescent="0.25">
      <c r="A2516" s="19" t="s">
        <v>36</v>
      </c>
      <c r="B2516" s="2">
        <v>43997</v>
      </c>
      <c r="C2516" s="1">
        <v>0</v>
      </c>
      <c r="D2516" s="39">
        <v>11</v>
      </c>
      <c r="E2516" s="1"/>
      <c r="F2516" s="39">
        <f t="shared" si="150"/>
        <v>0</v>
      </c>
      <c r="G2516" s="395"/>
      <c r="H2516" s="395"/>
      <c r="J2516" s="42"/>
    </row>
    <row r="2517" spans="1:10" s="393" customFormat="1" x14ac:dyDescent="0.25">
      <c r="A2517" s="19" t="s">
        <v>37</v>
      </c>
      <c r="B2517" s="2">
        <v>43997</v>
      </c>
      <c r="C2517" s="1">
        <v>0</v>
      </c>
      <c r="D2517" s="39">
        <v>51</v>
      </c>
      <c r="E2517" s="1"/>
      <c r="F2517" s="39">
        <f t="shared" si="150"/>
        <v>0</v>
      </c>
      <c r="G2517" s="395"/>
      <c r="H2517" s="395"/>
      <c r="J2517" s="42"/>
    </row>
    <row r="2518" spans="1:10" s="393" customFormat="1" x14ac:dyDescent="0.25">
      <c r="A2518" s="19" t="s">
        <v>22</v>
      </c>
      <c r="B2518" s="2">
        <v>43997</v>
      </c>
      <c r="C2518" s="1">
        <v>0</v>
      </c>
      <c r="D2518" s="39">
        <v>285</v>
      </c>
      <c r="E2518" s="1"/>
      <c r="F2518" s="39">
        <f>E2518+F2494</f>
        <v>3</v>
      </c>
      <c r="G2518" s="395"/>
      <c r="H2518" s="395"/>
      <c r="J2518" s="42"/>
    </row>
    <row r="2519" spans="1:10" s="393" customFormat="1" x14ac:dyDescent="0.25">
      <c r="A2519" s="19" t="s">
        <v>38</v>
      </c>
      <c r="B2519" s="2">
        <v>43997</v>
      </c>
      <c r="C2519" s="1">
        <v>0</v>
      </c>
      <c r="D2519" s="39">
        <v>22</v>
      </c>
      <c r="E2519" s="1"/>
      <c r="F2519" s="39">
        <f>E2519+F2495</f>
        <v>0</v>
      </c>
      <c r="G2519" s="395"/>
      <c r="H2519" s="395"/>
      <c r="J2519" s="42"/>
    </row>
    <row r="2520" spans="1:10" s="393" customFormat="1" x14ac:dyDescent="0.25">
      <c r="A2520" s="19" t="s">
        <v>39</v>
      </c>
      <c r="B2520" s="2">
        <v>43997</v>
      </c>
      <c r="C2520" s="1">
        <v>0</v>
      </c>
      <c r="D2520" s="39">
        <v>149</v>
      </c>
      <c r="E2520" s="1"/>
      <c r="F2520" s="39">
        <f t="shared" si="150"/>
        <v>0</v>
      </c>
      <c r="G2520" s="395"/>
      <c r="H2520" s="395"/>
      <c r="J2520" s="42"/>
    </row>
    <row r="2521" spans="1:10" s="393" customFormat="1" x14ac:dyDescent="0.25">
      <c r="A2521" s="19" t="s">
        <v>40</v>
      </c>
      <c r="B2521" s="2">
        <v>43997</v>
      </c>
      <c r="C2521" s="1">
        <v>0</v>
      </c>
      <c r="D2521" s="39">
        <v>57</v>
      </c>
      <c r="E2521" s="1"/>
      <c r="F2521" s="39">
        <f>E2521+F2497</f>
        <v>4</v>
      </c>
      <c r="G2521" s="395"/>
      <c r="H2521" s="395"/>
      <c r="J2521" s="42"/>
    </row>
    <row r="2522" spans="1:10" s="393" customFormat="1" x14ac:dyDescent="0.25">
      <c r="A2522" s="394" t="s">
        <v>16</v>
      </c>
      <c r="B2522" s="2">
        <v>43998</v>
      </c>
      <c r="C2522" s="1">
        <v>798</v>
      </c>
      <c r="D2522" s="39">
        <v>14544</v>
      </c>
      <c r="E2522" s="1">
        <v>7</v>
      </c>
      <c r="F2522" s="39">
        <f>E2522+F2498</f>
        <v>385</v>
      </c>
      <c r="G2522" s="395"/>
      <c r="H2522" s="395"/>
      <c r="J2522" s="42"/>
    </row>
    <row r="2523" spans="1:10" s="393" customFormat="1" x14ac:dyDescent="0.25">
      <c r="A2523" s="19" t="s">
        <v>28</v>
      </c>
      <c r="B2523" s="2">
        <v>43998</v>
      </c>
      <c r="C2523" s="1">
        <v>0</v>
      </c>
      <c r="D2523" s="39">
        <v>0</v>
      </c>
      <c r="E2523" s="1"/>
      <c r="F2523" s="39">
        <f t="shared" ref="F2523:F2529" si="151">E2523+F2499</f>
        <v>0</v>
      </c>
      <c r="G2523" s="395"/>
      <c r="H2523" s="395"/>
      <c r="J2523" s="42"/>
    </row>
    <row r="2524" spans="1:10" s="393" customFormat="1" x14ac:dyDescent="0.25">
      <c r="A2524" s="19" t="s">
        <v>15</v>
      </c>
      <c r="B2524" s="2">
        <v>43998</v>
      </c>
      <c r="C2524" s="1">
        <v>23</v>
      </c>
      <c r="D2524" s="39">
        <v>1387</v>
      </c>
      <c r="E2524" s="1">
        <v>5</v>
      </c>
      <c r="F2524" s="39">
        <f t="shared" si="151"/>
        <v>76</v>
      </c>
      <c r="G2524" s="395"/>
      <c r="H2524" s="395"/>
      <c r="J2524" s="42"/>
    </row>
    <row r="2525" spans="1:10" s="393" customFormat="1" x14ac:dyDescent="0.25">
      <c r="A2525" s="19" t="s">
        <v>29</v>
      </c>
      <c r="B2525" s="2">
        <v>43998</v>
      </c>
      <c r="C2525" s="1">
        <v>1</v>
      </c>
      <c r="D2525" s="39">
        <v>64</v>
      </c>
      <c r="E2525" s="1"/>
      <c r="F2525" s="39">
        <f t="shared" si="151"/>
        <v>2</v>
      </c>
      <c r="G2525" s="395"/>
      <c r="H2525" s="395"/>
      <c r="J2525" s="42"/>
    </row>
    <row r="2526" spans="1:10" s="393" customFormat="1" x14ac:dyDescent="0.25">
      <c r="A2526" s="19" t="s">
        <v>43</v>
      </c>
      <c r="B2526" s="2">
        <v>43998</v>
      </c>
      <c r="C2526" s="1">
        <v>488</v>
      </c>
      <c r="D2526" s="39">
        <v>15765</v>
      </c>
      <c r="E2526" s="1">
        <v>10</v>
      </c>
      <c r="F2526" s="39">
        <f>E2526+F2502</f>
        <v>313</v>
      </c>
      <c r="G2526" s="395"/>
      <c r="H2526" s="395"/>
      <c r="J2526" s="42"/>
    </row>
    <row r="2527" spans="1:10" s="393" customFormat="1" x14ac:dyDescent="0.25">
      <c r="A2527" s="19" t="s">
        <v>20</v>
      </c>
      <c r="B2527" s="2">
        <v>43998</v>
      </c>
      <c r="C2527" s="1">
        <v>1</v>
      </c>
      <c r="D2527" s="39">
        <v>501</v>
      </c>
      <c r="E2527" s="1"/>
      <c r="F2527" s="39">
        <f t="shared" si="151"/>
        <v>33</v>
      </c>
      <c r="G2527" s="395"/>
      <c r="H2527" s="395"/>
      <c r="J2527" s="42"/>
    </row>
    <row r="2528" spans="1:10" s="393" customFormat="1" x14ac:dyDescent="0.25">
      <c r="A2528" s="19" t="s">
        <v>30</v>
      </c>
      <c r="B2528" s="2">
        <v>43998</v>
      </c>
      <c r="C2528" s="1">
        <v>1</v>
      </c>
      <c r="D2528" s="39">
        <v>105</v>
      </c>
      <c r="E2528" s="1"/>
      <c r="F2528" s="39">
        <f t="shared" si="151"/>
        <v>0</v>
      </c>
      <c r="G2528" s="395"/>
      <c r="H2528" s="395"/>
      <c r="J2528" s="42"/>
    </row>
    <row r="2529" spans="1:10" x14ac:dyDescent="0.25">
      <c r="A2529" s="19" t="s">
        <v>31</v>
      </c>
      <c r="B2529" s="2">
        <v>43998</v>
      </c>
      <c r="C2529" s="1">
        <v>12</v>
      </c>
      <c r="D2529" s="39">
        <v>100</v>
      </c>
      <c r="F2529" s="39">
        <f t="shared" si="151"/>
        <v>0</v>
      </c>
    </row>
    <row r="2530" spans="1:10" s="393" customFormat="1" x14ac:dyDescent="0.25">
      <c r="A2530" s="19" t="s">
        <v>41</v>
      </c>
      <c r="B2530" s="2">
        <v>43998</v>
      </c>
      <c r="C2530" s="1">
        <v>0</v>
      </c>
      <c r="D2530" s="39">
        <v>33</v>
      </c>
      <c r="E2530" s="1"/>
      <c r="F2530" s="39">
        <f t="shared" ref="F2530:F2544" si="152">E2530+F2505</f>
        <v>0</v>
      </c>
      <c r="G2530" s="395"/>
      <c r="H2530" s="395"/>
      <c r="J2530" s="42"/>
    </row>
    <row r="2531" spans="1:10" s="393" customFormat="1" x14ac:dyDescent="0.25">
      <c r="A2531" s="19" t="s">
        <v>32</v>
      </c>
      <c r="B2531" s="2">
        <v>43998</v>
      </c>
      <c r="C2531" s="1">
        <v>0</v>
      </c>
      <c r="D2531" s="39">
        <v>8</v>
      </c>
      <c r="E2531" s="1"/>
      <c r="F2531" s="39">
        <f t="shared" si="152"/>
        <v>0</v>
      </c>
      <c r="G2531" s="395"/>
      <c r="H2531" s="395"/>
      <c r="J2531" s="42"/>
    </row>
    <row r="2532" spans="1:10" s="393" customFormat="1" x14ac:dyDescent="0.25">
      <c r="A2532" s="19" t="s">
        <v>33</v>
      </c>
      <c r="B2532" s="2">
        <v>43998</v>
      </c>
      <c r="C2532" s="1">
        <v>0</v>
      </c>
      <c r="D2532" s="39">
        <v>6</v>
      </c>
      <c r="E2532" s="1"/>
      <c r="F2532" s="39">
        <f t="shared" si="152"/>
        <v>0</v>
      </c>
      <c r="G2532" s="395"/>
      <c r="H2532" s="395"/>
      <c r="J2532" s="42"/>
    </row>
    <row r="2533" spans="1:10" s="393" customFormat="1" x14ac:dyDescent="0.25">
      <c r="A2533" s="19" t="s">
        <v>21</v>
      </c>
      <c r="B2533" s="2">
        <v>43998</v>
      </c>
      <c r="C2533" s="1">
        <v>0</v>
      </c>
      <c r="D2533" s="39">
        <v>64</v>
      </c>
      <c r="E2533" s="1"/>
      <c r="F2533" s="39">
        <f t="shared" si="152"/>
        <v>0</v>
      </c>
      <c r="G2533" s="395"/>
      <c r="H2533" s="395"/>
      <c r="J2533" s="42"/>
    </row>
    <row r="2534" spans="1:10" s="393" customFormat="1" x14ac:dyDescent="0.25">
      <c r="A2534" s="19" t="s">
        <v>17</v>
      </c>
      <c r="B2534" s="2">
        <v>43998</v>
      </c>
      <c r="C2534" s="1">
        <v>3</v>
      </c>
      <c r="D2534" s="39">
        <v>116</v>
      </c>
      <c r="E2534" s="1"/>
      <c r="F2534" s="39">
        <f t="shared" si="152"/>
        <v>1</v>
      </c>
      <c r="G2534" s="395"/>
      <c r="H2534" s="395"/>
      <c r="J2534" s="42"/>
    </row>
    <row r="2535" spans="1:10" s="393" customFormat="1" x14ac:dyDescent="0.25">
      <c r="A2535" s="19" t="s">
        <v>23</v>
      </c>
      <c r="B2535" s="2">
        <v>43998</v>
      </c>
      <c r="C2535" s="1">
        <v>0</v>
      </c>
      <c r="D2535" s="39">
        <v>40</v>
      </c>
      <c r="E2535" s="1"/>
      <c r="F2535" s="39">
        <f t="shared" si="152"/>
        <v>0</v>
      </c>
      <c r="G2535" s="395"/>
      <c r="H2535" s="395"/>
      <c r="J2535" s="42"/>
    </row>
    <row r="2536" spans="1:10" s="393" customFormat="1" x14ac:dyDescent="0.25">
      <c r="A2536" s="19" t="s">
        <v>19</v>
      </c>
      <c r="B2536" s="2">
        <v>43998</v>
      </c>
      <c r="C2536" s="1">
        <v>28</v>
      </c>
      <c r="D2536" s="39">
        <v>240</v>
      </c>
      <c r="E2536" s="1">
        <v>1</v>
      </c>
      <c r="F2536" s="39">
        <f t="shared" si="152"/>
        <v>1</v>
      </c>
      <c r="G2536" s="395"/>
      <c r="H2536" s="395"/>
      <c r="J2536" s="42"/>
    </row>
    <row r="2537" spans="1:10" s="393" customFormat="1" x14ac:dyDescent="0.25">
      <c r="A2537" s="19" t="s">
        <v>18</v>
      </c>
      <c r="B2537" s="2">
        <v>43998</v>
      </c>
      <c r="C2537" s="1">
        <v>17</v>
      </c>
      <c r="D2537" s="39">
        <v>581</v>
      </c>
      <c r="E2537" s="1"/>
      <c r="F2537" s="39">
        <f t="shared" si="152"/>
        <v>0</v>
      </c>
      <c r="G2537" s="395"/>
      <c r="H2537" s="395"/>
      <c r="J2537" s="42"/>
    </row>
    <row r="2538" spans="1:10" s="393" customFormat="1" x14ac:dyDescent="0.25">
      <c r="A2538" s="19" t="s">
        <v>34</v>
      </c>
      <c r="B2538" s="2">
        <v>43998</v>
      </c>
      <c r="C2538" s="1">
        <v>-1</v>
      </c>
      <c r="D2538" s="39">
        <v>20</v>
      </c>
      <c r="E2538" s="1"/>
      <c r="F2538" s="39">
        <f t="shared" si="152"/>
        <v>1</v>
      </c>
      <c r="G2538" s="395"/>
      <c r="H2538" s="395"/>
      <c r="J2538" s="42"/>
    </row>
    <row r="2539" spans="1:10" s="393" customFormat="1" x14ac:dyDescent="0.25">
      <c r="A2539" s="19" t="s">
        <v>35</v>
      </c>
      <c r="B2539" s="2">
        <v>43998</v>
      </c>
      <c r="C2539" s="1">
        <v>0</v>
      </c>
      <c r="D2539" s="39">
        <v>7</v>
      </c>
      <c r="E2539" s="1"/>
      <c r="F2539" s="39">
        <f>E2539+F2515</f>
        <v>0</v>
      </c>
      <c r="G2539" s="395"/>
      <c r="H2539" s="395"/>
      <c r="J2539" s="42"/>
    </row>
    <row r="2540" spans="1:10" s="393" customFormat="1" x14ac:dyDescent="0.25">
      <c r="A2540" s="19" t="s">
        <v>36</v>
      </c>
      <c r="B2540" s="2">
        <v>43998</v>
      </c>
      <c r="C2540" s="1">
        <v>0</v>
      </c>
      <c r="D2540" s="39">
        <v>11</v>
      </c>
      <c r="E2540" s="1"/>
      <c r="F2540" s="39">
        <f t="shared" si="152"/>
        <v>0</v>
      </c>
      <c r="G2540" s="395"/>
      <c r="H2540" s="395"/>
      <c r="J2540" s="42"/>
    </row>
    <row r="2541" spans="1:10" s="393" customFormat="1" x14ac:dyDescent="0.25">
      <c r="A2541" s="19" t="s">
        <v>37</v>
      </c>
      <c r="B2541" s="2">
        <v>43998</v>
      </c>
      <c r="C2541" s="1">
        <v>0</v>
      </c>
      <c r="D2541" s="39">
        <v>51</v>
      </c>
      <c r="E2541" s="1"/>
      <c r="F2541" s="39">
        <f t="shared" si="152"/>
        <v>0</v>
      </c>
      <c r="G2541" s="395"/>
      <c r="H2541" s="395"/>
      <c r="J2541" s="42"/>
    </row>
    <row r="2542" spans="1:10" s="393" customFormat="1" x14ac:dyDescent="0.25">
      <c r="A2542" s="19" t="s">
        <v>22</v>
      </c>
      <c r="B2542" s="2">
        <v>43998</v>
      </c>
      <c r="C2542" s="1">
        <v>3</v>
      </c>
      <c r="D2542" s="39">
        <v>288</v>
      </c>
      <c r="E2542" s="1">
        <v>1</v>
      </c>
      <c r="F2542" s="39">
        <f>E2542+F2518</f>
        <v>4</v>
      </c>
      <c r="G2542" s="395"/>
      <c r="H2542" s="395"/>
      <c r="J2542" s="42"/>
    </row>
    <row r="2543" spans="1:10" s="393" customFormat="1" x14ac:dyDescent="0.25">
      <c r="A2543" s="19" t="s">
        <v>38</v>
      </c>
      <c r="B2543" s="2">
        <v>43998</v>
      </c>
      <c r="C2543" s="1">
        <v>0</v>
      </c>
      <c r="D2543" s="39">
        <v>22</v>
      </c>
      <c r="E2543" s="1"/>
      <c r="F2543" s="39">
        <f>E2543+F2519</f>
        <v>0</v>
      </c>
      <c r="G2543" s="395"/>
      <c r="H2543" s="395"/>
      <c r="J2543" s="42"/>
    </row>
    <row r="2544" spans="1:10" s="393" customFormat="1" x14ac:dyDescent="0.25">
      <c r="A2544" s="19" t="s">
        <v>39</v>
      </c>
      <c r="B2544" s="2">
        <v>43998</v>
      </c>
      <c r="C2544" s="1">
        <v>0</v>
      </c>
      <c r="D2544" s="39">
        <v>149</v>
      </c>
      <c r="E2544" s="1"/>
      <c r="F2544" s="39">
        <f t="shared" si="152"/>
        <v>0</v>
      </c>
      <c r="G2544" s="395"/>
      <c r="H2544" s="395"/>
      <c r="J2544" s="42"/>
    </row>
    <row r="2545" spans="1:10" s="393" customFormat="1" x14ac:dyDescent="0.25">
      <c r="A2545" s="19" t="s">
        <v>40</v>
      </c>
      <c r="B2545" s="2">
        <v>43998</v>
      </c>
      <c r="C2545" s="1">
        <v>0</v>
      </c>
      <c r="D2545" s="39">
        <v>57</v>
      </c>
      <c r="E2545" s="1"/>
      <c r="F2545" s="39">
        <f>E2545+F2521</f>
        <v>4</v>
      </c>
      <c r="G2545" s="395"/>
      <c r="H2545" s="395"/>
      <c r="J2545" s="42"/>
    </row>
    <row r="2546" spans="1:10" s="393" customFormat="1" x14ac:dyDescent="0.25">
      <c r="A2546" s="394" t="s">
        <v>16</v>
      </c>
      <c r="B2546" s="2">
        <v>43999</v>
      </c>
      <c r="C2546" s="1">
        <v>799</v>
      </c>
      <c r="D2546" s="39">
        <v>15343</v>
      </c>
      <c r="E2546" s="1">
        <v>12</v>
      </c>
      <c r="F2546" s="39">
        <f>E2546+F2522</f>
        <v>397</v>
      </c>
      <c r="G2546" s="395"/>
      <c r="H2546" s="395"/>
      <c r="J2546" s="42"/>
    </row>
    <row r="2547" spans="1:10" s="393" customFormat="1" x14ac:dyDescent="0.25">
      <c r="A2547" s="19" t="s">
        <v>28</v>
      </c>
      <c r="B2547" s="2">
        <v>43999</v>
      </c>
      <c r="C2547" s="1">
        <v>0</v>
      </c>
      <c r="D2547" s="39">
        <v>0</v>
      </c>
      <c r="E2547" s="1"/>
      <c r="F2547" s="39">
        <f t="shared" ref="F2547:F2553" si="153">E2547+F2523</f>
        <v>0</v>
      </c>
      <c r="G2547" s="395"/>
      <c r="H2547" s="395"/>
      <c r="J2547" s="42"/>
    </row>
    <row r="2548" spans="1:10" s="393" customFormat="1" x14ac:dyDescent="0.25">
      <c r="A2548" s="19" t="s">
        <v>15</v>
      </c>
      <c r="B2548" s="2">
        <v>43999</v>
      </c>
      <c r="C2548" s="1">
        <v>20</v>
      </c>
      <c r="D2548" s="39">
        <v>1407</v>
      </c>
      <c r="E2548" s="1"/>
      <c r="F2548" s="39">
        <f t="shared" si="153"/>
        <v>76</v>
      </c>
      <c r="G2548" s="395"/>
      <c r="H2548" s="395"/>
      <c r="J2548" s="42"/>
    </row>
    <row r="2549" spans="1:10" s="393" customFormat="1" x14ac:dyDescent="0.25">
      <c r="A2549" s="19" t="s">
        <v>29</v>
      </c>
      <c r="B2549" s="2">
        <v>43999</v>
      </c>
      <c r="C2549" s="1">
        <v>8</v>
      </c>
      <c r="D2549" s="39">
        <v>72</v>
      </c>
      <c r="E2549" s="1"/>
      <c r="F2549" s="39">
        <f t="shared" si="153"/>
        <v>2</v>
      </c>
      <c r="G2549" s="395"/>
      <c r="H2549" s="395"/>
      <c r="J2549" s="42"/>
    </row>
    <row r="2550" spans="1:10" s="393" customFormat="1" x14ac:dyDescent="0.25">
      <c r="A2550" s="19" t="s">
        <v>43</v>
      </c>
      <c r="B2550" s="2">
        <v>43999</v>
      </c>
      <c r="C2550" s="1">
        <v>522</v>
      </c>
      <c r="D2550" s="39">
        <v>16287</v>
      </c>
      <c r="E2550" s="1">
        <v>23</v>
      </c>
      <c r="F2550" s="39">
        <f t="shared" si="153"/>
        <v>336</v>
      </c>
      <c r="G2550" s="395"/>
      <c r="H2550" s="395"/>
      <c r="J2550" s="42"/>
    </row>
    <row r="2551" spans="1:10" s="393" customFormat="1" x14ac:dyDescent="0.25">
      <c r="A2551" s="19" t="s">
        <v>20</v>
      </c>
      <c r="B2551" s="2">
        <v>43999</v>
      </c>
      <c r="C2551" s="1">
        <v>6</v>
      </c>
      <c r="D2551" s="39">
        <v>507</v>
      </c>
      <c r="E2551" s="1"/>
      <c r="F2551" s="39">
        <f t="shared" si="153"/>
        <v>33</v>
      </c>
      <c r="G2551" s="395"/>
      <c r="H2551" s="395"/>
      <c r="J2551" s="42"/>
    </row>
    <row r="2552" spans="1:10" s="393" customFormat="1" x14ac:dyDescent="0.25">
      <c r="A2552" s="19" t="s">
        <v>30</v>
      </c>
      <c r="B2552" s="2">
        <v>43999</v>
      </c>
      <c r="C2552" s="1">
        <v>2</v>
      </c>
      <c r="D2552" s="39">
        <v>107</v>
      </c>
      <c r="E2552" s="1"/>
      <c r="F2552" s="39">
        <f t="shared" si="153"/>
        <v>0</v>
      </c>
      <c r="G2552" s="395"/>
      <c r="H2552" s="395"/>
      <c r="J2552" s="42"/>
    </row>
    <row r="2553" spans="1:10" x14ac:dyDescent="0.25">
      <c r="A2553" s="19" t="s">
        <v>31</v>
      </c>
      <c r="B2553" s="2">
        <v>43999</v>
      </c>
      <c r="C2553" s="1">
        <v>5</v>
      </c>
      <c r="D2553" s="39">
        <v>105</v>
      </c>
      <c r="F2553" s="39">
        <f t="shared" si="153"/>
        <v>0</v>
      </c>
    </row>
    <row r="2554" spans="1:10" s="393" customFormat="1" x14ac:dyDescent="0.25">
      <c r="A2554" s="19" t="s">
        <v>41</v>
      </c>
      <c r="B2554" s="2">
        <v>43999</v>
      </c>
      <c r="C2554" s="1">
        <v>0</v>
      </c>
      <c r="D2554" s="39">
        <v>33</v>
      </c>
      <c r="E2554" s="1"/>
      <c r="F2554" s="39">
        <f t="shared" ref="F2554:F2568" si="154">E2554+F2529</f>
        <v>0</v>
      </c>
      <c r="G2554" s="395"/>
      <c r="H2554" s="395"/>
      <c r="J2554" s="42"/>
    </row>
    <row r="2555" spans="1:10" s="393" customFormat="1" x14ac:dyDescent="0.25">
      <c r="A2555" s="19" t="s">
        <v>32</v>
      </c>
      <c r="B2555" s="2">
        <v>43999</v>
      </c>
      <c r="C2555" s="1">
        <v>1</v>
      </c>
      <c r="D2555" s="39">
        <v>9</v>
      </c>
      <c r="E2555" s="1"/>
      <c r="F2555" s="39">
        <f t="shared" si="154"/>
        <v>0</v>
      </c>
      <c r="G2555" s="395"/>
      <c r="H2555" s="395"/>
      <c r="J2555" s="42"/>
    </row>
    <row r="2556" spans="1:10" s="393" customFormat="1" x14ac:dyDescent="0.25">
      <c r="A2556" s="19" t="s">
        <v>33</v>
      </c>
      <c r="B2556" s="2">
        <v>43999</v>
      </c>
      <c r="C2556" s="1">
        <v>0</v>
      </c>
      <c r="D2556" s="39">
        <v>6</v>
      </c>
      <c r="E2556" s="1"/>
      <c r="F2556" s="39">
        <f t="shared" si="154"/>
        <v>0</v>
      </c>
      <c r="G2556" s="395"/>
      <c r="H2556" s="395"/>
      <c r="J2556" s="42"/>
    </row>
    <row r="2557" spans="1:10" s="393" customFormat="1" x14ac:dyDescent="0.25">
      <c r="A2557" s="19" t="s">
        <v>21</v>
      </c>
      <c r="B2557" s="2">
        <v>43999</v>
      </c>
      <c r="C2557" s="1">
        <v>0</v>
      </c>
      <c r="D2557" s="39">
        <v>64</v>
      </c>
      <c r="E2557" s="1"/>
      <c r="F2557" s="39">
        <f t="shared" si="154"/>
        <v>0</v>
      </c>
      <c r="G2557" s="395"/>
      <c r="H2557" s="395"/>
      <c r="J2557" s="42"/>
    </row>
    <row r="2558" spans="1:10" s="393" customFormat="1" x14ac:dyDescent="0.25">
      <c r="A2558" s="19" t="s">
        <v>17</v>
      </c>
      <c r="B2558" s="2">
        <v>43999</v>
      </c>
      <c r="C2558" s="1">
        <v>1</v>
      </c>
      <c r="D2558" s="39">
        <v>117</v>
      </c>
      <c r="E2558" s="1"/>
      <c r="F2558" s="39">
        <f t="shared" si="154"/>
        <v>0</v>
      </c>
      <c r="G2558" s="395"/>
      <c r="H2558" s="395"/>
      <c r="J2558" s="42"/>
    </row>
    <row r="2559" spans="1:10" s="393" customFormat="1" x14ac:dyDescent="0.25">
      <c r="A2559" s="19" t="s">
        <v>23</v>
      </c>
      <c r="B2559" s="2">
        <v>43999</v>
      </c>
      <c r="C2559" s="1">
        <v>0</v>
      </c>
      <c r="D2559" s="39">
        <v>40</v>
      </c>
      <c r="E2559" s="1"/>
      <c r="F2559" s="39">
        <f t="shared" si="154"/>
        <v>1</v>
      </c>
      <c r="G2559" s="395"/>
      <c r="H2559" s="395"/>
      <c r="J2559" s="42"/>
    </row>
    <row r="2560" spans="1:10" s="393" customFormat="1" x14ac:dyDescent="0.25">
      <c r="A2560" s="19" t="s">
        <v>19</v>
      </c>
      <c r="B2560" s="2">
        <v>43999</v>
      </c>
      <c r="C2560" s="1">
        <v>11</v>
      </c>
      <c r="D2560" s="39">
        <v>251</v>
      </c>
      <c r="E2560" s="1"/>
      <c r="F2560" s="39">
        <f t="shared" si="154"/>
        <v>0</v>
      </c>
      <c r="G2560" s="395"/>
      <c r="H2560" s="395"/>
      <c r="J2560" s="42"/>
    </row>
    <row r="2561" spans="1:10" s="393" customFormat="1" x14ac:dyDescent="0.25">
      <c r="A2561" s="19" t="s">
        <v>18</v>
      </c>
      <c r="B2561" s="2">
        <v>43999</v>
      </c>
      <c r="C2561" s="1">
        <v>14</v>
      </c>
      <c r="D2561" s="39">
        <v>595</v>
      </c>
      <c r="E2561" s="1"/>
      <c r="F2561" s="39">
        <f t="shared" si="154"/>
        <v>1</v>
      </c>
      <c r="G2561" s="395"/>
      <c r="H2561" s="395"/>
      <c r="J2561" s="42"/>
    </row>
    <row r="2562" spans="1:10" s="393" customFormat="1" x14ac:dyDescent="0.25">
      <c r="A2562" s="19" t="s">
        <v>34</v>
      </c>
      <c r="B2562" s="2">
        <v>43999</v>
      </c>
      <c r="C2562" s="1">
        <v>1</v>
      </c>
      <c r="D2562" s="39">
        <v>21</v>
      </c>
      <c r="E2562" s="1"/>
      <c r="F2562" s="39">
        <f t="shared" si="154"/>
        <v>0</v>
      </c>
      <c r="G2562" s="395"/>
      <c r="H2562" s="395"/>
      <c r="J2562" s="42"/>
    </row>
    <row r="2563" spans="1:10" s="393" customFormat="1" x14ac:dyDescent="0.25">
      <c r="A2563" s="19" t="s">
        <v>35</v>
      </c>
      <c r="B2563" s="2">
        <v>43999</v>
      </c>
      <c r="C2563" s="1">
        <v>0</v>
      </c>
      <c r="D2563" s="39">
        <v>7</v>
      </c>
      <c r="E2563" s="1"/>
      <c r="F2563" s="39">
        <f>E2563+F2539</f>
        <v>0</v>
      </c>
      <c r="G2563" s="395"/>
      <c r="H2563" s="395"/>
      <c r="J2563" s="42"/>
    </row>
    <row r="2564" spans="1:10" s="393" customFormat="1" x14ac:dyDescent="0.25">
      <c r="A2564" s="19" t="s">
        <v>36</v>
      </c>
      <c r="B2564" s="2">
        <v>43999</v>
      </c>
      <c r="C2564" s="1">
        <v>0</v>
      </c>
      <c r="D2564" s="39">
        <v>11</v>
      </c>
      <c r="E2564" s="1"/>
      <c r="F2564" s="39">
        <f t="shared" si="154"/>
        <v>0</v>
      </c>
      <c r="G2564" s="395"/>
      <c r="H2564" s="395"/>
      <c r="J2564" s="42"/>
    </row>
    <row r="2565" spans="1:10" s="393" customFormat="1" x14ac:dyDescent="0.25">
      <c r="A2565" s="19" t="s">
        <v>37</v>
      </c>
      <c r="B2565" s="2">
        <v>43999</v>
      </c>
      <c r="C2565" s="1">
        <v>0</v>
      </c>
      <c r="D2565" s="39">
        <v>51</v>
      </c>
      <c r="E2565" s="1"/>
      <c r="F2565" s="39">
        <f t="shared" si="154"/>
        <v>0</v>
      </c>
      <c r="G2565" s="395"/>
      <c r="H2565" s="395"/>
      <c r="J2565" s="42"/>
    </row>
    <row r="2566" spans="1:10" s="393" customFormat="1" x14ac:dyDescent="0.25">
      <c r="A2566" s="19" t="s">
        <v>22</v>
      </c>
      <c r="B2566" s="2">
        <v>43999</v>
      </c>
      <c r="C2566" s="1">
        <v>2</v>
      </c>
      <c r="D2566" s="39">
        <v>290</v>
      </c>
      <c r="E2566" s="1"/>
      <c r="F2566" s="39">
        <f>E2566+F2542</f>
        <v>4</v>
      </c>
      <c r="G2566" s="395"/>
      <c r="H2566" s="395"/>
      <c r="J2566" s="42"/>
    </row>
    <row r="2567" spans="1:10" s="393" customFormat="1" x14ac:dyDescent="0.25">
      <c r="A2567" s="19" t="s">
        <v>38</v>
      </c>
      <c r="B2567" s="2">
        <v>43999</v>
      </c>
      <c r="C2567" s="1">
        <v>0</v>
      </c>
      <c r="D2567" s="39">
        <v>22</v>
      </c>
      <c r="E2567" s="1"/>
      <c r="F2567" s="39">
        <f>E2567+F2543</f>
        <v>0</v>
      </c>
      <c r="G2567" s="395"/>
      <c r="H2567" s="395"/>
      <c r="J2567" s="42"/>
    </row>
    <row r="2568" spans="1:10" s="393" customFormat="1" x14ac:dyDescent="0.25">
      <c r="A2568" s="19" t="s">
        <v>39</v>
      </c>
      <c r="B2568" s="2">
        <v>43999</v>
      </c>
      <c r="C2568" s="1">
        <v>0</v>
      </c>
      <c r="D2568" s="39">
        <v>149</v>
      </c>
      <c r="E2568" s="1"/>
      <c r="F2568" s="39">
        <f t="shared" si="154"/>
        <v>0</v>
      </c>
      <c r="G2568" s="395"/>
      <c r="H2568" s="395"/>
      <c r="J2568" s="42"/>
    </row>
    <row r="2569" spans="1:10" s="393" customFormat="1" x14ac:dyDescent="0.25">
      <c r="A2569" s="19" t="s">
        <v>40</v>
      </c>
      <c r="B2569" s="2">
        <v>43999</v>
      </c>
      <c r="C2569" s="1">
        <v>1</v>
      </c>
      <c r="D2569" s="39">
        <v>58</v>
      </c>
      <c r="E2569" s="1"/>
      <c r="F2569" s="39">
        <f>E2569+F2545</f>
        <v>4</v>
      </c>
      <c r="G2569" s="395"/>
      <c r="H2569" s="395"/>
      <c r="J2569" s="42"/>
    </row>
    <row r="2570" spans="1:10" s="393" customFormat="1" x14ac:dyDescent="0.25">
      <c r="A2570" s="394" t="s">
        <v>16</v>
      </c>
      <c r="B2570" s="2">
        <v>44000</v>
      </c>
      <c r="C2570" s="1">
        <v>1106</v>
      </c>
      <c r="D2570" s="39">
        <v>16449</v>
      </c>
      <c r="E2570" s="1">
        <v>13</v>
      </c>
      <c r="F2570" s="39">
        <f>E2570+F2546</f>
        <v>410</v>
      </c>
      <c r="G2570" s="395"/>
      <c r="H2570" s="395"/>
      <c r="J2570" s="42"/>
    </row>
    <row r="2571" spans="1:10" s="393" customFormat="1" x14ac:dyDescent="0.25">
      <c r="A2571" s="19" t="s">
        <v>28</v>
      </c>
      <c r="B2571" s="2">
        <v>44000</v>
      </c>
      <c r="C2571" s="1">
        <v>0</v>
      </c>
      <c r="D2571" s="39">
        <v>0</v>
      </c>
      <c r="E2571" s="1"/>
      <c r="F2571" s="39">
        <f t="shared" ref="F2571:F2577" si="155">E2571+F2547</f>
        <v>0</v>
      </c>
      <c r="G2571" s="395"/>
      <c r="H2571" s="395"/>
      <c r="J2571" s="42"/>
    </row>
    <row r="2572" spans="1:10" s="393" customFormat="1" x14ac:dyDescent="0.25">
      <c r="A2572" s="19" t="s">
        <v>15</v>
      </c>
      <c r="B2572" s="2">
        <v>44000</v>
      </c>
      <c r="C2572" s="1">
        <v>68</v>
      </c>
      <c r="D2572" s="39">
        <v>1475</v>
      </c>
      <c r="E2572" s="1">
        <v>2</v>
      </c>
      <c r="F2572" s="39">
        <f t="shared" si="155"/>
        <v>78</v>
      </c>
      <c r="G2572" s="395"/>
      <c r="H2572" s="395"/>
      <c r="J2572" s="42"/>
    </row>
    <row r="2573" spans="1:10" s="393" customFormat="1" x14ac:dyDescent="0.25">
      <c r="A2573" s="19" t="s">
        <v>29</v>
      </c>
      <c r="B2573" s="2">
        <v>44000</v>
      </c>
      <c r="C2573" s="1">
        <v>10</v>
      </c>
      <c r="D2573" s="39">
        <v>82</v>
      </c>
      <c r="E2573" s="1"/>
      <c r="F2573" s="39">
        <f t="shared" si="155"/>
        <v>2</v>
      </c>
      <c r="G2573" s="395"/>
      <c r="H2573" s="395"/>
      <c r="J2573" s="42"/>
    </row>
    <row r="2574" spans="1:10" s="393" customFormat="1" x14ac:dyDescent="0.25">
      <c r="A2574" s="19" t="s">
        <v>43</v>
      </c>
      <c r="B2574" s="2">
        <v>44000</v>
      </c>
      <c r="C2574" s="1">
        <v>692</v>
      </c>
      <c r="D2574" s="39">
        <v>16979</v>
      </c>
      <c r="E2574" s="1">
        <v>15</v>
      </c>
      <c r="F2574" s="39">
        <f t="shared" si="155"/>
        <v>351</v>
      </c>
      <c r="G2574" s="395"/>
      <c r="H2574" s="395"/>
      <c r="J2574" s="42"/>
    </row>
    <row r="2575" spans="1:10" s="393" customFormat="1" x14ac:dyDescent="0.25">
      <c r="A2575" s="19" t="s">
        <v>20</v>
      </c>
      <c r="B2575" s="2">
        <v>44000</v>
      </c>
      <c r="C2575" s="1">
        <v>9</v>
      </c>
      <c r="D2575" s="39">
        <v>516</v>
      </c>
      <c r="E2575" s="1"/>
      <c r="F2575" s="39">
        <f t="shared" si="155"/>
        <v>33</v>
      </c>
      <c r="G2575" s="395"/>
      <c r="H2575" s="395"/>
      <c r="J2575" s="42"/>
    </row>
    <row r="2576" spans="1:10" s="393" customFormat="1" x14ac:dyDescent="0.25">
      <c r="A2576" s="19" t="s">
        <v>30</v>
      </c>
      <c r="B2576" s="2">
        <v>44000</v>
      </c>
      <c r="C2576" s="1">
        <v>1</v>
      </c>
      <c r="D2576" s="39">
        <v>108</v>
      </c>
      <c r="E2576" s="1"/>
      <c r="F2576" s="39">
        <f t="shared" si="155"/>
        <v>0</v>
      </c>
      <c r="G2576" s="395"/>
      <c r="H2576" s="395"/>
      <c r="J2576" s="42"/>
    </row>
    <row r="2577" spans="1:10" x14ac:dyDescent="0.25">
      <c r="A2577" s="19" t="s">
        <v>31</v>
      </c>
      <c r="B2577" s="2">
        <v>44000</v>
      </c>
      <c r="C2577" s="1">
        <v>6</v>
      </c>
      <c r="D2577" s="39">
        <v>111</v>
      </c>
      <c r="F2577" s="39">
        <f t="shared" si="155"/>
        <v>0</v>
      </c>
    </row>
    <row r="2578" spans="1:10" s="393" customFormat="1" x14ac:dyDescent="0.25">
      <c r="A2578" s="19" t="s">
        <v>41</v>
      </c>
      <c r="B2578" s="2">
        <v>44000</v>
      </c>
      <c r="C2578" s="1">
        <v>4</v>
      </c>
      <c r="D2578" s="39">
        <v>37</v>
      </c>
      <c r="E2578" s="1"/>
      <c r="F2578" s="39">
        <f t="shared" ref="F2578:F2592" si="156">E2578+F2553</f>
        <v>0</v>
      </c>
      <c r="G2578" s="395"/>
      <c r="H2578" s="395"/>
      <c r="J2578" s="42"/>
    </row>
    <row r="2579" spans="1:10" s="393" customFormat="1" x14ac:dyDescent="0.25">
      <c r="A2579" s="19" t="s">
        <v>32</v>
      </c>
      <c r="B2579" s="2">
        <v>44000</v>
      </c>
      <c r="C2579" s="1">
        <v>3</v>
      </c>
      <c r="D2579" s="39">
        <v>12</v>
      </c>
      <c r="E2579" s="1"/>
      <c r="F2579" s="39">
        <f t="shared" si="156"/>
        <v>0</v>
      </c>
      <c r="G2579" s="395"/>
      <c r="H2579" s="395"/>
      <c r="J2579" s="42"/>
    </row>
    <row r="2580" spans="1:10" s="393" customFormat="1" x14ac:dyDescent="0.25">
      <c r="A2580" s="19" t="s">
        <v>33</v>
      </c>
      <c r="B2580" s="2">
        <v>44000</v>
      </c>
      <c r="C2580" s="1">
        <v>0</v>
      </c>
      <c r="D2580" s="39">
        <v>6</v>
      </c>
      <c r="E2580" s="1"/>
      <c r="F2580" s="39">
        <f t="shared" si="156"/>
        <v>0</v>
      </c>
      <c r="G2580" s="395"/>
      <c r="H2580" s="395"/>
      <c r="J2580" s="42"/>
    </row>
    <row r="2581" spans="1:10" s="393" customFormat="1" x14ac:dyDescent="0.25">
      <c r="A2581" s="19" t="s">
        <v>21</v>
      </c>
      <c r="B2581" s="2">
        <v>44000</v>
      </c>
      <c r="C2581" s="1">
        <v>0</v>
      </c>
      <c r="D2581" s="39">
        <v>64</v>
      </c>
      <c r="E2581" s="1"/>
      <c r="F2581" s="39">
        <f t="shared" si="156"/>
        <v>0</v>
      </c>
      <c r="G2581" s="395"/>
      <c r="H2581" s="395"/>
      <c r="J2581" s="42"/>
    </row>
    <row r="2582" spans="1:10" s="393" customFormat="1" x14ac:dyDescent="0.25">
      <c r="A2582" s="19" t="s">
        <v>17</v>
      </c>
      <c r="B2582" s="2">
        <v>44000</v>
      </c>
      <c r="C2582" s="1">
        <v>3</v>
      </c>
      <c r="D2582" s="39">
        <v>120</v>
      </c>
      <c r="E2582" s="1"/>
      <c r="F2582" s="39">
        <f t="shared" si="156"/>
        <v>0</v>
      </c>
      <c r="G2582" s="395"/>
      <c r="H2582" s="395"/>
      <c r="J2582" s="42"/>
    </row>
    <row r="2583" spans="1:10" s="393" customFormat="1" x14ac:dyDescent="0.25">
      <c r="A2583" s="19" t="s">
        <v>23</v>
      </c>
      <c r="B2583" s="2">
        <v>44000</v>
      </c>
      <c r="C2583" s="1">
        <v>1</v>
      </c>
      <c r="D2583" s="39">
        <v>41</v>
      </c>
      <c r="E2583" s="1"/>
      <c r="F2583" s="39">
        <f t="shared" si="156"/>
        <v>0</v>
      </c>
      <c r="G2583" s="395"/>
      <c r="H2583" s="395"/>
      <c r="J2583" s="42"/>
    </row>
    <row r="2584" spans="1:10" s="393" customFormat="1" x14ac:dyDescent="0.25">
      <c r="A2584" s="19" t="s">
        <v>19</v>
      </c>
      <c r="B2584" s="2">
        <v>44000</v>
      </c>
      <c r="C2584" s="1">
        <v>16</v>
      </c>
      <c r="D2584" s="39">
        <v>267</v>
      </c>
      <c r="E2584" s="1">
        <v>1</v>
      </c>
      <c r="F2584" s="39">
        <f t="shared" si="156"/>
        <v>2</v>
      </c>
      <c r="G2584" s="395"/>
      <c r="H2584" s="395"/>
      <c r="J2584" s="42"/>
    </row>
    <row r="2585" spans="1:10" s="393" customFormat="1" x14ac:dyDescent="0.25">
      <c r="A2585" s="19" t="s">
        <v>18</v>
      </c>
      <c r="B2585" s="2">
        <v>44000</v>
      </c>
      <c r="C2585" s="1">
        <v>27</v>
      </c>
      <c r="D2585" s="39">
        <v>622</v>
      </c>
      <c r="E2585" s="1">
        <v>3</v>
      </c>
      <c r="F2585" s="39">
        <f t="shared" si="156"/>
        <v>3</v>
      </c>
      <c r="G2585" s="395"/>
      <c r="H2585" s="395"/>
      <c r="J2585" s="42"/>
    </row>
    <row r="2586" spans="1:10" s="393" customFormat="1" x14ac:dyDescent="0.25">
      <c r="A2586" s="19" t="s">
        <v>34</v>
      </c>
      <c r="B2586" s="2">
        <v>44000</v>
      </c>
      <c r="C2586" s="1">
        <v>0</v>
      </c>
      <c r="D2586" s="39">
        <v>21</v>
      </c>
      <c r="E2586" s="1"/>
      <c r="F2586" s="39">
        <f t="shared" si="156"/>
        <v>1</v>
      </c>
      <c r="G2586" s="395"/>
      <c r="H2586" s="395"/>
      <c r="J2586" s="42"/>
    </row>
    <row r="2587" spans="1:10" s="393" customFormat="1" x14ac:dyDescent="0.25">
      <c r="A2587" s="19" t="s">
        <v>35</v>
      </c>
      <c r="B2587" s="2">
        <v>44000</v>
      </c>
      <c r="C2587" s="1">
        <v>0</v>
      </c>
      <c r="D2587" s="39">
        <v>7</v>
      </c>
      <c r="E2587" s="1"/>
      <c r="F2587" s="39">
        <f>E2587+F2563</f>
        <v>0</v>
      </c>
      <c r="G2587" s="395"/>
      <c r="H2587" s="395"/>
      <c r="J2587" s="42"/>
    </row>
    <row r="2588" spans="1:10" s="393" customFormat="1" x14ac:dyDescent="0.25">
      <c r="A2588" s="19" t="s">
        <v>36</v>
      </c>
      <c r="B2588" s="2">
        <v>44000</v>
      </c>
      <c r="C2588" s="1">
        <v>0</v>
      </c>
      <c r="D2588" s="39">
        <v>11</v>
      </c>
      <c r="E2588" s="1"/>
      <c r="F2588" s="39">
        <f t="shared" si="156"/>
        <v>0</v>
      </c>
      <c r="G2588" s="395"/>
      <c r="H2588" s="395"/>
      <c r="J2588" s="42"/>
    </row>
    <row r="2589" spans="1:10" s="393" customFormat="1" x14ac:dyDescent="0.25">
      <c r="A2589" s="19" t="s">
        <v>37</v>
      </c>
      <c r="B2589" s="2">
        <v>44000</v>
      </c>
      <c r="C2589" s="1">
        <v>0</v>
      </c>
      <c r="D2589" s="39">
        <v>51</v>
      </c>
      <c r="E2589" s="1"/>
      <c r="F2589" s="39">
        <f t="shared" si="156"/>
        <v>0</v>
      </c>
      <c r="G2589" s="395"/>
      <c r="H2589" s="395"/>
      <c r="J2589" s="42"/>
    </row>
    <row r="2590" spans="1:10" s="393" customFormat="1" x14ac:dyDescent="0.25">
      <c r="A2590" s="19" t="s">
        <v>22</v>
      </c>
      <c r="B2590" s="2">
        <v>44000</v>
      </c>
      <c r="C2590" s="1">
        <v>11</v>
      </c>
      <c r="D2590" s="39">
        <v>301</v>
      </c>
      <c r="E2590" s="1"/>
      <c r="F2590" s="39">
        <f>E2590+F2566</f>
        <v>4</v>
      </c>
      <c r="G2590" s="395"/>
      <c r="H2590" s="395"/>
      <c r="J2590" s="42"/>
    </row>
    <row r="2591" spans="1:10" s="393" customFormat="1" x14ac:dyDescent="0.25">
      <c r="A2591" s="19" t="s">
        <v>38</v>
      </c>
      <c r="B2591" s="2">
        <v>44000</v>
      </c>
      <c r="C2591" s="1">
        <v>0</v>
      </c>
      <c r="D2591" s="39">
        <v>22</v>
      </c>
      <c r="E2591" s="1"/>
      <c r="F2591" s="39">
        <f>E2591+F2567</f>
        <v>0</v>
      </c>
      <c r="G2591" s="395"/>
      <c r="H2591" s="395"/>
      <c r="J2591" s="42"/>
    </row>
    <row r="2592" spans="1:10" s="393" customFormat="1" x14ac:dyDescent="0.25">
      <c r="A2592" s="19" t="s">
        <v>39</v>
      </c>
      <c r="B2592" s="2">
        <v>44000</v>
      </c>
      <c r="C2592" s="1">
        <v>0</v>
      </c>
      <c r="D2592" s="39">
        <v>149</v>
      </c>
      <c r="E2592" s="1"/>
      <c r="F2592" s="39">
        <f t="shared" si="156"/>
        <v>0</v>
      </c>
      <c r="G2592" s="395"/>
      <c r="H2592" s="395"/>
      <c r="J2592" s="42"/>
    </row>
    <row r="2593" spans="1:10" s="393" customFormat="1" x14ac:dyDescent="0.25">
      <c r="A2593" s="19" t="s">
        <v>40</v>
      </c>
      <c r="B2593" s="2">
        <v>44000</v>
      </c>
      <c r="C2593" s="1">
        <v>1</v>
      </c>
      <c r="D2593" s="39">
        <v>59</v>
      </c>
      <c r="E2593" s="1"/>
      <c r="F2593" s="39">
        <f>E2593+F2569</f>
        <v>4</v>
      </c>
      <c r="G2593" s="395"/>
      <c r="H2593" s="395"/>
      <c r="J2593" s="42"/>
    </row>
    <row r="2594" spans="1:10" s="393" customFormat="1" x14ac:dyDescent="0.25">
      <c r="A2594" s="394" t="s">
        <v>16</v>
      </c>
      <c r="B2594" s="2">
        <v>44001</v>
      </c>
      <c r="C2594" s="1">
        <v>1119</v>
      </c>
      <c r="D2594" s="39">
        <v>17568</v>
      </c>
      <c r="E2594" s="1">
        <v>16</v>
      </c>
      <c r="F2594" s="39">
        <f>E2594+F2570</f>
        <v>426</v>
      </c>
      <c r="G2594" s="395"/>
      <c r="H2594" s="395"/>
      <c r="J2594" s="42"/>
    </row>
    <row r="2595" spans="1:10" s="393" customFormat="1" x14ac:dyDescent="0.25">
      <c r="A2595" s="19" t="s">
        <v>28</v>
      </c>
      <c r="B2595" s="2">
        <v>44001</v>
      </c>
      <c r="C2595" s="1">
        <v>0</v>
      </c>
      <c r="D2595" s="39">
        <v>0</v>
      </c>
      <c r="E2595" s="1"/>
      <c r="F2595" s="39">
        <f t="shared" ref="F2595:F2601" si="157">E2595+F2571</f>
        <v>0</v>
      </c>
      <c r="G2595" s="395"/>
      <c r="H2595" s="395"/>
      <c r="J2595" s="42"/>
    </row>
    <row r="2596" spans="1:10" s="393" customFormat="1" x14ac:dyDescent="0.25">
      <c r="A2596" s="19" t="s">
        <v>15</v>
      </c>
      <c r="B2596" s="2">
        <v>44001</v>
      </c>
      <c r="C2596" s="1">
        <v>31</v>
      </c>
      <c r="D2596" s="39">
        <v>1506</v>
      </c>
      <c r="E2596" s="1">
        <v>5</v>
      </c>
      <c r="F2596" s="39">
        <f t="shared" si="157"/>
        <v>83</v>
      </c>
      <c r="G2596" s="395"/>
      <c r="H2596" s="395"/>
      <c r="J2596" s="42"/>
    </row>
    <row r="2597" spans="1:10" s="393" customFormat="1" x14ac:dyDescent="0.25">
      <c r="A2597" s="19" t="s">
        <v>29</v>
      </c>
      <c r="B2597" s="2">
        <v>44001</v>
      </c>
      <c r="C2597" s="1">
        <v>3</v>
      </c>
      <c r="D2597" s="39">
        <v>85</v>
      </c>
      <c r="E2597" s="1"/>
      <c r="F2597" s="39">
        <f t="shared" si="157"/>
        <v>2</v>
      </c>
      <c r="G2597" s="395"/>
      <c r="H2597" s="395"/>
      <c r="J2597" s="42"/>
    </row>
    <row r="2598" spans="1:10" s="393" customFormat="1" x14ac:dyDescent="0.25">
      <c r="A2598" s="19" t="s">
        <v>43</v>
      </c>
      <c r="B2598" s="2">
        <v>44001</v>
      </c>
      <c r="C2598" s="1">
        <v>804</v>
      </c>
      <c r="D2598" s="39">
        <v>17783</v>
      </c>
      <c r="E2598" s="1">
        <v>11</v>
      </c>
      <c r="F2598" s="39">
        <f t="shared" si="157"/>
        <v>362</v>
      </c>
      <c r="G2598" s="395"/>
      <c r="H2598" s="395"/>
      <c r="J2598" s="42"/>
    </row>
    <row r="2599" spans="1:10" s="393" customFormat="1" x14ac:dyDescent="0.25">
      <c r="A2599" s="19" t="s">
        <v>20</v>
      </c>
      <c r="B2599" s="2">
        <v>44001</v>
      </c>
      <c r="C2599" s="1">
        <v>19</v>
      </c>
      <c r="D2599" s="39">
        <v>535</v>
      </c>
      <c r="E2599" s="1"/>
      <c r="F2599" s="39">
        <f t="shared" si="157"/>
        <v>33</v>
      </c>
      <c r="G2599" s="395"/>
      <c r="H2599" s="395"/>
      <c r="J2599" s="42"/>
    </row>
    <row r="2600" spans="1:10" s="393" customFormat="1" x14ac:dyDescent="0.25">
      <c r="A2600" s="19" t="s">
        <v>30</v>
      </c>
      <c r="B2600" s="2">
        <v>44001</v>
      </c>
      <c r="C2600" s="1">
        <v>5</v>
      </c>
      <c r="D2600" s="39">
        <v>113</v>
      </c>
      <c r="E2600" s="1"/>
      <c r="F2600" s="39">
        <f t="shared" si="157"/>
        <v>0</v>
      </c>
      <c r="G2600" s="395"/>
      <c r="H2600" s="395"/>
      <c r="J2600" s="42"/>
    </row>
    <row r="2601" spans="1:10" x14ac:dyDescent="0.25">
      <c r="A2601" s="19" t="s">
        <v>31</v>
      </c>
      <c r="B2601" s="2">
        <v>44001</v>
      </c>
      <c r="C2601" s="1">
        <v>4</v>
      </c>
      <c r="D2601" s="39">
        <v>115</v>
      </c>
      <c r="F2601" s="39">
        <f t="shared" si="157"/>
        <v>0</v>
      </c>
    </row>
    <row r="2602" spans="1:10" s="393" customFormat="1" x14ac:dyDescent="0.25">
      <c r="A2602" s="19" t="s">
        <v>41</v>
      </c>
      <c r="B2602" s="2">
        <v>44001</v>
      </c>
      <c r="C2602" s="1">
        <v>0</v>
      </c>
      <c r="D2602" s="39">
        <v>37</v>
      </c>
      <c r="E2602" s="1"/>
      <c r="F2602" s="39">
        <f t="shared" ref="F2602:F2616" si="158">E2602+F2577</f>
        <v>0</v>
      </c>
      <c r="G2602" s="395"/>
      <c r="H2602" s="395"/>
      <c r="J2602" s="42"/>
    </row>
    <row r="2603" spans="1:10" s="393" customFormat="1" x14ac:dyDescent="0.25">
      <c r="A2603" s="19" t="s">
        <v>32</v>
      </c>
      <c r="B2603" s="2">
        <v>44001</v>
      </c>
      <c r="C2603" s="1">
        <v>1</v>
      </c>
      <c r="D2603" s="39">
        <v>13</v>
      </c>
      <c r="E2603" s="1"/>
      <c r="F2603" s="39">
        <f t="shared" si="158"/>
        <v>0</v>
      </c>
      <c r="G2603" s="395"/>
      <c r="H2603" s="395"/>
      <c r="J2603" s="42"/>
    </row>
    <row r="2604" spans="1:10" s="393" customFormat="1" x14ac:dyDescent="0.25">
      <c r="A2604" s="19" t="s">
        <v>33</v>
      </c>
      <c r="B2604" s="2">
        <v>44001</v>
      </c>
      <c r="C2604" s="1">
        <v>0</v>
      </c>
      <c r="D2604" s="39">
        <v>6</v>
      </c>
      <c r="E2604" s="1"/>
      <c r="F2604" s="39">
        <f t="shared" si="158"/>
        <v>0</v>
      </c>
      <c r="G2604" s="395"/>
      <c r="H2604" s="395"/>
      <c r="J2604" s="42"/>
    </row>
    <row r="2605" spans="1:10" s="393" customFormat="1" x14ac:dyDescent="0.25">
      <c r="A2605" s="19" t="s">
        <v>21</v>
      </c>
      <c r="B2605" s="2">
        <v>44001</v>
      </c>
      <c r="C2605" s="1">
        <v>0</v>
      </c>
      <c r="D2605" s="39">
        <v>64</v>
      </c>
      <c r="E2605" s="1"/>
      <c r="F2605" s="39">
        <f t="shared" si="158"/>
        <v>0</v>
      </c>
      <c r="G2605" s="395"/>
      <c r="H2605" s="395"/>
      <c r="J2605" s="42"/>
    </row>
    <row r="2606" spans="1:10" s="393" customFormat="1" x14ac:dyDescent="0.25">
      <c r="A2606" s="19" t="s">
        <v>17</v>
      </c>
      <c r="B2606" s="2">
        <v>44001</v>
      </c>
      <c r="C2606" s="1">
        <v>3</v>
      </c>
      <c r="D2606" s="39">
        <v>123</v>
      </c>
      <c r="E2606" s="1"/>
      <c r="F2606" s="39">
        <f t="shared" si="158"/>
        <v>0</v>
      </c>
      <c r="G2606" s="395"/>
      <c r="H2606" s="395"/>
      <c r="J2606" s="42"/>
    </row>
    <row r="2607" spans="1:10" s="393" customFormat="1" x14ac:dyDescent="0.25">
      <c r="A2607" s="19" t="s">
        <v>23</v>
      </c>
      <c r="B2607" s="2">
        <v>44001</v>
      </c>
      <c r="C2607" s="1">
        <v>-1</v>
      </c>
      <c r="D2607" s="39">
        <v>40</v>
      </c>
      <c r="E2607" s="1"/>
      <c r="F2607" s="39">
        <f t="shared" si="158"/>
        <v>0</v>
      </c>
      <c r="G2607" s="395"/>
      <c r="H2607" s="395"/>
      <c r="J2607" s="42"/>
    </row>
    <row r="2608" spans="1:10" s="393" customFormat="1" x14ac:dyDescent="0.25">
      <c r="A2608" s="19" t="s">
        <v>19</v>
      </c>
      <c r="B2608" s="2">
        <v>44001</v>
      </c>
      <c r="C2608" s="1">
        <v>27</v>
      </c>
      <c r="D2608" s="39">
        <v>294</v>
      </c>
      <c r="E2608" s="1"/>
      <c r="F2608" s="39">
        <f t="shared" si="158"/>
        <v>0</v>
      </c>
      <c r="G2608" s="395"/>
      <c r="H2608" s="395"/>
      <c r="J2608" s="42"/>
    </row>
    <row r="2609" spans="1:10" s="393" customFormat="1" x14ac:dyDescent="0.25">
      <c r="A2609" s="19" t="s">
        <v>18</v>
      </c>
      <c r="B2609" s="2">
        <v>44001</v>
      </c>
      <c r="C2609" s="1">
        <v>34</v>
      </c>
      <c r="D2609" s="39">
        <v>656</v>
      </c>
      <c r="E2609" s="1"/>
      <c r="F2609" s="39">
        <f t="shared" si="158"/>
        <v>2</v>
      </c>
      <c r="G2609" s="395"/>
      <c r="H2609" s="395"/>
      <c r="J2609" s="42"/>
    </row>
    <row r="2610" spans="1:10" s="393" customFormat="1" x14ac:dyDescent="0.25">
      <c r="A2610" s="19" t="s">
        <v>34</v>
      </c>
      <c r="B2610" s="2">
        <v>44001</v>
      </c>
      <c r="C2610" s="1">
        <v>0</v>
      </c>
      <c r="D2610" s="39">
        <v>21</v>
      </c>
      <c r="E2610" s="1"/>
      <c r="F2610" s="39">
        <f t="shared" si="158"/>
        <v>3</v>
      </c>
      <c r="G2610" s="395"/>
      <c r="H2610" s="395"/>
      <c r="J2610" s="42"/>
    </row>
    <row r="2611" spans="1:10" s="393" customFormat="1" x14ac:dyDescent="0.25">
      <c r="A2611" s="19" t="s">
        <v>35</v>
      </c>
      <c r="B2611" s="2">
        <v>44001</v>
      </c>
      <c r="C2611" s="1">
        <v>0</v>
      </c>
      <c r="D2611" s="39">
        <v>7</v>
      </c>
      <c r="E2611" s="1"/>
      <c r="F2611" s="39">
        <f>E2611+F2587</f>
        <v>0</v>
      </c>
      <c r="G2611" s="395"/>
      <c r="H2611" s="395"/>
      <c r="J2611" s="42"/>
    </row>
    <row r="2612" spans="1:10" s="393" customFormat="1" x14ac:dyDescent="0.25">
      <c r="A2612" s="19" t="s">
        <v>36</v>
      </c>
      <c r="B2612" s="2">
        <v>44001</v>
      </c>
      <c r="C2612" s="1">
        <v>0</v>
      </c>
      <c r="D2612" s="39">
        <v>11</v>
      </c>
      <c r="E2612" s="1"/>
      <c r="F2612" s="39">
        <f t="shared" si="158"/>
        <v>0</v>
      </c>
      <c r="G2612" s="395"/>
      <c r="H2612" s="395"/>
      <c r="J2612" s="42"/>
    </row>
    <row r="2613" spans="1:10" s="393" customFormat="1" x14ac:dyDescent="0.25">
      <c r="A2613" s="19" t="s">
        <v>37</v>
      </c>
      <c r="B2613" s="2">
        <v>44001</v>
      </c>
      <c r="C2613" s="1">
        <v>0</v>
      </c>
      <c r="D2613" s="39">
        <v>51</v>
      </c>
      <c r="E2613" s="1"/>
      <c r="F2613" s="39">
        <f t="shared" si="158"/>
        <v>0</v>
      </c>
      <c r="G2613" s="395"/>
      <c r="H2613" s="395"/>
      <c r="J2613" s="42"/>
    </row>
    <row r="2614" spans="1:10" s="393" customFormat="1" x14ac:dyDescent="0.25">
      <c r="A2614" s="19" t="s">
        <v>22</v>
      </c>
      <c r="B2614" s="2">
        <v>44001</v>
      </c>
      <c r="C2614" s="1">
        <v>11</v>
      </c>
      <c r="D2614" s="39">
        <v>312</v>
      </c>
      <c r="E2614" s="1"/>
      <c r="F2614" s="39">
        <f>E2614+F2590</f>
        <v>4</v>
      </c>
      <c r="G2614" s="395"/>
      <c r="H2614" s="395"/>
      <c r="J2614" s="42"/>
    </row>
    <row r="2615" spans="1:10" s="393" customFormat="1" x14ac:dyDescent="0.25">
      <c r="A2615" s="19" t="s">
        <v>38</v>
      </c>
      <c r="B2615" s="2">
        <v>44001</v>
      </c>
      <c r="C2615" s="1">
        <v>0</v>
      </c>
      <c r="D2615" s="39">
        <v>22</v>
      </c>
      <c r="E2615" s="1"/>
      <c r="F2615" s="39">
        <f>E2615+F2591</f>
        <v>0</v>
      </c>
      <c r="G2615" s="395"/>
      <c r="H2615" s="395"/>
      <c r="J2615" s="42"/>
    </row>
    <row r="2616" spans="1:10" s="393" customFormat="1" x14ac:dyDescent="0.25">
      <c r="A2616" s="19" t="s">
        <v>39</v>
      </c>
      <c r="B2616" s="2">
        <v>44001</v>
      </c>
      <c r="C2616" s="1">
        <v>0</v>
      </c>
      <c r="D2616" s="39">
        <v>149</v>
      </c>
      <c r="E2616" s="1"/>
      <c r="F2616" s="39">
        <f t="shared" si="158"/>
        <v>0</v>
      </c>
      <c r="G2616" s="395"/>
      <c r="H2616" s="395"/>
      <c r="J2616" s="42"/>
    </row>
    <row r="2617" spans="1:10" s="393" customFormat="1" x14ac:dyDescent="0.25">
      <c r="A2617" s="19" t="s">
        <v>40</v>
      </c>
      <c r="B2617" s="2">
        <v>44001</v>
      </c>
      <c r="C2617" s="1">
        <v>0</v>
      </c>
      <c r="D2617" s="39">
        <v>59</v>
      </c>
      <c r="E2617" s="1"/>
      <c r="F2617" s="39">
        <f>E2617+F2593</f>
        <v>4</v>
      </c>
      <c r="G2617" s="395"/>
      <c r="H2617" s="395"/>
      <c r="J2617" s="42"/>
    </row>
    <row r="2618" spans="1:10" s="393" customFormat="1" x14ac:dyDescent="0.25">
      <c r="A2618" s="394" t="s">
        <v>16</v>
      </c>
      <c r="B2618" s="2">
        <v>44002</v>
      </c>
      <c r="C2618" s="1">
        <v>1013</v>
      </c>
      <c r="D2618" s="39">
        <v>18581</v>
      </c>
      <c r="E2618" s="1">
        <v>6</v>
      </c>
      <c r="F2618" s="39">
        <f>E2618+F2594</f>
        <v>432</v>
      </c>
      <c r="G2618" s="395"/>
      <c r="H2618" s="395"/>
      <c r="J2618" s="42"/>
    </row>
    <row r="2619" spans="1:10" s="393" customFormat="1" x14ac:dyDescent="0.25">
      <c r="A2619" s="19" t="s">
        <v>28</v>
      </c>
      <c r="B2619" s="2">
        <v>44002</v>
      </c>
      <c r="C2619" s="1">
        <v>0</v>
      </c>
      <c r="D2619" s="39">
        <v>0</v>
      </c>
      <c r="E2619" s="1"/>
      <c r="F2619" s="39">
        <f t="shared" ref="F2619:F2625" si="159">E2619+F2595</f>
        <v>0</v>
      </c>
      <c r="G2619" s="395"/>
      <c r="H2619" s="395"/>
      <c r="J2619" s="42"/>
    </row>
    <row r="2620" spans="1:10" s="393" customFormat="1" x14ac:dyDescent="0.25">
      <c r="A2620" s="19" t="s">
        <v>15</v>
      </c>
      <c r="B2620" s="2">
        <v>44002</v>
      </c>
      <c r="C2620" s="1">
        <v>24</v>
      </c>
      <c r="D2620" s="39">
        <v>1530</v>
      </c>
      <c r="E2620" s="1"/>
      <c r="F2620" s="39">
        <f t="shared" si="159"/>
        <v>83</v>
      </c>
      <c r="G2620" s="395"/>
      <c r="H2620" s="395"/>
      <c r="J2620" s="42"/>
    </row>
    <row r="2621" spans="1:10" s="393" customFormat="1" x14ac:dyDescent="0.25">
      <c r="A2621" s="19" t="s">
        <v>29</v>
      </c>
      <c r="B2621" s="2">
        <v>44002</v>
      </c>
      <c r="C2621" s="1">
        <v>3</v>
      </c>
      <c r="D2621" s="39">
        <v>88</v>
      </c>
      <c r="E2621" s="1"/>
      <c r="F2621" s="39">
        <f t="shared" si="159"/>
        <v>2</v>
      </c>
      <c r="G2621" s="395"/>
      <c r="H2621" s="395"/>
      <c r="J2621" s="42"/>
    </row>
    <row r="2622" spans="1:10" s="393" customFormat="1" x14ac:dyDescent="0.25">
      <c r="A2622" s="19" t="s">
        <v>43</v>
      </c>
      <c r="B2622" s="2">
        <v>44002</v>
      </c>
      <c r="C2622" s="1">
        <v>512</v>
      </c>
      <c r="D2622" s="39">
        <v>18295</v>
      </c>
      <c r="E2622" s="1">
        <v>7</v>
      </c>
      <c r="F2622" s="39">
        <f t="shared" si="159"/>
        <v>369</v>
      </c>
      <c r="G2622" s="395"/>
      <c r="H2622" s="395"/>
      <c r="J2622" s="42"/>
    </row>
    <row r="2623" spans="1:10" s="393" customFormat="1" x14ac:dyDescent="0.25">
      <c r="A2623" s="19" t="s">
        <v>20</v>
      </c>
      <c r="B2623" s="2">
        <v>44002</v>
      </c>
      <c r="C2623" s="1">
        <v>20</v>
      </c>
      <c r="D2623" s="39">
        <v>555</v>
      </c>
      <c r="E2623" s="1"/>
      <c r="F2623" s="39">
        <f t="shared" si="159"/>
        <v>33</v>
      </c>
      <c r="G2623" s="395"/>
      <c r="H2623" s="395"/>
      <c r="J2623" s="42"/>
    </row>
    <row r="2624" spans="1:10" s="393" customFormat="1" x14ac:dyDescent="0.25">
      <c r="A2624" s="19" t="s">
        <v>30</v>
      </c>
      <c r="B2624" s="2">
        <v>44002</v>
      </c>
      <c r="C2624" s="1">
        <v>2</v>
      </c>
      <c r="D2624" s="39">
        <v>115</v>
      </c>
      <c r="E2624" s="1"/>
      <c r="F2624" s="39">
        <f t="shared" si="159"/>
        <v>0</v>
      </c>
      <c r="G2624" s="395"/>
      <c r="H2624" s="395"/>
      <c r="J2624" s="42"/>
    </row>
    <row r="2625" spans="1:10" x14ac:dyDescent="0.25">
      <c r="A2625" s="19" t="s">
        <v>31</v>
      </c>
      <c r="B2625" s="2">
        <v>44002</v>
      </c>
      <c r="C2625" s="1">
        <v>19</v>
      </c>
      <c r="D2625" s="39">
        <v>134</v>
      </c>
      <c r="F2625" s="39">
        <f t="shared" si="159"/>
        <v>0</v>
      </c>
    </row>
    <row r="2626" spans="1:10" s="393" customFormat="1" x14ac:dyDescent="0.25">
      <c r="A2626" s="19" t="s">
        <v>41</v>
      </c>
      <c r="B2626" s="2">
        <v>44002</v>
      </c>
      <c r="C2626" s="1">
        <v>2</v>
      </c>
      <c r="D2626" s="39">
        <v>39</v>
      </c>
      <c r="E2626" s="1"/>
      <c r="F2626" s="39">
        <f t="shared" ref="F2626:F2640" si="160">E2626+F2601</f>
        <v>0</v>
      </c>
      <c r="G2626" s="395"/>
      <c r="H2626" s="395"/>
      <c r="J2626" s="42"/>
    </row>
    <row r="2627" spans="1:10" s="393" customFormat="1" x14ac:dyDescent="0.25">
      <c r="A2627" s="19" t="s">
        <v>32</v>
      </c>
      <c r="B2627" s="2">
        <v>44002</v>
      </c>
      <c r="C2627" s="1">
        <v>0</v>
      </c>
      <c r="D2627" s="39">
        <v>13</v>
      </c>
      <c r="E2627" s="1"/>
      <c r="F2627" s="39">
        <f t="shared" si="160"/>
        <v>0</v>
      </c>
      <c r="G2627" s="395"/>
      <c r="H2627" s="395"/>
      <c r="J2627" s="42"/>
    </row>
    <row r="2628" spans="1:10" s="393" customFormat="1" x14ac:dyDescent="0.25">
      <c r="A2628" s="19" t="s">
        <v>33</v>
      </c>
      <c r="B2628" s="2">
        <v>44002</v>
      </c>
      <c r="C2628" s="1">
        <v>0</v>
      </c>
      <c r="D2628" s="39">
        <v>6</v>
      </c>
      <c r="E2628" s="1"/>
      <c r="F2628" s="39">
        <f t="shared" si="160"/>
        <v>0</v>
      </c>
      <c r="G2628" s="395"/>
      <c r="H2628" s="395"/>
      <c r="J2628" s="42"/>
    </row>
    <row r="2629" spans="1:10" s="393" customFormat="1" x14ac:dyDescent="0.25">
      <c r="A2629" s="19" t="s">
        <v>21</v>
      </c>
      <c r="B2629" s="2">
        <v>44002</v>
      </c>
      <c r="C2629" s="1">
        <v>0</v>
      </c>
      <c r="D2629" s="39">
        <v>64</v>
      </c>
      <c r="E2629" s="1"/>
      <c r="F2629" s="39">
        <f t="shared" si="160"/>
        <v>0</v>
      </c>
      <c r="G2629" s="395"/>
      <c r="H2629" s="395"/>
      <c r="J2629" s="42"/>
    </row>
    <row r="2630" spans="1:10" s="393" customFormat="1" x14ac:dyDescent="0.25">
      <c r="A2630" s="19" t="s">
        <v>17</v>
      </c>
      <c r="B2630" s="2">
        <v>44002</v>
      </c>
      <c r="C2630" s="1">
        <v>0</v>
      </c>
      <c r="D2630" s="39">
        <v>123</v>
      </c>
      <c r="E2630" s="1"/>
      <c r="F2630" s="39">
        <f t="shared" si="160"/>
        <v>0</v>
      </c>
      <c r="G2630" s="395"/>
      <c r="H2630" s="395"/>
      <c r="J2630" s="42"/>
    </row>
    <row r="2631" spans="1:10" s="393" customFormat="1" x14ac:dyDescent="0.25">
      <c r="A2631" s="19" t="s">
        <v>23</v>
      </c>
      <c r="B2631" s="2">
        <v>44002</v>
      </c>
      <c r="C2631" s="1">
        <v>5</v>
      </c>
      <c r="D2631" s="39">
        <v>45</v>
      </c>
      <c r="E2631" s="1"/>
      <c r="F2631" s="39">
        <f t="shared" si="160"/>
        <v>0</v>
      </c>
      <c r="G2631" s="395"/>
      <c r="H2631" s="395"/>
      <c r="J2631" s="42"/>
    </row>
    <row r="2632" spans="1:10" s="393" customFormat="1" x14ac:dyDescent="0.25">
      <c r="A2632" s="19" t="s">
        <v>19</v>
      </c>
      <c r="B2632" s="2">
        <v>44002</v>
      </c>
      <c r="C2632" s="1">
        <v>0</v>
      </c>
      <c r="D2632" s="39">
        <v>294</v>
      </c>
      <c r="E2632" s="1"/>
      <c r="F2632" s="39">
        <f t="shared" si="160"/>
        <v>0</v>
      </c>
      <c r="G2632" s="395"/>
      <c r="H2632" s="395"/>
      <c r="J2632" s="42"/>
    </row>
    <row r="2633" spans="1:10" s="393" customFormat="1" x14ac:dyDescent="0.25">
      <c r="A2633" s="19" t="s">
        <v>18</v>
      </c>
      <c r="B2633" s="2">
        <v>44002</v>
      </c>
      <c r="C2633" s="1">
        <v>19</v>
      </c>
      <c r="D2633" s="39">
        <v>675</v>
      </c>
      <c r="E2633" s="1"/>
      <c r="F2633" s="39">
        <f t="shared" si="160"/>
        <v>0</v>
      </c>
      <c r="G2633" s="395"/>
      <c r="H2633" s="395"/>
      <c r="J2633" s="42"/>
    </row>
    <row r="2634" spans="1:10" s="393" customFormat="1" x14ac:dyDescent="0.25">
      <c r="A2634" s="19" t="s">
        <v>34</v>
      </c>
      <c r="B2634" s="2">
        <v>44002</v>
      </c>
      <c r="C2634" s="1">
        <v>0</v>
      </c>
      <c r="D2634" s="39">
        <v>21</v>
      </c>
      <c r="E2634" s="1"/>
      <c r="F2634" s="39">
        <f t="shared" si="160"/>
        <v>2</v>
      </c>
      <c r="G2634" s="395"/>
      <c r="H2634" s="395"/>
      <c r="J2634" s="42"/>
    </row>
    <row r="2635" spans="1:10" s="393" customFormat="1" x14ac:dyDescent="0.25">
      <c r="A2635" s="19" t="s">
        <v>35</v>
      </c>
      <c r="B2635" s="2">
        <v>44002</v>
      </c>
      <c r="C2635" s="1">
        <v>0</v>
      </c>
      <c r="D2635" s="39">
        <v>7</v>
      </c>
      <c r="E2635" s="1"/>
      <c r="F2635" s="39">
        <f>E2635+F2611</f>
        <v>0</v>
      </c>
      <c r="G2635" s="395"/>
      <c r="H2635" s="395"/>
      <c r="J2635" s="42"/>
    </row>
    <row r="2636" spans="1:10" s="393" customFormat="1" x14ac:dyDescent="0.25">
      <c r="A2636" s="19" t="s">
        <v>36</v>
      </c>
      <c r="B2636" s="2">
        <v>44002</v>
      </c>
      <c r="C2636" s="1">
        <v>0</v>
      </c>
      <c r="D2636" s="39">
        <v>11</v>
      </c>
      <c r="E2636" s="1"/>
      <c r="F2636" s="39">
        <f t="shared" si="160"/>
        <v>0</v>
      </c>
      <c r="G2636" s="395"/>
      <c r="H2636" s="395"/>
      <c r="J2636" s="42"/>
    </row>
    <row r="2637" spans="1:10" s="393" customFormat="1" x14ac:dyDescent="0.25">
      <c r="A2637" s="19" t="s">
        <v>37</v>
      </c>
      <c r="B2637" s="2">
        <v>44002</v>
      </c>
      <c r="C2637" s="1">
        <v>0</v>
      </c>
      <c r="D2637" s="39">
        <v>51</v>
      </c>
      <c r="E2637" s="1"/>
      <c r="F2637" s="39">
        <f t="shared" si="160"/>
        <v>0</v>
      </c>
      <c r="G2637" s="395"/>
      <c r="H2637" s="395"/>
      <c r="J2637" s="42"/>
    </row>
    <row r="2638" spans="1:10" s="393" customFormat="1" x14ac:dyDescent="0.25">
      <c r="A2638" s="19" t="s">
        <v>22</v>
      </c>
      <c r="B2638" s="2">
        <v>44002</v>
      </c>
      <c r="C2638" s="1">
        <v>6</v>
      </c>
      <c r="D2638" s="39">
        <v>318</v>
      </c>
      <c r="E2638" s="1"/>
      <c r="F2638" s="39">
        <f>E2638+F2614</f>
        <v>4</v>
      </c>
      <c r="G2638" s="395"/>
      <c r="H2638" s="395"/>
      <c r="J2638" s="42"/>
    </row>
    <row r="2639" spans="1:10" s="393" customFormat="1" x14ac:dyDescent="0.25">
      <c r="A2639" s="19" t="s">
        <v>38</v>
      </c>
      <c r="B2639" s="2">
        <v>44002</v>
      </c>
      <c r="C2639" s="1">
        <v>0</v>
      </c>
      <c r="D2639" s="39">
        <v>22</v>
      </c>
      <c r="E2639" s="1"/>
      <c r="F2639" s="39">
        <f>E2639+F2615</f>
        <v>0</v>
      </c>
      <c r="G2639" s="395"/>
      <c r="H2639" s="395"/>
      <c r="J2639" s="42"/>
    </row>
    <row r="2640" spans="1:10" s="393" customFormat="1" x14ac:dyDescent="0.25">
      <c r="A2640" s="19" t="s">
        <v>39</v>
      </c>
      <c r="B2640" s="2">
        <v>44002</v>
      </c>
      <c r="C2640" s="1">
        <v>0</v>
      </c>
      <c r="D2640" s="39">
        <v>149</v>
      </c>
      <c r="E2640" s="1"/>
      <c r="F2640" s="39">
        <f t="shared" si="160"/>
        <v>0</v>
      </c>
      <c r="G2640" s="395"/>
      <c r="H2640" s="395"/>
      <c r="J2640" s="42"/>
    </row>
    <row r="2641" spans="1:10" s="393" customFormat="1" x14ac:dyDescent="0.25">
      <c r="A2641" s="19" t="s">
        <v>40</v>
      </c>
      <c r="B2641" s="2">
        <v>44002</v>
      </c>
      <c r="C2641" s="1">
        <v>0</v>
      </c>
      <c r="D2641" s="39">
        <v>59</v>
      </c>
      <c r="E2641" s="1"/>
      <c r="F2641" s="39">
        <f>E2641+F2617</f>
        <v>4</v>
      </c>
      <c r="G2641" s="395"/>
      <c r="H2641" s="395"/>
      <c r="J2641" s="42"/>
    </row>
    <row r="2642" spans="1:10" s="393" customFormat="1" x14ac:dyDescent="0.25">
      <c r="A2642" s="394" t="s">
        <v>16</v>
      </c>
      <c r="B2642" s="2">
        <v>44003</v>
      </c>
      <c r="C2642" s="1">
        <v>746</v>
      </c>
      <c r="D2642" s="39">
        <v>19327</v>
      </c>
      <c r="E2642" s="1">
        <v>9</v>
      </c>
      <c r="F2642" s="39">
        <f>E2642+F2618</f>
        <v>441</v>
      </c>
      <c r="G2642" s="395"/>
      <c r="H2642" s="395"/>
      <c r="J2642" s="42"/>
    </row>
    <row r="2643" spans="1:10" s="393" customFormat="1" x14ac:dyDescent="0.25">
      <c r="A2643" s="19" t="s">
        <v>28</v>
      </c>
      <c r="B2643" s="2">
        <v>44003</v>
      </c>
      <c r="C2643" s="1">
        <v>0</v>
      </c>
      <c r="D2643" s="39">
        <v>0</v>
      </c>
      <c r="E2643" s="1"/>
      <c r="F2643" s="39">
        <f t="shared" ref="F2643:F2649" si="161">E2643+F2619</f>
        <v>0</v>
      </c>
      <c r="G2643" s="395"/>
      <c r="H2643" s="395"/>
      <c r="J2643" s="42"/>
    </row>
    <row r="2644" spans="1:10" s="393" customFormat="1" x14ac:dyDescent="0.25">
      <c r="A2644" s="19" t="s">
        <v>15</v>
      </c>
      <c r="B2644" s="2">
        <v>44003</v>
      </c>
      <c r="C2644" s="1">
        <v>52</v>
      </c>
      <c r="D2644" s="39">
        <v>1582</v>
      </c>
      <c r="E2644" s="1"/>
      <c r="F2644" s="39">
        <f t="shared" si="161"/>
        <v>83</v>
      </c>
      <c r="G2644" s="395"/>
      <c r="H2644" s="395"/>
      <c r="J2644" s="42"/>
    </row>
    <row r="2645" spans="1:10" s="393" customFormat="1" x14ac:dyDescent="0.25">
      <c r="A2645" s="19" t="s">
        <v>29</v>
      </c>
      <c r="B2645" s="2">
        <v>44003</v>
      </c>
      <c r="C2645" s="1">
        <v>6</v>
      </c>
      <c r="D2645" s="39">
        <v>94</v>
      </c>
      <c r="E2645" s="1"/>
      <c r="F2645" s="39">
        <f t="shared" si="161"/>
        <v>2</v>
      </c>
      <c r="G2645" s="395"/>
      <c r="H2645" s="395"/>
      <c r="J2645" s="42"/>
    </row>
    <row r="2646" spans="1:10" s="393" customFormat="1" x14ac:dyDescent="0.25">
      <c r="A2646" s="19" t="s">
        <v>43</v>
      </c>
      <c r="B2646" s="2">
        <v>44003</v>
      </c>
      <c r="C2646" s="1">
        <v>707</v>
      </c>
      <c r="D2646" s="39">
        <v>19002</v>
      </c>
      <c r="E2646" s="1">
        <v>8</v>
      </c>
      <c r="F2646" s="39">
        <f t="shared" si="161"/>
        <v>377</v>
      </c>
      <c r="G2646" s="395"/>
      <c r="H2646" s="395"/>
      <c r="J2646" s="42"/>
    </row>
    <row r="2647" spans="1:10" s="393" customFormat="1" x14ac:dyDescent="0.25">
      <c r="A2647" s="19" t="s">
        <v>20</v>
      </c>
      <c r="B2647" s="2">
        <v>44003</v>
      </c>
      <c r="C2647" s="1">
        <v>13</v>
      </c>
      <c r="D2647" s="39">
        <v>568</v>
      </c>
      <c r="E2647" s="1"/>
      <c r="F2647" s="39">
        <f t="shared" si="161"/>
        <v>33</v>
      </c>
      <c r="G2647" s="395"/>
      <c r="H2647" s="395"/>
      <c r="J2647" s="42"/>
    </row>
    <row r="2648" spans="1:10" s="393" customFormat="1" x14ac:dyDescent="0.25">
      <c r="A2648" s="19" t="s">
        <v>30</v>
      </c>
      <c r="B2648" s="2">
        <v>44003</v>
      </c>
      <c r="C2648" s="1">
        <v>0</v>
      </c>
      <c r="D2648" s="39">
        <v>115</v>
      </c>
      <c r="E2648" s="1"/>
      <c r="F2648" s="39">
        <f t="shared" si="161"/>
        <v>0</v>
      </c>
      <c r="G2648" s="395"/>
      <c r="H2648" s="395"/>
      <c r="J2648" s="42"/>
    </row>
    <row r="2649" spans="1:10" x14ac:dyDescent="0.25">
      <c r="A2649" s="19" t="s">
        <v>31</v>
      </c>
      <c r="B2649" s="2">
        <v>44003</v>
      </c>
      <c r="C2649" s="1">
        <v>10</v>
      </c>
      <c r="D2649" s="39">
        <v>144</v>
      </c>
      <c r="F2649" s="39">
        <f t="shared" si="161"/>
        <v>0</v>
      </c>
    </row>
    <row r="2650" spans="1:10" s="393" customFormat="1" x14ac:dyDescent="0.25">
      <c r="A2650" s="19" t="s">
        <v>41</v>
      </c>
      <c r="B2650" s="2">
        <v>44003</v>
      </c>
      <c r="C2650" s="1">
        <v>0</v>
      </c>
      <c r="D2650" s="39">
        <v>39</v>
      </c>
      <c r="E2650" s="1"/>
      <c r="F2650" s="39">
        <f t="shared" ref="F2650:F2664" si="162">E2650+F2625</f>
        <v>0</v>
      </c>
      <c r="G2650" s="395"/>
      <c r="H2650" s="395"/>
      <c r="J2650" s="42"/>
    </row>
    <row r="2651" spans="1:10" s="393" customFormat="1" x14ac:dyDescent="0.25">
      <c r="A2651" s="19" t="s">
        <v>32</v>
      </c>
      <c r="B2651" s="2">
        <v>44003</v>
      </c>
      <c r="C2651" s="1">
        <v>0</v>
      </c>
      <c r="D2651" s="39">
        <v>13</v>
      </c>
      <c r="E2651" s="1"/>
      <c r="F2651" s="39">
        <f t="shared" si="162"/>
        <v>0</v>
      </c>
      <c r="G2651" s="395"/>
      <c r="H2651" s="395"/>
      <c r="J2651" s="42"/>
    </row>
    <row r="2652" spans="1:10" s="393" customFormat="1" x14ac:dyDescent="0.25">
      <c r="A2652" s="19" t="s">
        <v>33</v>
      </c>
      <c r="B2652" s="2">
        <v>44003</v>
      </c>
      <c r="C2652" s="1">
        <v>0</v>
      </c>
      <c r="D2652" s="39">
        <v>6</v>
      </c>
      <c r="E2652" s="1"/>
      <c r="F2652" s="39">
        <f t="shared" si="162"/>
        <v>0</v>
      </c>
      <c r="G2652" s="395"/>
      <c r="H2652" s="395"/>
      <c r="J2652" s="42"/>
    </row>
    <row r="2653" spans="1:10" s="393" customFormat="1" x14ac:dyDescent="0.25">
      <c r="A2653" s="19" t="s">
        <v>21</v>
      </c>
      <c r="B2653" s="2">
        <v>44003</v>
      </c>
      <c r="C2653" s="1">
        <v>0</v>
      </c>
      <c r="D2653" s="39">
        <v>64</v>
      </c>
      <c r="E2653" s="1"/>
      <c r="F2653" s="39">
        <f t="shared" si="162"/>
        <v>0</v>
      </c>
      <c r="G2653" s="395"/>
      <c r="H2653" s="395"/>
      <c r="J2653" s="42"/>
    </row>
    <row r="2654" spans="1:10" s="393" customFormat="1" x14ac:dyDescent="0.25">
      <c r="A2654" s="19" t="s">
        <v>17</v>
      </c>
      <c r="B2654" s="2">
        <v>44003</v>
      </c>
      <c r="C2654" s="1">
        <v>5</v>
      </c>
      <c r="D2654" s="39">
        <v>128</v>
      </c>
      <c r="E2654" s="1"/>
      <c r="F2654" s="39">
        <f t="shared" si="162"/>
        <v>0</v>
      </c>
      <c r="G2654" s="395"/>
      <c r="H2654" s="395"/>
      <c r="J2654" s="42"/>
    </row>
    <row r="2655" spans="1:10" s="393" customFormat="1" x14ac:dyDescent="0.25">
      <c r="A2655" s="19" t="s">
        <v>23</v>
      </c>
      <c r="B2655" s="2">
        <v>44003</v>
      </c>
      <c r="C2655" s="1">
        <v>0</v>
      </c>
      <c r="D2655" s="39">
        <v>45</v>
      </c>
      <c r="E2655" s="1"/>
      <c r="F2655" s="39">
        <f t="shared" si="162"/>
        <v>0</v>
      </c>
      <c r="G2655" s="395"/>
      <c r="H2655" s="395"/>
      <c r="J2655" s="42"/>
    </row>
    <row r="2656" spans="1:10" s="393" customFormat="1" x14ac:dyDescent="0.25">
      <c r="A2656" s="19" t="s">
        <v>19</v>
      </c>
      <c r="B2656" s="2">
        <v>44003</v>
      </c>
      <c r="C2656" s="1">
        <v>9</v>
      </c>
      <c r="D2656" s="39">
        <v>303</v>
      </c>
      <c r="E2656" s="1"/>
      <c r="F2656" s="39">
        <f t="shared" si="162"/>
        <v>0</v>
      </c>
      <c r="G2656" s="395"/>
      <c r="H2656" s="395"/>
      <c r="J2656" s="42"/>
    </row>
    <row r="2657" spans="1:10" s="393" customFormat="1" x14ac:dyDescent="0.25">
      <c r="A2657" s="19" t="s">
        <v>18</v>
      </c>
      <c r="B2657" s="2">
        <v>44003</v>
      </c>
      <c r="C2657" s="1">
        <v>16</v>
      </c>
      <c r="D2657" s="39">
        <v>691</v>
      </c>
      <c r="E2657" s="1">
        <v>2</v>
      </c>
      <c r="F2657" s="39">
        <f t="shared" si="162"/>
        <v>2</v>
      </c>
      <c r="G2657" s="395"/>
      <c r="H2657" s="395"/>
      <c r="J2657" s="42"/>
    </row>
    <row r="2658" spans="1:10" s="393" customFormat="1" x14ac:dyDescent="0.25">
      <c r="A2658" s="19" t="s">
        <v>34</v>
      </c>
      <c r="B2658" s="2">
        <v>44003</v>
      </c>
      <c r="C2658" s="1">
        <v>0</v>
      </c>
      <c r="D2658" s="39">
        <v>21</v>
      </c>
      <c r="E2658" s="1"/>
      <c r="F2658" s="39">
        <f t="shared" si="162"/>
        <v>0</v>
      </c>
      <c r="G2658" s="395"/>
      <c r="H2658" s="395"/>
      <c r="J2658" s="42"/>
    </row>
    <row r="2659" spans="1:10" s="393" customFormat="1" x14ac:dyDescent="0.25">
      <c r="A2659" s="19" t="s">
        <v>35</v>
      </c>
      <c r="B2659" s="2">
        <v>44003</v>
      </c>
      <c r="C2659" s="1">
        <v>0</v>
      </c>
      <c r="D2659" s="39">
        <v>7</v>
      </c>
      <c r="E2659" s="1"/>
      <c r="F2659" s="39">
        <f>E2659+F2635</f>
        <v>0</v>
      </c>
      <c r="G2659" s="395"/>
      <c r="H2659" s="395"/>
      <c r="J2659" s="42"/>
    </row>
    <row r="2660" spans="1:10" s="393" customFormat="1" x14ac:dyDescent="0.25">
      <c r="A2660" s="19" t="s">
        <v>36</v>
      </c>
      <c r="B2660" s="2">
        <v>44003</v>
      </c>
      <c r="C2660" s="1">
        <v>0</v>
      </c>
      <c r="D2660" s="39">
        <v>11</v>
      </c>
      <c r="E2660" s="1"/>
      <c r="F2660" s="39">
        <f t="shared" si="162"/>
        <v>0</v>
      </c>
      <c r="G2660" s="395"/>
      <c r="H2660" s="395"/>
      <c r="J2660" s="42"/>
    </row>
    <row r="2661" spans="1:10" s="393" customFormat="1" x14ac:dyDescent="0.25">
      <c r="A2661" s="19" t="s">
        <v>37</v>
      </c>
      <c r="B2661" s="2">
        <v>44003</v>
      </c>
      <c r="C2661" s="1">
        <v>0</v>
      </c>
      <c r="D2661" s="39">
        <v>51</v>
      </c>
      <c r="E2661" s="1"/>
      <c r="F2661" s="39">
        <f t="shared" si="162"/>
        <v>0</v>
      </c>
      <c r="G2661" s="395"/>
      <c r="H2661" s="395"/>
      <c r="J2661" s="42"/>
    </row>
    <row r="2662" spans="1:10" s="393" customFormat="1" x14ac:dyDescent="0.25">
      <c r="A2662" s="19" t="s">
        <v>22</v>
      </c>
      <c r="B2662" s="2">
        <v>44003</v>
      </c>
      <c r="C2662" s="1">
        <v>17</v>
      </c>
      <c r="D2662" s="39">
        <v>335</v>
      </c>
      <c r="E2662" s="1"/>
      <c r="F2662" s="39">
        <f>E2662+F2638</f>
        <v>4</v>
      </c>
      <c r="G2662" s="395"/>
      <c r="H2662" s="395"/>
      <c r="J2662" s="42"/>
    </row>
    <row r="2663" spans="1:10" s="393" customFormat="1" x14ac:dyDescent="0.25">
      <c r="A2663" s="19" t="s">
        <v>38</v>
      </c>
      <c r="B2663" s="2">
        <v>44003</v>
      </c>
      <c r="C2663" s="1">
        <v>0</v>
      </c>
      <c r="D2663" s="39">
        <v>22</v>
      </c>
      <c r="E2663" s="1"/>
      <c r="F2663" s="39">
        <f>E2663+F2639</f>
        <v>0</v>
      </c>
      <c r="G2663" s="395"/>
      <c r="H2663" s="395"/>
      <c r="J2663" s="42"/>
    </row>
    <row r="2664" spans="1:10" s="393" customFormat="1" x14ac:dyDescent="0.25">
      <c r="A2664" s="19" t="s">
        <v>39</v>
      </c>
      <c r="B2664" s="2">
        <v>44003</v>
      </c>
      <c r="C2664" s="1">
        <v>0</v>
      </c>
      <c r="D2664" s="39">
        <v>149</v>
      </c>
      <c r="E2664" s="1"/>
      <c r="F2664" s="39">
        <f t="shared" si="162"/>
        <v>0</v>
      </c>
      <c r="G2664" s="395"/>
      <c r="H2664" s="395"/>
      <c r="J2664" s="42"/>
    </row>
    <row r="2665" spans="1:10" s="393" customFormat="1" x14ac:dyDescent="0.25">
      <c r="A2665" s="19" t="s">
        <v>40</v>
      </c>
      <c r="B2665" s="2">
        <v>44003</v>
      </c>
      <c r="C2665" s="1">
        <v>0</v>
      </c>
      <c r="D2665" s="39">
        <v>59</v>
      </c>
      <c r="E2665" s="1"/>
      <c r="F2665" s="39">
        <f>E2665+F2641</f>
        <v>4</v>
      </c>
      <c r="G2665" s="395"/>
      <c r="H2665" s="395"/>
      <c r="J2665" s="42"/>
    </row>
    <row r="2666" spans="1:10" s="393" customFormat="1" x14ac:dyDescent="0.25">
      <c r="A2666" s="394" t="s">
        <v>16</v>
      </c>
      <c r="B2666" s="2">
        <v>44004</v>
      </c>
      <c r="C2666" s="1">
        <v>1037</v>
      </c>
      <c r="D2666" s="39">
        <v>20364</v>
      </c>
      <c r="E2666" s="1">
        <v>8</v>
      </c>
      <c r="F2666" s="39">
        <f>E2666+F2642</f>
        <v>449</v>
      </c>
      <c r="G2666" s="395"/>
      <c r="H2666" s="395"/>
      <c r="J2666" s="42"/>
    </row>
    <row r="2667" spans="1:10" s="393" customFormat="1" x14ac:dyDescent="0.25">
      <c r="A2667" s="19" t="s">
        <v>28</v>
      </c>
      <c r="B2667" s="2">
        <v>44004</v>
      </c>
      <c r="C2667" s="1">
        <v>0</v>
      </c>
      <c r="D2667" s="39">
        <v>0</v>
      </c>
      <c r="E2667" s="1"/>
      <c r="F2667" s="39">
        <f t="shared" ref="F2667:F2673" si="163">E2667+F2643</f>
        <v>0</v>
      </c>
      <c r="G2667" s="395"/>
      <c r="H2667" s="395"/>
      <c r="J2667" s="42"/>
    </row>
    <row r="2668" spans="1:10" s="393" customFormat="1" x14ac:dyDescent="0.25">
      <c r="A2668" s="19" t="s">
        <v>15</v>
      </c>
      <c r="B2668" s="2">
        <v>44004</v>
      </c>
      <c r="C2668" s="1">
        <v>20</v>
      </c>
      <c r="D2668" s="39">
        <v>1602</v>
      </c>
      <c r="E2668" s="1">
        <v>1</v>
      </c>
      <c r="F2668" s="39">
        <f>E2668+F2644</f>
        <v>84</v>
      </c>
      <c r="G2668" s="395"/>
      <c r="H2668" s="395"/>
      <c r="J2668" s="42"/>
    </row>
    <row r="2669" spans="1:10" s="393" customFormat="1" x14ac:dyDescent="0.25">
      <c r="A2669" s="19" t="s">
        <v>29</v>
      </c>
      <c r="B2669" s="2">
        <v>44004</v>
      </c>
      <c r="C2669" s="1">
        <v>5</v>
      </c>
      <c r="D2669" s="39">
        <v>99</v>
      </c>
      <c r="E2669" s="1"/>
      <c r="F2669" s="39">
        <f t="shared" si="163"/>
        <v>2</v>
      </c>
      <c r="G2669" s="395"/>
      <c r="H2669" s="395"/>
      <c r="J2669" s="42"/>
    </row>
    <row r="2670" spans="1:10" s="393" customFormat="1" x14ac:dyDescent="0.25">
      <c r="A2670" s="19" t="s">
        <v>43</v>
      </c>
      <c r="B2670" s="2">
        <v>44004</v>
      </c>
      <c r="C2670" s="1">
        <v>1024</v>
      </c>
      <c r="D2670" s="39">
        <v>20026</v>
      </c>
      <c r="E2670" s="1">
        <v>18</v>
      </c>
      <c r="F2670" s="39">
        <f t="shared" si="163"/>
        <v>395</v>
      </c>
      <c r="G2670" s="395"/>
      <c r="H2670" s="395"/>
      <c r="J2670" s="42"/>
    </row>
    <row r="2671" spans="1:10" s="393" customFormat="1" x14ac:dyDescent="0.25">
      <c r="A2671" s="19" t="s">
        <v>20</v>
      </c>
      <c r="B2671" s="2">
        <v>44004</v>
      </c>
      <c r="C2671" s="1">
        <v>11</v>
      </c>
      <c r="D2671" s="39">
        <v>579</v>
      </c>
      <c r="E2671" s="1"/>
      <c r="F2671" s="39">
        <f t="shared" si="163"/>
        <v>33</v>
      </c>
      <c r="G2671" s="395"/>
      <c r="H2671" s="395"/>
      <c r="J2671" s="42"/>
    </row>
    <row r="2672" spans="1:10" s="393" customFormat="1" x14ac:dyDescent="0.25">
      <c r="A2672" s="19" t="s">
        <v>30</v>
      </c>
      <c r="B2672" s="2">
        <v>44004</v>
      </c>
      <c r="C2672" s="1">
        <v>0</v>
      </c>
      <c r="D2672" s="39">
        <v>115</v>
      </c>
      <c r="E2672" s="1"/>
      <c r="F2672" s="39">
        <f t="shared" si="163"/>
        <v>0</v>
      </c>
      <c r="G2672" s="395"/>
      <c r="H2672" s="395"/>
      <c r="J2672" s="42"/>
    </row>
    <row r="2673" spans="1:10" x14ac:dyDescent="0.25">
      <c r="A2673" s="19" t="s">
        <v>31</v>
      </c>
      <c r="B2673" s="2">
        <v>44004</v>
      </c>
      <c r="C2673" s="1">
        <v>16</v>
      </c>
      <c r="D2673" s="39">
        <v>160</v>
      </c>
      <c r="F2673" s="39">
        <f t="shared" si="163"/>
        <v>0</v>
      </c>
    </row>
    <row r="2674" spans="1:10" s="393" customFormat="1" x14ac:dyDescent="0.25">
      <c r="A2674" s="19" t="s">
        <v>41</v>
      </c>
      <c r="B2674" s="2">
        <v>44004</v>
      </c>
      <c r="C2674" s="1">
        <v>0</v>
      </c>
      <c r="D2674" s="39">
        <v>39</v>
      </c>
      <c r="E2674" s="1"/>
      <c r="F2674" s="39">
        <f t="shared" ref="F2674:F2688" si="164">E2674+F2649</f>
        <v>0</v>
      </c>
      <c r="G2674" s="395"/>
      <c r="H2674" s="395"/>
      <c r="J2674" s="42"/>
    </row>
    <row r="2675" spans="1:10" s="393" customFormat="1" x14ac:dyDescent="0.25">
      <c r="A2675" s="19" t="s">
        <v>32</v>
      </c>
      <c r="B2675" s="2">
        <v>44004</v>
      </c>
      <c r="C2675" s="1">
        <v>2</v>
      </c>
      <c r="D2675" s="39">
        <v>15</v>
      </c>
      <c r="E2675" s="1"/>
      <c r="F2675" s="39">
        <f t="shared" si="164"/>
        <v>0</v>
      </c>
      <c r="G2675" s="395"/>
      <c r="H2675" s="395"/>
      <c r="J2675" s="42"/>
    </row>
    <row r="2676" spans="1:10" s="393" customFormat="1" x14ac:dyDescent="0.25">
      <c r="A2676" s="19" t="s">
        <v>33</v>
      </c>
      <c r="B2676" s="2">
        <v>44004</v>
      </c>
      <c r="C2676" s="1">
        <v>0</v>
      </c>
      <c r="D2676" s="39">
        <v>6</v>
      </c>
      <c r="E2676" s="1"/>
      <c r="F2676" s="39">
        <f t="shared" si="164"/>
        <v>0</v>
      </c>
      <c r="G2676" s="395"/>
      <c r="H2676" s="395"/>
      <c r="J2676" s="42"/>
    </row>
    <row r="2677" spans="1:10" s="393" customFormat="1" x14ac:dyDescent="0.25">
      <c r="A2677" s="19" t="s">
        <v>21</v>
      </c>
      <c r="B2677" s="2">
        <v>44004</v>
      </c>
      <c r="C2677" s="1">
        <v>0</v>
      </c>
      <c r="D2677" s="39">
        <v>64</v>
      </c>
      <c r="E2677" s="1"/>
      <c r="F2677" s="39">
        <f t="shared" si="164"/>
        <v>0</v>
      </c>
      <c r="G2677" s="395"/>
      <c r="H2677" s="395"/>
      <c r="J2677" s="42"/>
    </row>
    <row r="2678" spans="1:10" s="393" customFormat="1" x14ac:dyDescent="0.25">
      <c r="A2678" s="19" t="s">
        <v>17</v>
      </c>
      <c r="B2678" s="2">
        <v>44004</v>
      </c>
      <c r="C2678" s="1">
        <v>3</v>
      </c>
      <c r="D2678" s="39">
        <v>131</v>
      </c>
      <c r="E2678" s="1"/>
      <c r="F2678" s="39">
        <f t="shared" si="164"/>
        <v>0</v>
      </c>
      <c r="G2678" s="395"/>
      <c r="H2678" s="395"/>
      <c r="J2678" s="42"/>
    </row>
    <row r="2679" spans="1:10" s="393" customFormat="1" x14ac:dyDescent="0.25">
      <c r="A2679" s="19" t="s">
        <v>23</v>
      </c>
      <c r="B2679" s="2">
        <v>44004</v>
      </c>
      <c r="C2679" s="1">
        <v>0</v>
      </c>
      <c r="D2679" s="39">
        <v>45</v>
      </c>
      <c r="E2679" s="1"/>
      <c r="F2679" s="39">
        <f t="shared" si="164"/>
        <v>0</v>
      </c>
      <c r="G2679" s="395"/>
      <c r="H2679" s="395"/>
      <c r="J2679" s="42"/>
    </row>
    <row r="2680" spans="1:10" s="393" customFormat="1" x14ac:dyDescent="0.25">
      <c r="A2680" s="19" t="s">
        <v>19</v>
      </c>
      <c r="B2680" s="2">
        <v>44004</v>
      </c>
      <c r="C2680" s="1">
        <v>11</v>
      </c>
      <c r="D2680" s="39">
        <v>314</v>
      </c>
      <c r="E2680" s="1">
        <v>1</v>
      </c>
      <c r="F2680" s="39">
        <f t="shared" si="164"/>
        <v>1</v>
      </c>
      <c r="G2680" s="395"/>
      <c r="H2680" s="395"/>
      <c r="J2680" s="42"/>
    </row>
    <row r="2681" spans="1:10" s="393" customFormat="1" x14ac:dyDescent="0.25">
      <c r="A2681" s="19" t="s">
        <v>18</v>
      </c>
      <c r="B2681" s="2">
        <v>44004</v>
      </c>
      <c r="C2681" s="1">
        <v>8</v>
      </c>
      <c r="D2681" s="39">
        <v>699</v>
      </c>
      <c r="E2681" s="1">
        <v>4</v>
      </c>
      <c r="F2681" s="39">
        <f t="shared" si="164"/>
        <v>4</v>
      </c>
      <c r="G2681" s="395"/>
      <c r="H2681" s="395"/>
      <c r="J2681" s="42"/>
    </row>
    <row r="2682" spans="1:10" s="393" customFormat="1" x14ac:dyDescent="0.25">
      <c r="A2682" s="19" t="s">
        <v>34</v>
      </c>
      <c r="B2682" s="2">
        <v>44004</v>
      </c>
      <c r="C2682" s="1">
        <v>1</v>
      </c>
      <c r="D2682" s="39">
        <v>22</v>
      </c>
      <c r="E2682" s="1"/>
      <c r="F2682" s="39">
        <f t="shared" si="164"/>
        <v>2</v>
      </c>
      <c r="G2682" s="395"/>
      <c r="H2682" s="395"/>
      <c r="J2682" s="42"/>
    </row>
    <row r="2683" spans="1:10" s="393" customFormat="1" x14ac:dyDescent="0.25">
      <c r="A2683" s="19" t="s">
        <v>35</v>
      </c>
      <c r="B2683" s="2">
        <v>44004</v>
      </c>
      <c r="C2683" s="1">
        <v>1</v>
      </c>
      <c r="D2683" s="39">
        <v>8</v>
      </c>
      <c r="E2683" s="1"/>
      <c r="F2683" s="39">
        <f>E2683+F2659</f>
        <v>0</v>
      </c>
      <c r="G2683" s="395"/>
      <c r="H2683" s="395"/>
      <c r="J2683" s="42"/>
    </row>
    <row r="2684" spans="1:10" s="393" customFormat="1" x14ac:dyDescent="0.25">
      <c r="A2684" s="19" t="s">
        <v>36</v>
      </c>
      <c r="B2684" s="2">
        <v>44004</v>
      </c>
      <c r="C2684" s="1">
        <v>0</v>
      </c>
      <c r="D2684" s="39">
        <v>11</v>
      </c>
      <c r="E2684" s="1"/>
      <c r="F2684" s="39">
        <f t="shared" si="164"/>
        <v>0</v>
      </c>
      <c r="G2684" s="395"/>
      <c r="H2684" s="395"/>
      <c r="J2684" s="42"/>
    </row>
    <row r="2685" spans="1:10" s="393" customFormat="1" x14ac:dyDescent="0.25">
      <c r="A2685" s="19" t="s">
        <v>37</v>
      </c>
      <c r="B2685" s="2">
        <v>44004</v>
      </c>
      <c r="C2685" s="1">
        <v>0</v>
      </c>
      <c r="D2685" s="39">
        <v>51</v>
      </c>
      <c r="E2685" s="1"/>
      <c r="F2685" s="39">
        <f t="shared" si="164"/>
        <v>0</v>
      </c>
      <c r="G2685" s="395"/>
      <c r="H2685" s="395"/>
      <c r="J2685" s="42"/>
    </row>
    <row r="2686" spans="1:10" s="393" customFormat="1" x14ac:dyDescent="0.25">
      <c r="A2686" s="19" t="s">
        <v>22</v>
      </c>
      <c r="B2686" s="2">
        <v>44004</v>
      </c>
      <c r="C2686" s="1">
        <v>5</v>
      </c>
      <c r="D2686" s="39">
        <v>340</v>
      </c>
      <c r="E2686" s="1"/>
      <c r="F2686" s="39">
        <f>E2686+F2662</f>
        <v>4</v>
      </c>
      <c r="G2686" s="395"/>
      <c r="H2686" s="395"/>
      <c r="J2686" s="42"/>
    </row>
    <row r="2687" spans="1:10" s="393" customFormat="1" x14ac:dyDescent="0.25">
      <c r="A2687" s="19" t="s">
        <v>38</v>
      </c>
      <c r="B2687" s="2">
        <v>44004</v>
      </c>
      <c r="C2687" s="1">
        <v>0</v>
      </c>
      <c r="D2687" s="39">
        <v>22</v>
      </c>
      <c r="E2687" s="1"/>
      <c r="F2687" s="39">
        <f>E2687+F2663</f>
        <v>0</v>
      </c>
      <c r="G2687" s="395"/>
      <c r="H2687" s="395"/>
      <c r="J2687" s="42"/>
    </row>
    <row r="2688" spans="1:10" s="393" customFormat="1" x14ac:dyDescent="0.25">
      <c r="A2688" s="19" t="s">
        <v>39</v>
      </c>
      <c r="B2688" s="2">
        <v>44004</v>
      </c>
      <c r="C2688" s="1">
        <v>0</v>
      </c>
      <c r="D2688" s="39">
        <v>149</v>
      </c>
      <c r="E2688" s="1"/>
      <c r="F2688" s="39">
        <f t="shared" si="164"/>
        <v>0</v>
      </c>
      <c r="G2688" s="395"/>
      <c r="H2688" s="395"/>
      <c r="J2688" s="42"/>
    </row>
    <row r="2689" spans="1:10" s="393" customFormat="1" x14ac:dyDescent="0.25">
      <c r="A2689" s="19" t="s">
        <v>40</v>
      </c>
      <c r="B2689" s="2">
        <v>44004</v>
      </c>
      <c r="C2689" s="1">
        <v>1</v>
      </c>
      <c r="D2689" s="39">
        <v>60</v>
      </c>
      <c r="E2689" s="1"/>
      <c r="F2689" s="39">
        <f>E2689+F2665</f>
        <v>4</v>
      </c>
      <c r="G2689" s="395"/>
      <c r="H2689" s="395"/>
      <c r="J2689" s="42"/>
    </row>
    <row r="2690" spans="1:10" s="393" customFormat="1" x14ac:dyDescent="0.25">
      <c r="A2690" s="394" t="s">
        <v>16</v>
      </c>
      <c r="B2690" s="2">
        <v>44005</v>
      </c>
      <c r="C2690" s="1">
        <v>1334</v>
      </c>
      <c r="D2690" s="39">
        <v>21698</v>
      </c>
      <c r="E2690" s="1">
        <v>15</v>
      </c>
      <c r="F2690" s="39">
        <f>E2690+F2666</f>
        <v>464</v>
      </c>
      <c r="G2690" s="395"/>
      <c r="H2690" s="395"/>
      <c r="J2690" s="42"/>
    </row>
    <row r="2691" spans="1:10" s="393" customFormat="1" x14ac:dyDescent="0.25">
      <c r="A2691" s="19" t="s">
        <v>28</v>
      </c>
      <c r="B2691" s="2">
        <v>44005</v>
      </c>
      <c r="C2691" s="1">
        <v>0</v>
      </c>
      <c r="D2691" s="39">
        <v>0</v>
      </c>
      <c r="E2691" s="1"/>
      <c r="F2691" s="39">
        <f t="shared" ref="F2691:F2697" si="165">E2691+F2667</f>
        <v>0</v>
      </c>
      <c r="G2691" s="395"/>
      <c r="H2691" s="395"/>
      <c r="J2691" s="42"/>
    </row>
    <row r="2692" spans="1:10" s="393" customFormat="1" x14ac:dyDescent="0.25">
      <c r="A2692" s="19" t="s">
        <v>15</v>
      </c>
      <c r="B2692" s="2">
        <v>44005</v>
      </c>
      <c r="C2692" s="1">
        <v>55</v>
      </c>
      <c r="D2692" s="39">
        <v>1657</v>
      </c>
      <c r="E2692" s="1">
        <v>1</v>
      </c>
      <c r="F2692" s="39">
        <f t="shared" si="165"/>
        <v>85</v>
      </c>
      <c r="G2692" s="395"/>
      <c r="H2692" s="395"/>
      <c r="J2692" s="42"/>
    </row>
    <row r="2693" spans="1:10" s="393" customFormat="1" x14ac:dyDescent="0.25">
      <c r="A2693" s="19" t="s">
        <v>29</v>
      </c>
      <c r="B2693" s="2">
        <v>44005</v>
      </c>
      <c r="C2693" s="1">
        <v>2</v>
      </c>
      <c r="D2693" s="39">
        <v>101</v>
      </c>
      <c r="E2693" s="1"/>
      <c r="F2693" s="39">
        <f t="shared" si="165"/>
        <v>2</v>
      </c>
      <c r="G2693" s="395"/>
      <c r="H2693" s="395"/>
      <c r="J2693" s="42"/>
    </row>
    <row r="2694" spans="1:10" s="393" customFormat="1" x14ac:dyDescent="0.25">
      <c r="A2694" s="19" t="s">
        <v>43</v>
      </c>
      <c r="B2694" s="2">
        <v>44005</v>
      </c>
      <c r="C2694" s="1">
        <v>759</v>
      </c>
      <c r="D2694" s="39">
        <v>20785</v>
      </c>
      <c r="E2694" s="1">
        <v>17</v>
      </c>
      <c r="F2694" s="39">
        <f>E2694+F2670</f>
        <v>412</v>
      </c>
      <c r="G2694" s="395"/>
      <c r="H2694" s="395"/>
      <c r="J2694" s="42"/>
    </row>
    <row r="2695" spans="1:10" s="393" customFormat="1" x14ac:dyDescent="0.25">
      <c r="A2695" s="19" t="s">
        <v>20</v>
      </c>
      <c r="B2695" s="2">
        <v>44005</v>
      </c>
      <c r="C2695" s="1">
        <v>23</v>
      </c>
      <c r="D2695" s="39">
        <v>602</v>
      </c>
      <c r="E2695" s="1"/>
      <c r="F2695" s="39">
        <f t="shared" si="165"/>
        <v>33</v>
      </c>
      <c r="G2695" s="395"/>
      <c r="H2695" s="395"/>
      <c r="J2695" s="42"/>
    </row>
    <row r="2696" spans="1:10" s="393" customFormat="1" x14ac:dyDescent="0.25">
      <c r="A2696" s="19" t="s">
        <v>30</v>
      </c>
      <c r="B2696" s="2">
        <v>44005</v>
      </c>
      <c r="C2696" s="1">
        <v>0</v>
      </c>
      <c r="D2696" s="39">
        <v>115</v>
      </c>
      <c r="E2696" s="1"/>
      <c r="F2696" s="39">
        <f t="shared" si="165"/>
        <v>0</v>
      </c>
      <c r="G2696" s="395"/>
      <c r="H2696" s="395"/>
      <c r="J2696" s="42"/>
    </row>
    <row r="2697" spans="1:10" x14ac:dyDescent="0.25">
      <c r="A2697" s="19" t="s">
        <v>31</v>
      </c>
      <c r="B2697" s="2">
        <v>44005</v>
      </c>
      <c r="C2697" s="1">
        <v>17</v>
      </c>
      <c r="D2697" s="39">
        <v>177</v>
      </c>
      <c r="F2697" s="39">
        <f t="shared" si="165"/>
        <v>0</v>
      </c>
    </row>
    <row r="2698" spans="1:10" s="393" customFormat="1" x14ac:dyDescent="0.25">
      <c r="A2698" s="19" t="s">
        <v>41</v>
      </c>
      <c r="B2698" s="2">
        <v>44005</v>
      </c>
      <c r="C2698" s="1">
        <v>6</v>
      </c>
      <c r="D2698" s="39">
        <v>45</v>
      </c>
      <c r="E2698" s="1"/>
      <c r="F2698" s="39">
        <f t="shared" ref="F2698:F2712" si="166">E2698+F2673</f>
        <v>0</v>
      </c>
      <c r="G2698" s="395"/>
      <c r="H2698" s="395"/>
      <c r="J2698" s="42"/>
    </row>
    <row r="2699" spans="1:10" s="393" customFormat="1" x14ac:dyDescent="0.25">
      <c r="A2699" s="19" t="s">
        <v>32</v>
      </c>
      <c r="B2699" s="2">
        <v>44005</v>
      </c>
      <c r="C2699" s="1">
        <v>2</v>
      </c>
      <c r="D2699" s="39">
        <v>17</v>
      </c>
      <c r="E2699" s="1"/>
      <c r="F2699" s="39">
        <f t="shared" si="166"/>
        <v>0</v>
      </c>
      <c r="G2699" s="395"/>
      <c r="H2699" s="395"/>
      <c r="J2699" s="42"/>
    </row>
    <row r="2700" spans="1:10" s="393" customFormat="1" x14ac:dyDescent="0.25">
      <c r="A2700" s="19" t="s">
        <v>33</v>
      </c>
      <c r="B2700" s="2">
        <v>44005</v>
      </c>
      <c r="C2700" s="1">
        <v>0</v>
      </c>
      <c r="D2700" s="39">
        <v>6</v>
      </c>
      <c r="E2700" s="1"/>
      <c r="F2700" s="39">
        <f t="shared" si="166"/>
        <v>0</v>
      </c>
      <c r="G2700" s="395"/>
      <c r="H2700" s="395"/>
      <c r="J2700" s="42"/>
    </row>
    <row r="2701" spans="1:10" s="393" customFormat="1" x14ac:dyDescent="0.25">
      <c r="A2701" s="19" t="s">
        <v>21</v>
      </c>
      <c r="B2701" s="2">
        <v>44005</v>
      </c>
      <c r="C2701" s="1">
        <v>1</v>
      </c>
      <c r="D2701" s="39">
        <v>65</v>
      </c>
      <c r="E2701" s="1"/>
      <c r="F2701" s="39">
        <f t="shared" si="166"/>
        <v>0</v>
      </c>
      <c r="G2701" s="395"/>
      <c r="H2701" s="395"/>
      <c r="J2701" s="42"/>
    </row>
    <row r="2702" spans="1:10" s="393" customFormat="1" x14ac:dyDescent="0.25">
      <c r="A2702" s="19" t="s">
        <v>17</v>
      </c>
      <c r="B2702" s="2">
        <v>44005</v>
      </c>
      <c r="C2702" s="1">
        <v>8</v>
      </c>
      <c r="D2702" s="39">
        <v>139</v>
      </c>
      <c r="E2702" s="1"/>
      <c r="F2702" s="39">
        <f t="shared" si="166"/>
        <v>0</v>
      </c>
      <c r="G2702" s="395"/>
      <c r="H2702" s="395"/>
      <c r="J2702" s="42"/>
    </row>
    <row r="2703" spans="1:10" s="393" customFormat="1" x14ac:dyDescent="0.25">
      <c r="A2703" s="19" t="s">
        <v>23</v>
      </c>
      <c r="B2703" s="2">
        <v>44005</v>
      </c>
      <c r="C2703" s="1">
        <v>0</v>
      </c>
      <c r="D2703" s="39">
        <v>45</v>
      </c>
      <c r="E2703" s="1"/>
      <c r="F2703" s="39">
        <f t="shared" si="166"/>
        <v>0</v>
      </c>
      <c r="G2703" s="395"/>
      <c r="H2703" s="395"/>
      <c r="J2703" s="42"/>
    </row>
    <row r="2704" spans="1:10" s="393" customFormat="1" x14ac:dyDescent="0.25">
      <c r="A2704" s="19" t="s">
        <v>19</v>
      </c>
      <c r="B2704" s="2">
        <v>44005</v>
      </c>
      <c r="C2704" s="1">
        <v>29</v>
      </c>
      <c r="D2704" s="39">
        <v>343</v>
      </c>
      <c r="E2704" s="1"/>
      <c r="F2704" s="39">
        <f t="shared" si="166"/>
        <v>0</v>
      </c>
      <c r="G2704" s="395"/>
      <c r="H2704" s="395"/>
      <c r="J2704" s="42"/>
    </row>
    <row r="2705" spans="1:10" s="393" customFormat="1" x14ac:dyDescent="0.25">
      <c r="A2705" s="19" t="s">
        <v>18</v>
      </c>
      <c r="B2705" s="2">
        <v>44005</v>
      </c>
      <c r="C2705" s="1">
        <v>19</v>
      </c>
      <c r="D2705" s="39">
        <v>718</v>
      </c>
      <c r="E2705" s="1">
        <v>1</v>
      </c>
      <c r="F2705" s="39">
        <f t="shared" si="166"/>
        <v>2</v>
      </c>
      <c r="G2705" s="395"/>
      <c r="H2705" s="395"/>
      <c r="J2705" s="42"/>
    </row>
    <row r="2706" spans="1:10" s="393" customFormat="1" x14ac:dyDescent="0.25">
      <c r="A2706" s="19" t="s">
        <v>34</v>
      </c>
      <c r="B2706" s="2">
        <v>44005</v>
      </c>
      <c r="C2706" s="1">
        <v>0</v>
      </c>
      <c r="D2706" s="39">
        <v>22</v>
      </c>
      <c r="E2706" s="1"/>
      <c r="F2706" s="39">
        <f t="shared" si="166"/>
        <v>4</v>
      </c>
      <c r="G2706" s="395"/>
      <c r="H2706" s="395"/>
      <c r="J2706" s="42"/>
    </row>
    <row r="2707" spans="1:10" s="393" customFormat="1" x14ac:dyDescent="0.25">
      <c r="A2707" s="19" t="s">
        <v>35</v>
      </c>
      <c r="B2707" s="2">
        <v>44005</v>
      </c>
      <c r="C2707" s="1">
        <v>0</v>
      </c>
      <c r="D2707" s="39">
        <v>8</v>
      </c>
      <c r="E2707" s="1"/>
      <c r="F2707" s="39">
        <f>E2707+F2683</f>
        <v>0</v>
      </c>
      <c r="G2707" s="395"/>
      <c r="H2707" s="395"/>
      <c r="J2707" s="42"/>
    </row>
    <row r="2708" spans="1:10" s="393" customFormat="1" x14ac:dyDescent="0.25">
      <c r="A2708" s="19" t="s">
        <v>36</v>
      </c>
      <c r="B2708" s="2">
        <v>44005</v>
      </c>
      <c r="C2708" s="1">
        <v>0</v>
      </c>
      <c r="D2708" s="39">
        <v>11</v>
      </c>
      <c r="E2708" s="1"/>
      <c r="F2708" s="39">
        <f t="shared" si="166"/>
        <v>0</v>
      </c>
      <c r="G2708" s="395"/>
      <c r="H2708" s="395"/>
      <c r="J2708" s="42"/>
    </row>
    <row r="2709" spans="1:10" s="393" customFormat="1" x14ac:dyDescent="0.25">
      <c r="A2709" s="19" t="s">
        <v>37</v>
      </c>
      <c r="B2709" s="2">
        <v>44005</v>
      </c>
      <c r="C2709" s="1">
        <v>0</v>
      </c>
      <c r="D2709" s="39">
        <v>51</v>
      </c>
      <c r="E2709" s="1"/>
      <c r="F2709" s="39">
        <f t="shared" si="166"/>
        <v>0</v>
      </c>
      <c r="G2709" s="395"/>
      <c r="H2709" s="395"/>
      <c r="J2709" s="42"/>
    </row>
    <row r="2710" spans="1:10" s="393" customFormat="1" x14ac:dyDescent="0.25">
      <c r="A2710" s="19" t="s">
        <v>22</v>
      </c>
      <c r="B2710" s="2">
        <v>44005</v>
      </c>
      <c r="C2710" s="1">
        <v>29</v>
      </c>
      <c r="D2710" s="39">
        <v>369</v>
      </c>
      <c r="E2710" s="1"/>
      <c r="F2710" s="39">
        <f>E2710+F2686</f>
        <v>4</v>
      </c>
      <c r="G2710" s="395"/>
      <c r="H2710" s="395"/>
      <c r="J2710" s="42"/>
    </row>
    <row r="2711" spans="1:10" s="393" customFormat="1" x14ac:dyDescent="0.25">
      <c r="A2711" s="19" t="s">
        <v>38</v>
      </c>
      <c r="B2711" s="2">
        <v>44005</v>
      </c>
      <c r="C2711" s="1">
        <v>0</v>
      </c>
      <c r="D2711" s="39">
        <v>22</v>
      </c>
      <c r="E2711" s="1"/>
      <c r="F2711" s="39">
        <f>E2711+F2687</f>
        <v>0</v>
      </c>
      <c r="G2711" s="395"/>
      <c r="H2711" s="395"/>
      <c r="J2711" s="42"/>
    </row>
    <row r="2712" spans="1:10" s="393" customFormat="1" x14ac:dyDescent="0.25">
      <c r="A2712" s="19" t="s">
        <v>39</v>
      </c>
      <c r="B2712" s="2">
        <v>44005</v>
      </c>
      <c r="C2712" s="1">
        <v>0</v>
      </c>
      <c r="D2712" s="39">
        <v>149</v>
      </c>
      <c r="E2712" s="1"/>
      <c r="F2712" s="39">
        <f t="shared" si="166"/>
        <v>0</v>
      </c>
      <c r="G2712" s="395"/>
      <c r="H2712" s="395"/>
      <c r="J2712" s="42"/>
    </row>
    <row r="2713" spans="1:10" s="393" customFormat="1" x14ac:dyDescent="0.25">
      <c r="A2713" s="19" t="s">
        <v>40</v>
      </c>
      <c r="B2713" s="2">
        <v>44005</v>
      </c>
      <c r="C2713" s="1">
        <v>0</v>
      </c>
      <c r="D2713" s="39">
        <v>60</v>
      </c>
      <c r="E2713" s="1"/>
      <c r="F2713" s="39">
        <f>E2713+F2689</f>
        <v>4</v>
      </c>
      <c r="G2713" s="395"/>
      <c r="H2713" s="395"/>
      <c r="J2713" s="42"/>
    </row>
    <row r="2714" spans="1:10" s="393" customFormat="1" x14ac:dyDescent="0.25">
      <c r="A2714" s="394" t="s">
        <v>16</v>
      </c>
      <c r="B2714" s="2">
        <v>44006</v>
      </c>
      <c r="C2714" s="1">
        <v>1463</v>
      </c>
      <c r="D2714" s="39">
        <v>23161</v>
      </c>
      <c r="E2714" s="1">
        <v>21</v>
      </c>
      <c r="F2714" s="39">
        <f>E2714+F2690</f>
        <v>485</v>
      </c>
      <c r="G2714" s="395"/>
      <c r="H2714" s="395"/>
      <c r="J2714" s="42"/>
    </row>
    <row r="2715" spans="1:10" s="393" customFormat="1" x14ac:dyDescent="0.25">
      <c r="A2715" s="19" t="s">
        <v>28</v>
      </c>
      <c r="B2715" s="2">
        <v>44006</v>
      </c>
      <c r="C2715" s="1">
        <v>0</v>
      </c>
      <c r="D2715" s="39">
        <v>0</v>
      </c>
      <c r="E2715" s="1"/>
      <c r="F2715" s="39">
        <f t="shared" ref="F2715:F2721" si="167">E2715+F2691</f>
        <v>0</v>
      </c>
      <c r="G2715" s="395"/>
      <c r="H2715" s="395"/>
      <c r="J2715" s="42"/>
    </row>
    <row r="2716" spans="1:10" s="393" customFormat="1" x14ac:dyDescent="0.25">
      <c r="A2716" s="19" t="s">
        <v>15</v>
      </c>
      <c r="B2716" s="2">
        <v>44006</v>
      </c>
      <c r="C2716" s="1">
        <v>37</v>
      </c>
      <c r="D2716" s="39">
        <v>1694</v>
      </c>
      <c r="E2716" s="1">
        <v>2</v>
      </c>
      <c r="F2716" s="39">
        <f t="shared" si="167"/>
        <v>87</v>
      </c>
      <c r="G2716" s="395"/>
      <c r="H2716" s="395"/>
      <c r="J2716" s="42"/>
    </row>
    <row r="2717" spans="1:10" s="393" customFormat="1" x14ac:dyDescent="0.25">
      <c r="A2717" s="19" t="s">
        <v>29</v>
      </c>
      <c r="B2717" s="2">
        <v>44006</v>
      </c>
      <c r="C2717" s="1">
        <v>2</v>
      </c>
      <c r="D2717" s="39">
        <v>103</v>
      </c>
      <c r="E2717" s="1"/>
      <c r="F2717" s="39">
        <f t="shared" si="167"/>
        <v>2</v>
      </c>
      <c r="G2717" s="395"/>
      <c r="H2717" s="395"/>
      <c r="J2717" s="42"/>
    </row>
    <row r="2718" spans="1:10" s="393" customFormat="1" x14ac:dyDescent="0.25">
      <c r="A2718" s="19" t="s">
        <v>43</v>
      </c>
      <c r="B2718" s="2">
        <v>44006</v>
      </c>
      <c r="C2718" s="1">
        <v>1012</v>
      </c>
      <c r="D2718" s="39">
        <v>21797</v>
      </c>
      <c r="E2718" s="1">
        <v>10</v>
      </c>
      <c r="F2718" s="39">
        <f t="shared" si="167"/>
        <v>422</v>
      </c>
      <c r="G2718" s="395"/>
      <c r="H2718" s="395"/>
      <c r="J2718" s="42"/>
    </row>
    <row r="2719" spans="1:10" s="393" customFormat="1" x14ac:dyDescent="0.25">
      <c r="A2719" s="19" t="s">
        <v>20</v>
      </c>
      <c r="B2719" s="2">
        <v>44006</v>
      </c>
      <c r="C2719" s="1">
        <v>2</v>
      </c>
      <c r="D2719" s="39">
        <v>604</v>
      </c>
      <c r="E2719" s="1"/>
      <c r="F2719" s="39">
        <f t="shared" si="167"/>
        <v>33</v>
      </c>
      <c r="G2719" s="395"/>
      <c r="H2719" s="395"/>
      <c r="J2719" s="42"/>
    </row>
    <row r="2720" spans="1:10" s="393" customFormat="1" x14ac:dyDescent="0.25">
      <c r="A2720" s="19" t="s">
        <v>30</v>
      </c>
      <c r="B2720" s="2">
        <v>44006</v>
      </c>
      <c r="C2720" s="1">
        <v>0</v>
      </c>
      <c r="D2720" s="39">
        <v>115</v>
      </c>
      <c r="E2720" s="1"/>
      <c r="F2720" s="39">
        <f t="shared" si="167"/>
        <v>0</v>
      </c>
      <c r="G2720" s="395"/>
      <c r="H2720" s="395"/>
      <c r="J2720" s="42"/>
    </row>
    <row r="2721" spans="1:10" x14ac:dyDescent="0.25">
      <c r="A2721" s="19" t="s">
        <v>31</v>
      </c>
      <c r="B2721" s="2">
        <v>44006</v>
      </c>
      <c r="C2721" s="1">
        <v>24</v>
      </c>
      <c r="D2721" s="39">
        <v>201</v>
      </c>
      <c r="F2721" s="39">
        <f t="shared" si="167"/>
        <v>0</v>
      </c>
    </row>
    <row r="2722" spans="1:10" s="393" customFormat="1" x14ac:dyDescent="0.25">
      <c r="A2722" s="19" t="s">
        <v>41</v>
      </c>
      <c r="B2722" s="2">
        <v>44006</v>
      </c>
      <c r="C2722" s="1">
        <v>0</v>
      </c>
      <c r="D2722" s="39">
        <v>45</v>
      </c>
      <c r="E2722" s="1"/>
      <c r="F2722" s="39">
        <f t="shared" ref="F2722:F2733" si="168">E2722+F2697</f>
        <v>0</v>
      </c>
      <c r="G2722" s="395"/>
      <c r="H2722" s="395"/>
      <c r="J2722" s="42"/>
    </row>
    <row r="2723" spans="1:10" s="393" customFormat="1" x14ac:dyDescent="0.25">
      <c r="A2723" s="19" t="s">
        <v>32</v>
      </c>
      <c r="B2723" s="2">
        <v>44006</v>
      </c>
      <c r="C2723" s="1">
        <v>26</v>
      </c>
      <c r="D2723" s="39">
        <v>43</v>
      </c>
      <c r="E2723" s="1"/>
      <c r="F2723" s="39">
        <f t="shared" si="168"/>
        <v>0</v>
      </c>
      <c r="G2723" s="395"/>
      <c r="H2723" s="395"/>
      <c r="J2723" s="42"/>
    </row>
    <row r="2724" spans="1:10" s="393" customFormat="1" x14ac:dyDescent="0.25">
      <c r="A2724" s="19" t="s">
        <v>33</v>
      </c>
      <c r="B2724" s="2">
        <v>44006</v>
      </c>
      <c r="C2724" s="1">
        <v>1</v>
      </c>
      <c r="D2724" s="39">
        <v>7</v>
      </c>
      <c r="E2724" s="1"/>
      <c r="F2724" s="39">
        <f t="shared" si="168"/>
        <v>0</v>
      </c>
      <c r="G2724" s="395"/>
      <c r="H2724" s="395"/>
      <c r="J2724" s="42"/>
    </row>
    <row r="2725" spans="1:10" s="393" customFormat="1" x14ac:dyDescent="0.25">
      <c r="A2725" s="19" t="s">
        <v>21</v>
      </c>
      <c r="B2725" s="2">
        <v>44006</v>
      </c>
      <c r="C2725" s="1">
        <v>7</v>
      </c>
      <c r="D2725" s="39">
        <v>72</v>
      </c>
      <c r="E2725" s="1"/>
      <c r="F2725" s="39">
        <f t="shared" si="168"/>
        <v>0</v>
      </c>
      <c r="G2725" s="395"/>
      <c r="H2725" s="395"/>
      <c r="J2725" s="42"/>
    </row>
    <row r="2726" spans="1:10" s="393" customFormat="1" x14ac:dyDescent="0.25">
      <c r="A2726" s="19" t="s">
        <v>17</v>
      </c>
      <c r="B2726" s="2">
        <v>44006</v>
      </c>
      <c r="C2726" s="1">
        <v>8</v>
      </c>
      <c r="D2726" s="39">
        <v>147</v>
      </c>
      <c r="E2726" s="1"/>
      <c r="F2726" s="39">
        <f t="shared" si="168"/>
        <v>0</v>
      </c>
      <c r="G2726" s="395"/>
      <c r="H2726" s="395"/>
      <c r="J2726" s="42"/>
    </row>
    <row r="2727" spans="1:10" s="393" customFormat="1" x14ac:dyDescent="0.25">
      <c r="A2727" s="19" t="s">
        <v>23</v>
      </c>
      <c r="B2727" s="2">
        <v>44006</v>
      </c>
      <c r="C2727" s="1">
        <v>0</v>
      </c>
      <c r="D2727" s="39">
        <v>45</v>
      </c>
      <c r="E2727" s="1"/>
      <c r="F2727" s="39">
        <f t="shared" si="168"/>
        <v>0</v>
      </c>
      <c r="G2727" s="395"/>
      <c r="H2727" s="395"/>
      <c r="J2727" s="42"/>
    </row>
    <row r="2728" spans="1:10" s="393" customFormat="1" x14ac:dyDescent="0.25">
      <c r="A2728" s="19" t="s">
        <v>19</v>
      </c>
      <c r="B2728" s="2">
        <v>44006</v>
      </c>
      <c r="C2728" s="1">
        <v>12</v>
      </c>
      <c r="D2728" s="39">
        <v>355</v>
      </c>
      <c r="E2728" s="1">
        <v>1</v>
      </c>
      <c r="F2728" s="39">
        <f t="shared" si="168"/>
        <v>1</v>
      </c>
      <c r="G2728" s="395"/>
      <c r="H2728" s="395"/>
      <c r="J2728" s="42"/>
    </row>
    <row r="2729" spans="1:10" s="393" customFormat="1" x14ac:dyDescent="0.25">
      <c r="A2729" s="19" t="s">
        <v>18</v>
      </c>
      <c r="B2729" s="2">
        <v>44006</v>
      </c>
      <c r="C2729" s="1">
        <v>24</v>
      </c>
      <c r="D2729" s="39">
        <v>742</v>
      </c>
      <c r="E2729" s="1">
        <v>2</v>
      </c>
      <c r="F2729" s="39">
        <f t="shared" si="168"/>
        <v>2</v>
      </c>
      <c r="G2729" s="395"/>
      <c r="H2729" s="395"/>
      <c r="J2729" s="42"/>
    </row>
    <row r="2730" spans="1:10" s="393" customFormat="1" x14ac:dyDescent="0.25">
      <c r="A2730" s="19" t="s">
        <v>34</v>
      </c>
      <c r="B2730" s="2">
        <v>44006</v>
      </c>
      <c r="C2730" s="1">
        <v>3</v>
      </c>
      <c r="D2730" s="39">
        <v>25</v>
      </c>
      <c r="E2730" s="1"/>
      <c r="F2730" s="39">
        <f t="shared" si="168"/>
        <v>2</v>
      </c>
      <c r="G2730" s="395"/>
      <c r="H2730" s="395"/>
      <c r="J2730" s="42"/>
    </row>
    <row r="2731" spans="1:10" s="393" customFormat="1" x14ac:dyDescent="0.25">
      <c r="A2731" s="19" t="s">
        <v>35</v>
      </c>
      <c r="B2731" s="2">
        <v>44006</v>
      </c>
      <c r="C2731" s="1">
        <v>0</v>
      </c>
      <c r="D2731" s="39">
        <v>8</v>
      </c>
      <c r="E2731" s="1"/>
      <c r="F2731" s="39">
        <f>E2731+F2707</f>
        <v>0</v>
      </c>
      <c r="G2731" s="395"/>
      <c r="H2731" s="395"/>
      <c r="J2731" s="42"/>
    </row>
    <row r="2732" spans="1:10" s="393" customFormat="1" x14ac:dyDescent="0.25">
      <c r="A2732" s="19" t="s">
        <v>36</v>
      </c>
      <c r="B2732" s="2">
        <v>44006</v>
      </c>
      <c r="C2732" s="1">
        <v>0</v>
      </c>
      <c r="D2732" s="39">
        <v>11</v>
      </c>
      <c r="E2732" s="1"/>
      <c r="F2732" s="39">
        <f t="shared" si="168"/>
        <v>0</v>
      </c>
      <c r="G2732" s="395"/>
      <c r="H2732" s="395"/>
      <c r="J2732" s="42"/>
    </row>
    <row r="2733" spans="1:10" s="393" customFormat="1" x14ac:dyDescent="0.25">
      <c r="A2733" s="19" t="s">
        <v>37</v>
      </c>
      <c r="B2733" s="2">
        <v>44006</v>
      </c>
      <c r="C2733" s="1">
        <v>-1</v>
      </c>
      <c r="D2733" s="39">
        <v>50</v>
      </c>
      <c r="E2733" s="1"/>
      <c r="F2733" s="39">
        <f t="shared" si="168"/>
        <v>0</v>
      </c>
      <c r="G2733" s="395"/>
      <c r="H2733" s="395"/>
      <c r="J2733" s="42"/>
    </row>
    <row r="2734" spans="1:10" s="393" customFormat="1" x14ac:dyDescent="0.25">
      <c r="A2734" s="19" t="s">
        <v>22</v>
      </c>
      <c r="B2734" s="2">
        <v>44006</v>
      </c>
      <c r="C2734" s="1">
        <v>4</v>
      </c>
      <c r="D2734" s="39">
        <v>373</v>
      </c>
      <c r="E2734" s="1"/>
      <c r="F2734" s="39">
        <f>E2734+F2710</f>
        <v>4</v>
      </c>
      <c r="G2734" s="395"/>
      <c r="H2734" s="395"/>
      <c r="J2734" s="42"/>
    </row>
    <row r="2735" spans="1:10" s="393" customFormat="1" x14ac:dyDescent="0.25">
      <c r="A2735" s="19" t="s">
        <v>38</v>
      </c>
      <c r="B2735" s="2">
        <v>44006</v>
      </c>
      <c r="C2735" s="1">
        <v>0</v>
      </c>
      <c r="D2735" s="39">
        <v>22</v>
      </c>
      <c r="E2735" s="1"/>
      <c r="F2735" s="39">
        <f>E2735+F2711</f>
        <v>0</v>
      </c>
      <c r="G2735" s="395"/>
      <c r="H2735" s="395"/>
      <c r="J2735" s="42"/>
    </row>
    <row r="2736" spans="1:10" s="393" customFormat="1" x14ac:dyDescent="0.25">
      <c r="A2736" s="19" t="s">
        <v>39</v>
      </c>
      <c r="B2736" s="2">
        <v>44006</v>
      </c>
      <c r="C2736" s="1">
        <v>0</v>
      </c>
      <c r="D2736" s="39">
        <v>149</v>
      </c>
      <c r="E2736" s="1">
        <v>1</v>
      </c>
      <c r="F2736" s="39">
        <f>E2736+F2712</f>
        <v>1</v>
      </c>
      <c r="G2736" s="395"/>
      <c r="H2736" s="395"/>
      <c r="J2736" s="42"/>
    </row>
    <row r="2737" spans="1:10" s="393" customFormat="1" x14ac:dyDescent="0.25">
      <c r="A2737" s="19" t="s">
        <v>40</v>
      </c>
      <c r="B2737" s="2">
        <v>44006</v>
      </c>
      <c r="C2737" s="1">
        <v>10</v>
      </c>
      <c r="D2737" s="39">
        <v>70</v>
      </c>
      <c r="E2737" s="1"/>
      <c r="F2737" s="39">
        <f>E2737+F2713</f>
        <v>4</v>
      </c>
      <c r="G2737" s="395"/>
      <c r="H2737" s="395"/>
      <c r="J2737" s="42"/>
    </row>
    <row r="2738" spans="1:10" s="393" customFormat="1" x14ac:dyDescent="0.25">
      <c r="A2738" s="394" t="s">
        <v>16</v>
      </c>
      <c r="B2738" s="2">
        <v>44007</v>
      </c>
      <c r="C2738" s="1">
        <v>1482</v>
      </c>
      <c r="D2738" s="39">
        <v>24643</v>
      </c>
      <c r="E2738" s="1">
        <v>15</v>
      </c>
      <c r="F2738" s="39">
        <f>E2738+F2714</f>
        <v>500</v>
      </c>
      <c r="G2738" s="395"/>
      <c r="H2738" s="395"/>
      <c r="J2738" s="42"/>
    </row>
    <row r="2739" spans="1:10" s="393" customFormat="1" x14ac:dyDescent="0.25">
      <c r="A2739" s="19" t="s">
        <v>28</v>
      </c>
      <c r="B2739" s="2">
        <v>44007</v>
      </c>
      <c r="C2739" s="1">
        <v>0</v>
      </c>
      <c r="D2739" s="39">
        <v>0</v>
      </c>
      <c r="E2739" s="1"/>
      <c r="F2739" s="39">
        <f t="shared" ref="F2739:F2745" si="169">E2739+F2715</f>
        <v>0</v>
      </c>
      <c r="G2739" s="395"/>
      <c r="H2739" s="395"/>
      <c r="J2739" s="42"/>
    </row>
    <row r="2740" spans="1:10" s="393" customFormat="1" x14ac:dyDescent="0.25">
      <c r="A2740" s="19" t="s">
        <v>15</v>
      </c>
      <c r="B2740" s="2">
        <v>44007</v>
      </c>
      <c r="C2740" s="1">
        <v>61</v>
      </c>
      <c r="D2740" s="39">
        <v>1755</v>
      </c>
      <c r="E2740" s="1">
        <v>2</v>
      </c>
      <c r="F2740" s="39">
        <f t="shared" si="169"/>
        <v>89</v>
      </c>
      <c r="G2740" s="395"/>
      <c r="H2740" s="395"/>
      <c r="J2740" s="42"/>
    </row>
    <row r="2741" spans="1:10" s="393" customFormat="1" x14ac:dyDescent="0.25">
      <c r="A2741" s="19" t="s">
        <v>29</v>
      </c>
      <c r="B2741" s="2">
        <v>44007</v>
      </c>
      <c r="C2741" s="1">
        <v>1</v>
      </c>
      <c r="D2741" s="39">
        <v>104</v>
      </c>
      <c r="E2741" s="1"/>
      <c r="F2741" s="39">
        <f t="shared" si="169"/>
        <v>2</v>
      </c>
      <c r="G2741" s="395"/>
      <c r="H2741" s="395"/>
      <c r="J2741" s="42"/>
    </row>
    <row r="2742" spans="1:10" s="393" customFormat="1" x14ac:dyDescent="0.25">
      <c r="A2742" s="19" t="s">
        <v>43</v>
      </c>
      <c r="B2742" s="2">
        <v>44007</v>
      </c>
      <c r="C2742" s="1">
        <v>942</v>
      </c>
      <c r="D2742" s="39">
        <v>22739</v>
      </c>
      <c r="E2742" s="1">
        <v>15</v>
      </c>
      <c r="F2742" s="39">
        <f t="shared" si="169"/>
        <v>437</v>
      </c>
      <c r="G2742" s="395"/>
      <c r="H2742" s="395"/>
      <c r="J2742" s="42"/>
    </row>
    <row r="2743" spans="1:10" s="393" customFormat="1" x14ac:dyDescent="0.25">
      <c r="A2743" s="19" t="s">
        <v>20</v>
      </c>
      <c r="B2743" s="2">
        <v>44007</v>
      </c>
      <c r="C2743" s="1">
        <v>6</v>
      </c>
      <c r="D2743" s="39">
        <v>610</v>
      </c>
      <c r="E2743" s="1"/>
      <c r="F2743" s="39">
        <f t="shared" si="169"/>
        <v>33</v>
      </c>
      <c r="G2743" s="395"/>
      <c r="H2743" s="395"/>
      <c r="J2743" s="42"/>
    </row>
    <row r="2744" spans="1:10" s="393" customFormat="1" x14ac:dyDescent="0.25">
      <c r="A2744" s="19" t="s">
        <v>30</v>
      </c>
      <c r="B2744" s="2">
        <v>44007</v>
      </c>
      <c r="C2744" s="1">
        <v>0</v>
      </c>
      <c r="D2744" s="39">
        <v>115</v>
      </c>
      <c r="E2744" s="1"/>
      <c r="F2744" s="39">
        <f t="shared" si="169"/>
        <v>0</v>
      </c>
      <c r="G2744" s="395"/>
      <c r="H2744" s="395"/>
      <c r="J2744" s="42"/>
    </row>
    <row r="2745" spans="1:10" x14ac:dyDescent="0.25">
      <c r="A2745" s="19" t="s">
        <v>31</v>
      </c>
      <c r="B2745" s="2">
        <v>44007</v>
      </c>
      <c r="C2745" s="1">
        <v>17</v>
      </c>
      <c r="D2745" s="39">
        <v>218</v>
      </c>
      <c r="F2745" s="39">
        <f t="shared" si="169"/>
        <v>0</v>
      </c>
    </row>
    <row r="2746" spans="1:10" s="393" customFormat="1" x14ac:dyDescent="0.25">
      <c r="A2746" s="19" t="s">
        <v>41</v>
      </c>
      <c r="B2746" s="2">
        <v>44007</v>
      </c>
      <c r="C2746" s="1">
        <v>0</v>
      </c>
      <c r="D2746" s="39">
        <v>45</v>
      </c>
      <c r="E2746" s="1"/>
      <c r="F2746" s="39">
        <f t="shared" ref="F2746:F2757" si="170">E2746+F2721</f>
        <v>0</v>
      </c>
      <c r="G2746" s="395"/>
      <c r="H2746" s="395"/>
      <c r="J2746" s="42"/>
    </row>
    <row r="2747" spans="1:10" s="393" customFormat="1" x14ac:dyDescent="0.25">
      <c r="A2747" s="19" t="s">
        <v>32</v>
      </c>
      <c r="B2747" s="2">
        <v>44007</v>
      </c>
      <c r="C2747" s="1">
        <v>1</v>
      </c>
      <c r="D2747" s="39">
        <v>44</v>
      </c>
      <c r="E2747" s="1"/>
      <c r="F2747" s="39">
        <f t="shared" si="170"/>
        <v>0</v>
      </c>
      <c r="G2747" s="395"/>
      <c r="H2747" s="395"/>
      <c r="J2747" s="42"/>
    </row>
    <row r="2748" spans="1:10" s="393" customFormat="1" x14ac:dyDescent="0.25">
      <c r="A2748" s="19" t="s">
        <v>33</v>
      </c>
      <c r="B2748" s="2">
        <v>44007</v>
      </c>
      <c r="C2748" s="1">
        <v>0</v>
      </c>
      <c r="D2748" s="39">
        <v>7</v>
      </c>
      <c r="E2748" s="1"/>
      <c r="F2748" s="39">
        <f t="shared" si="170"/>
        <v>0</v>
      </c>
      <c r="G2748" s="395"/>
      <c r="H2748" s="395"/>
      <c r="J2748" s="42"/>
    </row>
    <row r="2749" spans="1:10" s="393" customFormat="1" x14ac:dyDescent="0.25">
      <c r="A2749" s="19" t="s">
        <v>21</v>
      </c>
      <c r="B2749" s="2">
        <v>44007</v>
      </c>
      <c r="C2749" s="1">
        <v>2</v>
      </c>
      <c r="D2749" s="39">
        <v>74</v>
      </c>
      <c r="E2749" s="1"/>
      <c r="F2749" s="39">
        <f t="shared" si="170"/>
        <v>0</v>
      </c>
      <c r="G2749" s="395"/>
      <c r="H2749" s="395"/>
      <c r="J2749" s="42"/>
    </row>
    <row r="2750" spans="1:10" s="393" customFormat="1" x14ac:dyDescent="0.25">
      <c r="A2750" s="19" t="s">
        <v>17</v>
      </c>
      <c r="B2750" s="2">
        <v>44007</v>
      </c>
      <c r="C2750" s="1">
        <v>1</v>
      </c>
      <c r="D2750" s="39">
        <v>148</v>
      </c>
      <c r="E2750" s="1"/>
      <c r="F2750" s="39">
        <f t="shared" si="170"/>
        <v>0</v>
      </c>
      <c r="G2750" s="395"/>
      <c r="H2750" s="395"/>
      <c r="J2750" s="42"/>
    </row>
    <row r="2751" spans="1:10" s="393" customFormat="1" x14ac:dyDescent="0.25">
      <c r="A2751" s="19" t="s">
        <v>23</v>
      </c>
      <c r="B2751" s="2">
        <v>44007</v>
      </c>
      <c r="C2751" s="1">
        <v>1</v>
      </c>
      <c r="D2751" s="39">
        <v>46</v>
      </c>
      <c r="E2751" s="1"/>
      <c r="F2751" s="39">
        <f t="shared" si="170"/>
        <v>0</v>
      </c>
      <c r="G2751" s="395"/>
      <c r="H2751" s="395"/>
      <c r="J2751" s="42"/>
    </row>
    <row r="2752" spans="1:10" s="393" customFormat="1" x14ac:dyDescent="0.25">
      <c r="A2752" s="19" t="s">
        <v>19</v>
      </c>
      <c r="B2752" s="2">
        <v>44007</v>
      </c>
      <c r="C2752" s="1">
        <v>20</v>
      </c>
      <c r="D2752" s="39">
        <v>375</v>
      </c>
      <c r="E2752" s="1">
        <v>2</v>
      </c>
      <c r="F2752" s="39">
        <f t="shared" si="170"/>
        <v>2</v>
      </c>
      <c r="G2752" s="395"/>
      <c r="H2752" s="395"/>
      <c r="J2752" s="42"/>
    </row>
    <row r="2753" spans="1:10" s="393" customFormat="1" x14ac:dyDescent="0.25">
      <c r="A2753" s="19" t="s">
        <v>18</v>
      </c>
      <c r="B2753" s="2">
        <v>44007</v>
      </c>
      <c r="C2753" s="1">
        <v>50</v>
      </c>
      <c r="D2753" s="39">
        <v>792</v>
      </c>
      <c r="E2753" s="1"/>
      <c r="F2753" s="39">
        <f t="shared" si="170"/>
        <v>1</v>
      </c>
      <c r="G2753" s="395"/>
      <c r="H2753" s="395"/>
      <c r="J2753" s="42"/>
    </row>
    <row r="2754" spans="1:10" s="393" customFormat="1" x14ac:dyDescent="0.25">
      <c r="A2754" s="19" t="s">
        <v>34</v>
      </c>
      <c r="B2754" s="2">
        <v>44007</v>
      </c>
      <c r="C2754" s="1">
        <v>0</v>
      </c>
      <c r="D2754" s="39">
        <v>25</v>
      </c>
      <c r="E2754" s="1"/>
      <c r="F2754" s="39">
        <f t="shared" si="170"/>
        <v>2</v>
      </c>
      <c r="G2754" s="395"/>
      <c r="H2754" s="395"/>
      <c r="J2754" s="42"/>
    </row>
    <row r="2755" spans="1:10" s="393" customFormat="1" x14ac:dyDescent="0.25">
      <c r="A2755" s="19" t="s">
        <v>35</v>
      </c>
      <c r="B2755" s="2">
        <v>44007</v>
      </c>
      <c r="C2755" s="1">
        <v>0</v>
      </c>
      <c r="D2755" s="39">
        <v>8</v>
      </c>
      <c r="E2755" s="1"/>
      <c r="F2755" s="39">
        <f>E2755+F2731</f>
        <v>0</v>
      </c>
      <c r="G2755" s="395"/>
      <c r="H2755" s="395"/>
      <c r="J2755" s="42"/>
    </row>
    <row r="2756" spans="1:10" s="393" customFormat="1" x14ac:dyDescent="0.25">
      <c r="A2756" s="19" t="s">
        <v>36</v>
      </c>
      <c r="B2756" s="2">
        <v>44007</v>
      </c>
      <c r="C2756" s="1">
        <v>0</v>
      </c>
      <c r="D2756" s="39">
        <v>11</v>
      </c>
      <c r="E2756" s="1"/>
      <c r="F2756" s="39">
        <f t="shared" si="170"/>
        <v>0</v>
      </c>
      <c r="G2756" s="395"/>
      <c r="H2756" s="395"/>
      <c r="J2756" s="42"/>
    </row>
    <row r="2757" spans="1:10" s="393" customFormat="1" x14ac:dyDescent="0.25">
      <c r="A2757" s="19" t="s">
        <v>37</v>
      </c>
      <c r="B2757" s="2">
        <v>44007</v>
      </c>
      <c r="C2757" s="1">
        <v>0</v>
      </c>
      <c r="D2757" s="39">
        <v>50</v>
      </c>
      <c r="E2757" s="1"/>
      <c r="F2757" s="39">
        <f t="shared" si="170"/>
        <v>0</v>
      </c>
      <c r="G2757" s="395"/>
      <c r="H2757" s="395"/>
      <c r="J2757" s="42"/>
    </row>
    <row r="2758" spans="1:10" s="393" customFormat="1" x14ac:dyDescent="0.25">
      <c r="A2758" s="19" t="s">
        <v>22</v>
      </c>
      <c r="B2758" s="2">
        <v>44007</v>
      </c>
      <c r="C2758" s="1">
        <v>21</v>
      </c>
      <c r="D2758" s="39">
        <v>394</v>
      </c>
      <c r="E2758" s="1"/>
      <c r="F2758" s="39">
        <f>E2758+F2734</f>
        <v>4</v>
      </c>
      <c r="G2758" s="395"/>
      <c r="H2758" s="395"/>
      <c r="J2758" s="42"/>
    </row>
    <row r="2759" spans="1:10" s="393" customFormat="1" x14ac:dyDescent="0.25">
      <c r="A2759" s="19" t="s">
        <v>38</v>
      </c>
      <c r="B2759" s="2">
        <v>44007</v>
      </c>
      <c r="C2759" s="1">
        <v>0</v>
      </c>
      <c r="D2759" s="39">
        <v>22</v>
      </c>
      <c r="E2759" s="1"/>
      <c r="F2759" s="39">
        <f>E2759+F2735</f>
        <v>0</v>
      </c>
      <c r="G2759" s="395"/>
      <c r="H2759" s="395"/>
      <c r="J2759" s="42"/>
    </row>
    <row r="2760" spans="1:10" s="393" customFormat="1" x14ac:dyDescent="0.25">
      <c r="A2760" s="19" t="s">
        <v>39</v>
      </c>
      <c r="B2760" s="2">
        <v>44007</v>
      </c>
      <c r="C2760" s="1">
        <v>0</v>
      </c>
      <c r="D2760" s="39">
        <v>149</v>
      </c>
      <c r="E2760" s="1"/>
      <c r="F2760" s="39">
        <f>E2760+F2736</f>
        <v>1</v>
      </c>
      <c r="G2760" s="395"/>
      <c r="H2760" s="395"/>
      <c r="J2760" s="42"/>
    </row>
    <row r="2761" spans="1:10" s="393" customFormat="1" x14ac:dyDescent="0.25">
      <c r="A2761" s="19" t="s">
        <v>40</v>
      </c>
      <c r="B2761" s="2">
        <v>44007</v>
      </c>
      <c r="C2761" s="1">
        <v>1</v>
      </c>
      <c r="D2761" s="39">
        <v>71</v>
      </c>
      <c r="E2761" s="1"/>
      <c r="F2761" s="39">
        <f>E2761+F2737</f>
        <v>4</v>
      </c>
      <c r="G2761" s="395"/>
      <c r="H2761" s="395"/>
      <c r="J2761" s="42"/>
    </row>
    <row r="2762" spans="1:10" s="393" customFormat="1" x14ac:dyDescent="0.25">
      <c r="A2762" s="394" t="s">
        <v>16</v>
      </c>
      <c r="B2762" s="2">
        <v>44008</v>
      </c>
      <c r="C2762" s="1">
        <v>1692</v>
      </c>
      <c r="D2762" s="39">
        <v>26335</v>
      </c>
      <c r="E2762" s="1">
        <v>21</v>
      </c>
      <c r="F2762" s="39">
        <f>E2762+F2738</f>
        <v>521</v>
      </c>
      <c r="G2762" s="395"/>
      <c r="H2762" s="395"/>
      <c r="J2762" s="42"/>
    </row>
    <row r="2763" spans="1:10" s="393" customFormat="1" x14ac:dyDescent="0.25">
      <c r="A2763" s="19" t="s">
        <v>28</v>
      </c>
      <c r="B2763" s="2">
        <v>44008</v>
      </c>
      <c r="C2763" s="1">
        <v>0</v>
      </c>
      <c r="D2763" s="39">
        <v>0</v>
      </c>
      <c r="E2763" s="1"/>
      <c r="F2763" s="39">
        <f t="shared" ref="F2763:F2769" si="171">E2763+F2739</f>
        <v>0</v>
      </c>
      <c r="G2763" s="395"/>
      <c r="H2763" s="395"/>
      <c r="J2763" s="42"/>
    </row>
    <row r="2764" spans="1:10" s="393" customFormat="1" x14ac:dyDescent="0.25">
      <c r="A2764" s="19" t="s">
        <v>15</v>
      </c>
      <c r="B2764" s="2">
        <v>44008</v>
      </c>
      <c r="C2764" s="1">
        <v>76</v>
      </c>
      <c r="D2764" s="39">
        <v>1831</v>
      </c>
      <c r="E2764" s="1">
        <v>2</v>
      </c>
      <c r="F2764" s="39">
        <f t="shared" si="171"/>
        <v>91</v>
      </c>
      <c r="G2764" s="395"/>
      <c r="H2764" s="395"/>
      <c r="J2764" s="42"/>
    </row>
    <row r="2765" spans="1:10" s="393" customFormat="1" x14ac:dyDescent="0.25">
      <c r="A2765" s="19" t="s">
        <v>29</v>
      </c>
      <c r="B2765" s="2">
        <v>44008</v>
      </c>
      <c r="C2765" s="1">
        <v>10</v>
      </c>
      <c r="D2765" s="39">
        <v>114</v>
      </c>
      <c r="E2765" s="1"/>
      <c r="F2765" s="39">
        <f t="shared" si="171"/>
        <v>2</v>
      </c>
      <c r="G2765" s="395"/>
      <c r="H2765" s="395"/>
      <c r="J2765" s="42"/>
    </row>
    <row r="2766" spans="1:10" s="393" customFormat="1" x14ac:dyDescent="0.25">
      <c r="A2766" s="19" t="s">
        <v>43</v>
      </c>
      <c r="B2766" s="2">
        <v>44008</v>
      </c>
      <c r="C2766" s="1">
        <v>967</v>
      </c>
      <c r="D2766" s="39">
        <v>23706</v>
      </c>
      <c r="E2766" s="1">
        <v>11</v>
      </c>
      <c r="F2766" s="39">
        <f t="shared" si="171"/>
        <v>448</v>
      </c>
      <c r="G2766" s="395"/>
      <c r="H2766" s="395"/>
      <c r="J2766" s="42"/>
    </row>
    <row r="2767" spans="1:10" s="393" customFormat="1" x14ac:dyDescent="0.25">
      <c r="A2767" s="19" t="s">
        <v>20</v>
      </c>
      <c r="B2767" s="2">
        <v>44008</v>
      </c>
      <c r="C2767" s="1">
        <v>8</v>
      </c>
      <c r="D2767" s="39">
        <v>618</v>
      </c>
      <c r="E2767" s="1"/>
      <c r="F2767" s="39">
        <f t="shared" si="171"/>
        <v>33</v>
      </c>
      <c r="G2767" s="395"/>
      <c r="H2767" s="395"/>
      <c r="J2767" s="42"/>
    </row>
    <row r="2768" spans="1:10" s="393" customFormat="1" x14ac:dyDescent="0.25">
      <c r="A2768" s="19" t="s">
        <v>30</v>
      </c>
      <c r="B2768" s="2">
        <v>44008</v>
      </c>
      <c r="C2768" s="1">
        <v>0</v>
      </c>
      <c r="D2768" s="39">
        <v>115</v>
      </c>
      <c r="E2768" s="1"/>
      <c r="F2768" s="39">
        <f t="shared" si="171"/>
        <v>0</v>
      </c>
      <c r="G2768" s="395"/>
      <c r="H2768" s="395"/>
      <c r="J2768" s="42"/>
    </row>
    <row r="2769" spans="1:10" x14ac:dyDescent="0.25">
      <c r="A2769" s="19" t="s">
        <v>31</v>
      </c>
      <c r="B2769" s="2">
        <v>44008</v>
      </c>
      <c r="C2769" s="1">
        <v>19</v>
      </c>
      <c r="D2769" s="39">
        <v>237</v>
      </c>
      <c r="F2769" s="39">
        <f t="shared" si="171"/>
        <v>0</v>
      </c>
    </row>
    <row r="2770" spans="1:10" s="393" customFormat="1" x14ac:dyDescent="0.25">
      <c r="A2770" s="19" t="s">
        <v>41</v>
      </c>
      <c r="B2770" s="2">
        <v>44008</v>
      </c>
      <c r="C2770" s="1">
        <v>25</v>
      </c>
      <c r="D2770" s="39">
        <v>70</v>
      </c>
      <c r="E2770" s="1"/>
      <c r="F2770" s="39">
        <f t="shared" ref="F2770:F2781" si="172">E2770+F2745</f>
        <v>0</v>
      </c>
      <c r="G2770" s="395"/>
      <c r="H2770" s="395"/>
      <c r="J2770" s="42"/>
    </row>
    <row r="2771" spans="1:10" s="393" customFormat="1" x14ac:dyDescent="0.25">
      <c r="A2771" s="19" t="s">
        <v>32</v>
      </c>
      <c r="B2771" s="2">
        <v>44008</v>
      </c>
      <c r="C2771" s="1">
        <v>27</v>
      </c>
      <c r="D2771" s="39">
        <v>71</v>
      </c>
      <c r="E2771" s="1"/>
      <c r="F2771" s="39">
        <f t="shared" si="172"/>
        <v>0</v>
      </c>
      <c r="G2771" s="395"/>
      <c r="H2771" s="395"/>
      <c r="J2771" s="42"/>
    </row>
    <row r="2772" spans="1:10" s="393" customFormat="1" x14ac:dyDescent="0.25">
      <c r="A2772" s="19" t="s">
        <v>33</v>
      </c>
      <c r="B2772" s="2">
        <v>44008</v>
      </c>
      <c r="C2772" s="1">
        <v>0</v>
      </c>
      <c r="D2772" s="39">
        <v>7</v>
      </c>
      <c r="E2772" s="1"/>
      <c r="F2772" s="39">
        <f t="shared" si="172"/>
        <v>0</v>
      </c>
      <c r="G2772" s="395"/>
      <c r="H2772" s="395"/>
      <c r="J2772" s="42"/>
    </row>
    <row r="2773" spans="1:10" s="393" customFormat="1" x14ac:dyDescent="0.25">
      <c r="A2773" s="19" t="s">
        <v>21</v>
      </c>
      <c r="B2773" s="2">
        <v>44008</v>
      </c>
      <c r="C2773" s="1">
        <v>1</v>
      </c>
      <c r="D2773" s="39">
        <v>75</v>
      </c>
      <c r="E2773" s="1"/>
      <c r="F2773" s="39">
        <f t="shared" si="172"/>
        <v>0</v>
      </c>
      <c r="G2773" s="395"/>
      <c r="H2773" s="395"/>
      <c r="J2773" s="42"/>
    </row>
    <row r="2774" spans="1:10" s="393" customFormat="1" x14ac:dyDescent="0.25">
      <c r="A2774" s="19" t="s">
        <v>17</v>
      </c>
      <c r="B2774" s="2">
        <v>44008</v>
      </c>
      <c r="C2774" s="1">
        <v>3</v>
      </c>
      <c r="D2774" s="39">
        <v>151</v>
      </c>
      <c r="E2774" s="1"/>
      <c r="F2774" s="39">
        <f t="shared" si="172"/>
        <v>0</v>
      </c>
      <c r="G2774" s="395"/>
      <c r="H2774" s="395"/>
      <c r="J2774" s="42"/>
    </row>
    <row r="2775" spans="1:10" s="393" customFormat="1" x14ac:dyDescent="0.25">
      <c r="A2775" s="19" t="s">
        <v>23</v>
      </c>
      <c r="B2775" s="2">
        <v>44008</v>
      </c>
      <c r="C2775" s="1">
        <v>0</v>
      </c>
      <c r="D2775" s="39">
        <v>46</v>
      </c>
      <c r="E2775" s="1"/>
      <c r="F2775" s="39">
        <f t="shared" si="172"/>
        <v>0</v>
      </c>
      <c r="G2775" s="395"/>
      <c r="H2775" s="395"/>
      <c r="J2775" s="42"/>
    </row>
    <row r="2776" spans="1:10" s="393" customFormat="1" x14ac:dyDescent="0.25">
      <c r="A2776" s="19" t="s">
        <v>19</v>
      </c>
      <c r="B2776" s="2">
        <v>44008</v>
      </c>
      <c r="C2776" s="1">
        <v>31</v>
      </c>
      <c r="D2776" s="39">
        <v>406</v>
      </c>
      <c r="E2776" s="1"/>
      <c r="F2776" s="39">
        <f t="shared" si="172"/>
        <v>0</v>
      </c>
      <c r="G2776" s="395"/>
      <c r="H2776" s="395"/>
      <c r="J2776" s="42"/>
    </row>
    <row r="2777" spans="1:10" s="393" customFormat="1" x14ac:dyDescent="0.25">
      <c r="A2777" s="19" t="s">
        <v>18</v>
      </c>
      <c r="B2777" s="2">
        <v>44008</v>
      </c>
      <c r="C2777" s="1">
        <v>13</v>
      </c>
      <c r="D2777" s="39">
        <v>805</v>
      </c>
      <c r="E2777" s="1"/>
      <c r="F2777" s="39">
        <f t="shared" si="172"/>
        <v>2</v>
      </c>
      <c r="G2777" s="395"/>
      <c r="H2777" s="395"/>
      <c r="J2777" s="42"/>
    </row>
    <row r="2778" spans="1:10" s="393" customFormat="1" x14ac:dyDescent="0.25">
      <c r="A2778" s="19" t="s">
        <v>34</v>
      </c>
      <c r="B2778" s="2">
        <v>44008</v>
      </c>
      <c r="C2778" s="1">
        <v>0</v>
      </c>
      <c r="D2778" s="39">
        <v>25</v>
      </c>
      <c r="E2778" s="1"/>
      <c r="F2778" s="39">
        <f t="shared" si="172"/>
        <v>1</v>
      </c>
      <c r="G2778" s="395"/>
      <c r="H2778" s="395"/>
      <c r="J2778" s="42"/>
    </row>
    <row r="2779" spans="1:10" s="393" customFormat="1" x14ac:dyDescent="0.25">
      <c r="A2779" s="19" t="s">
        <v>35</v>
      </c>
      <c r="B2779" s="2">
        <v>44008</v>
      </c>
      <c r="C2779" s="1">
        <v>0</v>
      </c>
      <c r="D2779" s="39">
        <v>8</v>
      </c>
      <c r="E2779" s="1"/>
      <c r="F2779" s="39">
        <f>E2779+F2755</f>
        <v>0</v>
      </c>
      <c r="G2779" s="395"/>
      <c r="H2779" s="395"/>
      <c r="J2779" s="42"/>
    </row>
    <row r="2780" spans="1:10" s="393" customFormat="1" x14ac:dyDescent="0.25">
      <c r="A2780" s="19" t="s">
        <v>36</v>
      </c>
      <c r="B2780" s="2">
        <v>44008</v>
      </c>
      <c r="C2780" s="1">
        <v>0</v>
      </c>
      <c r="D2780" s="39">
        <v>11</v>
      </c>
      <c r="E2780" s="1"/>
      <c r="F2780" s="39">
        <f t="shared" si="172"/>
        <v>0</v>
      </c>
      <c r="G2780" s="395"/>
      <c r="H2780" s="395"/>
      <c r="J2780" s="42"/>
    </row>
    <row r="2781" spans="1:10" s="393" customFormat="1" x14ac:dyDescent="0.25">
      <c r="A2781" s="19" t="s">
        <v>37</v>
      </c>
      <c r="B2781" s="2">
        <v>44008</v>
      </c>
      <c r="C2781" s="1">
        <v>0</v>
      </c>
      <c r="D2781" s="39">
        <v>50</v>
      </c>
      <c r="E2781" s="1"/>
      <c r="F2781" s="39">
        <f t="shared" si="172"/>
        <v>0</v>
      </c>
      <c r="G2781" s="395"/>
      <c r="H2781" s="395"/>
      <c r="J2781" s="42"/>
    </row>
    <row r="2782" spans="1:10" s="393" customFormat="1" x14ac:dyDescent="0.25">
      <c r="A2782" s="19" t="s">
        <v>22</v>
      </c>
      <c r="B2782" s="2">
        <v>44008</v>
      </c>
      <c r="C2782" s="1">
        <v>12</v>
      </c>
      <c r="D2782" s="39">
        <v>406</v>
      </c>
      <c r="E2782" s="1"/>
      <c r="F2782" s="39">
        <f>E2782+F2758</f>
        <v>4</v>
      </c>
      <c r="G2782" s="395"/>
      <c r="H2782" s="395"/>
      <c r="J2782" s="42"/>
    </row>
    <row r="2783" spans="1:10" s="393" customFormat="1" x14ac:dyDescent="0.25">
      <c r="A2783" s="19" t="s">
        <v>38</v>
      </c>
      <c r="B2783" s="2">
        <v>44008</v>
      </c>
      <c r="C2783" s="1">
        <v>0</v>
      </c>
      <c r="D2783" s="39">
        <v>22</v>
      </c>
      <c r="E2783" s="1"/>
      <c r="F2783" s="39">
        <f>E2783+F2759</f>
        <v>0</v>
      </c>
      <c r="G2783" s="395"/>
      <c r="H2783" s="395"/>
      <c r="J2783" s="42"/>
    </row>
    <row r="2784" spans="1:10" s="393" customFormat="1" x14ac:dyDescent="0.25">
      <c r="A2784" s="19" t="s">
        <v>39</v>
      </c>
      <c r="B2784" s="2">
        <v>44008</v>
      </c>
      <c r="C2784" s="1">
        <v>0</v>
      </c>
      <c r="D2784" s="39">
        <v>149</v>
      </c>
      <c r="E2784" s="1"/>
      <c r="F2784" s="39">
        <f>E2784+F2760</f>
        <v>1</v>
      </c>
      <c r="G2784" s="395"/>
      <c r="H2784" s="395"/>
      <c r="J2784" s="42"/>
    </row>
    <row r="2785" spans="1:10" s="393" customFormat="1" x14ac:dyDescent="0.25">
      <c r="A2785" s="19" t="s">
        <v>40</v>
      </c>
      <c r="B2785" s="2">
        <v>44008</v>
      </c>
      <c r="C2785" s="1">
        <v>1</v>
      </c>
      <c r="D2785" s="39">
        <v>72</v>
      </c>
      <c r="E2785" s="1"/>
      <c r="F2785" s="39">
        <f>E2785+F2761</f>
        <v>4</v>
      </c>
      <c r="G2785" s="395"/>
      <c r="H2785" s="395"/>
      <c r="J2785" s="42"/>
    </row>
    <row r="2786" spans="1:10" s="393" customFormat="1" x14ac:dyDescent="0.25">
      <c r="A2786" s="394" t="s">
        <v>16</v>
      </c>
      <c r="B2786" s="2">
        <v>44009</v>
      </c>
      <c r="C2786" s="1">
        <v>1423</v>
      </c>
      <c r="D2786" s="39">
        <v>27758</v>
      </c>
      <c r="E2786" s="1">
        <v>13</v>
      </c>
      <c r="F2786" s="39">
        <f>E2786+F2762</f>
        <v>534</v>
      </c>
      <c r="G2786" s="395"/>
      <c r="H2786" s="395"/>
      <c r="J2786" s="42"/>
    </row>
    <row r="2787" spans="1:10" s="393" customFormat="1" x14ac:dyDescent="0.25">
      <c r="A2787" s="19" t="s">
        <v>28</v>
      </c>
      <c r="B2787" s="2">
        <v>44009</v>
      </c>
      <c r="C2787" s="1">
        <v>0</v>
      </c>
      <c r="D2787" s="39">
        <v>0</v>
      </c>
      <c r="E2787" s="1"/>
      <c r="F2787" s="39">
        <f t="shared" ref="F2787:F2793" si="173">E2787+F2763</f>
        <v>0</v>
      </c>
      <c r="G2787" s="395"/>
      <c r="H2787" s="395"/>
      <c r="J2787" s="42"/>
    </row>
    <row r="2788" spans="1:10" s="393" customFormat="1" x14ac:dyDescent="0.25">
      <c r="A2788" s="19" t="s">
        <v>15</v>
      </c>
      <c r="B2788" s="2">
        <v>44009</v>
      </c>
      <c r="C2788" s="1">
        <v>52</v>
      </c>
      <c r="D2788" s="39">
        <v>1883</v>
      </c>
      <c r="E2788" s="1"/>
      <c r="F2788" s="39">
        <f t="shared" si="173"/>
        <v>91</v>
      </c>
      <c r="G2788" s="395"/>
      <c r="H2788" s="395"/>
      <c r="J2788" s="42"/>
    </row>
    <row r="2789" spans="1:10" s="393" customFormat="1" x14ac:dyDescent="0.25">
      <c r="A2789" s="19" t="s">
        <v>29</v>
      </c>
      <c r="B2789" s="2">
        <v>44009</v>
      </c>
      <c r="C2789" s="1">
        <v>0</v>
      </c>
      <c r="D2789" s="39">
        <v>114</v>
      </c>
      <c r="E2789" s="1"/>
      <c r="F2789" s="39">
        <f t="shared" si="173"/>
        <v>2</v>
      </c>
      <c r="G2789" s="395"/>
      <c r="H2789" s="395"/>
      <c r="J2789" s="42"/>
    </row>
    <row r="2790" spans="1:10" s="393" customFormat="1" x14ac:dyDescent="0.25">
      <c r="A2790" s="19" t="s">
        <v>43</v>
      </c>
      <c r="B2790" s="2">
        <v>44009</v>
      </c>
      <c r="C2790" s="1">
        <v>849</v>
      </c>
      <c r="D2790" s="39">
        <v>24555</v>
      </c>
      <c r="E2790" s="1">
        <v>10</v>
      </c>
      <c r="F2790" s="39">
        <f t="shared" si="173"/>
        <v>458</v>
      </c>
      <c r="G2790" s="395"/>
      <c r="H2790" s="395"/>
      <c r="J2790" s="42"/>
    </row>
    <row r="2791" spans="1:10" s="393" customFormat="1" x14ac:dyDescent="0.25">
      <c r="A2791" s="19" t="s">
        <v>20</v>
      </c>
      <c r="B2791" s="2">
        <v>44009</v>
      </c>
      <c r="C2791" s="1">
        <v>15</v>
      </c>
      <c r="D2791" s="39">
        <v>633</v>
      </c>
      <c r="E2791" s="1"/>
      <c r="F2791" s="39">
        <f t="shared" si="173"/>
        <v>33</v>
      </c>
      <c r="G2791" s="395"/>
      <c r="H2791" s="395"/>
      <c r="J2791" s="42"/>
    </row>
    <row r="2792" spans="1:10" s="393" customFormat="1" x14ac:dyDescent="0.25">
      <c r="A2792" s="19" t="s">
        <v>30</v>
      </c>
      <c r="B2792" s="2">
        <v>44009</v>
      </c>
      <c r="C2792" s="1">
        <v>1</v>
      </c>
      <c r="D2792" s="39">
        <v>116</v>
      </c>
      <c r="E2792" s="1"/>
      <c r="F2792" s="39">
        <f t="shared" si="173"/>
        <v>0</v>
      </c>
      <c r="G2792" s="395"/>
      <c r="H2792" s="395"/>
      <c r="J2792" s="42"/>
    </row>
    <row r="2793" spans="1:10" x14ac:dyDescent="0.25">
      <c r="A2793" s="19" t="s">
        <v>31</v>
      </c>
      <c r="B2793" s="2">
        <v>44009</v>
      </c>
      <c r="C2793" s="1">
        <v>12</v>
      </c>
      <c r="D2793" s="39">
        <v>249</v>
      </c>
      <c r="F2793" s="39">
        <f t="shared" si="173"/>
        <v>0</v>
      </c>
    </row>
    <row r="2794" spans="1:10" s="393" customFormat="1" x14ac:dyDescent="0.25">
      <c r="A2794" s="19" t="s">
        <v>41</v>
      </c>
      <c r="B2794" s="2">
        <v>44009</v>
      </c>
      <c r="C2794" s="1">
        <v>1</v>
      </c>
      <c r="D2794" s="39">
        <v>71</v>
      </c>
      <c r="E2794" s="1"/>
      <c r="F2794" s="39">
        <f t="shared" ref="F2794:F2805" si="174">E2794+F2769</f>
        <v>0</v>
      </c>
      <c r="G2794" s="395"/>
      <c r="H2794" s="395"/>
      <c r="J2794" s="42"/>
    </row>
    <row r="2795" spans="1:10" s="393" customFormat="1" x14ac:dyDescent="0.25">
      <c r="A2795" s="19" t="s">
        <v>32</v>
      </c>
      <c r="B2795" s="2">
        <v>44009</v>
      </c>
      <c r="C2795" s="1">
        <v>3</v>
      </c>
      <c r="D2795" s="39">
        <v>74</v>
      </c>
      <c r="E2795" s="1"/>
      <c r="F2795" s="39">
        <f t="shared" si="174"/>
        <v>0</v>
      </c>
      <c r="G2795" s="395"/>
      <c r="H2795" s="395"/>
      <c r="J2795" s="42"/>
    </row>
    <row r="2796" spans="1:10" s="393" customFormat="1" x14ac:dyDescent="0.25">
      <c r="A2796" s="19" t="s">
        <v>33</v>
      </c>
      <c r="B2796" s="2">
        <v>44009</v>
      </c>
      <c r="C2796" s="1">
        <v>0</v>
      </c>
      <c r="D2796" s="39">
        <v>7</v>
      </c>
      <c r="E2796" s="1"/>
      <c r="F2796" s="39">
        <f t="shared" si="174"/>
        <v>0</v>
      </c>
      <c r="G2796" s="395"/>
      <c r="H2796" s="395"/>
      <c r="J2796" s="42"/>
    </row>
    <row r="2797" spans="1:10" s="393" customFormat="1" x14ac:dyDescent="0.25">
      <c r="A2797" s="19" t="s">
        <v>21</v>
      </c>
      <c r="B2797" s="2">
        <v>44009</v>
      </c>
      <c r="C2797" s="1">
        <v>1</v>
      </c>
      <c r="D2797" s="39">
        <v>76</v>
      </c>
      <c r="E2797" s="1"/>
      <c r="F2797" s="39">
        <f t="shared" si="174"/>
        <v>0</v>
      </c>
      <c r="G2797" s="395"/>
      <c r="H2797" s="395"/>
      <c r="J2797" s="42"/>
    </row>
    <row r="2798" spans="1:10" s="393" customFormat="1" x14ac:dyDescent="0.25">
      <c r="A2798" s="19" t="s">
        <v>17</v>
      </c>
      <c r="B2798" s="2">
        <v>44009</v>
      </c>
      <c r="C2798" s="1">
        <v>6</v>
      </c>
      <c r="D2798" s="39">
        <v>157</v>
      </c>
      <c r="E2798" s="1"/>
      <c r="F2798" s="39">
        <f t="shared" si="174"/>
        <v>0</v>
      </c>
      <c r="G2798" s="395"/>
      <c r="H2798" s="395"/>
      <c r="J2798" s="42"/>
    </row>
    <row r="2799" spans="1:10" s="393" customFormat="1" x14ac:dyDescent="0.25">
      <c r="A2799" s="19" t="s">
        <v>23</v>
      </c>
      <c r="B2799" s="2">
        <v>44009</v>
      </c>
      <c r="C2799" s="1">
        <v>0</v>
      </c>
      <c r="D2799" s="39">
        <v>46</v>
      </c>
      <c r="E2799" s="1"/>
      <c r="F2799" s="39">
        <f t="shared" si="174"/>
        <v>0</v>
      </c>
      <c r="G2799" s="395"/>
      <c r="H2799" s="395"/>
      <c r="J2799" s="42"/>
    </row>
    <row r="2800" spans="1:10" s="393" customFormat="1" x14ac:dyDescent="0.25">
      <c r="A2800" s="19" t="s">
        <v>19</v>
      </c>
      <c r="B2800" s="2">
        <v>44009</v>
      </c>
      <c r="C2800" s="1">
        <v>16</v>
      </c>
      <c r="D2800" s="39">
        <v>422</v>
      </c>
      <c r="E2800" s="1"/>
      <c r="F2800" s="39">
        <f t="shared" si="174"/>
        <v>0</v>
      </c>
      <c r="G2800" s="395"/>
      <c r="H2800" s="395"/>
      <c r="J2800" s="42"/>
    </row>
    <row r="2801" spans="1:10" s="393" customFormat="1" x14ac:dyDescent="0.25">
      <c r="A2801" s="19" t="s">
        <v>18</v>
      </c>
      <c r="B2801" s="2">
        <v>44009</v>
      </c>
      <c r="C2801" s="1">
        <v>14</v>
      </c>
      <c r="D2801" s="39">
        <v>819</v>
      </c>
      <c r="E2801" s="1"/>
      <c r="F2801" s="39">
        <f t="shared" si="174"/>
        <v>0</v>
      </c>
      <c r="G2801" s="395"/>
      <c r="H2801" s="395"/>
      <c r="J2801" s="42"/>
    </row>
    <row r="2802" spans="1:10" s="393" customFormat="1" x14ac:dyDescent="0.25">
      <c r="A2802" s="19" t="s">
        <v>34</v>
      </c>
      <c r="B2802" s="2">
        <v>44009</v>
      </c>
      <c r="C2802" s="1">
        <v>2</v>
      </c>
      <c r="D2802" s="39">
        <v>27</v>
      </c>
      <c r="E2802" s="1"/>
      <c r="F2802" s="39">
        <f t="shared" si="174"/>
        <v>2</v>
      </c>
      <c r="G2802" s="395"/>
      <c r="H2802" s="395"/>
      <c r="J2802" s="42"/>
    </row>
    <row r="2803" spans="1:10" s="393" customFormat="1" x14ac:dyDescent="0.25">
      <c r="A2803" s="19" t="s">
        <v>35</v>
      </c>
      <c r="B2803" s="2">
        <v>44009</v>
      </c>
      <c r="C2803" s="1">
        <v>0</v>
      </c>
      <c r="D2803" s="39">
        <v>8</v>
      </c>
      <c r="E2803" s="1"/>
      <c r="F2803" s="39">
        <f>E2803+F2779</f>
        <v>0</v>
      </c>
      <c r="G2803" s="395"/>
      <c r="H2803" s="395"/>
      <c r="J2803" s="42"/>
    </row>
    <row r="2804" spans="1:10" s="393" customFormat="1" x14ac:dyDescent="0.25">
      <c r="A2804" s="19" t="s">
        <v>36</v>
      </c>
      <c r="B2804" s="2">
        <v>44009</v>
      </c>
      <c r="C2804" s="1">
        <v>0</v>
      </c>
      <c r="D2804" s="39">
        <v>11</v>
      </c>
      <c r="E2804" s="1"/>
      <c r="F2804" s="39">
        <f t="shared" si="174"/>
        <v>0</v>
      </c>
      <c r="G2804" s="395"/>
      <c r="H2804" s="395"/>
      <c r="J2804" s="42"/>
    </row>
    <row r="2805" spans="1:10" s="393" customFormat="1" x14ac:dyDescent="0.25">
      <c r="A2805" s="19" t="s">
        <v>37</v>
      </c>
      <c r="B2805" s="2">
        <v>44009</v>
      </c>
      <c r="C2805" s="1">
        <v>0</v>
      </c>
      <c r="D2805" s="39">
        <v>50</v>
      </c>
      <c r="E2805" s="1"/>
      <c r="F2805" s="39">
        <f t="shared" si="174"/>
        <v>0</v>
      </c>
      <c r="G2805" s="395"/>
      <c r="H2805" s="395"/>
      <c r="J2805" s="42"/>
    </row>
    <row r="2806" spans="1:10" s="393" customFormat="1" x14ac:dyDescent="0.25">
      <c r="A2806" s="19" t="s">
        <v>22</v>
      </c>
      <c r="B2806" s="2">
        <v>44009</v>
      </c>
      <c r="C2806" s="1">
        <v>5</v>
      </c>
      <c r="D2806" s="39">
        <v>411</v>
      </c>
      <c r="E2806" s="1"/>
      <c r="F2806" s="39">
        <f>E2806+F2782</f>
        <v>4</v>
      </c>
      <c r="G2806" s="395"/>
      <c r="H2806" s="395"/>
      <c r="J2806" s="42"/>
    </row>
    <row r="2807" spans="1:10" s="393" customFormat="1" x14ac:dyDescent="0.25">
      <c r="A2807" s="19" t="s">
        <v>38</v>
      </c>
      <c r="B2807" s="2">
        <v>44009</v>
      </c>
      <c r="C2807" s="1">
        <v>0</v>
      </c>
      <c r="D2807" s="39">
        <v>22</v>
      </c>
      <c r="E2807" s="1"/>
      <c r="F2807" s="39">
        <f>E2807+F2783</f>
        <v>0</v>
      </c>
      <c r="G2807" s="395"/>
      <c r="H2807" s="395"/>
      <c r="J2807" s="42"/>
    </row>
    <row r="2808" spans="1:10" s="393" customFormat="1" x14ac:dyDescent="0.25">
      <c r="A2808" s="19" t="s">
        <v>39</v>
      </c>
      <c r="B2808" s="2">
        <v>44009</v>
      </c>
      <c r="C2808" s="1">
        <v>0</v>
      </c>
      <c r="D2808" s="39">
        <v>149</v>
      </c>
      <c r="E2808" s="1"/>
      <c r="F2808" s="39">
        <f>E2808+F2784</f>
        <v>1</v>
      </c>
      <c r="G2808" s="395"/>
      <c r="H2808" s="395"/>
      <c r="J2808" s="42"/>
    </row>
    <row r="2809" spans="1:10" s="393" customFormat="1" x14ac:dyDescent="0.25">
      <c r="A2809" s="19" t="s">
        <v>40</v>
      </c>
      <c r="B2809" s="2">
        <v>44009</v>
      </c>
      <c r="C2809" s="1">
        <v>1</v>
      </c>
      <c r="D2809" s="39">
        <v>73</v>
      </c>
      <c r="E2809" s="1"/>
      <c r="F2809" s="39">
        <f>E2809+F2785</f>
        <v>4</v>
      </c>
      <c r="G2809" s="395"/>
      <c r="H2809" s="395"/>
      <c r="J2809" s="42"/>
    </row>
    <row r="2810" spans="1:10" s="393" customFormat="1" x14ac:dyDescent="0.25">
      <c r="A2810" s="394" t="s">
        <v>16</v>
      </c>
      <c r="B2810" s="2">
        <v>44010</v>
      </c>
      <c r="C2810" s="1">
        <v>1225</v>
      </c>
      <c r="D2810" s="39">
        <v>28983</v>
      </c>
      <c r="E2810" s="1">
        <v>11</v>
      </c>
      <c r="F2810" s="39">
        <f>E2810+F2786</f>
        <v>545</v>
      </c>
      <c r="G2810" s="395"/>
      <c r="H2810" s="395"/>
      <c r="J2810" s="42"/>
    </row>
    <row r="2811" spans="1:10" s="393" customFormat="1" x14ac:dyDescent="0.25">
      <c r="A2811" s="19" t="s">
        <v>28</v>
      </c>
      <c r="B2811" s="2">
        <v>44010</v>
      </c>
      <c r="C2811" s="1">
        <v>0</v>
      </c>
      <c r="D2811" s="39">
        <v>0</v>
      </c>
      <c r="E2811" s="1"/>
      <c r="F2811" s="39">
        <f t="shared" ref="F2811:F2817" si="175">E2811+F2787</f>
        <v>0</v>
      </c>
      <c r="G2811" s="395"/>
      <c r="H2811" s="395"/>
      <c r="J2811" s="42"/>
    </row>
    <row r="2812" spans="1:10" s="393" customFormat="1" x14ac:dyDescent="0.25">
      <c r="A2812" s="19" t="s">
        <v>15</v>
      </c>
      <c r="B2812" s="2">
        <v>44010</v>
      </c>
      <c r="C2812" s="1">
        <v>47</v>
      </c>
      <c r="D2812" s="39">
        <v>1930</v>
      </c>
      <c r="E2812" s="1"/>
      <c r="F2812" s="39">
        <f t="shared" si="175"/>
        <v>91</v>
      </c>
      <c r="G2812" s="395"/>
      <c r="H2812" s="395"/>
      <c r="J2812" s="42"/>
    </row>
    <row r="2813" spans="1:10" s="393" customFormat="1" x14ac:dyDescent="0.25">
      <c r="A2813" s="19" t="s">
        <v>29</v>
      </c>
      <c r="B2813" s="2">
        <v>44010</v>
      </c>
      <c r="C2813" s="1">
        <v>5</v>
      </c>
      <c r="D2813" s="39">
        <v>119</v>
      </c>
      <c r="E2813" s="1"/>
      <c r="F2813" s="39">
        <f t="shared" si="175"/>
        <v>2</v>
      </c>
      <c r="G2813" s="395"/>
      <c r="H2813" s="395"/>
      <c r="J2813" s="42"/>
    </row>
    <row r="2814" spans="1:10" s="393" customFormat="1" x14ac:dyDescent="0.25">
      <c r="A2814" s="19" t="s">
        <v>43</v>
      </c>
      <c r="B2814" s="2">
        <v>44010</v>
      </c>
      <c r="C2814" s="1">
        <v>852</v>
      </c>
      <c r="D2814" s="39">
        <v>25407</v>
      </c>
      <c r="E2814" s="1">
        <v>12</v>
      </c>
      <c r="F2814" s="39">
        <f>E2814+F2790</f>
        <v>470</v>
      </c>
      <c r="G2814" s="395"/>
      <c r="H2814" s="395"/>
      <c r="J2814" s="42"/>
    </row>
    <row r="2815" spans="1:10" s="393" customFormat="1" x14ac:dyDescent="0.25">
      <c r="A2815" s="19" t="s">
        <v>20</v>
      </c>
      <c r="B2815" s="2">
        <v>44010</v>
      </c>
      <c r="C2815" s="1">
        <v>5</v>
      </c>
      <c r="D2815" s="39">
        <v>638</v>
      </c>
      <c r="E2815" s="1"/>
      <c r="F2815" s="39">
        <f t="shared" si="175"/>
        <v>33</v>
      </c>
      <c r="G2815" s="395"/>
      <c r="H2815" s="395"/>
      <c r="J2815" s="42"/>
    </row>
    <row r="2816" spans="1:10" s="393" customFormat="1" x14ac:dyDescent="0.25">
      <c r="A2816" s="19" t="s">
        <v>30</v>
      </c>
      <c r="B2816" s="2">
        <v>44010</v>
      </c>
      <c r="C2816" s="1">
        <v>0</v>
      </c>
      <c r="D2816" s="39">
        <v>116</v>
      </c>
      <c r="E2816" s="1"/>
      <c r="F2816" s="39">
        <f t="shared" si="175"/>
        <v>0</v>
      </c>
      <c r="G2816" s="395"/>
      <c r="H2816" s="395"/>
      <c r="J2816" s="42"/>
    </row>
    <row r="2817" spans="1:10" x14ac:dyDescent="0.25">
      <c r="A2817" s="19" t="s">
        <v>31</v>
      </c>
      <c r="B2817" s="2">
        <v>44010</v>
      </c>
      <c r="C2817" s="1">
        <v>24</v>
      </c>
      <c r="D2817" s="39">
        <v>273</v>
      </c>
      <c r="F2817" s="39">
        <f t="shared" si="175"/>
        <v>0</v>
      </c>
    </row>
    <row r="2818" spans="1:10" s="393" customFormat="1" x14ac:dyDescent="0.25">
      <c r="A2818" s="19" t="s">
        <v>41</v>
      </c>
      <c r="B2818" s="2">
        <v>44010</v>
      </c>
      <c r="C2818" s="1">
        <v>0</v>
      </c>
      <c r="D2818" s="39">
        <v>71</v>
      </c>
      <c r="E2818" s="1"/>
      <c r="F2818" s="39">
        <f t="shared" ref="F2818:F2829" si="176">E2818+F2793</f>
        <v>0</v>
      </c>
      <c r="G2818" s="395"/>
      <c r="H2818" s="395"/>
      <c r="J2818" s="42"/>
    </row>
    <row r="2819" spans="1:10" s="393" customFormat="1" x14ac:dyDescent="0.25">
      <c r="A2819" s="19" t="s">
        <v>32</v>
      </c>
      <c r="B2819" s="2">
        <v>44010</v>
      </c>
      <c r="C2819" s="1">
        <v>0</v>
      </c>
      <c r="D2819" s="39">
        <v>74</v>
      </c>
      <c r="E2819" s="1"/>
      <c r="F2819" s="39">
        <f t="shared" si="176"/>
        <v>0</v>
      </c>
      <c r="G2819" s="395"/>
      <c r="H2819" s="395"/>
      <c r="J2819" s="42"/>
    </row>
    <row r="2820" spans="1:10" s="393" customFormat="1" x14ac:dyDescent="0.25">
      <c r="A2820" s="19" t="s">
        <v>33</v>
      </c>
      <c r="B2820" s="2">
        <v>44010</v>
      </c>
      <c r="C2820" s="1">
        <v>0</v>
      </c>
      <c r="D2820" s="39">
        <v>7</v>
      </c>
      <c r="E2820" s="1"/>
      <c r="F2820" s="39">
        <f t="shared" si="176"/>
        <v>0</v>
      </c>
      <c r="G2820" s="395"/>
      <c r="H2820" s="395"/>
      <c r="J2820" s="42"/>
    </row>
    <row r="2821" spans="1:10" s="393" customFormat="1" x14ac:dyDescent="0.25">
      <c r="A2821" s="19" t="s">
        <v>21</v>
      </c>
      <c r="B2821" s="2">
        <v>44010</v>
      </c>
      <c r="C2821" s="1">
        <v>0</v>
      </c>
      <c r="D2821" s="39">
        <v>76</v>
      </c>
      <c r="E2821" s="1"/>
      <c r="F2821" s="39">
        <f t="shared" si="176"/>
        <v>0</v>
      </c>
      <c r="G2821" s="395"/>
      <c r="H2821" s="395"/>
      <c r="J2821" s="42"/>
    </row>
    <row r="2822" spans="1:10" s="393" customFormat="1" x14ac:dyDescent="0.25">
      <c r="A2822" s="19" t="s">
        <v>17</v>
      </c>
      <c r="B2822" s="2">
        <v>44010</v>
      </c>
      <c r="C2822" s="1">
        <v>6</v>
      </c>
      <c r="D2822" s="39">
        <v>163</v>
      </c>
      <c r="E2822" s="1">
        <v>1</v>
      </c>
      <c r="F2822" s="39">
        <f t="shared" si="176"/>
        <v>1</v>
      </c>
      <c r="G2822" s="395"/>
      <c r="H2822" s="395"/>
      <c r="J2822" s="42"/>
    </row>
    <row r="2823" spans="1:10" s="393" customFormat="1" x14ac:dyDescent="0.25">
      <c r="A2823" s="19" t="s">
        <v>23</v>
      </c>
      <c r="B2823" s="2">
        <v>44010</v>
      </c>
      <c r="C2823" s="1">
        <v>0</v>
      </c>
      <c r="D2823" s="39">
        <v>46</v>
      </c>
      <c r="E2823" s="1"/>
      <c r="F2823" s="39">
        <f t="shared" si="176"/>
        <v>0</v>
      </c>
      <c r="G2823" s="395"/>
      <c r="H2823" s="395"/>
      <c r="J2823" s="42"/>
    </row>
    <row r="2824" spans="1:10" s="393" customFormat="1" x14ac:dyDescent="0.25">
      <c r="A2824" s="19" t="s">
        <v>19</v>
      </c>
      <c r="B2824" s="2">
        <v>44010</v>
      </c>
      <c r="C2824" s="1">
        <v>12</v>
      </c>
      <c r="D2824" s="39">
        <v>434</v>
      </c>
      <c r="E2824" s="1">
        <v>1</v>
      </c>
      <c r="F2824" s="39">
        <f t="shared" si="176"/>
        <v>1</v>
      </c>
      <c r="G2824" s="395"/>
      <c r="H2824" s="395"/>
      <c r="J2824" s="42"/>
    </row>
    <row r="2825" spans="1:10" s="393" customFormat="1" x14ac:dyDescent="0.25">
      <c r="A2825" s="19" t="s">
        <v>18</v>
      </c>
      <c r="B2825" s="2">
        <v>44010</v>
      </c>
      <c r="C2825" s="1">
        <v>6</v>
      </c>
      <c r="D2825" s="39">
        <v>825</v>
      </c>
      <c r="E2825" s="1">
        <v>1</v>
      </c>
      <c r="F2825" s="39">
        <f t="shared" si="176"/>
        <v>1</v>
      </c>
      <c r="G2825" s="395"/>
      <c r="H2825" s="395"/>
      <c r="J2825" s="42"/>
    </row>
    <row r="2826" spans="1:10" s="393" customFormat="1" x14ac:dyDescent="0.25">
      <c r="A2826" s="19" t="s">
        <v>34</v>
      </c>
      <c r="B2826" s="2">
        <v>44010</v>
      </c>
      <c r="C2826" s="1">
        <v>0</v>
      </c>
      <c r="D2826" s="39">
        <v>27</v>
      </c>
      <c r="E2826" s="1"/>
      <c r="F2826" s="39">
        <f t="shared" si="176"/>
        <v>0</v>
      </c>
      <c r="G2826" s="395"/>
      <c r="H2826" s="395"/>
      <c r="J2826" s="42"/>
    </row>
    <row r="2827" spans="1:10" s="393" customFormat="1" x14ac:dyDescent="0.25">
      <c r="A2827" s="19" t="s">
        <v>35</v>
      </c>
      <c r="B2827" s="2">
        <v>44010</v>
      </c>
      <c r="C2827" s="1">
        <v>0</v>
      </c>
      <c r="D2827" s="39">
        <v>8</v>
      </c>
      <c r="E2827" s="1"/>
      <c r="F2827" s="39">
        <f>E2827+F2803</f>
        <v>0</v>
      </c>
      <c r="G2827" s="395"/>
      <c r="H2827" s="395"/>
      <c r="J2827" s="42"/>
    </row>
    <row r="2828" spans="1:10" s="393" customFormat="1" x14ac:dyDescent="0.25">
      <c r="A2828" s="19" t="s">
        <v>36</v>
      </c>
      <c r="B2828" s="2">
        <v>44010</v>
      </c>
      <c r="C2828" s="1">
        <v>0</v>
      </c>
      <c r="D2828" s="39">
        <v>11</v>
      </c>
      <c r="E2828" s="1"/>
      <c r="F2828" s="39">
        <f t="shared" si="176"/>
        <v>0</v>
      </c>
      <c r="G2828" s="395"/>
      <c r="H2828" s="395"/>
      <c r="J2828" s="42"/>
    </row>
    <row r="2829" spans="1:10" s="393" customFormat="1" x14ac:dyDescent="0.25">
      <c r="A2829" s="19" t="s">
        <v>37</v>
      </c>
      <c r="B2829" s="2">
        <v>44010</v>
      </c>
      <c r="C2829" s="1">
        <v>0</v>
      </c>
      <c r="D2829" s="39">
        <v>50</v>
      </c>
      <c r="E2829" s="1"/>
      <c r="F2829" s="39">
        <f t="shared" si="176"/>
        <v>0</v>
      </c>
      <c r="G2829" s="395"/>
      <c r="H2829" s="395"/>
      <c r="J2829" s="42"/>
    </row>
    <row r="2830" spans="1:10" s="393" customFormat="1" x14ac:dyDescent="0.25">
      <c r="A2830" s="19" t="s">
        <v>22</v>
      </c>
      <c r="B2830" s="2">
        <v>44010</v>
      </c>
      <c r="C2830" s="1">
        <v>6</v>
      </c>
      <c r="D2830" s="39">
        <v>417</v>
      </c>
      <c r="E2830" s="1"/>
      <c r="F2830" s="39">
        <f>E2830+F2806</f>
        <v>4</v>
      </c>
      <c r="G2830" s="395"/>
      <c r="H2830" s="395"/>
      <c r="J2830" s="42"/>
    </row>
    <row r="2831" spans="1:10" s="393" customFormat="1" x14ac:dyDescent="0.25">
      <c r="A2831" s="19" t="s">
        <v>38</v>
      </c>
      <c r="B2831" s="2">
        <v>44010</v>
      </c>
      <c r="C2831" s="1">
        <v>1</v>
      </c>
      <c r="D2831" s="39">
        <v>23</v>
      </c>
      <c r="E2831" s="1"/>
      <c r="F2831" s="39">
        <f>E2831+F2807</f>
        <v>0</v>
      </c>
      <c r="G2831" s="395"/>
      <c r="H2831" s="395"/>
      <c r="J2831" s="42"/>
    </row>
    <row r="2832" spans="1:10" s="393" customFormat="1" x14ac:dyDescent="0.25">
      <c r="A2832" s="19" t="s">
        <v>39</v>
      </c>
      <c r="B2832" s="2">
        <v>44010</v>
      </c>
      <c r="C2832" s="1">
        <v>0</v>
      </c>
      <c r="D2832" s="39">
        <v>149</v>
      </c>
      <c r="E2832" s="1"/>
      <c r="F2832" s="39">
        <f>E2832+F2808</f>
        <v>1</v>
      </c>
      <c r="G2832" s="395"/>
      <c r="H2832" s="395"/>
      <c r="J2832" s="42"/>
    </row>
    <row r="2833" spans="1:10" s="393" customFormat="1" x14ac:dyDescent="0.25">
      <c r="A2833" s="19" t="s">
        <v>40</v>
      </c>
      <c r="B2833" s="2">
        <v>44010</v>
      </c>
      <c r="C2833" s="1">
        <v>0</v>
      </c>
      <c r="D2833" s="39">
        <v>73</v>
      </c>
      <c r="E2833" s="1"/>
      <c r="F2833" s="39">
        <f>E2833+F2809</f>
        <v>4</v>
      </c>
      <c r="G2833" s="395"/>
      <c r="H2833" s="395"/>
      <c r="J2833" s="42"/>
    </row>
    <row r="2834" spans="1:10" s="393" customFormat="1" x14ac:dyDescent="0.25">
      <c r="A2834" s="394" t="s">
        <v>16</v>
      </c>
      <c r="B2834" s="2">
        <v>44011</v>
      </c>
      <c r="C2834" s="1">
        <v>1280</v>
      </c>
      <c r="D2834" s="39">
        <v>30263</v>
      </c>
      <c r="E2834" s="1">
        <v>21</v>
      </c>
      <c r="F2834" s="39">
        <f>E2834+F2810</f>
        <v>566</v>
      </c>
      <c r="G2834" s="395"/>
      <c r="H2834" s="395"/>
      <c r="J2834" s="42"/>
    </row>
    <row r="2835" spans="1:10" s="393" customFormat="1" x14ac:dyDescent="0.25">
      <c r="A2835" s="19" t="s">
        <v>28</v>
      </c>
      <c r="B2835" s="2">
        <v>44011</v>
      </c>
      <c r="C2835" s="1">
        <v>0</v>
      </c>
      <c r="D2835" s="39">
        <v>0</v>
      </c>
      <c r="E2835" s="1"/>
      <c r="F2835" s="39">
        <f t="shared" ref="F2835:F2841" si="177">E2835+F2811</f>
        <v>0</v>
      </c>
      <c r="G2835" s="395"/>
      <c r="H2835" s="395"/>
      <c r="J2835" s="42"/>
    </row>
    <row r="2836" spans="1:10" s="393" customFormat="1" x14ac:dyDescent="0.25">
      <c r="A2836" s="19" t="s">
        <v>15</v>
      </c>
      <c r="B2836" s="2">
        <v>44011</v>
      </c>
      <c r="C2836" s="1">
        <v>31</v>
      </c>
      <c r="D2836" s="39">
        <v>1961</v>
      </c>
      <c r="E2836" s="1">
        <v>2</v>
      </c>
      <c r="F2836" s="39">
        <f t="shared" si="177"/>
        <v>93</v>
      </c>
      <c r="G2836" s="395"/>
      <c r="H2836" s="395"/>
      <c r="J2836" s="42"/>
    </row>
    <row r="2837" spans="1:10" s="393" customFormat="1" x14ac:dyDescent="0.25">
      <c r="A2837" s="19" t="s">
        <v>29</v>
      </c>
      <c r="B2837" s="2">
        <v>44011</v>
      </c>
      <c r="C2837" s="1">
        <v>1</v>
      </c>
      <c r="D2837" s="39">
        <v>120</v>
      </c>
      <c r="E2837" s="1"/>
      <c r="F2837" s="39">
        <f t="shared" si="177"/>
        <v>2</v>
      </c>
      <c r="G2837" s="395"/>
      <c r="H2837" s="395"/>
      <c r="J2837" s="42"/>
    </row>
    <row r="2838" spans="1:10" s="393" customFormat="1" x14ac:dyDescent="0.25">
      <c r="A2838" s="19" t="s">
        <v>43</v>
      </c>
      <c r="B2838" s="2">
        <v>44011</v>
      </c>
      <c r="C2838" s="1">
        <v>944</v>
      </c>
      <c r="D2838" s="39">
        <v>26351</v>
      </c>
      <c r="E2838" s="1">
        <v>23</v>
      </c>
      <c r="F2838" s="39">
        <f t="shared" si="177"/>
        <v>493</v>
      </c>
      <c r="G2838" s="395"/>
      <c r="H2838" s="395"/>
      <c r="J2838" s="42"/>
    </row>
    <row r="2839" spans="1:10" s="393" customFormat="1" x14ac:dyDescent="0.25">
      <c r="A2839" s="19" t="s">
        <v>20</v>
      </c>
      <c r="B2839" s="2">
        <v>44011</v>
      </c>
      <c r="C2839" s="1">
        <v>2</v>
      </c>
      <c r="D2839" s="39">
        <v>640</v>
      </c>
      <c r="E2839" s="1">
        <v>1</v>
      </c>
      <c r="F2839" s="39">
        <f t="shared" si="177"/>
        <v>34</v>
      </c>
      <c r="G2839" s="395"/>
      <c r="H2839" s="395"/>
      <c r="J2839" s="42"/>
    </row>
    <row r="2840" spans="1:10" s="393" customFormat="1" x14ac:dyDescent="0.25">
      <c r="A2840" s="19" t="s">
        <v>30</v>
      </c>
      <c r="B2840" s="2">
        <v>44011</v>
      </c>
      <c r="C2840" s="1">
        <v>2</v>
      </c>
      <c r="D2840" s="39">
        <v>118</v>
      </c>
      <c r="E2840" s="1"/>
      <c r="F2840" s="39">
        <f t="shared" si="177"/>
        <v>0</v>
      </c>
      <c r="G2840" s="395"/>
      <c r="H2840" s="395"/>
      <c r="J2840" s="42"/>
    </row>
    <row r="2841" spans="1:10" x14ac:dyDescent="0.25">
      <c r="A2841" s="19" t="s">
        <v>31</v>
      </c>
      <c r="B2841" s="2">
        <v>44011</v>
      </c>
      <c r="C2841" s="1">
        <v>5</v>
      </c>
      <c r="D2841" s="39">
        <v>278</v>
      </c>
      <c r="F2841" s="39">
        <f t="shared" si="177"/>
        <v>0</v>
      </c>
    </row>
    <row r="2842" spans="1:10" s="393" customFormat="1" x14ac:dyDescent="0.25">
      <c r="A2842" s="19" t="s">
        <v>41</v>
      </c>
      <c r="B2842" s="2">
        <v>44011</v>
      </c>
      <c r="C2842" s="1">
        <v>0</v>
      </c>
      <c r="D2842" s="39">
        <v>71</v>
      </c>
      <c r="E2842" s="1"/>
      <c r="F2842" s="39">
        <f t="shared" ref="F2842:F2853" si="178">E2842+F2817</f>
        <v>0</v>
      </c>
      <c r="G2842" s="395"/>
      <c r="H2842" s="395"/>
      <c r="J2842" s="42"/>
    </row>
    <row r="2843" spans="1:10" s="393" customFormat="1" x14ac:dyDescent="0.25">
      <c r="A2843" s="19" t="s">
        <v>32</v>
      </c>
      <c r="B2843" s="2">
        <v>44011</v>
      </c>
      <c r="C2843" s="1">
        <v>16</v>
      </c>
      <c r="D2843" s="39">
        <v>90</v>
      </c>
      <c r="E2843" s="1"/>
      <c r="F2843" s="39">
        <f t="shared" si="178"/>
        <v>0</v>
      </c>
      <c r="G2843" s="395"/>
      <c r="H2843" s="395"/>
      <c r="J2843" s="42"/>
    </row>
    <row r="2844" spans="1:10" s="393" customFormat="1" x14ac:dyDescent="0.25">
      <c r="A2844" s="19" t="s">
        <v>33</v>
      </c>
      <c r="B2844" s="2">
        <v>44011</v>
      </c>
      <c r="C2844" s="1">
        <v>0</v>
      </c>
      <c r="D2844" s="39">
        <v>7</v>
      </c>
      <c r="E2844" s="1"/>
      <c r="F2844" s="39">
        <f t="shared" si="178"/>
        <v>0</v>
      </c>
      <c r="G2844" s="395"/>
      <c r="H2844" s="395"/>
      <c r="J2844" s="42"/>
    </row>
    <row r="2845" spans="1:10" s="393" customFormat="1" x14ac:dyDescent="0.25">
      <c r="A2845" s="19" t="s">
        <v>21</v>
      </c>
      <c r="B2845" s="2">
        <v>44011</v>
      </c>
      <c r="C2845" s="1">
        <v>4</v>
      </c>
      <c r="D2845" s="39">
        <v>80</v>
      </c>
      <c r="E2845" s="1"/>
      <c r="F2845" s="39">
        <f t="shared" si="178"/>
        <v>0</v>
      </c>
      <c r="G2845" s="395"/>
      <c r="H2845" s="395"/>
      <c r="J2845" s="42"/>
    </row>
    <row r="2846" spans="1:10" s="393" customFormat="1" x14ac:dyDescent="0.25">
      <c r="A2846" s="19" t="s">
        <v>17</v>
      </c>
      <c r="B2846" s="2">
        <v>44011</v>
      </c>
      <c r="C2846" s="1">
        <v>1</v>
      </c>
      <c r="D2846" s="39">
        <v>164</v>
      </c>
      <c r="E2846" s="1"/>
      <c r="F2846" s="39">
        <f t="shared" si="178"/>
        <v>0</v>
      </c>
      <c r="G2846" s="395"/>
      <c r="H2846" s="395"/>
      <c r="J2846" s="42"/>
    </row>
    <row r="2847" spans="1:10" s="393" customFormat="1" x14ac:dyDescent="0.25">
      <c r="A2847" s="19" t="s">
        <v>23</v>
      </c>
      <c r="B2847" s="2">
        <v>44011</v>
      </c>
      <c r="C2847" s="1">
        <v>1</v>
      </c>
      <c r="D2847" s="39">
        <v>47</v>
      </c>
      <c r="E2847" s="1"/>
      <c r="F2847" s="39">
        <f t="shared" si="178"/>
        <v>1</v>
      </c>
      <c r="G2847" s="395"/>
      <c r="H2847" s="395"/>
      <c r="J2847" s="42"/>
    </row>
    <row r="2848" spans="1:10" s="393" customFormat="1" x14ac:dyDescent="0.25">
      <c r="A2848" s="19" t="s">
        <v>19</v>
      </c>
      <c r="B2848" s="2">
        <v>44011</v>
      </c>
      <c r="C2848" s="1">
        <v>18</v>
      </c>
      <c r="D2848" s="39">
        <v>452</v>
      </c>
      <c r="E2848" s="1">
        <v>1</v>
      </c>
      <c r="F2848" s="39">
        <f t="shared" si="178"/>
        <v>1</v>
      </c>
      <c r="G2848" s="395"/>
      <c r="H2848" s="395"/>
      <c r="J2848" s="42"/>
    </row>
    <row r="2849" spans="1:10" s="393" customFormat="1" x14ac:dyDescent="0.25">
      <c r="A2849" s="19" t="s">
        <v>18</v>
      </c>
      <c r="B2849" s="2">
        <v>44011</v>
      </c>
      <c r="C2849" s="1">
        <v>24</v>
      </c>
      <c r="D2849" s="39">
        <v>849</v>
      </c>
      <c r="E2849" s="1"/>
      <c r="F2849" s="39">
        <f t="shared" si="178"/>
        <v>1</v>
      </c>
      <c r="G2849" s="395"/>
      <c r="H2849" s="395"/>
      <c r="J2849" s="42"/>
    </row>
    <row r="2850" spans="1:10" s="393" customFormat="1" x14ac:dyDescent="0.25">
      <c r="A2850" s="19" t="s">
        <v>34</v>
      </c>
      <c r="B2850" s="2">
        <v>44011</v>
      </c>
      <c r="C2850" s="1">
        <v>3</v>
      </c>
      <c r="D2850" s="39">
        <v>30</v>
      </c>
      <c r="E2850" s="1"/>
      <c r="F2850" s="39">
        <f t="shared" si="178"/>
        <v>1</v>
      </c>
      <c r="G2850" s="395"/>
      <c r="H2850" s="395"/>
      <c r="J2850" s="42"/>
    </row>
    <row r="2851" spans="1:10" s="393" customFormat="1" x14ac:dyDescent="0.25">
      <c r="A2851" s="19" t="s">
        <v>35</v>
      </c>
      <c r="B2851" s="2">
        <v>44011</v>
      </c>
      <c r="C2851" s="1">
        <v>0</v>
      </c>
      <c r="D2851" s="39">
        <v>8</v>
      </c>
      <c r="E2851" s="1"/>
      <c r="F2851" s="39">
        <f>E2851+F2827</f>
        <v>0</v>
      </c>
      <c r="G2851" s="395"/>
      <c r="H2851" s="395"/>
      <c r="J2851" s="42"/>
    </row>
    <row r="2852" spans="1:10" s="393" customFormat="1" x14ac:dyDescent="0.25">
      <c r="A2852" s="19" t="s">
        <v>36</v>
      </c>
      <c r="B2852" s="2">
        <v>44011</v>
      </c>
      <c r="C2852" s="1">
        <v>0</v>
      </c>
      <c r="D2852" s="39">
        <v>11</v>
      </c>
      <c r="E2852" s="1"/>
      <c r="F2852" s="39">
        <f t="shared" si="178"/>
        <v>0</v>
      </c>
      <c r="G2852" s="395"/>
      <c r="H2852" s="395"/>
      <c r="J2852" s="42"/>
    </row>
    <row r="2853" spans="1:10" s="393" customFormat="1" x14ac:dyDescent="0.25">
      <c r="A2853" s="19" t="s">
        <v>37</v>
      </c>
      <c r="B2853" s="2">
        <v>44011</v>
      </c>
      <c r="C2853" s="1">
        <v>0</v>
      </c>
      <c r="D2853" s="39">
        <v>50</v>
      </c>
      <c r="E2853" s="1"/>
      <c r="F2853" s="39">
        <f t="shared" si="178"/>
        <v>0</v>
      </c>
      <c r="G2853" s="395"/>
      <c r="H2853" s="395"/>
      <c r="J2853" s="42"/>
    </row>
    <row r="2854" spans="1:10" s="393" customFormat="1" x14ac:dyDescent="0.25">
      <c r="A2854" s="19" t="s">
        <v>22</v>
      </c>
      <c r="B2854" s="2">
        <v>44011</v>
      </c>
      <c r="C2854" s="1">
        <v>3</v>
      </c>
      <c r="D2854" s="39">
        <v>420</v>
      </c>
      <c r="E2854" s="1"/>
      <c r="F2854" s="39">
        <f>E2854+F2830</f>
        <v>4</v>
      </c>
      <c r="G2854" s="395"/>
      <c r="H2854" s="395"/>
      <c r="J2854" s="42"/>
    </row>
    <row r="2855" spans="1:10" s="393" customFormat="1" x14ac:dyDescent="0.25">
      <c r="A2855" s="19" t="s">
        <v>38</v>
      </c>
      <c r="B2855" s="2">
        <v>44011</v>
      </c>
      <c r="C2855" s="1">
        <v>1</v>
      </c>
      <c r="D2855" s="39">
        <v>24</v>
      </c>
      <c r="E2855" s="1"/>
      <c r="F2855" s="39">
        <f>E2855+F2831</f>
        <v>0</v>
      </c>
      <c r="G2855" s="395"/>
      <c r="H2855" s="395"/>
      <c r="J2855" s="42"/>
    </row>
    <row r="2856" spans="1:10" s="393" customFormat="1" x14ac:dyDescent="0.25">
      <c r="A2856" s="19" t="s">
        <v>39</v>
      </c>
      <c r="B2856" s="2">
        <v>44011</v>
      </c>
      <c r="C2856" s="1">
        <v>0</v>
      </c>
      <c r="D2856" s="39">
        <v>149</v>
      </c>
      <c r="E2856" s="1"/>
      <c r="F2856" s="39">
        <f>E2856+F2832</f>
        <v>1</v>
      </c>
      <c r="G2856" s="395"/>
      <c r="H2856" s="395"/>
      <c r="J2856" s="42"/>
    </row>
    <row r="2857" spans="1:10" s="393" customFormat="1" x14ac:dyDescent="0.25">
      <c r="A2857" s="19" t="s">
        <v>40</v>
      </c>
      <c r="B2857" s="2">
        <v>44011</v>
      </c>
      <c r="C2857" s="1">
        <v>0</v>
      </c>
      <c r="D2857" s="39">
        <v>73</v>
      </c>
      <c r="E2857" s="1"/>
      <c r="F2857" s="39">
        <f>E2857+F2833</f>
        <v>4</v>
      </c>
      <c r="G2857" s="395"/>
      <c r="H2857" s="395"/>
      <c r="J2857" s="42"/>
    </row>
    <row r="2858" spans="1:10" s="393" customFormat="1" x14ac:dyDescent="0.25">
      <c r="A2858" s="394" t="s">
        <v>16</v>
      </c>
      <c r="B2858" s="2">
        <v>44012</v>
      </c>
      <c r="C2858" s="1">
        <v>1374</v>
      </c>
      <c r="D2858" s="39">
        <v>31637</v>
      </c>
      <c r="E2858" s="1">
        <v>13</v>
      </c>
      <c r="F2858" s="39">
        <f>E2858+F2834</f>
        <v>579</v>
      </c>
      <c r="G2858" s="395"/>
      <c r="H2858" s="395"/>
      <c r="J2858" s="42"/>
    </row>
    <row r="2859" spans="1:10" s="393" customFormat="1" x14ac:dyDescent="0.25">
      <c r="A2859" s="19" t="s">
        <v>28</v>
      </c>
      <c r="B2859" s="2">
        <v>44012</v>
      </c>
      <c r="C2859" s="1">
        <v>0</v>
      </c>
      <c r="D2859" s="39">
        <v>0</v>
      </c>
      <c r="E2859" s="1"/>
      <c r="F2859" s="39">
        <f t="shared" ref="F2859:F2865" si="179">E2859+F2835</f>
        <v>0</v>
      </c>
      <c r="G2859" s="395"/>
      <c r="H2859" s="395"/>
      <c r="J2859" s="42"/>
    </row>
    <row r="2860" spans="1:10" s="393" customFormat="1" x14ac:dyDescent="0.25">
      <c r="A2860" s="19" t="s">
        <v>15</v>
      </c>
      <c r="B2860" s="2">
        <v>44012</v>
      </c>
      <c r="C2860" s="1">
        <v>70</v>
      </c>
      <c r="D2860" s="39">
        <v>2031</v>
      </c>
      <c r="E2860" s="1">
        <v>2</v>
      </c>
      <c r="F2860" s="39">
        <f t="shared" si="179"/>
        <v>95</v>
      </c>
      <c r="G2860" s="395"/>
      <c r="H2860" s="395"/>
      <c r="J2860" s="42"/>
    </row>
    <row r="2861" spans="1:10" s="393" customFormat="1" x14ac:dyDescent="0.25">
      <c r="A2861" s="19" t="s">
        <v>29</v>
      </c>
      <c r="B2861" s="2">
        <v>44012</v>
      </c>
      <c r="C2861" s="1">
        <v>8</v>
      </c>
      <c r="D2861" s="39">
        <v>128</v>
      </c>
      <c r="E2861" s="1"/>
      <c r="F2861" s="39">
        <f t="shared" si="179"/>
        <v>2</v>
      </c>
      <c r="G2861" s="395"/>
      <c r="H2861" s="395"/>
      <c r="J2861" s="42"/>
    </row>
    <row r="2862" spans="1:10" s="393" customFormat="1" x14ac:dyDescent="0.25">
      <c r="A2862" s="19" t="s">
        <v>43</v>
      </c>
      <c r="B2862" s="2">
        <v>44012</v>
      </c>
      <c r="C2862" s="1">
        <v>744</v>
      </c>
      <c r="D2862" s="39">
        <v>27095</v>
      </c>
      <c r="E2862" s="1">
        <v>12</v>
      </c>
      <c r="F2862" s="39">
        <f t="shared" si="179"/>
        <v>505</v>
      </c>
      <c r="G2862" s="395"/>
      <c r="H2862" s="395"/>
      <c r="J2862" s="42"/>
    </row>
    <row r="2863" spans="1:10" s="393" customFormat="1" x14ac:dyDescent="0.25">
      <c r="A2863" s="19" t="s">
        <v>20</v>
      </c>
      <c r="B2863" s="2">
        <v>44012</v>
      </c>
      <c r="C2863" s="1">
        <v>11</v>
      </c>
      <c r="D2863" s="39">
        <v>651</v>
      </c>
      <c r="E2863" s="1"/>
      <c r="F2863" s="39">
        <f t="shared" si="179"/>
        <v>34</v>
      </c>
      <c r="G2863" s="395"/>
      <c r="H2863" s="395"/>
      <c r="J2863" s="42"/>
    </row>
    <row r="2864" spans="1:10" s="393" customFormat="1" x14ac:dyDescent="0.25">
      <c r="A2864" s="19" t="s">
        <v>30</v>
      </c>
      <c r="B2864" s="2">
        <v>44012</v>
      </c>
      <c r="C2864" s="1">
        <v>0</v>
      </c>
      <c r="D2864" s="39">
        <v>118</v>
      </c>
      <c r="E2864" s="1"/>
      <c r="F2864" s="39">
        <f t="shared" si="179"/>
        <v>0</v>
      </c>
      <c r="G2864" s="395"/>
      <c r="H2864" s="395"/>
      <c r="J2864" s="42"/>
    </row>
    <row r="2865" spans="1:10" x14ac:dyDescent="0.25">
      <c r="A2865" s="19" t="s">
        <v>31</v>
      </c>
      <c r="B2865" s="2">
        <v>44012</v>
      </c>
      <c r="C2865" s="1">
        <v>6</v>
      </c>
      <c r="D2865" s="39">
        <v>284</v>
      </c>
      <c r="F2865" s="39">
        <f t="shared" si="179"/>
        <v>0</v>
      </c>
    </row>
    <row r="2866" spans="1:10" s="393" customFormat="1" x14ac:dyDescent="0.25">
      <c r="A2866" s="19" t="s">
        <v>41</v>
      </c>
      <c r="B2866" s="2">
        <v>44012</v>
      </c>
      <c r="C2866" s="1">
        <v>0</v>
      </c>
      <c r="D2866" s="39">
        <v>71</v>
      </c>
      <c r="E2866" s="1"/>
      <c r="F2866" s="39">
        <f t="shared" ref="F2866:F2877" si="180">E2866+F2841</f>
        <v>0</v>
      </c>
      <c r="G2866" s="395"/>
      <c r="H2866" s="395"/>
      <c r="J2866" s="42"/>
    </row>
    <row r="2867" spans="1:10" s="393" customFormat="1" x14ac:dyDescent="0.25">
      <c r="A2867" s="19" t="s">
        <v>32</v>
      </c>
      <c r="B2867" s="2">
        <v>44012</v>
      </c>
      <c r="C2867" s="1">
        <v>6</v>
      </c>
      <c r="D2867" s="39">
        <v>96</v>
      </c>
      <c r="E2867" s="1"/>
      <c r="F2867" s="39">
        <f t="shared" si="180"/>
        <v>0</v>
      </c>
      <c r="G2867" s="395"/>
      <c r="H2867" s="395"/>
      <c r="J2867" s="42"/>
    </row>
    <row r="2868" spans="1:10" s="393" customFormat="1" x14ac:dyDescent="0.25">
      <c r="A2868" s="19" t="s">
        <v>33</v>
      </c>
      <c r="B2868" s="2">
        <v>44012</v>
      </c>
      <c r="C2868" s="1">
        <v>0</v>
      </c>
      <c r="D2868" s="39">
        <v>7</v>
      </c>
      <c r="E2868" s="1"/>
      <c r="F2868" s="39">
        <f t="shared" si="180"/>
        <v>0</v>
      </c>
      <c r="G2868" s="395"/>
      <c r="H2868" s="395"/>
      <c r="J2868" s="42"/>
    </row>
    <row r="2869" spans="1:10" s="393" customFormat="1" x14ac:dyDescent="0.25">
      <c r="A2869" s="19" t="s">
        <v>21</v>
      </c>
      <c r="B2869" s="2">
        <v>44012</v>
      </c>
      <c r="C2869" s="1">
        <v>4</v>
      </c>
      <c r="D2869" s="39">
        <v>84</v>
      </c>
      <c r="E2869" s="1"/>
      <c r="F2869" s="39">
        <f t="shared" si="180"/>
        <v>0</v>
      </c>
      <c r="G2869" s="395"/>
      <c r="H2869" s="395"/>
      <c r="J2869" s="42"/>
    </row>
    <row r="2870" spans="1:10" s="393" customFormat="1" x14ac:dyDescent="0.25">
      <c r="A2870" s="19" t="s">
        <v>17</v>
      </c>
      <c r="B2870" s="2">
        <v>44012</v>
      </c>
      <c r="C2870" s="1">
        <v>4</v>
      </c>
      <c r="D2870" s="39">
        <v>168</v>
      </c>
      <c r="E2870" s="1"/>
      <c r="F2870" s="39">
        <f t="shared" si="180"/>
        <v>0</v>
      </c>
      <c r="G2870" s="395"/>
      <c r="H2870" s="395"/>
      <c r="J2870" s="42"/>
    </row>
    <row r="2871" spans="1:10" s="393" customFormat="1" x14ac:dyDescent="0.25">
      <c r="A2871" s="19" t="s">
        <v>23</v>
      </c>
      <c r="B2871" s="2">
        <v>44012</v>
      </c>
      <c r="C2871" s="1">
        <v>0</v>
      </c>
      <c r="D2871" s="39">
        <v>47</v>
      </c>
      <c r="E2871" s="1"/>
      <c r="F2871" s="39">
        <f t="shared" si="180"/>
        <v>0</v>
      </c>
      <c r="G2871" s="395"/>
      <c r="H2871" s="395"/>
      <c r="J2871" s="42"/>
    </row>
    <row r="2872" spans="1:10" s="393" customFormat="1" x14ac:dyDescent="0.25">
      <c r="A2872" s="19" t="s">
        <v>19</v>
      </c>
      <c r="B2872" s="2">
        <v>44012</v>
      </c>
      <c r="C2872" s="1">
        <v>18</v>
      </c>
      <c r="D2872" s="39">
        <v>470</v>
      </c>
      <c r="E2872" s="1"/>
      <c r="F2872" s="39">
        <f t="shared" si="180"/>
        <v>1</v>
      </c>
      <c r="G2872" s="395"/>
      <c r="H2872" s="395"/>
      <c r="J2872" s="42"/>
    </row>
    <row r="2873" spans="1:10" s="393" customFormat="1" x14ac:dyDescent="0.25">
      <c r="A2873" s="19" t="s">
        <v>18</v>
      </c>
      <c r="B2873" s="2">
        <v>44012</v>
      </c>
      <c r="C2873" s="1">
        <v>15</v>
      </c>
      <c r="D2873" s="39">
        <v>864</v>
      </c>
      <c r="E2873" s="1"/>
      <c r="F2873" s="39">
        <f t="shared" si="180"/>
        <v>1</v>
      </c>
      <c r="G2873" s="395"/>
      <c r="H2873" s="395"/>
      <c r="J2873" s="42"/>
    </row>
    <row r="2874" spans="1:10" s="393" customFormat="1" x14ac:dyDescent="0.25">
      <c r="A2874" s="19" t="s">
        <v>34</v>
      </c>
      <c r="B2874" s="2">
        <v>44012</v>
      </c>
      <c r="C2874" s="1">
        <v>1</v>
      </c>
      <c r="D2874" s="39">
        <v>31</v>
      </c>
      <c r="E2874" s="1"/>
      <c r="F2874" s="39">
        <f t="shared" si="180"/>
        <v>1</v>
      </c>
      <c r="G2874" s="395"/>
      <c r="H2874" s="395"/>
      <c r="J2874" s="42"/>
    </row>
    <row r="2875" spans="1:10" s="393" customFormat="1" x14ac:dyDescent="0.25">
      <c r="A2875" s="19" t="s">
        <v>35</v>
      </c>
      <c r="B2875" s="2">
        <v>44012</v>
      </c>
      <c r="C2875" s="1">
        <v>0</v>
      </c>
      <c r="D2875" s="39">
        <v>8</v>
      </c>
      <c r="E2875" s="1"/>
      <c r="F2875" s="39">
        <f>E2875+F2851</f>
        <v>0</v>
      </c>
      <c r="G2875" s="395"/>
      <c r="H2875" s="395"/>
      <c r="J2875" s="42"/>
    </row>
    <row r="2876" spans="1:10" s="393" customFormat="1" x14ac:dyDescent="0.25">
      <c r="A2876" s="19" t="s">
        <v>36</v>
      </c>
      <c r="B2876" s="2">
        <v>44012</v>
      </c>
      <c r="C2876" s="1">
        <v>0</v>
      </c>
      <c r="D2876" s="39">
        <v>11</v>
      </c>
      <c r="E2876" s="1"/>
      <c r="F2876" s="39">
        <f t="shared" si="180"/>
        <v>0</v>
      </c>
      <c r="G2876" s="395"/>
      <c r="H2876" s="395"/>
      <c r="J2876" s="42"/>
    </row>
    <row r="2877" spans="1:10" s="393" customFormat="1" x14ac:dyDescent="0.25">
      <c r="A2877" s="19" t="s">
        <v>37</v>
      </c>
      <c r="B2877" s="2">
        <v>44012</v>
      </c>
      <c r="C2877" s="1">
        <v>0</v>
      </c>
      <c r="D2877" s="39">
        <v>50</v>
      </c>
      <c r="E2877" s="1"/>
      <c r="F2877" s="39">
        <f t="shared" si="180"/>
        <v>0</v>
      </c>
      <c r="G2877" s="395"/>
      <c r="H2877" s="395"/>
      <c r="J2877" s="42"/>
    </row>
    <row r="2878" spans="1:10" s="393" customFormat="1" x14ac:dyDescent="0.25">
      <c r="A2878" s="19" t="s">
        <v>22</v>
      </c>
      <c r="B2878" s="2">
        <v>44012</v>
      </c>
      <c r="C2878" s="1">
        <v>1</v>
      </c>
      <c r="D2878" s="39">
        <v>421</v>
      </c>
      <c r="E2878" s="1"/>
      <c r="F2878" s="39">
        <f>E2878+F2854</f>
        <v>4</v>
      </c>
      <c r="G2878" s="395"/>
      <c r="H2878" s="395"/>
      <c r="J2878" s="42"/>
    </row>
    <row r="2879" spans="1:10" s="393" customFormat="1" x14ac:dyDescent="0.25">
      <c r="A2879" s="19" t="s">
        <v>38</v>
      </c>
      <c r="B2879" s="2">
        <v>44012</v>
      </c>
      <c r="C2879" s="1">
        <v>0</v>
      </c>
      <c r="D2879" s="39">
        <v>24</v>
      </c>
      <c r="E2879" s="1"/>
      <c r="F2879" s="39">
        <f>E2879+F2855</f>
        <v>0</v>
      </c>
      <c r="G2879" s="395"/>
      <c r="H2879" s="395"/>
      <c r="J2879" s="42"/>
    </row>
    <row r="2880" spans="1:10" s="393" customFormat="1" x14ac:dyDescent="0.25">
      <c r="A2880" s="19" t="s">
        <v>39</v>
      </c>
      <c r="B2880" s="2">
        <v>44012</v>
      </c>
      <c r="C2880" s="1">
        <v>0</v>
      </c>
      <c r="D2880" s="39">
        <v>149</v>
      </c>
      <c r="E2880" s="1"/>
      <c r="F2880" s="39">
        <f>E2880+F2856</f>
        <v>1</v>
      </c>
      <c r="G2880" s="395"/>
      <c r="H2880" s="395"/>
      <c r="J2880" s="42"/>
    </row>
    <row r="2881" spans="1:10" s="393" customFormat="1" x14ac:dyDescent="0.25">
      <c r="A2881" s="19" t="s">
        <v>40</v>
      </c>
      <c r="B2881" s="2">
        <v>44012</v>
      </c>
      <c r="C2881" s="1">
        <v>0</v>
      </c>
      <c r="D2881" s="39">
        <v>73</v>
      </c>
      <c r="E2881" s="1"/>
      <c r="F2881" s="39">
        <f>E2881+F2857</f>
        <v>4</v>
      </c>
      <c r="G2881" s="395"/>
      <c r="H2881" s="395"/>
      <c r="J2881" s="42"/>
    </row>
    <row r="2882" spans="1:10" s="393" customFormat="1" x14ac:dyDescent="0.25">
      <c r="A2882" s="394" t="s">
        <v>16</v>
      </c>
      <c r="B2882" s="2">
        <v>44013</v>
      </c>
      <c r="C2882" s="1">
        <v>1671</v>
      </c>
      <c r="D2882" s="39">
        <v>33308</v>
      </c>
      <c r="E2882" s="1">
        <v>27</v>
      </c>
      <c r="F2882" s="39">
        <f>E2882+F2858</f>
        <v>606</v>
      </c>
      <c r="G2882" s="395"/>
      <c r="H2882" s="395"/>
      <c r="J2882" s="42"/>
    </row>
    <row r="2883" spans="1:10" s="393" customFormat="1" x14ac:dyDescent="0.25">
      <c r="A2883" s="19" t="s">
        <v>28</v>
      </c>
      <c r="B2883" s="2">
        <v>44013</v>
      </c>
      <c r="C2883" s="1">
        <v>0</v>
      </c>
      <c r="D2883" s="39">
        <v>0</v>
      </c>
      <c r="E2883" s="1"/>
      <c r="F2883" s="39">
        <f t="shared" ref="F2883:F2889" si="181">E2883+F2859</f>
        <v>0</v>
      </c>
      <c r="G2883" s="395"/>
      <c r="H2883" s="395"/>
      <c r="J2883" s="42"/>
    </row>
    <row r="2884" spans="1:10" s="393" customFormat="1" x14ac:dyDescent="0.25">
      <c r="A2884" s="19" t="s">
        <v>15</v>
      </c>
      <c r="B2884" s="2">
        <v>44013</v>
      </c>
      <c r="C2884" s="1">
        <v>60</v>
      </c>
      <c r="D2884" s="39">
        <v>2091</v>
      </c>
      <c r="E2884" s="1">
        <v>3</v>
      </c>
      <c r="F2884" s="39">
        <f t="shared" si="181"/>
        <v>98</v>
      </c>
      <c r="G2884" s="395"/>
      <c r="H2884" s="395"/>
      <c r="J2884" s="42"/>
    </row>
    <row r="2885" spans="1:10" s="393" customFormat="1" x14ac:dyDescent="0.25">
      <c r="A2885" s="19" t="s">
        <v>29</v>
      </c>
      <c r="B2885" s="2">
        <v>44013</v>
      </c>
      <c r="C2885" s="1">
        <v>8</v>
      </c>
      <c r="D2885" s="39">
        <v>136</v>
      </c>
      <c r="E2885" s="1"/>
      <c r="F2885" s="39">
        <f t="shared" si="181"/>
        <v>2</v>
      </c>
      <c r="G2885" s="395"/>
      <c r="H2885" s="395"/>
      <c r="J2885" s="42"/>
    </row>
    <row r="2886" spans="1:10" s="393" customFormat="1" x14ac:dyDescent="0.25">
      <c r="A2886" s="19" t="s">
        <v>43</v>
      </c>
      <c r="B2886" s="2">
        <v>44013</v>
      </c>
      <c r="C2886" s="1">
        <v>841</v>
      </c>
      <c r="D2886" s="39">
        <v>27936</v>
      </c>
      <c r="E2886" s="1">
        <v>13</v>
      </c>
      <c r="F2886" s="39">
        <f t="shared" si="181"/>
        <v>518</v>
      </c>
      <c r="G2886" s="395"/>
      <c r="H2886" s="395"/>
      <c r="J2886" s="42"/>
    </row>
    <row r="2887" spans="1:10" s="393" customFormat="1" x14ac:dyDescent="0.25">
      <c r="A2887" s="19" t="s">
        <v>20</v>
      </c>
      <c r="B2887" s="2">
        <v>44013</v>
      </c>
      <c r="C2887" s="1">
        <v>11</v>
      </c>
      <c r="D2887" s="39">
        <v>662</v>
      </c>
      <c r="E2887" s="1"/>
      <c r="F2887" s="39">
        <f t="shared" si="181"/>
        <v>34</v>
      </c>
      <c r="G2887" s="395"/>
      <c r="H2887" s="395"/>
      <c r="J2887" s="42"/>
    </row>
    <row r="2888" spans="1:10" s="393" customFormat="1" x14ac:dyDescent="0.25">
      <c r="A2888" s="19" t="s">
        <v>30</v>
      </c>
      <c r="B2888" s="2">
        <v>44013</v>
      </c>
      <c r="C2888" s="1">
        <v>1</v>
      </c>
      <c r="D2888" s="39">
        <v>119</v>
      </c>
      <c r="E2888" s="1"/>
      <c r="F2888" s="39">
        <f t="shared" si="181"/>
        <v>0</v>
      </c>
      <c r="G2888" s="395"/>
      <c r="H2888" s="395"/>
      <c r="J2888" s="42"/>
    </row>
    <row r="2889" spans="1:10" x14ac:dyDescent="0.25">
      <c r="A2889" s="19" t="s">
        <v>31</v>
      </c>
      <c r="B2889" s="2">
        <v>44013</v>
      </c>
      <c r="C2889" s="1">
        <v>9</v>
      </c>
      <c r="D2889" s="39">
        <v>293</v>
      </c>
      <c r="F2889" s="39">
        <f t="shared" si="181"/>
        <v>0</v>
      </c>
    </row>
    <row r="2890" spans="1:10" s="393" customFormat="1" x14ac:dyDescent="0.25">
      <c r="A2890" s="19" t="s">
        <v>41</v>
      </c>
      <c r="B2890" s="2">
        <v>44013</v>
      </c>
      <c r="C2890" s="1">
        <v>4</v>
      </c>
      <c r="D2890" s="39">
        <v>75</v>
      </c>
      <c r="E2890" s="1"/>
      <c r="F2890" s="39">
        <f t="shared" ref="F2890:F2901" si="182">E2890+F2865</f>
        <v>0</v>
      </c>
      <c r="G2890" s="395"/>
      <c r="H2890" s="395"/>
      <c r="J2890" s="42"/>
    </row>
    <row r="2891" spans="1:10" s="393" customFormat="1" x14ac:dyDescent="0.25">
      <c r="A2891" s="19" t="s">
        <v>32</v>
      </c>
      <c r="B2891" s="2">
        <v>44013</v>
      </c>
      <c r="C2891" s="1">
        <v>17</v>
      </c>
      <c r="D2891" s="39">
        <v>113</v>
      </c>
      <c r="E2891" s="1"/>
      <c r="F2891" s="39">
        <f t="shared" si="182"/>
        <v>0</v>
      </c>
      <c r="G2891" s="395"/>
      <c r="H2891" s="395"/>
      <c r="J2891" s="42"/>
    </row>
    <row r="2892" spans="1:10" s="393" customFormat="1" x14ac:dyDescent="0.25">
      <c r="A2892" s="19" t="s">
        <v>33</v>
      </c>
      <c r="B2892" s="2">
        <v>44013</v>
      </c>
      <c r="C2892" s="1">
        <v>0</v>
      </c>
      <c r="D2892" s="39">
        <v>7</v>
      </c>
      <c r="E2892" s="1"/>
      <c r="F2892" s="39">
        <f t="shared" si="182"/>
        <v>0</v>
      </c>
      <c r="G2892" s="395"/>
      <c r="H2892" s="395"/>
      <c r="J2892" s="42"/>
    </row>
    <row r="2893" spans="1:10" s="393" customFormat="1" x14ac:dyDescent="0.25">
      <c r="A2893" s="19" t="s">
        <v>21</v>
      </c>
      <c r="B2893" s="2">
        <v>44013</v>
      </c>
      <c r="C2893" s="1">
        <v>1</v>
      </c>
      <c r="D2893" s="39">
        <v>85</v>
      </c>
      <c r="E2893" s="1">
        <v>1</v>
      </c>
      <c r="F2893" s="39">
        <f t="shared" si="182"/>
        <v>1</v>
      </c>
      <c r="G2893" s="395"/>
      <c r="H2893" s="395"/>
      <c r="J2893" s="42"/>
    </row>
    <row r="2894" spans="1:10" s="393" customFormat="1" x14ac:dyDescent="0.25">
      <c r="A2894" s="19" t="s">
        <v>17</v>
      </c>
      <c r="B2894" s="2">
        <v>44013</v>
      </c>
      <c r="C2894" s="1">
        <v>7</v>
      </c>
      <c r="D2894" s="39">
        <v>175</v>
      </c>
      <c r="E2894" s="1"/>
      <c r="F2894" s="39">
        <f t="shared" si="182"/>
        <v>0</v>
      </c>
      <c r="G2894" s="395"/>
      <c r="H2894" s="395"/>
      <c r="J2894" s="42"/>
    </row>
    <row r="2895" spans="1:10" s="393" customFormat="1" x14ac:dyDescent="0.25">
      <c r="A2895" s="19" t="s">
        <v>23</v>
      </c>
      <c r="B2895" s="2">
        <v>44013</v>
      </c>
      <c r="C2895" s="1">
        <v>0</v>
      </c>
      <c r="D2895" s="39">
        <v>47</v>
      </c>
      <c r="E2895" s="1"/>
      <c r="F2895" s="39">
        <f t="shared" si="182"/>
        <v>0</v>
      </c>
      <c r="G2895" s="395"/>
      <c r="H2895" s="395"/>
      <c r="J2895" s="42"/>
    </row>
    <row r="2896" spans="1:10" s="393" customFormat="1" x14ac:dyDescent="0.25">
      <c r="A2896" s="19" t="s">
        <v>19</v>
      </c>
      <c r="B2896" s="2">
        <v>44013</v>
      </c>
      <c r="C2896" s="1">
        <v>12</v>
      </c>
      <c r="D2896" s="39">
        <v>482</v>
      </c>
      <c r="E2896" s="1"/>
      <c r="F2896" s="39">
        <f t="shared" si="182"/>
        <v>0</v>
      </c>
      <c r="G2896" s="395"/>
      <c r="H2896" s="395"/>
      <c r="J2896" s="42"/>
    </row>
    <row r="2897" spans="1:10" s="393" customFormat="1" x14ac:dyDescent="0.25">
      <c r="A2897" s="19" t="s">
        <v>18</v>
      </c>
      <c r="B2897" s="2">
        <v>44013</v>
      </c>
      <c r="C2897" s="1">
        <v>13</v>
      </c>
      <c r="D2897" s="39">
        <v>877</v>
      </c>
      <c r="E2897" s="1"/>
      <c r="F2897" s="39">
        <f t="shared" si="182"/>
        <v>1</v>
      </c>
      <c r="G2897" s="395"/>
      <c r="H2897" s="395"/>
      <c r="J2897" s="42"/>
    </row>
    <row r="2898" spans="1:10" s="393" customFormat="1" x14ac:dyDescent="0.25">
      <c r="A2898" s="19" t="s">
        <v>34</v>
      </c>
      <c r="B2898" s="2">
        <v>44013</v>
      </c>
      <c r="C2898" s="1">
        <v>2</v>
      </c>
      <c r="D2898" s="39">
        <v>33</v>
      </c>
      <c r="E2898" s="1"/>
      <c r="F2898" s="39">
        <f t="shared" si="182"/>
        <v>1</v>
      </c>
      <c r="G2898" s="395"/>
      <c r="H2898" s="395"/>
      <c r="J2898" s="42"/>
    </row>
    <row r="2899" spans="1:10" s="393" customFormat="1" x14ac:dyDescent="0.25">
      <c r="A2899" s="19" t="s">
        <v>35</v>
      </c>
      <c r="B2899" s="2">
        <v>44013</v>
      </c>
      <c r="C2899" s="1">
        <v>0</v>
      </c>
      <c r="D2899" s="39">
        <v>8</v>
      </c>
      <c r="E2899" s="1"/>
      <c r="F2899" s="39">
        <f>E2899+F2875</f>
        <v>0</v>
      </c>
      <c r="G2899" s="395"/>
      <c r="H2899" s="395"/>
      <c r="J2899" s="42"/>
    </row>
    <row r="2900" spans="1:10" s="393" customFormat="1" x14ac:dyDescent="0.25">
      <c r="A2900" s="19" t="s">
        <v>36</v>
      </c>
      <c r="B2900" s="2">
        <v>44013</v>
      </c>
      <c r="C2900" s="1">
        <v>0</v>
      </c>
      <c r="D2900" s="39">
        <v>11</v>
      </c>
      <c r="E2900" s="1"/>
      <c r="F2900" s="39">
        <f t="shared" si="182"/>
        <v>0</v>
      </c>
      <c r="G2900" s="395"/>
      <c r="H2900" s="395"/>
      <c r="J2900" s="42"/>
    </row>
    <row r="2901" spans="1:10" s="393" customFormat="1" x14ac:dyDescent="0.25">
      <c r="A2901" s="19" t="s">
        <v>37</v>
      </c>
      <c r="B2901" s="2">
        <v>44013</v>
      </c>
      <c r="C2901" s="1">
        <v>0</v>
      </c>
      <c r="D2901" s="39">
        <v>50</v>
      </c>
      <c r="E2901" s="1"/>
      <c r="F2901" s="39">
        <f t="shared" si="182"/>
        <v>0</v>
      </c>
      <c r="G2901" s="395"/>
      <c r="H2901" s="395"/>
      <c r="J2901" s="42"/>
    </row>
    <row r="2902" spans="1:10" s="393" customFormat="1" x14ac:dyDescent="0.25">
      <c r="A2902" s="19" t="s">
        <v>22</v>
      </c>
      <c r="B2902" s="2">
        <v>44013</v>
      </c>
      <c r="C2902" s="1">
        <v>1</v>
      </c>
      <c r="D2902" s="39">
        <v>422</v>
      </c>
      <c r="E2902" s="1"/>
      <c r="F2902" s="39">
        <f>E2902+F2878</f>
        <v>4</v>
      </c>
      <c r="G2902" s="395"/>
      <c r="H2902" s="395"/>
      <c r="J2902" s="42"/>
    </row>
    <row r="2903" spans="1:10" s="393" customFormat="1" x14ac:dyDescent="0.25">
      <c r="A2903" s="19" t="s">
        <v>38</v>
      </c>
      <c r="B2903" s="2">
        <v>44013</v>
      </c>
      <c r="C2903" s="1">
        <v>1</v>
      </c>
      <c r="D2903" s="39">
        <v>25</v>
      </c>
      <c r="E2903" s="1"/>
      <c r="F2903" s="39">
        <f>E2903+F2879</f>
        <v>0</v>
      </c>
      <c r="G2903" s="395"/>
      <c r="H2903" s="395"/>
      <c r="J2903" s="42"/>
    </row>
    <row r="2904" spans="1:10" s="393" customFormat="1" x14ac:dyDescent="0.25">
      <c r="A2904" s="19" t="s">
        <v>39</v>
      </c>
      <c r="B2904" s="2">
        <v>44013</v>
      </c>
      <c r="C2904" s="1">
        <v>0</v>
      </c>
      <c r="D2904" s="39">
        <v>149</v>
      </c>
      <c r="E2904" s="1"/>
      <c r="F2904" s="39">
        <f>E2904+F2880</f>
        <v>1</v>
      </c>
      <c r="G2904" s="395"/>
      <c r="H2904" s="395"/>
      <c r="J2904" s="42"/>
    </row>
    <row r="2905" spans="1:10" s="393" customFormat="1" x14ac:dyDescent="0.25">
      <c r="A2905" s="19" t="s">
        <v>40</v>
      </c>
      <c r="B2905" s="2">
        <v>44013</v>
      </c>
      <c r="C2905" s="1">
        <v>8</v>
      </c>
      <c r="D2905" s="39">
        <v>81</v>
      </c>
      <c r="E2905" s="1"/>
      <c r="F2905" s="39">
        <f>E2905+F2881</f>
        <v>4</v>
      </c>
      <c r="G2905" s="395"/>
      <c r="H2905" s="395"/>
      <c r="J2905" s="42"/>
    </row>
    <row r="2906" spans="1:10" s="393" customFormat="1" x14ac:dyDescent="0.25">
      <c r="A2906" s="394" t="s">
        <v>16</v>
      </c>
      <c r="B2906" s="2">
        <v>44014</v>
      </c>
      <c r="C2906" s="1">
        <v>1733</v>
      </c>
      <c r="D2906" s="39">
        <v>35041</v>
      </c>
      <c r="E2906" s="1">
        <v>21</v>
      </c>
      <c r="F2906" s="39">
        <f>E2906+F2882</f>
        <v>627</v>
      </c>
      <c r="G2906" s="395"/>
      <c r="H2906" s="395"/>
      <c r="J2906" s="42"/>
    </row>
    <row r="2907" spans="1:10" s="393" customFormat="1" x14ac:dyDescent="0.25">
      <c r="A2907" s="19" t="s">
        <v>28</v>
      </c>
      <c r="B2907" s="2">
        <v>44014</v>
      </c>
      <c r="C2907" s="1">
        <v>0</v>
      </c>
      <c r="D2907" s="39">
        <v>0</v>
      </c>
      <c r="E2907" s="1"/>
      <c r="F2907" s="39">
        <f t="shared" ref="F2907:F2913" si="183">E2907+F2883</f>
        <v>0</v>
      </c>
      <c r="G2907" s="395"/>
      <c r="H2907" s="395"/>
      <c r="J2907" s="42"/>
    </row>
    <row r="2908" spans="1:10" s="393" customFormat="1" x14ac:dyDescent="0.25">
      <c r="A2908" s="19" t="s">
        <v>15</v>
      </c>
      <c r="B2908" s="2">
        <v>44014</v>
      </c>
      <c r="C2908" s="1">
        <v>81</v>
      </c>
      <c r="D2908" s="39">
        <v>2172</v>
      </c>
      <c r="E2908" s="1">
        <v>2</v>
      </c>
      <c r="F2908" s="39">
        <f t="shared" si="183"/>
        <v>100</v>
      </c>
      <c r="G2908" s="395"/>
      <c r="H2908" s="395"/>
      <c r="J2908" s="42"/>
    </row>
    <row r="2909" spans="1:10" s="393" customFormat="1" x14ac:dyDescent="0.25">
      <c r="A2909" s="19" t="s">
        <v>29</v>
      </c>
      <c r="B2909" s="2">
        <v>44014</v>
      </c>
      <c r="C2909" s="1">
        <v>0</v>
      </c>
      <c r="D2909" s="39">
        <v>136</v>
      </c>
      <c r="E2909" s="1"/>
      <c r="F2909" s="39">
        <f t="shared" si="183"/>
        <v>2</v>
      </c>
      <c r="G2909" s="395"/>
      <c r="H2909" s="395"/>
      <c r="J2909" s="42"/>
    </row>
    <row r="2910" spans="1:10" s="393" customFormat="1" x14ac:dyDescent="0.25">
      <c r="A2910" s="19" t="s">
        <v>43</v>
      </c>
      <c r="B2910" s="2">
        <v>44014</v>
      </c>
      <c r="C2910" s="1">
        <v>840</v>
      </c>
      <c r="D2910" s="39">
        <v>28776</v>
      </c>
      <c r="E2910" s="1">
        <v>11</v>
      </c>
      <c r="F2910" s="39">
        <f t="shared" si="183"/>
        <v>529</v>
      </c>
      <c r="G2910" s="395"/>
      <c r="H2910" s="395"/>
      <c r="J2910" s="42"/>
    </row>
    <row r="2911" spans="1:10" s="393" customFormat="1" x14ac:dyDescent="0.25">
      <c r="A2911" s="19" t="s">
        <v>20</v>
      </c>
      <c r="B2911" s="2">
        <v>44014</v>
      </c>
      <c r="C2911" s="1">
        <v>8</v>
      </c>
      <c r="D2911" s="39">
        <v>670</v>
      </c>
      <c r="E2911" s="1"/>
      <c r="F2911" s="39">
        <f t="shared" si="183"/>
        <v>34</v>
      </c>
      <c r="G2911" s="395"/>
      <c r="H2911" s="395"/>
      <c r="J2911" s="42"/>
    </row>
    <row r="2912" spans="1:10" s="393" customFormat="1" x14ac:dyDescent="0.25">
      <c r="A2912" s="19" t="s">
        <v>30</v>
      </c>
      <c r="B2912" s="2">
        <v>44014</v>
      </c>
      <c r="C2912" s="1">
        <v>0</v>
      </c>
      <c r="D2912" s="39">
        <v>119</v>
      </c>
      <c r="E2912" s="1"/>
      <c r="F2912" s="39">
        <f t="shared" si="183"/>
        <v>0</v>
      </c>
      <c r="G2912" s="395"/>
      <c r="H2912" s="395"/>
      <c r="J2912" s="42"/>
    </row>
    <row r="2913" spans="1:10" x14ac:dyDescent="0.25">
      <c r="A2913" s="19" t="s">
        <v>31</v>
      </c>
      <c r="B2913" s="2">
        <v>44014</v>
      </c>
      <c r="C2913" s="1">
        <v>14</v>
      </c>
      <c r="D2913" s="39">
        <v>307</v>
      </c>
      <c r="F2913" s="39">
        <f t="shared" si="183"/>
        <v>0</v>
      </c>
    </row>
    <row r="2914" spans="1:10" s="393" customFormat="1" x14ac:dyDescent="0.25">
      <c r="A2914" s="19" t="s">
        <v>41</v>
      </c>
      <c r="B2914" s="2">
        <v>44014</v>
      </c>
      <c r="C2914" s="1">
        <v>1</v>
      </c>
      <c r="D2914" s="39">
        <v>76</v>
      </c>
      <c r="E2914" s="1"/>
      <c r="F2914" s="39">
        <f t="shared" ref="F2914:F2925" si="184">E2914+F2889</f>
        <v>0</v>
      </c>
      <c r="G2914" s="395"/>
      <c r="H2914" s="395"/>
      <c r="J2914" s="42"/>
    </row>
    <row r="2915" spans="1:10" s="393" customFormat="1" x14ac:dyDescent="0.25">
      <c r="A2915" s="19" t="s">
        <v>32</v>
      </c>
      <c r="B2915" s="2">
        <v>44014</v>
      </c>
      <c r="C2915" s="1">
        <v>14</v>
      </c>
      <c r="D2915" s="39">
        <v>127</v>
      </c>
      <c r="E2915" s="1"/>
      <c r="F2915" s="39">
        <f t="shared" si="184"/>
        <v>0</v>
      </c>
      <c r="G2915" s="395"/>
      <c r="H2915" s="395"/>
      <c r="J2915" s="42"/>
    </row>
    <row r="2916" spans="1:10" s="393" customFormat="1" x14ac:dyDescent="0.25">
      <c r="A2916" s="19" t="s">
        <v>33</v>
      </c>
      <c r="B2916" s="2">
        <v>44014</v>
      </c>
      <c r="C2916" s="1">
        <v>0</v>
      </c>
      <c r="D2916" s="39">
        <v>7</v>
      </c>
      <c r="E2916" s="1"/>
      <c r="F2916" s="39">
        <f t="shared" si="184"/>
        <v>0</v>
      </c>
      <c r="G2916" s="395"/>
      <c r="H2916" s="395"/>
      <c r="J2916" s="42"/>
    </row>
    <row r="2917" spans="1:10" s="393" customFormat="1" x14ac:dyDescent="0.25">
      <c r="A2917" s="19" t="s">
        <v>21</v>
      </c>
      <c r="B2917" s="2">
        <v>44014</v>
      </c>
      <c r="C2917" s="1">
        <v>3</v>
      </c>
      <c r="D2917" s="39">
        <v>88</v>
      </c>
      <c r="E2917" s="1"/>
      <c r="F2917" s="39">
        <f t="shared" si="184"/>
        <v>0</v>
      </c>
      <c r="G2917" s="395"/>
      <c r="H2917" s="395"/>
      <c r="J2917" s="42"/>
    </row>
    <row r="2918" spans="1:10" s="393" customFormat="1" x14ac:dyDescent="0.25">
      <c r="A2918" s="19" t="s">
        <v>17</v>
      </c>
      <c r="B2918" s="2">
        <v>44014</v>
      </c>
      <c r="C2918" s="1">
        <v>2</v>
      </c>
      <c r="D2918" s="39">
        <v>177</v>
      </c>
      <c r="E2918" s="1"/>
      <c r="F2918" s="39">
        <f t="shared" si="184"/>
        <v>1</v>
      </c>
      <c r="G2918" s="395"/>
      <c r="H2918" s="395"/>
      <c r="J2918" s="42"/>
    </row>
    <row r="2919" spans="1:10" s="393" customFormat="1" x14ac:dyDescent="0.25">
      <c r="A2919" s="19" t="s">
        <v>23</v>
      </c>
      <c r="B2919" s="2">
        <v>44014</v>
      </c>
      <c r="C2919" s="1">
        <v>0</v>
      </c>
      <c r="D2919" s="39">
        <v>47</v>
      </c>
      <c r="E2919" s="1"/>
      <c r="F2919" s="39">
        <f t="shared" si="184"/>
        <v>0</v>
      </c>
      <c r="G2919" s="395"/>
      <c r="H2919" s="395"/>
      <c r="J2919" s="42"/>
    </row>
    <row r="2920" spans="1:10" s="393" customFormat="1" x14ac:dyDescent="0.25">
      <c r="A2920" s="19" t="s">
        <v>19</v>
      </c>
      <c r="B2920" s="2">
        <v>44014</v>
      </c>
      <c r="C2920" s="1">
        <v>12</v>
      </c>
      <c r="D2920" s="39">
        <v>494</v>
      </c>
      <c r="E2920" s="1"/>
      <c r="F2920" s="39">
        <f t="shared" si="184"/>
        <v>0</v>
      </c>
      <c r="G2920" s="395"/>
      <c r="H2920" s="395"/>
      <c r="J2920" s="42"/>
    </row>
    <row r="2921" spans="1:10" s="393" customFormat="1" x14ac:dyDescent="0.25">
      <c r="A2921" s="19" t="s">
        <v>18</v>
      </c>
      <c r="B2921" s="2">
        <v>44014</v>
      </c>
      <c r="C2921" s="1">
        <v>34</v>
      </c>
      <c r="D2921" s="39">
        <v>911</v>
      </c>
      <c r="E2921" s="1"/>
      <c r="F2921" s="39">
        <f t="shared" si="184"/>
        <v>0</v>
      </c>
      <c r="G2921" s="395"/>
      <c r="H2921" s="395"/>
      <c r="J2921" s="42"/>
    </row>
    <row r="2922" spans="1:10" s="393" customFormat="1" x14ac:dyDescent="0.25">
      <c r="A2922" s="19" t="s">
        <v>34</v>
      </c>
      <c r="B2922" s="2">
        <v>44014</v>
      </c>
      <c r="C2922" s="1">
        <v>0</v>
      </c>
      <c r="D2922" s="39">
        <v>33</v>
      </c>
      <c r="E2922" s="1"/>
      <c r="F2922" s="39">
        <f t="shared" si="184"/>
        <v>1</v>
      </c>
      <c r="G2922" s="395"/>
      <c r="H2922" s="395"/>
      <c r="J2922" s="42"/>
    </row>
    <row r="2923" spans="1:10" s="393" customFormat="1" x14ac:dyDescent="0.25">
      <c r="A2923" s="19" t="s">
        <v>35</v>
      </c>
      <c r="B2923" s="2">
        <v>44014</v>
      </c>
      <c r="C2923" s="1">
        <v>0</v>
      </c>
      <c r="D2923" s="39">
        <v>8</v>
      </c>
      <c r="E2923" s="1"/>
      <c r="F2923" s="39">
        <f>E2923+F2899</f>
        <v>0</v>
      </c>
      <c r="G2923" s="395"/>
      <c r="H2923" s="395"/>
      <c r="J2923" s="42"/>
    </row>
    <row r="2924" spans="1:10" s="393" customFormat="1" x14ac:dyDescent="0.25">
      <c r="A2924" s="19" t="s">
        <v>36</v>
      </c>
      <c r="B2924" s="2">
        <v>44014</v>
      </c>
      <c r="C2924" s="1">
        <v>0</v>
      </c>
      <c r="D2924" s="39">
        <v>11</v>
      </c>
      <c r="E2924" s="1"/>
      <c r="F2924" s="39">
        <f t="shared" si="184"/>
        <v>0</v>
      </c>
      <c r="G2924" s="395"/>
      <c r="H2924" s="395"/>
      <c r="J2924" s="42"/>
    </row>
    <row r="2925" spans="1:10" s="393" customFormat="1" x14ac:dyDescent="0.25">
      <c r="A2925" s="19" t="s">
        <v>37</v>
      </c>
      <c r="B2925" s="2">
        <v>44014</v>
      </c>
      <c r="C2925" s="1">
        <v>0</v>
      </c>
      <c r="D2925" s="39">
        <v>50</v>
      </c>
      <c r="E2925" s="1"/>
      <c r="F2925" s="39">
        <f t="shared" si="184"/>
        <v>0</v>
      </c>
      <c r="G2925" s="395"/>
      <c r="H2925" s="395"/>
      <c r="J2925" s="42"/>
    </row>
    <row r="2926" spans="1:10" s="393" customFormat="1" x14ac:dyDescent="0.25">
      <c r="A2926" s="19" t="s">
        <v>22</v>
      </c>
      <c r="B2926" s="2">
        <v>44014</v>
      </c>
      <c r="C2926" s="1">
        <v>2</v>
      </c>
      <c r="D2926" s="39">
        <v>424</v>
      </c>
      <c r="E2926" s="1"/>
      <c r="F2926" s="39">
        <f>E2926+F2902</f>
        <v>4</v>
      </c>
      <c r="G2926" s="395"/>
      <c r="H2926" s="395"/>
      <c r="J2926" s="42"/>
    </row>
    <row r="2927" spans="1:10" s="393" customFormat="1" x14ac:dyDescent="0.25">
      <c r="A2927" s="19" t="s">
        <v>38</v>
      </c>
      <c r="B2927" s="2">
        <v>44014</v>
      </c>
      <c r="C2927" s="1">
        <v>0</v>
      </c>
      <c r="D2927" s="39">
        <v>25</v>
      </c>
      <c r="E2927" s="1"/>
      <c r="F2927" s="39">
        <f>E2927+F2903</f>
        <v>0</v>
      </c>
      <c r="G2927" s="395"/>
      <c r="H2927" s="395"/>
      <c r="J2927" s="42"/>
    </row>
    <row r="2928" spans="1:10" s="393" customFormat="1" x14ac:dyDescent="0.25">
      <c r="A2928" s="19" t="s">
        <v>39</v>
      </c>
      <c r="B2928" s="2">
        <v>44014</v>
      </c>
      <c r="C2928" s="1">
        <v>0</v>
      </c>
      <c r="D2928" s="39">
        <v>149</v>
      </c>
      <c r="E2928" s="1"/>
      <c r="F2928" s="39">
        <f>E2928+F2904</f>
        <v>1</v>
      </c>
      <c r="G2928" s="395"/>
      <c r="H2928" s="395"/>
      <c r="J2928" s="42"/>
    </row>
    <row r="2929" spans="1:10" s="393" customFormat="1" x14ac:dyDescent="0.25">
      <c r="A2929" s="19" t="s">
        <v>40</v>
      </c>
      <c r="B2929" s="2">
        <v>44014</v>
      </c>
      <c r="C2929" s="1">
        <v>0</v>
      </c>
      <c r="D2929" s="39">
        <v>81</v>
      </c>
      <c r="E2929" s="1"/>
      <c r="F2929" s="39">
        <f>E2929+F2905</f>
        <v>4</v>
      </c>
      <c r="G2929" s="395"/>
      <c r="H2929" s="395"/>
      <c r="J2929" s="42"/>
    </row>
    <row r="2930" spans="1:10" s="393" customFormat="1" x14ac:dyDescent="0.25">
      <c r="A2930" s="394" t="s">
        <v>16</v>
      </c>
      <c r="B2930" s="2">
        <v>44015</v>
      </c>
      <c r="C2930" s="1">
        <v>1849</v>
      </c>
      <c r="D2930" s="39">
        <v>36890</v>
      </c>
      <c r="E2930" s="1">
        <v>26</v>
      </c>
      <c r="F2930" s="39">
        <f>E2930+F2906</f>
        <v>653</v>
      </c>
      <c r="G2930" s="395"/>
      <c r="H2930" s="395"/>
      <c r="J2930" s="42"/>
    </row>
    <row r="2931" spans="1:10" s="393" customFormat="1" x14ac:dyDescent="0.25">
      <c r="A2931" s="19" t="s">
        <v>28</v>
      </c>
      <c r="B2931" s="2">
        <v>44015</v>
      </c>
      <c r="C2931" s="1">
        <v>1</v>
      </c>
      <c r="D2931" s="39">
        <v>1</v>
      </c>
      <c r="E2931" s="1"/>
      <c r="F2931" s="39">
        <f t="shared" ref="F2931:F2937" si="185">E2931+F2907</f>
        <v>0</v>
      </c>
      <c r="G2931" s="395"/>
      <c r="H2931" s="395"/>
      <c r="J2931" s="42"/>
    </row>
    <row r="2932" spans="1:10" s="393" customFormat="1" x14ac:dyDescent="0.25">
      <c r="A2932" s="19" t="s">
        <v>15</v>
      </c>
      <c r="B2932" s="2">
        <v>44015</v>
      </c>
      <c r="C2932" s="1">
        <v>37</v>
      </c>
      <c r="D2932" s="39">
        <v>2209</v>
      </c>
      <c r="E2932" s="1">
        <v>3</v>
      </c>
      <c r="F2932" s="39">
        <f t="shared" si="185"/>
        <v>103</v>
      </c>
      <c r="G2932" s="395"/>
      <c r="H2932" s="395"/>
      <c r="J2932" s="42"/>
    </row>
    <row r="2933" spans="1:10" s="393" customFormat="1" x14ac:dyDescent="0.25">
      <c r="A2933" s="19" t="s">
        <v>29</v>
      </c>
      <c r="B2933" s="2">
        <v>44015</v>
      </c>
      <c r="C2933" s="1">
        <v>12</v>
      </c>
      <c r="D2933" s="39">
        <v>148</v>
      </c>
      <c r="E2933" s="1"/>
      <c r="F2933" s="39">
        <f t="shared" si="185"/>
        <v>2</v>
      </c>
      <c r="G2933" s="395"/>
      <c r="H2933" s="395"/>
      <c r="J2933" s="42"/>
    </row>
    <row r="2934" spans="1:10" s="393" customFormat="1" x14ac:dyDescent="0.25">
      <c r="A2934" s="19" t="s">
        <v>43</v>
      </c>
      <c r="B2934" s="2">
        <v>44015</v>
      </c>
      <c r="C2934" s="1">
        <v>835</v>
      </c>
      <c r="D2934" s="39">
        <v>29611</v>
      </c>
      <c r="E2934" s="1">
        <v>22</v>
      </c>
      <c r="F2934" s="39">
        <f t="shared" si="185"/>
        <v>551</v>
      </c>
      <c r="G2934" s="395"/>
      <c r="H2934" s="395"/>
      <c r="J2934" s="42"/>
    </row>
    <row r="2935" spans="1:10" s="393" customFormat="1" x14ac:dyDescent="0.25">
      <c r="A2935" s="19" t="s">
        <v>20</v>
      </c>
      <c r="B2935" s="2">
        <v>44015</v>
      </c>
      <c r="C2935" s="1">
        <v>8</v>
      </c>
      <c r="D2935" s="39">
        <v>678</v>
      </c>
      <c r="E2935" s="1"/>
      <c r="F2935" s="39">
        <f t="shared" si="185"/>
        <v>34</v>
      </c>
      <c r="G2935" s="395"/>
      <c r="H2935" s="395"/>
      <c r="J2935" s="42"/>
    </row>
    <row r="2936" spans="1:10" s="393" customFormat="1" x14ac:dyDescent="0.25">
      <c r="A2936" s="19" t="s">
        <v>30</v>
      </c>
      <c r="B2936" s="2">
        <v>44015</v>
      </c>
      <c r="C2936" s="1">
        <v>0</v>
      </c>
      <c r="D2936" s="39">
        <v>119</v>
      </c>
      <c r="E2936" s="1"/>
      <c r="F2936" s="39">
        <f t="shared" si="185"/>
        <v>0</v>
      </c>
      <c r="G2936" s="395"/>
      <c r="H2936" s="395"/>
      <c r="J2936" s="42"/>
    </row>
    <row r="2937" spans="1:10" x14ac:dyDescent="0.25">
      <c r="A2937" s="19" t="s">
        <v>31</v>
      </c>
      <c r="B2937" s="2">
        <v>44015</v>
      </c>
      <c r="C2937" s="1">
        <v>11</v>
      </c>
      <c r="D2937" s="39">
        <v>318</v>
      </c>
      <c r="F2937" s="39">
        <f t="shared" si="185"/>
        <v>0</v>
      </c>
    </row>
    <row r="2938" spans="1:10" s="393" customFormat="1" x14ac:dyDescent="0.25">
      <c r="A2938" s="19" t="s">
        <v>41</v>
      </c>
      <c r="B2938" s="2">
        <v>44015</v>
      </c>
      <c r="C2938" s="1">
        <v>0</v>
      </c>
      <c r="D2938" s="39">
        <v>76</v>
      </c>
      <c r="E2938" s="1"/>
      <c r="F2938" s="39">
        <f t="shared" ref="F2938:F2949" si="186">E2938+F2913</f>
        <v>0</v>
      </c>
      <c r="G2938" s="395"/>
      <c r="H2938" s="395"/>
      <c r="J2938" s="42"/>
    </row>
    <row r="2939" spans="1:10" s="393" customFormat="1" x14ac:dyDescent="0.25">
      <c r="A2939" s="19" t="s">
        <v>32</v>
      </c>
      <c r="B2939" s="2">
        <v>44015</v>
      </c>
      <c r="C2939" s="1">
        <v>20</v>
      </c>
      <c r="D2939" s="39">
        <v>147</v>
      </c>
      <c r="E2939" s="1"/>
      <c r="F2939" s="39">
        <f t="shared" si="186"/>
        <v>0</v>
      </c>
      <c r="G2939" s="395"/>
      <c r="H2939" s="395"/>
      <c r="J2939" s="42"/>
    </row>
    <row r="2940" spans="1:10" s="393" customFormat="1" x14ac:dyDescent="0.25">
      <c r="A2940" s="19" t="s">
        <v>33</v>
      </c>
      <c r="B2940" s="2">
        <v>44015</v>
      </c>
      <c r="C2940" s="1">
        <v>0</v>
      </c>
      <c r="D2940" s="39">
        <v>7</v>
      </c>
      <c r="E2940" s="1"/>
      <c r="F2940" s="39">
        <f t="shared" si="186"/>
        <v>0</v>
      </c>
      <c r="G2940" s="395"/>
      <c r="H2940" s="395"/>
      <c r="J2940" s="42"/>
    </row>
    <row r="2941" spans="1:10" s="393" customFormat="1" x14ac:dyDescent="0.25">
      <c r="A2941" s="19" t="s">
        <v>21</v>
      </c>
      <c r="B2941" s="2">
        <v>44015</v>
      </c>
      <c r="C2941" s="1">
        <v>3</v>
      </c>
      <c r="D2941" s="39">
        <v>91</v>
      </c>
      <c r="E2941" s="1"/>
      <c r="F2941" s="39">
        <f t="shared" si="186"/>
        <v>0</v>
      </c>
      <c r="G2941" s="395"/>
      <c r="H2941" s="395"/>
      <c r="J2941" s="42"/>
    </row>
    <row r="2942" spans="1:10" s="393" customFormat="1" x14ac:dyDescent="0.25">
      <c r="A2942" s="19" t="s">
        <v>17</v>
      </c>
      <c r="B2942" s="2">
        <v>44015</v>
      </c>
      <c r="C2942" s="1">
        <v>3</v>
      </c>
      <c r="D2942" s="39">
        <v>180</v>
      </c>
      <c r="E2942" s="1"/>
      <c r="F2942" s="39">
        <f t="shared" si="186"/>
        <v>0</v>
      </c>
      <c r="G2942" s="395"/>
      <c r="H2942" s="395"/>
      <c r="J2942" s="42"/>
    </row>
    <row r="2943" spans="1:10" s="393" customFormat="1" x14ac:dyDescent="0.25">
      <c r="A2943" s="19" t="s">
        <v>23</v>
      </c>
      <c r="B2943" s="2">
        <v>44015</v>
      </c>
      <c r="C2943" s="1">
        <v>0</v>
      </c>
      <c r="D2943" s="39">
        <v>47</v>
      </c>
      <c r="E2943" s="1"/>
      <c r="F2943" s="39">
        <f t="shared" si="186"/>
        <v>1</v>
      </c>
      <c r="G2943" s="395"/>
      <c r="H2943" s="395"/>
      <c r="J2943" s="42"/>
    </row>
    <row r="2944" spans="1:10" s="393" customFormat="1" x14ac:dyDescent="0.25">
      <c r="A2944" s="19" t="s">
        <v>19</v>
      </c>
      <c r="B2944" s="2">
        <v>44015</v>
      </c>
      <c r="C2944" s="1">
        <v>28</v>
      </c>
      <c r="D2944" s="39">
        <v>522</v>
      </c>
      <c r="E2944" s="1"/>
      <c r="F2944" s="39">
        <f t="shared" si="186"/>
        <v>0</v>
      </c>
      <c r="G2944" s="395"/>
      <c r="H2944" s="395"/>
      <c r="J2944" s="42"/>
    </row>
    <row r="2945" spans="1:10" s="393" customFormat="1" x14ac:dyDescent="0.25">
      <c r="A2945" s="19" t="s">
        <v>18</v>
      </c>
      <c r="B2945" s="2">
        <v>44015</v>
      </c>
      <c r="C2945" s="1">
        <v>23</v>
      </c>
      <c r="D2945" s="39">
        <v>934</v>
      </c>
      <c r="E2945" s="1"/>
      <c r="F2945" s="39">
        <f t="shared" si="186"/>
        <v>0</v>
      </c>
      <c r="G2945" s="395"/>
      <c r="H2945" s="395"/>
      <c r="J2945" s="42"/>
    </row>
    <row r="2946" spans="1:10" s="393" customFormat="1" x14ac:dyDescent="0.25">
      <c r="A2946" s="19" t="s">
        <v>34</v>
      </c>
      <c r="B2946" s="2">
        <v>44015</v>
      </c>
      <c r="C2946" s="1">
        <v>8</v>
      </c>
      <c r="D2946" s="39">
        <v>41</v>
      </c>
      <c r="E2946" s="1"/>
      <c r="F2946" s="39">
        <f t="shared" si="186"/>
        <v>0</v>
      </c>
      <c r="G2946" s="395"/>
      <c r="H2946" s="395"/>
      <c r="J2946" s="42"/>
    </row>
    <row r="2947" spans="1:10" s="393" customFormat="1" x14ac:dyDescent="0.25">
      <c r="A2947" s="19" t="s">
        <v>35</v>
      </c>
      <c r="B2947" s="2">
        <v>44015</v>
      </c>
      <c r="C2947" s="1">
        <v>0</v>
      </c>
      <c r="D2947" s="39">
        <v>8</v>
      </c>
      <c r="E2947" s="1"/>
      <c r="F2947" s="39">
        <f>E2947+F2923</f>
        <v>0</v>
      </c>
      <c r="G2947" s="395"/>
      <c r="H2947" s="395"/>
      <c r="J2947" s="42"/>
    </row>
    <row r="2948" spans="1:10" s="393" customFormat="1" x14ac:dyDescent="0.25">
      <c r="A2948" s="19" t="s">
        <v>36</v>
      </c>
      <c r="B2948" s="2">
        <v>44015</v>
      </c>
      <c r="C2948" s="1">
        <v>0</v>
      </c>
      <c r="D2948" s="39">
        <v>11</v>
      </c>
      <c r="E2948" s="1"/>
      <c r="F2948" s="39">
        <f t="shared" si="186"/>
        <v>0</v>
      </c>
      <c r="G2948" s="395"/>
      <c r="H2948" s="395"/>
      <c r="J2948" s="42"/>
    </row>
    <row r="2949" spans="1:10" s="393" customFormat="1" x14ac:dyDescent="0.25">
      <c r="A2949" s="19" t="s">
        <v>37</v>
      </c>
      <c r="B2949" s="2">
        <v>44015</v>
      </c>
      <c r="C2949" s="1">
        <v>0</v>
      </c>
      <c r="D2949" s="39">
        <v>50</v>
      </c>
      <c r="E2949" s="1"/>
      <c r="F2949" s="39">
        <f t="shared" si="186"/>
        <v>0</v>
      </c>
      <c r="G2949" s="395"/>
      <c r="H2949" s="395"/>
      <c r="J2949" s="42"/>
    </row>
    <row r="2950" spans="1:10" s="393" customFormat="1" x14ac:dyDescent="0.25">
      <c r="A2950" s="19" t="s">
        <v>22</v>
      </c>
      <c r="B2950" s="2">
        <v>44015</v>
      </c>
      <c r="C2950" s="1">
        <v>5</v>
      </c>
      <c r="D2950" s="39">
        <v>429</v>
      </c>
      <c r="E2950" s="1">
        <v>1</v>
      </c>
      <c r="F2950" s="39">
        <f>E2950+F2926</f>
        <v>5</v>
      </c>
      <c r="G2950" s="395"/>
      <c r="H2950" s="395"/>
      <c r="J2950" s="42"/>
    </row>
    <row r="2951" spans="1:10" s="393" customFormat="1" x14ac:dyDescent="0.25">
      <c r="A2951" s="19" t="s">
        <v>38</v>
      </c>
      <c r="B2951" s="2">
        <v>44015</v>
      </c>
      <c r="C2951" s="1">
        <v>0</v>
      </c>
      <c r="D2951" s="39">
        <v>25</v>
      </c>
      <c r="E2951" s="1"/>
      <c r="F2951" s="39">
        <f>E2951+F2927</f>
        <v>0</v>
      </c>
      <c r="G2951" s="395"/>
      <c r="H2951" s="395"/>
      <c r="J2951" s="42"/>
    </row>
    <row r="2952" spans="1:10" s="393" customFormat="1" x14ac:dyDescent="0.25">
      <c r="A2952" s="19" t="s">
        <v>39</v>
      </c>
      <c r="B2952" s="2">
        <v>44015</v>
      </c>
      <c r="C2952" s="1">
        <v>0</v>
      </c>
      <c r="D2952" s="39">
        <v>149</v>
      </c>
      <c r="E2952" s="1"/>
      <c r="F2952" s="39">
        <f>E2952+F2928</f>
        <v>1</v>
      </c>
      <c r="G2952" s="395"/>
      <c r="H2952" s="395"/>
      <c r="J2952" s="42"/>
    </row>
    <row r="2953" spans="1:10" s="393" customFormat="1" x14ac:dyDescent="0.25">
      <c r="A2953" s="19" t="s">
        <v>40</v>
      </c>
      <c r="B2953" s="2">
        <v>44015</v>
      </c>
      <c r="C2953" s="1">
        <v>2</v>
      </c>
      <c r="D2953" s="39">
        <v>83</v>
      </c>
      <c r="E2953" s="1"/>
      <c r="F2953" s="39">
        <f>E2953+F2929</f>
        <v>4</v>
      </c>
      <c r="G2953" s="395"/>
      <c r="H2953" s="395"/>
      <c r="J2953" s="42"/>
    </row>
    <row r="2954" spans="1:10" s="393" customFormat="1" x14ac:dyDescent="0.25">
      <c r="A2954" s="394" t="s">
        <v>16</v>
      </c>
      <c r="B2954" s="2">
        <v>44016</v>
      </c>
      <c r="C2954" s="1">
        <v>1517</v>
      </c>
      <c r="D2954" s="39">
        <v>38407</v>
      </c>
      <c r="E2954" s="1">
        <v>26</v>
      </c>
      <c r="F2954" s="39">
        <f>E2954+F2930</f>
        <v>679</v>
      </c>
      <c r="G2954" s="395"/>
      <c r="H2954" s="395"/>
      <c r="J2954" s="42"/>
    </row>
    <row r="2955" spans="1:10" s="393" customFormat="1" x14ac:dyDescent="0.25">
      <c r="A2955" s="19" t="s">
        <v>28</v>
      </c>
      <c r="B2955" s="2">
        <v>44016</v>
      </c>
      <c r="C2955" s="1">
        <v>5</v>
      </c>
      <c r="D2955" s="39">
        <v>6</v>
      </c>
      <c r="E2955" s="1"/>
      <c r="F2955" s="39">
        <f t="shared" ref="F2955:F2961" si="187">E2955+F2931</f>
        <v>0</v>
      </c>
      <c r="G2955" s="395"/>
      <c r="H2955" s="395"/>
      <c r="J2955" s="42"/>
    </row>
    <row r="2956" spans="1:10" s="393" customFormat="1" x14ac:dyDescent="0.25">
      <c r="A2956" s="19" t="s">
        <v>15</v>
      </c>
      <c r="B2956" s="2">
        <v>44016</v>
      </c>
      <c r="C2956" s="1">
        <v>53</v>
      </c>
      <c r="D2956" s="39">
        <v>2262</v>
      </c>
      <c r="E2956" s="1">
        <v>3</v>
      </c>
      <c r="F2956" s="39">
        <f t="shared" si="187"/>
        <v>106</v>
      </c>
      <c r="G2956" s="395"/>
      <c r="H2956" s="395"/>
      <c r="J2956" s="42"/>
    </row>
    <row r="2957" spans="1:10" s="393" customFormat="1" x14ac:dyDescent="0.25">
      <c r="A2957" s="19" t="s">
        <v>29</v>
      </c>
      <c r="B2957" s="2">
        <v>44016</v>
      </c>
      <c r="C2957" s="1">
        <v>0</v>
      </c>
      <c r="D2957" s="39">
        <v>148</v>
      </c>
      <c r="E2957" s="1"/>
      <c r="F2957" s="39">
        <f t="shared" si="187"/>
        <v>2</v>
      </c>
      <c r="G2957" s="395"/>
      <c r="H2957" s="395"/>
      <c r="J2957" s="42"/>
    </row>
    <row r="2958" spans="1:10" s="393" customFormat="1" x14ac:dyDescent="0.25">
      <c r="A2958" s="19" t="s">
        <v>43</v>
      </c>
      <c r="B2958" s="2">
        <v>44016</v>
      </c>
      <c r="C2958" s="1">
        <v>899</v>
      </c>
      <c r="D2958" s="39">
        <v>30510</v>
      </c>
      <c r="E2958" s="1">
        <v>13</v>
      </c>
      <c r="F2958" s="39">
        <f t="shared" si="187"/>
        <v>564</v>
      </c>
      <c r="G2958" s="395"/>
      <c r="H2958" s="395"/>
      <c r="J2958" s="42"/>
    </row>
    <row r="2959" spans="1:10" s="393" customFormat="1" x14ac:dyDescent="0.25">
      <c r="A2959" s="19" t="s">
        <v>20</v>
      </c>
      <c r="B2959" s="2">
        <v>44016</v>
      </c>
      <c r="C2959" s="1">
        <v>13</v>
      </c>
      <c r="D2959" s="39">
        <v>691</v>
      </c>
      <c r="E2959" s="1"/>
      <c r="F2959" s="39">
        <f t="shared" si="187"/>
        <v>34</v>
      </c>
      <c r="G2959" s="395"/>
      <c r="H2959" s="395"/>
      <c r="J2959" s="42"/>
    </row>
    <row r="2960" spans="1:10" s="393" customFormat="1" x14ac:dyDescent="0.25">
      <c r="A2960" s="19" t="s">
        <v>30</v>
      </c>
      <c r="B2960" s="2">
        <v>44016</v>
      </c>
      <c r="C2960" s="1">
        <v>0</v>
      </c>
      <c r="D2960" s="39">
        <v>119</v>
      </c>
      <c r="E2960" s="1"/>
      <c r="F2960" s="39">
        <f t="shared" si="187"/>
        <v>0</v>
      </c>
      <c r="G2960" s="395"/>
      <c r="H2960" s="395"/>
      <c r="J2960" s="42"/>
    </row>
    <row r="2961" spans="1:10" x14ac:dyDescent="0.25">
      <c r="A2961" s="19" t="s">
        <v>31</v>
      </c>
      <c r="B2961" s="2">
        <v>44016</v>
      </c>
      <c r="C2961" s="1">
        <v>5</v>
      </c>
      <c r="D2961" s="39">
        <v>323</v>
      </c>
      <c r="F2961" s="39">
        <f t="shared" si="187"/>
        <v>0</v>
      </c>
    </row>
    <row r="2962" spans="1:10" s="393" customFormat="1" x14ac:dyDescent="0.25">
      <c r="A2962" s="19" t="s">
        <v>41</v>
      </c>
      <c r="B2962" s="2">
        <v>44016</v>
      </c>
      <c r="C2962" s="1">
        <v>0</v>
      </c>
      <c r="D2962" s="39">
        <v>76</v>
      </c>
      <c r="E2962" s="1"/>
      <c r="F2962" s="39">
        <f t="shared" ref="F2962:F2973" si="188">E2962+F2937</f>
        <v>0</v>
      </c>
      <c r="G2962" s="395"/>
      <c r="H2962" s="395"/>
      <c r="J2962" s="42"/>
    </row>
    <row r="2963" spans="1:10" s="393" customFormat="1" x14ac:dyDescent="0.25">
      <c r="A2963" s="19" t="s">
        <v>32</v>
      </c>
      <c r="B2963" s="2">
        <v>44016</v>
      </c>
      <c r="C2963" s="1">
        <v>14</v>
      </c>
      <c r="D2963" s="39">
        <v>161</v>
      </c>
      <c r="E2963" s="1"/>
      <c r="F2963" s="39">
        <f t="shared" si="188"/>
        <v>0</v>
      </c>
      <c r="G2963" s="395"/>
      <c r="H2963" s="395"/>
      <c r="J2963" s="42"/>
    </row>
    <row r="2964" spans="1:10" s="393" customFormat="1" x14ac:dyDescent="0.25">
      <c r="A2964" s="19" t="s">
        <v>33</v>
      </c>
      <c r="B2964" s="2">
        <v>44016</v>
      </c>
      <c r="C2964" s="1">
        <v>0</v>
      </c>
      <c r="D2964" s="39">
        <v>7</v>
      </c>
      <c r="E2964" s="1"/>
      <c r="F2964" s="39">
        <f t="shared" si="188"/>
        <v>0</v>
      </c>
      <c r="G2964" s="395"/>
      <c r="H2964" s="395"/>
      <c r="J2964" s="42"/>
    </row>
    <row r="2965" spans="1:10" s="393" customFormat="1" x14ac:dyDescent="0.25">
      <c r="A2965" s="19" t="s">
        <v>21</v>
      </c>
      <c r="B2965" s="2">
        <v>44016</v>
      </c>
      <c r="C2965" s="1">
        <v>5</v>
      </c>
      <c r="D2965" s="39">
        <v>96</v>
      </c>
      <c r="E2965" s="1"/>
      <c r="F2965" s="39">
        <f t="shared" si="188"/>
        <v>0</v>
      </c>
      <c r="G2965" s="395"/>
      <c r="H2965" s="395"/>
      <c r="J2965" s="42"/>
    </row>
    <row r="2966" spans="1:10" s="393" customFormat="1" x14ac:dyDescent="0.25">
      <c r="A2966" s="19" t="s">
        <v>17</v>
      </c>
      <c r="B2966" s="2">
        <v>44016</v>
      </c>
      <c r="C2966" s="1">
        <v>4</v>
      </c>
      <c r="D2966" s="39">
        <v>184</v>
      </c>
      <c r="E2966" s="1"/>
      <c r="F2966" s="39">
        <f t="shared" si="188"/>
        <v>0</v>
      </c>
      <c r="G2966" s="395"/>
      <c r="H2966" s="395"/>
      <c r="J2966" s="42"/>
    </row>
    <row r="2967" spans="1:10" s="393" customFormat="1" x14ac:dyDescent="0.25">
      <c r="A2967" s="19" t="s">
        <v>23</v>
      </c>
      <c r="B2967" s="2">
        <v>44016</v>
      </c>
      <c r="C2967" s="1">
        <v>0</v>
      </c>
      <c r="D2967" s="39">
        <v>47</v>
      </c>
      <c r="E2967" s="1"/>
      <c r="F2967" s="39">
        <f t="shared" si="188"/>
        <v>0</v>
      </c>
      <c r="G2967" s="395"/>
      <c r="H2967" s="395"/>
      <c r="J2967" s="42"/>
    </row>
    <row r="2968" spans="1:10" s="393" customFormat="1" x14ac:dyDescent="0.25">
      <c r="A2968" s="19" t="s">
        <v>19</v>
      </c>
      <c r="B2968" s="2">
        <v>44016</v>
      </c>
      <c r="C2968" s="1">
        <v>20</v>
      </c>
      <c r="D2968" s="39">
        <v>542</v>
      </c>
      <c r="E2968" s="1">
        <v>1</v>
      </c>
      <c r="F2968" s="39">
        <f t="shared" si="188"/>
        <v>2</v>
      </c>
      <c r="G2968" s="395"/>
      <c r="H2968" s="395"/>
      <c r="J2968" s="42"/>
    </row>
    <row r="2969" spans="1:10" s="393" customFormat="1" x14ac:dyDescent="0.25">
      <c r="A2969" s="19" t="s">
        <v>18</v>
      </c>
      <c r="B2969" s="2">
        <v>44016</v>
      </c>
      <c r="C2969" s="1">
        <v>28</v>
      </c>
      <c r="D2969" s="39">
        <v>962</v>
      </c>
      <c r="E2969" s="1"/>
      <c r="F2969" s="39">
        <f t="shared" si="188"/>
        <v>0</v>
      </c>
      <c r="G2969" s="395"/>
      <c r="H2969" s="395"/>
      <c r="J2969" s="42"/>
    </row>
    <row r="2970" spans="1:10" s="393" customFormat="1" x14ac:dyDescent="0.25">
      <c r="A2970" s="19" t="s">
        <v>34</v>
      </c>
      <c r="B2970" s="2">
        <v>44016</v>
      </c>
      <c r="C2970" s="1">
        <v>16</v>
      </c>
      <c r="D2970" s="39">
        <v>57</v>
      </c>
      <c r="E2970" s="1"/>
      <c r="F2970" s="39">
        <f t="shared" si="188"/>
        <v>0</v>
      </c>
      <c r="G2970" s="395"/>
      <c r="H2970" s="395"/>
      <c r="J2970" s="42"/>
    </row>
    <row r="2971" spans="1:10" s="393" customFormat="1" x14ac:dyDescent="0.25">
      <c r="A2971" s="19" t="s">
        <v>35</v>
      </c>
      <c r="B2971" s="2">
        <v>44016</v>
      </c>
      <c r="C2971" s="1">
        <v>0</v>
      </c>
      <c r="D2971" s="39">
        <v>8</v>
      </c>
      <c r="E2971" s="1"/>
      <c r="F2971" s="39">
        <f>E2971+F2947</f>
        <v>0</v>
      </c>
      <c r="G2971" s="395"/>
      <c r="H2971" s="395"/>
      <c r="J2971" s="42"/>
    </row>
    <row r="2972" spans="1:10" s="393" customFormat="1" x14ac:dyDescent="0.25">
      <c r="A2972" s="19" t="s">
        <v>36</v>
      </c>
      <c r="B2972" s="2">
        <v>44016</v>
      </c>
      <c r="C2972" s="1">
        <v>1</v>
      </c>
      <c r="D2972" s="39">
        <v>12</v>
      </c>
      <c r="E2972" s="1"/>
      <c r="F2972" s="39">
        <f t="shared" si="188"/>
        <v>0</v>
      </c>
      <c r="G2972" s="395"/>
      <c r="H2972" s="395"/>
      <c r="J2972" s="42"/>
    </row>
    <row r="2973" spans="1:10" s="393" customFormat="1" x14ac:dyDescent="0.25">
      <c r="A2973" s="19" t="s">
        <v>37</v>
      </c>
      <c r="B2973" s="2">
        <v>44016</v>
      </c>
      <c r="C2973" s="1">
        <v>0</v>
      </c>
      <c r="D2973" s="39">
        <v>50</v>
      </c>
      <c r="E2973" s="1"/>
      <c r="F2973" s="39">
        <f t="shared" si="188"/>
        <v>0</v>
      </c>
      <c r="G2973" s="395"/>
      <c r="H2973" s="395"/>
      <c r="J2973" s="42"/>
    </row>
    <row r="2974" spans="1:10" s="393" customFormat="1" x14ac:dyDescent="0.25">
      <c r="A2974" s="19" t="s">
        <v>22</v>
      </c>
      <c r="B2974" s="2">
        <v>44016</v>
      </c>
      <c r="C2974" s="1">
        <v>5</v>
      </c>
      <c r="D2974" s="39">
        <v>434</v>
      </c>
      <c r="E2974" s="1">
        <v>1</v>
      </c>
      <c r="F2974" s="39">
        <f>E2974+F2950</f>
        <v>6</v>
      </c>
      <c r="G2974" s="395"/>
      <c r="H2974" s="395"/>
      <c r="J2974" s="42"/>
    </row>
    <row r="2975" spans="1:10" s="393" customFormat="1" x14ac:dyDescent="0.25">
      <c r="A2975" s="19" t="s">
        <v>38</v>
      </c>
      <c r="B2975" s="2">
        <v>44016</v>
      </c>
      <c r="C2975" s="1">
        <v>0</v>
      </c>
      <c r="D2975" s="39">
        <v>25</v>
      </c>
      <c r="E2975" s="1"/>
      <c r="F2975" s="39">
        <f>E2975+F2951</f>
        <v>0</v>
      </c>
      <c r="G2975" s="395"/>
      <c r="H2975" s="395"/>
      <c r="J2975" s="42"/>
    </row>
    <row r="2976" spans="1:10" s="393" customFormat="1" x14ac:dyDescent="0.25">
      <c r="A2976" s="19" t="s">
        <v>39</v>
      </c>
      <c r="B2976" s="2">
        <v>44016</v>
      </c>
      <c r="C2976" s="1">
        <v>4</v>
      </c>
      <c r="D2976" s="39">
        <v>153</v>
      </c>
      <c r="E2976" s="1"/>
      <c r="F2976" s="39">
        <f>E2976+F2952</f>
        <v>1</v>
      </c>
      <c r="G2976" s="395"/>
      <c r="H2976" s="395"/>
      <c r="J2976" s="42"/>
    </row>
    <row r="2977" spans="1:10" s="393" customFormat="1" x14ac:dyDescent="0.25">
      <c r="A2977" s="19" t="s">
        <v>40</v>
      </c>
      <c r="B2977" s="2">
        <v>44016</v>
      </c>
      <c r="C2977" s="1">
        <v>1</v>
      </c>
      <c r="D2977" s="39">
        <v>84</v>
      </c>
      <c r="E2977" s="1"/>
      <c r="F2977" s="39">
        <f>E2977+F2953</f>
        <v>4</v>
      </c>
      <c r="G2977" s="395"/>
      <c r="H2977" s="395"/>
      <c r="J2977" s="42"/>
    </row>
    <row r="2978" spans="1:10" s="393" customFormat="1" x14ac:dyDescent="0.25">
      <c r="A2978" s="394" t="s">
        <v>16</v>
      </c>
      <c r="B2978" s="2">
        <v>44017</v>
      </c>
      <c r="C2978" s="1">
        <v>1564</v>
      </c>
      <c r="D2978" s="39">
        <v>39971</v>
      </c>
      <c r="E2978" s="1">
        <v>12</v>
      </c>
      <c r="F2978" s="39">
        <f>E2978+F2954</f>
        <v>691</v>
      </c>
      <c r="G2978" s="395"/>
      <c r="H2978" s="395"/>
      <c r="J2978" s="42"/>
    </row>
    <row r="2979" spans="1:10" s="393" customFormat="1" x14ac:dyDescent="0.25">
      <c r="A2979" s="19" t="s">
        <v>28</v>
      </c>
      <c r="B2979" s="2">
        <v>44017</v>
      </c>
      <c r="C2979" s="1">
        <v>0</v>
      </c>
      <c r="D2979" s="39">
        <v>6</v>
      </c>
      <c r="E2979" s="1"/>
      <c r="F2979" s="39">
        <f t="shared" ref="F2979:F2985" si="189">E2979+F2955</f>
        <v>0</v>
      </c>
      <c r="G2979" s="395"/>
      <c r="H2979" s="395"/>
      <c r="J2979" s="42"/>
    </row>
    <row r="2980" spans="1:10" s="393" customFormat="1" x14ac:dyDescent="0.25">
      <c r="A2980" s="19" t="s">
        <v>15</v>
      </c>
      <c r="B2980" s="2">
        <v>44017</v>
      </c>
      <c r="C2980" s="1">
        <v>47</v>
      </c>
      <c r="D2980" s="39">
        <v>2309</v>
      </c>
      <c r="E2980" s="1"/>
      <c r="F2980" s="39">
        <f t="shared" si="189"/>
        <v>106</v>
      </c>
      <c r="G2980" s="395"/>
      <c r="H2980" s="395"/>
      <c r="J2980" s="42"/>
    </row>
    <row r="2981" spans="1:10" s="393" customFormat="1" x14ac:dyDescent="0.25">
      <c r="A2981" s="19" t="s">
        <v>29</v>
      </c>
      <c r="B2981" s="2">
        <v>44017</v>
      </c>
      <c r="C2981" s="1">
        <v>6</v>
      </c>
      <c r="D2981" s="39">
        <v>154</v>
      </c>
      <c r="E2981" s="1"/>
      <c r="F2981" s="39">
        <f t="shared" si="189"/>
        <v>2</v>
      </c>
      <c r="G2981" s="395"/>
      <c r="H2981" s="395"/>
      <c r="J2981" s="42"/>
    </row>
    <row r="2982" spans="1:10" s="393" customFormat="1" x14ac:dyDescent="0.25">
      <c r="A2982" s="19" t="s">
        <v>43</v>
      </c>
      <c r="B2982" s="2">
        <v>44017</v>
      </c>
      <c r="C2982" s="1">
        <v>767</v>
      </c>
      <c r="D2982" s="39">
        <v>31277</v>
      </c>
      <c r="E2982" s="1">
        <v>10</v>
      </c>
      <c r="F2982" s="39">
        <f t="shared" si="189"/>
        <v>574</v>
      </c>
      <c r="G2982" s="395"/>
      <c r="H2982" s="395"/>
      <c r="J2982" s="42"/>
    </row>
    <row r="2983" spans="1:10" s="393" customFormat="1" x14ac:dyDescent="0.25">
      <c r="A2983" s="19" t="s">
        <v>20</v>
      </c>
      <c r="B2983" s="2">
        <v>44017</v>
      </c>
      <c r="C2983" s="1">
        <v>14</v>
      </c>
      <c r="D2983" s="39">
        <v>705</v>
      </c>
      <c r="E2983" s="1"/>
      <c r="F2983" s="39">
        <f t="shared" si="189"/>
        <v>34</v>
      </c>
      <c r="G2983" s="395"/>
      <c r="H2983" s="395"/>
      <c r="J2983" s="42"/>
    </row>
    <row r="2984" spans="1:10" s="393" customFormat="1" x14ac:dyDescent="0.25">
      <c r="A2984" s="19" t="s">
        <v>30</v>
      </c>
      <c r="B2984" s="2">
        <v>44017</v>
      </c>
      <c r="C2984" s="1">
        <v>1</v>
      </c>
      <c r="D2984" s="39">
        <v>120</v>
      </c>
      <c r="E2984" s="1"/>
      <c r="F2984" s="39">
        <f t="shared" si="189"/>
        <v>0</v>
      </c>
      <c r="G2984" s="395"/>
      <c r="H2984" s="395"/>
      <c r="J2984" s="42"/>
    </row>
    <row r="2985" spans="1:10" x14ac:dyDescent="0.25">
      <c r="A2985" s="19" t="s">
        <v>31</v>
      </c>
      <c r="B2985" s="2">
        <v>44017</v>
      </c>
      <c r="C2985" s="1">
        <v>6</v>
      </c>
      <c r="D2985" s="39">
        <v>329</v>
      </c>
      <c r="F2985" s="39">
        <f t="shared" si="189"/>
        <v>0</v>
      </c>
    </row>
    <row r="2986" spans="1:10" s="393" customFormat="1" x14ac:dyDescent="0.25">
      <c r="A2986" s="19" t="s">
        <v>41</v>
      </c>
      <c r="B2986" s="2">
        <v>44017</v>
      </c>
      <c r="C2986" s="1">
        <v>0</v>
      </c>
      <c r="D2986" s="39">
        <v>76</v>
      </c>
      <c r="E2986" s="1"/>
      <c r="F2986" s="39">
        <f t="shared" ref="F2986:F2997" si="190">E2986+F2961</f>
        <v>0</v>
      </c>
      <c r="G2986" s="395"/>
      <c r="H2986" s="395"/>
      <c r="J2986" s="42"/>
    </row>
    <row r="2987" spans="1:10" s="393" customFormat="1" x14ac:dyDescent="0.25">
      <c r="A2987" s="19" t="s">
        <v>32</v>
      </c>
      <c r="B2987" s="2">
        <v>44017</v>
      </c>
      <c r="C2987" s="1">
        <v>1</v>
      </c>
      <c r="D2987" s="39">
        <v>162</v>
      </c>
      <c r="E2987" s="1"/>
      <c r="F2987" s="39">
        <f t="shared" si="190"/>
        <v>0</v>
      </c>
      <c r="G2987" s="395"/>
      <c r="H2987" s="395"/>
      <c r="J2987" s="42"/>
    </row>
    <row r="2988" spans="1:10" s="393" customFormat="1" x14ac:dyDescent="0.25">
      <c r="A2988" s="19" t="s">
        <v>33</v>
      </c>
      <c r="B2988" s="2">
        <v>44017</v>
      </c>
      <c r="C2988" s="1">
        <v>0</v>
      </c>
      <c r="D2988" s="39">
        <v>7</v>
      </c>
      <c r="E2988" s="1"/>
      <c r="F2988" s="39">
        <f t="shared" si="190"/>
        <v>0</v>
      </c>
      <c r="G2988" s="395"/>
      <c r="H2988" s="395"/>
      <c r="J2988" s="42"/>
    </row>
    <row r="2989" spans="1:10" s="393" customFormat="1" x14ac:dyDescent="0.25">
      <c r="A2989" s="19" t="s">
        <v>21</v>
      </c>
      <c r="B2989" s="2">
        <v>44017</v>
      </c>
      <c r="C2989" s="1">
        <v>6</v>
      </c>
      <c r="D2989" s="39">
        <v>102</v>
      </c>
      <c r="E2989" s="1"/>
      <c r="F2989" s="39">
        <f t="shared" si="190"/>
        <v>0</v>
      </c>
      <c r="G2989" s="395"/>
      <c r="H2989" s="395"/>
      <c r="J2989" s="42"/>
    </row>
    <row r="2990" spans="1:10" s="393" customFormat="1" x14ac:dyDescent="0.25">
      <c r="A2990" s="19" t="s">
        <v>17</v>
      </c>
      <c r="B2990" s="2">
        <v>44017</v>
      </c>
      <c r="C2990" s="1">
        <v>7</v>
      </c>
      <c r="D2990" s="39">
        <v>191</v>
      </c>
      <c r="E2990" s="1"/>
      <c r="F2990" s="39">
        <f t="shared" si="190"/>
        <v>0</v>
      </c>
      <c r="G2990" s="395"/>
      <c r="H2990" s="395"/>
      <c r="J2990" s="42"/>
    </row>
    <row r="2991" spans="1:10" s="393" customFormat="1" x14ac:dyDescent="0.25">
      <c r="A2991" s="19" t="s">
        <v>23</v>
      </c>
      <c r="B2991" s="2">
        <v>44017</v>
      </c>
      <c r="C2991" s="1">
        <v>0</v>
      </c>
      <c r="D2991" s="39">
        <v>47</v>
      </c>
      <c r="E2991" s="1"/>
      <c r="F2991" s="39">
        <f t="shared" si="190"/>
        <v>0</v>
      </c>
      <c r="G2991" s="395"/>
      <c r="H2991" s="395"/>
      <c r="J2991" s="42"/>
    </row>
    <row r="2992" spans="1:10" s="393" customFormat="1" x14ac:dyDescent="0.25">
      <c r="A2992" s="19" t="s">
        <v>19</v>
      </c>
      <c r="B2992" s="2">
        <v>44017</v>
      </c>
      <c r="C2992" s="1">
        <v>9</v>
      </c>
      <c r="D2992" s="39">
        <v>551</v>
      </c>
      <c r="E2992" s="1">
        <v>3</v>
      </c>
      <c r="F2992" s="39">
        <f t="shared" si="190"/>
        <v>3</v>
      </c>
      <c r="G2992" s="395"/>
      <c r="H2992" s="395"/>
      <c r="J2992" s="42"/>
    </row>
    <row r="2993" spans="1:10" s="393" customFormat="1" x14ac:dyDescent="0.25">
      <c r="A2993" s="19" t="s">
        <v>18</v>
      </c>
      <c r="B2993" s="2">
        <v>44017</v>
      </c>
      <c r="C2993" s="1">
        <v>3</v>
      </c>
      <c r="D2993" s="39">
        <v>965</v>
      </c>
      <c r="E2993" s="1">
        <v>1</v>
      </c>
      <c r="F2993" s="39">
        <f t="shared" si="190"/>
        <v>3</v>
      </c>
      <c r="G2993" s="395"/>
      <c r="H2993" s="395"/>
      <c r="J2993" s="42"/>
    </row>
    <row r="2994" spans="1:10" s="393" customFormat="1" x14ac:dyDescent="0.25">
      <c r="A2994" s="19" t="s">
        <v>34</v>
      </c>
      <c r="B2994" s="2">
        <v>44017</v>
      </c>
      <c r="C2994" s="1">
        <v>2</v>
      </c>
      <c r="D2994" s="39">
        <v>59</v>
      </c>
      <c r="E2994" s="1"/>
      <c r="F2994" s="39">
        <f t="shared" si="190"/>
        <v>0</v>
      </c>
      <c r="G2994" s="395"/>
      <c r="H2994" s="395"/>
      <c r="J2994" s="42"/>
    </row>
    <row r="2995" spans="1:10" s="393" customFormat="1" x14ac:dyDescent="0.25">
      <c r="A2995" s="19" t="s">
        <v>35</v>
      </c>
      <c r="B2995" s="2">
        <v>44017</v>
      </c>
      <c r="C2995" s="1">
        <v>0</v>
      </c>
      <c r="D2995" s="39">
        <v>8</v>
      </c>
      <c r="E2995" s="1"/>
      <c r="F2995" s="39">
        <f>E2995+F2971</f>
        <v>0</v>
      </c>
      <c r="G2995" s="395"/>
      <c r="H2995" s="395"/>
      <c r="J2995" s="42"/>
    </row>
    <row r="2996" spans="1:10" s="393" customFormat="1" x14ac:dyDescent="0.25">
      <c r="A2996" s="19" t="s">
        <v>36</v>
      </c>
      <c r="B2996" s="2">
        <v>44017</v>
      </c>
      <c r="C2996" s="1">
        <v>0</v>
      </c>
      <c r="D2996" s="39">
        <v>12</v>
      </c>
      <c r="E2996" s="1"/>
      <c r="F2996" s="39">
        <f t="shared" si="190"/>
        <v>0</v>
      </c>
      <c r="G2996" s="395"/>
      <c r="H2996" s="395"/>
      <c r="J2996" s="42"/>
    </row>
    <row r="2997" spans="1:10" s="393" customFormat="1" x14ac:dyDescent="0.25">
      <c r="A2997" s="19" t="s">
        <v>37</v>
      </c>
      <c r="B2997" s="2">
        <v>44017</v>
      </c>
      <c r="C2997" s="1">
        <v>0</v>
      </c>
      <c r="D2997" s="39">
        <v>50</v>
      </c>
      <c r="E2997" s="1"/>
      <c r="F2997" s="39">
        <f t="shared" si="190"/>
        <v>0</v>
      </c>
      <c r="G2997" s="395"/>
      <c r="H2997" s="395"/>
      <c r="J2997" s="42"/>
    </row>
    <row r="2998" spans="1:10" s="393" customFormat="1" x14ac:dyDescent="0.25">
      <c r="A2998" s="19" t="s">
        <v>22</v>
      </c>
      <c r="B2998" s="2">
        <v>44017</v>
      </c>
      <c r="C2998" s="1">
        <v>3</v>
      </c>
      <c r="D2998" s="39">
        <v>437</v>
      </c>
      <c r="E2998" s="1"/>
      <c r="F2998" s="39">
        <f>E2998+F2974</f>
        <v>6</v>
      </c>
      <c r="G2998" s="395"/>
      <c r="H2998" s="395"/>
      <c r="J2998" s="42"/>
    </row>
    <row r="2999" spans="1:10" s="393" customFormat="1" x14ac:dyDescent="0.25">
      <c r="A2999" s="19" t="s">
        <v>38</v>
      </c>
      <c r="B2999" s="2">
        <v>44017</v>
      </c>
      <c r="C2999" s="1">
        <v>0</v>
      </c>
      <c r="D2999" s="39">
        <v>25</v>
      </c>
      <c r="E2999" s="1"/>
      <c r="F2999" s="39">
        <f>E2999+F2975</f>
        <v>0</v>
      </c>
      <c r="G2999" s="395"/>
      <c r="H2999" s="395"/>
      <c r="J2999" s="42"/>
    </row>
    <row r="3000" spans="1:10" s="393" customFormat="1" x14ac:dyDescent="0.25">
      <c r="A3000" s="19" t="s">
        <v>39</v>
      </c>
      <c r="B3000" s="2">
        <v>44017</v>
      </c>
      <c r="C3000" s="1">
        <v>0</v>
      </c>
      <c r="D3000" s="39">
        <v>153</v>
      </c>
      <c r="E3000" s="1"/>
      <c r="F3000" s="39">
        <f>E3000+F2976</f>
        <v>1</v>
      </c>
      <c r="G3000" s="395"/>
      <c r="H3000" s="395"/>
      <c r="J3000" s="42"/>
    </row>
    <row r="3001" spans="1:10" s="393" customFormat="1" x14ac:dyDescent="0.25">
      <c r="A3001" s="19" t="s">
        <v>40</v>
      </c>
      <c r="B3001" s="2">
        <v>44017</v>
      </c>
      <c r="C3001" s="1">
        <v>3</v>
      </c>
      <c r="D3001" s="39">
        <v>87</v>
      </c>
      <c r="E3001" s="1"/>
      <c r="F3001" s="39">
        <f>E3001+F2977</f>
        <v>4</v>
      </c>
      <c r="G3001" s="395"/>
      <c r="H3001" s="395"/>
      <c r="J3001" s="42"/>
    </row>
    <row r="3002" spans="1:10" s="393" customFormat="1" x14ac:dyDescent="0.25">
      <c r="A3002" s="394" t="s">
        <v>16</v>
      </c>
      <c r="B3002" s="2">
        <v>44018</v>
      </c>
      <c r="C3002" s="1">
        <v>1476</v>
      </c>
      <c r="D3002" s="39">
        <v>41447</v>
      </c>
      <c r="E3002" s="1">
        <v>54</v>
      </c>
      <c r="F3002" s="39">
        <f>E3002+F2978</f>
        <v>745</v>
      </c>
      <c r="G3002" s="395"/>
      <c r="H3002" s="395"/>
      <c r="J3002" s="42"/>
    </row>
    <row r="3003" spans="1:10" s="393" customFormat="1" x14ac:dyDescent="0.25">
      <c r="A3003" s="19" t="s">
        <v>28</v>
      </c>
      <c r="B3003" s="2">
        <v>44018</v>
      </c>
      <c r="C3003" s="1">
        <v>1</v>
      </c>
      <c r="D3003" s="39">
        <v>7</v>
      </c>
      <c r="E3003" s="1"/>
      <c r="F3003" s="39">
        <f t="shared" ref="F3003:F3009" si="191">E3003+F2979</f>
        <v>0</v>
      </c>
      <c r="G3003" s="395"/>
      <c r="H3003" s="395"/>
      <c r="J3003" s="42"/>
    </row>
    <row r="3004" spans="1:10" s="393" customFormat="1" x14ac:dyDescent="0.25">
      <c r="A3004" s="19" t="s">
        <v>15</v>
      </c>
      <c r="B3004" s="2">
        <v>44018</v>
      </c>
      <c r="C3004" s="1">
        <v>26</v>
      </c>
      <c r="D3004" s="39">
        <v>2335</v>
      </c>
      <c r="E3004" s="1">
        <v>2</v>
      </c>
      <c r="F3004" s="39">
        <f t="shared" si="191"/>
        <v>108</v>
      </c>
      <c r="G3004" s="395"/>
      <c r="H3004" s="395"/>
      <c r="J3004" s="42"/>
    </row>
    <row r="3005" spans="1:10" s="393" customFormat="1" x14ac:dyDescent="0.25">
      <c r="A3005" s="19" t="s">
        <v>29</v>
      </c>
      <c r="B3005" s="2">
        <v>44018</v>
      </c>
      <c r="C3005" s="1">
        <v>6</v>
      </c>
      <c r="D3005" s="39">
        <v>160</v>
      </c>
      <c r="E3005" s="1"/>
      <c r="F3005" s="39">
        <f t="shared" si="191"/>
        <v>2</v>
      </c>
      <c r="G3005" s="395"/>
      <c r="H3005" s="395"/>
      <c r="J3005" s="42"/>
    </row>
    <row r="3006" spans="1:10" s="393" customFormat="1" x14ac:dyDescent="0.25">
      <c r="A3006" s="19" t="s">
        <v>43</v>
      </c>
      <c r="B3006" s="2">
        <v>44018</v>
      </c>
      <c r="C3006" s="1">
        <v>995</v>
      </c>
      <c r="D3006" s="39">
        <v>32272</v>
      </c>
      <c r="E3006" s="1">
        <v>14</v>
      </c>
      <c r="F3006" s="39">
        <f t="shared" si="191"/>
        <v>588</v>
      </c>
      <c r="G3006" s="395"/>
      <c r="H3006" s="395"/>
      <c r="J3006" s="42"/>
    </row>
    <row r="3007" spans="1:10" s="393" customFormat="1" x14ac:dyDescent="0.25">
      <c r="A3007" s="19" t="s">
        <v>20</v>
      </c>
      <c r="B3007" s="2">
        <v>44018</v>
      </c>
      <c r="C3007" s="1">
        <v>28</v>
      </c>
      <c r="D3007" s="39">
        <v>733</v>
      </c>
      <c r="E3007" s="1"/>
      <c r="F3007" s="39">
        <f t="shared" si="191"/>
        <v>34</v>
      </c>
      <c r="G3007" s="395"/>
      <c r="H3007" s="395"/>
      <c r="J3007" s="42"/>
    </row>
    <row r="3008" spans="1:10" s="393" customFormat="1" x14ac:dyDescent="0.25">
      <c r="A3008" s="19" t="s">
        <v>30</v>
      </c>
      <c r="B3008" s="2">
        <v>44018</v>
      </c>
      <c r="C3008" s="1">
        <v>1</v>
      </c>
      <c r="D3008" s="39">
        <v>121</v>
      </c>
      <c r="E3008" s="1"/>
      <c r="F3008" s="39">
        <f t="shared" si="191"/>
        <v>0</v>
      </c>
      <c r="G3008" s="395"/>
      <c r="H3008" s="395"/>
      <c r="J3008" s="42"/>
    </row>
    <row r="3009" spans="1:10" x14ac:dyDescent="0.25">
      <c r="A3009" s="19" t="s">
        <v>31</v>
      </c>
      <c r="B3009" s="2">
        <v>44018</v>
      </c>
      <c r="C3009" s="1">
        <v>5</v>
      </c>
      <c r="D3009" s="39">
        <v>334</v>
      </c>
      <c r="F3009" s="39">
        <f t="shared" si="191"/>
        <v>0</v>
      </c>
    </row>
    <row r="3010" spans="1:10" s="393" customFormat="1" x14ac:dyDescent="0.25">
      <c r="A3010" s="19" t="s">
        <v>41</v>
      </c>
      <c r="B3010" s="2">
        <v>44018</v>
      </c>
      <c r="C3010" s="1">
        <v>0</v>
      </c>
      <c r="D3010" s="39">
        <v>76</v>
      </c>
      <c r="E3010" s="1"/>
      <c r="F3010" s="39">
        <f t="shared" ref="F3010:F3021" si="192">E3010+F2985</f>
        <v>0</v>
      </c>
      <c r="G3010" s="395"/>
      <c r="H3010" s="395"/>
      <c r="J3010" s="42"/>
    </row>
    <row r="3011" spans="1:10" s="393" customFormat="1" x14ac:dyDescent="0.25">
      <c r="A3011" s="19" t="s">
        <v>32</v>
      </c>
      <c r="B3011" s="2">
        <v>44018</v>
      </c>
      <c r="C3011" s="1">
        <v>29</v>
      </c>
      <c r="D3011" s="39">
        <v>191</v>
      </c>
      <c r="E3011" s="1"/>
      <c r="F3011" s="39">
        <f t="shared" si="192"/>
        <v>0</v>
      </c>
      <c r="G3011" s="395"/>
      <c r="H3011" s="395"/>
      <c r="J3011" s="42"/>
    </row>
    <row r="3012" spans="1:10" s="393" customFormat="1" x14ac:dyDescent="0.25">
      <c r="A3012" s="19" t="s">
        <v>33</v>
      </c>
      <c r="B3012" s="2">
        <v>44018</v>
      </c>
      <c r="C3012" s="1">
        <v>0</v>
      </c>
      <c r="D3012" s="39">
        <v>7</v>
      </c>
      <c r="E3012" s="1"/>
      <c r="F3012" s="39">
        <f t="shared" si="192"/>
        <v>0</v>
      </c>
      <c r="G3012" s="395"/>
      <c r="H3012" s="395"/>
      <c r="J3012" s="42"/>
    </row>
    <row r="3013" spans="1:10" s="393" customFormat="1" x14ac:dyDescent="0.25">
      <c r="A3013" s="19" t="s">
        <v>21</v>
      </c>
      <c r="B3013" s="2">
        <v>44018</v>
      </c>
      <c r="C3013" s="1">
        <v>5</v>
      </c>
      <c r="D3013" s="39">
        <v>107</v>
      </c>
      <c r="E3013" s="1"/>
      <c r="F3013" s="39">
        <f t="shared" si="192"/>
        <v>0</v>
      </c>
      <c r="G3013" s="395"/>
      <c r="H3013" s="395"/>
      <c r="J3013" s="42"/>
    </row>
    <row r="3014" spans="1:10" s="393" customFormat="1" x14ac:dyDescent="0.25">
      <c r="A3014" s="19" t="s">
        <v>17</v>
      </c>
      <c r="B3014" s="2">
        <v>44018</v>
      </c>
      <c r="C3014" s="1">
        <v>4</v>
      </c>
      <c r="D3014" s="39">
        <v>195</v>
      </c>
      <c r="E3014" s="1"/>
      <c r="F3014" s="39">
        <f t="shared" si="192"/>
        <v>0</v>
      </c>
      <c r="G3014" s="395"/>
      <c r="H3014" s="395"/>
      <c r="J3014" s="42"/>
    </row>
    <row r="3015" spans="1:10" s="393" customFormat="1" x14ac:dyDescent="0.25">
      <c r="A3015" s="19" t="s">
        <v>23</v>
      </c>
      <c r="B3015" s="2">
        <v>44018</v>
      </c>
      <c r="C3015" s="1">
        <v>2</v>
      </c>
      <c r="D3015" s="39">
        <v>49</v>
      </c>
      <c r="E3015" s="1"/>
      <c r="F3015" s="39">
        <f t="shared" si="192"/>
        <v>0</v>
      </c>
      <c r="G3015" s="395"/>
      <c r="H3015" s="395"/>
      <c r="J3015" s="42"/>
    </row>
    <row r="3016" spans="1:10" s="393" customFormat="1" x14ac:dyDescent="0.25">
      <c r="A3016" s="19" t="s">
        <v>19</v>
      </c>
      <c r="B3016" s="2">
        <v>44018</v>
      </c>
      <c r="C3016" s="1">
        <v>34</v>
      </c>
      <c r="D3016" s="39">
        <v>585</v>
      </c>
      <c r="E3016" s="1">
        <v>1</v>
      </c>
      <c r="F3016" s="39">
        <f t="shared" si="192"/>
        <v>1</v>
      </c>
      <c r="G3016" s="395"/>
      <c r="H3016" s="395"/>
      <c r="J3016" s="42"/>
    </row>
    <row r="3017" spans="1:10" s="393" customFormat="1" x14ac:dyDescent="0.25">
      <c r="A3017" s="19" t="s">
        <v>18</v>
      </c>
      <c r="B3017" s="2">
        <v>44018</v>
      </c>
      <c r="C3017" s="1">
        <v>7</v>
      </c>
      <c r="D3017" s="39">
        <v>972</v>
      </c>
      <c r="E3017" s="1">
        <v>3</v>
      </c>
      <c r="F3017" s="39">
        <f t="shared" si="192"/>
        <v>6</v>
      </c>
      <c r="G3017" s="395"/>
      <c r="H3017" s="395"/>
      <c r="J3017" s="42"/>
    </row>
    <row r="3018" spans="1:10" s="393" customFormat="1" x14ac:dyDescent="0.25">
      <c r="A3018" s="19" t="s">
        <v>34</v>
      </c>
      <c r="B3018" s="2">
        <v>44018</v>
      </c>
      <c r="C3018" s="1">
        <v>2</v>
      </c>
      <c r="D3018" s="39">
        <v>61</v>
      </c>
      <c r="E3018" s="1">
        <v>1</v>
      </c>
      <c r="F3018" s="39">
        <f t="shared" si="192"/>
        <v>4</v>
      </c>
      <c r="G3018" s="395"/>
      <c r="H3018" s="395"/>
      <c r="J3018" s="42"/>
    </row>
    <row r="3019" spans="1:10" s="393" customFormat="1" x14ac:dyDescent="0.25">
      <c r="A3019" s="19" t="s">
        <v>35</v>
      </c>
      <c r="B3019" s="2">
        <v>44018</v>
      </c>
      <c r="C3019" s="1">
        <v>1</v>
      </c>
      <c r="D3019" s="39">
        <v>9</v>
      </c>
      <c r="E3019" s="1"/>
      <c r="F3019" s="39">
        <f>E3019+F2995</f>
        <v>0</v>
      </c>
      <c r="G3019" s="395"/>
      <c r="H3019" s="395"/>
      <c r="J3019" s="42"/>
    </row>
    <row r="3020" spans="1:10" s="393" customFormat="1" x14ac:dyDescent="0.25">
      <c r="A3020" s="19" t="s">
        <v>36</v>
      </c>
      <c r="B3020" s="2">
        <v>44018</v>
      </c>
      <c r="C3020" s="1">
        <v>0</v>
      </c>
      <c r="D3020" s="39">
        <v>12</v>
      </c>
      <c r="E3020" s="1"/>
      <c r="F3020" s="39">
        <f t="shared" si="192"/>
        <v>0</v>
      </c>
      <c r="G3020" s="395"/>
      <c r="H3020" s="395"/>
      <c r="J3020" s="42"/>
    </row>
    <row r="3021" spans="1:10" s="393" customFormat="1" x14ac:dyDescent="0.25">
      <c r="A3021" s="19" t="s">
        <v>37</v>
      </c>
      <c r="B3021" s="2">
        <v>44018</v>
      </c>
      <c r="C3021" s="1">
        <v>4</v>
      </c>
      <c r="D3021" s="39">
        <v>54</v>
      </c>
      <c r="E3021" s="1"/>
      <c r="F3021" s="39">
        <f t="shared" si="192"/>
        <v>0</v>
      </c>
      <c r="G3021" s="395"/>
      <c r="H3021" s="395"/>
      <c r="J3021" s="42"/>
    </row>
    <row r="3022" spans="1:10" s="393" customFormat="1" x14ac:dyDescent="0.25">
      <c r="A3022" s="19" t="s">
        <v>22</v>
      </c>
      <c r="B3022" s="2">
        <v>44018</v>
      </c>
      <c r="C3022" s="1">
        <v>5</v>
      </c>
      <c r="D3022" s="39">
        <v>442</v>
      </c>
      <c r="E3022" s="1"/>
      <c r="F3022" s="39">
        <f>E3022+F2998</f>
        <v>6</v>
      </c>
      <c r="G3022" s="395"/>
      <c r="H3022" s="395"/>
      <c r="J3022" s="42"/>
    </row>
    <row r="3023" spans="1:10" s="393" customFormat="1" x14ac:dyDescent="0.25">
      <c r="A3023" s="19" t="s">
        <v>38</v>
      </c>
      <c r="B3023" s="2">
        <v>44018</v>
      </c>
      <c r="C3023" s="1">
        <v>1</v>
      </c>
      <c r="D3023" s="39">
        <v>26</v>
      </c>
      <c r="E3023" s="1"/>
      <c r="F3023" s="39">
        <f>E3023+F2999</f>
        <v>0</v>
      </c>
      <c r="G3023" s="395"/>
      <c r="H3023" s="395"/>
      <c r="J3023" s="42"/>
    </row>
    <row r="3024" spans="1:10" s="393" customFormat="1" x14ac:dyDescent="0.25">
      <c r="A3024" s="19" t="s">
        <v>39</v>
      </c>
      <c r="B3024" s="2">
        <v>44018</v>
      </c>
      <c r="C3024" s="1">
        <v>0</v>
      </c>
      <c r="D3024" s="39">
        <v>153</v>
      </c>
      <c r="E3024" s="1"/>
      <c r="F3024" s="39">
        <f>E3024+F3000</f>
        <v>1</v>
      </c>
      <c r="G3024" s="395"/>
      <c r="H3024" s="395"/>
      <c r="J3024" s="42"/>
    </row>
    <row r="3025" spans="1:10" s="393" customFormat="1" x14ac:dyDescent="0.25">
      <c r="A3025" s="19" t="s">
        <v>40</v>
      </c>
      <c r="B3025" s="2">
        <v>44018</v>
      </c>
      <c r="C3025" s="1">
        <v>0</v>
      </c>
      <c r="D3025" s="39">
        <v>87</v>
      </c>
      <c r="E3025" s="1"/>
      <c r="F3025" s="39">
        <f>E3025+F3001</f>
        <v>4</v>
      </c>
      <c r="G3025" s="395"/>
      <c r="H3025" s="395"/>
      <c r="J3025" s="42"/>
    </row>
    <row r="3026" spans="1:10" s="393" customFormat="1" x14ac:dyDescent="0.25">
      <c r="A3026" s="394" t="s">
        <v>16</v>
      </c>
      <c r="B3026" s="2">
        <v>44019</v>
      </c>
      <c r="C3026" s="1">
        <v>1752</v>
      </c>
      <c r="D3026" s="39">
        <v>43199</v>
      </c>
      <c r="E3026" s="1">
        <v>39</v>
      </c>
      <c r="F3026" s="39">
        <f>E3026+F3002</f>
        <v>784</v>
      </c>
      <c r="G3026" s="395"/>
      <c r="H3026" s="395"/>
      <c r="J3026" s="42"/>
    </row>
    <row r="3027" spans="1:10" s="393" customFormat="1" x14ac:dyDescent="0.25">
      <c r="A3027" s="19" t="s">
        <v>28</v>
      </c>
      <c r="B3027" s="2">
        <v>44019</v>
      </c>
      <c r="C3027" s="1">
        <v>0</v>
      </c>
      <c r="D3027" s="39">
        <v>7</v>
      </c>
      <c r="E3027" s="1"/>
      <c r="F3027" s="39">
        <f t="shared" ref="F3027:F3033" si="193">E3027+F3003</f>
        <v>0</v>
      </c>
      <c r="G3027" s="395"/>
      <c r="H3027" s="395"/>
      <c r="J3027" s="42"/>
    </row>
    <row r="3028" spans="1:10" s="393" customFormat="1" x14ac:dyDescent="0.25">
      <c r="A3028" s="19" t="s">
        <v>15</v>
      </c>
      <c r="B3028" s="2">
        <v>44019</v>
      </c>
      <c r="C3028" s="1">
        <v>22</v>
      </c>
      <c r="D3028" s="39">
        <v>2357</v>
      </c>
      <c r="E3028" s="1"/>
      <c r="F3028" s="39">
        <f t="shared" si="193"/>
        <v>108</v>
      </c>
      <c r="G3028" s="395"/>
      <c r="H3028" s="395"/>
      <c r="J3028" s="42"/>
    </row>
    <row r="3029" spans="1:10" s="393" customFormat="1" x14ac:dyDescent="0.25">
      <c r="A3029" s="19" t="s">
        <v>29</v>
      </c>
      <c r="B3029" s="2">
        <v>44019</v>
      </c>
      <c r="C3029" s="1">
        <v>0</v>
      </c>
      <c r="D3029" s="39">
        <v>160</v>
      </c>
      <c r="E3029" s="1"/>
      <c r="F3029" s="39">
        <f t="shared" si="193"/>
        <v>2</v>
      </c>
      <c r="G3029" s="395"/>
      <c r="H3029" s="395"/>
      <c r="J3029" s="42"/>
    </row>
    <row r="3030" spans="1:10" s="393" customFormat="1" x14ac:dyDescent="0.25">
      <c r="A3030" s="19" t="s">
        <v>43</v>
      </c>
      <c r="B3030" s="2">
        <v>44019</v>
      </c>
      <c r="C3030" s="1">
        <v>1025</v>
      </c>
      <c r="D3030" s="39">
        <v>33297</v>
      </c>
      <c r="E3030" s="1">
        <v>21</v>
      </c>
      <c r="F3030" s="39">
        <f t="shared" si="193"/>
        <v>609</v>
      </c>
      <c r="G3030" s="395"/>
      <c r="H3030" s="395"/>
      <c r="J3030" s="42"/>
    </row>
    <row r="3031" spans="1:10" s="393" customFormat="1" x14ac:dyDescent="0.25">
      <c r="A3031" s="19" t="s">
        <v>20</v>
      </c>
      <c r="B3031" s="2">
        <v>44019</v>
      </c>
      <c r="C3031" s="1">
        <v>48</v>
      </c>
      <c r="D3031" s="39">
        <v>781</v>
      </c>
      <c r="E3031" s="1"/>
      <c r="F3031" s="39">
        <f t="shared" si="193"/>
        <v>34</v>
      </c>
      <c r="G3031" s="395"/>
      <c r="H3031" s="395"/>
      <c r="J3031" s="42"/>
    </row>
    <row r="3032" spans="1:10" s="393" customFormat="1" x14ac:dyDescent="0.25">
      <c r="A3032" s="19" t="s">
        <v>30</v>
      </c>
      <c r="B3032" s="2">
        <v>44019</v>
      </c>
      <c r="C3032" s="1">
        <v>1</v>
      </c>
      <c r="D3032" s="39">
        <v>122</v>
      </c>
      <c r="E3032" s="1"/>
      <c r="F3032" s="39">
        <f t="shared" si="193"/>
        <v>0</v>
      </c>
      <c r="G3032" s="395"/>
      <c r="H3032" s="395"/>
      <c r="J3032" s="42"/>
    </row>
    <row r="3033" spans="1:10" x14ac:dyDescent="0.25">
      <c r="A3033" s="19" t="s">
        <v>31</v>
      </c>
      <c r="B3033" s="2">
        <v>44019</v>
      </c>
      <c r="C3033" s="1">
        <v>10</v>
      </c>
      <c r="D3033" s="39">
        <v>344</v>
      </c>
      <c r="F3033" s="39">
        <f t="shared" si="193"/>
        <v>0</v>
      </c>
    </row>
    <row r="3034" spans="1:10" s="393" customFormat="1" x14ac:dyDescent="0.25">
      <c r="A3034" s="19" t="s">
        <v>41</v>
      </c>
      <c r="B3034" s="2">
        <v>44019</v>
      </c>
      <c r="C3034" s="1">
        <v>0</v>
      </c>
      <c r="D3034" s="39">
        <v>76</v>
      </c>
      <c r="E3034" s="1"/>
      <c r="F3034" s="39">
        <f t="shared" ref="F3034:F3045" si="194">E3034+F3009</f>
        <v>0</v>
      </c>
      <c r="G3034" s="395"/>
      <c r="H3034" s="395"/>
      <c r="J3034" s="42"/>
    </row>
    <row r="3035" spans="1:10" s="393" customFormat="1" x14ac:dyDescent="0.25">
      <c r="A3035" s="19" t="s">
        <v>32</v>
      </c>
      <c r="B3035" s="2">
        <v>44019</v>
      </c>
      <c r="C3035" s="1">
        <v>30</v>
      </c>
      <c r="D3035" s="39">
        <v>221</v>
      </c>
      <c r="E3035" s="1"/>
      <c r="F3035" s="39">
        <f t="shared" si="194"/>
        <v>0</v>
      </c>
      <c r="G3035" s="395"/>
      <c r="H3035" s="395"/>
      <c r="J3035" s="42"/>
    </row>
    <row r="3036" spans="1:10" s="393" customFormat="1" x14ac:dyDescent="0.25">
      <c r="A3036" s="19" t="s">
        <v>33</v>
      </c>
      <c r="B3036" s="2">
        <v>44019</v>
      </c>
      <c r="C3036" s="1">
        <v>0</v>
      </c>
      <c r="D3036" s="39">
        <v>7</v>
      </c>
      <c r="E3036" s="1"/>
      <c r="F3036" s="39">
        <f t="shared" si="194"/>
        <v>0</v>
      </c>
      <c r="G3036" s="395"/>
      <c r="H3036" s="395"/>
      <c r="J3036" s="42"/>
    </row>
    <row r="3037" spans="1:10" s="393" customFormat="1" x14ac:dyDescent="0.25">
      <c r="A3037" s="19" t="s">
        <v>21</v>
      </c>
      <c r="B3037" s="2">
        <v>44019</v>
      </c>
      <c r="C3037" s="1">
        <v>3</v>
      </c>
      <c r="D3037" s="39">
        <v>110</v>
      </c>
      <c r="E3037" s="1"/>
      <c r="F3037" s="39">
        <f t="shared" si="194"/>
        <v>0</v>
      </c>
      <c r="G3037" s="395"/>
      <c r="H3037" s="395"/>
      <c r="J3037" s="42"/>
    </row>
    <row r="3038" spans="1:10" s="393" customFormat="1" x14ac:dyDescent="0.25">
      <c r="A3038" s="19" t="s">
        <v>17</v>
      </c>
      <c r="B3038" s="2">
        <v>44019</v>
      </c>
      <c r="C3038" s="1">
        <v>23</v>
      </c>
      <c r="D3038" s="39">
        <v>218</v>
      </c>
      <c r="E3038" s="1"/>
      <c r="F3038" s="39">
        <f t="shared" si="194"/>
        <v>0</v>
      </c>
      <c r="G3038" s="395"/>
      <c r="H3038" s="395"/>
      <c r="J3038" s="42"/>
    </row>
    <row r="3039" spans="1:10" s="393" customFormat="1" x14ac:dyDescent="0.25">
      <c r="A3039" s="19" t="s">
        <v>23</v>
      </c>
      <c r="B3039" s="2">
        <v>44019</v>
      </c>
      <c r="C3039" s="1">
        <v>0</v>
      </c>
      <c r="D3039" s="39">
        <v>49</v>
      </c>
      <c r="E3039" s="1"/>
      <c r="F3039" s="39">
        <f t="shared" si="194"/>
        <v>0</v>
      </c>
      <c r="G3039" s="395"/>
      <c r="H3039" s="395"/>
      <c r="J3039" s="42"/>
    </row>
    <row r="3040" spans="1:10" s="393" customFormat="1" x14ac:dyDescent="0.25">
      <c r="A3040" s="19" t="s">
        <v>19</v>
      </c>
      <c r="B3040" s="2">
        <v>44019</v>
      </c>
      <c r="C3040" s="1">
        <v>22</v>
      </c>
      <c r="D3040" s="39">
        <v>607</v>
      </c>
      <c r="E3040" s="1"/>
      <c r="F3040" s="39">
        <f t="shared" si="194"/>
        <v>0</v>
      </c>
      <c r="G3040" s="395"/>
      <c r="H3040" s="395"/>
      <c r="J3040" s="42"/>
    </row>
    <row r="3041" spans="1:10" s="393" customFormat="1" x14ac:dyDescent="0.25">
      <c r="A3041" s="19" t="s">
        <v>18</v>
      </c>
      <c r="B3041" s="2">
        <v>44019</v>
      </c>
      <c r="C3041" s="1">
        <v>25</v>
      </c>
      <c r="D3041" s="39">
        <v>997</v>
      </c>
      <c r="E3041" s="1">
        <v>1</v>
      </c>
      <c r="F3041" s="39">
        <f t="shared" si="194"/>
        <v>2</v>
      </c>
      <c r="G3041" s="395"/>
      <c r="H3041" s="395"/>
      <c r="J3041" s="42"/>
    </row>
    <row r="3042" spans="1:10" s="393" customFormat="1" x14ac:dyDescent="0.25">
      <c r="A3042" s="19" t="s">
        <v>34</v>
      </c>
      <c r="B3042" s="2">
        <v>44019</v>
      </c>
      <c r="C3042" s="1">
        <v>8</v>
      </c>
      <c r="D3042" s="39">
        <v>69</v>
      </c>
      <c r="E3042" s="1">
        <v>1</v>
      </c>
      <c r="F3042" s="39">
        <f t="shared" si="194"/>
        <v>7</v>
      </c>
      <c r="G3042" s="395"/>
      <c r="H3042" s="395"/>
      <c r="J3042" s="42"/>
    </row>
    <row r="3043" spans="1:10" s="393" customFormat="1" x14ac:dyDescent="0.25">
      <c r="A3043" s="19" t="s">
        <v>35</v>
      </c>
      <c r="B3043" s="2">
        <v>44019</v>
      </c>
      <c r="C3043" s="1">
        <v>0</v>
      </c>
      <c r="D3043" s="39">
        <v>9</v>
      </c>
      <c r="E3043" s="1"/>
      <c r="F3043" s="39">
        <f>E3043+F3019</f>
        <v>0</v>
      </c>
      <c r="G3043" s="395"/>
      <c r="H3043" s="395"/>
      <c r="J3043" s="42"/>
    </row>
    <row r="3044" spans="1:10" s="393" customFormat="1" x14ac:dyDescent="0.25">
      <c r="A3044" s="19" t="s">
        <v>36</v>
      </c>
      <c r="B3044" s="2">
        <v>44019</v>
      </c>
      <c r="C3044" s="1">
        <v>0</v>
      </c>
      <c r="D3044" s="39">
        <v>12</v>
      </c>
      <c r="E3044" s="1"/>
      <c r="F3044" s="39">
        <f t="shared" si="194"/>
        <v>0</v>
      </c>
      <c r="G3044" s="395"/>
      <c r="H3044" s="395"/>
      <c r="J3044" s="42"/>
    </row>
    <row r="3045" spans="1:10" s="393" customFormat="1" x14ac:dyDescent="0.25">
      <c r="A3045" s="19" t="s">
        <v>37</v>
      </c>
      <c r="B3045" s="2">
        <v>44019</v>
      </c>
      <c r="C3045" s="1">
        <v>0</v>
      </c>
      <c r="D3045" s="39">
        <v>54</v>
      </c>
      <c r="E3045" s="1"/>
      <c r="F3045" s="39">
        <f t="shared" si="194"/>
        <v>0</v>
      </c>
      <c r="G3045" s="395"/>
      <c r="H3045" s="395"/>
      <c r="J3045" s="42"/>
    </row>
    <row r="3046" spans="1:10" s="393" customFormat="1" x14ac:dyDescent="0.25">
      <c r="A3046" s="19" t="s">
        <v>22</v>
      </c>
      <c r="B3046" s="2">
        <v>44019</v>
      </c>
      <c r="C3046" s="1">
        <v>9</v>
      </c>
      <c r="D3046" s="39">
        <v>451</v>
      </c>
      <c r="E3046" s="1"/>
      <c r="F3046" s="39">
        <f>E3046+F3022</f>
        <v>6</v>
      </c>
      <c r="G3046" s="395"/>
      <c r="H3046" s="395"/>
      <c r="J3046" s="42"/>
    </row>
    <row r="3047" spans="1:10" s="393" customFormat="1" x14ac:dyDescent="0.25">
      <c r="A3047" s="19" t="s">
        <v>38</v>
      </c>
      <c r="B3047" s="2">
        <v>44019</v>
      </c>
      <c r="C3047" s="1">
        <v>1</v>
      </c>
      <c r="D3047" s="39">
        <v>27</v>
      </c>
      <c r="E3047" s="1"/>
      <c r="F3047" s="39">
        <f>E3047+F3023</f>
        <v>0</v>
      </c>
      <c r="G3047" s="395"/>
      <c r="H3047" s="395"/>
      <c r="J3047" s="42"/>
    </row>
    <row r="3048" spans="1:10" s="393" customFormat="1" x14ac:dyDescent="0.25">
      <c r="A3048" s="19" t="s">
        <v>39</v>
      </c>
      <c r="B3048" s="2">
        <v>44019</v>
      </c>
      <c r="C3048" s="1">
        <v>1</v>
      </c>
      <c r="D3048" s="39">
        <v>154</v>
      </c>
      <c r="E3048" s="1"/>
      <c r="F3048" s="39">
        <f>E3048+F3024</f>
        <v>1</v>
      </c>
      <c r="G3048" s="395"/>
      <c r="H3048" s="395"/>
      <c r="J3048" s="42"/>
    </row>
    <row r="3049" spans="1:10" s="393" customFormat="1" x14ac:dyDescent="0.25">
      <c r="A3049" s="19" t="s">
        <v>40</v>
      </c>
      <c r="B3049" s="2">
        <v>44019</v>
      </c>
      <c r="C3049" s="1">
        <v>0</v>
      </c>
      <c r="D3049" s="39">
        <v>87</v>
      </c>
      <c r="E3049" s="1"/>
      <c r="F3049" s="39">
        <f>E3049+F3025</f>
        <v>4</v>
      </c>
      <c r="G3049" s="395"/>
      <c r="H3049" s="395"/>
      <c r="J3049" s="42"/>
    </row>
    <row r="3050" spans="1:10" s="393" customFormat="1" x14ac:dyDescent="0.25">
      <c r="A3050" s="394" t="s">
        <v>16</v>
      </c>
      <c r="B3050" s="2">
        <v>44020</v>
      </c>
      <c r="C3050" s="1">
        <v>2222</v>
      </c>
      <c r="D3050" s="39">
        <v>45421</v>
      </c>
      <c r="E3050" s="1">
        <v>35</v>
      </c>
      <c r="F3050" s="39">
        <f>E3050+F3026</f>
        <v>819</v>
      </c>
      <c r="G3050" s="395"/>
      <c r="H3050" s="395"/>
      <c r="J3050" s="42"/>
    </row>
    <row r="3051" spans="1:10" s="393" customFormat="1" x14ac:dyDescent="0.25">
      <c r="A3051" s="19" t="s">
        <v>28</v>
      </c>
      <c r="B3051" s="2">
        <v>44020</v>
      </c>
      <c r="C3051" s="1">
        <v>21</v>
      </c>
      <c r="D3051" s="39">
        <v>28</v>
      </c>
      <c r="E3051" s="1"/>
      <c r="F3051" s="39">
        <f t="shared" ref="F3051:F3057" si="195">E3051+F3027</f>
        <v>0</v>
      </c>
      <c r="G3051" s="395"/>
      <c r="H3051" s="395"/>
      <c r="J3051" s="42"/>
    </row>
    <row r="3052" spans="1:10" s="393" customFormat="1" x14ac:dyDescent="0.25">
      <c r="A3052" s="19" t="s">
        <v>15</v>
      </c>
      <c r="B3052" s="2">
        <v>44020</v>
      </c>
      <c r="C3052" s="1">
        <v>59</v>
      </c>
      <c r="D3052" s="39">
        <v>2416</v>
      </c>
      <c r="E3052" s="1"/>
      <c r="F3052" s="39">
        <f t="shared" si="195"/>
        <v>108</v>
      </c>
      <c r="G3052" s="395"/>
      <c r="H3052" s="395"/>
      <c r="J3052" s="42"/>
    </row>
    <row r="3053" spans="1:10" s="393" customFormat="1" x14ac:dyDescent="0.25">
      <c r="A3053" s="19" t="s">
        <v>29</v>
      </c>
      <c r="B3053" s="2">
        <v>44020</v>
      </c>
      <c r="C3053" s="1">
        <v>13</v>
      </c>
      <c r="D3053" s="39">
        <v>173</v>
      </c>
      <c r="E3053" s="1"/>
      <c r="F3053" s="39">
        <f t="shared" si="195"/>
        <v>2</v>
      </c>
      <c r="G3053" s="395"/>
      <c r="H3053" s="395"/>
      <c r="J3053" s="42"/>
    </row>
    <row r="3054" spans="1:10" s="393" customFormat="1" x14ac:dyDescent="0.25">
      <c r="A3054" s="19" t="s">
        <v>43</v>
      </c>
      <c r="B3054" s="2">
        <v>44020</v>
      </c>
      <c r="C3054" s="1">
        <v>1116</v>
      </c>
      <c r="D3054" s="39">
        <v>34413</v>
      </c>
      <c r="E3054" s="1">
        <v>16</v>
      </c>
      <c r="F3054" s="39">
        <f t="shared" si="195"/>
        <v>625</v>
      </c>
      <c r="G3054" s="395"/>
      <c r="H3054" s="395"/>
      <c r="J3054" s="42"/>
    </row>
    <row r="3055" spans="1:10" s="393" customFormat="1" x14ac:dyDescent="0.25">
      <c r="A3055" s="19" t="s">
        <v>20</v>
      </c>
      <c r="B3055" s="2">
        <v>44020</v>
      </c>
      <c r="C3055" s="1">
        <v>21</v>
      </c>
      <c r="D3055" s="39">
        <v>802</v>
      </c>
      <c r="E3055" s="1"/>
      <c r="F3055" s="39">
        <f t="shared" si="195"/>
        <v>34</v>
      </c>
      <c r="G3055" s="395"/>
      <c r="H3055" s="395"/>
      <c r="J3055" s="42"/>
    </row>
    <row r="3056" spans="1:10" s="393" customFormat="1" x14ac:dyDescent="0.25">
      <c r="A3056" s="19" t="s">
        <v>30</v>
      </c>
      <c r="B3056" s="2">
        <v>44020</v>
      </c>
      <c r="C3056" s="1">
        <v>4</v>
      </c>
      <c r="D3056" s="39">
        <v>126</v>
      </c>
      <c r="E3056" s="1"/>
      <c r="F3056" s="39">
        <f t="shared" si="195"/>
        <v>0</v>
      </c>
      <c r="G3056" s="395"/>
      <c r="H3056" s="395"/>
      <c r="J3056" s="42"/>
    </row>
    <row r="3057" spans="1:10" x14ac:dyDescent="0.25">
      <c r="A3057" s="19" t="s">
        <v>31</v>
      </c>
      <c r="B3057" s="2">
        <v>44020</v>
      </c>
      <c r="C3057" s="1">
        <v>11</v>
      </c>
      <c r="D3057" s="39">
        <v>355</v>
      </c>
      <c r="F3057" s="39">
        <f t="shared" si="195"/>
        <v>0</v>
      </c>
    </row>
    <row r="3058" spans="1:10" s="393" customFormat="1" x14ac:dyDescent="0.25">
      <c r="A3058" s="19" t="s">
        <v>41</v>
      </c>
      <c r="B3058" s="2">
        <v>44020</v>
      </c>
      <c r="C3058" s="1">
        <v>0</v>
      </c>
      <c r="D3058" s="39">
        <v>76</v>
      </c>
      <c r="E3058" s="1"/>
      <c r="F3058" s="39">
        <f t="shared" ref="F3058:F3069" si="196">E3058+F3033</f>
        <v>0</v>
      </c>
      <c r="G3058" s="395"/>
      <c r="H3058" s="395"/>
      <c r="J3058" s="42"/>
    </row>
    <row r="3059" spans="1:10" s="393" customFormat="1" x14ac:dyDescent="0.25">
      <c r="A3059" s="19" t="s">
        <v>32</v>
      </c>
      <c r="B3059" s="2">
        <v>44020</v>
      </c>
      <c r="C3059" s="1">
        <v>38</v>
      </c>
      <c r="D3059" s="39">
        <v>259</v>
      </c>
      <c r="E3059" s="1"/>
      <c r="F3059" s="39">
        <f t="shared" si="196"/>
        <v>0</v>
      </c>
      <c r="G3059" s="395"/>
      <c r="H3059" s="395"/>
      <c r="J3059" s="42"/>
    </row>
    <row r="3060" spans="1:10" s="393" customFormat="1" x14ac:dyDescent="0.25">
      <c r="A3060" s="19" t="s">
        <v>33</v>
      </c>
      <c r="B3060" s="2">
        <v>44020</v>
      </c>
      <c r="C3060" s="1">
        <v>0</v>
      </c>
      <c r="D3060" s="39">
        <v>7</v>
      </c>
      <c r="E3060" s="1"/>
      <c r="F3060" s="39">
        <f t="shared" si="196"/>
        <v>0</v>
      </c>
      <c r="G3060" s="395"/>
      <c r="H3060" s="395"/>
      <c r="J3060" s="42"/>
    </row>
    <row r="3061" spans="1:10" s="393" customFormat="1" x14ac:dyDescent="0.25">
      <c r="A3061" s="19" t="s">
        <v>21</v>
      </c>
      <c r="B3061" s="2">
        <v>44020</v>
      </c>
      <c r="C3061" s="1">
        <v>14</v>
      </c>
      <c r="D3061" s="39">
        <v>124</v>
      </c>
      <c r="E3061" s="1"/>
      <c r="F3061" s="39">
        <f t="shared" si="196"/>
        <v>0</v>
      </c>
      <c r="G3061" s="395"/>
      <c r="H3061" s="395"/>
      <c r="J3061" s="42"/>
    </row>
    <row r="3062" spans="1:10" s="393" customFormat="1" x14ac:dyDescent="0.25">
      <c r="A3062" s="19" t="s">
        <v>17</v>
      </c>
      <c r="B3062" s="2">
        <v>44020</v>
      </c>
      <c r="C3062" s="1">
        <v>22</v>
      </c>
      <c r="D3062" s="39">
        <v>240</v>
      </c>
      <c r="E3062" s="1"/>
      <c r="F3062" s="39">
        <f t="shared" si="196"/>
        <v>0</v>
      </c>
      <c r="G3062" s="395"/>
      <c r="H3062" s="395"/>
      <c r="J3062" s="42"/>
    </row>
    <row r="3063" spans="1:10" s="393" customFormat="1" x14ac:dyDescent="0.25">
      <c r="A3063" s="19" t="s">
        <v>23</v>
      </c>
      <c r="B3063" s="2">
        <v>44020</v>
      </c>
      <c r="C3063" s="1">
        <v>0</v>
      </c>
      <c r="D3063" s="39">
        <v>49</v>
      </c>
      <c r="E3063" s="1"/>
      <c r="F3063" s="39">
        <f t="shared" si="196"/>
        <v>0</v>
      </c>
      <c r="G3063" s="395"/>
      <c r="H3063" s="395"/>
      <c r="J3063" s="42"/>
    </row>
    <row r="3064" spans="1:10" s="393" customFormat="1" x14ac:dyDescent="0.25">
      <c r="A3064" s="19" t="s">
        <v>19</v>
      </c>
      <c r="B3064" s="2">
        <v>44020</v>
      </c>
      <c r="C3064" s="1">
        <v>23</v>
      </c>
      <c r="D3064" s="39">
        <v>630</v>
      </c>
      <c r="E3064" s="1"/>
      <c r="F3064" s="39">
        <f t="shared" si="196"/>
        <v>0</v>
      </c>
      <c r="G3064" s="395"/>
      <c r="H3064" s="395"/>
      <c r="J3064" s="42"/>
    </row>
    <row r="3065" spans="1:10" s="393" customFormat="1" x14ac:dyDescent="0.25">
      <c r="A3065" s="19" t="s">
        <v>18</v>
      </c>
      <c r="B3065" s="2">
        <v>44020</v>
      </c>
      <c r="C3065" s="1">
        <v>11</v>
      </c>
      <c r="D3065" s="39">
        <v>1008</v>
      </c>
      <c r="E3065" s="1"/>
      <c r="F3065" s="39">
        <f t="shared" si="196"/>
        <v>0</v>
      </c>
      <c r="G3065" s="395"/>
      <c r="H3065" s="395"/>
      <c r="J3065" s="42"/>
    </row>
    <row r="3066" spans="1:10" s="393" customFormat="1" x14ac:dyDescent="0.25">
      <c r="A3066" s="19" t="s">
        <v>34</v>
      </c>
      <c r="B3066" s="2">
        <v>44020</v>
      </c>
      <c r="C3066" s="1">
        <v>6</v>
      </c>
      <c r="D3066" s="39">
        <v>75</v>
      </c>
      <c r="E3066" s="1"/>
      <c r="F3066" s="39">
        <f t="shared" si="196"/>
        <v>2</v>
      </c>
      <c r="G3066" s="395"/>
      <c r="H3066" s="395"/>
      <c r="J3066" s="42"/>
    </row>
    <row r="3067" spans="1:10" s="393" customFormat="1" x14ac:dyDescent="0.25">
      <c r="A3067" s="19" t="s">
        <v>35</v>
      </c>
      <c r="B3067" s="2">
        <v>44020</v>
      </c>
      <c r="C3067" s="1">
        <v>0</v>
      </c>
      <c r="D3067" s="39">
        <v>9</v>
      </c>
      <c r="E3067" s="1"/>
      <c r="F3067" s="39">
        <f>E3067+F3043</f>
        <v>0</v>
      </c>
      <c r="G3067" s="395"/>
      <c r="H3067" s="395"/>
      <c r="J3067" s="42"/>
    </row>
    <row r="3068" spans="1:10" s="393" customFormat="1" x14ac:dyDescent="0.25">
      <c r="A3068" s="19" t="s">
        <v>36</v>
      </c>
      <c r="B3068" s="2">
        <v>44020</v>
      </c>
      <c r="C3068" s="1">
        <v>0</v>
      </c>
      <c r="D3068" s="39">
        <v>12</v>
      </c>
      <c r="E3068" s="1"/>
      <c r="F3068" s="39">
        <f t="shared" si="196"/>
        <v>0</v>
      </c>
      <c r="G3068" s="395"/>
      <c r="H3068" s="395"/>
      <c r="J3068" s="42"/>
    </row>
    <row r="3069" spans="1:10" s="393" customFormat="1" x14ac:dyDescent="0.25">
      <c r="A3069" s="19" t="s">
        <v>37</v>
      </c>
      <c r="B3069" s="2">
        <v>44020</v>
      </c>
      <c r="C3069" s="1">
        <v>0</v>
      </c>
      <c r="D3069" s="39">
        <v>54</v>
      </c>
      <c r="E3069" s="1"/>
      <c r="F3069" s="39">
        <f t="shared" si="196"/>
        <v>0</v>
      </c>
      <c r="G3069" s="395"/>
      <c r="H3069" s="395"/>
      <c r="J3069" s="42"/>
    </row>
    <row r="3070" spans="1:10" s="393" customFormat="1" x14ac:dyDescent="0.25">
      <c r="A3070" s="19" t="s">
        <v>22</v>
      </c>
      <c r="B3070" s="2">
        <v>44020</v>
      </c>
      <c r="C3070" s="1">
        <v>14</v>
      </c>
      <c r="D3070" s="39">
        <v>465</v>
      </c>
      <c r="E3070" s="1"/>
      <c r="F3070" s="39">
        <f>E3070+F3046</f>
        <v>6</v>
      </c>
      <c r="G3070" s="395"/>
      <c r="H3070" s="395"/>
      <c r="J3070" s="42"/>
    </row>
    <row r="3071" spans="1:10" s="393" customFormat="1" x14ac:dyDescent="0.25">
      <c r="A3071" s="19" t="s">
        <v>38</v>
      </c>
      <c r="B3071" s="2">
        <v>44020</v>
      </c>
      <c r="C3071" s="1">
        <v>8</v>
      </c>
      <c r="D3071" s="39">
        <v>35</v>
      </c>
      <c r="E3071" s="1"/>
      <c r="F3071" s="39">
        <f>E3071+F3047</f>
        <v>0</v>
      </c>
      <c r="G3071" s="395"/>
      <c r="H3071" s="395"/>
      <c r="J3071" s="42"/>
    </row>
    <row r="3072" spans="1:10" s="393" customFormat="1" x14ac:dyDescent="0.25">
      <c r="A3072" s="19" t="s">
        <v>39</v>
      </c>
      <c r="B3072" s="2">
        <v>44020</v>
      </c>
      <c r="C3072" s="1">
        <v>0</v>
      </c>
      <c r="D3072" s="39">
        <v>154</v>
      </c>
      <c r="E3072" s="1"/>
      <c r="F3072" s="39">
        <f>E3072+F3048</f>
        <v>1</v>
      </c>
      <c r="G3072" s="395"/>
      <c r="H3072" s="395"/>
      <c r="J3072" s="42"/>
    </row>
    <row r="3073" spans="1:10" s="393" customFormat="1" x14ac:dyDescent="0.25">
      <c r="A3073" s="19" t="s">
        <v>40</v>
      </c>
      <c r="B3073" s="2">
        <v>44020</v>
      </c>
      <c r="C3073" s="1">
        <v>1</v>
      </c>
      <c r="D3073" s="39">
        <v>88</v>
      </c>
      <c r="E3073" s="1"/>
      <c r="F3073" s="39">
        <f>E3073+F3049</f>
        <v>4</v>
      </c>
      <c r="G3073" s="395"/>
      <c r="H3073" s="395"/>
      <c r="J3073" s="42"/>
    </row>
    <row r="3074" spans="1:10" s="393" customFormat="1" x14ac:dyDescent="0.25">
      <c r="A3074" s="394" t="s">
        <v>16</v>
      </c>
      <c r="B3074" s="2">
        <v>44021</v>
      </c>
      <c r="C3074" s="1">
        <v>2372</v>
      </c>
      <c r="D3074" s="39">
        <v>47793</v>
      </c>
      <c r="E3074" s="1">
        <v>11</v>
      </c>
      <c r="F3074" s="39">
        <f>E3074+F3050</f>
        <v>830</v>
      </c>
      <c r="G3074" s="395"/>
      <c r="H3074" s="395"/>
      <c r="J3074" s="42"/>
    </row>
    <row r="3075" spans="1:10" s="393" customFormat="1" x14ac:dyDescent="0.25">
      <c r="A3075" s="19" t="s">
        <v>28</v>
      </c>
      <c r="B3075" s="2">
        <v>44021</v>
      </c>
      <c r="C3075" s="1">
        <v>10</v>
      </c>
      <c r="D3075" s="39">
        <v>38</v>
      </c>
      <c r="E3075" s="1"/>
      <c r="F3075" s="39">
        <f t="shared" ref="F3075:F3081" si="197">E3075+F3051</f>
        <v>0</v>
      </c>
      <c r="G3075" s="395"/>
      <c r="H3075" s="395"/>
      <c r="J3075" s="42"/>
    </row>
    <row r="3076" spans="1:10" s="393" customFormat="1" x14ac:dyDescent="0.25">
      <c r="A3076" s="19" t="s">
        <v>15</v>
      </c>
      <c r="B3076" s="2">
        <v>44021</v>
      </c>
      <c r="C3076" s="1">
        <v>30</v>
      </c>
      <c r="D3076" s="39">
        <v>2446</v>
      </c>
      <c r="E3076" s="1">
        <v>4</v>
      </c>
      <c r="F3076" s="39">
        <f t="shared" si="197"/>
        <v>112</v>
      </c>
      <c r="G3076" s="395"/>
      <c r="H3076" s="395"/>
      <c r="J3076" s="42"/>
    </row>
    <row r="3077" spans="1:10" s="393" customFormat="1" x14ac:dyDescent="0.25">
      <c r="A3077" s="19" t="s">
        <v>29</v>
      </c>
      <c r="B3077" s="2">
        <v>44021</v>
      </c>
      <c r="C3077" s="1">
        <v>19</v>
      </c>
      <c r="D3077" s="39">
        <v>192</v>
      </c>
      <c r="E3077" s="1"/>
      <c r="F3077" s="39">
        <f t="shared" si="197"/>
        <v>2</v>
      </c>
      <c r="G3077" s="395"/>
      <c r="H3077" s="395"/>
      <c r="J3077" s="42"/>
    </row>
    <row r="3078" spans="1:10" s="393" customFormat="1" x14ac:dyDescent="0.25">
      <c r="A3078" s="19" t="s">
        <v>43</v>
      </c>
      <c r="B3078" s="2">
        <v>44021</v>
      </c>
      <c r="C3078" s="1">
        <v>1058</v>
      </c>
      <c r="D3078" s="39">
        <v>35471</v>
      </c>
      <c r="E3078" s="1">
        <v>10</v>
      </c>
      <c r="F3078" s="39">
        <f t="shared" si="197"/>
        <v>635</v>
      </c>
      <c r="G3078" s="395"/>
      <c r="H3078" s="395"/>
      <c r="J3078" s="42"/>
    </row>
    <row r="3079" spans="1:10" s="393" customFormat="1" x14ac:dyDescent="0.25">
      <c r="A3079" s="19" t="s">
        <v>20</v>
      </c>
      <c r="B3079" s="2">
        <v>44021</v>
      </c>
      <c r="C3079" s="1">
        <v>27</v>
      </c>
      <c r="D3079" s="39">
        <v>829</v>
      </c>
      <c r="E3079" s="1"/>
      <c r="F3079" s="39">
        <f t="shared" si="197"/>
        <v>34</v>
      </c>
      <c r="G3079" s="395"/>
      <c r="H3079" s="395"/>
      <c r="J3079" s="42"/>
    </row>
    <row r="3080" spans="1:10" s="393" customFormat="1" x14ac:dyDescent="0.25">
      <c r="A3080" s="19" t="s">
        <v>30</v>
      </c>
      <c r="B3080" s="2">
        <v>44021</v>
      </c>
      <c r="C3080" s="1">
        <v>0</v>
      </c>
      <c r="D3080" s="39">
        <v>126</v>
      </c>
      <c r="E3080" s="1"/>
      <c r="F3080" s="39">
        <f t="shared" si="197"/>
        <v>0</v>
      </c>
      <c r="G3080" s="395"/>
      <c r="H3080" s="395"/>
      <c r="J3080" s="42"/>
    </row>
    <row r="3081" spans="1:10" x14ac:dyDescent="0.25">
      <c r="A3081" s="19" t="s">
        <v>31</v>
      </c>
      <c r="B3081" s="2">
        <v>44021</v>
      </c>
      <c r="C3081" s="1">
        <v>21</v>
      </c>
      <c r="D3081" s="39">
        <v>376</v>
      </c>
      <c r="F3081" s="39">
        <f t="shared" si="197"/>
        <v>0</v>
      </c>
    </row>
    <row r="3082" spans="1:10" s="393" customFormat="1" x14ac:dyDescent="0.25">
      <c r="A3082" s="19" t="s">
        <v>41</v>
      </c>
      <c r="B3082" s="2">
        <v>44021</v>
      </c>
      <c r="C3082" s="1">
        <v>0</v>
      </c>
      <c r="D3082" s="39">
        <v>76</v>
      </c>
      <c r="E3082" s="1"/>
      <c r="F3082" s="39">
        <f t="shared" ref="F3082:F3093" si="198">E3082+F3057</f>
        <v>0</v>
      </c>
      <c r="G3082" s="395"/>
      <c r="H3082" s="395"/>
      <c r="J3082" s="42"/>
    </row>
    <row r="3083" spans="1:10" s="393" customFormat="1" x14ac:dyDescent="0.25">
      <c r="A3083" s="19" t="s">
        <v>32</v>
      </c>
      <c r="B3083" s="2">
        <v>44021</v>
      </c>
      <c r="C3083" s="1">
        <v>52</v>
      </c>
      <c r="D3083" s="39">
        <v>311</v>
      </c>
      <c r="E3083" s="1"/>
      <c r="F3083" s="39">
        <f t="shared" si="198"/>
        <v>0</v>
      </c>
      <c r="G3083" s="395"/>
      <c r="H3083" s="395"/>
      <c r="J3083" s="42"/>
    </row>
    <row r="3084" spans="1:10" s="393" customFormat="1" x14ac:dyDescent="0.25">
      <c r="A3084" s="19" t="s">
        <v>33</v>
      </c>
      <c r="B3084" s="2">
        <v>44021</v>
      </c>
      <c r="C3084" s="1">
        <v>0</v>
      </c>
      <c r="D3084" s="39">
        <v>7</v>
      </c>
      <c r="E3084" s="1"/>
      <c r="F3084" s="39">
        <f t="shared" si="198"/>
        <v>0</v>
      </c>
      <c r="G3084" s="395"/>
      <c r="H3084" s="395"/>
      <c r="J3084" s="42"/>
    </row>
    <row r="3085" spans="1:10" s="393" customFormat="1" x14ac:dyDescent="0.25">
      <c r="A3085" s="19" t="s">
        <v>21</v>
      </c>
      <c r="B3085" s="2">
        <v>44021</v>
      </c>
      <c r="C3085" s="1">
        <v>1</v>
      </c>
      <c r="D3085" s="39">
        <v>125</v>
      </c>
      <c r="E3085" s="1"/>
      <c r="F3085" s="39">
        <f t="shared" si="198"/>
        <v>0</v>
      </c>
      <c r="G3085" s="395"/>
      <c r="H3085" s="395"/>
      <c r="J3085" s="42"/>
    </row>
    <row r="3086" spans="1:10" s="393" customFormat="1" x14ac:dyDescent="0.25">
      <c r="A3086" s="19" t="s">
        <v>17</v>
      </c>
      <c r="B3086" s="2">
        <v>44021</v>
      </c>
      <c r="C3086" s="1">
        <v>11</v>
      </c>
      <c r="D3086" s="39">
        <v>251</v>
      </c>
      <c r="E3086" s="1"/>
      <c r="F3086" s="39">
        <f t="shared" si="198"/>
        <v>0</v>
      </c>
      <c r="G3086" s="395"/>
      <c r="H3086" s="395"/>
      <c r="J3086" s="42"/>
    </row>
    <row r="3087" spans="1:10" s="393" customFormat="1" x14ac:dyDescent="0.25">
      <c r="A3087" s="19" t="s">
        <v>23</v>
      </c>
      <c r="B3087" s="2">
        <v>44021</v>
      </c>
      <c r="C3087" s="1">
        <v>0</v>
      </c>
      <c r="D3087" s="39">
        <v>49</v>
      </c>
      <c r="E3087" s="1"/>
      <c r="F3087" s="39">
        <f t="shared" si="198"/>
        <v>0</v>
      </c>
      <c r="G3087" s="395"/>
      <c r="H3087" s="395"/>
      <c r="J3087" s="42"/>
    </row>
    <row r="3088" spans="1:10" s="393" customFormat="1" x14ac:dyDescent="0.25">
      <c r="A3088" s="19" t="s">
        <v>19</v>
      </c>
      <c r="B3088" s="2">
        <v>44021</v>
      </c>
      <c r="C3088" s="1">
        <v>10</v>
      </c>
      <c r="D3088" s="39">
        <v>640</v>
      </c>
      <c r="E3088" s="1"/>
      <c r="F3088" s="39">
        <f t="shared" si="198"/>
        <v>0</v>
      </c>
      <c r="G3088" s="395"/>
      <c r="H3088" s="395"/>
      <c r="J3088" s="42"/>
    </row>
    <row r="3089" spans="1:10" s="393" customFormat="1" x14ac:dyDescent="0.25">
      <c r="A3089" s="19" t="s">
        <v>18</v>
      </c>
      <c r="B3089" s="2">
        <v>44021</v>
      </c>
      <c r="C3089" s="1">
        <v>23</v>
      </c>
      <c r="D3089" s="39">
        <v>1031</v>
      </c>
      <c r="E3089" s="1"/>
      <c r="F3089" s="39">
        <f t="shared" si="198"/>
        <v>0</v>
      </c>
      <c r="G3089" s="395"/>
      <c r="H3089" s="395"/>
      <c r="J3089" s="42"/>
    </row>
    <row r="3090" spans="1:10" s="393" customFormat="1" x14ac:dyDescent="0.25">
      <c r="A3090" s="19" t="s">
        <v>34</v>
      </c>
      <c r="B3090" s="2">
        <v>44021</v>
      </c>
      <c r="C3090" s="1">
        <v>9</v>
      </c>
      <c r="D3090" s="39">
        <v>84</v>
      </c>
      <c r="E3090" s="1">
        <v>1</v>
      </c>
      <c r="F3090" s="39">
        <f t="shared" si="198"/>
        <v>1</v>
      </c>
      <c r="G3090" s="395"/>
      <c r="H3090" s="395"/>
      <c r="J3090" s="42"/>
    </row>
    <row r="3091" spans="1:10" s="393" customFormat="1" x14ac:dyDescent="0.25">
      <c r="A3091" s="19" t="s">
        <v>35</v>
      </c>
      <c r="B3091" s="2">
        <v>44021</v>
      </c>
      <c r="C3091" s="1">
        <v>0</v>
      </c>
      <c r="D3091" s="39">
        <v>9</v>
      </c>
      <c r="E3091" s="1"/>
      <c r="F3091" s="39">
        <f>E3091+F3067</f>
        <v>0</v>
      </c>
      <c r="G3091" s="395"/>
      <c r="H3091" s="395"/>
      <c r="J3091" s="42"/>
    </row>
    <row r="3092" spans="1:10" s="393" customFormat="1" x14ac:dyDescent="0.25">
      <c r="A3092" s="19" t="s">
        <v>36</v>
      </c>
      <c r="B3092" s="2">
        <v>44021</v>
      </c>
      <c r="C3092" s="1">
        <v>0</v>
      </c>
      <c r="D3092" s="39">
        <v>12</v>
      </c>
      <c r="E3092" s="1"/>
      <c r="F3092" s="39">
        <f t="shared" si="198"/>
        <v>0</v>
      </c>
      <c r="G3092" s="395"/>
      <c r="H3092" s="395"/>
      <c r="J3092" s="42"/>
    </row>
    <row r="3093" spans="1:10" s="393" customFormat="1" x14ac:dyDescent="0.25">
      <c r="A3093" s="19" t="s">
        <v>37</v>
      </c>
      <c r="B3093" s="2">
        <v>44021</v>
      </c>
      <c r="C3093" s="1">
        <v>2</v>
      </c>
      <c r="D3093" s="39">
        <v>56</v>
      </c>
      <c r="E3093" s="1"/>
      <c r="F3093" s="39">
        <f t="shared" si="198"/>
        <v>0</v>
      </c>
      <c r="G3093" s="395"/>
      <c r="H3093" s="395"/>
      <c r="J3093" s="42"/>
    </row>
    <row r="3094" spans="1:10" s="393" customFormat="1" x14ac:dyDescent="0.25">
      <c r="A3094" s="19" t="s">
        <v>22</v>
      </c>
      <c r="B3094" s="2">
        <v>44021</v>
      </c>
      <c r="C3094" s="1">
        <v>15</v>
      </c>
      <c r="D3094" s="39">
        <v>480</v>
      </c>
      <c r="E3094" s="1"/>
      <c r="F3094" s="39">
        <f>E3094+F3070</f>
        <v>6</v>
      </c>
      <c r="G3094" s="395"/>
      <c r="H3094" s="395"/>
      <c r="J3094" s="42"/>
    </row>
    <row r="3095" spans="1:10" s="393" customFormat="1" x14ac:dyDescent="0.25">
      <c r="A3095" s="19" t="s">
        <v>38</v>
      </c>
      <c r="B3095" s="2">
        <v>44021</v>
      </c>
      <c r="C3095" s="1">
        <v>1</v>
      </c>
      <c r="D3095" s="39">
        <v>36</v>
      </c>
      <c r="E3095" s="1"/>
      <c r="F3095" s="39">
        <f>E3095+F3071</f>
        <v>0</v>
      </c>
      <c r="G3095" s="395"/>
      <c r="H3095" s="395"/>
      <c r="J3095" s="42"/>
    </row>
    <row r="3096" spans="1:10" s="393" customFormat="1" x14ac:dyDescent="0.25">
      <c r="A3096" s="19" t="s">
        <v>39</v>
      </c>
      <c r="B3096" s="2">
        <v>44021</v>
      </c>
      <c r="C3096" s="1">
        <v>1</v>
      </c>
      <c r="D3096" s="39">
        <v>155</v>
      </c>
      <c r="E3096" s="1"/>
      <c r="F3096" s="39">
        <f>E3096+F3072</f>
        <v>1</v>
      </c>
      <c r="G3096" s="395"/>
      <c r="H3096" s="395"/>
      <c r="J3096" s="42"/>
    </row>
    <row r="3097" spans="1:10" s="393" customFormat="1" x14ac:dyDescent="0.25">
      <c r="A3097" s="19" t="s">
        <v>40</v>
      </c>
      <c r="B3097" s="2">
        <v>44021</v>
      </c>
      <c r="C3097" s="1">
        <v>1</v>
      </c>
      <c r="D3097" s="39">
        <v>89</v>
      </c>
      <c r="E3097" s="1"/>
      <c r="F3097" s="39">
        <f>E3097+F3073</f>
        <v>4</v>
      </c>
      <c r="G3097" s="395"/>
      <c r="H3097" s="395"/>
      <c r="J3097" s="42"/>
    </row>
    <row r="3098" spans="1:10" s="393" customFormat="1" x14ac:dyDescent="0.25">
      <c r="A3098" s="394" t="s">
        <v>16</v>
      </c>
      <c r="B3098" s="2">
        <v>44022</v>
      </c>
      <c r="C3098" s="1">
        <v>2118</v>
      </c>
      <c r="D3098" s="39">
        <v>49911</v>
      </c>
      <c r="E3098" s="1">
        <v>29</v>
      </c>
      <c r="F3098" s="39">
        <f>E3098+F3074</f>
        <v>859</v>
      </c>
      <c r="G3098" s="395"/>
      <c r="H3098" s="395"/>
      <c r="J3098" s="42"/>
    </row>
    <row r="3099" spans="1:10" s="393" customFormat="1" x14ac:dyDescent="0.25">
      <c r="A3099" s="19" t="s">
        <v>28</v>
      </c>
      <c r="B3099" s="2">
        <v>44022</v>
      </c>
      <c r="C3099" s="1">
        <v>0</v>
      </c>
      <c r="D3099" s="39">
        <v>38</v>
      </c>
      <c r="E3099" s="1"/>
      <c r="F3099" s="39">
        <f t="shared" ref="F3099:F3105" si="199">E3099+F3075</f>
        <v>0</v>
      </c>
      <c r="G3099" s="395"/>
      <c r="H3099" s="395"/>
      <c r="J3099" s="42"/>
    </row>
    <row r="3100" spans="1:10" s="393" customFormat="1" x14ac:dyDescent="0.25">
      <c r="A3100" s="19" t="s">
        <v>15</v>
      </c>
      <c r="B3100" s="2">
        <v>44022</v>
      </c>
      <c r="C3100" s="1">
        <v>50</v>
      </c>
      <c r="D3100" s="39">
        <v>2496</v>
      </c>
      <c r="E3100" s="1">
        <v>1</v>
      </c>
      <c r="F3100" s="39">
        <f t="shared" si="199"/>
        <v>113</v>
      </c>
      <c r="G3100" s="395"/>
      <c r="H3100" s="395"/>
      <c r="J3100" s="42"/>
    </row>
    <row r="3101" spans="1:10" s="393" customFormat="1" x14ac:dyDescent="0.25">
      <c r="A3101" s="19" t="s">
        <v>29</v>
      </c>
      <c r="B3101" s="2">
        <v>44022</v>
      </c>
      <c r="C3101" s="1">
        <v>4</v>
      </c>
      <c r="D3101" s="39">
        <v>196</v>
      </c>
      <c r="E3101" s="1"/>
      <c r="F3101" s="39">
        <f t="shared" si="199"/>
        <v>2</v>
      </c>
      <c r="G3101" s="395"/>
      <c r="H3101" s="395"/>
      <c r="J3101" s="42"/>
    </row>
    <row r="3102" spans="1:10" s="393" customFormat="1" x14ac:dyDescent="0.25">
      <c r="A3102" s="19" t="s">
        <v>43</v>
      </c>
      <c r="B3102" s="2">
        <v>44022</v>
      </c>
      <c r="C3102" s="1">
        <v>1049</v>
      </c>
      <c r="D3102" s="39">
        <v>36520</v>
      </c>
      <c r="E3102" s="1">
        <v>21</v>
      </c>
      <c r="F3102" s="39">
        <f t="shared" si="199"/>
        <v>656</v>
      </c>
      <c r="G3102" s="395"/>
      <c r="H3102" s="395"/>
      <c r="J3102" s="42"/>
    </row>
    <row r="3103" spans="1:10" s="393" customFormat="1" x14ac:dyDescent="0.25">
      <c r="A3103" s="19" t="s">
        <v>20</v>
      </c>
      <c r="B3103" s="2">
        <v>44022</v>
      </c>
      <c r="C3103" s="1">
        <v>26</v>
      </c>
      <c r="D3103" s="39">
        <v>855</v>
      </c>
      <c r="E3103" s="1"/>
      <c r="F3103" s="39">
        <f t="shared" si="199"/>
        <v>34</v>
      </c>
      <c r="G3103" s="395"/>
      <c r="H3103" s="395"/>
      <c r="J3103" s="42"/>
    </row>
    <row r="3104" spans="1:10" s="393" customFormat="1" x14ac:dyDescent="0.25">
      <c r="A3104" s="19" t="s">
        <v>30</v>
      </c>
      <c r="B3104" s="2">
        <v>44022</v>
      </c>
      <c r="C3104" s="1">
        <v>0</v>
      </c>
      <c r="D3104" s="39">
        <v>126</v>
      </c>
      <c r="E3104" s="1"/>
      <c r="F3104" s="39">
        <f t="shared" si="199"/>
        <v>0</v>
      </c>
      <c r="G3104" s="395"/>
      <c r="H3104" s="395"/>
      <c r="J3104" s="42"/>
    </row>
    <row r="3105" spans="1:10" x14ac:dyDescent="0.25">
      <c r="A3105" s="19" t="s">
        <v>31</v>
      </c>
      <c r="B3105" s="2">
        <v>44022</v>
      </c>
      <c r="C3105" s="1">
        <v>25</v>
      </c>
      <c r="D3105" s="39">
        <v>401</v>
      </c>
      <c r="F3105" s="39">
        <f t="shared" si="199"/>
        <v>0</v>
      </c>
    </row>
    <row r="3106" spans="1:10" s="393" customFormat="1" x14ac:dyDescent="0.25">
      <c r="A3106" s="19" t="s">
        <v>41</v>
      </c>
      <c r="B3106" s="2">
        <v>44022</v>
      </c>
      <c r="C3106" s="1">
        <v>0</v>
      </c>
      <c r="D3106" s="39">
        <v>76</v>
      </c>
      <c r="E3106" s="1"/>
      <c r="F3106" s="39">
        <f t="shared" ref="F3106:F3117" si="200">E3106+F3081</f>
        <v>0</v>
      </c>
      <c r="G3106" s="395"/>
      <c r="H3106" s="395"/>
      <c r="J3106" s="42"/>
    </row>
    <row r="3107" spans="1:10" s="393" customFormat="1" x14ac:dyDescent="0.25">
      <c r="A3107" s="19" t="s">
        <v>32</v>
      </c>
      <c r="B3107" s="2">
        <v>44022</v>
      </c>
      <c r="C3107" s="1">
        <v>23</v>
      </c>
      <c r="D3107" s="39">
        <v>334</v>
      </c>
      <c r="E3107" s="1"/>
      <c r="F3107" s="39">
        <f t="shared" si="200"/>
        <v>0</v>
      </c>
      <c r="G3107" s="395"/>
      <c r="H3107" s="395"/>
      <c r="J3107" s="42"/>
    </row>
    <row r="3108" spans="1:10" s="393" customFormat="1" x14ac:dyDescent="0.25">
      <c r="A3108" s="19" t="s">
        <v>33</v>
      </c>
      <c r="B3108" s="2">
        <v>44022</v>
      </c>
      <c r="C3108" s="1">
        <v>0</v>
      </c>
      <c r="D3108" s="39">
        <v>7</v>
      </c>
      <c r="E3108" s="1"/>
      <c r="F3108" s="39">
        <f t="shared" si="200"/>
        <v>0</v>
      </c>
      <c r="G3108" s="395"/>
      <c r="H3108" s="395"/>
      <c r="J3108" s="42"/>
    </row>
    <row r="3109" spans="1:10" s="393" customFormat="1" x14ac:dyDescent="0.25">
      <c r="A3109" s="19" t="s">
        <v>21</v>
      </c>
      <c r="B3109" s="2">
        <v>44022</v>
      </c>
      <c r="C3109" s="1">
        <v>6</v>
      </c>
      <c r="D3109" s="39">
        <v>131</v>
      </c>
      <c r="E3109" s="1">
        <v>2</v>
      </c>
      <c r="F3109" s="39">
        <f t="shared" si="200"/>
        <v>2</v>
      </c>
      <c r="G3109" s="395"/>
      <c r="H3109" s="395"/>
      <c r="J3109" s="42"/>
    </row>
    <row r="3110" spans="1:10" s="393" customFormat="1" x14ac:dyDescent="0.25">
      <c r="A3110" s="19" t="s">
        <v>17</v>
      </c>
      <c r="B3110" s="2">
        <v>44022</v>
      </c>
      <c r="C3110" s="1">
        <v>12</v>
      </c>
      <c r="D3110" s="39">
        <v>263</v>
      </c>
      <c r="E3110" s="1"/>
      <c r="F3110" s="39">
        <f t="shared" si="200"/>
        <v>0</v>
      </c>
      <c r="G3110" s="395"/>
      <c r="H3110" s="395"/>
      <c r="J3110" s="42"/>
    </row>
    <row r="3111" spans="1:10" s="393" customFormat="1" x14ac:dyDescent="0.25">
      <c r="A3111" s="19" t="s">
        <v>23</v>
      </c>
      <c r="B3111" s="2">
        <v>44022</v>
      </c>
      <c r="C3111" s="1">
        <v>0</v>
      </c>
      <c r="D3111" s="39">
        <v>49</v>
      </c>
      <c r="E3111" s="1"/>
      <c r="F3111" s="39">
        <f t="shared" si="200"/>
        <v>0</v>
      </c>
      <c r="G3111" s="395"/>
      <c r="H3111" s="395"/>
      <c r="J3111" s="42"/>
    </row>
    <row r="3112" spans="1:10" s="393" customFormat="1" x14ac:dyDescent="0.25">
      <c r="A3112" s="19" t="s">
        <v>19</v>
      </c>
      <c r="B3112" s="2">
        <v>44022</v>
      </c>
      <c r="C3112" s="1">
        <v>14</v>
      </c>
      <c r="D3112" s="39">
        <v>654</v>
      </c>
      <c r="E3112" s="1">
        <v>1</v>
      </c>
      <c r="F3112" s="39">
        <f t="shared" si="200"/>
        <v>1</v>
      </c>
      <c r="G3112" s="395"/>
      <c r="H3112" s="395"/>
      <c r="J3112" s="42"/>
    </row>
    <row r="3113" spans="1:10" s="393" customFormat="1" x14ac:dyDescent="0.25">
      <c r="A3113" s="19" t="s">
        <v>18</v>
      </c>
      <c r="B3113" s="2">
        <v>44022</v>
      </c>
      <c r="C3113" s="1">
        <v>26</v>
      </c>
      <c r="D3113" s="39">
        <v>1057</v>
      </c>
      <c r="E3113" s="1"/>
      <c r="F3113" s="39">
        <f t="shared" si="200"/>
        <v>0</v>
      </c>
      <c r="G3113" s="395"/>
      <c r="H3113" s="395"/>
      <c r="J3113" s="42"/>
    </row>
    <row r="3114" spans="1:10" s="393" customFormat="1" x14ac:dyDescent="0.25">
      <c r="A3114" s="19" t="s">
        <v>34</v>
      </c>
      <c r="B3114" s="2">
        <v>44022</v>
      </c>
      <c r="C3114" s="1">
        <v>2</v>
      </c>
      <c r="D3114" s="39">
        <v>86</v>
      </c>
      <c r="E3114" s="1"/>
      <c r="F3114" s="39">
        <f t="shared" si="200"/>
        <v>0</v>
      </c>
      <c r="G3114" s="395"/>
      <c r="H3114" s="395"/>
      <c r="J3114" s="42"/>
    </row>
    <row r="3115" spans="1:10" s="393" customFormat="1" x14ac:dyDescent="0.25">
      <c r="A3115" s="19" t="s">
        <v>35</v>
      </c>
      <c r="B3115" s="2">
        <v>44022</v>
      </c>
      <c r="C3115" s="1">
        <v>0</v>
      </c>
      <c r="D3115" s="39">
        <v>9</v>
      </c>
      <c r="E3115" s="1"/>
      <c r="F3115" s="39">
        <f>E3115+F3091</f>
        <v>0</v>
      </c>
      <c r="G3115" s="395"/>
      <c r="H3115" s="395"/>
      <c r="J3115" s="42"/>
    </row>
    <row r="3116" spans="1:10" s="393" customFormat="1" x14ac:dyDescent="0.25">
      <c r="A3116" s="19" t="s">
        <v>36</v>
      </c>
      <c r="B3116" s="2">
        <v>44022</v>
      </c>
      <c r="C3116" s="1">
        <v>0</v>
      </c>
      <c r="D3116" s="39">
        <v>12</v>
      </c>
      <c r="E3116" s="1"/>
      <c r="F3116" s="39">
        <f t="shared" si="200"/>
        <v>0</v>
      </c>
      <c r="G3116" s="395"/>
      <c r="H3116" s="395"/>
      <c r="J3116" s="42"/>
    </row>
    <row r="3117" spans="1:10" s="393" customFormat="1" x14ac:dyDescent="0.25">
      <c r="A3117" s="19" t="s">
        <v>37</v>
      </c>
      <c r="B3117" s="2">
        <v>44022</v>
      </c>
      <c r="C3117" s="1">
        <v>4</v>
      </c>
      <c r="D3117" s="39">
        <v>60</v>
      </c>
      <c r="E3117" s="1"/>
      <c r="F3117" s="39">
        <f t="shared" si="200"/>
        <v>0</v>
      </c>
      <c r="G3117" s="395"/>
      <c r="H3117" s="395"/>
      <c r="J3117" s="42"/>
    </row>
    <row r="3118" spans="1:10" s="393" customFormat="1" x14ac:dyDescent="0.25">
      <c r="A3118" s="19" t="s">
        <v>22</v>
      </c>
      <c r="B3118" s="2">
        <v>44022</v>
      </c>
      <c r="C3118" s="1">
        <v>6</v>
      </c>
      <c r="D3118" s="39">
        <v>486</v>
      </c>
      <c r="E3118" s="1"/>
      <c r="F3118" s="39">
        <f>E3118+F3094</f>
        <v>6</v>
      </c>
      <c r="G3118" s="395"/>
      <c r="H3118" s="395"/>
      <c r="J3118" s="42"/>
    </row>
    <row r="3119" spans="1:10" s="393" customFormat="1" x14ac:dyDescent="0.25">
      <c r="A3119" s="19" t="s">
        <v>38</v>
      </c>
      <c r="B3119" s="2">
        <v>44022</v>
      </c>
      <c r="C3119" s="1">
        <v>0</v>
      </c>
      <c r="D3119" s="39">
        <v>36</v>
      </c>
      <c r="E3119" s="1"/>
      <c r="F3119" s="39">
        <f>E3119+F3095</f>
        <v>0</v>
      </c>
      <c r="G3119" s="395"/>
      <c r="H3119" s="395"/>
      <c r="J3119" s="42"/>
    </row>
    <row r="3120" spans="1:10" s="393" customFormat="1" x14ac:dyDescent="0.25">
      <c r="A3120" s="19" t="s">
        <v>39</v>
      </c>
      <c r="B3120" s="2">
        <v>44022</v>
      </c>
      <c r="C3120" s="1">
        <v>0</v>
      </c>
      <c r="D3120" s="39">
        <v>155</v>
      </c>
      <c r="E3120" s="1"/>
      <c r="F3120" s="39">
        <f>E3120+F3096</f>
        <v>1</v>
      </c>
      <c r="G3120" s="395"/>
      <c r="H3120" s="395"/>
      <c r="J3120" s="42"/>
    </row>
    <row r="3121" spans="1:10" s="393" customFormat="1" x14ac:dyDescent="0.25">
      <c r="A3121" s="19" t="s">
        <v>40</v>
      </c>
      <c r="B3121" s="2">
        <v>44022</v>
      </c>
      <c r="C3121" s="1">
        <v>2</v>
      </c>
      <c r="D3121" s="39">
        <v>91</v>
      </c>
      <c r="E3121" s="1"/>
      <c r="F3121" s="39">
        <f>E3121+F3097</f>
        <v>4</v>
      </c>
      <c r="G3121" s="395"/>
      <c r="H3121" s="395"/>
      <c r="J3121" s="42"/>
    </row>
    <row r="3122" spans="1:10" s="393" customFormat="1" x14ac:dyDescent="0.25">
      <c r="A3122" s="394" t="s">
        <v>16</v>
      </c>
      <c r="B3122" s="2">
        <v>44023</v>
      </c>
      <c r="C3122" s="1">
        <v>2113</v>
      </c>
      <c r="D3122" s="39">
        <v>52024</v>
      </c>
      <c r="E3122" s="1">
        <v>21</v>
      </c>
      <c r="F3122" s="39">
        <f>E3122+F3098</f>
        <v>880</v>
      </c>
      <c r="G3122" s="395"/>
      <c r="H3122" s="395"/>
      <c r="J3122" s="42"/>
    </row>
    <row r="3123" spans="1:10" s="393" customFormat="1" x14ac:dyDescent="0.25">
      <c r="A3123" s="19" t="s">
        <v>28</v>
      </c>
      <c r="B3123" s="2">
        <v>44023</v>
      </c>
      <c r="C3123" s="1">
        <v>1</v>
      </c>
      <c r="D3123" s="39">
        <v>39</v>
      </c>
      <c r="E3123" s="1"/>
      <c r="F3123" s="39">
        <f t="shared" ref="F3123:F3129" si="201">E3123+F3099</f>
        <v>0</v>
      </c>
      <c r="G3123" s="395"/>
      <c r="H3123" s="395"/>
      <c r="J3123" s="42"/>
    </row>
    <row r="3124" spans="1:10" s="393" customFormat="1" x14ac:dyDescent="0.25">
      <c r="A3124" s="19" t="s">
        <v>15</v>
      </c>
      <c r="B3124" s="2">
        <v>44023</v>
      </c>
      <c r="C3124" s="1">
        <v>56</v>
      </c>
      <c r="D3124" s="39">
        <v>2552</v>
      </c>
      <c r="E3124" s="1">
        <v>1</v>
      </c>
      <c r="F3124" s="39">
        <f t="shared" si="201"/>
        <v>114</v>
      </c>
      <c r="G3124" s="395"/>
      <c r="H3124" s="395"/>
      <c r="J3124" s="42"/>
    </row>
    <row r="3125" spans="1:10" s="393" customFormat="1" x14ac:dyDescent="0.25">
      <c r="A3125" s="19" t="s">
        <v>29</v>
      </c>
      <c r="B3125" s="2">
        <v>44023</v>
      </c>
      <c r="C3125" s="1">
        <v>9</v>
      </c>
      <c r="D3125" s="39">
        <v>205</v>
      </c>
      <c r="E3125" s="1">
        <v>1</v>
      </c>
      <c r="F3125" s="39">
        <f t="shared" si="201"/>
        <v>3</v>
      </c>
      <c r="G3125" s="395"/>
      <c r="H3125" s="395"/>
      <c r="J3125" s="42"/>
    </row>
    <row r="3126" spans="1:10" s="393" customFormat="1" x14ac:dyDescent="0.25">
      <c r="A3126" s="19" t="s">
        <v>43</v>
      </c>
      <c r="B3126" s="2">
        <v>44023</v>
      </c>
      <c r="C3126" s="1">
        <v>1051</v>
      </c>
      <c r="D3126" s="39">
        <v>37571</v>
      </c>
      <c r="E3126" s="1">
        <v>13</v>
      </c>
      <c r="F3126" s="39">
        <f t="shared" si="201"/>
        <v>669</v>
      </c>
      <c r="G3126" s="395"/>
      <c r="H3126" s="395"/>
      <c r="J3126" s="42"/>
    </row>
    <row r="3127" spans="1:10" s="393" customFormat="1" x14ac:dyDescent="0.25">
      <c r="A3127" s="19" t="s">
        <v>20</v>
      </c>
      <c r="B3127" s="2">
        <v>44023</v>
      </c>
      <c r="C3127" s="1">
        <v>30</v>
      </c>
      <c r="D3127" s="39">
        <v>885</v>
      </c>
      <c r="E3127" s="1"/>
      <c r="F3127" s="39">
        <f t="shared" si="201"/>
        <v>34</v>
      </c>
      <c r="G3127" s="395"/>
      <c r="H3127" s="395"/>
      <c r="J3127" s="42"/>
    </row>
    <row r="3128" spans="1:10" s="393" customFormat="1" x14ac:dyDescent="0.25">
      <c r="A3128" s="19" t="s">
        <v>30</v>
      </c>
      <c r="B3128" s="2">
        <v>44023</v>
      </c>
      <c r="C3128" s="1">
        <v>1</v>
      </c>
      <c r="D3128" s="39">
        <v>127</v>
      </c>
      <c r="E3128" s="1"/>
      <c r="F3128" s="39">
        <f t="shared" si="201"/>
        <v>0</v>
      </c>
      <c r="G3128" s="395"/>
      <c r="H3128" s="395"/>
      <c r="J3128" s="42"/>
    </row>
    <row r="3129" spans="1:10" x14ac:dyDescent="0.25">
      <c r="A3129" s="19" t="s">
        <v>31</v>
      </c>
      <c r="B3129" s="2">
        <v>44023</v>
      </c>
      <c r="C3129" s="1">
        <v>31</v>
      </c>
      <c r="D3129" s="39">
        <v>432</v>
      </c>
      <c r="F3129" s="39">
        <f t="shared" si="201"/>
        <v>0</v>
      </c>
    </row>
    <row r="3130" spans="1:10" s="393" customFormat="1" x14ac:dyDescent="0.25">
      <c r="A3130" s="19" t="s">
        <v>41</v>
      </c>
      <c r="B3130" s="2">
        <v>44023</v>
      </c>
      <c r="C3130" s="1">
        <v>0</v>
      </c>
      <c r="D3130" s="39">
        <v>76</v>
      </c>
      <c r="E3130" s="1"/>
      <c r="F3130" s="39">
        <f t="shared" ref="F3130:F3141" si="202">E3130+F3105</f>
        <v>0</v>
      </c>
      <c r="G3130" s="395"/>
      <c r="H3130" s="395"/>
      <c r="J3130" s="42"/>
    </row>
    <row r="3131" spans="1:10" s="393" customFormat="1" x14ac:dyDescent="0.25">
      <c r="A3131" s="19" t="s">
        <v>32</v>
      </c>
      <c r="B3131" s="2">
        <v>44023</v>
      </c>
      <c r="C3131" s="1">
        <v>59</v>
      </c>
      <c r="D3131" s="39">
        <v>393</v>
      </c>
      <c r="E3131" s="1"/>
      <c r="F3131" s="39">
        <f t="shared" si="202"/>
        <v>0</v>
      </c>
      <c r="G3131" s="395"/>
      <c r="H3131" s="395"/>
      <c r="J3131" s="42"/>
    </row>
    <row r="3132" spans="1:10" s="393" customFormat="1" x14ac:dyDescent="0.25">
      <c r="A3132" s="19" t="s">
        <v>33</v>
      </c>
      <c r="B3132" s="2">
        <v>44023</v>
      </c>
      <c r="C3132" s="1">
        <v>0</v>
      </c>
      <c r="D3132" s="39">
        <v>7</v>
      </c>
      <c r="E3132" s="1"/>
      <c r="F3132" s="39">
        <f t="shared" si="202"/>
        <v>0</v>
      </c>
      <c r="G3132" s="395"/>
      <c r="H3132" s="395"/>
      <c r="J3132" s="42"/>
    </row>
    <row r="3133" spans="1:10" s="393" customFormat="1" x14ac:dyDescent="0.25">
      <c r="A3133" s="19" t="s">
        <v>21</v>
      </c>
      <c r="B3133" s="2">
        <v>44023</v>
      </c>
      <c r="C3133" s="1">
        <v>5</v>
      </c>
      <c r="D3133" s="39">
        <v>136</v>
      </c>
      <c r="E3133" s="1"/>
      <c r="F3133" s="39">
        <f t="shared" si="202"/>
        <v>0</v>
      </c>
      <c r="G3133" s="395"/>
      <c r="H3133" s="395"/>
      <c r="J3133" s="42"/>
    </row>
    <row r="3134" spans="1:10" s="393" customFormat="1" x14ac:dyDescent="0.25">
      <c r="A3134" s="19" t="s">
        <v>17</v>
      </c>
      <c r="B3134" s="2">
        <v>44023</v>
      </c>
      <c r="C3134" s="1">
        <v>14</v>
      </c>
      <c r="D3134" s="39">
        <v>277</v>
      </c>
      <c r="E3134" s="1"/>
      <c r="F3134" s="39">
        <f t="shared" si="202"/>
        <v>2</v>
      </c>
      <c r="G3134" s="395"/>
      <c r="H3134" s="395"/>
      <c r="J3134" s="42"/>
    </row>
    <row r="3135" spans="1:10" s="393" customFormat="1" x14ac:dyDescent="0.25">
      <c r="A3135" s="19" t="s">
        <v>23</v>
      </c>
      <c r="B3135" s="2">
        <v>44023</v>
      </c>
      <c r="C3135" s="1">
        <v>0</v>
      </c>
      <c r="D3135" s="39">
        <v>49</v>
      </c>
      <c r="E3135" s="1"/>
      <c r="F3135" s="39">
        <f t="shared" si="202"/>
        <v>0</v>
      </c>
      <c r="G3135" s="395"/>
      <c r="H3135" s="395"/>
      <c r="J3135" s="42"/>
    </row>
    <row r="3136" spans="1:10" s="393" customFormat="1" x14ac:dyDescent="0.25">
      <c r="A3136" s="19" t="s">
        <v>19</v>
      </c>
      <c r="B3136" s="2">
        <v>44023</v>
      </c>
      <c r="C3136" s="1">
        <v>13</v>
      </c>
      <c r="D3136" s="39">
        <v>667</v>
      </c>
      <c r="E3136" s="1"/>
      <c r="F3136" s="39">
        <f t="shared" si="202"/>
        <v>0</v>
      </c>
      <c r="G3136" s="395"/>
      <c r="H3136" s="395"/>
      <c r="J3136" s="42"/>
    </row>
    <row r="3137" spans="1:10" s="393" customFormat="1" x14ac:dyDescent="0.25">
      <c r="A3137" s="19" t="s">
        <v>18</v>
      </c>
      <c r="B3137" s="2">
        <v>44023</v>
      </c>
      <c r="C3137" s="1">
        <v>25</v>
      </c>
      <c r="D3137" s="39">
        <v>1082</v>
      </c>
      <c r="E3137" s="1"/>
      <c r="F3137" s="39">
        <f t="shared" si="202"/>
        <v>1</v>
      </c>
      <c r="G3137" s="395"/>
      <c r="H3137" s="395"/>
      <c r="J3137" s="42"/>
    </row>
    <row r="3138" spans="1:10" s="393" customFormat="1" x14ac:dyDescent="0.25">
      <c r="A3138" s="19" t="s">
        <v>34</v>
      </c>
      <c r="B3138" s="2">
        <v>44023</v>
      </c>
      <c r="C3138" s="1">
        <v>21</v>
      </c>
      <c r="D3138" s="39">
        <v>107</v>
      </c>
      <c r="E3138" s="1"/>
      <c r="F3138" s="39">
        <f t="shared" si="202"/>
        <v>0</v>
      </c>
      <c r="G3138" s="395"/>
      <c r="H3138" s="395"/>
      <c r="J3138" s="42"/>
    </row>
    <row r="3139" spans="1:10" s="393" customFormat="1" x14ac:dyDescent="0.25">
      <c r="A3139" s="19" t="s">
        <v>35</v>
      </c>
      <c r="B3139" s="2">
        <v>44023</v>
      </c>
      <c r="C3139" s="1">
        <v>0</v>
      </c>
      <c r="D3139" s="39">
        <v>9</v>
      </c>
      <c r="E3139" s="1"/>
      <c r="F3139" s="39">
        <f>E3139+F3115</f>
        <v>0</v>
      </c>
      <c r="G3139" s="395"/>
      <c r="H3139" s="395"/>
      <c r="J3139" s="42"/>
    </row>
    <row r="3140" spans="1:10" s="393" customFormat="1" x14ac:dyDescent="0.25">
      <c r="A3140" s="19" t="s">
        <v>36</v>
      </c>
      <c r="B3140" s="2">
        <v>44023</v>
      </c>
      <c r="C3140" s="1">
        <v>0</v>
      </c>
      <c r="D3140" s="39">
        <v>12</v>
      </c>
      <c r="E3140" s="1"/>
      <c r="F3140" s="39">
        <f t="shared" si="202"/>
        <v>0</v>
      </c>
      <c r="G3140" s="395"/>
      <c r="H3140" s="395"/>
      <c r="J3140" s="42"/>
    </row>
    <row r="3141" spans="1:10" s="393" customFormat="1" x14ac:dyDescent="0.25">
      <c r="A3141" s="19" t="s">
        <v>37</v>
      </c>
      <c r="B3141" s="2">
        <v>44023</v>
      </c>
      <c r="C3141" s="1">
        <v>0</v>
      </c>
      <c r="D3141" s="39">
        <v>60</v>
      </c>
      <c r="E3141" s="1"/>
      <c r="F3141" s="39">
        <f t="shared" si="202"/>
        <v>0</v>
      </c>
      <c r="G3141" s="395"/>
      <c r="H3141" s="395"/>
      <c r="J3141" s="42"/>
    </row>
    <row r="3142" spans="1:10" s="393" customFormat="1" x14ac:dyDescent="0.25">
      <c r="A3142" s="19" t="s">
        <v>22</v>
      </c>
      <c r="B3142" s="2">
        <v>44023</v>
      </c>
      <c r="C3142" s="1">
        <v>19</v>
      </c>
      <c r="D3142" s="39">
        <v>505</v>
      </c>
      <c r="E3142" s="1"/>
      <c r="F3142" s="39">
        <f>E3142+F3118</f>
        <v>6</v>
      </c>
      <c r="G3142" s="395"/>
      <c r="H3142" s="395"/>
      <c r="J3142" s="42"/>
    </row>
    <row r="3143" spans="1:10" s="393" customFormat="1" x14ac:dyDescent="0.25">
      <c r="A3143" s="19" t="s">
        <v>38</v>
      </c>
      <c r="B3143" s="2">
        <v>44023</v>
      </c>
      <c r="C3143" s="1">
        <v>0</v>
      </c>
      <c r="D3143" s="39">
        <v>36</v>
      </c>
      <c r="E3143" s="1"/>
      <c r="F3143" s="39">
        <f>E3143+F3119</f>
        <v>0</v>
      </c>
      <c r="G3143" s="395"/>
      <c r="H3143" s="395"/>
      <c r="J3143" s="42"/>
    </row>
    <row r="3144" spans="1:10" s="393" customFormat="1" x14ac:dyDescent="0.25">
      <c r="A3144" s="19" t="s">
        <v>39</v>
      </c>
      <c r="B3144" s="2">
        <v>44023</v>
      </c>
      <c r="C3144" s="1">
        <v>0</v>
      </c>
      <c r="D3144" s="39">
        <v>155</v>
      </c>
      <c r="E3144" s="1"/>
      <c r="F3144" s="39">
        <f>E3144+F3120</f>
        <v>1</v>
      </c>
      <c r="G3144" s="395"/>
      <c r="H3144" s="395"/>
      <c r="J3144" s="42"/>
    </row>
    <row r="3145" spans="1:10" s="393" customFormat="1" x14ac:dyDescent="0.25">
      <c r="A3145" s="19" t="s">
        <v>40</v>
      </c>
      <c r="B3145" s="2">
        <v>44023</v>
      </c>
      <c r="C3145" s="1">
        <v>0</v>
      </c>
      <c r="D3145" s="39">
        <v>91</v>
      </c>
      <c r="E3145" s="1"/>
      <c r="F3145" s="39">
        <f>E3145+F3121</f>
        <v>4</v>
      </c>
      <c r="G3145" s="395"/>
      <c r="H3145" s="395"/>
      <c r="J3145" s="42"/>
    </row>
    <row r="3146" spans="1:10" s="393" customFormat="1" x14ac:dyDescent="0.25">
      <c r="A3146" s="394" t="s">
        <v>16</v>
      </c>
      <c r="B3146" s="2">
        <v>44024</v>
      </c>
      <c r="C3146" s="1">
        <v>1633</v>
      </c>
      <c r="D3146" s="39">
        <v>53657</v>
      </c>
      <c r="E3146" s="1">
        <v>23</v>
      </c>
      <c r="F3146" s="39">
        <f>E3146+F3122</f>
        <v>903</v>
      </c>
      <c r="G3146" s="395"/>
      <c r="H3146" s="395"/>
      <c r="J3146" s="42"/>
    </row>
    <row r="3147" spans="1:10" s="393" customFormat="1" x14ac:dyDescent="0.25">
      <c r="A3147" s="19" t="s">
        <v>28</v>
      </c>
      <c r="B3147" s="2">
        <v>44024</v>
      </c>
      <c r="C3147" s="1">
        <v>0</v>
      </c>
      <c r="D3147" s="39">
        <v>39</v>
      </c>
      <c r="E3147" s="1"/>
      <c r="F3147" s="39">
        <f t="shared" ref="F3147:F3153" si="203">E3147+F3123</f>
        <v>0</v>
      </c>
      <c r="G3147" s="395"/>
      <c r="H3147" s="395"/>
      <c r="J3147" s="42"/>
    </row>
    <row r="3148" spans="1:10" s="393" customFormat="1" x14ac:dyDescent="0.25">
      <c r="A3148" s="19" t="s">
        <v>15</v>
      </c>
      <c r="B3148" s="2">
        <v>44024</v>
      </c>
      <c r="C3148" s="1">
        <v>25</v>
      </c>
      <c r="D3148" s="39">
        <v>2577</v>
      </c>
      <c r="E3148" s="1"/>
      <c r="F3148" s="39">
        <f t="shared" si="203"/>
        <v>114</v>
      </c>
      <c r="G3148" s="395"/>
      <c r="H3148" s="395"/>
      <c r="J3148" s="42"/>
    </row>
    <row r="3149" spans="1:10" s="393" customFormat="1" x14ac:dyDescent="0.25">
      <c r="A3149" s="19" t="s">
        <v>29</v>
      </c>
      <c r="B3149" s="2">
        <v>44024</v>
      </c>
      <c r="C3149" s="1">
        <v>1</v>
      </c>
      <c r="D3149" s="39">
        <v>206</v>
      </c>
      <c r="E3149" s="1"/>
      <c r="F3149" s="39">
        <f t="shared" si="203"/>
        <v>3</v>
      </c>
      <c r="G3149" s="395"/>
      <c r="H3149" s="395"/>
      <c r="J3149" s="42"/>
    </row>
    <row r="3150" spans="1:10" s="393" customFormat="1" x14ac:dyDescent="0.25">
      <c r="A3150" s="19" t="s">
        <v>43</v>
      </c>
      <c r="B3150" s="2">
        <v>44024</v>
      </c>
      <c r="C3150" s="1">
        <v>754</v>
      </c>
      <c r="D3150" s="39">
        <v>38325</v>
      </c>
      <c r="E3150" s="1">
        <v>11</v>
      </c>
      <c r="F3150" s="39">
        <f t="shared" si="203"/>
        <v>680</v>
      </c>
      <c r="G3150" s="395"/>
      <c r="H3150" s="395"/>
      <c r="J3150" s="42"/>
    </row>
    <row r="3151" spans="1:10" s="393" customFormat="1" x14ac:dyDescent="0.25">
      <c r="A3151" s="19" t="s">
        <v>20</v>
      </c>
      <c r="B3151" s="2">
        <v>44024</v>
      </c>
      <c r="C3151" s="1">
        <v>34</v>
      </c>
      <c r="D3151" s="39">
        <v>919</v>
      </c>
      <c r="E3151" s="1"/>
      <c r="F3151" s="39">
        <f t="shared" si="203"/>
        <v>34</v>
      </c>
      <c r="G3151" s="395"/>
      <c r="H3151" s="395"/>
      <c r="J3151" s="42"/>
    </row>
    <row r="3152" spans="1:10" s="393" customFormat="1" x14ac:dyDescent="0.25">
      <c r="A3152" s="19" t="s">
        <v>30</v>
      </c>
      <c r="B3152" s="2">
        <v>44024</v>
      </c>
      <c r="C3152" s="1">
        <v>0</v>
      </c>
      <c r="D3152" s="39">
        <v>127</v>
      </c>
      <c r="E3152" s="1"/>
      <c r="F3152" s="39">
        <f t="shared" si="203"/>
        <v>0</v>
      </c>
      <c r="G3152" s="395"/>
      <c r="H3152" s="395"/>
      <c r="J3152" s="42"/>
    </row>
    <row r="3153" spans="1:10" x14ac:dyDescent="0.25">
      <c r="A3153" s="19" t="s">
        <v>31</v>
      </c>
      <c r="B3153" s="2">
        <v>44024</v>
      </c>
      <c r="C3153" s="1">
        <v>60</v>
      </c>
      <c r="D3153" s="39">
        <v>492</v>
      </c>
      <c r="F3153" s="39">
        <f t="shared" si="203"/>
        <v>0</v>
      </c>
    </row>
    <row r="3154" spans="1:10" s="393" customFormat="1" x14ac:dyDescent="0.25">
      <c r="A3154" s="19" t="s">
        <v>41</v>
      </c>
      <c r="B3154" s="2">
        <v>44024</v>
      </c>
      <c r="C3154" s="1">
        <v>0</v>
      </c>
      <c r="D3154" s="39">
        <v>76</v>
      </c>
      <c r="E3154" s="1"/>
      <c r="F3154" s="39">
        <f t="shared" ref="F3154:F3165" si="204">E3154+F3129</f>
        <v>0</v>
      </c>
      <c r="G3154" s="395"/>
      <c r="H3154" s="395"/>
      <c r="J3154" s="42"/>
    </row>
    <row r="3155" spans="1:10" s="393" customFormat="1" x14ac:dyDescent="0.25">
      <c r="A3155" s="19" t="s">
        <v>32</v>
      </c>
      <c r="B3155" s="2">
        <v>44024</v>
      </c>
      <c r="C3155" s="1">
        <v>68</v>
      </c>
      <c r="D3155" s="39">
        <v>461</v>
      </c>
      <c r="E3155" s="1"/>
      <c r="F3155" s="39">
        <f t="shared" si="204"/>
        <v>0</v>
      </c>
      <c r="G3155" s="395"/>
      <c r="H3155" s="395"/>
      <c r="J3155" s="42"/>
    </row>
    <row r="3156" spans="1:10" s="393" customFormat="1" x14ac:dyDescent="0.25">
      <c r="A3156" s="19" t="s">
        <v>33</v>
      </c>
      <c r="B3156" s="2">
        <v>44024</v>
      </c>
      <c r="C3156" s="1">
        <v>0</v>
      </c>
      <c r="D3156" s="39">
        <v>7</v>
      </c>
      <c r="E3156" s="1"/>
      <c r="F3156" s="39">
        <f t="shared" si="204"/>
        <v>0</v>
      </c>
      <c r="G3156" s="395"/>
      <c r="H3156" s="395"/>
      <c r="J3156" s="42"/>
    </row>
    <row r="3157" spans="1:10" s="393" customFormat="1" x14ac:dyDescent="0.25">
      <c r="A3157" s="19" t="s">
        <v>21</v>
      </c>
      <c r="B3157" s="2">
        <v>44024</v>
      </c>
      <c r="C3157" s="1">
        <v>4</v>
      </c>
      <c r="D3157" s="39">
        <v>140</v>
      </c>
      <c r="E3157" s="1"/>
      <c r="F3157" s="39">
        <f t="shared" si="204"/>
        <v>0</v>
      </c>
      <c r="G3157" s="395"/>
      <c r="H3157" s="395"/>
      <c r="J3157" s="42"/>
    </row>
    <row r="3158" spans="1:10" s="393" customFormat="1" x14ac:dyDescent="0.25">
      <c r="A3158" s="19" t="s">
        <v>17</v>
      </c>
      <c r="B3158" s="2">
        <v>44024</v>
      </c>
      <c r="C3158" s="1">
        <v>14</v>
      </c>
      <c r="D3158" s="39">
        <v>291</v>
      </c>
      <c r="E3158" s="1"/>
      <c r="F3158" s="39">
        <f t="shared" si="204"/>
        <v>0</v>
      </c>
      <c r="G3158" s="395"/>
      <c r="H3158" s="395"/>
      <c r="J3158" s="42"/>
    </row>
    <row r="3159" spans="1:10" s="393" customFormat="1" x14ac:dyDescent="0.25">
      <c r="A3159" s="19" t="s">
        <v>23</v>
      </c>
      <c r="B3159" s="2">
        <v>44024</v>
      </c>
      <c r="C3159" s="1">
        <v>0</v>
      </c>
      <c r="D3159" s="39">
        <v>49</v>
      </c>
      <c r="E3159" s="1"/>
      <c r="F3159" s="39">
        <f t="shared" si="204"/>
        <v>2</v>
      </c>
      <c r="G3159" s="395"/>
      <c r="H3159" s="395"/>
      <c r="J3159" s="42"/>
    </row>
    <row r="3160" spans="1:10" s="393" customFormat="1" x14ac:dyDescent="0.25">
      <c r="A3160" s="19" t="s">
        <v>19</v>
      </c>
      <c r="B3160" s="2">
        <v>44024</v>
      </c>
      <c r="C3160" s="1">
        <v>17</v>
      </c>
      <c r="D3160" s="39">
        <v>684</v>
      </c>
      <c r="E3160" s="1"/>
      <c r="F3160" s="39">
        <f t="shared" si="204"/>
        <v>0</v>
      </c>
      <c r="G3160" s="395"/>
      <c r="H3160" s="395"/>
      <c r="J3160" s="42"/>
    </row>
    <row r="3161" spans="1:10" s="393" customFormat="1" x14ac:dyDescent="0.25">
      <c r="A3161" s="19" t="s">
        <v>18</v>
      </c>
      <c r="B3161" s="2">
        <v>44024</v>
      </c>
      <c r="C3161" s="1">
        <v>14</v>
      </c>
      <c r="D3161" s="39">
        <v>1096</v>
      </c>
      <c r="E3161" s="1">
        <v>1</v>
      </c>
      <c r="F3161" s="39">
        <f t="shared" si="204"/>
        <v>1</v>
      </c>
      <c r="G3161" s="395"/>
      <c r="H3161" s="395"/>
      <c r="J3161" s="42"/>
    </row>
    <row r="3162" spans="1:10" s="393" customFormat="1" x14ac:dyDescent="0.25">
      <c r="A3162" s="19" t="s">
        <v>34</v>
      </c>
      <c r="B3162" s="2">
        <v>44024</v>
      </c>
      <c r="C3162" s="1">
        <v>2</v>
      </c>
      <c r="D3162" s="39">
        <v>109</v>
      </c>
      <c r="E3162" s="1"/>
      <c r="F3162" s="39">
        <f t="shared" si="204"/>
        <v>1</v>
      </c>
      <c r="G3162" s="395"/>
      <c r="H3162" s="395"/>
      <c r="J3162" s="42"/>
    </row>
    <row r="3163" spans="1:10" s="393" customFormat="1" x14ac:dyDescent="0.25">
      <c r="A3163" s="19" t="s">
        <v>35</v>
      </c>
      <c r="B3163" s="2">
        <v>44024</v>
      </c>
      <c r="C3163" s="1">
        <v>0</v>
      </c>
      <c r="D3163" s="39">
        <v>9</v>
      </c>
      <c r="E3163" s="1"/>
      <c r="F3163" s="39">
        <f>E3163+F3139</f>
        <v>0</v>
      </c>
      <c r="G3163" s="395"/>
      <c r="H3163" s="395"/>
      <c r="J3163" s="42"/>
    </row>
    <row r="3164" spans="1:10" s="393" customFormat="1" x14ac:dyDescent="0.25">
      <c r="A3164" s="19" t="s">
        <v>36</v>
      </c>
      <c r="B3164" s="2">
        <v>44024</v>
      </c>
      <c r="C3164" s="1">
        <v>0</v>
      </c>
      <c r="D3164" s="39">
        <v>12</v>
      </c>
      <c r="E3164" s="1"/>
      <c r="F3164" s="39">
        <f t="shared" si="204"/>
        <v>0</v>
      </c>
      <c r="G3164" s="395"/>
      <c r="H3164" s="395"/>
      <c r="J3164" s="42"/>
    </row>
    <row r="3165" spans="1:10" s="393" customFormat="1" x14ac:dyDescent="0.25">
      <c r="A3165" s="19" t="s">
        <v>37</v>
      </c>
      <c r="B3165" s="2">
        <v>44024</v>
      </c>
      <c r="C3165" s="1">
        <v>1</v>
      </c>
      <c r="D3165" s="39">
        <v>61</v>
      </c>
      <c r="E3165" s="1"/>
      <c r="F3165" s="39">
        <f t="shared" si="204"/>
        <v>0</v>
      </c>
      <c r="G3165" s="395"/>
      <c r="H3165" s="395"/>
      <c r="J3165" s="42"/>
    </row>
    <row r="3166" spans="1:10" s="393" customFormat="1" x14ac:dyDescent="0.25">
      <c r="A3166" s="19" t="s">
        <v>22</v>
      </c>
      <c r="B3166" s="2">
        <v>44024</v>
      </c>
      <c r="C3166" s="1">
        <v>23</v>
      </c>
      <c r="D3166" s="39">
        <v>528</v>
      </c>
      <c r="E3166" s="1"/>
      <c r="F3166" s="39">
        <f>E3166+F3142</f>
        <v>6</v>
      </c>
      <c r="G3166" s="395"/>
      <c r="H3166" s="395"/>
      <c r="J3166" s="42"/>
    </row>
    <row r="3167" spans="1:10" s="393" customFormat="1" x14ac:dyDescent="0.25">
      <c r="A3167" s="19" t="s">
        <v>38</v>
      </c>
      <c r="B3167" s="2">
        <v>44024</v>
      </c>
      <c r="C3167" s="1">
        <v>0</v>
      </c>
      <c r="D3167" s="39">
        <v>36</v>
      </c>
      <c r="E3167" s="1"/>
      <c r="F3167" s="39">
        <f>E3167+F3143</f>
        <v>0</v>
      </c>
      <c r="G3167" s="395"/>
      <c r="H3167" s="395"/>
      <c r="J3167" s="42"/>
    </row>
    <row r="3168" spans="1:10" s="393" customFormat="1" x14ac:dyDescent="0.25">
      <c r="A3168" s="19" t="s">
        <v>39</v>
      </c>
      <c r="B3168" s="2">
        <v>44024</v>
      </c>
      <c r="C3168" s="1">
        <v>6</v>
      </c>
      <c r="D3168" s="39">
        <v>161</v>
      </c>
      <c r="E3168" s="1"/>
      <c r="F3168" s="39">
        <f>E3168+F3144</f>
        <v>1</v>
      </c>
      <c r="G3168" s="395"/>
      <c r="H3168" s="395"/>
      <c r="J3168" s="42"/>
    </row>
    <row r="3169" spans="1:10" s="393" customFormat="1" x14ac:dyDescent="0.25">
      <c r="A3169" s="19" t="s">
        <v>40</v>
      </c>
      <c r="B3169" s="2">
        <v>44024</v>
      </c>
      <c r="C3169" s="1">
        <v>1</v>
      </c>
      <c r="D3169" s="39">
        <v>92</v>
      </c>
      <c r="E3169" s="1"/>
      <c r="F3169" s="39">
        <f>E3169+F3145</f>
        <v>4</v>
      </c>
      <c r="G3169" s="395"/>
      <c r="H3169" s="395"/>
      <c r="J3169" s="42"/>
    </row>
    <row r="3170" spans="1:10" s="393" customFormat="1" x14ac:dyDescent="0.25">
      <c r="A3170" s="394" t="s">
        <v>16</v>
      </c>
      <c r="B3170" s="2">
        <v>44025</v>
      </c>
      <c r="C3170" s="1">
        <v>2002</v>
      </c>
      <c r="D3170" s="39">
        <v>55659</v>
      </c>
      <c r="E3170" s="1">
        <v>27</v>
      </c>
      <c r="F3170" s="39">
        <f>E3170+F3146</f>
        <v>930</v>
      </c>
      <c r="G3170" s="395"/>
      <c r="H3170" s="395"/>
      <c r="J3170" s="42"/>
    </row>
    <row r="3171" spans="1:10" s="393" customFormat="1" x14ac:dyDescent="0.25">
      <c r="A3171" s="19" t="s">
        <v>28</v>
      </c>
      <c r="B3171" s="2">
        <v>44025</v>
      </c>
      <c r="C3171" s="1">
        <v>0</v>
      </c>
      <c r="D3171" s="39">
        <v>39</v>
      </c>
      <c r="E3171" s="1"/>
      <c r="F3171" s="39">
        <f t="shared" ref="F3171:F3177" si="205">E3171+F3147</f>
        <v>0</v>
      </c>
      <c r="G3171" s="395"/>
      <c r="H3171" s="395"/>
      <c r="J3171" s="42"/>
    </row>
    <row r="3172" spans="1:10" s="393" customFormat="1" x14ac:dyDescent="0.25">
      <c r="A3172" s="19" t="s">
        <v>15</v>
      </c>
      <c r="B3172" s="2">
        <v>44025</v>
      </c>
      <c r="C3172" s="1">
        <v>25</v>
      </c>
      <c r="D3172" s="39">
        <v>2602</v>
      </c>
      <c r="E3172" s="1"/>
      <c r="F3172" s="39">
        <f t="shared" si="205"/>
        <v>114</v>
      </c>
      <c r="G3172" s="395"/>
      <c r="H3172" s="395"/>
      <c r="J3172" s="42"/>
    </row>
    <row r="3173" spans="1:10" s="393" customFormat="1" x14ac:dyDescent="0.25">
      <c r="A3173" s="19" t="s">
        <v>29</v>
      </c>
      <c r="B3173" s="2">
        <v>44025</v>
      </c>
      <c r="C3173" s="1">
        <v>5</v>
      </c>
      <c r="D3173" s="39">
        <v>211</v>
      </c>
      <c r="E3173" s="1"/>
      <c r="F3173" s="39">
        <f t="shared" si="205"/>
        <v>3</v>
      </c>
      <c r="G3173" s="395"/>
      <c r="H3173" s="395"/>
      <c r="J3173" s="42"/>
    </row>
    <row r="3174" spans="1:10" s="393" customFormat="1" x14ac:dyDescent="0.25">
      <c r="A3174" s="19" t="s">
        <v>43</v>
      </c>
      <c r="B3174" s="2">
        <v>44025</v>
      </c>
      <c r="C3174" s="1">
        <v>860</v>
      </c>
      <c r="D3174" s="39">
        <v>39185</v>
      </c>
      <c r="E3174" s="1">
        <v>31</v>
      </c>
      <c r="F3174" s="39">
        <f t="shared" si="205"/>
        <v>711</v>
      </c>
      <c r="G3174" s="395"/>
      <c r="H3174" s="395"/>
      <c r="J3174" s="42"/>
    </row>
    <row r="3175" spans="1:10" s="393" customFormat="1" x14ac:dyDescent="0.25">
      <c r="A3175" s="19" t="s">
        <v>20</v>
      </c>
      <c r="B3175" s="2">
        <v>44025</v>
      </c>
      <c r="C3175" s="1">
        <v>44</v>
      </c>
      <c r="D3175" s="39">
        <v>963</v>
      </c>
      <c r="E3175" s="1"/>
      <c r="F3175" s="39">
        <f t="shared" si="205"/>
        <v>34</v>
      </c>
      <c r="G3175" s="395"/>
      <c r="H3175" s="395"/>
      <c r="J3175" s="42"/>
    </row>
    <row r="3176" spans="1:10" s="393" customFormat="1" x14ac:dyDescent="0.25">
      <c r="A3176" s="19" t="s">
        <v>30</v>
      </c>
      <c r="B3176" s="2">
        <v>44025</v>
      </c>
      <c r="C3176" s="1">
        <v>0</v>
      </c>
      <c r="D3176" s="39">
        <v>127</v>
      </c>
      <c r="E3176" s="1"/>
      <c r="F3176" s="39">
        <f t="shared" si="205"/>
        <v>0</v>
      </c>
      <c r="G3176" s="395"/>
      <c r="H3176" s="395"/>
      <c r="J3176" s="42"/>
    </row>
    <row r="3177" spans="1:10" x14ac:dyDescent="0.25">
      <c r="A3177" s="19" t="s">
        <v>31</v>
      </c>
      <c r="B3177" s="2">
        <v>44025</v>
      </c>
      <c r="C3177" s="1">
        <v>42</v>
      </c>
      <c r="D3177" s="39">
        <v>534</v>
      </c>
      <c r="F3177" s="39">
        <f t="shared" si="205"/>
        <v>0</v>
      </c>
    </row>
    <row r="3178" spans="1:10" s="393" customFormat="1" x14ac:dyDescent="0.25">
      <c r="A3178" s="19" t="s">
        <v>41</v>
      </c>
      <c r="B3178" s="2">
        <v>44025</v>
      </c>
      <c r="C3178" s="1">
        <v>2</v>
      </c>
      <c r="D3178" s="39">
        <v>78</v>
      </c>
      <c r="E3178" s="1"/>
      <c r="F3178" s="39">
        <f t="shared" ref="F3178:F3189" si="206">E3178+F3153</f>
        <v>0</v>
      </c>
      <c r="G3178" s="395"/>
      <c r="H3178" s="395"/>
      <c r="J3178" s="42"/>
    </row>
    <row r="3179" spans="1:10" s="393" customFormat="1" x14ac:dyDescent="0.25">
      <c r="A3179" s="19" t="s">
        <v>32</v>
      </c>
      <c r="B3179" s="2">
        <v>44025</v>
      </c>
      <c r="C3179" s="1">
        <v>5</v>
      </c>
      <c r="D3179" s="39">
        <v>466</v>
      </c>
      <c r="E3179" s="1"/>
      <c r="F3179" s="39">
        <f t="shared" si="206"/>
        <v>0</v>
      </c>
      <c r="G3179" s="395"/>
      <c r="H3179" s="395"/>
      <c r="J3179" s="42"/>
    </row>
    <row r="3180" spans="1:10" s="393" customFormat="1" x14ac:dyDescent="0.25">
      <c r="A3180" s="19" t="s">
        <v>33</v>
      </c>
      <c r="B3180" s="2">
        <v>44025</v>
      </c>
      <c r="C3180" s="1">
        <v>0</v>
      </c>
      <c r="D3180" s="39">
        <v>7</v>
      </c>
      <c r="E3180" s="1"/>
      <c r="F3180" s="39">
        <f t="shared" si="206"/>
        <v>0</v>
      </c>
      <c r="G3180" s="395"/>
      <c r="H3180" s="395"/>
      <c r="J3180" s="42"/>
    </row>
    <row r="3181" spans="1:10" s="393" customFormat="1" x14ac:dyDescent="0.25">
      <c r="A3181" s="19" t="s">
        <v>21</v>
      </c>
      <c r="B3181" s="2">
        <v>44025</v>
      </c>
      <c r="C3181" s="1">
        <v>6</v>
      </c>
      <c r="D3181" s="39">
        <v>146</v>
      </c>
      <c r="E3181" s="1"/>
      <c r="F3181" s="39">
        <f t="shared" si="206"/>
        <v>0</v>
      </c>
      <c r="G3181" s="395"/>
      <c r="H3181" s="395"/>
      <c r="J3181" s="42"/>
    </row>
    <row r="3182" spans="1:10" s="393" customFormat="1" x14ac:dyDescent="0.25">
      <c r="A3182" s="19" t="s">
        <v>17</v>
      </c>
      <c r="B3182" s="2">
        <v>44025</v>
      </c>
      <c r="C3182" s="1">
        <v>13</v>
      </c>
      <c r="D3182" s="39">
        <v>304</v>
      </c>
      <c r="E3182" s="1"/>
      <c r="F3182" s="39">
        <f t="shared" si="206"/>
        <v>0</v>
      </c>
      <c r="G3182" s="395"/>
      <c r="H3182" s="395"/>
      <c r="J3182" s="42"/>
    </row>
    <row r="3183" spans="1:10" s="393" customFormat="1" x14ac:dyDescent="0.25">
      <c r="A3183" s="19" t="s">
        <v>23</v>
      </c>
      <c r="B3183" s="2">
        <v>44025</v>
      </c>
      <c r="C3183" s="1">
        <v>0</v>
      </c>
      <c r="D3183" s="39">
        <v>49</v>
      </c>
      <c r="E3183" s="1"/>
      <c r="F3183" s="39">
        <f t="shared" si="206"/>
        <v>0</v>
      </c>
      <c r="G3183" s="395"/>
      <c r="H3183" s="395"/>
      <c r="J3183" s="42"/>
    </row>
    <row r="3184" spans="1:10" s="393" customFormat="1" x14ac:dyDescent="0.25">
      <c r="A3184" s="19" t="s">
        <v>19</v>
      </c>
      <c r="B3184" s="2">
        <v>44025</v>
      </c>
      <c r="C3184" s="1">
        <v>47</v>
      </c>
      <c r="D3184" s="39">
        <v>731</v>
      </c>
      <c r="E3184" s="1"/>
      <c r="F3184" s="39">
        <f t="shared" si="206"/>
        <v>2</v>
      </c>
      <c r="G3184" s="395"/>
      <c r="H3184" s="395"/>
      <c r="J3184" s="42"/>
    </row>
    <row r="3185" spans="1:10" s="393" customFormat="1" x14ac:dyDescent="0.25">
      <c r="A3185" s="19" t="s">
        <v>18</v>
      </c>
      <c r="B3185" s="2">
        <v>44025</v>
      </c>
      <c r="C3185" s="1">
        <v>27</v>
      </c>
      <c r="D3185" s="39">
        <v>1123</v>
      </c>
      <c r="E3185" s="1"/>
      <c r="F3185" s="39">
        <f t="shared" si="206"/>
        <v>0</v>
      </c>
      <c r="G3185" s="395"/>
      <c r="H3185" s="395"/>
      <c r="J3185" s="42"/>
    </row>
    <row r="3186" spans="1:10" s="393" customFormat="1" x14ac:dyDescent="0.25">
      <c r="A3186" s="19" t="s">
        <v>34</v>
      </c>
      <c r="B3186" s="2">
        <v>44025</v>
      </c>
      <c r="C3186" s="1">
        <v>8</v>
      </c>
      <c r="D3186" s="39">
        <v>117</v>
      </c>
      <c r="E3186" s="1"/>
      <c r="F3186" s="39">
        <f t="shared" si="206"/>
        <v>1</v>
      </c>
      <c r="G3186" s="395"/>
      <c r="H3186" s="395"/>
      <c r="J3186" s="42"/>
    </row>
    <row r="3187" spans="1:10" s="393" customFormat="1" x14ac:dyDescent="0.25">
      <c r="A3187" s="19" t="s">
        <v>35</v>
      </c>
      <c r="B3187" s="2">
        <v>44025</v>
      </c>
      <c r="C3187" s="1">
        <v>0</v>
      </c>
      <c r="D3187" s="39">
        <v>9</v>
      </c>
      <c r="E3187" s="1"/>
      <c r="F3187" s="39">
        <f>E3187+F3163</f>
        <v>0</v>
      </c>
      <c r="G3187" s="395"/>
      <c r="H3187" s="395"/>
      <c r="J3187" s="42"/>
    </row>
    <row r="3188" spans="1:10" s="393" customFormat="1" x14ac:dyDescent="0.25">
      <c r="A3188" s="19" t="s">
        <v>36</v>
      </c>
      <c r="B3188" s="2">
        <v>44025</v>
      </c>
      <c r="C3188" s="1">
        <v>0</v>
      </c>
      <c r="D3188" s="39">
        <v>12</v>
      </c>
      <c r="E3188" s="1"/>
      <c r="F3188" s="39">
        <f t="shared" si="206"/>
        <v>0</v>
      </c>
      <c r="G3188" s="395"/>
      <c r="H3188" s="395"/>
      <c r="J3188" s="42"/>
    </row>
    <row r="3189" spans="1:10" s="393" customFormat="1" x14ac:dyDescent="0.25">
      <c r="A3189" s="19" t="s">
        <v>37</v>
      </c>
      <c r="B3189" s="2">
        <v>44025</v>
      </c>
      <c r="C3189" s="1">
        <v>0</v>
      </c>
      <c r="D3189" s="39">
        <v>61</v>
      </c>
      <c r="E3189" s="1"/>
      <c r="F3189" s="39">
        <f t="shared" si="206"/>
        <v>0</v>
      </c>
      <c r="G3189" s="395"/>
      <c r="H3189" s="395"/>
      <c r="J3189" s="42"/>
    </row>
    <row r="3190" spans="1:10" s="393" customFormat="1" x14ac:dyDescent="0.25">
      <c r="A3190" s="19" t="s">
        <v>22</v>
      </c>
      <c r="B3190" s="2">
        <v>44025</v>
      </c>
      <c r="C3190" s="1">
        <v>11</v>
      </c>
      <c r="D3190" s="39">
        <v>539</v>
      </c>
      <c r="E3190" s="1"/>
      <c r="F3190" s="39">
        <f>E3190+F3166</f>
        <v>6</v>
      </c>
      <c r="G3190" s="395"/>
      <c r="H3190" s="395"/>
      <c r="J3190" s="42"/>
    </row>
    <row r="3191" spans="1:10" s="393" customFormat="1" x14ac:dyDescent="0.25">
      <c r="A3191" s="19" t="s">
        <v>38</v>
      </c>
      <c r="B3191" s="2">
        <v>44025</v>
      </c>
      <c r="C3191" s="1">
        <v>0</v>
      </c>
      <c r="D3191" s="39">
        <v>36</v>
      </c>
      <c r="E3191" s="1"/>
      <c r="F3191" s="39">
        <f>E3191+F3167</f>
        <v>0</v>
      </c>
      <c r="G3191" s="395"/>
      <c r="H3191" s="395"/>
      <c r="J3191" s="42"/>
    </row>
    <row r="3192" spans="1:10" s="393" customFormat="1" x14ac:dyDescent="0.25">
      <c r="A3192" s="19" t="s">
        <v>39</v>
      </c>
      <c r="B3192" s="2">
        <v>44025</v>
      </c>
      <c r="C3192" s="1">
        <v>0</v>
      </c>
      <c r="D3192" s="39">
        <v>161</v>
      </c>
      <c r="E3192" s="1"/>
      <c r="F3192" s="39">
        <f>E3192+F3168</f>
        <v>1</v>
      </c>
      <c r="G3192" s="395"/>
      <c r="H3192" s="395"/>
      <c r="J3192" s="42"/>
    </row>
    <row r="3193" spans="1:10" s="393" customFormat="1" x14ac:dyDescent="0.25">
      <c r="A3193" s="19" t="s">
        <v>40</v>
      </c>
      <c r="B3193" s="2">
        <v>44025</v>
      </c>
      <c r="C3193" s="1">
        <v>2</v>
      </c>
      <c r="D3193" s="39">
        <v>94</v>
      </c>
      <c r="E3193" s="1"/>
      <c r="F3193" s="39">
        <f>E3193+F3169</f>
        <v>4</v>
      </c>
      <c r="G3193" s="395"/>
      <c r="H3193" s="395"/>
      <c r="J3193" s="42"/>
    </row>
    <row r="3194" spans="1:10" s="393" customFormat="1" x14ac:dyDescent="0.25">
      <c r="A3194" s="394" t="s">
        <v>16</v>
      </c>
      <c r="B3194" s="2">
        <v>44026</v>
      </c>
      <c r="C3194" s="1">
        <v>2262</v>
      </c>
      <c r="D3194" s="39">
        <v>57921</v>
      </c>
      <c r="E3194" s="1">
        <v>35</v>
      </c>
      <c r="F3194" s="39">
        <f>E3194+F3170</f>
        <v>965</v>
      </c>
      <c r="G3194" s="395"/>
      <c r="H3194" s="395"/>
      <c r="J3194" s="42"/>
    </row>
    <row r="3195" spans="1:10" s="393" customFormat="1" x14ac:dyDescent="0.25">
      <c r="A3195" s="19" t="s">
        <v>28</v>
      </c>
      <c r="B3195" s="2">
        <v>44026</v>
      </c>
      <c r="C3195" s="1">
        <v>0</v>
      </c>
      <c r="D3195" s="39">
        <v>39</v>
      </c>
      <c r="E3195" s="1"/>
      <c r="F3195" s="39">
        <f t="shared" ref="F3195:F3201" si="207">E3195+F3171</f>
        <v>0</v>
      </c>
      <c r="G3195" s="395"/>
      <c r="H3195" s="395"/>
      <c r="J3195" s="42"/>
    </row>
    <row r="3196" spans="1:10" s="393" customFormat="1" x14ac:dyDescent="0.25">
      <c r="A3196" s="19" t="s">
        <v>15</v>
      </c>
      <c r="B3196" s="2">
        <v>44026</v>
      </c>
      <c r="C3196" s="1">
        <v>72</v>
      </c>
      <c r="D3196" s="39">
        <v>2674</v>
      </c>
      <c r="E3196" s="1">
        <v>1</v>
      </c>
      <c r="F3196" s="39">
        <f t="shared" si="207"/>
        <v>115</v>
      </c>
      <c r="G3196" s="395"/>
      <c r="H3196" s="395"/>
      <c r="J3196" s="42"/>
    </row>
    <row r="3197" spans="1:10" s="393" customFormat="1" x14ac:dyDescent="0.25">
      <c r="A3197" s="19" t="s">
        <v>29</v>
      </c>
      <c r="B3197" s="2">
        <v>44026</v>
      </c>
      <c r="C3197" s="1">
        <v>2</v>
      </c>
      <c r="D3197" s="39">
        <v>213</v>
      </c>
      <c r="E3197" s="1"/>
      <c r="F3197" s="39">
        <f t="shared" si="207"/>
        <v>3</v>
      </c>
      <c r="G3197" s="395"/>
      <c r="H3197" s="395"/>
      <c r="J3197" s="42"/>
    </row>
    <row r="3198" spans="1:10" s="393" customFormat="1" x14ac:dyDescent="0.25">
      <c r="A3198" s="19" t="s">
        <v>43</v>
      </c>
      <c r="B3198" s="2">
        <v>44026</v>
      </c>
      <c r="C3198" s="1">
        <v>1039</v>
      </c>
      <c r="D3198" s="39">
        <v>40224</v>
      </c>
      <c r="E3198" s="1">
        <v>28</v>
      </c>
      <c r="F3198" s="39">
        <f t="shared" si="207"/>
        <v>739</v>
      </c>
      <c r="G3198" s="395"/>
      <c r="H3198" s="395"/>
      <c r="J3198" s="42"/>
    </row>
    <row r="3199" spans="1:10" s="393" customFormat="1" x14ac:dyDescent="0.25">
      <c r="A3199" s="19" t="s">
        <v>20</v>
      </c>
      <c r="B3199" s="2">
        <v>44026</v>
      </c>
      <c r="C3199" s="1">
        <v>43</v>
      </c>
      <c r="D3199" s="39">
        <v>1006</v>
      </c>
      <c r="E3199" s="1"/>
      <c r="F3199" s="39">
        <f t="shared" si="207"/>
        <v>34</v>
      </c>
      <c r="G3199" s="395"/>
      <c r="H3199" s="395"/>
      <c r="J3199" s="42"/>
    </row>
    <row r="3200" spans="1:10" s="393" customFormat="1" x14ac:dyDescent="0.25">
      <c r="A3200" s="19" t="s">
        <v>30</v>
      </c>
      <c r="B3200" s="2">
        <v>44026</v>
      </c>
      <c r="C3200" s="1">
        <v>1</v>
      </c>
      <c r="D3200" s="39">
        <v>128</v>
      </c>
      <c r="E3200" s="1"/>
      <c r="F3200" s="39">
        <f t="shared" si="207"/>
        <v>0</v>
      </c>
      <c r="G3200" s="395"/>
      <c r="H3200" s="395"/>
      <c r="J3200" s="42"/>
    </row>
    <row r="3201" spans="1:10" x14ac:dyDescent="0.25">
      <c r="A3201" s="19" t="s">
        <v>31</v>
      </c>
      <c r="B3201" s="2">
        <v>44026</v>
      </c>
      <c r="C3201" s="1">
        <v>22</v>
      </c>
      <c r="D3201" s="39">
        <v>556</v>
      </c>
      <c r="F3201" s="39">
        <f t="shared" si="207"/>
        <v>0</v>
      </c>
    </row>
    <row r="3202" spans="1:10" s="393" customFormat="1" x14ac:dyDescent="0.25">
      <c r="A3202" s="19" t="s">
        <v>41</v>
      </c>
      <c r="B3202" s="2">
        <v>44026</v>
      </c>
      <c r="C3202" s="1">
        <v>0</v>
      </c>
      <c r="D3202" s="39">
        <v>78</v>
      </c>
      <c r="E3202" s="1"/>
      <c r="F3202" s="39">
        <f t="shared" ref="F3202:F3213" si="208">E3202+F3177</f>
        <v>0</v>
      </c>
      <c r="G3202" s="395"/>
      <c r="H3202" s="395"/>
      <c r="J3202" s="42"/>
    </row>
    <row r="3203" spans="1:10" s="393" customFormat="1" x14ac:dyDescent="0.25">
      <c r="A3203" s="19" t="s">
        <v>32</v>
      </c>
      <c r="B3203" s="2">
        <v>44026</v>
      </c>
      <c r="C3203" s="1">
        <v>16</v>
      </c>
      <c r="D3203" s="39">
        <v>482</v>
      </c>
      <c r="E3203" s="1"/>
      <c r="F3203" s="39">
        <f t="shared" si="208"/>
        <v>0</v>
      </c>
      <c r="G3203" s="395"/>
      <c r="H3203" s="395"/>
      <c r="J3203" s="42"/>
    </row>
    <row r="3204" spans="1:10" s="393" customFormat="1" x14ac:dyDescent="0.25">
      <c r="A3204" s="19" t="s">
        <v>33</v>
      </c>
      <c r="B3204" s="2">
        <v>44026</v>
      </c>
      <c r="C3204" s="1">
        <v>0</v>
      </c>
      <c r="D3204" s="39">
        <v>7</v>
      </c>
      <c r="E3204" s="1"/>
      <c r="F3204" s="39">
        <f t="shared" si="208"/>
        <v>0</v>
      </c>
      <c r="G3204" s="395"/>
      <c r="H3204" s="395"/>
      <c r="J3204" s="42"/>
    </row>
    <row r="3205" spans="1:10" s="393" customFormat="1" x14ac:dyDescent="0.25">
      <c r="A3205" s="19" t="s">
        <v>21</v>
      </c>
      <c r="B3205" s="2">
        <v>44026</v>
      </c>
      <c r="C3205" s="1">
        <v>8</v>
      </c>
      <c r="D3205" s="39">
        <v>154</v>
      </c>
      <c r="E3205" s="1"/>
      <c r="F3205" s="39">
        <f t="shared" si="208"/>
        <v>0</v>
      </c>
      <c r="G3205" s="395"/>
      <c r="H3205" s="395"/>
      <c r="J3205" s="42"/>
    </row>
    <row r="3206" spans="1:10" s="393" customFormat="1" x14ac:dyDescent="0.25">
      <c r="A3206" s="19" t="s">
        <v>17</v>
      </c>
      <c r="B3206" s="2">
        <v>44026</v>
      </c>
      <c r="C3206" s="1">
        <v>27</v>
      </c>
      <c r="D3206" s="39">
        <v>331</v>
      </c>
      <c r="E3206" s="1"/>
      <c r="F3206" s="39">
        <f t="shared" si="208"/>
        <v>0</v>
      </c>
      <c r="G3206" s="395"/>
      <c r="H3206" s="395"/>
      <c r="J3206" s="42"/>
    </row>
    <row r="3207" spans="1:10" s="393" customFormat="1" x14ac:dyDescent="0.25">
      <c r="A3207" s="19" t="s">
        <v>23</v>
      </c>
      <c r="B3207" s="2">
        <v>44026</v>
      </c>
      <c r="C3207" s="1">
        <v>0</v>
      </c>
      <c r="D3207" s="39">
        <v>49</v>
      </c>
      <c r="E3207" s="1"/>
      <c r="F3207" s="39">
        <f t="shared" si="208"/>
        <v>0</v>
      </c>
      <c r="G3207" s="395"/>
      <c r="H3207" s="395"/>
      <c r="J3207" s="42"/>
    </row>
    <row r="3208" spans="1:10" s="393" customFormat="1" x14ac:dyDescent="0.25">
      <c r="A3208" s="19" t="s">
        <v>19</v>
      </c>
      <c r="B3208" s="2">
        <v>44026</v>
      </c>
      <c r="C3208" s="1">
        <v>21</v>
      </c>
      <c r="D3208" s="39">
        <v>752</v>
      </c>
      <c r="E3208" s="1"/>
      <c r="F3208" s="39">
        <f t="shared" si="208"/>
        <v>0</v>
      </c>
      <c r="G3208" s="395"/>
      <c r="H3208" s="395"/>
      <c r="J3208" s="42"/>
    </row>
    <row r="3209" spans="1:10" s="393" customFormat="1" x14ac:dyDescent="0.25">
      <c r="A3209" s="19" t="s">
        <v>18</v>
      </c>
      <c r="B3209" s="2">
        <v>44026</v>
      </c>
      <c r="C3209" s="1">
        <v>43</v>
      </c>
      <c r="D3209" s="39">
        <v>1166</v>
      </c>
      <c r="E3209" s="1">
        <v>1</v>
      </c>
      <c r="F3209" s="39">
        <f t="shared" si="208"/>
        <v>3</v>
      </c>
      <c r="G3209" s="395"/>
      <c r="H3209" s="395"/>
      <c r="J3209" s="42"/>
    </row>
    <row r="3210" spans="1:10" s="393" customFormat="1" x14ac:dyDescent="0.25">
      <c r="A3210" s="19" t="s">
        <v>34</v>
      </c>
      <c r="B3210" s="2">
        <v>44026</v>
      </c>
      <c r="C3210" s="1">
        <v>9</v>
      </c>
      <c r="D3210" s="39">
        <v>126</v>
      </c>
      <c r="E3210" s="1"/>
      <c r="F3210" s="39">
        <f t="shared" si="208"/>
        <v>0</v>
      </c>
      <c r="G3210" s="395"/>
      <c r="H3210" s="395"/>
      <c r="J3210" s="42"/>
    </row>
    <row r="3211" spans="1:10" s="393" customFormat="1" x14ac:dyDescent="0.25">
      <c r="A3211" s="19" t="s">
        <v>35</v>
      </c>
      <c r="B3211" s="2">
        <v>44026</v>
      </c>
      <c r="C3211" s="1">
        <v>0</v>
      </c>
      <c r="D3211" s="39">
        <v>9</v>
      </c>
      <c r="E3211" s="1"/>
      <c r="F3211" s="39">
        <f>E3211+F3187</f>
        <v>0</v>
      </c>
      <c r="G3211" s="395"/>
      <c r="H3211" s="395"/>
      <c r="J3211" s="42"/>
    </row>
    <row r="3212" spans="1:10" s="393" customFormat="1" x14ac:dyDescent="0.25">
      <c r="A3212" s="19" t="s">
        <v>36</v>
      </c>
      <c r="B3212" s="2">
        <v>44026</v>
      </c>
      <c r="C3212" s="1">
        <v>1</v>
      </c>
      <c r="D3212" s="39">
        <v>13</v>
      </c>
      <c r="E3212" s="1"/>
      <c r="F3212" s="39">
        <f t="shared" si="208"/>
        <v>0</v>
      </c>
      <c r="G3212" s="395"/>
      <c r="H3212" s="395"/>
      <c r="J3212" s="42"/>
    </row>
    <row r="3213" spans="1:10" s="393" customFormat="1" x14ac:dyDescent="0.25">
      <c r="A3213" s="19" t="s">
        <v>37</v>
      </c>
      <c r="B3213" s="2">
        <v>44026</v>
      </c>
      <c r="C3213" s="1">
        <v>0</v>
      </c>
      <c r="D3213" s="39">
        <v>61</v>
      </c>
      <c r="E3213" s="1"/>
      <c r="F3213" s="39">
        <f t="shared" si="208"/>
        <v>0</v>
      </c>
      <c r="G3213" s="395"/>
      <c r="H3213" s="395"/>
      <c r="J3213" s="42"/>
    </row>
    <row r="3214" spans="1:10" s="393" customFormat="1" x14ac:dyDescent="0.25">
      <c r="A3214" s="19" t="s">
        <v>22</v>
      </c>
      <c r="B3214" s="2">
        <v>44026</v>
      </c>
      <c r="C3214" s="1">
        <v>29</v>
      </c>
      <c r="D3214" s="39">
        <v>568</v>
      </c>
      <c r="E3214" s="1"/>
      <c r="F3214" s="39">
        <f>E3214+F3190</f>
        <v>6</v>
      </c>
      <c r="G3214" s="395"/>
      <c r="H3214" s="395"/>
      <c r="J3214" s="42"/>
    </row>
    <row r="3215" spans="1:10" s="393" customFormat="1" x14ac:dyDescent="0.25">
      <c r="A3215" s="19" t="s">
        <v>38</v>
      </c>
      <c r="B3215" s="2">
        <v>44026</v>
      </c>
      <c r="C3215" s="1">
        <v>1</v>
      </c>
      <c r="D3215" s="39">
        <v>37</v>
      </c>
      <c r="E3215" s="1"/>
      <c r="F3215" s="39">
        <f>E3215+F3191</f>
        <v>0</v>
      </c>
      <c r="G3215" s="395"/>
      <c r="H3215" s="395"/>
      <c r="J3215" s="42"/>
    </row>
    <row r="3216" spans="1:10" s="393" customFormat="1" x14ac:dyDescent="0.25">
      <c r="A3216" s="19" t="s">
        <v>39</v>
      </c>
      <c r="B3216" s="2">
        <v>44026</v>
      </c>
      <c r="C3216" s="1">
        <v>47</v>
      </c>
      <c r="D3216" s="39">
        <v>208</v>
      </c>
      <c r="E3216" s="1"/>
      <c r="F3216" s="39">
        <f>E3216+F3192</f>
        <v>1</v>
      </c>
      <c r="G3216" s="395"/>
      <c r="H3216" s="395"/>
      <c r="J3216" s="42"/>
    </row>
    <row r="3217" spans="1:10" s="393" customFormat="1" x14ac:dyDescent="0.25">
      <c r="A3217" s="19" t="s">
        <v>40</v>
      </c>
      <c r="B3217" s="2">
        <v>44026</v>
      </c>
      <c r="C3217" s="1">
        <v>0</v>
      </c>
      <c r="D3217" s="39">
        <v>94</v>
      </c>
      <c r="E3217" s="1"/>
      <c r="F3217" s="39">
        <f>E3217+F3193</f>
        <v>4</v>
      </c>
      <c r="G3217" s="395"/>
      <c r="H3217" s="395"/>
      <c r="J3217" s="42"/>
    </row>
    <row r="3218" spans="1:10" s="393" customFormat="1" x14ac:dyDescent="0.25">
      <c r="A3218" s="394" t="s">
        <v>16</v>
      </c>
      <c r="B3218" s="2">
        <v>44027</v>
      </c>
      <c r="C3218" s="1">
        <v>2735</v>
      </c>
      <c r="D3218" s="39">
        <v>60656</v>
      </c>
      <c r="E3218" s="1">
        <v>42</v>
      </c>
      <c r="F3218" s="39">
        <f>E3218+F3194</f>
        <v>1007</v>
      </c>
      <c r="G3218" s="395"/>
      <c r="H3218" s="395"/>
      <c r="J3218" s="42"/>
    </row>
    <row r="3219" spans="1:10" s="393" customFormat="1" x14ac:dyDescent="0.25">
      <c r="A3219" s="19" t="s">
        <v>28</v>
      </c>
      <c r="B3219" s="2">
        <v>44027</v>
      </c>
      <c r="C3219" s="1">
        <v>2</v>
      </c>
      <c r="D3219" s="39">
        <v>41</v>
      </c>
      <c r="E3219" s="1"/>
      <c r="F3219" s="39">
        <f t="shared" ref="F3219:F3225" si="209">E3219+F3195</f>
        <v>0</v>
      </c>
      <c r="G3219" s="395"/>
      <c r="H3219" s="395"/>
      <c r="J3219" s="42"/>
    </row>
    <row r="3220" spans="1:10" s="393" customFormat="1" x14ac:dyDescent="0.25">
      <c r="A3220" s="19" t="s">
        <v>15</v>
      </c>
      <c r="B3220" s="2">
        <v>44027</v>
      </c>
      <c r="C3220" s="1">
        <v>77</v>
      </c>
      <c r="D3220" s="39">
        <v>2751</v>
      </c>
      <c r="E3220" s="1"/>
      <c r="F3220" s="39">
        <f t="shared" si="209"/>
        <v>115</v>
      </c>
      <c r="G3220" s="395"/>
      <c r="H3220" s="395"/>
      <c r="J3220" s="42"/>
    </row>
    <row r="3221" spans="1:10" s="393" customFormat="1" x14ac:dyDescent="0.25">
      <c r="A3221" s="19" t="s">
        <v>29</v>
      </c>
      <c r="B3221" s="2">
        <v>44027</v>
      </c>
      <c r="C3221" s="1">
        <v>5</v>
      </c>
      <c r="D3221" s="39">
        <v>218</v>
      </c>
      <c r="E3221" s="1"/>
      <c r="F3221" s="39">
        <f t="shared" si="209"/>
        <v>3</v>
      </c>
      <c r="G3221" s="395"/>
      <c r="H3221" s="395"/>
      <c r="J3221" s="42"/>
    </row>
    <row r="3222" spans="1:10" s="393" customFormat="1" x14ac:dyDescent="0.25">
      <c r="A3222" s="19" t="s">
        <v>43</v>
      </c>
      <c r="B3222" s="2">
        <v>44027</v>
      </c>
      <c r="C3222" s="1">
        <v>1220</v>
      </c>
      <c r="D3222" s="39">
        <v>41444</v>
      </c>
      <c r="E3222" s="1">
        <v>28</v>
      </c>
      <c r="F3222" s="39">
        <f t="shared" si="209"/>
        <v>767</v>
      </c>
      <c r="G3222" s="395"/>
      <c r="H3222" s="395"/>
      <c r="J3222" s="42"/>
    </row>
    <row r="3223" spans="1:10" s="393" customFormat="1" x14ac:dyDescent="0.25">
      <c r="A3223" s="19" t="s">
        <v>20</v>
      </c>
      <c r="B3223" s="2">
        <v>44027</v>
      </c>
      <c r="C3223" s="1">
        <v>17</v>
      </c>
      <c r="D3223" s="39">
        <v>1023</v>
      </c>
      <c r="E3223" s="1"/>
      <c r="F3223" s="39">
        <f t="shared" si="209"/>
        <v>34</v>
      </c>
      <c r="G3223" s="395"/>
      <c r="H3223" s="395"/>
      <c r="J3223" s="42"/>
    </row>
    <row r="3224" spans="1:10" s="393" customFormat="1" x14ac:dyDescent="0.25">
      <c r="A3224" s="19" t="s">
        <v>30</v>
      </c>
      <c r="B3224" s="2">
        <v>44027</v>
      </c>
      <c r="C3224" s="1">
        <v>0</v>
      </c>
      <c r="D3224" s="39">
        <v>128</v>
      </c>
      <c r="E3224" s="1"/>
      <c r="F3224" s="39">
        <f t="shared" si="209"/>
        <v>0</v>
      </c>
      <c r="G3224" s="395"/>
      <c r="H3224" s="395"/>
      <c r="J3224" s="42"/>
    </row>
    <row r="3225" spans="1:10" x14ac:dyDescent="0.25">
      <c r="A3225" s="19" t="s">
        <v>31</v>
      </c>
      <c r="B3225" s="2">
        <v>44027</v>
      </c>
      <c r="C3225" s="1">
        <v>9</v>
      </c>
      <c r="D3225" s="39">
        <v>565</v>
      </c>
      <c r="E3225" s="1">
        <v>4</v>
      </c>
      <c r="F3225" s="39">
        <f t="shared" si="209"/>
        <v>4</v>
      </c>
    </row>
    <row r="3226" spans="1:10" s="393" customFormat="1" x14ac:dyDescent="0.25">
      <c r="A3226" s="19" t="s">
        <v>41</v>
      </c>
      <c r="B3226" s="2">
        <v>44027</v>
      </c>
      <c r="C3226" s="1">
        <v>0</v>
      </c>
      <c r="D3226" s="39">
        <v>78</v>
      </c>
      <c r="E3226" s="1"/>
      <c r="F3226" s="39">
        <f t="shared" ref="F3226:F3237" si="210">E3226+F3201</f>
        <v>0</v>
      </c>
      <c r="G3226" s="395"/>
      <c r="H3226" s="395"/>
      <c r="J3226" s="42"/>
    </row>
    <row r="3227" spans="1:10" s="393" customFormat="1" x14ac:dyDescent="0.25">
      <c r="A3227" s="19" t="s">
        <v>32</v>
      </c>
      <c r="B3227" s="2">
        <v>44027</v>
      </c>
      <c r="C3227" s="1">
        <v>50</v>
      </c>
      <c r="D3227" s="39">
        <v>532</v>
      </c>
      <c r="E3227" s="1"/>
      <c r="F3227" s="39">
        <f t="shared" si="210"/>
        <v>0</v>
      </c>
      <c r="G3227" s="395"/>
      <c r="H3227" s="395"/>
      <c r="J3227" s="42"/>
    </row>
    <row r="3228" spans="1:10" s="393" customFormat="1" x14ac:dyDescent="0.25">
      <c r="A3228" s="19" t="s">
        <v>33</v>
      </c>
      <c r="B3228" s="2">
        <v>44027</v>
      </c>
      <c r="C3228" s="1">
        <v>1</v>
      </c>
      <c r="D3228" s="39">
        <v>8</v>
      </c>
      <c r="E3228" s="1"/>
      <c r="F3228" s="39">
        <f t="shared" si="210"/>
        <v>0</v>
      </c>
      <c r="G3228" s="395"/>
      <c r="H3228" s="395"/>
      <c r="J3228" s="42"/>
    </row>
    <row r="3229" spans="1:10" s="393" customFormat="1" x14ac:dyDescent="0.25">
      <c r="A3229" s="19" t="s">
        <v>21</v>
      </c>
      <c r="B3229" s="2">
        <v>44027</v>
      </c>
      <c r="C3229" s="1">
        <v>3</v>
      </c>
      <c r="D3229" s="39">
        <v>157</v>
      </c>
      <c r="E3229" s="1"/>
      <c r="F3229" s="39">
        <f t="shared" si="210"/>
        <v>0</v>
      </c>
      <c r="G3229" s="395"/>
      <c r="H3229" s="395"/>
      <c r="J3229" s="42"/>
    </row>
    <row r="3230" spans="1:10" s="393" customFormat="1" x14ac:dyDescent="0.25">
      <c r="A3230" s="19" t="s">
        <v>17</v>
      </c>
      <c r="B3230" s="2">
        <v>44027</v>
      </c>
      <c r="C3230" s="1">
        <v>29</v>
      </c>
      <c r="D3230" s="39">
        <v>360</v>
      </c>
      <c r="E3230" s="1"/>
      <c r="F3230" s="39">
        <f t="shared" si="210"/>
        <v>0</v>
      </c>
      <c r="G3230" s="395"/>
      <c r="H3230" s="395"/>
      <c r="J3230" s="42"/>
    </row>
    <row r="3231" spans="1:10" s="393" customFormat="1" x14ac:dyDescent="0.25">
      <c r="A3231" s="19" t="s">
        <v>23</v>
      </c>
      <c r="B3231" s="2">
        <v>44027</v>
      </c>
      <c r="C3231" s="1">
        <v>0</v>
      </c>
      <c r="D3231" s="39">
        <v>49</v>
      </c>
      <c r="E3231" s="1"/>
      <c r="F3231" s="39">
        <f t="shared" si="210"/>
        <v>0</v>
      </c>
      <c r="G3231" s="395"/>
      <c r="H3231" s="395"/>
      <c r="J3231" s="42"/>
    </row>
    <row r="3232" spans="1:10" s="393" customFormat="1" x14ac:dyDescent="0.25">
      <c r="A3232" s="19" t="s">
        <v>19</v>
      </c>
      <c r="B3232" s="2">
        <v>44027</v>
      </c>
      <c r="C3232" s="1">
        <v>35</v>
      </c>
      <c r="D3232" s="39">
        <v>787</v>
      </c>
      <c r="E3232" s="1">
        <v>1</v>
      </c>
      <c r="F3232" s="39">
        <f t="shared" si="210"/>
        <v>1</v>
      </c>
      <c r="G3232" s="395"/>
      <c r="H3232" s="395"/>
      <c r="J3232" s="42"/>
    </row>
    <row r="3233" spans="1:10" s="393" customFormat="1" x14ac:dyDescent="0.25">
      <c r="A3233" s="19" t="s">
        <v>18</v>
      </c>
      <c r="B3233" s="2">
        <v>44027</v>
      </c>
      <c r="C3233" s="1">
        <v>28</v>
      </c>
      <c r="D3233" s="39">
        <v>1194</v>
      </c>
      <c r="E3233" s="1">
        <v>5</v>
      </c>
      <c r="F3233" s="39">
        <f t="shared" si="210"/>
        <v>5</v>
      </c>
      <c r="G3233" s="395"/>
      <c r="H3233" s="395"/>
      <c r="J3233" s="42"/>
    </row>
    <row r="3234" spans="1:10" s="393" customFormat="1" x14ac:dyDescent="0.25">
      <c r="A3234" s="19" t="s">
        <v>34</v>
      </c>
      <c r="B3234" s="2">
        <v>44027</v>
      </c>
      <c r="C3234" s="1">
        <v>2</v>
      </c>
      <c r="D3234" s="39">
        <v>128</v>
      </c>
      <c r="E3234" s="1"/>
      <c r="F3234" s="39">
        <f t="shared" si="210"/>
        <v>3</v>
      </c>
      <c r="G3234" s="395"/>
      <c r="H3234" s="395"/>
      <c r="J3234" s="42"/>
    </row>
    <row r="3235" spans="1:10" s="393" customFormat="1" x14ac:dyDescent="0.25">
      <c r="A3235" s="19" t="s">
        <v>35</v>
      </c>
      <c r="B3235" s="2">
        <v>44027</v>
      </c>
      <c r="C3235" s="1">
        <v>5</v>
      </c>
      <c r="D3235" s="39">
        <v>14</v>
      </c>
      <c r="E3235" s="1"/>
      <c r="F3235" s="39">
        <f>E3235+F3211</f>
        <v>0</v>
      </c>
      <c r="G3235" s="395"/>
      <c r="H3235" s="395"/>
      <c r="J3235" s="42"/>
    </row>
    <row r="3236" spans="1:10" s="393" customFormat="1" x14ac:dyDescent="0.25">
      <c r="A3236" s="19" t="s">
        <v>36</v>
      </c>
      <c r="B3236" s="2">
        <v>44027</v>
      </c>
      <c r="C3236" s="1">
        <v>0</v>
      </c>
      <c r="D3236" s="39">
        <v>13</v>
      </c>
      <c r="E3236" s="1"/>
      <c r="F3236" s="39">
        <f t="shared" si="210"/>
        <v>0</v>
      </c>
      <c r="G3236" s="395"/>
      <c r="H3236" s="395"/>
      <c r="J3236" s="42"/>
    </row>
    <row r="3237" spans="1:10" s="393" customFormat="1" x14ac:dyDescent="0.25">
      <c r="A3237" s="19" t="s">
        <v>37</v>
      </c>
      <c r="B3237" s="2">
        <v>44027</v>
      </c>
      <c r="C3237" s="1">
        <v>9</v>
      </c>
      <c r="D3237" s="39">
        <v>70</v>
      </c>
      <c r="E3237" s="1"/>
      <c r="F3237" s="39">
        <f t="shared" si="210"/>
        <v>0</v>
      </c>
      <c r="G3237" s="395"/>
      <c r="H3237" s="395"/>
      <c r="J3237" s="42"/>
    </row>
    <row r="3238" spans="1:10" s="393" customFormat="1" x14ac:dyDescent="0.25">
      <c r="A3238" s="19" t="s">
        <v>22</v>
      </c>
      <c r="B3238" s="2">
        <v>44027</v>
      </c>
      <c r="C3238" s="1">
        <v>23</v>
      </c>
      <c r="D3238" s="39">
        <v>591</v>
      </c>
      <c r="E3238" s="1">
        <v>2</v>
      </c>
      <c r="F3238" s="39">
        <f>E3238+F3214</f>
        <v>8</v>
      </c>
      <c r="G3238" s="395"/>
      <c r="H3238" s="395"/>
      <c r="J3238" s="42"/>
    </row>
    <row r="3239" spans="1:10" s="393" customFormat="1" x14ac:dyDescent="0.25">
      <c r="A3239" s="19" t="s">
        <v>38</v>
      </c>
      <c r="B3239" s="2">
        <v>44027</v>
      </c>
      <c r="C3239" s="1">
        <v>0</v>
      </c>
      <c r="D3239" s="39">
        <v>37</v>
      </c>
      <c r="E3239" s="1"/>
      <c r="F3239" s="39">
        <f>E3239+F3215</f>
        <v>0</v>
      </c>
      <c r="G3239" s="395"/>
      <c r="H3239" s="395"/>
      <c r="J3239" s="42"/>
    </row>
    <row r="3240" spans="1:10" s="393" customFormat="1" x14ac:dyDescent="0.25">
      <c r="A3240" s="19" t="s">
        <v>39</v>
      </c>
      <c r="B3240" s="2">
        <v>44027</v>
      </c>
      <c r="C3240" s="1">
        <v>0</v>
      </c>
      <c r="D3240" s="39">
        <v>208</v>
      </c>
      <c r="E3240" s="1"/>
      <c r="F3240" s="39">
        <f>E3240+F3216</f>
        <v>1</v>
      </c>
      <c r="G3240" s="395"/>
      <c r="H3240" s="395"/>
      <c r="J3240" s="42"/>
    </row>
    <row r="3241" spans="1:10" s="393" customFormat="1" x14ac:dyDescent="0.25">
      <c r="A3241" s="19" t="s">
        <v>40</v>
      </c>
      <c r="B3241" s="2">
        <v>44027</v>
      </c>
      <c r="C3241" s="1">
        <v>1</v>
      </c>
      <c r="D3241" s="39">
        <v>95</v>
      </c>
      <c r="E3241" s="1"/>
      <c r="F3241" s="39">
        <f>E3241+F3217</f>
        <v>4</v>
      </c>
      <c r="G3241" s="395"/>
      <c r="H3241" s="395"/>
      <c r="J3241" s="42"/>
    </row>
    <row r="3242" spans="1:10" s="393" customFormat="1" x14ac:dyDescent="0.25">
      <c r="A3242" s="394" t="s">
        <v>16</v>
      </c>
      <c r="B3242" s="2">
        <v>44028</v>
      </c>
      <c r="C3242" s="1">
        <v>2546</v>
      </c>
      <c r="D3242" s="39">
        <v>63202</v>
      </c>
      <c r="E3242" s="1">
        <v>42</v>
      </c>
      <c r="F3242" s="39">
        <f>E3242+F3218</f>
        <v>1049</v>
      </c>
      <c r="G3242" s="395"/>
      <c r="H3242" s="395"/>
      <c r="J3242" s="42"/>
    </row>
    <row r="3243" spans="1:10" s="393" customFormat="1" x14ac:dyDescent="0.25">
      <c r="A3243" s="19" t="s">
        <v>28</v>
      </c>
      <c r="B3243" s="2">
        <v>44028</v>
      </c>
      <c r="C3243" s="1">
        <v>0</v>
      </c>
      <c r="D3243" s="39">
        <v>41</v>
      </c>
      <c r="E3243" s="1"/>
      <c r="F3243" s="39">
        <f t="shared" ref="F3243:F3249" si="211">E3243+F3219</f>
        <v>0</v>
      </c>
      <c r="G3243" s="395"/>
      <c r="H3243" s="395"/>
      <c r="J3243" s="42"/>
    </row>
    <row r="3244" spans="1:10" s="393" customFormat="1" x14ac:dyDescent="0.25">
      <c r="A3244" s="19" t="s">
        <v>15</v>
      </c>
      <c r="B3244" s="2">
        <v>44028</v>
      </c>
      <c r="C3244" s="1">
        <v>42</v>
      </c>
      <c r="D3244" s="39">
        <v>2793</v>
      </c>
      <c r="E3244" s="1">
        <v>2</v>
      </c>
      <c r="F3244" s="39">
        <f t="shared" si="211"/>
        <v>117</v>
      </c>
      <c r="G3244" s="395"/>
      <c r="H3244" s="395"/>
      <c r="J3244" s="42"/>
    </row>
    <row r="3245" spans="1:10" s="393" customFormat="1" x14ac:dyDescent="0.25">
      <c r="A3245" s="19" t="s">
        <v>29</v>
      </c>
      <c r="B3245" s="2">
        <v>44028</v>
      </c>
      <c r="C3245" s="1">
        <v>0</v>
      </c>
      <c r="D3245" s="39">
        <v>218</v>
      </c>
      <c r="E3245" s="1"/>
      <c r="F3245" s="39">
        <f t="shared" si="211"/>
        <v>3</v>
      </c>
      <c r="G3245" s="395"/>
      <c r="H3245" s="395"/>
      <c r="J3245" s="42"/>
    </row>
    <row r="3246" spans="1:10" s="393" customFormat="1" x14ac:dyDescent="0.25">
      <c r="A3246" s="19" t="s">
        <v>43</v>
      </c>
      <c r="B3246" s="2">
        <v>44028</v>
      </c>
      <c r="C3246" s="1">
        <v>854</v>
      </c>
      <c r="D3246" s="39">
        <v>42298</v>
      </c>
      <c r="E3246" s="1">
        <v>15</v>
      </c>
      <c r="F3246" s="39">
        <f t="shared" si="211"/>
        <v>782</v>
      </c>
      <c r="G3246" s="395"/>
      <c r="H3246" s="395"/>
      <c r="J3246" s="42"/>
    </row>
    <row r="3247" spans="1:10" s="393" customFormat="1" x14ac:dyDescent="0.25">
      <c r="A3247" s="19" t="s">
        <v>20</v>
      </c>
      <c r="B3247" s="2">
        <v>44028</v>
      </c>
      <c r="C3247" s="1">
        <v>40</v>
      </c>
      <c r="D3247" s="39">
        <v>1063</v>
      </c>
      <c r="E3247" s="1"/>
      <c r="F3247" s="39">
        <f t="shared" si="211"/>
        <v>34</v>
      </c>
      <c r="G3247" s="395"/>
      <c r="H3247" s="395"/>
      <c r="J3247" s="42"/>
    </row>
    <row r="3248" spans="1:10" s="393" customFormat="1" x14ac:dyDescent="0.25">
      <c r="A3248" s="19" t="s">
        <v>30</v>
      </c>
      <c r="B3248" s="2">
        <v>44028</v>
      </c>
      <c r="C3248" s="1">
        <v>1</v>
      </c>
      <c r="D3248" s="39">
        <v>129</v>
      </c>
      <c r="E3248" s="1"/>
      <c r="F3248" s="39">
        <f t="shared" si="211"/>
        <v>0</v>
      </c>
      <c r="G3248" s="395"/>
      <c r="H3248" s="395"/>
      <c r="J3248" s="42"/>
    </row>
    <row r="3249" spans="1:10" x14ac:dyDescent="0.25">
      <c r="A3249" s="19" t="s">
        <v>31</v>
      </c>
      <c r="B3249" s="2">
        <v>44028</v>
      </c>
      <c r="C3249" s="1">
        <v>10</v>
      </c>
      <c r="D3249" s="39">
        <v>575</v>
      </c>
      <c r="F3249" s="39">
        <f t="shared" si="211"/>
        <v>4</v>
      </c>
    </row>
    <row r="3250" spans="1:10" s="393" customFormat="1" x14ac:dyDescent="0.25">
      <c r="A3250" s="19" t="s">
        <v>41</v>
      </c>
      <c r="B3250" s="2">
        <v>44028</v>
      </c>
      <c r="C3250" s="1">
        <v>0</v>
      </c>
      <c r="D3250" s="39">
        <v>78</v>
      </c>
      <c r="E3250" s="1"/>
      <c r="F3250" s="39">
        <f>E3250+F3226</f>
        <v>0</v>
      </c>
      <c r="G3250" s="395"/>
      <c r="H3250" s="395"/>
      <c r="J3250" s="42"/>
    </row>
    <row r="3251" spans="1:10" s="393" customFormat="1" x14ac:dyDescent="0.25">
      <c r="A3251" s="19" t="s">
        <v>32</v>
      </c>
      <c r="B3251" s="2">
        <v>44028</v>
      </c>
      <c r="C3251" s="1">
        <v>22</v>
      </c>
      <c r="D3251" s="39">
        <v>554</v>
      </c>
      <c r="E3251" s="1"/>
      <c r="F3251" s="39">
        <f t="shared" ref="F3251:F3261" si="212">E3251+F3226</f>
        <v>0</v>
      </c>
      <c r="G3251" s="395"/>
      <c r="H3251" s="395"/>
      <c r="J3251" s="42"/>
    </row>
    <row r="3252" spans="1:10" s="393" customFormat="1" x14ac:dyDescent="0.25">
      <c r="A3252" s="19" t="s">
        <v>33</v>
      </c>
      <c r="B3252" s="2">
        <v>44028</v>
      </c>
      <c r="C3252" s="1">
        <v>0</v>
      </c>
      <c r="D3252" s="39">
        <v>8</v>
      </c>
      <c r="E3252" s="1"/>
      <c r="F3252" s="39">
        <f t="shared" si="212"/>
        <v>0</v>
      </c>
      <c r="G3252" s="395"/>
      <c r="H3252" s="395"/>
      <c r="J3252" s="42"/>
    </row>
    <row r="3253" spans="1:10" s="393" customFormat="1" x14ac:dyDescent="0.25">
      <c r="A3253" s="19" t="s">
        <v>21</v>
      </c>
      <c r="B3253" s="2">
        <v>44028</v>
      </c>
      <c r="C3253" s="1">
        <v>4</v>
      </c>
      <c r="D3253" s="39">
        <v>161</v>
      </c>
      <c r="E3253" s="1">
        <v>2</v>
      </c>
      <c r="F3253" s="39">
        <f t="shared" si="212"/>
        <v>2</v>
      </c>
      <c r="G3253" s="395"/>
      <c r="H3253" s="395"/>
      <c r="J3253" s="42"/>
    </row>
    <row r="3254" spans="1:10" s="393" customFormat="1" x14ac:dyDescent="0.25">
      <c r="A3254" s="19" t="s">
        <v>17</v>
      </c>
      <c r="B3254" s="2">
        <v>44028</v>
      </c>
      <c r="C3254" s="1">
        <v>22</v>
      </c>
      <c r="D3254" s="39">
        <v>382</v>
      </c>
      <c r="E3254" s="1">
        <v>1</v>
      </c>
      <c r="F3254" s="39">
        <f t="shared" si="212"/>
        <v>1</v>
      </c>
      <c r="G3254" s="395"/>
      <c r="H3254" s="395"/>
      <c r="J3254" s="42"/>
    </row>
    <row r="3255" spans="1:10" s="393" customFormat="1" x14ac:dyDescent="0.25">
      <c r="A3255" s="19" t="s">
        <v>23</v>
      </c>
      <c r="B3255" s="2">
        <v>44028</v>
      </c>
      <c r="C3255" s="1">
        <v>0</v>
      </c>
      <c r="D3255" s="39">
        <v>49</v>
      </c>
      <c r="E3255" s="1"/>
      <c r="F3255" s="39">
        <f t="shared" si="212"/>
        <v>0</v>
      </c>
      <c r="G3255" s="395"/>
      <c r="H3255" s="395"/>
      <c r="J3255" s="42"/>
    </row>
    <row r="3256" spans="1:10" s="393" customFormat="1" x14ac:dyDescent="0.25">
      <c r="A3256" s="19" t="s">
        <v>19</v>
      </c>
      <c r="B3256" s="2">
        <v>44028</v>
      </c>
      <c r="C3256" s="1">
        <v>15</v>
      </c>
      <c r="D3256" s="39">
        <v>802</v>
      </c>
      <c r="E3256" s="1"/>
      <c r="F3256" s="39">
        <f t="shared" si="212"/>
        <v>0</v>
      </c>
      <c r="G3256" s="395"/>
      <c r="H3256" s="395"/>
      <c r="J3256" s="42"/>
    </row>
    <row r="3257" spans="1:10" s="393" customFormat="1" x14ac:dyDescent="0.25">
      <c r="A3257" s="19" t="s">
        <v>18</v>
      </c>
      <c r="B3257" s="2">
        <v>44028</v>
      </c>
      <c r="C3257" s="1">
        <v>21</v>
      </c>
      <c r="D3257" s="39">
        <v>1215</v>
      </c>
      <c r="E3257" s="1"/>
      <c r="F3257" s="39">
        <f t="shared" si="212"/>
        <v>1</v>
      </c>
      <c r="G3257" s="395"/>
      <c r="H3257" s="395"/>
      <c r="J3257" s="42"/>
    </row>
    <row r="3258" spans="1:10" s="393" customFormat="1" x14ac:dyDescent="0.25">
      <c r="A3258" s="19" t="s">
        <v>34</v>
      </c>
      <c r="B3258" s="2">
        <v>44028</v>
      </c>
      <c r="C3258" s="1">
        <v>17</v>
      </c>
      <c r="D3258" s="39">
        <v>145</v>
      </c>
      <c r="E3258" s="1"/>
      <c r="F3258" s="39">
        <f t="shared" si="212"/>
        <v>5</v>
      </c>
      <c r="G3258" s="395"/>
      <c r="H3258" s="395"/>
      <c r="J3258" s="42"/>
    </row>
    <row r="3259" spans="1:10" s="393" customFormat="1" x14ac:dyDescent="0.25">
      <c r="A3259" s="19" t="s">
        <v>35</v>
      </c>
      <c r="B3259" s="2">
        <v>44028</v>
      </c>
      <c r="C3259" s="1">
        <v>0</v>
      </c>
      <c r="D3259" s="39">
        <v>14</v>
      </c>
      <c r="E3259" s="1"/>
      <c r="F3259" s="39">
        <f>E3259+F3235</f>
        <v>0</v>
      </c>
      <c r="G3259" s="395"/>
      <c r="H3259" s="395"/>
      <c r="J3259" s="42"/>
    </row>
    <row r="3260" spans="1:10" s="393" customFormat="1" x14ac:dyDescent="0.25">
      <c r="A3260" s="19" t="s">
        <v>36</v>
      </c>
      <c r="B3260" s="2">
        <v>44028</v>
      </c>
      <c r="C3260" s="1">
        <v>0</v>
      </c>
      <c r="D3260" s="39">
        <v>13</v>
      </c>
      <c r="E3260" s="1"/>
      <c r="F3260" s="39">
        <f t="shared" si="212"/>
        <v>0</v>
      </c>
      <c r="G3260" s="395"/>
      <c r="H3260" s="395"/>
      <c r="J3260" s="42"/>
    </row>
    <row r="3261" spans="1:10" s="393" customFormat="1" x14ac:dyDescent="0.25">
      <c r="A3261" s="19" t="s">
        <v>37</v>
      </c>
      <c r="B3261" s="2">
        <v>44028</v>
      </c>
      <c r="C3261" s="1">
        <v>13</v>
      </c>
      <c r="D3261" s="39">
        <v>83</v>
      </c>
      <c r="E3261" s="1"/>
      <c r="F3261" s="39">
        <f t="shared" si="212"/>
        <v>0</v>
      </c>
      <c r="G3261" s="395"/>
      <c r="H3261" s="395"/>
      <c r="J3261" s="42"/>
    </row>
    <row r="3262" spans="1:10" s="393" customFormat="1" x14ac:dyDescent="0.25">
      <c r="A3262" s="19" t="s">
        <v>22</v>
      </c>
      <c r="B3262" s="2">
        <v>44028</v>
      </c>
      <c r="C3262" s="1">
        <v>15</v>
      </c>
      <c r="D3262" s="39">
        <v>606</v>
      </c>
      <c r="E3262" s="1"/>
      <c r="F3262" s="39">
        <f>E3262+F3238</f>
        <v>8</v>
      </c>
      <c r="G3262" s="395"/>
      <c r="H3262" s="395"/>
      <c r="J3262" s="42"/>
    </row>
    <row r="3263" spans="1:10" s="393" customFormat="1" x14ac:dyDescent="0.25">
      <c r="A3263" s="19" t="s">
        <v>38</v>
      </c>
      <c r="B3263" s="2">
        <v>44028</v>
      </c>
      <c r="C3263" s="1">
        <v>0</v>
      </c>
      <c r="D3263" s="39">
        <v>37</v>
      </c>
      <c r="E3263" s="1"/>
      <c r="F3263" s="39">
        <f>E3263+F3239</f>
        <v>0</v>
      </c>
      <c r="G3263" s="395"/>
      <c r="H3263" s="395"/>
      <c r="J3263" s="42"/>
    </row>
    <row r="3264" spans="1:10" s="393" customFormat="1" x14ac:dyDescent="0.25">
      <c r="A3264" s="19" t="s">
        <v>39</v>
      </c>
      <c r="B3264" s="2">
        <v>44028</v>
      </c>
      <c r="C3264" s="1">
        <v>1</v>
      </c>
      <c r="D3264" s="39">
        <v>209</v>
      </c>
      <c r="E3264" s="1"/>
      <c r="F3264" s="39">
        <f>E3264+F3240</f>
        <v>1</v>
      </c>
      <c r="G3264" s="395"/>
      <c r="H3264" s="395"/>
      <c r="J3264" s="42"/>
    </row>
    <row r="3265" spans="1:10" s="393" customFormat="1" x14ac:dyDescent="0.25">
      <c r="A3265" s="19" t="s">
        <v>40</v>
      </c>
      <c r="B3265" s="2">
        <v>44028</v>
      </c>
      <c r="C3265" s="1">
        <v>1</v>
      </c>
      <c r="D3265" s="39">
        <v>96</v>
      </c>
      <c r="E3265" s="1"/>
      <c r="F3265" s="39">
        <f>E3265+F3241</f>
        <v>4</v>
      </c>
      <c r="G3265" s="395"/>
      <c r="H3265" s="395"/>
      <c r="J3265" s="42"/>
    </row>
    <row r="3266" spans="1:10" s="393" customFormat="1" x14ac:dyDescent="0.25">
      <c r="A3266" s="394" t="s">
        <v>16</v>
      </c>
      <c r="B3266" s="2">
        <v>44029</v>
      </c>
      <c r="C3266" s="1">
        <v>3002</v>
      </c>
      <c r="D3266" s="39">
        <v>66204</v>
      </c>
      <c r="E3266" s="1">
        <v>28</v>
      </c>
      <c r="F3266" s="39">
        <f>E3266+F3242</f>
        <v>1077</v>
      </c>
      <c r="G3266" s="395"/>
      <c r="H3266" s="395"/>
      <c r="J3266" s="42"/>
    </row>
    <row r="3267" spans="1:10" s="393" customFormat="1" x14ac:dyDescent="0.25">
      <c r="A3267" s="19" t="s">
        <v>28</v>
      </c>
      <c r="B3267" s="2">
        <v>44029</v>
      </c>
      <c r="C3267" s="1">
        <v>14</v>
      </c>
      <c r="D3267" s="39">
        <v>55</v>
      </c>
      <c r="E3267" s="1"/>
      <c r="F3267" s="39">
        <f t="shared" ref="F3267:F3273" si="213">E3267+F3243</f>
        <v>0</v>
      </c>
      <c r="G3267" s="395"/>
      <c r="H3267" s="395"/>
      <c r="J3267" s="42"/>
    </row>
    <row r="3268" spans="1:10" s="393" customFormat="1" x14ac:dyDescent="0.25">
      <c r="A3268" s="19" t="s">
        <v>15</v>
      </c>
      <c r="B3268" s="2">
        <v>44029</v>
      </c>
      <c r="C3268" s="1">
        <v>65</v>
      </c>
      <c r="D3268" s="39">
        <v>2858</v>
      </c>
      <c r="E3268" s="1"/>
      <c r="F3268" s="39">
        <f t="shared" si="213"/>
        <v>117</v>
      </c>
      <c r="G3268" s="395"/>
      <c r="H3268" s="395"/>
      <c r="J3268" s="42"/>
    </row>
    <row r="3269" spans="1:10" s="393" customFormat="1" x14ac:dyDescent="0.25">
      <c r="A3269" s="19" t="s">
        <v>29</v>
      </c>
      <c r="B3269" s="2">
        <v>44029</v>
      </c>
      <c r="C3269" s="1">
        <v>9</v>
      </c>
      <c r="D3269" s="39">
        <v>227</v>
      </c>
      <c r="E3269" s="1"/>
      <c r="F3269" s="39">
        <f t="shared" si="213"/>
        <v>3</v>
      </c>
      <c r="G3269" s="395"/>
      <c r="H3269" s="395"/>
      <c r="J3269" s="42"/>
    </row>
    <row r="3270" spans="1:10" s="393" customFormat="1" x14ac:dyDescent="0.25">
      <c r="A3270" s="19" t="s">
        <v>43</v>
      </c>
      <c r="B3270" s="2">
        <v>44029</v>
      </c>
      <c r="C3270" s="1">
        <v>1081</v>
      </c>
      <c r="D3270" s="39">
        <v>43379</v>
      </c>
      <c r="E3270" s="1">
        <v>28</v>
      </c>
      <c r="F3270" s="39">
        <f t="shared" si="213"/>
        <v>810</v>
      </c>
      <c r="G3270" s="395"/>
      <c r="H3270" s="395"/>
      <c r="J3270" s="42"/>
    </row>
    <row r="3271" spans="1:10" s="393" customFormat="1" x14ac:dyDescent="0.25">
      <c r="A3271" s="19" t="s">
        <v>20</v>
      </c>
      <c r="B3271" s="2">
        <v>44029</v>
      </c>
      <c r="C3271" s="1">
        <v>49</v>
      </c>
      <c r="D3271" s="39">
        <v>1112</v>
      </c>
      <c r="E3271" s="1">
        <v>1</v>
      </c>
      <c r="F3271" s="39">
        <f t="shared" si="213"/>
        <v>35</v>
      </c>
      <c r="G3271" s="395"/>
      <c r="H3271" s="395"/>
      <c r="J3271" s="42"/>
    </row>
    <row r="3272" spans="1:10" s="393" customFormat="1" x14ac:dyDescent="0.25">
      <c r="A3272" s="19" t="s">
        <v>30</v>
      </c>
      <c r="B3272" s="2">
        <v>44029</v>
      </c>
      <c r="C3272" s="1">
        <v>0</v>
      </c>
      <c r="D3272" s="39">
        <v>129</v>
      </c>
      <c r="E3272" s="1"/>
      <c r="F3272" s="39">
        <f t="shared" si="213"/>
        <v>0</v>
      </c>
      <c r="G3272" s="395"/>
      <c r="H3272" s="395"/>
      <c r="J3272" s="42"/>
    </row>
    <row r="3273" spans="1:10" x14ac:dyDescent="0.25">
      <c r="A3273" s="19" t="s">
        <v>31</v>
      </c>
      <c r="B3273" s="2">
        <v>44029</v>
      </c>
      <c r="C3273" s="1">
        <v>24</v>
      </c>
      <c r="D3273" s="39">
        <v>599</v>
      </c>
      <c r="E3273" s="1">
        <v>1</v>
      </c>
      <c r="F3273" s="39">
        <f t="shared" si="213"/>
        <v>5</v>
      </c>
    </row>
    <row r="3274" spans="1:10" s="393" customFormat="1" x14ac:dyDescent="0.25">
      <c r="A3274" s="19" t="s">
        <v>41</v>
      </c>
      <c r="B3274" s="2">
        <v>44029</v>
      </c>
      <c r="C3274" s="1">
        <v>0</v>
      </c>
      <c r="D3274" s="39">
        <v>78</v>
      </c>
      <c r="E3274" s="1"/>
      <c r="F3274" s="39">
        <f>E3274+F3250</f>
        <v>0</v>
      </c>
      <c r="G3274" s="395"/>
      <c r="H3274" s="395"/>
      <c r="J3274" s="42"/>
    </row>
    <row r="3275" spans="1:10" s="393" customFormat="1" x14ac:dyDescent="0.25">
      <c r="A3275" s="19" t="s">
        <v>32</v>
      </c>
      <c r="B3275" s="2">
        <v>44029</v>
      </c>
      <c r="C3275" s="1">
        <v>107</v>
      </c>
      <c r="D3275" s="39">
        <v>661</v>
      </c>
      <c r="E3275" s="1"/>
      <c r="F3275" s="39">
        <f t="shared" ref="F3275:F3285" si="214">E3275+F3250</f>
        <v>0</v>
      </c>
      <c r="G3275" s="395"/>
      <c r="H3275" s="395"/>
      <c r="J3275" s="42"/>
    </row>
    <row r="3276" spans="1:10" s="393" customFormat="1" x14ac:dyDescent="0.25">
      <c r="A3276" s="19" t="s">
        <v>33</v>
      </c>
      <c r="B3276" s="2">
        <v>44029</v>
      </c>
      <c r="C3276" s="1">
        <v>0</v>
      </c>
      <c r="D3276" s="39">
        <v>8</v>
      </c>
      <c r="E3276" s="1"/>
      <c r="F3276" s="39">
        <f t="shared" si="214"/>
        <v>0</v>
      </c>
      <c r="G3276" s="395"/>
      <c r="H3276" s="395"/>
      <c r="J3276" s="42"/>
    </row>
    <row r="3277" spans="1:10" s="393" customFormat="1" x14ac:dyDescent="0.25">
      <c r="A3277" s="19" t="s">
        <v>21</v>
      </c>
      <c r="B3277" s="2">
        <v>44029</v>
      </c>
      <c r="C3277" s="1">
        <v>2</v>
      </c>
      <c r="D3277" s="39">
        <v>163</v>
      </c>
      <c r="E3277" s="1">
        <v>2</v>
      </c>
      <c r="F3277" s="39">
        <f t="shared" si="214"/>
        <v>2</v>
      </c>
      <c r="G3277" s="395"/>
      <c r="H3277" s="395"/>
      <c r="J3277" s="42"/>
    </row>
    <row r="3278" spans="1:10" s="393" customFormat="1" x14ac:dyDescent="0.25">
      <c r="A3278" s="19" t="s">
        <v>17</v>
      </c>
      <c r="B3278" s="2">
        <v>44029</v>
      </c>
      <c r="C3278" s="1">
        <v>21</v>
      </c>
      <c r="D3278" s="39">
        <v>403</v>
      </c>
      <c r="E3278" s="1">
        <v>3</v>
      </c>
      <c r="F3278" s="39">
        <f t="shared" si="214"/>
        <v>5</v>
      </c>
      <c r="G3278" s="395"/>
      <c r="H3278" s="395"/>
      <c r="J3278" s="42"/>
    </row>
    <row r="3279" spans="1:10" s="393" customFormat="1" x14ac:dyDescent="0.25">
      <c r="A3279" s="19" t="s">
        <v>23</v>
      </c>
      <c r="B3279" s="2">
        <v>44029</v>
      </c>
      <c r="C3279" s="1">
        <v>0</v>
      </c>
      <c r="D3279" s="39">
        <v>49</v>
      </c>
      <c r="E3279" s="1"/>
      <c r="F3279" s="39">
        <f t="shared" si="214"/>
        <v>1</v>
      </c>
      <c r="G3279" s="395"/>
      <c r="H3279" s="395"/>
      <c r="J3279" s="42"/>
    </row>
    <row r="3280" spans="1:10" s="393" customFormat="1" x14ac:dyDescent="0.25">
      <c r="A3280" s="19" t="s">
        <v>19</v>
      </c>
      <c r="B3280" s="2">
        <v>44029</v>
      </c>
      <c r="C3280" s="1">
        <v>29</v>
      </c>
      <c r="D3280" s="39">
        <v>831</v>
      </c>
      <c r="E3280" s="1">
        <v>2</v>
      </c>
      <c r="F3280" s="39">
        <f t="shared" si="214"/>
        <v>2</v>
      </c>
      <c r="G3280" s="395"/>
      <c r="H3280" s="395"/>
      <c r="J3280" s="42"/>
    </row>
    <row r="3281" spans="1:10" s="393" customFormat="1" x14ac:dyDescent="0.25">
      <c r="A3281" s="19" t="s">
        <v>18</v>
      </c>
      <c r="B3281" s="2">
        <v>44029</v>
      </c>
      <c r="C3281" s="1">
        <v>57</v>
      </c>
      <c r="D3281" s="39">
        <v>1272</v>
      </c>
      <c r="E3281" s="1">
        <v>1</v>
      </c>
      <c r="F3281" s="39">
        <f t="shared" si="214"/>
        <v>1</v>
      </c>
      <c r="G3281" s="395"/>
      <c r="H3281" s="395"/>
      <c r="J3281" s="42"/>
    </row>
    <row r="3282" spans="1:10" s="393" customFormat="1" x14ac:dyDescent="0.25">
      <c r="A3282" s="19" t="s">
        <v>34</v>
      </c>
      <c r="B3282" s="2">
        <v>44029</v>
      </c>
      <c r="C3282" s="1">
        <v>0</v>
      </c>
      <c r="D3282" s="39">
        <v>145</v>
      </c>
      <c r="E3282" s="1"/>
      <c r="F3282" s="39">
        <f t="shared" si="214"/>
        <v>1</v>
      </c>
      <c r="G3282" s="395"/>
      <c r="H3282" s="395"/>
      <c r="J3282" s="42"/>
    </row>
    <row r="3283" spans="1:10" s="393" customFormat="1" x14ac:dyDescent="0.25">
      <c r="A3283" s="19" t="s">
        <v>35</v>
      </c>
      <c r="B3283" s="2">
        <v>44029</v>
      </c>
      <c r="C3283" s="1">
        <v>0</v>
      </c>
      <c r="D3283" s="39">
        <v>14</v>
      </c>
      <c r="E3283" s="1"/>
      <c r="F3283" s="39">
        <f>E3283+F3259</f>
        <v>0</v>
      </c>
      <c r="G3283" s="395"/>
      <c r="H3283" s="395"/>
      <c r="J3283" s="42"/>
    </row>
    <row r="3284" spans="1:10" s="393" customFormat="1" x14ac:dyDescent="0.25">
      <c r="A3284" s="19" t="s">
        <v>36</v>
      </c>
      <c r="B3284" s="2">
        <v>44029</v>
      </c>
      <c r="C3284" s="1">
        <v>1</v>
      </c>
      <c r="D3284" s="39">
        <v>14</v>
      </c>
      <c r="E3284" s="1"/>
      <c r="F3284" s="39">
        <f t="shared" si="214"/>
        <v>0</v>
      </c>
      <c r="G3284" s="395"/>
      <c r="H3284" s="395"/>
      <c r="J3284" s="42"/>
    </row>
    <row r="3285" spans="1:10" s="393" customFormat="1" x14ac:dyDescent="0.25">
      <c r="A3285" s="19" t="s">
        <v>37</v>
      </c>
      <c r="B3285" s="2">
        <v>44029</v>
      </c>
      <c r="C3285" s="1">
        <v>20</v>
      </c>
      <c r="D3285" s="39">
        <v>103</v>
      </c>
      <c r="E3285" s="1"/>
      <c r="F3285" s="39">
        <f t="shared" si="214"/>
        <v>0</v>
      </c>
      <c r="G3285" s="395"/>
      <c r="H3285" s="395"/>
      <c r="J3285" s="42"/>
    </row>
    <row r="3286" spans="1:10" s="393" customFormat="1" x14ac:dyDescent="0.25">
      <c r="A3286" s="19" t="s">
        <v>22</v>
      </c>
      <c r="B3286" s="2">
        <v>44029</v>
      </c>
      <c r="C3286" s="1">
        <v>26</v>
      </c>
      <c r="D3286" s="39">
        <v>632</v>
      </c>
      <c r="E3286" s="1"/>
      <c r="F3286" s="39">
        <f>E3286+F3262</f>
        <v>8</v>
      </c>
      <c r="G3286" s="395"/>
      <c r="H3286" s="395"/>
      <c r="J3286" s="42"/>
    </row>
    <row r="3287" spans="1:10" s="393" customFormat="1" x14ac:dyDescent="0.25">
      <c r="A3287" s="19" t="s">
        <v>38</v>
      </c>
      <c r="B3287" s="2">
        <v>44029</v>
      </c>
      <c r="C3287" s="1">
        <v>0</v>
      </c>
      <c r="D3287" s="39">
        <v>37</v>
      </c>
      <c r="E3287" s="1"/>
      <c r="F3287" s="39">
        <f>E3287+F3263</f>
        <v>0</v>
      </c>
      <c r="G3287" s="395"/>
      <c r="H3287" s="395"/>
      <c r="J3287" s="42"/>
    </row>
    <row r="3288" spans="1:10" s="393" customFormat="1" x14ac:dyDescent="0.25">
      <c r="A3288" s="19" t="s">
        <v>39</v>
      </c>
      <c r="B3288" s="2">
        <v>44029</v>
      </c>
      <c r="C3288" s="1">
        <v>4</v>
      </c>
      <c r="D3288" s="39">
        <v>213</v>
      </c>
      <c r="E3288" s="1"/>
      <c r="F3288" s="39">
        <f>E3288+F3264</f>
        <v>1</v>
      </c>
      <c r="G3288" s="395"/>
      <c r="H3288" s="395"/>
      <c r="J3288" s="42"/>
    </row>
    <row r="3289" spans="1:10" s="393" customFormat="1" x14ac:dyDescent="0.25">
      <c r="A3289" s="19" t="s">
        <v>40</v>
      </c>
      <c r="B3289" s="2">
        <v>44029</v>
      </c>
      <c r="C3289" s="1">
        <v>7</v>
      </c>
      <c r="D3289" s="39">
        <v>103</v>
      </c>
      <c r="E3289" s="1"/>
      <c r="F3289" s="39">
        <f>E3289+F3265</f>
        <v>4</v>
      </c>
      <c r="G3289" s="395"/>
      <c r="H3289" s="395"/>
      <c r="J3289" s="42"/>
    </row>
    <row r="3290" spans="1:10" s="393" customFormat="1" x14ac:dyDescent="0.25">
      <c r="A3290" s="394" t="s">
        <v>16</v>
      </c>
      <c r="B3290" s="2">
        <v>44030</v>
      </c>
      <c r="C3290" s="1">
        <v>1817</v>
      </c>
      <c r="D3290" s="39">
        <v>68021</v>
      </c>
      <c r="E3290" s="1">
        <v>21</v>
      </c>
      <c r="F3290" s="39">
        <f>E3290+F3266</f>
        <v>1098</v>
      </c>
      <c r="G3290" s="395"/>
      <c r="H3290" s="395"/>
      <c r="J3290" s="42"/>
    </row>
    <row r="3291" spans="1:10" s="393" customFormat="1" x14ac:dyDescent="0.25">
      <c r="A3291" s="19" t="s">
        <v>28</v>
      </c>
      <c r="B3291" s="2">
        <v>44030</v>
      </c>
      <c r="C3291" s="1">
        <v>0</v>
      </c>
      <c r="D3291" s="39">
        <v>55</v>
      </c>
      <c r="E3291" s="1"/>
      <c r="F3291" s="39">
        <f t="shared" ref="F3291:F3297" si="215">E3291+F3267</f>
        <v>0</v>
      </c>
      <c r="G3291" s="395"/>
      <c r="H3291" s="395"/>
      <c r="J3291" s="42"/>
    </row>
    <row r="3292" spans="1:10" s="393" customFormat="1" x14ac:dyDescent="0.25">
      <c r="A3292" s="19" t="s">
        <v>15</v>
      </c>
      <c r="B3292" s="2">
        <v>44030</v>
      </c>
      <c r="C3292" s="1">
        <v>60</v>
      </c>
      <c r="D3292" s="39">
        <v>2918</v>
      </c>
      <c r="E3292" s="1">
        <v>3</v>
      </c>
      <c r="F3292" s="39">
        <f t="shared" si="215"/>
        <v>120</v>
      </c>
      <c r="G3292" s="395"/>
      <c r="H3292" s="395"/>
      <c r="J3292" s="42"/>
    </row>
    <row r="3293" spans="1:10" s="393" customFormat="1" x14ac:dyDescent="0.25">
      <c r="A3293" s="19" t="s">
        <v>29</v>
      </c>
      <c r="B3293" s="2">
        <v>44030</v>
      </c>
      <c r="C3293" s="1">
        <v>8</v>
      </c>
      <c r="D3293" s="39">
        <v>235</v>
      </c>
      <c r="E3293" s="1"/>
      <c r="F3293" s="39">
        <f t="shared" si="215"/>
        <v>3</v>
      </c>
      <c r="G3293" s="395"/>
      <c r="H3293" s="395"/>
      <c r="J3293" s="42"/>
    </row>
    <row r="3294" spans="1:10" s="393" customFormat="1" x14ac:dyDescent="0.25">
      <c r="A3294" s="19" t="s">
        <v>43</v>
      </c>
      <c r="B3294" s="2">
        <v>44030</v>
      </c>
      <c r="C3294" s="1">
        <v>1106</v>
      </c>
      <c r="D3294" s="39">
        <v>44485</v>
      </c>
      <c r="E3294" s="1">
        <v>16</v>
      </c>
      <c r="F3294" s="39">
        <f t="shared" si="215"/>
        <v>826</v>
      </c>
      <c r="G3294" s="395"/>
      <c r="H3294" s="395"/>
      <c r="J3294" s="42"/>
    </row>
    <row r="3295" spans="1:10" s="393" customFormat="1" x14ac:dyDescent="0.25">
      <c r="A3295" s="19" t="s">
        <v>20</v>
      </c>
      <c r="B3295" s="2">
        <v>44030</v>
      </c>
      <c r="C3295" s="1">
        <v>104</v>
      </c>
      <c r="D3295" s="39">
        <v>1216</v>
      </c>
      <c r="E3295" s="1"/>
      <c r="F3295" s="39">
        <f t="shared" si="215"/>
        <v>35</v>
      </c>
      <c r="G3295" s="395"/>
      <c r="H3295" s="395"/>
      <c r="J3295" s="42"/>
    </row>
    <row r="3296" spans="1:10" s="393" customFormat="1" x14ac:dyDescent="0.25">
      <c r="A3296" s="19" t="s">
        <v>30</v>
      </c>
      <c r="B3296" s="2">
        <v>44030</v>
      </c>
      <c r="C3296" s="1">
        <v>1</v>
      </c>
      <c r="D3296" s="39">
        <v>130</v>
      </c>
      <c r="E3296" s="1"/>
      <c r="F3296" s="39">
        <f t="shared" si="215"/>
        <v>0</v>
      </c>
      <c r="G3296" s="395"/>
      <c r="H3296" s="395"/>
      <c r="J3296" s="42"/>
    </row>
    <row r="3297" spans="1:10" x14ac:dyDescent="0.25">
      <c r="A3297" s="19" t="s">
        <v>31</v>
      </c>
      <c r="B3297" s="2">
        <v>44030</v>
      </c>
      <c r="C3297" s="1">
        <v>15</v>
      </c>
      <c r="D3297" s="39">
        <v>614</v>
      </c>
      <c r="F3297" s="39">
        <f t="shared" si="215"/>
        <v>5</v>
      </c>
    </row>
    <row r="3298" spans="1:10" s="393" customFormat="1" x14ac:dyDescent="0.25">
      <c r="A3298" s="19" t="s">
        <v>41</v>
      </c>
      <c r="B3298" s="2">
        <v>44030</v>
      </c>
      <c r="C3298" s="1">
        <v>0</v>
      </c>
      <c r="D3298" s="39">
        <v>78</v>
      </c>
      <c r="E3298" s="1"/>
      <c r="F3298" s="39">
        <f>E3298+F3274</f>
        <v>0</v>
      </c>
      <c r="G3298" s="395"/>
      <c r="H3298" s="395"/>
      <c r="J3298" s="42"/>
    </row>
    <row r="3299" spans="1:10" s="393" customFormat="1" x14ac:dyDescent="0.25">
      <c r="A3299" s="19" t="s">
        <v>32</v>
      </c>
      <c r="B3299" s="2">
        <v>44030</v>
      </c>
      <c r="C3299" s="1">
        <v>7</v>
      </c>
      <c r="D3299" s="39">
        <v>668</v>
      </c>
      <c r="E3299" s="1"/>
      <c r="F3299" s="39">
        <f t="shared" ref="F3299:F3309" si="216">E3299+F3274</f>
        <v>0</v>
      </c>
      <c r="G3299" s="395"/>
      <c r="H3299" s="395"/>
      <c r="J3299" s="42"/>
    </row>
    <row r="3300" spans="1:10" s="393" customFormat="1" x14ac:dyDescent="0.25">
      <c r="A3300" s="19" t="s">
        <v>33</v>
      </c>
      <c r="B3300" s="2">
        <v>44030</v>
      </c>
      <c r="C3300" s="1">
        <v>0</v>
      </c>
      <c r="D3300" s="39">
        <v>8</v>
      </c>
      <c r="E3300" s="1"/>
      <c r="F3300" s="39">
        <f t="shared" si="216"/>
        <v>0</v>
      </c>
      <c r="G3300" s="395"/>
      <c r="H3300" s="395"/>
      <c r="J3300" s="42"/>
    </row>
    <row r="3301" spans="1:10" s="393" customFormat="1" x14ac:dyDescent="0.25">
      <c r="A3301" s="19" t="s">
        <v>21</v>
      </c>
      <c r="B3301" s="2">
        <v>44030</v>
      </c>
      <c r="C3301" s="1">
        <v>17</v>
      </c>
      <c r="D3301" s="39">
        <v>180</v>
      </c>
      <c r="E3301" s="1"/>
      <c r="F3301" s="39">
        <f t="shared" si="216"/>
        <v>0</v>
      </c>
      <c r="G3301" s="395"/>
      <c r="H3301" s="395"/>
      <c r="J3301" s="42"/>
    </row>
    <row r="3302" spans="1:10" s="393" customFormat="1" x14ac:dyDescent="0.25">
      <c r="A3302" s="19" t="s">
        <v>17</v>
      </c>
      <c r="B3302" s="2">
        <v>44030</v>
      </c>
      <c r="C3302" s="1">
        <v>44</v>
      </c>
      <c r="D3302" s="39">
        <v>447</v>
      </c>
      <c r="E3302" s="1"/>
      <c r="F3302" s="39">
        <f t="shared" si="216"/>
        <v>2</v>
      </c>
      <c r="G3302" s="395"/>
      <c r="H3302" s="395"/>
      <c r="J3302" s="42"/>
    </row>
    <row r="3303" spans="1:10" s="393" customFormat="1" x14ac:dyDescent="0.25">
      <c r="A3303" s="19" t="s">
        <v>23</v>
      </c>
      <c r="B3303" s="2">
        <v>44030</v>
      </c>
      <c r="C3303" s="1">
        <v>0</v>
      </c>
      <c r="D3303" s="39">
        <v>49</v>
      </c>
      <c r="E3303" s="1"/>
      <c r="F3303" s="39">
        <f t="shared" si="216"/>
        <v>5</v>
      </c>
      <c r="G3303" s="395"/>
      <c r="H3303" s="395"/>
      <c r="J3303" s="42"/>
    </row>
    <row r="3304" spans="1:10" s="393" customFormat="1" x14ac:dyDescent="0.25">
      <c r="A3304" s="19" t="s">
        <v>19</v>
      </c>
      <c r="B3304" s="2">
        <v>44030</v>
      </c>
      <c r="C3304" s="1">
        <v>16</v>
      </c>
      <c r="D3304" s="39">
        <v>847</v>
      </c>
      <c r="E3304" s="1"/>
      <c r="F3304" s="39">
        <f t="shared" si="216"/>
        <v>1</v>
      </c>
      <c r="G3304" s="395"/>
      <c r="H3304" s="395"/>
      <c r="J3304" s="42"/>
    </row>
    <row r="3305" spans="1:10" s="393" customFormat="1" x14ac:dyDescent="0.25">
      <c r="A3305" s="19" t="s">
        <v>18</v>
      </c>
      <c r="B3305" s="2">
        <v>44030</v>
      </c>
      <c r="C3305" s="1">
        <v>25</v>
      </c>
      <c r="D3305" s="39">
        <v>1297</v>
      </c>
      <c r="E3305" s="1">
        <v>2</v>
      </c>
      <c r="F3305" s="39">
        <f t="shared" si="216"/>
        <v>4</v>
      </c>
      <c r="G3305" s="395"/>
      <c r="H3305" s="395"/>
      <c r="J3305" s="42"/>
    </row>
    <row r="3306" spans="1:10" s="393" customFormat="1" x14ac:dyDescent="0.25">
      <c r="A3306" s="19" t="s">
        <v>34</v>
      </c>
      <c r="B3306" s="2">
        <v>44030</v>
      </c>
      <c r="C3306" s="1">
        <v>7</v>
      </c>
      <c r="D3306" s="39">
        <v>152</v>
      </c>
      <c r="E3306" s="1"/>
      <c r="F3306" s="39">
        <f t="shared" si="216"/>
        <v>1</v>
      </c>
      <c r="G3306" s="395"/>
      <c r="H3306" s="395"/>
      <c r="J3306" s="42"/>
    </row>
    <row r="3307" spans="1:10" s="393" customFormat="1" x14ac:dyDescent="0.25">
      <c r="A3307" s="19" t="s">
        <v>35</v>
      </c>
      <c r="B3307" s="2">
        <v>44030</v>
      </c>
      <c r="C3307" s="1">
        <v>0</v>
      </c>
      <c r="D3307" s="39">
        <v>14</v>
      </c>
      <c r="E3307" s="1"/>
      <c r="F3307" s="39">
        <f>E3307+F3283</f>
        <v>0</v>
      </c>
      <c r="G3307" s="395"/>
      <c r="H3307" s="395"/>
      <c r="J3307" s="42"/>
    </row>
    <row r="3308" spans="1:10" s="393" customFormat="1" x14ac:dyDescent="0.25">
      <c r="A3308" s="19" t="s">
        <v>36</v>
      </c>
      <c r="B3308" s="2">
        <v>44030</v>
      </c>
      <c r="C3308" s="1">
        <v>0</v>
      </c>
      <c r="D3308" s="39">
        <v>14</v>
      </c>
      <c r="E3308" s="1"/>
      <c r="F3308" s="39">
        <f t="shared" si="216"/>
        <v>0</v>
      </c>
      <c r="G3308" s="395"/>
      <c r="H3308" s="395"/>
      <c r="J3308" s="42"/>
    </row>
    <row r="3309" spans="1:10" s="393" customFormat="1" x14ac:dyDescent="0.25">
      <c r="A3309" s="19" t="s">
        <v>37</v>
      </c>
      <c r="B3309" s="2">
        <v>44030</v>
      </c>
      <c r="C3309" s="1">
        <v>20</v>
      </c>
      <c r="D3309" s="39">
        <v>123</v>
      </c>
      <c r="E3309" s="1"/>
      <c r="F3309" s="39">
        <f t="shared" si="216"/>
        <v>0</v>
      </c>
      <c r="G3309" s="395"/>
      <c r="H3309" s="395"/>
      <c r="J3309" s="42"/>
    </row>
    <row r="3310" spans="1:10" s="393" customFormat="1" x14ac:dyDescent="0.25">
      <c r="A3310" s="19" t="s">
        <v>22</v>
      </c>
      <c r="B3310" s="2">
        <v>44030</v>
      </c>
      <c r="C3310" s="1">
        <v>36</v>
      </c>
      <c r="D3310" s="39">
        <v>668</v>
      </c>
      <c r="E3310" s="1"/>
      <c r="F3310" s="39">
        <f>E3310+F3286</f>
        <v>8</v>
      </c>
      <c r="G3310" s="395"/>
      <c r="H3310" s="395"/>
      <c r="J3310" s="42"/>
    </row>
    <row r="3311" spans="1:10" s="393" customFormat="1" x14ac:dyDescent="0.25">
      <c r="A3311" s="19" t="s">
        <v>38</v>
      </c>
      <c r="B3311" s="2">
        <v>44030</v>
      </c>
      <c r="C3311" s="1">
        <v>0</v>
      </c>
      <c r="D3311" s="39">
        <v>37</v>
      </c>
      <c r="E3311" s="1"/>
      <c r="F3311" s="39">
        <f>E3311+F3287</f>
        <v>0</v>
      </c>
      <c r="G3311" s="395"/>
      <c r="H3311" s="395"/>
      <c r="J3311" s="42"/>
    </row>
    <row r="3312" spans="1:10" s="393" customFormat="1" x14ac:dyDescent="0.25">
      <c r="A3312" s="19" t="s">
        <v>39</v>
      </c>
      <c r="B3312" s="2">
        <v>44030</v>
      </c>
      <c r="C3312" s="1">
        <v>22</v>
      </c>
      <c r="D3312" s="39">
        <v>235</v>
      </c>
      <c r="E3312" s="1"/>
      <c r="F3312" s="39">
        <f>E3312+F3288</f>
        <v>1</v>
      </c>
      <c r="G3312" s="395"/>
      <c r="H3312" s="395"/>
      <c r="J3312" s="42"/>
    </row>
    <row r="3313" spans="1:10" s="393" customFormat="1" x14ac:dyDescent="0.25">
      <c r="A3313" s="19" t="s">
        <v>40</v>
      </c>
      <c r="B3313" s="2">
        <v>44030</v>
      </c>
      <c r="C3313" s="1">
        <v>0</v>
      </c>
      <c r="D3313" s="39">
        <v>103</v>
      </c>
      <c r="E3313" s="1"/>
      <c r="F3313" s="39">
        <f>E3313+F3289</f>
        <v>4</v>
      </c>
      <c r="G3313" s="395"/>
      <c r="H3313" s="395"/>
      <c r="J3313" s="42"/>
    </row>
    <row r="3314" spans="1:10" s="393" customFormat="1" x14ac:dyDescent="0.25">
      <c r="A3314" s="394" t="s">
        <v>16</v>
      </c>
      <c r="B3314" s="2">
        <v>44031</v>
      </c>
      <c r="C3314" s="1">
        <v>2761</v>
      </c>
      <c r="D3314" s="39">
        <v>70782</v>
      </c>
      <c r="E3314" s="1">
        <v>21</v>
      </c>
      <c r="F3314" s="39">
        <f>E3314+F3290</f>
        <v>1119</v>
      </c>
      <c r="G3314" s="395"/>
      <c r="H3314" s="395"/>
      <c r="J3314" s="42"/>
    </row>
    <row r="3315" spans="1:10" s="393" customFormat="1" x14ac:dyDescent="0.25">
      <c r="A3315" s="19" t="s">
        <v>28</v>
      </c>
      <c r="B3315" s="2">
        <v>44031</v>
      </c>
      <c r="C3315" s="1">
        <v>3</v>
      </c>
      <c r="D3315" s="39">
        <v>58</v>
      </c>
      <c r="E3315" s="1"/>
      <c r="F3315" s="39">
        <f t="shared" ref="F3315:F3321" si="217">E3315+F3291</f>
        <v>0</v>
      </c>
      <c r="G3315" s="395"/>
      <c r="H3315" s="395"/>
      <c r="J3315" s="42"/>
    </row>
    <row r="3316" spans="1:10" s="393" customFormat="1" x14ac:dyDescent="0.25">
      <c r="A3316" s="19" t="s">
        <v>15</v>
      </c>
      <c r="B3316" s="2">
        <v>44031</v>
      </c>
      <c r="C3316" s="1">
        <v>48</v>
      </c>
      <c r="D3316" s="39">
        <v>2966</v>
      </c>
      <c r="E3316" s="1">
        <v>1</v>
      </c>
      <c r="F3316" s="39">
        <f t="shared" si="217"/>
        <v>121</v>
      </c>
      <c r="G3316" s="395"/>
      <c r="H3316" s="395"/>
      <c r="J3316" s="42"/>
    </row>
    <row r="3317" spans="1:10" s="393" customFormat="1" x14ac:dyDescent="0.25">
      <c r="A3317" s="19" t="s">
        <v>29</v>
      </c>
      <c r="B3317" s="2">
        <v>44031</v>
      </c>
      <c r="C3317" s="1">
        <v>3</v>
      </c>
      <c r="D3317" s="39">
        <v>238</v>
      </c>
      <c r="E3317" s="1"/>
      <c r="F3317" s="39">
        <f t="shared" si="217"/>
        <v>3</v>
      </c>
      <c r="G3317" s="395"/>
      <c r="H3317" s="395"/>
      <c r="J3317" s="42"/>
    </row>
    <row r="3318" spans="1:10" s="393" customFormat="1" x14ac:dyDescent="0.25">
      <c r="A3318" s="19" t="s">
        <v>43</v>
      </c>
      <c r="B3318" s="2">
        <v>44031</v>
      </c>
      <c r="C3318" s="1">
        <v>1116</v>
      </c>
      <c r="D3318" s="39">
        <v>45601</v>
      </c>
      <c r="E3318" s="1">
        <v>14</v>
      </c>
      <c r="F3318" s="39">
        <f t="shared" si="217"/>
        <v>840</v>
      </c>
      <c r="G3318" s="395"/>
      <c r="H3318" s="395"/>
      <c r="J3318" s="42"/>
    </row>
    <row r="3319" spans="1:10" s="393" customFormat="1" x14ac:dyDescent="0.25">
      <c r="A3319" s="19" t="s">
        <v>20</v>
      </c>
      <c r="B3319" s="2">
        <v>44031</v>
      </c>
      <c r="C3319" s="1">
        <v>67</v>
      </c>
      <c r="D3319" s="39">
        <v>1283</v>
      </c>
      <c r="E3319" s="1">
        <v>1</v>
      </c>
      <c r="F3319" s="39">
        <f t="shared" si="217"/>
        <v>36</v>
      </c>
      <c r="G3319" s="395"/>
      <c r="H3319" s="395"/>
      <c r="J3319" s="42"/>
    </row>
    <row r="3320" spans="1:10" s="393" customFormat="1" x14ac:dyDescent="0.25">
      <c r="A3320" s="19" t="s">
        <v>30</v>
      </c>
      <c r="B3320" s="2">
        <v>44031</v>
      </c>
      <c r="C3320" s="1">
        <v>0</v>
      </c>
      <c r="D3320" s="39">
        <v>130</v>
      </c>
      <c r="E3320" s="1">
        <v>1</v>
      </c>
      <c r="F3320" s="39">
        <f t="shared" si="217"/>
        <v>1</v>
      </c>
      <c r="G3320" s="395"/>
      <c r="H3320" s="395"/>
      <c r="J3320" s="42"/>
    </row>
    <row r="3321" spans="1:10" x14ac:dyDescent="0.25">
      <c r="A3321" s="19" t="s">
        <v>31</v>
      </c>
      <c r="B3321" s="2">
        <v>44031</v>
      </c>
      <c r="C3321" s="1">
        <v>16</v>
      </c>
      <c r="D3321" s="39">
        <v>630</v>
      </c>
      <c r="F3321" s="39">
        <f t="shared" si="217"/>
        <v>5</v>
      </c>
    </row>
    <row r="3322" spans="1:10" s="393" customFormat="1" x14ac:dyDescent="0.25">
      <c r="A3322" s="19" t="s">
        <v>41</v>
      </c>
      <c r="B3322" s="2">
        <v>44031</v>
      </c>
      <c r="C3322" s="1">
        <v>0</v>
      </c>
      <c r="D3322" s="39">
        <v>78</v>
      </c>
      <c r="E3322" s="1"/>
      <c r="F3322" s="39">
        <f>E3322+F3298</f>
        <v>0</v>
      </c>
      <c r="G3322" s="395"/>
      <c r="H3322" s="395"/>
      <c r="J3322" s="42"/>
    </row>
    <row r="3323" spans="1:10" s="393" customFormat="1" x14ac:dyDescent="0.25">
      <c r="A3323" s="19" t="s">
        <v>32</v>
      </c>
      <c r="B3323" s="2">
        <v>44031</v>
      </c>
      <c r="C3323" s="1">
        <v>6</v>
      </c>
      <c r="D3323" s="39">
        <v>674</v>
      </c>
      <c r="E3323" s="1"/>
      <c r="F3323" s="39">
        <f t="shared" ref="F3323:F3333" si="218">E3323+F3298</f>
        <v>0</v>
      </c>
      <c r="G3323" s="395"/>
      <c r="H3323" s="395"/>
      <c r="J3323" s="42"/>
    </row>
    <row r="3324" spans="1:10" s="393" customFormat="1" x14ac:dyDescent="0.25">
      <c r="A3324" s="19" t="s">
        <v>33</v>
      </c>
      <c r="B3324" s="2">
        <v>44031</v>
      </c>
      <c r="C3324" s="1">
        <v>0</v>
      </c>
      <c r="D3324" s="39">
        <v>8</v>
      </c>
      <c r="E3324" s="1"/>
      <c r="F3324" s="39">
        <f t="shared" si="218"/>
        <v>0</v>
      </c>
      <c r="G3324" s="395"/>
      <c r="H3324" s="395"/>
      <c r="J3324" s="42"/>
    </row>
    <row r="3325" spans="1:10" s="393" customFormat="1" x14ac:dyDescent="0.25">
      <c r="A3325" s="19" t="s">
        <v>21</v>
      </c>
      <c r="B3325" s="2">
        <v>44031</v>
      </c>
      <c r="C3325" s="1">
        <v>4</v>
      </c>
      <c r="D3325" s="39">
        <v>184</v>
      </c>
      <c r="E3325" s="1"/>
      <c r="F3325" s="39">
        <f t="shared" si="218"/>
        <v>0</v>
      </c>
      <c r="G3325" s="395"/>
      <c r="H3325" s="395"/>
      <c r="J3325" s="42"/>
    </row>
    <row r="3326" spans="1:10" s="393" customFormat="1" x14ac:dyDescent="0.25">
      <c r="A3326" s="19" t="s">
        <v>17</v>
      </c>
      <c r="B3326" s="2">
        <v>44031</v>
      </c>
      <c r="C3326" s="1">
        <v>41</v>
      </c>
      <c r="D3326" s="39">
        <v>488</v>
      </c>
      <c r="E3326" s="1">
        <v>1</v>
      </c>
      <c r="F3326" s="39">
        <f t="shared" si="218"/>
        <v>1</v>
      </c>
      <c r="G3326" s="395"/>
      <c r="H3326" s="395"/>
      <c r="J3326" s="42"/>
    </row>
    <row r="3327" spans="1:10" s="393" customFormat="1" x14ac:dyDescent="0.25">
      <c r="A3327" s="19" t="s">
        <v>23</v>
      </c>
      <c r="B3327" s="2">
        <v>44031</v>
      </c>
      <c r="C3327" s="1">
        <v>0</v>
      </c>
      <c r="D3327" s="39">
        <v>49</v>
      </c>
      <c r="E3327" s="1"/>
      <c r="F3327" s="39">
        <f t="shared" si="218"/>
        <v>2</v>
      </c>
      <c r="G3327" s="395"/>
      <c r="H3327" s="395"/>
      <c r="J3327" s="42"/>
    </row>
    <row r="3328" spans="1:10" s="393" customFormat="1" x14ac:dyDescent="0.25">
      <c r="A3328" s="19" t="s">
        <v>19</v>
      </c>
      <c r="B3328" s="2">
        <v>44031</v>
      </c>
      <c r="C3328" s="1">
        <v>33</v>
      </c>
      <c r="D3328" s="39">
        <v>880</v>
      </c>
      <c r="E3328" s="1"/>
      <c r="F3328" s="39">
        <f t="shared" si="218"/>
        <v>5</v>
      </c>
      <c r="G3328" s="395"/>
      <c r="H3328" s="395"/>
      <c r="J3328" s="42"/>
    </row>
    <row r="3329" spans="1:10" s="393" customFormat="1" x14ac:dyDescent="0.25">
      <c r="A3329" s="19" t="s">
        <v>18</v>
      </c>
      <c r="B3329" s="2">
        <v>44031</v>
      </c>
      <c r="C3329" s="1">
        <v>23</v>
      </c>
      <c r="D3329" s="39">
        <v>1320</v>
      </c>
      <c r="E3329" s="1"/>
      <c r="F3329" s="39">
        <f t="shared" si="218"/>
        <v>1</v>
      </c>
      <c r="G3329" s="395"/>
      <c r="H3329" s="395"/>
      <c r="J3329" s="42"/>
    </row>
    <row r="3330" spans="1:10" s="393" customFormat="1" x14ac:dyDescent="0.25">
      <c r="A3330" s="19" t="s">
        <v>34</v>
      </c>
      <c r="B3330" s="2">
        <v>44031</v>
      </c>
      <c r="C3330" s="1">
        <v>23</v>
      </c>
      <c r="D3330" s="39">
        <v>175</v>
      </c>
      <c r="E3330" s="1"/>
      <c r="F3330" s="39">
        <f t="shared" si="218"/>
        <v>4</v>
      </c>
      <c r="G3330" s="395"/>
      <c r="H3330" s="395"/>
      <c r="J3330" s="42"/>
    </row>
    <row r="3331" spans="1:10" s="393" customFormat="1" x14ac:dyDescent="0.25">
      <c r="A3331" s="19" t="s">
        <v>35</v>
      </c>
      <c r="B3331" s="2">
        <v>44031</v>
      </c>
      <c r="C3331" s="1">
        <v>0</v>
      </c>
      <c r="D3331" s="39">
        <v>14</v>
      </c>
      <c r="E3331" s="1"/>
      <c r="F3331" s="39">
        <f>E3331+F3307</f>
        <v>0</v>
      </c>
      <c r="G3331" s="395"/>
      <c r="H3331" s="395"/>
      <c r="J3331" s="42"/>
    </row>
    <row r="3332" spans="1:10" s="393" customFormat="1" x14ac:dyDescent="0.25">
      <c r="A3332" s="19" t="s">
        <v>36</v>
      </c>
      <c r="B3332" s="2">
        <v>44031</v>
      </c>
      <c r="C3332" s="1">
        <v>0</v>
      </c>
      <c r="D3332" s="39">
        <v>14</v>
      </c>
      <c r="E3332" s="1"/>
      <c r="F3332" s="39">
        <f t="shared" si="218"/>
        <v>0</v>
      </c>
      <c r="G3332" s="395"/>
      <c r="H3332" s="395"/>
      <c r="J3332" s="42"/>
    </row>
    <row r="3333" spans="1:10" s="393" customFormat="1" x14ac:dyDescent="0.25">
      <c r="A3333" s="19" t="s">
        <v>37</v>
      </c>
      <c r="B3333" s="2">
        <v>44031</v>
      </c>
      <c r="C3333" s="1">
        <v>59</v>
      </c>
      <c r="D3333" s="39">
        <v>182</v>
      </c>
      <c r="E3333" s="1"/>
      <c r="F3333" s="39">
        <f t="shared" si="218"/>
        <v>0</v>
      </c>
      <c r="G3333" s="395"/>
      <c r="H3333" s="395"/>
      <c r="J3333" s="42"/>
    </row>
    <row r="3334" spans="1:10" s="393" customFormat="1" x14ac:dyDescent="0.25">
      <c r="A3334" s="19" t="s">
        <v>22</v>
      </c>
      <c r="B3334" s="2">
        <v>44031</v>
      </c>
      <c r="C3334" s="1">
        <v>23</v>
      </c>
      <c r="D3334" s="39">
        <v>691</v>
      </c>
      <c r="E3334" s="1">
        <v>1</v>
      </c>
      <c r="F3334" s="39">
        <f>E3334+F3310</f>
        <v>9</v>
      </c>
      <c r="G3334" s="395"/>
      <c r="H3334" s="395"/>
      <c r="J3334" s="42"/>
    </row>
    <row r="3335" spans="1:10" s="393" customFormat="1" x14ac:dyDescent="0.25">
      <c r="A3335" s="19" t="s">
        <v>38</v>
      </c>
      <c r="B3335" s="2">
        <v>44031</v>
      </c>
      <c r="C3335" s="1">
        <v>1</v>
      </c>
      <c r="D3335" s="39">
        <v>38</v>
      </c>
      <c r="E3335" s="1"/>
      <c r="F3335" s="39">
        <f>E3335+F3311</f>
        <v>0</v>
      </c>
      <c r="G3335" s="395"/>
      <c r="H3335" s="395"/>
      <c r="J3335" s="42"/>
    </row>
    <row r="3336" spans="1:10" s="393" customFormat="1" x14ac:dyDescent="0.25">
      <c r="A3336" s="19" t="s">
        <v>39</v>
      </c>
      <c r="B3336" s="2">
        <v>44031</v>
      </c>
      <c r="C3336" s="1">
        <v>5</v>
      </c>
      <c r="D3336" s="39">
        <v>240</v>
      </c>
      <c r="E3336" s="1"/>
      <c r="F3336" s="39">
        <f>E3336+F3312</f>
        <v>1</v>
      </c>
      <c r="G3336" s="395"/>
      <c r="H3336" s="395"/>
      <c r="J3336" s="42"/>
    </row>
    <row r="3337" spans="1:10" s="393" customFormat="1" x14ac:dyDescent="0.25">
      <c r="A3337" s="19" t="s">
        <v>40</v>
      </c>
      <c r="B3337" s="2">
        <v>44031</v>
      </c>
      <c r="C3337" s="1">
        <v>0</v>
      </c>
      <c r="D3337" s="39">
        <v>103</v>
      </c>
      <c r="E3337" s="1"/>
      <c r="F3337" s="39">
        <f>E3337+F3313</f>
        <v>4</v>
      </c>
      <c r="G3337" s="395"/>
      <c r="H3337" s="395"/>
      <c r="J3337" s="42"/>
    </row>
    <row r="3338" spans="1:10" s="393" customFormat="1" x14ac:dyDescent="0.25">
      <c r="A3338" s="394" t="s">
        <v>16</v>
      </c>
      <c r="B3338" s="2">
        <v>44032</v>
      </c>
      <c r="C3338" s="1">
        <v>2556</v>
      </c>
      <c r="D3338" s="39">
        <v>73338</v>
      </c>
      <c r="E3338" s="1">
        <v>57</v>
      </c>
      <c r="F3338" s="39">
        <f>E3338+F3314</f>
        <v>1176</v>
      </c>
      <c r="G3338" s="395"/>
      <c r="H3338" s="395"/>
      <c r="J3338" s="42"/>
    </row>
    <row r="3339" spans="1:10" s="393" customFormat="1" x14ac:dyDescent="0.25">
      <c r="A3339" s="19" t="s">
        <v>28</v>
      </c>
      <c r="B3339" s="2">
        <v>44032</v>
      </c>
      <c r="C3339" s="1">
        <v>0</v>
      </c>
      <c r="D3339" s="39">
        <v>58</v>
      </c>
      <c r="E3339" s="1"/>
      <c r="F3339" s="39">
        <f t="shared" ref="F3339:F3345" si="219">E3339+F3315</f>
        <v>0</v>
      </c>
      <c r="G3339" s="395"/>
      <c r="H3339" s="395"/>
      <c r="J3339" s="42"/>
    </row>
    <row r="3340" spans="1:10" s="393" customFormat="1" x14ac:dyDescent="0.25">
      <c r="A3340" s="19" t="s">
        <v>15</v>
      </c>
      <c r="B3340" s="2">
        <v>44032</v>
      </c>
      <c r="C3340" s="1">
        <v>30</v>
      </c>
      <c r="D3340" s="39">
        <v>2996</v>
      </c>
      <c r="E3340" s="1">
        <v>1</v>
      </c>
      <c r="F3340" s="39">
        <f t="shared" si="219"/>
        <v>122</v>
      </c>
      <c r="G3340" s="395"/>
      <c r="H3340" s="395"/>
      <c r="J3340" s="42"/>
    </row>
    <row r="3341" spans="1:10" s="393" customFormat="1" x14ac:dyDescent="0.25">
      <c r="A3341" s="19" t="s">
        <v>29</v>
      </c>
      <c r="B3341" s="2">
        <v>44032</v>
      </c>
      <c r="C3341" s="1">
        <v>4</v>
      </c>
      <c r="D3341" s="39">
        <v>242</v>
      </c>
      <c r="E3341" s="1"/>
      <c r="F3341" s="39">
        <f t="shared" si="219"/>
        <v>3</v>
      </c>
      <c r="G3341" s="395"/>
      <c r="H3341" s="395"/>
      <c r="J3341" s="42"/>
    </row>
    <row r="3342" spans="1:10" s="393" customFormat="1" x14ac:dyDescent="0.25">
      <c r="A3342" s="19" t="s">
        <v>43</v>
      </c>
      <c r="B3342" s="2">
        <v>44032</v>
      </c>
      <c r="C3342" s="1">
        <v>1090</v>
      </c>
      <c r="D3342" s="39">
        <v>46691</v>
      </c>
      <c r="E3342" s="1">
        <v>50</v>
      </c>
      <c r="F3342" s="39">
        <f t="shared" si="219"/>
        <v>890</v>
      </c>
      <c r="G3342" s="395"/>
      <c r="H3342" s="395"/>
      <c r="J3342" s="42"/>
    </row>
    <row r="3343" spans="1:10" s="393" customFormat="1" x14ac:dyDescent="0.25">
      <c r="A3343" s="19" t="s">
        <v>20</v>
      </c>
      <c r="B3343" s="2">
        <v>44032</v>
      </c>
      <c r="C3343" s="1">
        <v>39</v>
      </c>
      <c r="D3343" s="39">
        <v>1322</v>
      </c>
      <c r="E3343" s="1"/>
      <c r="F3343" s="39">
        <f t="shared" si="219"/>
        <v>36</v>
      </c>
      <c r="G3343" s="395"/>
      <c r="H3343" s="395"/>
      <c r="J3343" s="42"/>
    </row>
    <row r="3344" spans="1:10" s="393" customFormat="1" x14ac:dyDescent="0.25">
      <c r="A3344" s="19" t="s">
        <v>30</v>
      </c>
      <c r="B3344" s="2">
        <v>44032</v>
      </c>
      <c r="C3344" s="1">
        <v>0</v>
      </c>
      <c r="D3344" s="39">
        <v>130</v>
      </c>
      <c r="E3344" s="1"/>
      <c r="F3344" s="39">
        <f t="shared" si="219"/>
        <v>1</v>
      </c>
      <c r="G3344" s="395"/>
      <c r="H3344" s="395"/>
      <c r="J3344" s="42"/>
    </row>
    <row r="3345" spans="1:10" x14ac:dyDescent="0.25">
      <c r="A3345" s="19" t="s">
        <v>31</v>
      </c>
      <c r="B3345" s="2">
        <v>44032</v>
      </c>
      <c r="C3345" s="1">
        <v>18</v>
      </c>
      <c r="D3345" s="39">
        <v>648</v>
      </c>
      <c r="F3345" s="39">
        <f t="shared" si="219"/>
        <v>5</v>
      </c>
    </row>
    <row r="3346" spans="1:10" s="393" customFormat="1" x14ac:dyDescent="0.25">
      <c r="A3346" s="19" t="s">
        <v>41</v>
      </c>
      <c r="B3346" s="2">
        <v>44032</v>
      </c>
      <c r="C3346" s="1">
        <v>0</v>
      </c>
      <c r="D3346" s="39">
        <v>78</v>
      </c>
      <c r="E3346" s="1"/>
      <c r="F3346" s="39">
        <f>E3346+F3322</f>
        <v>0</v>
      </c>
      <c r="G3346" s="395"/>
      <c r="H3346" s="395"/>
      <c r="J3346" s="42"/>
    </row>
    <row r="3347" spans="1:10" s="393" customFormat="1" x14ac:dyDescent="0.25">
      <c r="A3347" s="19" t="s">
        <v>32</v>
      </c>
      <c r="B3347" s="2">
        <v>44032</v>
      </c>
      <c r="C3347" s="1">
        <v>84</v>
      </c>
      <c r="D3347" s="39">
        <v>758</v>
      </c>
      <c r="E3347" s="1"/>
      <c r="F3347" s="39">
        <f t="shared" ref="F3347:F3357" si="220">E3347+F3322</f>
        <v>0</v>
      </c>
      <c r="G3347" s="395"/>
      <c r="H3347" s="395"/>
      <c r="J3347" s="42"/>
    </row>
    <row r="3348" spans="1:10" s="393" customFormat="1" x14ac:dyDescent="0.25">
      <c r="A3348" s="19" t="s">
        <v>33</v>
      </c>
      <c r="B3348" s="2">
        <v>44032</v>
      </c>
      <c r="C3348" s="1">
        <v>0</v>
      </c>
      <c r="D3348" s="39">
        <v>8</v>
      </c>
      <c r="E3348" s="1"/>
      <c r="F3348" s="39">
        <f t="shared" si="220"/>
        <v>0</v>
      </c>
      <c r="G3348" s="395"/>
      <c r="H3348" s="395"/>
      <c r="J3348" s="42"/>
    </row>
    <row r="3349" spans="1:10" s="393" customFormat="1" x14ac:dyDescent="0.25">
      <c r="A3349" s="19" t="s">
        <v>21</v>
      </c>
      <c r="B3349" s="2">
        <v>44032</v>
      </c>
      <c r="C3349" s="1">
        <v>0</v>
      </c>
      <c r="D3349" s="39">
        <v>184</v>
      </c>
      <c r="E3349" s="1"/>
      <c r="F3349" s="39">
        <f t="shared" si="220"/>
        <v>0</v>
      </c>
      <c r="G3349" s="395"/>
      <c r="H3349" s="395"/>
      <c r="J3349" s="42"/>
    </row>
    <row r="3350" spans="1:10" s="393" customFormat="1" x14ac:dyDescent="0.25">
      <c r="A3350" s="19" t="s">
        <v>17</v>
      </c>
      <c r="B3350" s="2">
        <v>44032</v>
      </c>
      <c r="C3350" s="1">
        <v>25</v>
      </c>
      <c r="D3350" s="39">
        <v>513</v>
      </c>
      <c r="E3350" s="1">
        <v>1</v>
      </c>
      <c r="F3350" s="39">
        <f t="shared" si="220"/>
        <v>1</v>
      </c>
      <c r="G3350" s="395"/>
      <c r="H3350" s="395"/>
      <c r="J3350" s="42"/>
    </row>
    <row r="3351" spans="1:10" s="393" customFormat="1" x14ac:dyDescent="0.25">
      <c r="A3351" s="19" t="s">
        <v>23</v>
      </c>
      <c r="B3351" s="2">
        <v>44032</v>
      </c>
      <c r="C3351" s="1">
        <v>0</v>
      </c>
      <c r="D3351" s="39">
        <v>49</v>
      </c>
      <c r="E3351" s="1"/>
      <c r="F3351" s="39">
        <f t="shared" si="220"/>
        <v>1</v>
      </c>
      <c r="G3351" s="395"/>
      <c r="H3351" s="395"/>
      <c r="J3351" s="42"/>
    </row>
    <row r="3352" spans="1:10" s="393" customFormat="1" x14ac:dyDescent="0.25">
      <c r="A3352" s="19" t="s">
        <v>19</v>
      </c>
      <c r="B3352" s="2">
        <v>44032</v>
      </c>
      <c r="C3352" s="1">
        <v>17</v>
      </c>
      <c r="D3352" s="39">
        <v>897</v>
      </c>
      <c r="E3352" s="1"/>
      <c r="F3352" s="39">
        <f t="shared" si="220"/>
        <v>2</v>
      </c>
      <c r="G3352" s="395"/>
      <c r="H3352" s="395"/>
      <c r="J3352" s="42"/>
    </row>
    <row r="3353" spans="1:10" s="393" customFormat="1" x14ac:dyDescent="0.25">
      <c r="A3353" s="19" t="s">
        <v>18</v>
      </c>
      <c r="B3353" s="2">
        <v>44032</v>
      </c>
      <c r="C3353" s="1">
        <v>21</v>
      </c>
      <c r="D3353" s="39">
        <v>1341</v>
      </c>
      <c r="E3353" s="1">
        <v>4</v>
      </c>
      <c r="F3353" s="39">
        <f t="shared" si="220"/>
        <v>9</v>
      </c>
      <c r="G3353" s="395"/>
      <c r="H3353" s="395"/>
      <c r="J3353" s="42"/>
    </row>
    <row r="3354" spans="1:10" s="393" customFormat="1" x14ac:dyDescent="0.25">
      <c r="A3354" s="19" t="s">
        <v>34</v>
      </c>
      <c r="B3354" s="2">
        <v>44032</v>
      </c>
      <c r="C3354" s="1">
        <v>1</v>
      </c>
      <c r="D3354" s="39">
        <v>176</v>
      </c>
      <c r="E3354" s="1"/>
      <c r="F3354" s="39">
        <f t="shared" si="220"/>
        <v>1</v>
      </c>
      <c r="G3354" s="395"/>
      <c r="H3354" s="395"/>
      <c r="J3354" s="42"/>
    </row>
    <row r="3355" spans="1:10" s="393" customFormat="1" x14ac:dyDescent="0.25">
      <c r="A3355" s="19" t="s">
        <v>35</v>
      </c>
      <c r="B3355" s="2">
        <v>44032</v>
      </c>
      <c r="C3355" s="1">
        <v>0</v>
      </c>
      <c r="D3355" s="39">
        <v>14</v>
      </c>
      <c r="E3355" s="1"/>
      <c r="F3355" s="39">
        <f>E3355+F3331</f>
        <v>0</v>
      </c>
      <c r="G3355" s="395"/>
      <c r="H3355" s="395"/>
      <c r="J3355" s="42"/>
    </row>
    <row r="3356" spans="1:10" s="393" customFormat="1" x14ac:dyDescent="0.25">
      <c r="A3356" s="19" t="s">
        <v>36</v>
      </c>
      <c r="B3356" s="2">
        <v>44032</v>
      </c>
      <c r="C3356" s="1">
        <v>1</v>
      </c>
      <c r="D3356" s="39">
        <v>15</v>
      </c>
      <c r="E3356" s="1"/>
      <c r="F3356" s="39">
        <f t="shared" si="220"/>
        <v>0</v>
      </c>
      <c r="G3356" s="395"/>
      <c r="H3356" s="395"/>
      <c r="J3356" s="42"/>
    </row>
    <row r="3357" spans="1:10" s="393" customFormat="1" x14ac:dyDescent="0.25">
      <c r="A3357" s="19" t="s">
        <v>37</v>
      </c>
      <c r="B3357" s="2">
        <v>44032</v>
      </c>
      <c r="C3357" s="1">
        <v>24</v>
      </c>
      <c r="D3357" s="39">
        <v>206</v>
      </c>
      <c r="E3357" s="1"/>
      <c r="F3357" s="39">
        <f t="shared" si="220"/>
        <v>0</v>
      </c>
      <c r="G3357" s="395"/>
      <c r="H3357" s="395"/>
      <c r="J3357" s="42"/>
    </row>
    <row r="3358" spans="1:10" s="393" customFormat="1" x14ac:dyDescent="0.25">
      <c r="A3358" s="19" t="s">
        <v>22</v>
      </c>
      <c r="B3358" s="2">
        <v>44032</v>
      </c>
      <c r="C3358" s="1">
        <v>27</v>
      </c>
      <c r="D3358" s="39">
        <v>718</v>
      </c>
      <c r="E3358" s="1"/>
      <c r="F3358" s="39">
        <f>E3358+F3334</f>
        <v>9</v>
      </c>
      <c r="G3358" s="395"/>
      <c r="H3358" s="395"/>
      <c r="J3358" s="42"/>
    </row>
    <row r="3359" spans="1:10" s="393" customFormat="1" x14ac:dyDescent="0.25">
      <c r="A3359" s="19" t="s">
        <v>38</v>
      </c>
      <c r="B3359" s="2">
        <v>44032</v>
      </c>
      <c r="C3359" s="1">
        <v>0</v>
      </c>
      <c r="D3359" s="39">
        <v>38</v>
      </c>
      <c r="E3359" s="1"/>
      <c r="F3359" s="39">
        <f>E3359+F3335</f>
        <v>0</v>
      </c>
      <c r="G3359" s="395"/>
      <c r="H3359" s="395"/>
      <c r="J3359" s="42"/>
    </row>
    <row r="3360" spans="1:10" s="393" customFormat="1" x14ac:dyDescent="0.25">
      <c r="A3360" s="19" t="s">
        <v>39</v>
      </c>
      <c r="B3360" s="2">
        <v>44032</v>
      </c>
      <c r="C3360" s="1">
        <v>0</v>
      </c>
      <c r="D3360" s="39">
        <v>240</v>
      </c>
      <c r="E3360" s="1"/>
      <c r="F3360" s="39">
        <f>E3360+F3336</f>
        <v>1</v>
      </c>
      <c r="G3360" s="395"/>
      <c r="H3360" s="395"/>
      <c r="J3360" s="42"/>
    </row>
    <row r="3361" spans="1:10" s="393" customFormat="1" x14ac:dyDescent="0.25">
      <c r="A3361" s="19" t="s">
        <v>40</v>
      </c>
      <c r="B3361" s="2">
        <v>44032</v>
      </c>
      <c r="C3361" s="1">
        <v>0</v>
      </c>
      <c r="D3361" s="39">
        <v>103</v>
      </c>
      <c r="E3361" s="1"/>
      <c r="F3361" s="39">
        <f>E3361+F3337</f>
        <v>4</v>
      </c>
      <c r="G3361" s="395"/>
      <c r="H3361" s="395"/>
      <c r="J3361" s="42"/>
    </row>
    <row r="3362" spans="1:10" s="393" customFormat="1" x14ac:dyDescent="0.25">
      <c r="A3362" s="394" t="s">
        <v>16</v>
      </c>
      <c r="B3362" s="2">
        <v>44033</v>
      </c>
      <c r="C3362" s="1">
        <v>3477</v>
      </c>
      <c r="D3362" s="39">
        <v>76815</v>
      </c>
      <c r="E3362" s="1">
        <f>15+16+18</f>
        <v>49</v>
      </c>
      <c r="F3362" s="39">
        <f>E3362+F3338</f>
        <v>1225</v>
      </c>
      <c r="G3362" s="395"/>
      <c r="H3362" s="395"/>
      <c r="J3362" s="42"/>
    </row>
    <row r="3363" spans="1:10" s="393" customFormat="1" x14ac:dyDescent="0.25">
      <c r="A3363" s="19" t="s">
        <v>28</v>
      </c>
      <c r="B3363" s="2">
        <v>44033</v>
      </c>
      <c r="C3363" s="1">
        <v>2</v>
      </c>
      <c r="D3363" s="39">
        <v>60</v>
      </c>
      <c r="E3363" s="1"/>
      <c r="F3363" s="39">
        <f t="shared" ref="F3363:F3369" si="221">E3363+F3339</f>
        <v>0</v>
      </c>
      <c r="G3363" s="395"/>
      <c r="H3363" s="395"/>
      <c r="J3363" s="42"/>
    </row>
    <row r="3364" spans="1:10" s="393" customFormat="1" x14ac:dyDescent="0.25">
      <c r="A3364" s="19" t="s">
        <v>15</v>
      </c>
      <c r="B3364" s="2">
        <v>44033</v>
      </c>
      <c r="C3364" s="1">
        <v>35</v>
      </c>
      <c r="D3364" s="39">
        <v>3031</v>
      </c>
      <c r="E3364" s="1"/>
      <c r="F3364" s="39">
        <f t="shared" si="221"/>
        <v>122</v>
      </c>
      <c r="G3364" s="395"/>
      <c r="H3364" s="395"/>
      <c r="J3364" s="42"/>
    </row>
    <row r="3365" spans="1:10" s="393" customFormat="1" x14ac:dyDescent="0.25">
      <c r="A3365" s="19" t="s">
        <v>29</v>
      </c>
      <c r="B3365" s="2">
        <v>44033</v>
      </c>
      <c r="C3365" s="1">
        <v>12</v>
      </c>
      <c r="D3365" s="39">
        <v>254</v>
      </c>
      <c r="E3365" s="1"/>
      <c r="F3365" s="39">
        <f t="shared" si="221"/>
        <v>3</v>
      </c>
      <c r="G3365" s="395"/>
      <c r="H3365" s="395"/>
      <c r="J3365" s="42"/>
    </row>
    <row r="3366" spans="1:10" s="393" customFormat="1" x14ac:dyDescent="0.25">
      <c r="A3366" s="19" t="s">
        <v>43</v>
      </c>
      <c r="B3366" s="2">
        <v>44033</v>
      </c>
      <c r="C3366" s="1">
        <v>1452</v>
      </c>
      <c r="D3366" s="39">
        <v>48143</v>
      </c>
      <c r="E3366" s="1">
        <f>14+8+10</f>
        <v>32</v>
      </c>
      <c r="F3366" s="39">
        <f t="shared" si="221"/>
        <v>922</v>
      </c>
      <c r="G3366" s="395"/>
      <c r="H3366" s="395"/>
      <c r="J3366" s="42"/>
    </row>
    <row r="3367" spans="1:10" s="393" customFormat="1" x14ac:dyDescent="0.25">
      <c r="A3367" s="19" t="s">
        <v>20</v>
      </c>
      <c r="B3367" s="2">
        <v>44033</v>
      </c>
      <c r="C3367" s="1">
        <v>58</v>
      </c>
      <c r="D3367" s="39">
        <v>1380</v>
      </c>
      <c r="E3367" s="1">
        <v>2</v>
      </c>
      <c r="F3367" s="39">
        <f t="shared" si="221"/>
        <v>38</v>
      </c>
      <c r="G3367" s="395"/>
      <c r="H3367" s="395"/>
      <c r="J3367" s="42"/>
    </row>
    <row r="3368" spans="1:10" s="393" customFormat="1" x14ac:dyDescent="0.25">
      <c r="A3368" s="19" t="s">
        <v>30</v>
      </c>
      <c r="B3368" s="2">
        <v>44033</v>
      </c>
      <c r="C3368" s="1">
        <v>1</v>
      </c>
      <c r="D3368" s="39">
        <v>131</v>
      </c>
      <c r="E3368" s="1"/>
      <c r="F3368" s="39">
        <f t="shared" si="221"/>
        <v>1</v>
      </c>
      <c r="G3368" s="395"/>
      <c r="H3368" s="395"/>
      <c r="J3368" s="42"/>
    </row>
    <row r="3369" spans="1:10" x14ac:dyDescent="0.25">
      <c r="A3369" s="19" t="s">
        <v>31</v>
      </c>
      <c r="B3369" s="2">
        <v>44033</v>
      </c>
      <c r="C3369" s="1">
        <v>7</v>
      </c>
      <c r="D3369" s="39">
        <v>655</v>
      </c>
      <c r="E3369" s="1">
        <v>1</v>
      </c>
      <c r="F3369" s="39">
        <f t="shared" si="221"/>
        <v>6</v>
      </c>
    </row>
    <row r="3370" spans="1:10" s="393" customFormat="1" x14ac:dyDescent="0.25">
      <c r="A3370" s="19" t="s">
        <v>41</v>
      </c>
      <c r="B3370" s="2">
        <v>44033</v>
      </c>
      <c r="C3370" s="1">
        <v>0</v>
      </c>
      <c r="D3370" s="39">
        <v>78</v>
      </c>
      <c r="E3370" s="1"/>
      <c r="F3370" s="39">
        <f>E3370+F3346</f>
        <v>0</v>
      </c>
      <c r="G3370" s="395"/>
      <c r="H3370" s="395"/>
      <c r="J3370" s="42"/>
    </row>
    <row r="3371" spans="1:10" s="393" customFormat="1" x14ac:dyDescent="0.25">
      <c r="A3371" s="19" t="s">
        <v>32</v>
      </c>
      <c r="B3371" s="2">
        <v>44033</v>
      </c>
      <c r="C3371" s="1">
        <v>120</v>
      </c>
      <c r="D3371" s="39">
        <v>878</v>
      </c>
      <c r="E3371" s="1">
        <v>30</v>
      </c>
      <c r="F3371" s="39">
        <f t="shared" ref="F3371:F3381" si="222">E3371+F3346</f>
        <v>30</v>
      </c>
      <c r="G3371" s="395"/>
      <c r="H3371" s="395"/>
      <c r="J3371" s="42"/>
    </row>
    <row r="3372" spans="1:10" s="393" customFormat="1" x14ac:dyDescent="0.25">
      <c r="A3372" s="19" t="s">
        <v>33</v>
      </c>
      <c r="B3372" s="2">
        <v>44033</v>
      </c>
      <c r="C3372" s="1">
        <v>0</v>
      </c>
      <c r="D3372" s="39">
        <v>8</v>
      </c>
      <c r="E3372" s="1"/>
      <c r="F3372" s="39">
        <f t="shared" si="222"/>
        <v>0</v>
      </c>
      <c r="G3372" s="395"/>
      <c r="H3372" s="395"/>
      <c r="J3372" s="42"/>
    </row>
    <row r="3373" spans="1:10" s="393" customFormat="1" x14ac:dyDescent="0.25">
      <c r="A3373" s="19" t="s">
        <v>21</v>
      </c>
      <c r="B3373" s="2">
        <v>44033</v>
      </c>
      <c r="C3373" s="1">
        <v>2</v>
      </c>
      <c r="D3373" s="39">
        <v>186</v>
      </c>
      <c r="E3373" s="1"/>
      <c r="F3373" s="39">
        <f t="shared" si="222"/>
        <v>0</v>
      </c>
      <c r="G3373" s="395"/>
      <c r="H3373" s="395"/>
      <c r="J3373" s="42"/>
    </row>
    <row r="3374" spans="1:10" s="393" customFormat="1" x14ac:dyDescent="0.25">
      <c r="A3374" s="19" t="s">
        <v>17</v>
      </c>
      <c r="B3374" s="2">
        <v>44033</v>
      </c>
      <c r="C3374" s="1">
        <v>49</v>
      </c>
      <c r="D3374" s="39">
        <v>562</v>
      </c>
      <c r="E3374" s="1"/>
      <c r="F3374" s="39">
        <f t="shared" si="222"/>
        <v>0</v>
      </c>
      <c r="G3374" s="395"/>
      <c r="H3374" s="395"/>
      <c r="J3374" s="42"/>
    </row>
    <row r="3375" spans="1:10" s="393" customFormat="1" x14ac:dyDescent="0.25">
      <c r="A3375" s="19" t="s">
        <v>23</v>
      </c>
      <c r="B3375" s="2">
        <v>44033</v>
      </c>
      <c r="C3375" s="1">
        <v>0</v>
      </c>
      <c r="D3375" s="39">
        <v>49</v>
      </c>
      <c r="E3375" s="1"/>
      <c r="F3375" s="39">
        <f t="shared" si="222"/>
        <v>1</v>
      </c>
      <c r="G3375" s="395"/>
      <c r="H3375" s="395"/>
      <c r="J3375" s="42"/>
    </row>
    <row r="3376" spans="1:10" s="393" customFormat="1" x14ac:dyDescent="0.25">
      <c r="A3376" s="19" t="s">
        <v>19</v>
      </c>
      <c r="B3376" s="2">
        <v>44033</v>
      </c>
      <c r="C3376" s="1">
        <v>26</v>
      </c>
      <c r="D3376" s="39">
        <v>923</v>
      </c>
      <c r="E3376" s="1"/>
      <c r="F3376" s="39">
        <f t="shared" si="222"/>
        <v>1</v>
      </c>
      <c r="G3376" s="395"/>
      <c r="H3376" s="395"/>
      <c r="J3376" s="42"/>
    </row>
    <row r="3377" spans="1:10" s="393" customFormat="1" x14ac:dyDescent="0.25">
      <c r="A3377" s="19" t="s">
        <v>18</v>
      </c>
      <c r="B3377" s="2">
        <v>44033</v>
      </c>
      <c r="C3377" s="1">
        <v>34</v>
      </c>
      <c r="D3377" s="39">
        <v>1375</v>
      </c>
      <c r="E3377" s="1">
        <v>2</v>
      </c>
      <c r="F3377" s="39">
        <f t="shared" si="222"/>
        <v>4</v>
      </c>
      <c r="G3377" s="395"/>
      <c r="H3377" s="395"/>
      <c r="J3377" s="42"/>
    </row>
    <row r="3378" spans="1:10" s="393" customFormat="1" x14ac:dyDescent="0.25">
      <c r="A3378" s="19" t="s">
        <v>34</v>
      </c>
      <c r="B3378" s="2">
        <v>44033</v>
      </c>
      <c r="C3378" s="1">
        <v>5</v>
      </c>
      <c r="D3378" s="39">
        <v>181</v>
      </c>
      <c r="E3378" s="1"/>
      <c r="F3378" s="39">
        <f t="shared" si="222"/>
        <v>9</v>
      </c>
      <c r="G3378" s="395"/>
      <c r="H3378" s="395"/>
      <c r="J3378" s="42"/>
    </row>
    <row r="3379" spans="1:10" s="393" customFormat="1" x14ac:dyDescent="0.25">
      <c r="A3379" s="19" t="s">
        <v>35</v>
      </c>
      <c r="B3379" s="2">
        <v>44033</v>
      </c>
      <c r="C3379" s="1">
        <v>2</v>
      </c>
      <c r="D3379" s="39">
        <v>16</v>
      </c>
      <c r="E3379" s="1"/>
      <c r="F3379" s="39">
        <f>E3379+F3355</f>
        <v>0</v>
      </c>
      <c r="G3379" s="395"/>
      <c r="H3379" s="395"/>
      <c r="J3379" s="42"/>
    </row>
    <row r="3380" spans="1:10" s="393" customFormat="1" x14ac:dyDescent="0.25">
      <c r="A3380" s="19" t="s">
        <v>36</v>
      </c>
      <c r="B3380" s="2">
        <v>44033</v>
      </c>
      <c r="C3380" s="1">
        <v>0</v>
      </c>
      <c r="D3380" s="39">
        <v>15</v>
      </c>
      <c r="E3380" s="1"/>
      <c r="F3380" s="39">
        <f t="shared" si="222"/>
        <v>0</v>
      </c>
      <c r="G3380" s="395"/>
      <c r="H3380" s="395"/>
      <c r="J3380" s="42"/>
    </row>
    <row r="3381" spans="1:10" s="393" customFormat="1" x14ac:dyDescent="0.25">
      <c r="A3381" s="19" t="s">
        <v>37</v>
      </c>
      <c r="B3381" s="2">
        <v>44033</v>
      </c>
      <c r="C3381" s="1">
        <v>16</v>
      </c>
      <c r="D3381" s="39">
        <v>222</v>
      </c>
      <c r="E3381" s="1"/>
      <c r="F3381" s="39">
        <f t="shared" si="222"/>
        <v>0</v>
      </c>
      <c r="G3381" s="395"/>
      <c r="H3381" s="395"/>
      <c r="J3381" s="42"/>
    </row>
    <row r="3382" spans="1:10" s="393" customFormat="1" x14ac:dyDescent="0.25">
      <c r="A3382" s="19" t="s">
        <v>22</v>
      </c>
      <c r="B3382" s="2">
        <v>44033</v>
      </c>
      <c r="C3382" s="1">
        <v>35</v>
      </c>
      <c r="D3382" s="39">
        <v>753</v>
      </c>
      <c r="E3382" s="1"/>
      <c r="F3382" s="39">
        <f>E3382+F3358</f>
        <v>9</v>
      </c>
      <c r="G3382" s="395"/>
      <c r="H3382" s="395"/>
      <c r="J3382" s="42"/>
    </row>
    <row r="3383" spans="1:10" s="393" customFormat="1" x14ac:dyDescent="0.25">
      <c r="A3383" s="19" t="s">
        <v>38</v>
      </c>
      <c r="B3383" s="2">
        <v>44033</v>
      </c>
      <c r="C3383" s="1">
        <v>1</v>
      </c>
      <c r="D3383" s="39">
        <v>39</v>
      </c>
      <c r="E3383" s="1">
        <v>1</v>
      </c>
      <c r="F3383" s="39">
        <f>E3383+F3359</f>
        <v>1</v>
      </c>
      <c r="G3383" s="395"/>
      <c r="H3383" s="395"/>
      <c r="J3383" s="42"/>
    </row>
    <row r="3384" spans="1:10" s="393" customFormat="1" x14ac:dyDescent="0.25">
      <c r="A3384" s="19" t="s">
        <v>39</v>
      </c>
      <c r="B3384" s="2">
        <v>44033</v>
      </c>
      <c r="C3384" s="1">
        <v>9</v>
      </c>
      <c r="D3384" s="39">
        <v>249</v>
      </c>
      <c r="E3384" s="1"/>
      <c r="F3384" s="39">
        <f>E3384+F3360</f>
        <v>1</v>
      </c>
      <c r="G3384" s="395"/>
      <c r="H3384" s="395"/>
      <c r="J3384" s="42"/>
    </row>
    <row r="3385" spans="1:10" s="393" customFormat="1" x14ac:dyDescent="0.25">
      <c r="A3385" s="19" t="s">
        <v>40</v>
      </c>
      <c r="B3385" s="2">
        <v>44033</v>
      </c>
      <c r="C3385" s="1">
        <v>1</v>
      </c>
      <c r="D3385" s="39">
        <v>104</v>
      </c>
      <c r="E3385" s="1"/>
      <c r="F3385" s="39">
        <f>E3385+F3361</f>
        <v>4</v>
      </c>
      <c r="G3385" s="395"/>
      <c r="H3385" s="395"/>
      <c r="J3385" s="42"/>
    </row>
    <row r="3386" spans="1:10" s="393" customFormat="1" x14ac:dyDescent="0.25">
      <c r="A3386" s="394" t="s">
        <v>16</v>
      </c>
      <c r="B3386" s="2">
        <v>44034</v>
      </c>
      <c r="C3386" s="1">
        <v>3801</v>
      </c>
      <c r="D3386" s="39">
        <v>80616</v>
      </c>
      <c r="E3386" s="1">
        <f>9+27+16</f>
        <v>52</v>
      </c>
      <c r="F3386" s="39">
        <f>E3386+F3362</f>
        <v>1277</v>
      </c>
      <c r="G3386" s="395"/>
      <c r="H3386" s="395"/>
      <c r="J3386" s="42"/>
    </row>
    <row r="3387" spans="1:10" s="393" customFormat="1" x14ac:dyDescent="0.25">
      <c r="A3387" s="19" t="s">
        <v>28</v>
      </c>
      <c r="B3387" s="2">
        <v>44034</v>
      </c>
      <c r="C3387" s="1">
        <v>0</v>
      </c>
      <c r="D3387" s="39">
        <v>60</v>
      </c>
      <c r="E3387" s="1"/>
      <c r="F3387" s="39">
        <f t="shared" ref="F3387:F3393" si="223">E3387+F3363</f>
        <v>0</v>
      </c>
      <c r="G3387" s="395"/>
      <c r="H3387" s="395"/>
      <c r="J3387" s="42"/>
    </row>
    <row r="3388" spans="1:10" s="393" customFormat="1" x14ac:dyDescent="0.25">
      <c r="A3388" s="19" t="s">
        <v>15</v>
      </c>
      <c r="B3388" s="2">
        <v>44034</v>
      </c>
      <c r="C3388" s="1">
        <v>73</v>
      </c>
      <c r="D3388" s="39">
        <v>3104</v>
      </c>
      <c r="E3388" s="1">
        <v>3</v>
      </c>
      <c r="F3388" s="39">
        <f t="shared" si="223"/>
        <v>125</v>
      </c>
      <c r="G3388" s="395"/>
      <c r="H3388" s="395"/>
      <c r="J3388" s="42"/>
    </row>
    <row r="3389" spans="1:10" s="393" customFormat="1" x14ac:dyDescent="0.25">
      <c r="A3389" s="19" t="s">
        <v>29</v>
      </c>
      <c r="B3389" s="2">
        <v>44034</v>
      </c>
      <c r="C3389" s="1">
        <v>0</v>
      </c>
      <c r="D3389" s="39">
        <v>254</v>
      </c>
      <c r="E3389" s="1"/>
      <c r="F3389" s="39">
        <f t="shared" si="223"/>
        <v>3</v>
      </c>
      <c r="G3389" s="395"/>
      <c r="H3389" s="395"/>
      <c r="J3389" s="42"/>
    </row>
    <row r="3390" spans="1:10" s="393" customFormat="1" x14ac:dyDescent="0.25">
      <c r="A3390" s="19" t="s">
        <v>43</v>
      </c>
      <c r="B3390" s="2">
        <v>44034</v>
      </c>
      <c r="C3390" s="1">
        <v>1390</v>
      </c>
      <c r="D3390" s="39">
        <v>49533</v>
      </c>
      <c r="E3390" s="1">
        <f>7+18+17</f>
        <v>42</v>
      </c>
      <c r="F3390" s="39">
        <f t="shared" si="223"/>
        <v>964</v>
      </c>
      <c r="G3390" s="395"/>
      <c r="H3390" s="395"/>
      <c r="J3390" s="42"/>
    </row>
    <row r="3391" spans="1:10" s="393" customFormat="1" x14ac:dyDescent="0.25">
      <c r="A3391" s="19" t="s">
        <v>20</v>
      </c>
      <c r="B3391" s="2">
        <v>44034</v>
      </c>
      <c r="C3391" s="1">
        <v>87</v>
      </c>
      <c r="D3391" s="39">
        <v>1467</v>
      </c>
      <c r="E3391" s="1"/>
      <c r="F3391" s="39">
        <f t="shared" si="223"/>
        <v>38</v>
      </c>
      <c r="G3391" s="395"/>
      <c r="H3391" s="395"/>
      <c r="J3391" s="42"/>
    </row>
    <row r="3392" spans="1:10" s="393" customFormat="1" x14ac:dyDescent="0.25">
      <c r="A3392" s="19" t="s">
        <v>30</v>
      </c>
      <c r="B3392" s="2">
        <v>44034</v>
      </c>
      <c r="C3392" s="1">
        <v>0</v>
      </c>
      <c r="D3392" s="39">
        <v>131</v>
      </c>
      <c r="E3392" s="1"/>
      <c r="F3392" s="39">
        <f t="shared" si="223"/>
        <v>1</v>
      </c>
      <c r="G3392" s="395"/>
      <c r="H3392" s="395"/>
      <c r="J3392" s="42"/>
    </row>
    <row r="3393" spans="1:10" x14ac:dyDescent="0.25">
      <c r="A3393" s="19" t="s">
        <v>31</v>
      </c>
      <c r="B3393" s="2">
        <v>44034</v>
      </c>
      <c r="C3393" s="1">
        <v>24</v>
      </c>
      <c r="D3393" s="39">
        <v>679</v>
      </c>
      <c r="F3393" s="39">
        <f t="shared" si="223"/>
        <v>6</v>
      </c>
    </row>
    <row r="3394" spans="1:10" s="393" customFormat="1" x14ac:dyDescent="0.25">
      <c r="A3394" s="19" t="s">
        <v>41</v>
      </c>
      <c r="B3394" s="2">
        <v>44034</v>
      </c>
      <c r="C3394" s="1">
        <v>1</v>
      </c>
      <c r="D3394" s="39">
        <v>79</v>
      </c>
      <c r="E3394" s="1"/>
      <c r="F3394" s="39">
        <f>E3394+F3370</f>
        <v>0</v>
      </c>
      <c r="G3394" s="395"/>
      <c r="H3394" s="395"/>
      <c r="J3394" s="42"/>
    </row>
    <row r="3395" spans="1:10" s="393" customFormat="1" x14ac:dyDescent="0.25">
      <c r="A3395" s="19" t="s">
        <v>32</v>
      </c>
      <c r="B3395" s="2">
        <v>44034</v>
      </c>
      <c r="C3395" s="1">
        <v>155</v>
      </c>
      <c r="D3395" s="39">
        <v>1033</v>
      </c>
      <c r="E3395" s="1"/>
      <c r="F3395" s="39">
        <f t="shared" ref="F3395:F3405" si="224">E3395+F3370</f>
        <v>0</v>
      </c>
      <c r="G3395" s="395"/>
      <c r="H3395" s="395"/>
      <c r="J3395" s="42"/>
    </row>
    <row r="3396" spans="1:10" s="393" customFormat="1" x14ac:dyDescent="0.25">
      <c r="A3396" s="19" t="s">
        <v>33</v>
      </c>
      <c r="B3396" s="2">
        <v>44034</v>
      </c>
      <c r="C3396" s="1">
        <v>0</v>
      </c>
      <c r="D3396" s="39">
        <v>8</v>
      </c>
      <c r="E3396" s="1"/>
      <c r="F3396" s="39">
        <f t="shared" si="224"/>
        <v>30</v>
      </c>
      <c r="G3396" s="395"/>
      <c r="H3396" s="395"/>
      <c r="J3396" s="42"/>
    </row>
    <row r="3397" spans="1:10" s="393" customFormat="1" x14ac:dyDescent="0.25">
      <c r="A3397" s="19" t="s">
        <v>21</v>
      </c>
      <c r="B3397" s="2">
        <v>44034</v>
      </c>
      <c r="C3397" s="1">
        <v>10</v>
      </c>
      <c r="D3397" s="39">
        <v>196</v>
      </c>
      <c r="E3397" s="1"/>
      <c r="F3397" s="39">
        <f t="shared" si="224"/>
        <v>0</v>
      </c>
      <c r="G3397" s="395"/>
      <c r="H3397" s="395"/>
      <c r="J3397" s="42"/>
    </row>
    <row r="3398" spans="1:10" s="393" customFormat="1" x14ac:dyDescent="0.25">
      <c r="A3398" s="19" t="s">
        <v>17</v>
      </c>
      <c r="B3398" s="2">
        <v>44034</v>
      </c>
      <c r="C3398" s="1">
        <v>56</v>
      </c>
      <c r="D3398" s="39">
        <v>618</v>
      </c>
      <c r="E3398" s="1">
        <v>1</v>
      </c>
      <c r="F3398" s="39">
        <f t="shared" si="224"/>
        <v>1</v>
      </c>
      <c r="G3398" s="395"/>
      <c r="H3398" s="395"/>
      <c r="J3398" s="42"/>
    </row>
    <row r="3399" spans="1:10" s="393" customFormat="1" x14ac:dyDescent="0.25">
      <c r="A3399" s="19" t="s">
        <v>23</v>
      </c>
      <c r="B3399" s="2">
        <v>44034</v>
      </c>
      <c r="C3399" s="1">
        <v>0</v>
      </c>
      <c r="D3399" s="39">
        <v>49</v>
      </c>
      <c r="E3399" s="1"/>
      <c r="F3399" s="39">
        <f t="shared" si="224"/>
        <v>0</v>
      </c>
      <c r="G3399" s="395"/>
      <c r="H3399" s="395"/>
      <c r="J3399" s="42"/>
    </row>
    <row r="3400" spans="1:10" s="393" customFormat="1" x14ac:dyDescent="0.25">
      <c r="A3400" s="19" t="s">
        <v>19</v>
      </c>
      <c r="B3400" s="2">
        <v>44034</v>
      </c>
      <c r="C3400" s="1">
        <v>26</v>
      </c>
      <c r="D3400" s="39">
        <v>949</v>
      </c>
      <c r="E3400" s="1"/>
      <c r="F3400" s="39">
        <f t="shared" si="224"/>
        <v>1</v>
      </c>
      <c r="G3400" s="395"/>
      <c r="H3400" s="395"/>
      <c r="J3400" s="42"/>
    </row>
    <row r="3401" spans="1:10" s="393" customFormat="1" x14ac:dyDescent="0.25">
      <c r="A3401" s="19" t="s">
        <v>18</v>
      </c>
      <c r="B3401" s="2">
        <v>44034</v>
      </c>
      <c r="C3401" s="1">
        <v>57</v>
      </c>
      <c r="D3401" s="39">
        <v>1432</v>
      </c>
      <c r="E3401" s="1"/>
      <c r="F3401" s="39">
        <f t="shared" si="224"/>
        <v>1</v>
      </c>
      <c r="G3401" s="395"/>
      <c r="H3401" s="395"/>
      <c r="J3401" s="42"/>
    </row>
    <row r="3402" spans="1:10" s="393" customFormat="1" x14ac:dyDescent="0.25">
      <c r="A3402" s="19" t="s">
        <v>34</v>
      </c>
      <c r="B3402" s="2">
        <v>44034</v>
      </c>
      <c r="C3402" s="1">
        <v>19</v>
      </c>
      <c r="D3402" s="39">
        <v>200</v>
      </c>
      <c r="E3402" s="1"/>
      <c r="F3402" s="39">
        <f t="shared" si="224"/>
        <v>4</v>
      </c>
      <c r="G3402" s="395"/>
      <c r="H3402" s="395"/>
      <c r="J3402" s="42"/>
    </row>
    <row r="3403" spans="1:10" s="393" customFormat="1" x14ac:dyDescent="0.25">
      <c r="A3403" s="19" t="s">
        <v>35</v>
      </c>
      <c r="B3403" s="2">
        <v>44034</v>
      </c>
      <c r="C3403" s="1">
        <v>1</v>
      </c>
      <c r="D3403" s="39">
        <v>17</v>
      </c>
      <c r="E3403" s="1"/>
      <c r="F3403" s="39">
        <f>E3403+F3379</f>
        <v>0</v>
      </c>
      <c r="G3403" s="395"/>
      <c r="H3403" s="395"/>
      <c r="J3403" s="42"/>
    </row>
    <row r="3404" spans="1:10" s="393" customFormat="1" x14ac:dyDescent="0.25">
      <c r="A3404" s="19" t="s">
        <v>36</v>
      </c>
      <c r="B3404" s="2">
        <v>44034</v>
      </c>
      <c r="C3404" s="1">
        <v>2</v>
      </c>
      <c r="D3404" s="39">
        <v>17</v>
      </c>
      <c r="E3404" s="1"/>
      <c r="F3404" s="39">
        <f t="shared" si="224"/>
        <v>0</v>
      </c>
      <c r="G3404" s="395"/>
      <c r="H3404" s="395"/>
      <c r="J3404" s="42"/>
    </row>
    <row r="3405" spans="1:10" s="393" customFormat="1" x14ac:dyDescent="0.25">
      <c r="A3405" s="19" t="s">
        <v>37</v>
      </c>
      <c r="B3405" s="2">
        <v>44034</v>
      </c>
      <c r="C3405" s="1">
        <v>17</v>
      </c>
      <c r="D3405" s="39">
        <v>239</v>
      </c>
      <c r="E3405" s="1"/>
      <c r="F3405" s="39">
        <f t="shared" si="224"/>
        <v>0</v>
      </c>
      <c r="G3405" s="395"/>
      <c r="H3405" s="395"/>
      <c r="J3405" s="42"/>
    </row>
    <row r="3406" spans="1:10" s="393" customFormat="1" x14ac:dyDescent="0.25">
      <c r="A3406" s="19" t="s">
        <v>22</v>
      </c>
      <c r="B3406" s="2">
        <v>44034</v>
      </c>
      <c r="C3406" s="1">
        <v>49</v>
      </c>
      <c r="D3406" s="39">
        <v>802</v>
      </c>
      <c r="E3406" s="1"/>
      <c r="F3406" s="39">
        <f>E3406+F3382</f>
        <v>9</v>
      </c>
      <c r="G3406" s="395"/>
      <c r="H3406" s="395"/>
      <c r="J3406" s="42"/>
    </row>
    <row r="3407" spans="1:10" s="393" customFormat="1" x14ac:dyDescent="0.25">
      <c r="A3407" s="19" t="s">
        <v>38</v>
      </c>
      <c r="B3407" s="2">
        <v>44034</v>
      </c>
      <c r="C3407" s="1">
        <v>1</v>
      </c>
      <c r="D3407" s="39">
        <v>40</v>
      </c>
      <c r="E3407" s="1"/>
      <c r="F3407" s="39">
        <f>E3407+F3383</f>
        <v>1</v>
      </c>
      <c r="G3407" s="395"/>
      <c r="H3407" s="395"/>
      <c r="J3407" s="42"/>
    </row>
    <row r="3408" spans="1:10" s="393" customFormat="1" x14ac:dyDescent="0.25">
      <c r="A3408" s="19" t="s">
        <v>39</v>
      </c>
      <c r="B3408" s="2">
        <v>44034</v>
      </c>
      <c r="C3408" s="1">
        <v>10</v>
      </c>
      <c r="D3408" s="39">
        <v>259</v>
      </c>
      <c r="E3408" s="1"/>
      <c r="F3408" s="39">
        <f>E3408+F3384</f>
        <v>1</v>
      </c>
      <c r="G3408" s="395"/>
      <c r="H3408" s="395"/>
      <c r="J3408" s="42"/>
    </row>
    <row r="3409" spans="1:10" s="393" customFormat="1" x14ac:dyDescent="0.25">
      <c r="A3409" s="19" t="s">
        <v>40</v>
      </c>
      <c r="B3409" s="2">
        <v>44034</v>
      </c>
      <c r="C3409" s="1">
        <v>2</v>
      </c>
      <c r="D3409" s="39">
        <v>106</v>
      </c>
      <c r="E3409" s="1"/>
      <c r="F3409" s="39">
        <f>E3409+F3385</f>
        <v>4</v>
      </c>
      <c r="G3409" s="395"/>
      <c r="H3409" s="395"/>
      <c r="J3409" s="42"/>
    </row>
    <row r="3410" spans="1:10" s="393" customFormat="1" x14ac:dyDescent="0.25">
      <c r="A3410" s="394" t="s">
        <v>16</v>
      </c>
      <c r="B3410" s="2">
        <v>44035</v>
      </c>
      <c r="C3410" s="1">
        <v>4300</v>
      </c>
      <c r="D3410" s="39">
        <v>84916</v>
      </c>
      <c r="E3410" s="1">
        <f>4+6+30+29</f>
        <v>69</v>
      </c>
      <c r="F3410" s="39">
        <f>E3410+F3386</f>
        <v>1346</v>
      </c>
      <c r="G3410" s="395"/>
      <c r="H3410" s="395"/>
      <c r="J3410" s="42"/>
    </row>
    <row r="3411" spans="1:10" s="393" customFormat="1" x14ac:dyDescent="0.25">
      <c r="A3411" s="19" t="s">
        <v>28</v>
      </c>
      <c r="B3411" s="2">
        <v>44035</v>
      </c>
      <c r="C3411" s="1">
        <v>0</v>
      </c>
      <c r="D3411" s="39">
        <v>60</v>
      </c>
      <c r="E3411" s="1"/>
      <c r="F3411" s="39">
        <f t="shared" ref="F3411:F3417" si="225">E3411+F3387</f>
        <v>0</v>
      </c>
      <c r="G3411" s="395"/>
      <c r="H3411" s="395"/>
      <c r="J3411" s="42"/>
    </row>
    <row r="3412" spans="1:10" s="393" customFormat="1" x14ac:dyDescent="0.25">
      <c r="A3412" s="19" t="s">
        <v>15</v>
      </c>
      <c r="B3412" s="2">
        <v>44035</v>
      </c>
      <c r="C3412" s="1">
        <v>51</v>
      </c>
      <c r="D3412" s="39">
        <v>3155</v>
      </c>
      <c r="E3412" s="1">
        <v>3</v>
      </c>
      <c r="F3412" s="39">
        <f t="shared" si="225"/>
        <v>128</v>
      </c>
      <c r="G3412" s="395"/>
      <c r="H3412" s="395"/>
      <c r="J3412" s="42"/>
    </row>
    <row r="3413" spans="1:10" s="393" customFormat="1" x14ac:dyDescent="0.25">
      <c r="A3413" s="19" t="s">
        <v>29</v>
      </c>
      <c r="B3413" s="2">
        <v>44035</v>
      </c>
      <c r="C3413" s="1">
        <v>1</v>
      </c>
      <c r="D3413" s="39">
        <v>255</v>
      </c>
      <c r="E3413" s="1"/>
      <c r="F3413" s="39">
        <f t="shared" si="225"/>
        <v>3</v>
      </c>
      <c r="G3413" s="395"/>
      <c r="H3413" s="395"/>
      <c r="J3413" s="42"/>
    </row>
    <row r="3414" spans="1:10" s="393" customFormat="1" x14ac:dyDescent="0.25">
      <c r="A3414" s="19" t="s">
        <v>43</v>
      </c>
      <c r="B3414" s="2">
        <v>44035</v>
      </c>
      <c r="C3414" s="1">
        <v>1267</v>
      </c>
      <c r="D3414" s="39">
        <v>50800</v>
      </c>
      <c r="E3414" s="1">
        <f>9+8+9+13</f>
        <v>39</v>
      </c>
      <c r="F3414" s="39">
        <f t="shared" si="225"/>
        <v>1003</v>
      </c>
      <c r="G3414" s="395"/>
      <c r="H3414" s="395"/>
      <c r="J3414" s="42"/>
    </row>
    <row r="3415" spans="1:10" s="393" customFormat="1" x14ac:dyDescent="0.25">
      <c r="A3415" s="19" t="s">
        <v>20</v>
      </c>
      <c r="B3415" s="2">
        <v>44035</v>
      </c>
      <c r="C3415" s="1">
        <v>102</v>
      </c>
      <c r="D3415" s="39">
        <v>1569</v>
      </c>
      <c r="E3415" s="1"/>
      <c r="F3415" s="39">
        <f t="shared" si="225"/>
        <v>38</v>
      </c>
      <c r="G3415" s="395"/>
      <c r="H3415" s="395"/>
      <c r="J3415" s="42"/>
    </row>
    <row r="3416" spans="1:10" s="393" customFormat="1" x14ac:dyDescent="0.25">
      <c r="A3416" s="19" t="s">
        <v>30</v>
      </c>
      <c r="B3416" s="2">
        <v>44035</v>
      </c>
      <c r="C3416" s="1">
        <v>1</v>
      </c>
      <c r="D3416" s="39">
        <v>132</v>
      </c>
      <c r="E3416" s="1"/>
      <c r="F3416" s="39">
        <f t="shared" si="225"/>
        <v>1</v>
      </c>
      <c r="G3416" s="395"/>
      <c r="H3416" s="395"/>
      <c r="J3416" s="42"/>
    </row>
    <row r="3417" spans="1:10" x14ac:dyDescent="0.25">
      <c r="A3417" s="19" t="s">
        <v>31</v>
      </c>
      <c r="B3417" s="2">
        <v>44035</v>
      </c>
      <c r="C3417" s="1">
        <v>31</v>
      </c>
      <c r="D3417" s="39">
        <v>710</v>
      </c>
      <c r="F3417" s="39">
        <f t="shared" si="225"/>
        <v>6</v>
      </c>
    </row>
    <row r="3418" spans="1:10" s="393" customFormat="1" x14ac:dyDescent="0.25">
      <c r="A3418" s="19" t="s">
        <v>41</v>
      </c>
      <c r="B3418" s="2">
        <v>44035</v>
      </c>
      <c r="C3418" s="1">
        <v>1</v>
      </c>
      <c r="D3418" s="39">
        <v>80</v>
      </c>
      <c r="E3418" s="1"/>
      <c r="F3418" s="39">
        <f>E3418+F3394</f>
        <v>0</v>
      </c>
      <c r="G3418" s="395"/>
      <c r="H3418" s="395"/>
      <c r="J3418" s="42"/>
    </row>
    <row r="3419" spans="1:10" s="393" customFormat="1" x14ac:dyDescent="0.25">
      <c r="A3419" s="19" t="s">
        <v>32</v>
      </c>
      <c r="B3419" s="2">
        <v>44035</v>
      </c>
      <c r="C3419" s="1">
        <v>158</v>
      </c>
      <c r="D3419" s="39">
        <v>1191</v>
      </c>
      <c r="E3419" s="1"/>
      <c r="F3419" s="39">
        <f t="shared" ref="F3419:F3429" si="226">E3419+F3394</f>
        <v>0</v>
      </c>
      <c r="G3419" s="395"/>
      <c r="H3419" s="395"/>
      <c r="J3419" s="42"/>
    </row>
    <row r="3420" spans="1:10" s="393" customFormat="1" x14ac:dyDescent="0.25">
      <c r="A3420" s="19" t="s">
        <v>33</v>
      </c>
      <c r="B3420" s="2">
        <v>44035</v>
      </c>
      <c r="C3420" s="1">
        <v>0</v>
      </c>
      <c r="D3420" s="39">
        <v>8</v>
      </c>
      <c r="E3420" s="1"/>
      <c r="F3420" s="39">
        <f t="shared" si="226"/>
        <v>0</v>
      </c>
      <c r="G3420" s="395"/>
      <c r="H3420" s="395"/>
      <c r="J3420" s="42"/>
    </row>
    <row r="3421" spans="1:10" s="393" customFormat="1" x14ac:dyDescent="0.25">
      <c r="A3421" s="19" t="s">
        <v>21</v>
      </c>
      <c r="B3421" s="2">
        <v>44035</v>
      </c>
      <c r="C3421" s="1">
        <v>9</v>
      </c>
      <c r="D3421" s="39">
        <v>205</v>
      </c>
      <c r="E3421" s="1"/>
      <c r="F3421" s="39">
        <f t="shared" si="226"/>
        <v>30</v>
      </c>
      <c r="G3421" s="395"/>
      <c r="H3421" s="395"/>
      <c r="J3421" s="42"/>
    </row>
    <row r="3422" spans="1:10" s="393" customFormat="1" x14ac:dyDescent="0.25">
      <c r="A3422" s="19" t="s">
        <v>17</v>
      </c>
      <c r="B3422" s="2">
        <v>44035</v>
      </c>
      <c r="C3422" s="1">
        <v>52</v>
      </c>
      <c r="D3422" s="39">
        <v>670</v>
      </c>
      <c r="E3422" s="1">
        <v>3</v>
      </c>
      <c r="F3422" s="39">
        <f t="shared" si="226"/>
        <v>3</v>
      </c>
      <c r="G3422" s="395"/>
      <c r="H3422" s="395"/>
      <c r="J3422" s="42"/>
    </row>
    <row r="3423" spans="1:10" s="393" customFormat="1" x14ac:dyDescent="0.25">
      <c r="A3423" s="19" t="s">
        <v>23</v>
      </c>
      <c r="B3423" s="2">
        <v>44035</v>
      </c>
      <c r="C3423" s="1">
        <v>2</v>
      </c>
      <c r="D3423" s="39">
        <v>51</v>
      </c>
      <c r="E3423" s="1"/>
      <c r="F3423" s="39">
        <f t="shared" si="226"/>
        <v>1</v>
      </c>
      <c r="G3423" s="395"/>
      <c r="H3423" s="395"/>
      <c r="J3423" s="42"/>
    </row>
    <row r="3424" spans="1:10" s="393" customFormat="1" x14ac:dyDescent="0.25">
      <c r="A3424" s="19" t="s">
        <v>19</v>
      </c>
      <c r="B3424" s="2">
        <v>44035</v>
      </c>
      <c r="C3424" s="1">
        <v>25</v>
      </c>
      <c r="D3424" s="39">
        <v>974</v>
      </c>
      <c r="E3424" s="1"/>
      <c r="F3424" s="39">
        <f t="shared" si="226"/>
        <v>0</v>
      </c>
      <c r="G3424" s="395"/>
      <c r="H3424" s="395"/>
      <c r="J3424" s="42"/>
    </row>
    <row r="3425" spans="1:10" s="393" customFormat="1" x14ac:dyDescent="0.25">
      <c r="A3425" s="19" t="s">
        <v>18</v>
      </c>
      <c r="B3425" s="2">
        <v>44035</v>
      </c>
      <c r="C3425" s="1">
        <v>54</v>
      </c>
      <c r="D3425" s="39">
        <v>1486</v>
      </c>
      <c r="E3425" s="1"/>
      <c r="F3425" s="39">
        <f t="shared" si="226"/>
        <v>1</v>
      </c>
      <c r="G3425" s="395"/>
      <c r="H3425" s="395"/>
      <c r="J3425" s="42"/>
    </row>
    <row r="3426" spans="1:10" s="393" customFormat="1" x14ac:dyDescent="0.25">
      <c r="A3426" s="19" t="s">
        <v>34</v>
      </c>
      <c r="B3426" s="2">
        <v>44035</v>
      </c>
      <c r="C3426" s="1">
        <v>1</v>
      </c>
      <c r="D3426" s="39">
        <v>201</v>
      </c>
      <c r="E3426" s="1"/>
      <c r="F3426" s="39">
        <f t="shared" si="226"/>
        <v>1</v>
      </c>
      <c r="G3426" s="395"/>
      <c r="H3426" s="395"/>
      <c r="J3426" s="42"/>
    </row>
    <row r="3427" spans="1:10" s="393" customFormat="1" x14ac:dyDescent="0.25">
      <c r="A3427" s="19" t="s">
        <v>35</v>
      </c>
      <c r="B3427" s="2">
        <v>44035</v>
      </c>
      <c r="C3427" s="1">
        <v>2</v>
      </c>
      <c r="D3427" s="39">
        <v>19</v>
      </c>
      <c r="E3427" s="1"/>
      <c r="F3427" s="39">
        <f>E3427+F3403</f>
        <v>0</v>
      </c>
      <c r="G3427" s="395"/>
      <c r="H3427" s="395"/>
      <c r="J3427" s="42"/>
    </row>
    <row r="3428" spans="1:10" s="393" customFormat="1" x14ac:dyDescent="0.25">
      <c r="A3428" s="19" t="s">
        <v>36</v>
      </c>
      <c r="B3428" s="2">
        <v>44035</v>
      </c>
      <c r="C3428" s="1">
        <v>1</v>
      </c>
      <c r="D3428" s="39">
        <v>18</v>
      </c>
      <c r="E3428" s="1"/>
      <c r="F3428" s="39">
        <f t="shared" si="226"/>
        <v>0</v>
      </c>
      <c r="G3428" s="395"/>
      <c r="H3428" s="395"/>
      <c r="J3428" s="42"/>
    </row>
    <row r="3429" spans="1:10" s="393" customFormat="1" x14ac:dyDescent="0.25">
      <c r="A3429" s="19" t="s">
        <v>37</v>
      </c>
      <c r="B3429" s="2">
        <v>44035</v>
      </c>
      <c r="C3429" s="1">
        <v>24</v>
      </c>
      <c r="D3429" s="39">
        <v>263</v>
      </c>
      <c r="E3429" s="1"/>
      <c r="F3429" s="39">
        <f t="shared" si="226"/>
        <v>0</v>
      </c>
      <c r="G3429" s="395"/>
      <c r="H3429" s="395"/>
      <c r="J3429" s="42"/>
    </row>
    <row r="3430" spans="1:10" s="393" customFormat="1" x14ac:dyDescent="0.25">
      <c r="A3430" s="19" t="s">
        <v>22</v>
      </c>
      <c r="B3430" s="2">
        <v>44035</v>
      </c>
      <c r="C3430" s="1">
        <v>34</v>
      </c>
      <c r="D3430" s="39">
        <v>836</v>
      </c>
      <c r="E3430" s="1"/>
      <c r="F3430" s="39">
        <f>E3430+F3406</f>
        <v>9</v>
      </c>
      <c r="G3430" s="395"/>
      <c r="H3430" s="395"/>
      <c r="J3430" s="42"/>
    </row>
    <row r="3431" spans="1:10" s="393" customFormat="1" x14ac:dyDescent="0.25">
      <c r="A3431" s="19" t="s">
        <v>38</v>
      </c>
      <c r="B3431" s="2">
        <v>44035</v>
      </c>
      <c r="C3431" s="1">
        <v>4</v>
      </c>
      <c r="D3431" s="39">
        <v>44</v>
      </c>
      <c r="E3431" s="1"/>
      <c r="F3431" s="39">
        <f>E3431+F3407</f>
        <v>1</v>
      </c>
      <c r="G3431" s="395"/>
      <c r="H3431" s="395"/>
      <c r="J3431" s="42"/>
    </row>
    <row r="3432" spans="1:10" s="393" customFormat="1" x14ac:dyDescent="0.25">
      <c r="A3432" s="19" t="s">
        <v>39</v>
      </c>
      <c r="B3432" s="2">
        <v>44035</v>
      </c>
      <c r="C3432" s="1">
        <v>4</v>
      </c>
      <c r="D3432" s="39">
        <v>263</v>
      </c>
      <c r="E3432" s="1"/>
      <c r="F3432" s="39">
        <f>E3432+F3408</f>
        <v>1</v>
      </c>
      <c r="G3432" s="395"/>
      <c r="H3432" s="395"/>
      <c r="J3432" s="42"/>
    </row>
    <row r="3433" spans="1:10" s="393" customFormat="1" x14ac:dyDescent="0.25">
      <c r="A3433" s="19" t="s">
        <v>40</v>
      </c>
      <c r="B3433" s="2">
        <v>44035</v>
      </c>
      <c r="C3433" s="1">
        <v>0</v>
      </c>
      <c r="D3433" s="39">
        <v>106</v>
      </c>
      <c r="E3433" s="1"/>
      <c r="F3433" s="39">
        <f>E3433+F3409</f>
        <v>4</v>
      </c>
      <c r="G3433" s="395"/>
      <c r="H3433" s="395"/>
      <c r="J3433" s="42"/>
    </row>
    <row r="3434" spans="1:10" s="393" customFormat="1" x14ac:dyDescent="0.25">
      <c r="A3434" s="394" t="s">
        <v>16</v>
      </c>
      <c r="B3434" s="2">
        <v>44036</v>
      </c>
      <c r="C3434" s="1">
        <v>3790</v>
      </c>
      <c r="D3434" s="39">
        <v>88706</v>
      </c>
      <c r="E3434" s="1">
        <f>12+32+36</f>
        <v>80</v>
      </c>
      <c r="F3434" s="39">
        <f>E3434+F3410</f>
        <v>1426</v>
      </c>
      <c r="G3434" s="395"/>
      <c r="H3434" s="395"/>
      <c r="J3434" s="42"/>
    </row>
    <row r="3435" spans="1:10" s="393" customFormat="1" x14ac:dyDescent="0.25">
      <c r="A3435" s="19" t="s">
        <v>28</v>
      </c>
      <c r="B3435" s="2">
        <v>44036</v>
      </c>
      <c r="C3435" s="1">
        <v>0</v>
      </c>
      <c r="D3435" s="39">
        <v>60</v>
      </c>
      <c r="E3435" s="1"/>
      <c r="F3435" s="39">
        <f t="shared" ref="F3435:F3441" si="227">E3435+F3411</f>
        <v>0</v>
      </c>
      <c r="G3435" s="395"/>
      <c r="H3435" s="395"/>
      <c r="J3435" s="42"/>
    </row>
    <row r="3436" spans="1:10" s="393" customFormat="1" x14ac:dyDescent="0.25">
      <c r="A3436" s="19" t="s">
        <v>15</v>
      </c>
      <c r="B3436" s="2">
        <v>44036</v>
      </c>
      <c r="C3436" s="1">
        <v>63</v>
      </c>
      <c r="D3436" s="39">
        <v>3218</v>
      </c>
      <c r="E3436" s="1">
        <v>3</v>
      </c>
      <c r="F3436" s="39">
        <f>E3436+F3412</f>
        <v>131</v>
      </c>
      <c r="G3436" s="395"/>
      <c r="H3436" s="395"/>
      <c r="J3436" s="42"/>
    </row>
    <row r="3437" spans="1:10" s="393" customFormat="1" x14ac:dyDescent="0.25">
      <c r="A3437" s="19" t="s">
        <v>29</v>
      </c>
      <c r="B3437" s="2">
        <v>44036</v>
      </c>
      <c r="C3437" s="1">
        <v>6</v>
      </c>
      <c r="D3437" s="39">
        <v>261</v>
      </c>
      <c r="E3437" s="1"/>
      <c r="F3437" s="39">
        <f t="shared" si="227"/>
        <v>3</v>
      </c>
      <c r="G3437" s="395"/>
      <c r="H3437" s="395"/>
      <c r="J3437" s="42"/>
    </row>
    <row r="3438" spans="1:10" s="393" customFormat="1" x14ac:dyDescent="0.25">
      <c r="A3438" s="19" t="s">
        <v>43</v>
      </c>
      <c r="B3438" s="2">
        <v>44036</v>
      </c>
      <c r="C3438" s="1">
        <v>1157</v>
      </c>
      <c r="D3438" s="39">
        <v>51957</v>
      </c>
      <c r="E3438" s="1">
        <f>4+8+7</f>
        <v>19</v>
      </c>
      <c r="F3438" s="39">
        <f t="shared" si="227"/>
        <v>1022</v>
      </c>
      <c r="G3438" s="395"/>
      <c r="H3438" s="395"/>
      <c r="J3438" s="42"/>
    </row>
    <row r="3439" spans="1:10" s="393" customFormat="1" x14ac:dyDescent="0.25">
      <c r="A3439" s="19" t="s">
        <v>20</v>
      </c>
      <c r="B3439" s="2">
        <v>44036</v>
      </c>
      <c r="C3439" s="1">
        <v>56</v>
      </c>
      <c r="D3439" s="39">
        <v>1625</v>
      </c>
      <c r="E3439" s="1">
        <v>1</v>
      </c>
      <c r="F3439" s="39">
        <f t="shared" si="227"/>
        <v>39</v>
      </c>
      <c r="G3439" s="395"/>
      <c r="H3439" s="395"/>
      <c r="J3439" s="42"/>
    </row>
    <row r="3440" spans="1:10" s="393" customFormat="1" x14ac:dyDescent="0.25">
      <c r="A3440" s="19" t="s">
        <v>30</v>
      </c>
      <c r="B3440" s="2">
        <v>44036</v>
      </c>
      <c r="C3440" s="1">
        <v>0</v>
      </c>
      <c r="D3440" s="39">
        <v>132</v>
      </c>
      <c r="E3440" s="1"/>
      <c r="F3440" s="39">
        <f t="shared" si="227"/>
        <v>1</v>
      </c>
      <c r="G3440" s="395"/>
      <c r="H3440" s="395"/>
      <c r="J3440" s="42"/>
    </row>
    <row r="3441" spans="1:10" x14ac:dyDescent="0.25">
      <c r="A3441" s="19" t="s">
        <v>31</v>
      </c>
      <c r="B3441" s="2">
        <v>44036</v>
      </c>
      <c r="C3441" s="1">
        <v>11</v>
      </c>
      <c r="D3441" s="39">
        <v>721</v>
      </c>
      <c r="F3441" s="39">
        <f t="shared" si="227"/>
        <v>6</v>
      </c>
    </row>
    <row r="3442" spans="1:10" s="393" customFormat="1" x14ac:dyDescent="0.25">
      <c r="A3442" s="19" t="s">
        <v>41</v>
      </c>
      <c r="B3442" s="2">
        <v>44036</v>
      </c>
      <c r="C3442" s="1">
        <v>1</v>
      </c>
      <c r="D3442" s="39">
        <v>81</v>
      </c>
      <c r="E3442" s="1"/>
      <c r="F3442" s="39">
        <f>E3442+F3418</f>
        <v>0</v>
      </c>
      <c r="G3442" s="395"/>
      <c r="H3442" s="395"/>
      <c r="J3442" s="42"/>
    </row>
    <row r="3443" spans="1:10" s="393" customFormat="1" x14ac:dyDescent="0.25">
      <c r="A3443" s="19" t="s">
        <v>32</v>
      </c>
      <c r="B3443" s="2">
        <v>44036</v>
      </c>
      <c r="C3443" s="1">
        <v>155</v>
      </c>
      <c r="D3443" s="39">
        <v>1346</v>
      </c>
      <c r="E3443" s="1"/>
      <c r="F3443" s="39">
        <f t="shared" ref="F3443:F3453" si="228">E3443+F3418</f>
        <v>0</v>
      </c>
      <c r="G3443" s="395"/>
      <c r="H3443" s="395"/>
      <c r="J3443" s="42"/>
    </row>
    <row r="3444" spans="1:10" s="393" customFormat="1" x14ac:dyDescent="0.25">
      <c r="A3444" s="19" t="s">
        <v>33</v>
      </c>
      <c r="B3444" s="2">
        <v>44036</v>
      </c>
      <c r="C3444" s="1">
        <v>0</v>
      </c>
      <c r="D3444" s="39">
        <v>8</v>
      </c>
      <c r="E3444" s="1"/>
      <c r="F3444" s="39">
        <f t="shared" si="228"/>
        <v>0</v>
      </c>
      <c r="G3444" s="395"/>
      <c r="H3444" s="395"/>
      <c r="J3444" s="42"/>
    </row>
    <row r="3445" spans="1:10" s="393" customFormat="1" x14ac:dyDescent="0.25">
      <c r="A3445" s="19" t="s">
        <v>21</v>
      </c>
      <c r="B3445" s="2">
        <v>44036</v>
      </c>
      <c r="C3445" s="1">
        <v>10</v>
      </c>
      <c r="D3445" s="39">
        <v>215</v>
      </c>
      <c r="E3445" s="1"/>
      <c r="F3445" s="39">
        <f t="shared" si="228"/>
        <v>0</v>
      </c>
      <c r="G3445" s="395"/>
      <c r="H3445" s="395"/>
      <c r="J3445" s="42"/>
    </row>
    <row r="3446" spans="1:10" s="393" customFormat="1" x14ac:dyDescent="0.25">
      <c r="A3446" s="19" t="s">
        <v>17</v>
      </c>
      <c r="B3446" s="2">
        <v>44036</v>
      </c>
      <c r="C3446" s="1">
        <v>56</v>
      </c>
      <c r="D3446" s="39">
        <v>726</v>
      </c>
      <c r="E3446" s="1">
        <v>1</v>
      </c>
      <c r="F3446" s="39">
        <f t="shared" si="228"/>
        <v>31</v>
      </c>
      <c r="G3446" s="395"/>
      <c r="H3446" s="395"/>
      <c r="J3446" s="42"/>
    </row>
    <row r="3447" spans="1:10" s="393" customFormat="1" x14ac:dyDescent="0.25">
      <c r="A3447" s="19" t="s">
        <v>23</v>
      </c>
      <c r="B3447" s="2">
        <v>44036</v>
      </c>
      <c r="C3447" s="1">
        <v>1</v>
      </c>
      <c r="D3447" s="39">
        <v>52</v>
      </c>
      <c r="E3447" s="1"/>
      <c r="F3447" s="39">
        <f t="shared" si="228"/>
        <v>3</v>
      </c>
      <c r="G3447" s="395"/>
      <c r="H3447" s="395"/>
      <c r="J3447" s="42"/>
    </row>
    <row r="3448" spans="1:10" s="393" customFormat="1" x14ac:dyDescent="0.25">
      <c r="A3448" s="19" t="s">
        <v>19</v>
      </c>
      <c r="B3448" s="2">
        <v>44036</v>
      </c>
      <c r="C3448" s="1">
        <v>18</v>
      </c>
      <c r="D3448" s="39">
        <v>992</v>
      </c>
      <c r="E3448" s="1"/>
      <c r="F3448" s="39">
        <f t="shared" si="228"/>
        <v>1</v>
      </c>
      <c r="G3448" s="395"/>
      <c r="H3448" s="395"/>
      <c r="J3448" s="42"/>
    </row>
    <row r="3449" spans="1:10" s="393" customFormat="1" x14ac:dyDescent="0.25">
      <c r="A3449" s="19" t="s">
        <v>18</v>
      </c>
      <c r="B3449" s="2">
        <v>44036</v>
      </c>
      <c r="C3449" s="1">
        <v>40</v>
      </c>
      <c r="D3449" s="39">
        <v>1526</v>
      </c>
      <c r="E3449" s="1">
        <v>1</v>
      </c>
      <c r="F3449" s="39">
        <f t="shared" si="228"/>
        <v>1</v>
      </c>
      <c r="G3449" s="395"/>
      <c r="H3449" s="395"/>
      <c r="J3449" s="42"/>
    </row>
    <row r="3450" spans="1:10" s="393" customFormat="1" x14ac:dyDescent="0.25">
      <c r="A3450" s="19" t="s">
        <v>34</v>
      </c>
      <c r="B3450" s="2">
        <v>44036</v>
      </c>
      <c r="C3450" s="1">
        <v>13</v>
      </c>
      <c r="D3450" s="39">
        <v>214</v>
      </c>
      <c r="E3450" s="1"/>
      <c r="F3450" s="39">
        <f t="shared" si="228"/>
        <v>1</v>
      </c>
      <c r="G3450" s="395"/>
      <c r="H3450" s="395"/>
      <c r="J3450" s="42"/>
    </row>
    <row r="3451" spans="1:10" s="393" customFormat="1" x14ac:dyDescent="0.25">
      <c r="A3451" s="19" t="s">
        <v>35</v>
      </c>
      <c r="B3451" s="2">
        <v>44036</v>
      </c>
      <c r="C3451" s="1">
        <v>0</v>
      </c>
      <c r="D3451" s="39">
        <v>19</v>
      </c>
      <c r="E3451" s="1"/>
      <c r="F3451" s="39">
        <f>E3451+F3427</f>
        <v>0</v>
      </c>
      <c r="G3451" s="395"/>
      <c r="H3451" s="395"/>
      <c r="J3451" s="42"/>
    </row>
    <row r="3452" spans="1:10" s="393" customFormat="1" x14ac:dyDescent="0.25">
      <c r="A3452" s="19" t="s">
        <v>36</v>
      </c>
      <c r="B3452" s="2">
        <v>44036</v>
      </c>
      <c r="C3452" s="1">
        <v>1</v>
      </c>
      <c r="D3452" s="39">
        <v>19</v>
      </c>
      <c r="E3452" s="1"/>
      <c r="F3452" s="39">
        <f t="shared" si="228"/>
        <v>0</v>
      </c>
      <c r="G3452" s="395"/>
      <c r="H3452" s="395"/>
      <c r="J3452" s="42"/>
    </row>
    <row r="3453" spans="1:10" s="393" customFormat="1" x14ac:dyDescent="0.25">
      <c r="A3453" s="19" t="s">
        <v>37</v>
      </c>
      <c r="B3453" s="2">
        <v>44036</v>
      </c>
      <c r="C3453" s="1">
        <v>38</v>
      </c>
      <c r="D3453" s="39">
        <v>301</v>
      </c>
      <c r="E3453" s="1"/>
      <c r="F3453" s="39">
        <f t="shared" si="228"/>
        <v>0</v>
      </c>
      <c r="G3453" s="395"/>
      <c r="H3453" s="395"/>
      <c r="J3453" s="42"/>
    </row>
    <row r="3454" spans="1:10" s="393" customFormat="1" x14ac:dyDescent="0.25">
      <c r="A3454" s="19" t="s">
        <v>22</v>
      </c>
      <c r="B3454" s="2">
        <v>44036</v>
      </c>
      <c r="C3454" s="1">
        <v>32</v>
      </c>
      <c r="D3454" s="39">
        <v>868</v>
      </c>
      <c r="E3454" s="1"/>
      <c r="F3454" s="39">
        <f>E3454+F3430</f>
        <v>9</v>
      </c>
      <c r="G3454" s="395"/>
      <c r="H3454" s="395"/>
      <c r="J3454" s="42"/>
    </row>
    <row r="3455" spans="1:10" s="393" customFormat="1" x14ac:dyDescent="0.25">
      <c r="A3455" s="19" t="s">
        <v>38</v>
      </c>
      <c r="B3455" s="2">
        <v>44036</v>
      </c>
      <c r="C3455" s="1">
        <v>2</v>
      </c>
      <c r="D3455" s="39">
        <v>46</v>
      </c>
      <c r="E3455" s="1"/>
      <c r="F3455" s="39">
        <f>E3455+F3431</f>
        <v>1</v>
      </c>
      <c r="G3455" s="395"/>
      <c r="H3455" s="395"/>
      <c r="J3455" s="42"/>
    </row>
    <row r="3456" spans="1:10" s="393" customFormat="1" x14ac:dyDescent="0.25">
      <c r="A3456" s="19" t="s">
        <v>39</v>
      </c>
      <c r="B3456" s="2">
        <v>44036</v>
      </c>
      <c r="C3456" s="1">
        <v>37</v>
      </c>
      <c r="D3456" s="39">
        <v>300</v>
      </c>
      <c r="E3456" s="1"/>
      <c r="F3456" s="39">
        <f>E3456+F3432</f>
        <v>1</v>
      </c>
      <c r="G3456" s="395"/>
      <c r="H3456" s="395"/>
      <c r="J3456" s="42"/>
    </row>
    <row r="3457" spans="1:10" s="393" customFormat="1" x14ac:dyDescent="0.25">
      <c r="A3457" s="19" t="s">
        <v>40</v>
      </c>
      <c r="B3457" s="2">
        <v>44036</v>
      </c>
      <c r="C3457" s="1">
        <v>4</v>
      </c>
      <c r="D3457" s="39">
        <v>110</v>
      </c>
      <c r="E3457" s="1"/>
      <c r="F3457" s="39">
        <f>E3457+F3433</f>
        <v>4</v>
      </c>
      <c r="G3457" s="395"/>
      <c r="H3457" s="395"/>
      <c r="J3457" s="42"/>
    </row>
    <row r="3458" spans="1:10" s="393" customFormat="1" x14ac:dyDescent="0.25">
      <c r="A3458" s="394" t="s">
        <v>16</v>
      </c>
      <c r="B3458" s="2">
        <v>44037</v>
      </c>
      <c r="C3458" s="1">
        <v>3250</v>
      </c>
      <c r="D3458" s="39">
        <v>91956</v>
      </c>
      <c r="E3458" s="1">
        <f>34+18+22</f>
        <v>74</v>
      </c>
      <c r="F3458" s="39">
        <f>E3458+F3434</f>
        <v>1500</v>
      </c>
      <c r="G3458" s="395"/>
      <c r="H3458" s="395"/>
      <c r="J3458" s="42"/>
    </row>
    <row r="3459" spans="1:10" s="393" customFormat="1" x14ac:dyDescent="0.25">
      <c r="A3459" s="19" t="s">
        <v>28</v>
      </c>
      <c r="B3459" s="2">
        <v>44037</v>
      </c>
      <c r="C3459" s="1">
        <v>0</v>
      </c>
      <c r="D3459" s="39">
        <v>60</v>
      </c>
      <c r="E3459" s="1"/>
      <c r="F3459" s="39">
        <f t="shared" ref="F3459:F3465" si="229">E3459+F3435</f>
        <v>0</v>
      </c>
      <c r="G3459" s="395"/>
      <c r="H3459" s="395"/>
      <c r="J3459" s="42"/>
    </row>
    <row r="3460" spans="1:10" s="393" customFormat="1" x14ac:dyDescent="0.25">
      <c r="A3460" s="19" t="s">
        <v>15</v>
      </c>
      <c r="B3460" s="2">
        <v>44037</v>
      </c>
      <c r="C3460" s="1">
        <v>42</v>
      </c>
      <c r="D3460" s="39">
        <v>3260</v>
      </c>
      <c r="E3460" s="1">
        <v>2</v>
      </c>
      <c r="F3460" s="39">
        <f t="shared" si="229"/>
        <v>133</v>
      </c>
      <c r="G3460" s="395"/>
      <c r="H3460" s="395"/>
      <c r="J3460" s="42"/>
    </row>
    <row r="3461" spans="1:10" s="393" customFormat="1" x14ac:dyDescent="0.25">
      <c r="A3461" s="19" t="s">
        <v>29</v>
      </c>
      <c r="B3461" s="2">
        <v>44037</v>
      </c>
      <c r="C3461" s="1">
        <v>2</v>
      </c>
      <c r="D3461" s="39">
        <v>263</v>
      </c>
      <c r="E3461" s="1"/>
      <c r="F3461" s="39">
        <f t="shared" si="229"/>
        <v>3</v>
      </c>
      <c r="G3461" s="395"/>
      <c r="H3461" s="395"/>
      <c r="J3461" s="42"/>
    </row>
    <row r="3462" spans="1:10" s="393" customFormat="1" x14ac:dyDescent="0.25">
      <c r="A3462" s="19" t="s">
        <v>43</v>
      </c>
      <c r="B3462" s="2">
        <v>44037</v>
      </c>
      <c r="C3462" s="1">
        <v>1121</v>
      </c>
      <c r="D3462" s="39">
        <v>53078</v>
      </c>
      <c r="E3462" s="1">
        <v>8</v>
      </c>
      <c r="F3462" s="39">
        <f t="shared" si="229"/>
        <v>1030</v>
      </c>
      <c r="G3462" s="395"/>
      <c r="H3462" s="395"/>
      <c r="J3462" s="42"/>
    </row>
    <row r="3463" spans="1:10" s="393" customFormat="1" x14ac:dyDescent="0.25">
      <c r="A3463" s="19" t="s">
        <v>20</v>
      </c>
      <c r="B3463" s="2">
        <v>44037</v>
      </c>
      <c r="C3463" s="1">
        <v>70</v>
      </c>
      <c r="D3463" s="39">
        <v>1695</v>
      </c>
      <c r="E3463" s="1"/>
      <c r="F3463" s="39">
        <f t="shared" si="229"/>
        <v>39</v>
      </c>
      <c r="G3463" s="395"/>
      <c r="H3463" s="395"/>
      <c r="J3463" s="42"/>
    </row>
    <row r="3464" spans="1:10" s="393" customFormat="1" x14ac:dyDescent="0.25">
      <c r="A3464" s="19" t="s">
        <v>30</v>
      </c>
      <c r="B3464" s="2">
        <v>44037</v>
      </c>
      <c r="C3464" s="1">
        <v>5</v>
      </c>
      <c r="D3464" s="39">
        <v>137</v>
      </c>
      <c r="E3464" s="1"/>
      <c r="F3464" s="39">
        <f t="shared" si="229"/>
        <v>1</v>
      </c>
      <c r="G3464" s="395"/>
      <c r="H3464" s="395"/>
      <c r="J3464" s="42"/>
    </row>
    <row r="3465" spans="1:10" x14ac:dyDescent="0.25">
      <c r="A3465" s="19" t="s">
        <v>31</v>
      </c>
      <c r="B3465" s="2">
        <v>44037</v>
      </c>
      <c r="C3465" s="1">
        <v>18</v>
      </c>
      <c r="D3465" s="39">
        <v>739</v>
      </c>
      <c r="F3465" s="39">
        <f t="shared" si="229"/>
        <v>6</v>
      </c>
    </row>
    <row r="3466" spans="1:10" s="393" customFormat="1" x14ac:dyDescent="0.25">
      <c r="A3466" s="19" t="s">
        <v>41</v>
      </c>
      <c r="B3466" s="2">
        <v>44037</v>
      </c>
      <c r="C3466" s="1">
        <v>0</v>
      </c>
      <c r="D3466" s="39">
        <v>81</v>
      </c>
      <c r="E3466" s="1"/>
      <c r="F3466" s="39">
        <f>E3466+F3442</f>
        <v>0</v>
      </c>
      <c r="G3466" s="395"/>
      <c r="H3466" s="395"/>
      <c r="J3466" s="42"/>
    </row>
    <row r="3467" spans="1:10" s="393" customFormat="1" x14ac:dyDescent="0.25">
      <c r="A3467" s="19" t="s">
        <v>32</v>
      </c>
      <c r="B3467" s="2">
        <v>44037</v>
      </c>
      <c r="C3467" s="1">
        <v>36</v>
      </c>
      <c r="D3467" s="39">
        <v>1382</v>
      </c>
      <c r="E3467" s="1"/>
      <c r="F3467" s="39">
        <f t="shared" ref="F3467:F3477" si="230">E3467+F3442</f>
        <v>0</v>
      </c>
      <c r="G3467" s="395"/>
      <c r="H3467" s="395"/>
      <c r="J3467" s="42"/>
    </row>
    <row r="3468" spans="1:10" s="393" customFormat="1" x14ac:dyDescent="0.25">
      <c r="A3468" s="19" t="s">
        <v>33</v>
      </c>
      <c r="B3468" s="2">
        <v>44037</v>
      </c>
      <c r="C3468" s="1">
        <v>25</v>
      </c>
      <c r="D3468" s="39">
        <v>33</v>
      </c>
      <c r="E3468" s="1"/>
      <c r="F3468" s="39">
        <f t="shared" si="230"/>
        <v>0</v>
      </c>
      <c r="G3468" s="395"/>
      <c r="H3468" s="395"/>
      <c r="J3468" s="42"/>
    </row>
    <row r="3469" spans="1:10" s="393" customFormat="1" x14ac:dyDescent="0.25">
      <c r="A3469" s="19" t="s">
        <v>21</v>
      </c>
      <c r="B3469" s="2">
        <v>44037</v>
      </c>
      <c r="C3469" s="1">
        <v>15</v>
      </c>
      <c r="D3469" s="39">
        <v>230</v>
      </c>
      <c r="E3469" s="1"/>
      <c r="F3469" s="39">
        <f t="shared" si="230"/>
        <v>0</v>
      </c>
      <c r="G3469" s="395"/>
      <c r="H3469" s="395"/>
      <c r="J3469" s="42"/>
    </row>
    <row r="3470" spans="1:10" s="393" customFormat="1" x14ac:dyDescent="0.25">
      <c r="A3470" s="19" t="s">
        <v>17</v>
      </c>
      <c r="B3470" s="2">
        <v>44037</v>
      </c>
      <c r="C3470" s="1">
        <v>60</v>
      </c>
      <c r="D3470" s="39">
        <v>786</v>
      </c>
      <c r="E3470" s="1"/>
      <c r="F3470" s="39">
        <f t="shared" si="230"/>
        <v>0</v>
      </c>
      <c r="G3470" s="395"/>
      <c r="H3470" s="395"/>
      <c r="J3470" s="42"/>
    </row>
    <row r="3471" spans="1:10" s="393" customFormat="1" x14ac:dyDescent="0.25">
      <c r="A3471" s="19" t="s">
        <v>23</v>
      </c>
      <c r="B3471" s="2">
        <v>44037</v>
      </c>
      <c r="C3471" s="1">
        <v>3</v>
      </c>
      <c r="D3471" s="39">
        <v>55</v>
      </c>
      <c r="E3471" s="1"/>
      <c r="F3471" s="39">
        <f t="shared" si="230"/>
        <v>31</v>
      </c>
      <c r="G3471" s="395"/>
      <c r="H3471" s="395"/>
      <c r="J3471" s="42"/>
    </row>
    <row r="3472" spans="1:10" s="393" customFormat="1" x14ac:dyDescent="0.25">
      <c r="A3472" s="19" t="s">
        <v>19</v>
      </c>
      <c r="B3472" s="2">
        <v>44037</v>
      </c>
      <c r="C3472" s="1">
        <v>25</v>
      </c>
      <c r="D3472" s="39">
        <v>1017</v>
      </c>
      <c r="E3472" s="1">
        <v>1</v>
      </c>
      <c r="F3472" s="39">
        <f t="shared" si="230"/>
        <v>4</v>
      </c>
      <c r="G3472" s="395"/>
      <c r="H3472" s="395"/>
      <c r="J3472" s="42"/>
    </row>
    <row r="3473" spans="1:10" s="393" customFormat="1" x14ac:dyDescent="0.25">
      <c r="A3473" s="19" t="s">
        <v>18</v>
      </c>
      <c r="B3473" s="2">
        <v>44037</v>
      </c>
      <c r="C3473" s="1">
        <v>28</v>
      </c>
      <c r="D3473" s="39">
        <v>1554</v>
      </c>
      <c r="E3473" s="1"/>
      <c r="F3473" s="39">
        <f t="shared" si="230"/>
        <v>1</v>
      </c>
      <c r="G3473" s="395"/>
      <c r="H3473" s="395"/>
      <c r="J3473" s="42"/>
    </row>
    <row r="3474" spans="1:10" s="393" customFormat="1" x14ac:dyDescent="0.25">
      <c r="A3474" s="19" t="s">
        <v>34</v>
      </c>
      <c r="B3474" s="2">
        <v>44037</v>
      </c>
      <c r="C3474" s="1">
        <v>29</v>
      </c>
      <c r="D3474" s="39">
        <v>243</v>
      </c>
      <c r="E3474" s="1"/>
      <c r="F3474" s="39">
        <f t="shared" si="230"/>
        <v>1</v>
      </c>
      <c r="G3474" s="395"/>
      <c r="H3474" s="395"/>
      <c r="J3474" s="42"/>
    </row>
    <row r="3475" spans="1:10" s="393" customFormat="1" x14ac:dyDescent="0.25">
      <c r="A3475" s="19" t="s">
        <v>35</v>
      </c>
      <c r="B3475" s="2">
        <v>44037</v>
      </c>
      <c r="C3475" s="1">
        <v>0</v>
      </c>
      <c r="D3475" s="39">
        <v>19</v>
      </c>
      <c r="E3475" s="1"/>
      <c r="F3475" s="39">
        <f>E3475+F3451</f>
        <v>0</v>
      </c>
      <c r="G3475" s="395"/>
      <c r="H3475" s="395"/>
      <c r="J3475" s="42"/>
    </row>
    <row r="3476" spans="1:10" s="393" customFormat="1" x14ac:dyDescent="0.25">
      <c r="A3476" s="19" t="s">
        <v>36</v>
      </c>
      <c r="B3476" s="2">
        <v>44037</v>
      </c>
      <c r="C3476" s="1">
        <v>0</v>
      </c>
      <c r="D3476" s="39">
        <v>19</v>
      </c>
      <c r="E3476" s="1"/>
      <c r="F3476" s="39">
        <f t="shared" si="230"/>
        <v>0</v>
      </c>
      <c r="G3476" s="395"/>
      <c r="H3476" s="395"/>
      <c r="J3476" s="42"/>
    </row>
    <row r="3477" spans="1:10" s="393" customFormat="1" x14ac:dyDescent="0.25">
      <c r="A3477" s="19" t="s">
        <v>37</v>
      </c>
      <c r="B3477" s="2">
        <v>44037</v>
      </c>
      <c r="C3477" s="1">
        <v>8</v>
      </c>
      <c r="D3477" s="39">
        <v>309</v>
      </c>
      <c r="E3477" s="1">
        <v>1</v>
      </c>
      <c r="F3477" s="39">
        <f t="shared" si="230"/>
        <v>1</v>
      </c>
      <c r="G3477" s="395"/>
      <c r="H3477" s="395"/>
      <c r="J3477" s="42"/>
    </row>
    <row r="3478" spans="1:10" s="393" customFormat="1" x14ac:dyDescent="0.25">
      <c r="A3478" s="19" t="s">
        <v>22</v>
      </c>
      <c r="B3478" s="2">
        <v>44037</v>
      </c>
      <c r="C3478" s="1">
        <v>30</v>
      </c>
      <c r="D3478" s="39">
        <v>898</v>
      </c>
      <c r="E3478" s="1"/>
      <c r="F3478" s="39">
        <f>E3478+F3454</f>
        <v>9</v>
      </c>
      <c r="G3478" s="395"/>
      <c r="H3478" s="395"/>
      <c r="J3478" s="42"/>
    </row>
    <row r="3479" spans="1:10" s="393" customFormat="1" x14ac:dyDescent="0.25">
      <c r="A3479" s="19" t="s">
        <v>38</v>
      </c>
      <c r="B3479" s="2">
        <v>44037</v>
      </c>
      <c r="C3479" s="1">
        <v>3</v>
      </c>
      <c r="D3479" s="39">
        <v>49</v>
      </c>
      <c r="E3479" s="1"/>
      <c r="F3479" s="39">
        <f>E3479+F3455</f>
        <v>1</v>
      </c>
      <c r="G3479" s="395"/>
      <c r="H3479" s="395"/>
      <c r="J3479" s="42"/>
    </row>
    <row r="3480" spans="1:10" s="393" customFormat="1" x14ac:dyDescent="0.25">
      <c r="A3480" s="19" t="s">
        <v>39</v>
      </c>
      <c r="B3480" s="2">
        <v>44037</v>
      </c>
      <c r="C3480" s="1">
        <v>36</v>
      </c>
      <c r="D3480" s="39">
        <v>336</v>
      </c>
      <c r="E3480" s="1"/>
      <c r="F3480" s="39">
        <f>E3480+F3456</f>
        <v>1</v>
      </c>
      <c r="G3480" s="395"/>
      <c r="H3480" s="395"/>
      <c r="J3480" s="42"/>
    </row>
    <row r="3481" spans="1:10" s="393" customFormat="1" x14ac:dyDescent="0.25">
      <c r="A3481" s="19" t="s">
        <v>40</v>
      </c>
      <c r="B3481" s="2">
        <v>44037</v>
      </c>
      <c r="C3481" s="1">
        <v>8</v>
      </c>
      <c r="D3481" s="39">
        <v>118</v>
      </c>
      <c r="E3481" s="1"/>
      <c r="F3481" s="39">
        <f>E3481+F3457</f>
        <v>4</v>
      </c>
      <c r="G3481" s="395"/>
      <c r="H3481" s="395"/>
      <c r="J3481" s="42"/>
    </row>
    <row r="3482" spans="1:10" s="393" customFormat="1" x14ac:dyDescent="0.25">
      <c r="A3482" s="394" t="s">
        <v>16</v>
      </c>
      <c r="B3482" s="2">
        <v>44038</v>
      </c>
      <c r="C3482" s="1">
        <v>2917</v>
      </c>
      <c r="D3482" s="39">
        <v>94873</v>
      </c>
      <c r="E3482" s="1">
        <v>29</v>
      </c>
      <c r="F3482" s="39">
        <f>E3482+F3458</f>
        <v>1529</v>
      </c>
      <c r="G3482" s="395"/>
      <c r="H3482" s="395"/>
      <c r="J3482" s="42"/>
    </row>
    <row r="3483" spans="1:10" s="393" customFormat="1" x14ac:dyDescent="0.25">
      <c r="A3483" s="19" t="s">
        <v>28</v>
      </c>
      <c r="B3483" s="2">
        <v>44038</v>
      </c>
      <c r="C3483" s="1">
        <v>0</v>
      </c>
      <c r="D3483" s="39">
        <v>60</v>
      </c>
      <c r="E3483" s="1"/>
      <c r="F3483" s="39">
        <f t="shared" ref="F3483:F3489" si="231">E3483+F3459</f>
        <v>0</v>
      </c>
      <c r="G3483" s="395"/>
      <c r="H3483" s="395"/>
      <c r="J3483" s="42"/>
    </row>
    <row r="3484" spans="1:10" s="393" customFormat="1" x14ac:dyDescent="0.25">
      <c r="A3484" s="19" t="s">
        <v>15</v>
      </c>
      <c r="B3484" s="2">
        <v>44038</v>
      </c>
      <c r="C3484" s="1">
        <v>66</v>
      </c>
      <c r="D3484" s="39">
        <v>3326</v>
      </c>
      <c r="E3484" s="1"/>
      <c r="F3484" s="39">
        <f t="shared" si="231"/>
        <v>133</v>
      </c>
      <c r="G3484" s="395"/>
      <c r="H3484" s="395"/>
      <c r="J3484" s="42"/>
    </row>
    <row r="3485" spans="1:10" s="393" customFormat="1" x14ac:dyDescent="0.25">
      <c r="A3485" s="19" t="s">
        <v>29</v>
      </c>
      <c r="B3485" s="2">
        <v>44038</v>
      </c>
      <c r="C3485" s="1">
        <v>2</v>
      </c>
      <c r="D3485" s="39">
        <v>265</v>
      </c>
      <c r="E3485" s="1"/>
      <c r="F3485" s="39">
        <f t="shared" si="231"/>
        <v>3</v>
      </c>
      <c r="G3485" s="395"/>
      <c r="H3485" s="395"/>
      <c r="J3485" s="42"/>
    </row>
    <row r="3486" spans="1:10" s="393" customFormat="1" x14ac:dyDescent="0.25">
      <c r="A3486" s="19" t="s">
        <v>43</v>
      </c>
      <c r="B3486" s="2">
        <v>44038</v>
      </c>
      <c r="C3486" s="1">
        <v>888</v>
      </c>
      <c r="D3486" s="39">
        <v>53966</v>
      </c>
      <c r="E3486" s="1">
        <v>12</v>
      </c>
      <c r="F3486" s="39">
        <f t="shared" si="231"/>
        <v>1042</v>
      </c>
      <c r="G3486" s="395"/>
      <c r="H3486" s="395"/>
      <c r="J3486" s="42"/>
    </row>
    <row r="3487" spans="1:10" s="393" customFormat="1" x14ac:dyDescent="0.25">
      <c r="A3487" s="19" t="s">
        <v>20</v>
      </c>
      <c r="B3487" s="2">
        <v>44038</v>
      </c>
      <c r="C3487" s="1">
        <v>80</v>
      </c>
      <c r="D3487" s="39">
        <v>1775</v>
      </c>
      <c r="E3487" s="1">
        <v>1</v>
      </c>
      <c r="F3487" s="39">
        <f t="shared" si="231"/>
        <v>40</v>
      </c>
      <c r="G3487" s="395"/>
      <c r="H3487" s="395"/>
      <c r="J3487" s="42"/>
    </row>
    <row r="3488" spans="1:10" s="393" customFormat="1" x14ac:dyDescent="0.25">
      <c r="A3488" s="19" t="s">
        <v>30</v>
      </c>
      <c r="B3488" s="2">
        <v>44038</v>
      </c>
      <c r="C3488" s="1">
        <v>2</v>
      </c>
      <c r="D3488" s="39">
        <v>139</v>
      </c>
      <c r="E3488" s="1"/>
      <c r="F3488" s="39">
        <f t="shared" si="231"/>
        <v>1</v>
      </c>
      <c r="G3488" s="395"/>
      <c r="H3488" s="395"/>
      <c r="J3488" s="42"/>
    </row>
    <row r="3489" spans="1:10" x14ac:dyDescent="0.25">
      <c r="A3489" s="19" t="s">
        <v>31</v>
      </c>
      <c r="B3489" s="2">
        <v>44038</v>
      </c>
      <c r="C3489" s="1">
        <v>21</v>
      </c>
      <c r="D3489" s="39">
        <v>760</v>
      </c>
      <c r="F3489" s="39">
        <f t="shared" si="231"/>
        <v>6</v>
      </c>
    </row>
    <row r="3490" spans="1:10" s="393" customFormat="1" x14ac:dyDescent="0.25">
      <c r="A3490" s="19" t="s">
        <v>41</v>
      </c>
      <c r="B3490" s="2">
        <v>44038</v>
      </c>
      <c r="C3490" s="1">
        <v>0</v>
      </c>
      <c r="D3490" s="39">
        <v>81</v>
      </c>
      <c r="E3490" s="1"/>
      <c r="F3490" s="39">
        <f>E3490+F3466</f>
        <v>0</v>
      </c>
      <c r="G3490" s="395"/>
      <c r="H3490" s="395"/>
      <c r="J3490" s="42"/>
    </row>
    <row r="3491" spans="1:10" s="393" customFormat="1" x14ac:dyDescent="0.25">
      <c r="A3491" s="19" t="s">
        <v>32</v>
      </c>
      <c r="B3491" s="2">
        <v>44038</v>
      </c>
      <c r="C3491" s="1">
        <v>46</v>
      </c>
      <c r="D3491" s="39">
        <v>1428</v>
      </c>
      <c r="E3491" s="1"/>
      <c r="F3491" s="39">
        <f t="shared" ref="F3491:F3501" si="232">E3491+F3466</f>
        <v>0</v>
      </c>
      <c r="G3491" s="395"/>
      <c r="H3491" s="395"/>
      <c r="J3491" s="42"/>
    </row>
    <row r="3492" spans="1:10" s="393" customFormat="1" x14ac:dyDescent="0.25">
      <c r="A3492" s="19" t="s">
        <v>33</v>
      </c>
      <c r="B3492" s="2">
        <v>44038</v>
      </c>
      <c r="C3492" s="1">
        <v>7</v>
      </c>
      <c r="D3492" s="39">
        <v>40</v>
      </c>
      <c r="E3492" s="1"/>
      <c r="F3492" s="39">
        <f t="shared" si="232"/>
        <v>0</v>
      </c>
      <c r="G3492" s="395"/>
      <c r="H3492" s="395"/>
      <c r="J3492" s="42"/>
    </row>
    <row r="3493" spans="1:10" s="393" customFormat="1" x14ac:dyDescent="0.25">
      <c r="A3493" s="19" t="s">
        <v>21</v>
      </c>
      <c r="B3493" s="2">
        <v>44038</v>
      </c>
      <c r="C3493" s="1">
        <v>9</v>
      </c>
      <c r="D3493" s="39">
        <v>239</v>
      </c>
      <c r="E3493" s="1"/>
      <c r="F3493" s="39">
        <f t="shared" si="232"/>
        <v>0</v>
      </c>
      <c r="G3493" s="395"/>
      <c r="H3493" s="395"/>
      <c r="J3493" s="42"/>
    </row>
    <row r="3494" spans="1:10" s="393" customFormat="1" x14ac:dyDescent="0.25">
      <c r="A3494" s="19" t="s">
        <v>17</v>
      </c>
      <c r="B3494" s="2">
        <v>44038</v>
      </c>
      <c r="C3494" s="1">
        <v>31</v>
      </c>
      <c r="D3494" s="39">
        <v>817</v>
      </c>
      <c r="E3494" s="1">
        <v>3</v>
      </c>
      <c r="F3494" s="39">
        <f t="shared" si="232"/>
        <v>3</v>
      </c>
      <c r="G3494" s="395"/>
      <c r="H3494" s="395"/>
      <c r="J3494" s="42"/>
    </row>
    <row r="3495" spans="1:10" s="393" customFormat="1" x14ac:dyDescent="0.25">
      <c r="A3495" s="19" t="s">
        <v>23</v>
      </c>
      <c r="B3495" s="2">
        <v>44038</v>
      </c>
      <c r="C3495" s="1">
        <v>2</v>
      </c>
      <c r="D3495" s="39">
        <v>57</v>
      </c>
      <c r="E3495" s="1"/>
      <c r="F3495" s="39">
        <f t="shared" si="232"/>
        <v>0</v>
      </c>
      <c r="G3495" s="395"/>
      <c r="H3495" s="395"/>
      <c r="J3495" s="42"/>
    </row>
    <row r="3496" spans="1:10" s="393" customFormat="1" x14ac:dyDescent="0.25">
      <c r="A3496" s="19" t="s">
        <v>19</v>
      </c>
      <c r="B3496" s="2">
        <v>44038</v>
      </c>
      <c r="C3496" s="1">
        <v>25</v>
      </c>
      <c r="D3496" s="39">
        <v>1042</v>
      </c>
      <c r="E3496" s="1"/>
      <c r="F3496" s="39">
        <f t="shared" si="232"/>
        <v>31</v>
      </c>
      <c r="G3496" s="395"/>
      <c r="H3496" s="395"/>
      <c r="J3496" s="42"/>
    </row>
    <row r="3497" spans="1:10" s="393" customFormat="1" x14ac:dyDescent="0.25">
      <c r="A3497" s="19" t="s">
        <v>18</v>
      </c>
      <c r="B3497" s="2">
        <v>44038</v>
      </c>
      <c r="C3497" s="1">
        <v>18</v>
      </c>
      <c r="D3497" s="39">
        <v>1572</v>
      </c>
      <c r="E3497" s="1"/>
      <c r="F3497" s="39">
        <f t="shared" si="232"/>
        <v>4</v>
      </c>
      <c r="G3497" s="395"/>
      <c r="H3497" s="395"/>
      <c r="J3497" s="42"/>
    </row>
    <row r="3498" spans="1:10" s="393" customFormat="1" x14ac:dyDescent="0.25">
      <c r="A3498" s="19" t="s">
        <v>34</v>
      </c>
      <c r="B3498" s="2">
        <v>44038</v>
      </c>
      <c r="C3498" s="1">
        <v>0</v>
      </c>
      <c r="D3498" s="39">
        <v>243</v>
      </c>
      <c r="E3498" s="1"/>
      <c r="F3498" s="39">
        <f t="shared" si="232"/>
        <v>1</v>
      </c>
      <c r="G3498" s="395"/>
      <c r="H3498" s="395"/>
      <c r="J3498" s="42"/>
    </row>
    <row r="3499" spans="1:10" s="393" customFormat="1" x14ac:dyDescent="0.25">
      <c r="A3499" s="19" t="s">
        <v>35</v>
      </c>
      <c r="B3499" s="2">
        <v>44038</v>
      </c>
      <c r="C3499" s="1">
        <v>2</v>
      </c>
      <c r="D3499" s="39">
        <v>21</v>
      </c>
      <c r="E3499" s="1"/>
      <c r="F3499" s="39">
        <f>E3499+F3475</f>
        <v>0</v>
      </c>
      <c r="G3499" s="395"/>
      <c r="H3499" s="395"/>
      <c r="J3499" s="42"/>
    </row>
    <row r="3500" spans="1:10" s="393" customFormat="1" x14ac:dyDescent="0.25">
      <c r="A3500" s="19" t="s">
        <v>36</v>
      </c>
      <c r="B3500" s="2">
        <v>44038</v>
      </c>
      <c r="C3500" s="1">
        <v>0</v>
      </c>
      <c r="D3500" s="39">
        <v>19</v>
      </c>
      <c r="E3500" s="1"/>
      <c r="F3500" s="39">
        <f t="shared" si="232"/>
        <v>0</v>
      </c>
      <c r="G3500" s="395"/>
      <c r="H3500" s="395"/>
      <c r="J3500" s="42"/>
    </row>
    <row r="3501" spans="1:10" s="393" customFormat="1" x14ac:dyDescent="0.25">
      <c r="A3501" s="19" t="s">
        <v>37</v>
      </c>
      <c r="B3501" s="2">
        <v>44038</v>
      </c>
      <c r="C3501" s="1">
        <v>20</v>
      </c>
      <c r="D3501" s="39">
        <v>329</v>
      </c>
      <c r="E3501" s="1"/>
      <c r="F3501" s="39">
        <f t="shared" si="232"/>
        <v>0</v>
      </c>
      <c r="G3501" s="395"/>
      <c r="H3501" s="395"/>
      <c r="J3501" s="42"/>
    </row>
    <row r="3502" spans="1:10" s="393" customFormat="1" x14ac:dyDescent="0.25">
      <c r="A3502" s="19" t="s">
        <v>22</v>
      </c>
      <c r="B3502" s="2">
        <v>44038</v>
      </c>
      <c r="C3502" s="1">
        <v>41</v>
      </c>
      <c r="D3502" s="39">
        <v>939</v>
      </c>
      <c r="E3502" s="1"/>
      <c r="F3502" s="39">
        <f>E3502+F3478</f>
        <v>9</v>
      </c>
      <c r="G3502" s="395"/>
      <c r="H3502" s="395"/>
      <c r="J3502" s="42"/>
    </row>
    <row r="3503" spans="1:10" s="393" customFormat="1" x14ac:dyDescent="0.25">
      <c r="A3503" s="19" t="s">
        <v>38</v>
      </c>
      <c r="B3503" s="2">
        <v>44038</v>
      </c>
      <c r="C3503" s="1">
        <v>1</v>
      </c>
      <c r="D3503" s="39">
        <v>50</v>
      </c>
      <c r="E3503" s="1"/>
      <c r="F3503" s="39">
        <f>E3503+F3479</f>
        <v>1</v>
      </c>
      <c r="G3503" s="395"/>
      <c r="H3503" s="395"/>
      <c r="J3503" s="42"/>
    </row>
    <row r="3504" spans="1:10" s="393" customFormat="1" x14ac:dyDescent="0.25">
      <c r="A3504" s="19" t="s">
        <v>39</v>
      </c>
      <c r="B3504" s="2">
        <v>44038</v>
      </c>
      <c r="C3504" s="1">
        <v>6</v>
      </c>
      <c r="D3504" s="39">
        <v>342</v>
      </c>
      <c r="E3504" s="1"/>
      <c r="F3504" s="39">
        <f>E3504+F3480</f>
        <v>1</v>
      </c>
      <c r="G3504" s="395"/>
      <c r="H3504" s="395"/>
      <c r="J3504" s="42"/>
    </row>
    <row r="3505" spans="1:10" s="393" customFormat="1" x14ac:dyDescent="0.25">
      <c r="A3505" s="19" t="s">
        <v>40</v>
      </c>
      <c r="B3505" s="2">
        <v>44038</v>
      </c>
      <c r="C3505" s="1">
        <v>8</v>
      </c>
      <c r="D3505" s="39">
        <v>126</v>
      </c>
      <c r="E3505" s="1"/>
      <c r="F3505" s="39">
        <f>E3505+F3481</f>
        <v>4</v>
      </c>
      <c r="G3505" s="395"/>
      <c r="H3505" s="395"/>
      <c r="J3505" s="42"/>
    </row>
    <row r="3506" spans="1:10" s="393" customFormat="1" x14ac:dyDescent="0.25">
      <c r="A3506" s="394" t="s">
        <v>16</v>
      </c>
      <c r="B3506" s="2">
        <v>44039</v>
      </c>
      <c r="C3506" s="1">
        <v>3351</v>
      </c>
      <c r="D3506" s="39">
        <v>98224</v>
      </c>
      <c r="E3506" s="1">
        <f>4+3+26+26</f>
        <v>59</v>
      </c>
      <c r="F3506" s="39">
        <f>E3506+F3482</f>
        <v>1588</v>
      </c>
      <c r="G3506" s="395"/>
      <c r="H3506" s="395"/>
      <c r="J3506" s="42"/>
    </row>
    <row r="3507" spans="1:10" s="393" customFormat="1" x14ac:dyDescent="0.25">
      <c r="A3507" s="19" t="s">
        <v>28</v>
      </c>
      <c r="B3507" s="2">
        <v>44039</v>
      </c>
      <c r="C3507" s="1">
        <v>0</v>
      </c>
      <c r="D3507" s="39">
        <v>60</v>
      </c>
      <c r="E3507" s="1"/>
      <c r="F3507" s="39">
        <f t="shared" ref="F3507:F3513" si="233">E3507+F3483</f>
        <v>0</v>
      </c>
      <c r="G3507" s="395"/>
      <c r="H3507" s="395"/>
      <c r="J3507" s="42"/>
    </row>
    <row r="3508" spans="1:10" s="393" customFormat="1" x14ac:dyDescent="0.25">
      <c r="A3508" s="19" t="s">
        <v>15</v>
      </c>
      <c r="B3508" s="2">
        <v>44039</v>
      </c>
      <c r="C3508" s="1">
        <v>32</v>
      </c>
      <c r="D3508" s="39">
        <v>3358</v>
      </c>
      <c r="E3508" s="1">
        <v>3</v>
      </c>
      <c r="F3508" s="39">
        <f t="shared" si="233"/>
        <v>136</v>
      </c>
      <c r="G3508" s="395"/>
      <c r="H3508" s="395"/>
      <c r="J3508" s="42"/>
    </row>
    <row r="3509" spans="1:10" s="393" customFormat="1" x14ac:dyDescent="0.25">
      <c r="A3509" s="19" t="s">
        <v>29</v>
      </c>
      <c r="B3509" s="2">
        <v>44039</v>
      </c>
      <c r="C3509" s="1">
        <v>-1</v>
      </c>
      <c r="D3509" s="39">
        <v>264</v>
      </c>
      <c r="E3509" s="1"/>
      <c r="F3509" s="39">
        <f t="shared" si="233"/>
        <v>3</v>
      </c>
      <c r="G3509" s="395"/>
      <c r="H3509" s="395"/>
      <c r="J3509" s="42"/>
    </row>
    <row r="3510" spans="1:10" s="393" customFormat="1" x14ac:dyDescent="0.25">
      <c r="A3510" s="19" t="s">
        <v>43</v>
      </c>
      <c r="B3510" s="2">
        <v>44039</v>
      </c>
      <c r="C3510" s="1">
        <v>1059</v>
      </c>
      <c r="D3510" s="39">
        <v>55025</v>
      </c>
      <c r="E3510" s="1">
        <v>54</v>
      </c>
      <c r="F3510" s="39">
        <f>E3510+F3486</f>
        <v>1096</v>
      </c>
      <c r="G3510" s="395"/>
      <c r="H3510" s="395"/>
      <c r="J3510" s="42"/>
    </row>
    <row r="3511" spans="1:10" s="393" customFormat="1" x14ac:dyDescent="0.25">
      <c r="A3511" s="19" t="s">
        <v>20</v>
      </c>
      <c r="B3511" s="2">
        <v>44039</v>
      </c>
      <c r="C3511" s="1">
        <v>99</v>
      </c>
      <c r="D3511" s="39">
        <v>1874</v>
      </c>
      <c r="E3511" s="1"/>
      <c r="F3511" s="39">
        <f t="shared" si="233"/>
        <v>40</v>
      </c>
      <c r="G3511" s="395"/>
      <c r="H3511" s="395"/>
      <c r="J3511" s="42"/>
    </row>
    <row r="3512" spans="1:10" s="393" customFormat="1" x14ac:dyDescent="0.25">
      <c r="A3512" s="19" t="s">
        <v>30</v>
      </c>
      <c r="B3512" s="2">
        <v>44039</v>
      </c>
      <c r="C3512" s="1">
        <v>14</v>
      </c>
      <c r="D3512" s="39">
        <v>153</v>
      </c>
      <c r="E3512" s="1"/>
      <c r="F3512" s="39">
        <f t="shared" si="233"/>
        <v>1</v>
      </c>
      <c r="G3512" s="395"/>
      <c r="H3512" s="395"/>
      <c r="J3512" s="42"/>
    </row>
    <row r="3513" spans="1:10" x14ac:dyDescent="0.25">
      <c r="A3513" s="19" t="s">
        <v>31</v>
      </c>
      <c r="B3513" s="2">
        <v>44039</v>
      </c>
      <c r="C3513" s="1">
        <v>4</v>
      </c>
      <c r="D3513" s="39">
        <v>764</v>
      </c>
      <c r="E3513" s="1">
        <v>1</v>
      </c>
      <c r="F3513" s="39">
        <f t="shared" si="233"/>
        <v>7</v>
      </c>
    </row>
    <row r="3514" spans="1:10" s="393" customFormat="1" x14ac:dyDescent="0.25">
      <c r="A3514" s="19" t="s">
        <v>41</v>
      </c>
      <c r="B3514" s="2">
        <v>44039</v>
      </c>
      <c r="C3514" s="1">
        <v>0</v>
      </c>
      <c r="D3514" s="39">
        <v>81</v>
      </c>
      <c r="E3514" s="1"/>
      <c r="F3514" s="39">
        <f>E3514+F3490</f>
        <v>0</v>
      </c>
      <c r="G3514" s="395"/>
      <c r="H3514" s="395"/>
      <c r="J3514" s="42"/>
    </row>
    <row r="3515" spans="1:10" s="393" customFormat="1" x14ac:dyDescent="0.25">
      <c r="A3515" s="19" t="s">
        <v>32</v>
      </c>
      <c r="B3515" s="2">
        <v>44039</v>
      </c>
      <c r="C3515" s="1">
        <v>92</v>
      </c>
      <c r="D3515" s="39">
        <v>1520</v>
      </c>
      <c r="E3515" s="1"/>
      <c r="F3515" s="39">
        <f t="shared" ref="F3515:F3525" si="234">E3515+F3490</f>
        <v>0</v>
      </c>
      <c r="G3515" s="395"/>
      <c r="H3515" s="395"/>
      <c r="J3515" s="42"/>
    </row>
    <row r="3516" spans="1:10" s="393" customFormat="1" x14ac:dyDescent="0.25">
      <c r="A3516" s="19" t="s">
        <v>33</v>
      </c>
      <c r="B3516" s="2">
        <v>44039</v>
      </c>
      <c r="C3516" s="1">
        <v>10</v>
      </c>
      <c r="D3516" s="39">
        <v>50</v>
      </c>
      <c r="E3516" s="1"/>
      <c r="F3516" s="39">
        <f t="shared" si="234"/>
        <v>0</v>
      </c>
      <c r="G3516" s="395"/>
      <c r="H3516" s="395"/>
      <c r="J3516" s="42"/>
    </row>
    <row r="3517" spans="1:10" s="393" customFormat="1" x14ac:dyDescent="0.25">
      <c r="A3517" s="19" t="s">
        <v>21</v>
      </c>
      <c r="B3517" s="2">
        <v>44039</v>
      </c>
      <c r="C3517" s="1">
        <v>10</v>
      </c>
      <c r="D3517" s="39">
        <v>249</v>
      </c>
      <c r="E3517" s="1">
        <v>1</v>
      </c>
      <c r="F3517" s="39">
        <f t="shared" si="234"/>
        <v>1</v>
      </c>
      <c r="G3517" s="395"/>
      <c r="H3517" s="395"/>
      <c r="J3517" s="42"/>
    </row>
    <row r="3518" spans="1:10" s="393" customFormat="1" x14ac:dyDescent="0.25">
      <c r="A3518" s="19" t="s">
        <v>17</v>
      </c>
      <c r="B3518" s="2">
        <v>44039</v>
      </c>
      <c r="C3518" s="1">
        <v>61</v>
      </c>
      <c r="D3518" s="39">
        <v>878</v>
      </c>
      <c r="E3518" s="1"/>
      <c r="F3518" s="39">
        <f t="shared" si="234"/>
        <v>0</v>
      </c>
      <c r="G3518" s="395"/>
      <c r="H3518" s="395"/>
      <c r="J3518" s="42"/>
    </row>
    <row r="3519" spans="1:10" s="393" customFormat="1" x14ac:dyDescent="0.25">
      <c r="A3519" s="19" t="s">
        <v>23</v>
      </c>
      <c r="B3519" s="2">
        <v>44039</v>
      </c>
      <c r="C3519" s="1">
        <v>-1</v>
      </c>
      <c r="D3519" s="39">
        <v>56</v>
      </c>
      <c r="E3519" s="1"/>
      <c r="F3519" s="39">
        <f t="shared" si="234"/>
        <v>3</v>
      </c>
      <c r="G3519" s="395"/>
      <c r="H3519" s="395"/>
      <c r="J3519" s="42"/>
    </row>
    <row r="3520" spans="1:10" s="393" customFormat="1" x14ac:dyDescent="0.25">
      <c r="A3520" s="19" t="s">
        <v>19</v>
      </c>
      <c r="B3520" s="2">
        <v>44039</v>
      </c>
      <c r="C3520" s="1">
        <v>23</v>
      </c>
      <c r="D3520" s="39">
        <v>1065</v>
      </c>
      <c r="E3520" s="1"/>
      <c r="F3520" s="39">
        <f t="shared" si="234"/>
        <v>0</v>
      </c>
      <c r="G3520" s="395"/>
      <c r="H3520" s="395"/>
      <c r="J3520" s="42"/>
    </row>
    <row r="3521" spans="1:10" s="393" customFormat="1" x14ac:dyDescent="0.25">
      <c r="A3521" s="19" t="s">
        <v>18</v>
      </c>
      <c r="B3521" s="2">
        <v>44039</v>
      </c>
      <c r="C3521" s="1">
        <v>62</v>
      </c>
      <c r="D3521" s="39">
        <v>1634</v>
      </c>
      <c r="E3521" s="1">
        <v>1</v>
      </c>
      <c r="F3521" s="39">
        <f t="shared" si="234"/>
        <v>32</v>
      </c>
      <c r="G3521" s="395"/>
      <c r="H3521" s="395"/>
      <c r="J3521" s="42"/>
    </row>
    <row r="3522" spans="1:10" s="393" customFormat="1" x14ac:dyDescent="0.25">
      <c r="A3522" s="19" t="s">
        <v>34</v>
      </c>
      <c r="B3522" s="2">
        <v>44039</v>
      </c>
      <c r="C3522" s="1">
        <v>-15</v>
      </c>
      <c r="D3522" s="39">
        <v>228</v>
      </c>
      <c r="E3522" s="1"/>
      <c r="F3522" s="39">
        <f t="shared" si="234"/>
        <v>4</v>
      </c>
      <c r="G3522" s="395"/>
      <c r="H3522" s="395"/>
      <c r="J3522" s="42"/>
    </row>
    <row r="3523" spans="1:10" s="393" customFormat="1" x14ac:dyDescent="0.25">
      <c r="A3523" s="19" t="s">
        <v>35</v>
      </c>
      <c r="B3523" s="2">
        <v>44039</v>
      </c>
      <c r="C3523" s="1">
        <v>1</v>
      </c>
      <c r="D3523" s="39">
        <v>22</v>
      </c>
      <c r="E3523" s="1"/>
      <c r="F3523" s="39">
        <f>E3523+F3499</f>
        <v>0</v>
      </c>
      <c r="G3523" s="395"/>
      <c r="H3523" s="395"/>
      <c r="J3523" s="42"/>
    </row>
    <row r="3524" spans="1:10" s="393" customFormat="1" x14ac:dyDescent="0.25">
      <c r="A3524" s="19" t="s">
        <v>36</v>
      </c>
      <c r="B3524" s="2">
        <v>44039</v>
      </c>
      <c r="C3524" s="1">
        <v>1</v>
      </c>
      <c r="D3524" s="39">
        <v>20</v>
      </c>
      <c r="E3524" s="1"/>
      <c r="F3524" s="39">
        <f t="shared" si="234"/>
        <v>0</v>
      </c>
      <c r="G3524" s="395"/>
      <c r="H3524" s="395"/>
      <c r="J3524" s="42"/>
    </row>
    <row r="3525" spans="1:10" s="393" customFormat="1" x14ac:dyDescent="0.25">
      <c r="A3525" s="19" t="s">
        <v>37</v>
      </c>
      <c r="B3525" s="2">
        <v>44039</v>
      </c>
      <c r="C3525" s="1">
        <v>15</v>
      </c>
      <c r="D3525" s="39">
        <v>344</v>
      </c>
      <c r="E3525" s="1"/>
      <c r="F3525" s="39">
        <f t="shared" si="234"/>
        <v>0</v>
      </c>
      <c r="G3525" s="395"/>
      <c r="H3525" s="395"/>
      <c r="J3525" s="42"/>
    </row>
    <row r="3526" spans="1:10" s="393" customFormat="1" x14ac:dyDescent="0.25">
      <c r="A3526" s="19" t="s">
        <v>22</v>
      </c>
      <c r="B3526" s="2">
        <v>44039</v>
      </c>
      <c r="C3526" s="1">
        <v>33</v>
      </c>
      <c r="D3526" s="39">
        <v>972</v>
      </c>
      <c r="E3526" s="1">
        <v>2</v>
      </c>
      <c r="F3526" s="39">
        <f>E3526+F3502</f>
        <v>11</v>
      </c>
      <c r="G3526" s="395"/>
      <c r="H3526" s="395"/>
      <c r="J3526" s="42"/>
    </row>
    <row r="3527" spans="1:10" s="393" customFormat="1" x14ac:dyDescent="0.25">
      <c r="A3527" s="19" t="s">
        <v>38</v>
      </c>
      <c r="B3527" s="2">
        <v>44039</v>
      </c>
      <c r="C3527" s="1">
        <v>-5</v>
      </c>
      <c r="D3527" s="39">
        <v>45</v>
      </c>
      <c r="E3527" s="1"/>
      <c r="F3527" s="39">
        <f>E3527+F3503</f>
        <v>1</v>
      </c>
      <c r="G3527" s="395"/>
      <c r="H3527" s="395"/>
      <c r="J3527" s="42"/>
    </row>
    <row r="3528" spans="1:10" s="393" customFormat="1" x14ac:dyDescent="0.25">
      <c r="A3528" s="19" t="s">
        <v>39</v>
      </c>
      <c r="B3528" s="2">
        <v>44039</v>
      </c>
      <c r="C3528" s="1">
        <v>32</v>
      </c>
      <c r="D3528" s="39">
        <v>374</v>
      </c>
      <c r="E3528" s="1"/>
      <c r="F3528" s="39">
        <f>E3528+F3504</f>
        <v>1</v>
      </c>
      <c r="G3528" s="395"/>
      <c r="H3528" s="395"/>
      <c r="J3528" s="42"/>
    </row>
    <row r="3529" spans="1:10" s="393" customFormat="1" x14ac:dyDescent="0.25">
      <c r="A3529" s="19" t="s">
        <v>40</v>
      </c>
      <c r="B3529" s="2">
        <v>44039</v>
      </c>
      <c r="C3529" s="1">
        <v>13</v>
      </c>
      <c r="D3529" s="39">
        <v>139</v>
      </c>
      <c r="E3529" s="1"/>
      <c r="F3529" s="39">
        <f>E3529+F3505</f>
        <v>4</v>
      </c>
      <c r="G3529" s="395"/>
      <c r="H3529" s="395"/>
      <c r="J3529" s="42"/>
    </row>
    <row r="3530" spans="1:10" s="393" customFormat="1" x14ac:dyDescent="0.25">
      <c r="A3530" s="394" t="s">
        <v>16</v>
      </c>
      <c r="B3530" s="2">
        <v>44040</v>
      </c>
      <c r="C3530" s="1">
        <v>4167</v>
      </c>
      <c r="D3530" s="39">
        <v>102391</v>
      </c>
      <c r="E3530" s="1">
        <f>8+7+34+20</f>
        <v>69</v>
      </c>
      <c r="F3530" s="39">
        <f>E3530+F3506</f>
        <v>1657</v>
      </c>
      <c r="G3530" s="395"/>
      <c r="H3530" s="395"/>
      <c r="J3530" s="42"/>
    </row>
    <row r="3531" spans="1:10" s="393" customFormat="1" x14ac:dyDescent="0.25">
      <c r="A3531" s="19" t="s">
        <v>28</v>
      </c>
      <c r="B3531" s="2">
        <v>44040</v>
      </c>
      <c r="C3531" s="1">
        <v>0</v>
      </c>
      <c r="D3531" s="39">
        <v>60</v>
      </c>
      <c r="E3531" s="1"/>
      <c r="F3531" s="39">
        <f t="shared" ref="F3531:F3537" si="235">E3531+F3507</f>
        <v>0</v>
      </c>
      <c r="G3531" s="395"/>
      <c r="H3531" s="395"/>
      <c r="J3531" s="42"/>
    </row>
    <row r="3532" spans="1:10" s="393" customFormat="1" x14ac:dyDescent="0.25">
      <c r="A3532" s="19" t="s">
        <v>15</v>
      </c>
      <c r="B3532" s="2">
        <v>44040</v>
      </c>
      <c r="C3532" s="1">
        <v>18</v>
      </c>
      <c r="D3532" s="39">
        <v>3376</v>
      </c>
      <c r="E3532" s="1"/>
      <c r="F3532" s="39">
        <f t="shared" si="235"/>
        <v>136</v>
      </c>
      <c r="G3532" s="395"/>
      <c r="H3532" s="395"/>
      <c r="J3532" s="42"/>
    </row>
    <row r="3533" spans="1:10" s="393" customFormat="1" x14ac:dyDescent="0.25">
      <c r="A3533" s="19" t="s">
        <v>29</v>
      </c>
      <c r="B3533" s="2">
        <v>44040</v>
      </c>
      <c r="C3533" s="1">
        <v>3</v>
      </c>
      <c r="D3533" s="39">
        <v>267</v>
      </c>
      <c r="E3533" s="1"/>
      <c r="F3533" s="39">
        <f t="shared" si="235"/>
        <v>3</v>
      </c>
      <c r="G3533" s="395"/>
      <c r="H3533" s="395"/>
      <c r="J3533" s="42"/>
    </row>
    <row r="3534" spans="1:10" s="393" customFormat="1" x14ac:dyDescent="0.25">
      <c r="A3534" s="19" t="s">
        <v>43</v>
      </c>
      <c r="B3534" s="2">
        <v>44040</v>
      </c>
      <c r="C3534" s="1">
        <v>1202</v>
      </c>
      <c r="D3534" s="39">
        <v>56227</v>
      </c>
      <c r="E3534" s="1">
        <f>3+4+17+21</f>
        <v>45</v>
      </c>
      <c r="F3534" s="39">
        <f t="shared" si="235"/>
        <v>1141</v>
      </c>
      <c r="G3534" s="395"/>
      <c r="H3534" s="395"/>
      <c r="J3534" s="42"/>
    </row>
    <row r="3535" spans="1:10" s="393" customFormat="1" x14ac:dyDescent="0.25">
      <c r="A3535" s="19" t="s">
        <v>20</v>
      </c>
      <c r="B3535" s="2">
        <v>44040</v>
      </c>
      <c r="C3535" s="1">
        <v>75</v>
      </c>
      <c r="D3535" s="39">
        <v>1949</v>
      </c>
      <c r="E3535" s="1">
        <v>2</v>
      </c>
      <c r="F3535" s="39">
        <f t="shared" si="235"/>
        <v>42</v>
      </c>
      <c r="G3535" s="395"/>
      <c r="H3535" s="395"/>
      <c r="J3535" s="42"/>
    </row>
    <row r="3536" spans="1:10" s="393" customFormat="1" x14ac:dyDescent="0.25">
      <c r="A3536" s="19" t="s">
        <v>30</v>
      </c>
      <c r="B3536" s="2">
        <v>44040</v>
      </c>
      <c r="C3536" s="1">
        <v>-6</v>
      </c>
      <c r="D3536" s="39">
        <v>147</v>
      </c>
      <c r="E3536" s="1"/>
      <c r="F3536" s="39">
        <f t="shared" si="235"/>
        <v>1</v>
      </c>
      <c r="G3536" s="395"/>
      <c r="H3536" s="395"/>
      <c r="J3536" s="42"/>
    </row>
    <row r="3537" spans="1:10" x14ac:dyDescent="0.25">
      <c r="A3537" s="19" t="s">
        <v>31</v>
      </c>
      <c r="B3537" s="2">
        <v>44040</v>
      </c>
      <c r="C3537" s="1">
        <v>4</v>
      </c>
      <c r="D3537" s="39">
        <v>768</v>
      </c>
      <c r="F3537" s="39">
        <f t="shared" si="235"/>
        <v>7</v>
      </c>
    </row>
    <row r="3538" spans="1:10" s="393" customFormat="1" x14ac:dyDescent="0.25">
      <c r="A3538" s="19" t="s">
        <v>41</v>
      </c>
      <c r="B3538" s="2">
        <v>44040</v>
      </c>
      <c r="C3538" s="1">
        <v>0</v>
      </c>
      <c r="D3538" s="39">
        <v>81</v>
      </c>
      <c r="E3538" s="1"/>
      <c r="F3538" s="39">
        <f>E3538+F3514</f>
        <v>0</v>
      </c>
      <c r="G3538" s="395"/>
      <c r="H3538" s="395"/>
      <c r="J3538" s="42"/>
    </row>
    <row r="3539" spans="1:10" s="393" customFormat="1" x14ac:dyDescent="0.25">
      <c r="A3539" s="19" t="s">
        <v>32</v>
      </c>
      <c r="B3539" s="2">
        <v>44040</v>
      </c>
      <c r="C3539" s="1">
        <v>158</v>
      </c>
      <c r="D3539" s="39">
        <v>1678</v>
      </c>
      <c r="E3539" s="1"/>
      <c r="F3539" s="39">
        <f t="shared" ref="F3539:F3549" si="236">E3539+F3514</f>
        <v>0</v>
      </c>
      <c r="G3539" s="395"/>
      <c r="H3539" s="395"/>
      <c r="J3539" s="42"/>
    </row>
    <row r="3540" spans="1:10" s="393" customFormat="1" x14ac:dyDescent="0.25">
      <c r="A3540" s="19" t="s">
        <v>33</v>
      </c>
      <c r="B3540" s="2">
        <v>44040</v>
      </c>
      <c r="C3540" s="1">
        <v>9</v>
      </c>
      <c r="D3540" s="39">
        <v>59</v>
      </c>
      <c r="E3540" s="1"/>
      <c r="F3540" s="39">
        <f t="shared" si="236"/>
        <v>0</v>
      </c>
      <c r="G3540" s="395"/>
      <c r="H3540" s="395"/>
      <c r="J3540" s="42"/>
    </row>
    <row r="3541" spans="1:10" s="393" customFormat="1" x14ac:dyDescent="0.25">
      <c r="A3541" s="19" t="s">
        <v>21</v>
      </c>
      <c r="B3541" s="2">
        <v>44040</v>
      </c>
      <c r="C3541" s="1">
        <v>10</v>
      </c>
      <c r="D3541" s="39">
        <v>259</v>
      </c>
      <c r="E3541" s="1"/>
      <c r="F3541" s="39">
        <f t="shared" si="236"/>
        <v>0</v>
      </c>
      <c r="G3541" s="395"/>
      <c r="H3541" s="395"/>
      <c r="J3541" s="42"/>
    </row>
    <row r="3542" spans="1:10" s="393" customFormat="1" x14ac:dyDescent="0.25">
      <c r="A3542" s="19" t="s">
        <v>17</v>
      </c>
      <c r="B3542" s="2">
        <v>44040</v>
      </c>
      <c r="C3542" s="1">
        <v>67</v>
      </c>
      <c r="D3542" s="39">
        <v>945</v>
      </c>
      <c r="E3542" s="1">
        <v>2</v>
      </c>
      <c r="F3542" s="39">
        <f t="shared" si="236"/>
        <v>3</v>
      </c>
      <c r="G3542" s="395"/>
      <c r="H3542" s="395"/>
      <c r="J3542" s="42"/>
    </row>
    <row r="3543" spans="1:10" s="393" customFormat="1" x14ac:dyDescent="0.25">
      <c r="A3543" s="19" t="s">
        <v>23</v>
      </c>
      <c r="B3543" s="2">
        <v>44040</v>
      </c>
      <c r="C3543" s="1">
        <v>-4</v>
      </c>
      <c r="D3543" s="39">
        <v>52</v>
      </c>
      <c r="E3543" s="1"/>
      <c r="F3543" s="39">
        <f t="shared" si="236"/>
        <v>0</v>
      </c>
      <c r="G3543" s="395"/>
      <c r="H3543" s="395"/>
      <c r="J3543" s="42"/>
    </row>
    <row r="3544" spans="1:10" s="393" customFormat="1" x14ac:dyDescent="0.25">
      <c r="A3544" s="19" t="s">
        <v>19</v>
      </c>
      <c r="B3544" s="2">
        <v>44040</v>
      </c>
      <c r="C3544" s="1">
        <v>21</v>
      </c>
      <c r="D3544" s="39">
        <v>1086</v>
      </c>
      <c r="E3544" s="1"/>
      <c r="F3544" s="39">
        <f t="shared" si="236"/>
        <v>3</v>
      </c>
      <c r="G3544" s="395"/>
      <c r="H3544" s="395"/>
      <c r="J3544" s="42"/>
    </row>
    <row r="3545" spans="1:10" s="393" customFormat="1" x14ac:dyDescent="0.25">
      <c r="A3545" s="19" t="s">
        <v>18</v>
      </c>
      <c r="B3545" s="2">
        <v>44040</v>
      </c>
      <c r="C3545" s="1">
        <v>73</v>
      </c>
      <c r="D3545" s="39">
        <v>1707</v>
      </c>
      <c r="E3545" s="1">
        <v>2</v>
      </c>
      <c r="F3545" s="39">
        <f t="shared" si="236"/>
        <v>2</v>
      </c>
      <c r="G3545" s="395"/>
      <c r="H3545" s="395"/>
      <c r="J3545" s="42"/>
    </row>
    <row r="3546" spans="1:10" s="393" customFormat="1" x14ac:dyDescent="0.25">
      <c r="A3546" s="19" t="s">
        <v>34</v>
      </c>
      <c r="B3546" s="2">
        <v>44040</v>
      </c>
      <c r="C3546" s="1">
        <v>8</v>
      </c>
      <c r="D3546" s="39">
        <v>236</v>
      </c>
      <c r="E3546" s="1"/>
      <c r="F3546" s="39">
        <f t="shared" si="236"/>
        <v>32</v>
      </c>
      <c r="G3546" s="395"/>
      <c r="H3546" s="395"/>
      <c r="J3546" s="42"/>
    </row>
    <row r="3547" spans="1:10" s="393" customFormat="1" x14ac:dyDescent="0.25">
      <c r="A3547" s="19" t="s">
        <v>35</v>
      </c>
      <c r="B3547" s="2">
        <v>44040</v>
      </c>
      <c r="C3547" s="1">
        <v>-2</v>
      </c>
      <c r="D3547" s="39">
        <v>20</v>
      </c>
      <c r="E3547" s="1"/>
      <c r="F3547" s="39">
        <f>E3547+F3523</f>
        <v>0</v>
      </c>
      <c r="G3547" s="395"/>
      <c r="H3547" s="395"/>
      <c r="J3547" s="42"/>
    </row>
    <row r="3548" spans="1:10" s="393" customFormat="1" x14ac:dyDescent="0.25">
      <c r="A3548" s="19" t="s">
        <v>36</v>
      </c>
      <c r="B3548" s="2">
        <v>44040</v>
      </c>
      <c r="C3548" s="1">
        <v>2</v>
      </c>
      <c r="D3548" s="39">
        <v>22</v>
      </c>
      <c r="E3548" s="1"/>
      <c r="F3548" s="39">
        <f t="shared" si="236"/>
        <v>0</v>
      </c>
      <c r="G3548" s="395"/>
      <c r="H3548" s="395"/>
      <c r="J3548" s="42"/>
    </row>
    <row r="3549" spans="1:10" s="393" customFormat="1" x14ac:dyDescent="0.25">
      <c r="A3549" s="19" t="s">
        <v>37</v>
      </c>
      <c r="B3549" s="2">
        <v>44040</v>
      </c>
      <c r="C3549" s="1">
        <v>32</v>
      </c>
      <c r="D3549" s="39">
        <v>376</v>
      </c>
      <c r="E3549" s="1"/>
      <c r="F3549" s="39">
        <f t="shared" si="236"/>
        <v>0</v>
      </c>
      <c r="G3549" s="395"/>
      <c r="H3549" s="395"/>
      <c r="J3549" s="42"/>
    </row>
    <row r="3550" spans="1:10" s="393" customFormat="1" x14ac:dyDescent="0.25">
      <c r="A3550" s="19" t="s">
        <v>22</v>
      </c>
      <c r="B3550" s="2">
        <v>44040</v>
      </c>
      <c r="C3550" s="1">
        <v>63</v>
      </c>
      <c r="D3550" s="39">
        <v>1035</v>
      </c>
      <c r="E3550" s="1"/>
      <c r="F3550" s="39">
        <f>E3550+F3526</f>
        <v>11</v>
      </c>
      <c r="G3550" s="395"/>
      <c r="H3550" s="395"/>
      <c r="J3550" s="42"/>
    </row>
    <row r="3551" spans="1:10" s="393" customFormat="1" x14ac:dyDescent="0.25">
      <c r="A3551" s="19" t="s">
        <v>38</v>
      </c>
      <c r="B3551" s="2">
        <v>44040</v>
      </c>
      <c r="C3551" s="1">
        <v>-3</v>
      </c>
      <c r="D3551" s="39">
        <v>42</v>
      </c>
      <c r="E3551" s="1"/>
      <c r="F3551" s="39">
        <f>E3551+F3527</f>
        <v>1</v>
      </c>
      <c r="G3551" s="395"/>
      <c r="H3551" s="395"/>
      <c r="J3551" s="42"/>
    </row>
    <row r="3552" spans="1:10" s="393" customFormat="1" x14ac:dyDescent="0.25">
      <c r="A3552" s="19" t="s">
        <v>39</v>
      </c>
      <c r="B3552" s="2">
        <v>44040</v>
      </c>
      <c r="C3552" s="1">
        <v>25</v>
      </c>
      <c r="D3552" s="39">
        <v>399</v>
      </c>
      <c r="E3552" s="1"/>
      <c r="F3552" s="39">
        <f>E3552+F3528</f>
        <v>1</v>
      </c>
      <c r="G3552" s="395"/>
      <c r="H3552" s="395"/>
      <c r="J3552" s="42"/>
    </row>
    <row r="3553" spans="1:10" s="393" customFormat="1" x14ac:dyDescent="0.25">
      <c r="A3553" s="19" t="s">
        <v>40</v>
      </c>
      <c r="B3553" s="2">
        <v>44040</v>
      </c>
      <c r="C3553" s="1">
        <v>17</v>
      </c>
      <c r="D3553" s="39">
        <v>156</v>
      </c>
      <c r="E3553" s="1"/>
      <c r="F3553" s="39">
        <f>E3553+F3529</f>
        <v>4</v>
      </c>
      <c r="G3553" s="395"/>
      <c r="H3553" s="395"/>
      <c r="J3553" s="42"/>
    </row>
    <row r="3554" spans="1:10" s="393" customFormat="1" x14ac:dyDescent="0.25">
      <c r="A3554" s="394" t="s">
        <v>16</v>
      </c>
      <c r="B3554" s="2">
        <v>44041</v>
      </c>
      <c r="C3554" s="1">
        <v>3852</v>
      </c>
      <c r="D3554" s="39">
        <v>106243</v>
      </c>
      <c r="E3554" s="1">
        <f>6+6+35+24</f>
        <v>71</v>
      </c>
      <c r="F3554" s="39">
        <f>E3554+F3530</f>
        <v>1728</v>
      </c>
      <c r="G3554" s="395"/>
      <c r="H3554" s="395"/>
      <c r="J3554" s="42"/>
    </row>
    <row r="3555" spans="1:10" s="393" customFormat="1" x14ac:dyDescent="0.25">
      <c r="A3555" s="19" t="s">
        <v>28</v>
      </c>
      <c r="B3555" s="2">
        <v>44041</v>
      </c>
      <c r="C3555" s="1">
        <v>0</v>
      </c>
      <c r="D3555" s="39">
        <v>60</v>
      </c>
      <c r="E3555" s="1"/>
      <c r="F3555" s="39">
        <f t="shared" ref="F3555:F3561" si="237">E3555+F3531</f>
        <v>0</v>
      </c>
      <c r="G3555" s="395"/>
      <c r="H3555" s="395"/>
      <c r="J3555" s="42"/>
    </row>
    <row r="3556" spans="1:10" s="393" customFormat="1" x14ac:dyDescent="0.25">
      <c r="A3556" s="19" t="s">
        <v>15</v>
      </c>
      <c r="B3556" s="2">
        <v>44041</v>
      </c>
      <c r="C3556" s="1">
        <v>52</v>
      </c>
      <c r="D3556" s="39">
        <v>3428</v>
      </c>
      <c r="E3556" s="1">
        <f>2+1</f>
        <v>3</v>
      </c>
      <c r="F3556" s="39">
        <f t="shared" si="237"/>
        <v>139</v>
      </c>
      <c r="G3556" s="395"/>
      <c r="H3556" s="395"/>
      <c r="J3556" s="42"/>
    </row>
    <row r="3557" spans="1:10" s="393" customFormat="1" x14ac:dyDescent="0.25">
      <c r="A3557" s="19" t="s">
        <v>29</v>
      </c>
      <c r="B3557" s="2">
        <v>44041</v>
      </c>
      <c r="C3557" s="1">
        <v>3</v>
      </c>
      <c r="D3557" s="39">
        <v>270</v>
      </c>
      <c r="E3557" s="1"/>
      <c r="F3557" s="39">
        <f t="shared" si="237"/>
        <v>3</v>
      </c>
      <c r="G3557" s="395"/>
      <c r="H3557" s="395"/>
      <c r="J3557" s="42"/>
    </row>
    <row r="3558" spans="1:10" s="393" customFormat="1" x14ac:dyDescent="0.25">
      <c r="A3558" s="19" t="s">
        <v>43</v>
      </c>
      <c r="B3558" s="2">
        <v>44041</v>
      </c>
      <c r="C3558" s="1">
        <v>1079</v>
      </c>
      <c r="D3558" s="39">
        <v>57306</v>
      </c>
      <c r="E3558" s="1">
        <v>29</v>
      </c>
      <c r="F3558" s="39">
        <f t="shared" si="237"/>
        <v>1170</v>
      </c>
      <c r="G3558" s="395"/>
      <c r="H3558" s="395"/>
      <c r="J3558" s="42"/>
    </row>
    <row r="3559" spans="1:10" s="393" customFormat="1" x14ac:dyDescent="0.25">
      <c r="A3559" s="19" t="s">
        <v>20</v>
      </c>
      <c r="B3559" s="2">
        <v>44041</v>
      </c>
      <c r="C3559" s="1">
        <v>111</v>
      </c>
      <c r="D3559" s="39">
        <v>2060</v>
      </c>
      <c r="E3559" s="1"/>
      <c r="F3559" s="39">
        <f t="shared" si="237"/>
        <v>42</v>
      </c>
      <c r="G3559" s="395"/>
      <c r="H3559" s="395"/>
      <c r="J3559" s="42"/>
    </row>
    <row r="3560" spans="1:10" s="393" customFormat="1" x14ac:dyDescent="0.25">
      <c r="A3560" s="19" t="s">
        <v>30</v>
      </c>
      <c r="B3560" s="2">
        <v>44041</v>
      </c>
      <c r="C3560" s="1">
        <v>16</v>
      </c>
      <c r="D3560" s="39">
        <v>163</v>
      </c>
      <c r="E3560" s="1"/>
      <c r="F3560" s="39">
        <f t="shared" si="237"/>
        <v>1</v>
      </c>
      <c r="G3560" s="395"/>
      <c r="H3560" s="395"/>
      <c r="J3560" s="42"/>
    </row>
    <row r="3561" spans="1:10" x14ac:dyDescent="0.25">
      <c r="A3561" s="19" t="s">
        <v>31</v>
      </c>
      <c r="B3561" s="2">
        <v>44041</v>
      </c>
      <c r="C3561" s="1">
        <v>15</v>
      </c>
      <c r="D3561" s="39">
        <v>783</v>
      </c>
      <c r="F3561" s="39">
        <f t="shared" si="237"/>
        <v>7</v>
      </c>
    </row>
    <row r="3562" spans="1:10" s="393" customFormat="1" x14ac:dyDescent="0.25">
      <c r="A3562" s="19" t="s">
        <v>41</v>
      </c>
      <c r="B3562" s="2">
        <v>44041</v>
      </c>
      <c r="C3562" s="1">
        <v>1</v>
      </c>
      <c r="D3562" s="39">
        <v>82</v>
      </c>
      <c r="E3562" s="1"/>
      <c r="F3562" s="39">
        <f>E3562+F3538</f>
        <v>0</v>
      </c>
      <c r="G3562" s="395"/>
      <c r="H3562" s="395"/>
      <c r="J3562" s="42"/>
    </row>
    <row r="3563" spans="1:10" s="393" customFormat="1" x14ac:dyDescent="0.25">
      <c r="A3563" s="19" t="s">
        <v>32</v>
      </c>
      <c r="B3563" s="2">
        <v>44041</v>
      </c>
      <c r="C3563" s="1">
        <v>172</v>
      </c>
      <c r="D3563" s="39">
        <v>1850</v>
      </c>
      <c r="E3563" s="1"/>
      <c r="F3563" s="39">
        <f t="shared" ref="F3563:F3573" si="238">E3563+F3538</f>
        <v>0</v>
      </c>
      <c r="G3563" s="395"/>
      <c r="H3563" s="395"/>
      <c r="J3563" s="42"/>
    </row>
    <row r="3564" spans="1:10" s="393" customFormat="1" x14ac:dyDescent="0.25">
      <c r="A3564" s="19" t="s">
        <v>33</v>
      </c>
      <c r="B3564" s="2">
        <v>44041</v>
      </c>
      <c r="C3564" s="1">
        <v>10</v>
      </c>
      <c r="D3564" s="39">
        <v>69</v>
      </c>
      <c r="E3564" s="1"/>
      <c r="F3564" s="39">
        <f t="shared" si="238"/>
        <v>0</v>
      </c>
      <c r="G3564" s="395"/>
      <c r="H3564" s="395"/>
      <c r="J3564" s="42"/>
    </row>
    <row r="3565" spans="1:10" s="393" customFormat="1" x14ac:dyDescent="0.25">
      <c r="A3565" s="19" t="s">
        <v>21</v>
      </c>
      <c r="B3565" s="2">
        <v>44041</v>
      </c>
      <c r="C3565" s="1">
        <v>31</v>
      </c>
      <c r="D3565" s="39">
        <v>290</v>
      </c>
      <c r="E3565" s="1"/>
      <c r="F3565" s="39">
        <f t="shared" si="238"/>
        <v>0</v>
      </c>
      <c r="G3565" s="395"/>
      <c r="H3565" s="395"/>
      <c r="J3565" s="42"/>
    </row>
    <row r="3566" spans="1:10" s="393" customFormat="1" x14ac:dyDescent="0.25">
      <c r="A3566" s="19" t="s">
        <v>17</v>
      </c>
      <c r="B3566" s="2">
        <v>44041</v>
      </c>
      <c r="C3566" s="1">
        <v>65</v>
      </c>
      <c r="D3566" s="39">
        <v>1010</v>
      </c>
      <c r="E3566" s="1">
        <v>4</v>
      </c>
      <c r="F3566" s="39">
        <f t="shared" si="238"/>
        <v>4</v>
      </c>
      <c r="G3566" s="395"/>
      <c r="H3566" s="395"/>
      <c r="J3566" s="42"/>
    </row>
    <row r="3567" spans="1:10" s="393" customFormat="1" x14ac:dyDescent="0.25">
      <c r="A3567" s="19" t="s">
        <v>23</v>
      </c>
      <c r="B3567" s="2">
        <v>44041</v>
      </c>
      <c r="C3567" s="1">
        <v>0</v>
      </c>
      <c r="D3567" s="39">
        <v>52</v>
      </c>
      <c r="E3567" s="1"/>
      <c r="F3567" s="39">
        <f t="shared" si="238"/>
        <v>3</v>
      </c>
      <c r="G3567" s="395"/>
      <c r="H3567" s="395"/>
      <c r="J3567" s="42"/>
    </row>
    <row r="3568" spans="1:10" s="393" customFormat="1" x14ac:dyDescent="0.25">
      <c r="A3568" s="19" t="s">
        <v>19</v>
      </c>
      <c r="B3568" s="2">
        <v>44041</v>
      </c>
      <c r="C3568" s="1">
        <v>30</v>
      </c>
      <c r="D3568" s="39">
        <v>1116</v>
      </c>
      <c r="E3568" s="1"/>
      <c r="F3568" s="39">
        <f t="shared" si="238"/>
        <v>0</v>
      </c>
      <c r="G3568" s="395"/>
      <c r="H3568" s="395"/>
      <c r="J3568" s="42"/>
    </row>
    <row r="3569" spans="1:10" s="393" customFormat="1" x14ac:dyDescent="0.25">
      <c r="A3569" s="19" t="s">
        <v>18</v>
      </c>
      <c r="B3569" s="2">
        <v>44041</v>
      </c>
      <c r="C3569" s="1">
        <v>55</v>
      </c>
      <c r="D3569" s="39">
        <v>1762</v>
      </c>
      <c r="E3569" s="1">
        <f>1</f>
        <v>1</v>
      </c>
      <c r="F3569" s="39">
        <f t="shared" si="238"/>
        <v>4</v>
      </c>
      <c r="G3569" s="395"/>
      <c r="H3569" s="395"/>
      <c r="J3569" s="42"/>
    </row>
    <row r="3570" spans="1:10" s="393" customFormat="1" x14ac:dyDescent="0.25">
      <c r="A3570" s="19" t="s">
        <v>34</v>
      </c>
      <c r="B3570" s="2">
        <v>44041</v>
      </c>
      <c r="C3570" s="1">
        <v>9</v>
      </c>
      <c r="D3570" s="39">
        <v>245</v>
      </c>
      <c r="E3570" s="1"/>
      <c r="F3570" s="39">
        <f t="shared" si="238"/>
        <v>2</v>
      </c>
      <c r="G3570" s="395"/>
      <c r="H3570" s="395"/>
      <c r="J3570" s="42"/>
    </row>
    <row r="3571" spans="1:10" s="393" customFormat="1" x14ac:dyDescent="0.25">
      <c r="A3571" s="19" t="s">
        <v>35</v>
      </c>
      <c r="B3571" s="2">
        <v>44041</v>
      </c>
      <c r="C3571" s="1">
        <v>0</v>
      </c>
      <c r="D3571" s="39">
        <v>20</v>
      </c>
      <c r="E3571" s="1"/>
      <c r="F3571" s="39">
        <f>E3571+F3547</f>
        <v>0</v>
      </c>
      <c r="G3571" s="395"/>
      <c r="H3571" s="395"/>
      <c r="J3571" s="42"/>
    </row>
    <row r="3572" spans="1:10" s="393" customFormat="1" x14ac:dyDescent="0.25">
      <c r="A3572" s="19" t="s">
        <v>36</v>
      </c>
      <c r="B3572" s="2">
        <v>44041</v>
      </c>
      <c r="C3572" s="1">
        <v>2</v>
      </c>
      <c r="D3572" s="39">
        <v>24</v>
      </c>
      <c r="E3572" s="1"/>
      <c r="F3572" s="39">
        <f t="shared" si="238"/>
        <v>0</v>
      </c>
      <c r="G3572" s="395"/>
      <c r="H3572" s="395"/>
      <c r="J3572" s="42"/>
    </row>
    <row r="3573" spans="1:10" s="393" customFormat="1" x14ac:dyDescent="0.25">
      <c r="A3573" s="19" t="s">
        <v>37</v>
      </c>
      <c r="B3573" s="2">
        <v>44041</v>
      </c>
      <c r="C3573" s="1">
        <v>44</v>
      </c>
      <c r="D3573" s="39">
        <v>420</v>
      </c>
      <c r="E3573" s="1"/>
      <c r="F3573" s="39">
        <f t="shared" si="238"/>
        <v>0</v>
      </c>
      <c r="G3573" s="395"/>
      <c r="H3573" s="395"/>
      <c r="J3573" s="42"/>
    </row>
    <row r="3574" spans="1:10" s="393" customFormat="1" x14ac:dyDescent="0.25">
      <c r="A3574" s="19" t="s">
        <v>22</v>
      </c>
      <c r="B3574" s="2">
        <v>44041</v>
      </c>
      <c r="C3574" s="1">
        <v>68</v>
      </c>
      <c r="D3574" s="39">
        <v>1103</v>
      </c>
      <c r="E3574" s="1">
        <v>1</v>
      </c>
      <c r="F3574" s="39">
        <f>E3574+F3550</f>
        <v>12</v>
      </c>
      <c r="G3574" s="395"/>
      <c r="H3574" s="395"/>
      <c r="J3574" s="42"/>
    </row>
    <row r="3575" spans="1:10" s="393" customFormat="1" x14ac:dyDescent="0.25">
      <c r="A3575" s="19" t="s">
        <v>38</v>
      </c>
      <c r="B3575" s="2">
        <v>44041</v>
      </c>
      <c r="C3575" s="1">
        <v>2</v>
      </c>
      <c r="D3575" s="39">
        <v>44</v>
      </c>
      <c r="E3575" s="1"/>
      <c r="F3575" s="39">
        <f>E3575+F3551</f>
        <v>1</v>
      </c>
      <c r="G3575" s="395"/>
      <c r="H3575" s="395"/>
      <c r="J3575" s="42"/>
    </row>
    <row r="3576" spans="1:10" s="393" customFormat="1" x14ac:dyDescent="0.25">
      <c r="A3576" s="19" t="s">
        <v>39</v>
      </c>
      <c r="B3576" s="2">
        <v>44041</v>
      </c>
      <c r="C3576" s="1">
        <v>14</v>
      </c>
      <c r="D3576" s="39">
        <v>413</v>
      </c>
      <c r="E3576" s="1"/>
      <c r="F3576" s="39">
        <f>E3576+F3552</f>
        <v>1</v>
      </c>
      <c r="G3576" s="395"/>
      <c r="H3576" s="395"/>
      <c r="J3576" s="42"/>
    </row>
    <row r="3577" spans="1:10" s="393" customFormat="1" x14ac:dyDescent="0.25">
      <c r="A3577" s="19" t="s">
        <v>40</v>
      </c>
      <c r="B3577" s="2">
        <v>44041</v>
      </c>
      <c r="C3577" s="1">
        <v>10</v>
      </c>
      <c r="D3577" s="39">
        <v>166</v>
      </c>
      <c r="E3577" s="1"/>
      <c r="F3577" s="39">
        <f>E3577+F3553</f>
        <v>4</v>
      </c>
      <c r="G3577" s="395"/>
      <c r="H3577" s="395"/>
      <c r="J3577" s="42"/>
    </row>
    <row r="3578" spans="1:10" s="393" customFormat="1" x14ac:dyDescent="0.25">
      <c r="A3578" s="394" t="s">
        <v>16</v>
      </c>
      <c r="B3578" s="2">
        <v>44042</v>
      </c>
      <c r="C3578" s="1">
        <v>4415</v>
      </c>
      <c r="D3578" s="39">
        <v>110658</v>
      </c>
      <c r="E3578" s="1">
        <f>5+8+49+54</f>
        <v>116</v>
      </c>
      <c r="F3578" s="39">
        <f>E3578+F3554</f>
        <v>1844</v>
      </c>
      <c r="G3578" s="395"/>
      <c r="H3578" s="395"/>
      <c r="J3578" s="42"/>
    </row>
    <row r="3579" spans="1:10" s="393" customFormat="1" x14ac:dyDescent="0.25">
      <c r="A3579" s="19" t="s">
        <v>28</v>
      </c>
      <c r="B3579" s="2">
        <v>44042</v>
      </c>
      <c r="C3579" s="1">
        <v>1</v>
      </c>
      <c r="D3579" s="39">
        <v>61</v>
      </c>
      <c r="E3579" s="1"/>
      <c r="F3579" s="39">
        <f t="shared" ref="F3579:F3585" si="239">E3579+F3555</f>
        <v>0</v>
      </c>
      <c r="G3579" s="395"/>
      <c r="H3579" s="395"/>
      <c r="J3579" s="42"/>
    </row>
    <row r="3580" spans="1:10" s="393" customFormat="1" x14ac:dyDescent="0.25">
      <c r="A3580" s="19" t="s">
        <v>15</v>
      </c>
      <c r="B3580" s="2">
        <v>44042</v>
      </c>
      <c r="C3580" s="1">
        <v>93</v>
      </c>
      <c r="D3580" s="39">
        <v>3521</v>
      </c>
      <c r="E3580" s="1"/>
      <c r="F3580" s="39">
        <f t="shared" si="239"/>
        <v>139</v>
      </c>
      <c r="G3580" s="395"/>
      <c r="H3580" s="395"/>
      <c r="J3580" s="42"/>
    </row>
    <row r="3581" spans="1:10" s="393" customFormat="1" x14ac:dyDescent="0.25">
      <c r="A3581" s="19" t="s">
        <v>29</v>
      </c>
      <c r="B3581" s="2">
        <v>44042</v>
      </c>
      <c r="C3581" s="1">
        <v>5</v>
      </c>
      <c r="D3581" s="39">
        <v>275</v>
      </c>
      <c r="E3581" s="1"/>
      <c r="F3581" s="39">
        <f t="shared" si="239"/>
        <v>3</v>
      </c>
      <c r="G3581" s="395"/>
      <c r="H3581" s="395"/>
      <c r="J3581" s="42"/>
    </row>
    <row r="3582" spans="1:10" s="393" customFormat="1" x14ac:dyDescent="0.25">
      <c r="A3582" s="19" t="s">
        <v>43</v>
      </c>
      <c r="B3582" s="2">
        <v>44042</v>
      </c>
      <c r="C3582" s="1">
        <v>1239</v>
      </c>
      <c r="D3582" s="39">
        <v>58545</v>
      </c>
      <c r="E3582" s="1">
        <f>4+2+18+8</f>
        <v>32</v>
      </c>
      <c r="F3582" s="39">
        <f t="shared" si="239"/>
        <v>1202</v>
      </c>
      <c r="G3582" s="395"/>
      <c r="H3582" s="395"/>
      <c r="J3582" s="42"/>
    </row>
    <row r="3583" spans="1:10" s="393" customFormat="1" x14ac:dyDescent="0.25">
      <c r="A3583" s="19" t="s">
        <v>20</v>
      </c>
      <c r="B3583" s="2">
        <v>44042</v>
      </c>
      <c r="C3583" s="1">
        <v>91</v>
      </c>
      <c r="D3583" s="39">
        <v>2151</v>
      </c>
      <c r="E3583" s="1">
        <v>1</v>
      </c>
      <c r="F3583" s="39">
        <f t="shared" si="239"/>
        <v>43</v>
      </c>
      <c r="G3583" s="395"/>
      <c r="H3583" s="395"/>
      <c r="J3583" s="42"/>
    </row>
    <row r="3584" spans="1:10" s="393" customFormat="1" x14ac:dyDescent="0.25">
      <c r="A3584" s="19" t="s">
        <v>30</v>
      </c>
      <c r="B3584" s="2">
        <v>44042</v>
      </c>
      <c r="C3584" s="1">
        <v>3</v>
      </c>
      <c r="D3584" s="39">
        <v>166</v>
      </c>
      <c r="E3584" s="1"/>
      <c r="F3584" s="39">
        <f t="shared" si="239"/>
        <v>1</v>
      </c>
      <c r="G3584" s="395"/>
      <c r="H3584" s="395"/>
      <c r="J3584" s="42"/>
    </row>
    <row r="3585" spans="1:10" x14ac:dyDescent="0.25">
      <c r="A3585" s="19" t="s">
        <v>31</v>
      </c>
      <c r="B3585" s="2">
        <v>44042</v>
      </c>
      <c r="C3585" s="1">
        <v>20</v>
      </c>
      <c r="D3585" s="39">
        <v>803</v>
      </c>
      <c r="F3585" s="39">
        <f t="shared" si="239"/>
        <v>7</v>
      </c>
    </row>
    <row r="3586" spans="1:10" s="393" customFormat="1" x14ac:dyDescent="0.25">
      <c r="A3586" s="19" t="s">
        <v>41</v>
      </c>
      <c r="B3586" s="2">
        <v>44042</v>
      </c>
      <c r="C3586" s="1">
        <v>0</v>
      </c>
      <c r="D3586" s="39">
        <v>82</v>
      </c>
      <c r="E3586" s="1"/>
      <c r="F3586" s="39">
        <f>E3586+F3562</f>
        <v>0</v>
      </c>
      <c r="G3586" s="395"/>
      <c r="H3586" s="395"/>
      <c r="J3586" s="42"/>
    </row>
    <row r="3587" spans="1:10" s="393" customFormat="1" x14ac:dyDescent="0.25">
      <c r="A3587" s="19" t="s">
        <v>32</v>
      </c>
      <c r="B3587" s="2">
        <v>44042</v>
      </c>
      <c r="C3587" s="1">
        <v>161</v>
      </c>
      <c r="D3587" s="39">
        <v>2011</v>
      </c>
      <c r="E3587" s="1"/>
      <c r="F3587" s="39">
        <f t="shared" ref="F3587:F3596" si="240">E3587+F3562</f>
        <v>0</v>
      </c>
      <c r="G3587" s="395"/>
      <c r="H3587" s="395"/>
      <c r="J3587" s="42"/>
    </row>
    <row r="3588" spans="1:10" s="393" customFormat="1" x14ac:dyDescent="0.25">
      <c r="A3588" s="19" t="s">
        <v>33</v>
      </c>
      <c r="B3588" s="2">
        <v>44042</v>
      </c>
      <c r="C3588" s="1">
        <v>6</v>
      </c>
      <c r="D3588" s="39">
        <v>75</v>
      </c>
      <c r="E3588" s="1"/>
      <c r="F3588" s="39">
        <f t="shared" si="240"/>
        <v>0</v>
      </c>
      <c r="G3588" s="395"/>
      <c r="H3588" s="395"/>
      <c r="J3588" s="42"/>
    </row>
    <row r="3589" spans="1:10" s="393" customFormat="1" x14ac:dyDescent="0.25">
      <c r="A3589" s="19" t="s">
        <v>21</v>
      </c>
      <c r="B3589" s="2">
        <v>44042</v>
      </c>
      <c r="C3589" s="1">
        <v>11</v>
      </c>
      <c r="D3589" s="39">
        <v>301</v>
      </c>
      <c r="E3589" s="1"/>
      <c r="F3589" s="39">
        <f t="shared" si="240"/>
        <v>0</v>
      </c>
      <c r="G3589" s="395"/>
      <c r="H3589" s="395"/>
      <c r="J3589" s="42"/>
    </row>
    <row r="3590" spans="1:10" s="393" customFormat="1" x14ac:dyDescent="0.25">
      <c r="A3590" s="19" t="s">
        <v>17</v>
      </c>
      <c r="B3590" s="2">
        <v>44042</v>
      </c>
      <c r="C3590" s="1">
        <v>77</v>
      </c>
      <c r="D3590" s="39">
        <v>1087</v>
      </c>
      <c r="E3590" s="1">
        <v>1</v>
      </c>
      <c r="F3590" s="39">
        <f t="shared" si="240"/>
        <v>1</v>
      </c>
      <c r="G3590" s="395"/>
      <c r="H3590" s="395"/>
      <c r="J3590" s="42"/>
    </row>
    <row r="3591" spans="1:10" s="393" customFormat="1" x14ac:dyDescent="0.25">
      <c r="A3591" s="19" t="s">
        <v>23</v>
      </c>
      <c r="B3591" s="2">
        <v>44042</v>
      </c>
      <c r="C3591" s="1">
        <v>1</v>
      </c>
      <c r="D3591" s="39">
        <v>53</v>
      </c>
      <c r="E3591" s="1"/>
      <c r="F3591" s="39">
        <f t="shared" si="240"/>
        <v>4</v>
      </c>
      <c r="G3591" s="395"/>
      <c r="H3591" s="395"/>
      <c r="J3591" s="42"/>
    </row>
    <row r="3592" spans="1:10" s="393" customFormat="1" x14ac:dyDescent="0.25">
      <c r="A3592" s="19" t="s">
        <v>19</v>
      </c>
      <c r="B3592" s="2">
        <v>44042</v>
      </c>
      <c r="C3592" s="1">
        <v>27</v>
      </c>
      <c r="D3592" s="39">
        <v>1143</v>
      </c>
      <c r="E3592" s="1"/>
      <c r="F3592" s="39">
        <f t="shared" si="240"/>
        <v>3</v>
      </c>
      <c r="G3592" s="395"/>
      <c r="H3592" s="395"/>
      <c r="J3592" s="42"/>
    </row>
    <row r="3593" spans="1:10" s="393" customFormat="1" x14ac:dyDescent="0.25">
      <c r="A3593" s="19" t="s">
        <v>18</v>
      </c>
      <c r="B3593" s="2">
        <v>44042</v>
      </c>
      <c r="C3593" s="1">
        <v>81</v>
      </c>
      <c r="D3593" s="39">
        <v>1843</v>
      </c>
      <c r="E3593" s="1">
        <v>2</v>
      </c>
      <c r="F3593" s="39">
        <f t="shared" si="240"/>
        <v>2</v>
      </c>
      <c r="G3593" s="395"/>
      <c r="H3593" s="395"/>
      <c r="J3593" s="42"/>
    </row>
    <row r="3594" spans="1:10" s="393" customFormat="1" x14ac:dyDescent="0.25">
      <c r="A3594" s="19" t="s">
        <v>34</v>
      </c>
      <c r="B3594" s="2">
        <v>44042</v>
      </c>
      <c r="C3594" s="1">
        <v>11</v>
      </c>
      <c r="D3594" s="39">
        <v>256</v>
      </c>
      <c r="E3594" s="1"/>
      <c r="F3594" s="39">
        <f t="shared" si="240"/>
        <v>4</v>
      </c>
      <c r="G3594" s="395"/>
      <c r="H3594" s="395"/>
      <c r="J3594" s="42"/>
    </row>
    <row r="3595" spans="1:10" s="393" customFormat="1" x14ac:dyDescent="0.25">
      <c r="A3595" s="19" t="s">
        <v>35</v>
      </c>
      <c r="B3595" s="2">
        <v>44042</v>
      </c>
      <c r="C3595" s="1">
        <v>1</v>
      </c>
      <c r="D3595" s="39">
        <v>21</v>
      </c>
      <c r="E3595" s="1"/>
      <c r="F3595" s="39">
        <f>E3595+F3571</f>
        <v>0</v>
      </c>
      <c r="G3595" s="395"/>
      <c r="H3595" s="395"/>
      <c r="J3595" s="42"/>
    </row>
    <row r="3596" spans="1:10" s="393" customFormat="1" x14ac:dyDescent="0.25">
      <c r="A3596" s="19" t="s">
        <v>36</v>
      </c>
      <c r="B3596" s="2">
        <v>44042</v>
      </c>
      <c r="C3596" s="1">
        <v>3</v>
      </c>
      <c r="D3596" s="39">
        <v>27</v>
      </c>
      <c r="E3596" s="1"/>
      <c r="F3596" s="39">
        <f t="shared" si="240"/>
        <v>0</v>
      </c>
      <c r="G3596" s="395"/>
      <c r="H3596" s="395"/>
      <c r="J3596" s="42"/>
    </row>
    <row r="3597" spans="1:10" s="393" customFormat="1" x14ac:dyDescent="0.25">
      <c r="A3597" s="19" t="s">
        <v>37</v>
      </c>
      <c r="B3597" s="2">
        <v>44042</v>
      </c>
      <c r="C3597" s="1">
        <v>9</v>
      </c>
      <c r="D3597" s="39">
        <v>429</v>
      </c>
      <c r="E3597" s="1">
        <v>1</v>
      </c>
      <c r="F3597" s="39">
        <f t="shared" ref="F3597:F3602" si="241">E3597+F3573</f>
        <v>1</v>
      </c>
      <c r="G3597" s="395"/>
      <c r="H3597" s="395"/>
      <c r="J3597" s="42"/>
    </row>
    <row r="3598" spans="1:10" s="393" customFormat="1" x14ac:dyDescent="0.25">
      <c r="A3598" s="19" t="s">
        <v>22</v>
      </c>
      <c r="B3598" s="2">
        <v>44042</v>
      </c>
      <c r="C3598" s="1">
        <v>50</v>
      </c>
      <c r="D3598" s="39">
        <v>1153</v>
      </c>
      <c r="E3598" s="1"/>
      <c r="F3598" s="39">
        <f t="shared" si="241"/>
        <v>12</v>
      </c>
      <c r="G3598" s="395"/>
      <c r="H3598" s="395"/>
      <c r="J3598" s="42"/>
    </row>
    <row r="3599" spans="1:10" s="393" customFormat="1" x14ac:dyDescent="0.25">
      <c r="A3599" s="19" t="s">
        <v>38</v>
      </c>
      <c r="B3599" s="2">
        <v>44042</v>
      </c>
      <c r="C3599" s="1">
        <v>2</v>
      </c>
      <c r="D3599" s="39">
        <v>46</v>
      </c>
      <c r="E3599" s="1"/>
      <c r="F3599" s="39">
        <f t="shared" si="241"/>
        <v>1</v>
      </c>
      <c r="G3599" s="395"/>
      <c r="H3599" s="395"/>
      <c r="J3599" s="42"/>
    </row>
    <row r="3600" spans="1:10" s="393" customFormat="1" x14ac:dyDescent="0.25">
      <c r="A3600" s="19" t="s">
        <v>39</v>
      </c>
      <c r="B3600" s="2">
        <v>44042</v>
      </c>
      <c r="C3600" s="1">
        <v>33</v>
      </c>
      <c r="D3600" s="39">
        <v>446</v>
      </c>
      <c r="E3600" s="1"/>
      <c r="F3600" s="39">
        <f t="shared" si="241"/>
        <v>1</v>
      </c>
      <c r="G3600" s="395"/>
      <c r="H3600" s="395"/>
      <c r="J3600" s="42"/>
    </row>
    <row r="3601" spans="1:10" s="393" customFormat="1" x14ac:dyDescent="0.25">
      <c r="A3601" s="19" t="s">
        <v>40</v>
      </c>
      <c r="B3601" s="2">
        <v>44042</v>
      </c>
      <c r="C3601" s="1">
        <v>37</v>
      </c>
      <c r="D3601" s="39">
        <v>203</v>
      </c>
      <c r="E3601" s="1"/>
      <c r="F3601" s="39">
        <f t="shared" si="241"/>
        <v>4</v>
      </c>
      <c r="G3601" s="395"/>
      <c r="H3601" s="395"/>
      <c r="J3601" s="42"/>
    </row>
    <row r="3602" spans="1:10" s="393" customFormat="1" x14ac:dyDescent="0.25">
      <c r="A3602" s="394" t="s">
        <v>16</v>
      </c>
      <c r="B3602" s="2">
        <v>44043</v>
      </c>
      <c r="C3602" s="1">
        <v>3911</v>
      </c>
      <c r="D3602" s="39">
        <v>114569</v>
      </c>
      <c r="E3602" s="1">
        <v>67</v>
      </c>
      <c r="F3602" s="39">
        <f t="shared" si="241"/>
        <v>1911</v>
      </c>
      <c r="G3602" s="395"/>
      <c r="H3602" s="395"/>
      <c r="J3602" s="42"/>
    </row>
    <row r="3603" spans="1:10" s="393" customFormat="1" x14ac:dyDescent="0.25">
      <c r="A3603" s="19" t="s">
        <v>28</v>
      </c>
      <c r="B3603" s="2">
        <v>44043</v>
      </c>
      <c r="C3603" s="1">
        <v>0</v>
      </c>
      <c r="D3603" s="39">
        <v>61</v>
      </c>
      <c r="E3603" s="1"/>
      <c r="F3603" s="39">
        <f t="shared" ref="F3603:F3609" si="242">E3603+F3579</f>
        <v>0</v>
      </c>
      <c r="G3603" s="395"/>
      <c r="H3603" s="395"/>
      <c r="J3603" s="42"/>
    </row>
    <row r="3604" spans="1:10" s="393" customFormat="1" x14ac:dyDescent="0.25">
      <c r="A3604" s="19" t="s">
        <v>15</v>
      </c>
      <c r="B3604" s="2">
        <v>44043</v>
      </c>
      <c r="C3604" s="1">
        <v>58</v>
      </c>
      <c r="D3604" s="39">
        <v>3579</v>
      </c>
      <c r="E3604" s="1">
        <v>2</v>
      </c>
      <c r="F3604" s="39">
        <f t="shared" si="242"/>
        <v>141</v>
      </c>
      <c r="G3604" s="395"/>
      <c r="H3604" s="395"/>
      <c r="J3604" s="42"/>
    </row>
    <row r="3605" spans="1:10" s="393" customFormat="1" x14ac:dyDescent="0.25">
      <c r="A3605" s="19" t="s">
        <v>29</v>
      </c>
      <c r="B3605" s="2">
        <v>44043</v>
      </c>
      <c r="C3605" s="1">
        <v>1</v>
      </c>
      <c r="D3605" s="39">
        <v>276</v>
      </c>
      <c r="E3605" s="1">
        <v>1</v>
      </c>
      <c r="F3605" s="39">
        <f t="shared" si="242"/>
        <v>4</v>
      </c>
      <c r="G3605" s="395"/>
      <c r="H3605" s="395"/>
      <c r="J3605" s="42"/>
    </row>
    <row r="3606" spans="1:10" s="393" customFormat="1" x14ac:dyDescent="0.25">
      <c r="A3606" s="19" t="s">
        <v>43</v>
      </c>
      <c r="B3606" s="2">
        <v>44043</v>
      </c>
      <c r="C3606" s="1">
        <v>1142</v>
      </c>
      <c r="D3606" s="39">
        <v>59687</v>
      </c>
      <c r="E3606" s="1">
        <f>7+6+9+4</f>
        <v>26</v>
      </c>
      <c r="F3606" s="39">
        <f t="shared" si="242"/>
        <v>1228</v>
      </c>
      <c r="G3606" s="395"/>
      <c r="H3606" s="395"/>
      <c r="J3606" s="42"/>
    </row>
    <row r="3607" spans="1:10" s="393" customFormat="1" x14ac:dyDescent="0.25">
      <c r="A3607" s="19" t="s">
        <v>20</v>
      </c>
      <c r="B3607" s="2">
        <v>44043</v>
      </c>
      <c r="C3607" s="1">
        <v>108</v>
      </c>
      <c r="D3607" s="39">
        <v>2259</v>
      </c>
      <c r="E3607" s="1"/>
      <c r="F3607" s="39">
        <f t="shared" si="242"/>
        <v>43</v>
      </c>
      <c r="G3607" s="395"/>
      <c r="H3607" s="395"/>
      <c r="J3607" s="42"/>
    </row>
    <row r="3608" spans="1:10" s="393" customFormat="1" x14ac:dyDescent="0.25">
      <c r="A3608" s="19" t="s">
        <v>30</v>
      </c>
      <c r="B3608" s="2">
        <v>44043</v>
      </c>
      <c r="C3608" s="1">
        <v>3</v>
      </c>
      <c r="D3608" s="39">
        <v>169</v>
      </c>
      <c r="E3608" s="1"/>
      <c r="F3608" s="39">
        <f t="shared" si="242"/>
        <v>1</v>
      </c>
      <c r="G3608" s="395"/>
      <c r="H3608" s="395"/>
      <c r="J3608" s="42"/>
    </row>
    <row r="3609" spans="1:10" x14ac:dyDescent="0.25">
      <c r="A3609" s="19" t="s">
        <v>31</v>
      </c>
      <c r="B3609" s="2">
        <v>44043</v>
      </c>
      <c r="C3609" s="1">
        <v>9</v>
      </c>
      <c r="D3609" s="39">
        <v>812</v>
      </c>
      <c r="E3609" s="1">
        <v>1</v>
      </c>
      <c r="F3609" s="39">
        <f t="shared" si="242"/>
        <v>8</v>
      </c>
    </row>
    <row r="3610" spans="1:10" s="393" customFormat="1" x14ac:dyDescent="0.25">
      <c r="A3610" s="19" t="s">
        <v>41</v>
      </c>
      <c r="B3610" s="2">
        <v>44043</v>
      </c>
      <c r="C3610" s="1">
        <v>0</v>
      </c>
      <c r="D3610" s="39">
        <v>82</v>
      </c>
      <c r="E3610" s="1"/>
      <c r="F3610" s="39">
        <f>E3610+F3586</f>
        <v>0</v>
      </c>
      <c r="G3610" s="395"/>
      <c r="H3610" s="395"/>
      <c r="J3610" s="42"/>
    </row>
    <row r="3611" spans="1:10" s="393" customFormat="1" x14ac:dyDescent="0.25">
      <c r="A3611" s="19" t="s">
        <v>32</v>
      </c>
      <c r="B3611" s="2">
        <v>44043</v>
      </c>
      <c r="C3611" s="1">
        <v>238</v>
      </c>
      <c r="D3611" s="39">
        <v>2249</v>
      </c>
      <c r="E3611" s="1"/>
      <c r="F3611" s="39">
        <f t="shared" ref="F3611:F3620" si="243">E3611+F3586</f>
        <v>0</v>
      </c>
      <c r="G3611" s="395"/>
      <c r="H3611" s="395"/>
      <c r="J3611" s="42"/>
    </row>
    <row r="3612" spans="1:10" s="393" customFormat="1" x14ac:dyDescent="0.25">
      <c r="A3612" s="19" t="s">
        <v>33</v>
      </c>
      <c r="B3612" s="2">
        <v>44043</v>
      </c>
      <c r="C3612" s="1">
        <v>42</v>
      </c>
      <c r="D3612" s="39">
        <v>117</v>
      </c>
      <c r="E3612" s="1"/>
      <c r="F3612" s="39">
        <f t="shared" si="243"/>
        <v>0</v>
      </c>
      <c r="G3612" s="395"/>
      <c r="H3612" s="395"/>
      <c r="J3612" s="42"/>
    </row>
    <row r="3613" spans="1:10" s="393" customFormat="1" x14ac:dyDescent="0.25">
      <c r="A3613" s="19" t="s">
        <v>21</v>
      </c>
      <c r="B3613" s="2">
        <v>44043</v>
      </c>
      <c r="C3613" s="1">
        <v>36</v>
      </c>
      <c r="D3613" s="39">
        <v>337</v>
      </c>
      <c r="E3613" s="1"/>
      <c r="F3613" s="39">
        <f t="shared" si="243"/>
        <v>0</v>
      </c>
      <c r="G3613" s="395"/>
      <c r="H3613" s="395"/>
      <c r="J3613" s="42"/>
    </row>
    <row r="3614" spans="1:10" s="393" customFormat="1" x14ac:dyDescent="0.25">
      <c r="A3614" s="19" t="s">
        <v>17</v>
      </c>
      <c r="B3614" s="2">
        <v>44043</v>
      </c>
      <c r="C3614" s="1">
        <v>124</v>
      </c>
      <c r="D3614" s="39">
        <v>1211</v>
      </c>
      <c r="E3614" s="1">
        <v>1</v>
      </c>
      <c r="F3614" s="39">
        <f t="shared" si="243"/>
        <v>1</v>
      </c>
      <c r="G3614" s="395"/>
      <c r="H3614" s="395"/>
      <c r="J3614" s="42"/>
    </row>
    <row r="3615" spans="1:10" s="393" customFormat="1" x14ac:dyDescent="0.25">
      <c r="A3615" s="19" t="s">
        <v>23</v>
      </c>
      <c r="B3615" s="2">
        <v>44043</v>
      </c>
      <c r="C3615" s="1">
        <v>6</v>
      </c>
      <c r="D3615" s="39">
        <v>59</v>
      </c>
      <c r="E3615" s="1"/>
      <c r="F3615" s="39">
        <f t="shared" si="243"/>
        <v>1</v>
      </c>
      <c r="G3615" s="395"/>
      <c r="H3615" s="395"/>
      <c r="J3615" s="42"/>
    </row>
    <row r="3616" spans="1:10" s="393" customFormat="1" x14ac:dyDescent="0.25">
      <c r="A3616" s="19" t="s">
        <v>19</v>
      </c>
      <c r="B3616" s="2">
        <v>44043</v>
      </c>
      <c r="C3616" s="1">
        <v>35</v>
      </c>
      <c r="D3616" s="39">
        <v>1178</v>
      </c>
      <c r="E3616" s="1"/>
      <c r="F3616" s="39">
        <f t="shared" si="243"/>
        <v>4</v>
      </c>
      <c r="G3616" s="395"/>
      <c r="H3616" s="395"/>
      <c r="J3616" s="42"/>
    </row>
    <row r="3617" spans="1:10" s="393" customFormat="1" x14ac:dyDescent="0.25">
      <c r="A3617" s="19" t="s">
        <v>18</v>
      </c>
      <c r="B3617" s="2">
        <v>44043</v>
      </c>
      <c r="C3617" s="1">
        <v>104</v>
      </c>
      <c r="D3617" s="39">
        <v>1947</v>
      </c>
      <c r="E3617" s="1">
        <v>2</v>
      </c>
      <c r="F3617" s="39">
        <f t="shared" si="243"/>
        <v>5</v>
      </c>
      <c r="G3617" s="395"/>
      <c r="H3617" s="395"/>
      <c r="J3617" s="42"/>
    </row>
    <row r="3618" spans="1:10" s="393" customFormat="1" x14ac:dyDescent="0.25">
      <c r="A3618" s="19" t="s">
        <v>34</v>
      </c>
      <c r="B3618" s="2">
        <v>44043</v>
      </c>
      <c r="C3618" s="1">
        <v>7</v>
      </c>
      <c r="D3618" s="39">
        <v>263</v>
      </c>
      <c r="E3618" s="1"/>
      <c r="F3618" s="39">
        <f t="shared" si="243"/>
        <v>2</v>
      </c>
      <c r="G3618" s="395"/>
      <c r="H3618" s="395"/>
      <c r="J3618" s="42"/>
    </row>
    <row r="3619" spans="1:10" s="393" customFormat="1" x14ac:dyDescent="0.25">
      <c r="A3619" s="19" t="s">
        <v>35</v>
      </c>
      <c r="B3619" s="2">
        <v>44043</v>
      </c>
      <c r="C3619" s="1">
        <v>-1</v>
      </c>
      <c r="D3619" s="39">
        <v>20</v>
      </c>
      <c r="E3619" s="1"/>
      <c r="F3619" s="39">
        <f>E3619+F3595</f>
        <v>0</v>
      </c>
      <c r="G3619" s="395"/>
      <c r="H3619" s="395"/>
      <c r="J3619" s="42"/>
    </row>
    <row r="3620" spans="1:10" s="393" customFormat="1" x14ac:dyDescent="0.25">
      <c r="A3620" s="19" t="s">
        <v>36</v>
      </c>
      <c r="B3620" s="2">
        <v>44043</v>
      </c>
      <c r="C3620" s="1">
        <v>-1</v>
      </c>
      <c r="D3620" s="39">
        <v>26</v>
      </c>
      <c r="E3620" s="1"/>
      <c r="F3620" s="39">
        <f t="shared" si="243"/>
        <v>0</v>
      </c>
      <c r="G3620" s="395"/>
      <c r="H3620" s="395"/>
      <c r="J3620" s="42"/>
    </row>
    <row r="3621" spans="1:10" s="393" customFormat="1" x14ac:dyDescent="0.25">
      <c r="A3621" s="19" t="s">
        <v>37</v>
      </c>
      <c r="B3621" s="2">
        <v>44043</v>
      </c>
      <c r="C3621" s="1">
        <v>25</v>
      </c>
      <c r="D3621" s="39">
        <v>454</v>
      </c>
      <c r="E3621" s="1">
        <v>1</v>
      </c>
      <c r="F3621" s="39">
        <f t="shared" ref="F3621:F3626" si="244">E3621+F3597</f>
        <v>2</v>
      </c>
      <c r="G3621" s="395"/>
      <c r="H3621" s="395"/>
      <c r="J3621" s="42"/>
    </row>
    <row r="3622" spans="1:10" s="393" customFormat="1" x14ac:dyDescent="0.25">
      <c r="A3622" s="19" t="s">
        <v>22</v>
      </c>
      <c r="B3622" s="2">
        <v>44043</v>
      </c>
      <c r="C3622" s="1">
        <v>63</v>
      </c>
      <c r="D3622" s="39">
        <v>1216</v>
      </c>
      <c r="E3622" s="1">
        <v>1</v>
      </c>
      <c r="F3622" s="39">
        <f t="shared" si="244"/>
        <v>13</v>
      </c>
      <c r="G3622" s="395"/>
      <c r="H3622" s="395"/>
      <c r="J3622" s="42"/>
    </row>
    <row r="3623" spans="1:10" s="393" customFormat="1" x14ac:dyDescent="0.25">
      <c r="A3623" s="19" t="s">
        <v>38</v>
      </c>
      <c r="B3623" s="2">
        <v>44043</v>
      </c>
      <c r="C3623" s="1">
        <v>-1</v>
      </c>
      <c r="D3623" s="39">
        <v>45</v>
      </c>
      <c r="E3623" s="1"/>
      <c r="F3623" s="39">
        <f t="shared" si="244"/>
        <v>1</v>
      </c>
      <c r="G3623" s="395"/>
      <c r="H3623" s="395"/>
      <c r="J3623" s="42"/>
    </row>
    <row r="3624" spans="1:10" s="393" customFormat="1" x14ac:dyDescent="0.25">
      <c r="A3624" s="19" t="s">
        <v>39</v>
      </c>
      <c r="B3624" s="2">
        <v>44043</v>
      </c>
      <c r="C3624" s="1">
        <v>12</v>
      </c>
      <c r="D3624" s="39">
        <v>458</v>
      </c>
      <c r="E3624" s="1"/>
      <c r="F3624" s="39">
        <f t="shared" si="244"/>
        <v>1</v>
      </c>
      <c r="G3624" s="395"/>
      <c r="H3624" s="395"/>
      <c r="J3624" s="42"/>
    </row>
    <row r="3625" spans="1:10" s="393" customFormat="1" x14ac:dyDescent="0.25">
      <c r="A3625" s="19" t="s">
        <v>40</v>
      </c>
      <c r="B3625" s="2">
        <v>44043</v>
      </c>
      <c r="C3625" s="1">
        <v>8</v>
      </c>
      <c r="D3625" s="39">
        <v>211</v>
      </c>
      <c r="E3625" s="1"/>
      <c r="F3625" s="39">
        <f t="shared" si="244"/>
        <v>4</v>
      </c>
      <c r="G3625" s="395"/>
      <c r="H3625" s="395"/>
      <c r="J3625" s="42"/>
    </row>
    <row r="3626" spans="1:10" s="393" customFormat="1" x14ac:dyDescent="0.25">
      <c r="A3626" s="394" t="s">
        <v>16</v>
      </c>
      <c r="B3626" s="2">
        <v>44044</v>
      </c>
      <c r="C3626" s="1">
        <v>3586</v>
      </c>
      <c r="D3626" s="39">
        <v>118155</v>
      </c>
      <c r="E3626" s="1">
        <v>35</v>
      </c>
      <c r="F3626" s="39">
        <f t="shared" si="244"/>
        <v>1946</v>
      </c>
      <c r="G3626" s="395"/>
      <c r="H3626" s="395"/>
      <c r="J3626" s="42"/>
    </row>
    <row r="3627" spans="1:10" s="393" customFormat="1" x14ac:dyDescent="0.25">
      <c r="A3627" s="19" t="s">
        <v>28</v>
      </c>
      <c r="B3627" s="2">
        <v>44044</v>
      </c>
      <c r="C3627" s="1">
        <v>0</v>
      </c>
      <c r="D3627" s="39">
        <v>61</v>
      </c>
      <c r="E3627" s="1"/>
      <c r="F3627" s="39">
        <f t="shared" ref="F3627:F3633" si="245">E3627+F3603</f>
        <v>0</v>
      </c>
      <c r="G3627" s="395"/>
      <c r="H3627" s="395"/>
      <c r="J3627" s="42"/>
    </row>
    <row r="3628" spans="1:10" s="393" customFormat="1" x14ac:dyDescent="0.25">
      <c r="A3628" s="19" t="s">
        <v>15</v>
      </c>
      <c r="B3628" s="2">
        <v>44044</v>
      </c>
      <c r="C3628" s="1">
        <v>59</v>
      </c>
      <c r="D3628" s="39">
        <v>3638</v>
      </c>
      <c r="E3628" s="1"/>
      <c r="F3628" s="39">
        <f t="shared" si="245"/>
        <v>141</v>
      </c>
      <c r="G3628" s="395"/>
      <c r="H3628" s="395"/>
      <c r="J3628" s="42"/>
    </row>
    <row r="3629" spans="1:10" s="393" customFormat="1" x14ac:dyDescent="0.25">
      <c r="A3629" s="19" t="s">
        <v>29</v>
      </c>
      <c r="B3629" s="2">
        <v>44044</v>
      </c>
      <c r="C3629" s="1">
        <v>10</v>
      </c>
      <c r="D3629" s="39">
        <v>286</v>
      </c>
      <c r="E3629" s="1"/>
      <c r="F3629" s="39">
        <f t="shared" si="245"/>
        <v>4</v>
      </c>
      <c r="G3629" s="395"/>
      <c r="H3629" s="395"/>
      <c r="J3629" s="42"/>
    </row>
    <row r="3630" spans="1:10" s="393" customFormat="1" x14ac:dyDescent="0.25">
      <c r="A3630" s="19" t="s">
        <v>43</v>
      </c>
      <c r="B3630" s="2">
        <v>44044</v>
      </c>
      <c r="C3630" s="1">
        <v>968</v>
      </c>
      <c r="D3630" s="39">
        <v>60655</v>
      </c>
      <c r="E3630" s="1">
        <v>13</v>
      </c>
      <c r="F3630" s="39">
        <f t="shared" si="245"/>
        <v>1241</v>
      </c>
      <c r="G3630" s="395"/>
      <c r="H3630" s="395"/>
      <c r="J3630" s="42"/>
    </row>
    <row r="3631" spans="1:10" s="393" customFormat="1" x14ac:dyDescent="0.25">
      <c r="A3631" s="19" t="s">
        <v>20</v>
      </c>
      <c r="B3631" s="2">
        <v>44044</v>
      </c>
      <c r="C3631" s="1">
        <v>91</v>
      </c>
      <c r="D3631" s="39">
        <v>2350</v>
      </c>
      <c r="E3631" s="1">
        <v>2</v>
      </c>
      <c r="F3631" s="39">
        <f t="shared" si="245"/>
        <v>45</v>
      </c>
      <c r="G3631" s="395"/>
      <c r="H3631" s="395"/>
      <c r="J3631" s="42"/>
    </row>
    <row r="3632" spans="1:10" s="393" customFormat="1" x14ac:dyDescent="0.25">
      <c r="A3632" s="19" t="s">
        <v>30</v>
      </c>
      <c r="B3632" s="2">
        <v>44044</v>
      </c>
      <c r="C3632" s="1">
        <v>25</v>
      </c>
      <c r="D3632" s="39">
        <v>194</v>
      </c>
      <c r="E3632" s="1"/>
      <c r="F3632" s="39">
        <f t="shared" si="245"/>
        <v>1</v>
      </c>
      <c r="G3632" s="395"/>
      <c r="H3632" s="395"/>
      <c r="J3632" s="42"/>
    </row>
    <row r="3633" spans="1:10" x14ac:dyDescent="0.25">
      <c r="A3633" s="19" t="s">
        <v>31</v>
      </c>
      <c r="B3633" s="2">
        <v>44044</v>
      </c>
      <c r="C3633" s="1">
        <v>14</v>
      </c>
      <c r="D3633" s="39">
        <v>826</v>
      </c>
      <c r="F3633" s="39">
        <f t="shared" si="245"/>
        <v>8</v>
      </c>
    </row>
    <row r="3634" spans="1:10" s="393" customFormat="1" x14ac:dyDescent="0.25">
      <c r="A3634" s="19" t="s">
        <v>41</v>
      </c>
      <c r="B3634" s="2">
        <v>44044</v>
      </c>
      <c r="C3634" s="1">
        <v>0</v>
      </c>
      <c r="D3634" s="39">
        <v>82</v>
      </c>
      <c r="E3634" s="1"/>
      <c r="F3634" s="39">
        <f>E3634+F3610</f>
        <v>0</v>
      </c>
      <c r="G3634" s="395"/>
      <c r="H3634" s="395"/>
      <c r="J3634" s="42"/>
    </row>
    <row r="3635" spans="1:10" s="393" customFormat="1" x14ac:dyDescent="0.25">
      <c r="A3635" s="19" t="s">
        <v>32</v>
      </c>
      <c r="B3635" s="2">
        <v>44044</v>
      </c>
      <c r="C3635" s="1">
        <v>85</v>
      </c>
      <c r="D3635" s="39">
        <v>2334</v>
      </c>
      <c r="E3635" s="1"/>
      <c r="F3635" s="39">
        <f t="shared" ref="F3635:F3644" si="246">E3635+F3610</f>
        <v>0</v>
      </c>
      <c r="G3635" s="395"/>
      <c r="H3635" s="395"/>
      <c r="J3635" s="42"/>
    </row>
    <row r="3636" spans="1:10" s="393" customFormat="1" x14ac:dyDescent="0.25">
      <c r="A3636" s="19" t="s">
        <v>33</v>
      </c>
      <c r="B3636" s="2">
        <v>44044</v>
      </c>
      <c r="C3636" s="1">
        <v>29</v>
      </c>
      <c r="D3636" s="39">
        <v>146</v>
      </c>
      <c r="E3636" s="1"/>
      <c r="F3636" s="39">
        <f t="shared" si="246"/>
        <v>0</v>
      </c>
      <c r="G3636" s="395"/>
      <c r="H3636" s="395"/>
      <c r="J3636" s="42"/>
    </row>
    <row r="3637" spans="1:10" s="393" customFormat="1" x14ac:dyDescent="0.25">
      <c r="A3637" s="19" t="s">
        <v>21</v>
      </c>
      <c r="B3637" s="2">
        <v>44044</v>
      </c>
      <c r="C3637" s="1">
        <v>3</v>
      </c>
      <c r="D3637" s="39">
        <v>340</v>
      </c>
      <c r="E3637" s="1">
        <v>2</v>
      </c>
      <c r="F3637" s="39">
        <f t="shared" si="246"/>
        <v>2</v>
      </c>
      <c r="G3637" s="395"/>
      <c r="H3637" s="395"/>
      <c r="J3637" s="42"/>
    </row>
    <row r="3638" spans="1:10" s="393" customFormat="1" x14ac:dyDescent="0.25">
      <c r="A3638" s="19" t="s">
        <v>17</v>
      </c>
      <c r="B3638" s="2">
        <v>44044</v>
      </c>
      <c r="C3638" s="1">
        <v>84</v>
      </c>
      <c r="D3638" s="39">
        <v>1295</v>
      </c>
      <c r="E3638" s="1">
        <v>1</v>
      </c>
      <c r="F3638" s="39">
        <f t="shared" si="246"/>
        <v>1</v>
      </c>
      <c r="G3638" s="395"/>
      <c r="H3638" s="395"/>
      <c r="J3638" s="42"/>
    </row>
    <row r="3639" spans="1:10" s="393" customFormat="1" x14ac:dyDescent="0.25">
      <c r="A3639" s="19" t="s">
        <v>23</v>
      </c>
      <c r="B3639" s="2">
        <v>44044</v>
      </c>
      <c r="C3639" s="1">
        <v>-1</v>
      </c>
      <c r="D3639" s="39">
        <v>58</v>
      </c>
      <c r="E3639" s="1"/>
      <c r="F3639" s="39">
        <f t="shared" si="246"/>
        <v>1</v>
      </c>
      <c r="G3639" s="395"/>
      <c r="H3639" s="395"/>
      <c r="J3639" s="42"/>
    </row>
    <row r="3640" spans="1:10" s="393" customFormat="1" x14ac:dyDescent="0.25">
      <c r="A3640" s="19" t="s">
        <v>19</v>
      </c>
      <c r="B3640" s="2">
        <v>44044</v>
      </c>
      <c r="C3640" s="1">
        <v>8</v>
      </c>
      <c r="D3640" s="39">
        <v>1186</v>
      </c>
      <c r="E3640" s="1"/>
      <c r="F3640" s="39">
        <f t="shared" si="246"/>
        <v>1</v>
      </c>
      <c r="G3640" s="395"/>
      <c r="H3640" s="395"/>
      <c r="J3640" s="42"/>
    </row>
    <row r="3641" spans="1:10" s="393" customFormat="1" x14ac:dyDescent="0.25">
      <c r="A3641" s="19" t="s">
        <v>18</v>
      </c>
      <c r="B3641" s="2">
        <v>44044</v>
      </c>
      <c r="C3641" s="1">
        <v>60</v>
      </c>
      <c r="D3641" s="39">
        <v>2007</v>
      </c>
      <c r="E3641" s="1"/>
      <c r="F3641" s="39">
        <f t="shared" si="246"/>
        <v>4</v>
      </c>
      <c r="G3641" s="395"/>
      <c r="H3641" s="395"/>
      <c r="J3641" s="42"/>
    </row>
    <row r="3642" spans="1:10" s="393" customFormat="1" x14ac:dyDescent="0.25">
      <c r="A3642" s="19" t="s">
        <v>34</v>
      </c>
      <c r="B3642" s="2">
        <v>44044</v>
      </c>
      <c r="C3642" s="1">
        <v>22</v>
      </c>
      <c r="D3642" s="39">
        <v>285</v>
      </c>
      <c r="E3642" s="1"/>
      <c r="F3642" s="39">
        <f t="shared" si="246"/>
        <v>5</v>
      </c>
      <c r="G3642" s="395"/>
      <c r="H3642" s="395"/>
      <c r="J3642" s="42"/>
    </row>
    <row r="3643" spans="1:10" s="393" customFormat="1" x14ac:dyDescent="0.25">
      <c r="A3643" s="19" t="s">
        <v>35</v>
      </c>
      <c r="B3643" s="2">
        <v>44044</v>
      </c>
      <c r="C3643" s="1">
        <v>0</v>
      </c>
      <c r="D3643" s="39">
        <v>20</v>
      </c>
      <c r="E3643" s="1"/>
      <c r="F3643" s="39">
        <f>E3643+F3619</f>
        <v>0</v>
      </c>
      <c r="G3643" s="395"/>
      <c r="H3643" s="395"/>
      <c r="J3643" s="42"/>
    </row>
    <row r="3644" spans="1:10" s="393" customFormat="1" x14ac:dyDescent="0.25">
      <c r="A3644" s="19" t="s">
        <v>36</v>
      </c>
      <c r="B3644" s="2">
        <v>44044</v>
      </c>
      <c r="C3644" s="1">
        <v>2</v>
      </c>
      <c r="D3644" s="39">
        <v>28</v>
      </c>
      <c r="E3644" s="1"/>
      <c r="F3644" s="39">
        <f t="shared" si="246"/>
        <v>0</v>
      </c>
      <c r="G3644" s="395"/>
      <c r="H3644" s="395"/>
      <c r="J3644" s="42"/>
    </row>
    <row r="3645" spans="1:10" s="393" customFormat="1" x14ac:dyDescent="0.25">
      <c r="A3645" s="19" t="s">
        <v>37</v>
      </c>
      <c r="B3645" s="2">
        <v>44044</v>
      </c>
      <c r="C3645" s="1">
        <v>49</v>
      </c>
      <c r="D3645" s="39">
        <v>503</v>
      </c>
      <c r="E3645" s="1"/>
      <c r="F3645" s="39">
        <f t="shared" ref="F3645:F3650" si="247">E3645+F3621</f>
        <v>2</v>
      </c>
      <c r="G3645" s="395"/>
      <c r="H3645" s="395"/>
      <c r="J3645" s="42"/>
    </row>
    <row r="3646" spans="1:10" s="393" customFormat="1" x14ac:dyDescent="0.25">
      <c r="A3646" s="19" t="s">
        <v>22</v>
      </c>
      <c r="B3646" s="2">
        <v>44044</v>
      </c>
      <c r="C3646" s="1">
        <v>78</v>
      </c>
      <c r="D3646" s="39">
        <v>1294</v>
      </c>
      <c r="E3646" s="1"/>
      <c r="F3646" s="39">
        <f t="shared" si="247"/>
        <v>13</v>
      </c>
      <c r="G3646" s="395"/>
      <c r="H3646" s="395"/>
      <c r="J3646" s="42"/>
    </row>
    <row r="3647" spans="1:10" s="393" customFormat="1" x14ac:dyDescent="0.25">
      <c r="A3647" s="19" t="s">
        <v>38</v>
      </c>
      <c r="B3647" s="2">
        <v>44044</v>
      </c>
      <c r="C3647" s="1">
        <v>2</v>
      </c>
      <c r="D3647" s="39">
        <v>47</v>
      </c>
      <c r="E3647" s="1"/>
      <c r="F3647" s="39">
        <f t="shared" si="247"/>
        <v>1</v>
      </c>
      <c r="G3647" s="395"/>
      <c r="H3647" s="395"/>
      <c r="J3647" s="42"/>
    </row>
    <row r="3648" spans="1:10" s="393" customFormat="1" x14ac:dyDescent="0.25">
      <c r="A3648" s="19" t="s">
        <v>39</v>
      </c>
      <c r="B3648" s="2">
        <v>44044</v>
      </c>
      <c r="C3648" s="1">
        <v>47</v>
      </c>
      <c r="D3648" s="39">
        <v>505</v>
      </c>
      <c r="E3648" s="1"/>
      <c r="F3648" s="39">
        <f t="shared" si="247"/>
        <v>1</v>
      </c>
      <c r="G3648" s="395"/>
      <c r="H3648" s="395"/>
      <c r="J3648" s="42"/>
    </row>
    <row r="3649" spans="1:10" s="393" customFormat="1" x14ac:dyDescent="0.25">
      <c r="A3649" s="19" t="s">
        <v>40</v>
      </c>
      <c r="B3649" s="2">
        <v>44044</v>
      </c>
      <c r="C3649" s="1">
        <v>20</v>
      </c>
      <c r="D3649" s="39">
        <v>231</v>
      </c>
      <c r="E3649" s="1"/>
      <c r="F3649" s="39">
        <f t="shared" si="247"/>
        <v>4</v>
      </c>
      <c r="G3649" s="395"/>
      <c r="H3649" s="395"/>
      <c r="J3649" s="42"/>
    </row>
    <row r="3650" spans="1:10" s="393" customFormat="1" x14ac:dyDescent="0.25">
      <c r="A3650" s="394" t="s">
        <v>16</v>
      </c>
      <c r="B3650" s="2">
        <v>44045</v>
      </c>
      <c r="C3650" s="1">
        <v>3797</v>
      </c>
      <c r="D3650" s="39">
        <v>121952</v>
      </c>
      <c r="E3650" s="1">
        <v>35</v>
      </c>
      <c r="F3650" s="39">
        <f t="shared" si="247"/>
        <v>1981</v>
      </c>
      <c r="G3650" s="395"/>
      <c r="H3650" s="395"/>
      <c r="J3650" s="42"/>
    </row>
    <row r="3651" spans="1:10" s="393" customFormat="1" x14ac:dyDescent="0.25">
      <c r="A3651" s="19" t="s">
        <v>28</v>
      </c>
      <c r="B3651" s="2">
        <v>44045</v>
      </c>
      <c r="C3651" s="1">
        <v>2</v>
      </c>
      <c r="D3651" s="39">
        <v>63</v>
      </c>
      <c r="E3651" s="1"/>
      <c r="F3651" s="39">
        <f t="shared" ref="F3651:F3657" si="248">E3651+F3627</f>
        <v>0</v>
      </c>
      <c r="G3651" s="395"/>
      <c r="H3651" s="395"/>
      <c r="J3651" s="42"/>
    </row>
    <row r="3652" spans="1:10" s="393" customFormat="1" x14ac:dyDescent="0.25">
      <c r="A3652" s="19" t="s">
        <v>15</v>
      </c>
      <c r="B3652" s="2">
        <v>44045</v>
      </c>
      <c r="C3652" s="1">
        <v>33</v>
      </c>
      <c r="D3652" s="39">
        <v>3671</v>
      </c>
      <c r="E3652" s="1">
        <v>1</v>
      </c>
      <c r="F3652" s="39">
        <f t="shared" si="248"/>
        <v>142</v>
      </c>
      <c r="G3652" s="395"/>
      <c r="H3652" s="395"/>
      <c r="J3652" s="42"/>
    </row>
    <row r="3653" spans="1:10" s="393" customFormat="1" x14ac:dyDescent="0.25">
      <c r="A3653" s="19" t="s">
        <v>29</v>
      </c>
      <c r="B3653" s="2">
        <v>44045</v>
      </c>
      <c r="C3653" s="1">
        <v>2</v>
      </c>
      <c r="D3653" s="39">
        <v>288</v>
      </c>
      <c r="E3653" s="1"/>
      <c r="F3653" s="39">
        <f t="shared" si="248"/>
        <v>4</v>
      </c>
      <c r="G3653" s="395"/>
      <c r="H3653" s="395"/>
      <c r="J3653" s="42"/>
    </row>
    <row r="3654" spans="1:10" s="393" customFormat="1" x14ac:dyDescent="0.25">
      <c r="A3654" s="19" t="s">
        <v>43</v>
      </c>
      <c r="B3654" s="2">
        <v>44045</v>
      </c>
      <c r="C3654" s="1">
        <v>971</v>
      </c>
      <c r="D3654" s="39">
        <v>61626</v>
      </c>
      <c r="E3654" s="1">
        <v>6</v>
      </c>
      <c r="F3654" s="39">
        <f t="shared" si="248"/>
        <v>1247</v>
      </c>
      <c r="G3654" s="395"/>
      <c r="H3654" s="395"/>
      <c r="J3654" s="42"/>
    </row>
    <row r="3655" spans="1:10" s="393" customFormat="1" x14ac:dyDescent="0.25">
      <c r="A3655" s="19" t="s">
        <v>20</v>
      </c>
      <c r="B3655" s="2">
        <v>44045</v>
      </c>
      <c r="C3655" s="1">
        <v>87</v>
      </c>
      <c r="D3655" s="39">
        <v>2437</v>
      </c>
      <c r="E3655" s="1">
        <v>1</v>
      </c>
      <c r="F3655" s="39">
        <f t="shared" si="248"/>
        <v>46</v>
      </c>
      <c r="G3655" s="395"/>
      <c r="H3655" s="395"/>
      <c r="J3655" s="42"/>
    </row>
    <row r="3656" spans="1:10" s="393" customFormat="1" x14ac:dyDescent="0.25">
      <c r="A3656" s="19" t="s">
        <v>30</v>
      </c>
      <c r="B3656" s="2">
        <v>44045</v>
      </c>
      <c r="C3656" s="1">
        <v>4</v>
      </c>
      <c r="D3656" s="39">
        <v>198</v>
      </c>
      <c r="E3656" s="1"/>
      <c r="F3656" s="39">
        <f t="shared" si="248"/>
        <v>1</v>
      </c>
      <c r="G3656" s="395"/>
      <c r="H3656" s="395"/>
      <c r="J3656" s="42"/>
    </row>
    <row r="3657" spans="1:10" x14ac:dyDescent="0.25">
      <c r="A3657" s="19" t="s">
        <v>31</v>
      </c>
      <c r="B3657" s="2">
        <v>44045</v>
      </c>
      <c r="C3657" s="1">
        <v>20</v>
      </c>
      <c r="D3657" s="39">
        <v>846</v>
      </c>
      <c r="F3657" s="39">
        <f t="shared" si="248"/>
        <v>8</v>
      </c>
    </row>
    <row r="3658" spans="1:10" s="393" customFormat="1" x14ac:dyDescent="0.25">
      <c r="A3658" s="19" t="s">
        <v>41</v>
      </c>
      <c r="B3658" s="2">
        <v>44045</v>
      </c>
      <c r="C3658" s="1">
        <v>0</v>
      </c>
      <c r="D3658" s="39">
        <v>82</v>
      </c>
      <c r="E3658" s="1"/>
      <c r="F3658" s="39">
        <f>E3658+F3634</f>
        <v>0</v>
      </c>
      <c r="G3658" s="395"/>
      <c r="H3658" s="395"/>
      <c r="J3658" s="42"/>
    </row>
    <row r="3659" spans="1:10" s="393" customFormat="1" x14ac:dyDescent="0.25">
      <c r="A3659" s="19" t="s">
        <v>32</v>
      </c>
      <c r="B3659" s="2">
        <v>44045</v>
      </c>
      <c r="C3659" s="1">
        <v>38</v>
      </c>
      <c r="D3659" s="39">
        <v>2372</v>
      </c>
      <c r="E3659" s="1"/>
      <c r="F3659" s="39">
        <f t="shared" ref="F3659:F3668" si="249">E3659+F3634</f>
        <v>0</v>
      </c>
      <c r="G3659" s="395"/>
      <c r="H3659" s="395"/>
      <c r="J3659" s="42"/>
    </row>
    <row r="3660" spans="1:10" s="393" customFormat="1" x14ac:dyDescent="0.25">
      <c r="A3660" s="19" t="s">
        <v>33</v>
      </c>
      <c r="B3660" s="2">
        <v>44045</v>
      </c>
      <c r="C3660" s="1">
        <v>7</v>
      </c>
      <c r="D3660" s="39">
        <v>153</v>
      </c>
      <c r="E3660" s="1"/>
      <c r="F3660" s="39">
        <f t="shared" si="249"/>
        <v>0</v>
      </c>
      <c r="G3660" s="395"/>
      <c r="H3660" s="395"/>
      <c r="J3660" s="42"/>
    </row>
    <row r="3661" spans="1:10" s="393" customFormat="1" x14ac:dyDescent="0.25">
      <c r="A3661" s="19" t="s">
        <v>21</v>
      </c>
      <c r="B3661" s="2">
        <v>44045</v>
      </c>
      <c r="C3661" s="1">
        <v>7</v>
      </c>
      <c r="D3661" s="39">
        <v>347</v>
      </c>
      <c r="E3661" s="1"/>
      <c r="F3661" s="39">
        <f t="shared" si="249"/>
        <v>0</v>
      </c>
      <c r="G3661" s="395"/>
      <c r="H3661" s="395"/>
      <c r="J3661" s="42"/>
    </row>
    <row r="3662" spans="1:10" s="393" customFormat="1" x14ac:dyDescent="0.25">
      <c r="A3662" s="19" t="s">
        <v>17</v>
      </c>
      <c r="B3662" s="2">
        <v>44045</v>
      </c>
      <c r="C3662" s="1">
        <v>95</v>
      </c>
      <c r="D3662" s="39">
        <v>1390</v>
      </c>
      <c r="E3662" s="1">
        <v>4</v>
      </c>
      <c r="F3662" s="39">
        <f t="shared" si="249"/>
        <v>6</v>
      </c>
      <c r="G3662" s="395"/>
      <c r="H3662" s="395"/>
      <c r="J3662" s="42"/>
    </row>
    <row r="3663" spans="1:10" s="393" customFormat="1" x14ac:dyDescent="0.25">
      <c r="A3663" s="19" t="s">
        <v>23</v>
      </c>
      <c r="B3663" s="2">
        <v>44045</v>
      </c>
      <c r="C3663" s="1">
        <v>6</v>
      </c>
      <c r="D3663" s="39">
        <v>64</v>
      </c>
      <c r="E3663" s="1"/>
      <c r="F3663" s="39">
        <f t="shared" si="249"/>
        <v>1</v>
      </c>
      <c r="G3663" s="395"/>
      <c r="H3663" s="395"/>
      <c r="J3663" s="42"/>
    </row>
    <row r="3664" spans="1:10" s="393" customFormat="1" x14ac:dyDescent="0.25">
      <c r="A3664" s="19" t="s">
        <v>19</v>
      </c>
      <c r="B3664" s="2">
        <v>44045</v>
      </c>
      <c r="C3664" s="1">
        <v>8</v>
      </c>
      <c r="D3664" s="39">
        <v>1194</v>
      </c>
      <c r="E3664" s="1"/>
      <c r="F3664" s="39">
        <f t="shared" si="249"/>
        <v>1</v>
      </c>
      <c r="G3664" s="395"/>
      <c r="H3664" s="395"/>
      <c r="J3664" s="42"/>
    </row>
    <row r="3665" spans="1:10" s="393" customFormat="1" x14ac:dyDescent="0.25">
      <c r="A3665" s="19" t="s">
        <v>18</v>
      </c>
      <c r="B3665" s="2">
        <v>44045</v>
      </c>
      <c r="C3665" s="1">
        <v>56</v>
      </c>
      <c r="D3665" s="39">
        <v>2063</v>
      </c>
      <c r="E3665" s="1"/>
      <c r="F3665" s="39">
        <f t="shared" si="249"/>
        <v>1</v>
      </c>
      <c r="G3665" s="395"/>
      <c r="H3665" s="395"/>
      <c r="J3665" s="42"/>
    </row>
    <row r="3666" spans="1:10" s="393" customFormat="1" x14ac:dyDescent="0.25">
      <c r="A3666" s="19" t="s">
        <v>34</v>
      </c>
      <c r="B3666" s="2">
        <v>44045</v>
      </c>
      <c r="C3666" s="1">
        <v>17</v>
      </c>
      <c r="D3666" s="39">
        <v>302</v>
      </c>
      <c r="E3666" s="1"/>
      <c r="F3666" s="39">
        <f t="shared" si="249"/>
        <v>4</v>
      </c>
      <c r="G3666" s="395"/>
      <c r="H3666" s="395"/>
      <c r="J3666" s="42"/>
    </row>
    <row r="3667" spans="1:10" s="393" customFormat="1" x14ac:dyDescent="0.25">
      <c r="A3667" s="19" t="s">
        <v>35</v>
      </c>
      <c r="B3667" s="2">
        <v>44045</v>
      </c>
      <c r="C3667" s="1">
        <v>0</v>
      </c>
      <c r="D3667" s="39">
        <v>20</v>
      </c>
      <c r="E3667" s="1"/>
      <c r="F3667" s="39">
        <f>E3667+F3643</f>
        <v>0</v>
      </c>
      <c r="G3667" s="395"/>
      <c r="H3667" s="395"/>
      <c r="J3667" s="42"/>
    </row>
    <row r="3668" spans="1:10" s="393" customFormat="1" x14ac:dyDescent="0.25">
      <c r="A3668" s="19" t="s">
        <v>36</v>
      </c>
      <c r="B3668" s="2">
        <v>44045</v>
      </c>
      <c r="C3668" s="1">
        <v>0</v>
      </c>
      <c r="D3668" s="39">
        <v>28</v>
      </c>
      <c r="E3668" s="1"/>
      <c r="F3668" s="39">
        <f t="shared" si="249"/>
        <v>0</v>
      </c>
      <c r="G3668" s="395"/>
      <c r="H3668" s="395"/>
      <c r="J3668" s="42"/>
    </row>
    <row r="3669" spans="1:10" s="393" customFormat="1" x14ac:dyDescent="0.25">
      <c r="A3669" s="19" t="s">
        <v>37</v>
      </c>
      <c r="B3669" s="2">
        <v>44045</v>
      </c>
      <c r="C3669" s="1">
        <v>18</v>
      </c>
      <c r="D3669" s="39">
        <v>521</v>
      </c>
      <c r="E3669" s="1"/>
      <c r="F3669" s="39">
        <f t="shared" ref="F3669:F3674" si="250">E3669+F3645</f>
        <v>2</v>
      </c>
      <c r="G3669" s="395"/>
      <c r="H3669" s="395"/>
      <c r="J3669" s="42"/>
    </row>
    <row r="3670" spans="1:10" s="393" customFormat="1" x14ac:dyDescent="0.25">
      <c r="A3670" s="19" t="s">
        <v>22</v>
      </c>
      <c r="B3670" s="2">
        <v>44045</v>
      </c>
      <c r="C3670" s="1">
        <v>78</v>
      </c>
      <c r="D3670" s="39">
        <v>1372</v>
      </c>
      <c r="E3670" s="1">
        <v>2</v>
      </c>
      <c r="F3670" s="39">
        <f t="shared" si="250"/>
        <v>15</v>
      </c>
      <c r="G3670" s="395"/>
      <c r="H3670" s="395"/>
      <c r="J3670" s="42"/>
    </row>
    <row r="3671" spans="1:10" s="393" customFormat="1" x14ac:dyDescent="0.25">
      <c r="A3671" s="19" t="s">
        <v>38</v>
      </c>
      <c r="B3671" s="2">
        <v>44045</v>
      </c>
      <c r="C3671" s="1">
        <v>0</v>
      </c>
      <c r="D3671" s="39">
        <v>47</v>
      </c>
      <c r="E3671" s="1"/>
      <c r="F3671" s="39">
        <f t="shared" si="250"/>
        <v>1</v>
      </c>
      <c r="G3671" s="395"/>
      <c r="H3671" s="395"/>
      <c r="J3671" s="42"/>
    </row>
    <row r="3672" spans="1:10" s="393" customFormat="1" x14ac:dyDescent="0.25">
      <c r="A3672" s="19" t="s">
        <v>39</v>
      </c>
      <c r="B3672" s="2">
        <v>44045</v>
      </c>
      <c r="C3672" s="1">
        <v>96</v>
      </c>
      <c r="D3672" s="39">
        <v>601</v>
      </c>
      <c r="E3672" s="1"/>
      <c r="F3672" s="39">
        <f t="shared" si="250"/>
        <v>1</v>
      </c>
      <c r="G3672" s="395"/>
      <c r="H3672" s="395"/>
      <c r="J3672" s="42"/>
    </row>
    <row r="3673" spans="1:10" s="393" customFormat="1" x14ac:dyDescent="0.25">
      <c r="A3673" s="19" t="s">
        <v>40</v>
      </c>
      <c r="B3673" s="2">
        <v>44045</v>
      </c>
      <c r="C3673" s="1">
        <v>34</v>
      </c>
      <c r="D3673" s="39">
        <v>265</v>
      </c>
      <c r="E3673" s="1"/>
      <c r="F3673" s="39">
        <f t="shared" si="250"/>
        <v>4</v>
      </c>
      <c r="G3673" s="395"/>
      <c r="H3673" s="395"/>
      <c r="J3673" s="42"/>
    </row>
    <row r="3674" spans="1:10" s="393" customFormat="1" x14ac:dyDescent="0.25">
      <c r="A3674" s="394" t="s">
        <v>16</v>
      </c>
      <c r="B3674" s="2">
        <v>44046</v>
      </c>
      <c r="C3674" s="1">
        <v>3158</v>
      </c>
      <c r="D3674" s="39">
        <v>125110</v>
      </c>
      <c r="E3674" s="1">
        <v>93</v>
      </c>
      <c r="F3674" s="39">
        <f t="shared" si="250"/>
        <v>2074</v>
      </c>
      <c r="G3674" s="395"/>
      <c r="H3674" s="395"/>
      <c r="J3674" s="42"/>
    </row>
    <row r="3675" spans="1:10" s="393" customFormat="1" x14ac:dyDescent="0.25">
      <c r="A3675" s="19" t="s">
        <v>28</v>
      </c>
      <c r="B3675" s="2">
        <v>44046</v>
      </c>
      <c r="C3675" s="1">
        <v>2</v>
      </c>
      <c r="D3675" s="39">
        <v>65</v>
      </c>
      <c r="E3675" s="1"/>
      <c r="F3675" s="39">
        <f t="shared" ref="F3675:F3681" si="251">E3675+F3651</f>
        <v>0</v>
      </c>
      <c r="G3675" s="395"/>
      <c r="H3675" s="395"/>
      <c r="J3675" s="42"/>
    </row>
    <row r="3676" spans="1:10" s="393" customFormat="1" x14ac:dyDescent="0.25">
      <c r="A3676" s="19" t="s">
        <v>15</v>
      </c>
      <c r="B3676" s="2">
        <v>44046</v>
      </c>
      <c r="C3676" s="1">
        <v>31</v>
      </c>
      <c r="D3676" s="39">
        <v>3702</v>
      </c>
      <c r="E3676" s="1">
        <f>1+2+3</f>
        <v>6</v>
      </c>
      <c r="F3676" s="39">
        <f t="shared" si="251"/>
        <v>148</v>
      </c>
      <c r="G3676" s="395"/>
      <c r="H3676" s="395"/>
      <c r="J3676" s="42"/>
    </row>
    <row r="3677" spans="1:10" s="393" customFormat="1" x14ac:dyDescent="0.25">
      <c r="A3677" s="19" t="s">
        <v>29</v>
      </c>
      <c r="B3677" s="2">
        <v>44046</v>
      </c>
      <c r="C3677" s="1">
        <v>5</v>
      </c>
      <c r="D3677" s="39">
        <v>293</v>
      </c>
      <c r="E3677" s="1"/>
      <c r="F3677" s="39">
        <f t="shared" si="251"/>
        <v>4</v>
      </c>
      <c r="G3677" s="395"/>
      <c r="H3677" s="395"/>
      <c r="J3677" s="42"/>
    </row>
    <row r="3678" spans="1:10" s="393" customFormat="1" x14ac:dyDescent="0.25">
      <c r="A3678" s="19" t="s">
        <v>43</v>
      </c>
      <c r="B3678" s="2">
        <v>44046</v>
      </c>
      <c r="C3678" s="1">
        <v>1051</v>
      </c>
      <c r="D3678" s="39">
        <v>62677</v>
      </c>
      <c r="E3678" s="1">
        <v>50</v>
      </c>
      <c r="F3678" s="39">
        <f t="shared" si="251"/>
        <v>1297</v>
      </c>
      <c r="G3678" s="395"/>
      <c r="H3678" s="395"/>
      <c r="J3678" s="42"/>
    </row>
    <row r="3679" spans="1:10" s="393" customFormat="1" x14ac:dyDescent="0.25">
      <c r="A3679" s="19" t="s">
        <v>20</v>
      </c>
      <c r="B3679" s="2">
        <v>44046</v>
      </c>
      <c r="C3679" s="1">
        <v>133</v>
      </c>
      <c r="D3679" s="39">
        <v>2570</v>
      </c>
      <c r="E3679" s="1"/>
      <c r="F3679" s="39">
        <f t="shared" si="251"/>
        <v>46</v>
      </c>
      <c r="G3679" s="395"/>
      <c r="H3679" s="395"/>
      <c r="J3679" s="42"/>
    </row>
    <row r="3680" spans="1:10" s="393" customFormat="1" x14ac:dyDescent="0.25">
      <c r="A3680" s="19" t="s">
        <v>30</v>
      </c>
      <c r="B3680" s="2">
        <v>44046</v>
      </c>
      <c r="C3680" s="1">
        <v>-2</v>
      </c>
      <c r="D3680" s="39">
        <v>196</v>
      </c>
      <c r="E3680" s="1"/>
      <c r="F3680" s="39">
        <f t="shared" si="251"/>
        <v>1</v>
      </c>
      <c r="G3680" s="395"/>
      <c r="H3680" s="395"/>
      <c r="J3680" s="42"/>
    </row>
    <row r="3681" spans="1:10" x14ac:dyDescent="0.25">
      <c r="A3681" s="19" t="s">
        <v>31</v>
      </c>
      <c r="B3681" s="2">
        <v>44046</v>
      </c>
      <c r="C3681" s="1">
        <v>29</v>
      </c>
      <c r="D3681" s="39">
        <v>875</v>
      </c>
      <c r="E3681" s="1">
        <v>2</v>
      </c>
      <c r="F3681" s="39">
        <f t="shared" si="251"/>
        <v>10</v>
      </c>
    </row>
    <row r="3682" spans="1:10" s="393" customFormat="1" x14ac:dyDescent="0.25">
      <c r="A3682" s="19" t="s">
        <v>41</v>
      </c>
      <c r="B3682" s="2">
        <v>44046</v>
      </c>
      <c r="C3682" s="1">
        <v>2</v>
      </c>
      <c r="D3682" s="39">
        <v>84</v>
      </c>
      <c r="E3682" s="1"/>
      <c r="F3682" s="39">
        <f>E3682+F3658</f>
        <v>0</v>
      </c>
      <c r="G3682" s="395"/>
      <c r="H3682" s="395"/>
      <c r="J3682" s="42"/>
    </row>
    <row r="3683" spans="1:10" s="393" customFormat="1" x14ac:dyDescent="0.25">
      <c r="A3683" s="19" t="s">
        <v>32</v>
      </c>
      <c r="B3683" s="2">
        <v>44046</v>
      </c>
      <c r="C3683" s="1">
        <v>102</v>
      </c>
      <c r="D3683" s="39">
        <v>2474</v>
      </c>
      <c r="E3683" s="1"/>
      <c r="F3683" s="39">
        <f t="shared" ref="F3683:F3692" si="252">E3683+F3658</f>
        <v>0</v>
      </c>
      <c r="G3683" s="395"/>
      <c r="H3683" s="395"/>
      <c r="J3683" s="42"/>
    </row>
    <row r="3684" spans="1:10" s="393" customFormat="1" x14ac:dyDescent="0.25">
      <c r="A3684" s="19" t="s">
        <v>33</v>
      </c>
      <c r="B3684" s="2">
        <v>44046</v>
      </c>
      <c r="C3684" s="1">
        <v>5</v>
      </c>
      <c r="D3684" s="39">
        <v>158</v>
      </c>
      <c r="E3684" s="1"/>
      <c r="F3684" s="39">
        <f t="shared" si="252"/>
        <v>0</v>
      </c>
      <c r="G3684" s="395"/>
      <c r="H3684" s="395"/>
      <c r="J3684" s="42"/>
    </row>
    <row r="3685" spans="1:10" s="393" customFormat="1" x14ac:dyDescent="0.25">
      <c r="A3685" s="19" t="s">
        <v>21</v>
      </c>
      <c r="B3685" s="2">
        <v>44046</v>
      </c>
      <c r="C3685" s="1">
        <v>5</v>
      </c>
      <c r="D3685" s="39">
        <v>352</v>
      </c>
      <c r="E3685" s="1"/>
      <c r="F3685" s="39">
        <f t="shared" si="252"/>
        <v>0</v>
      </c>
      <c r="G3685" s="395"/>
      <c r="H3685" s="395"/>
      <c r="J3685" s="42"/>
    </row>
    <row r="3686" spans="1:10" s="393" customFormat="1" x14ac:dyDescent="0.25">
      <c r="A3686" s="19" t="s">
        <v>17</v>
      </c>
      <c r="B3686" s="2">
        <v>44046</v>
      </c>
      <c r="C3686" s="1">
        <v>79</v>
      </c>
      <c r="D3686" s="39">
        <v>1469</v>
      </c>
      <c r="E3686" s="1">
        <f>3+3</f>
        <v>6</v>
      </c>
      <c r="F3686" s="39">
        <f t="shared" si="252"/>
        <v>6</v>
      </c>
      <c r="G3686" s="395"/>
      <c r="H3686" s="395"/>
      <c r="J3686" s="42"/>
    </row>
    <row r="3687" spans="1:10" s="393" customFormat="1" x14ac:dyDescent="0.25">
      <c r="A3687" s="19" t="s">
        <v>23</v>
      </c>
      <c r="B3687" s="2">
        <v>44046</v>
      </c>
      <c r="C3687" s="1">
        <v>-4</v>
      </c>
      <c r="D3687" s="39">
        <v>60</v>
      </c>
      <c r="E3687" s="1"/>
      <c r="F3687" s="39">
        <f t="shared" si="252"/>
        <v>6</v>
      </c>
      <c r="G3687" s="395"/>
      <c r="H3687" s="395"/>
      <c r="J3687" s="42"/>
    </row>
    <row r="3688" spans="1:10" s="393" customFormat="1" x14ac:dyDescent="0.25">
      <c r="A3688" s="19" t="s">
        <v>19</v>
      </c>
      <c r="B3688" s="2">
        <v>44046</v>
      </c>
      <c r="C3688" s="1">
        <v>21</v>
      </c>
      <c r="D3688" s="39">
        <v>1215</v>
      </c>
      <c r="E3688" s="1">
        <f>2</f>
        <v>2</v>
      </c>
      <c r="F3688" s="39">
        <f t="shared" si="252"/>
        <v>3</v>
      </c>
      <c r="G3688" s="395"/>
      <c r="H3688" s="395"/>
      <c r="J3688" s="42"/>
    </row>
    <row r="3689" spans="1:10" s="393" customFormat="1" x14ac:dyDescent="0.25">
      <c r="A3689" s="19" t="s">
        <v>18</v>
      </c>
      <c r="B3689" s="2">
        <v>44046</v>
      </c>
      <c r="C3689" s="1">
        <v>63</v>
      </c>
      <c r="D3689" s="39">
        <v>2126</v>
      </c>
      <c r="E3689" s="1">
        <v>3</v>
      </c>
      <c r="F3689" s="39">
        <f t="shared" si="252"/>
        <v>4</v>
      </c>
      <c r="G3689" s="395"/>
      <c r="H3689" s="395"/>
      <c r="J3689" s="42"/>
    </row>
    <row r="3690" spans="1:10" s="393" customFormat="1" x14ac:dyDescent="0.25">
      <c r="A3690" s="19" t="s">
        <v>34</v>
      </c>
      <c r="B3690" s="2">
        <v>44046</v>
      </c>
      <c r="C3690" s="1">
        <v>1</v>
      </c>
      <c r="D3690" s="39">
        <v>303</v>
      </c>
      <c r="E3690" s="1"/>
      <c r="F3690" s="39">
        <f t="shared" si="252"/>
        <v>1</v>
      </c>
      <c r="G3690" s="395"/>
      <c r="H3690" s="395"/>
      <c r="J3690" s="42"/>
    </row>
    <row r="3691" spans="1:10" s="393" customFormat="1" x14ac:dyDescent="0.25">
      <c r="A3691" s="19" t="s">
        <v>35</v>
      </c>
      <c r="B3691" s="2">
        <v>44046</v>
      </c>
      <c r="C3691" s="1">
        <v>2</v>
      </c>
      <c r="D3691" s="39">
        <v>22</v>
      </c>
      <c r="E3691" s="1"/>
      <c r="F3691" s="39">
        <f>E3691+F3667</f>
        <v>0</v>
      </c>
      <c r="G3691" s="395"/>
      <c r="H3691" s="395"/>
      <c r="J3691" s="42"/>
    </row>
    <row r="3692" spans="1:10" s="393" customFormat="1" x14ac:dyDescent="0.25">
      <c r="A3692" s="19" t="s">
        <v>36</v>
      </c>
      <c r="B3692" s="2">
        <v>44046</v>
      </c>
      <c r="C3692" s="1">
        <v>-2</v>
      </c>
      <c r="D3692" s="39">
        <v>26</v>
      </c>
      <c r="E3692" s="1"/>
      <c r="F3692" s="39">
        <f t="shared" si="252"/>
        <v>0</v>
      </c>
      <c r="G3692" s="395"/>
      <c r="H3692" s="395"/>
      <c r="J3692" s="42"/>
    </row>
    <row r="3693" spans="1:10" s="393" customFormat="1" x14ac:dyDescent="0.25">
      <c r="A3693" s="19" t="s">
        <v>37</v>
      </c>
      <c r="B3693" s="2">
        <v>44046</v>
      </c>
      <c r="C3693" s="1">
        <v>27</v>
      </c>
      <c r="D3693" s="39">
        <v>548</v>
      </c>
      <c r="E3693" s="1"/>
      <c r="F3693" s="39">
        <f t="shared" ref="F3693:F3698" si="253">E3693+F3669</f>
        <v>2</v>
      </c>
      <c r="G3693" s="395"/>
      <c r="H3693" s="395"/>
      <c r="J3693" s="42"/>
    </row>
    <row r="3694" spans="1:10" s="393" customFormat="1" x14ac:dyDescent="0.25">
      <c r="A3694" s="19" t="s">
        <v>22</v>
      </c>
      <c r="B3694" s="2">
        <v>44046</v>
      </c>
      <c r="C3694" s="1">
        <v>63</v>
      </c>
      <c r="D3694" s="39">
        <v>1435</v>
      </c>
      <c r="E3694" s="1">
        <v>1</v>
      </c>
      <c r="F3694" s="39">
        <f t="shared" si="253"/>
        <v>16</v>
      </c>
      <c r="G3694" s="395"/>
      <c r="H3694" s="395"/>
      <c r="J3694" s="42"/>
    </row>
    <row r="3695" spans="1:10" s="393" customFormat="1" x14ac:dyDescent="0.25">
      <c r="A3695" s="19" t="s">
        <v>38</v>
      </c>
      <c r="B3695" s="2">
        <v>44046</v>
      </c>
      <c r="C3695" s="1">
        <v>1</v>
      </c>
      <c r="D3695" s="39">
        <v>48</v>
      </c>
      <c r="E3695" s="1"/>
      <c r="F3695" s="39">
        <f t="shared" si="253"/>
        <v>1</v>
      </c>
      <c r="G3695" s="395"/>
      <c r="H3695" s="395"/>
      <c r="J3695" s="42"/>
    </row>
    <row r="3696" spans="1:10" s="393" customFormat="1" x14ac:dyDescent="0.25">
      <c r="A3696" s="19" t="s">
        <v>39</v>
      </c>
      <c r="B3696" s="2">
        <v>44046</v>
      </c>
      <c r="C3696" s="1">
        <v>44</v>
      </c>
      <c r="D3696" s="39">
        <v>645</v>
      </c>
      <c r="E3696" s="1"/>
      <c r="F3696" s="39">
        <f t="shared" si="253"/>
        <v>1</v>
      </c>
      <c r="G3696" s="395"/>
      <c r="H3696" s="395"/>
      <c r="J3696" s="42"/>
    </row>
    <row r="3697" spans="1:10" s="393" customFormat="1" x14ac:dyDescent="0.25">
      <c r="A3697" s="19" t="s">
        <v>40</v>
      </c>
      <c r="B3697" s="2">
        <v>44046</v>
      </c>
      <c r="C3697" s="1">
        <v>8</v>
      </c>
      <c r="D3697" s="39">
        <v>273</v>
      </c>
      <c r="E3697" s="1"/>
      <c r="F3697" s="39">
        <f t="shared" si="253"/>
        <v>4</v>
      </c>
      <c r="G3697" s="395"/>
      <c r="H3697" s="395"/>
      <c r="J3697" s="42"/>
    </row>
    <row r="3698" spans="1:10" s="393" customFormat="1" x14ac:dyDescent="0.25">
      <c r="A3698" s="394" t="s">
        <v>16</v>
      </c>
      <c r="B3698" s="2">
        <v>44047</v>
      </c>
      <c r="C3698" s="1">
        <v>4337</v>
      </c>
      <c r="D3698" s="39">
        <v>129447</v>
      </c>
      <c r="E3698" s="1">
        <v>114</v>
      </c>
      <c r="F3698" s="39">
        <f t="shared" si="253"/>
        <v>2188</v>
      </c>
      <c r="G3698" s="395"/>
      <c r="H3698" s="395"/>
      <c r="J3698" s="42"/>
    </row>
    <row r="3699" spans="1:10" s="393" customFormat="1" x14ac:dyDescent="0.25">
      <c r="A3699" s="19" t="s">
        <v>28</v>
      </c>
      <c r="B3699" s="2">
        <v>44047</v>
      </c>
      <c r="C3699" s="1">
        <v>-2</v>
      </c>
      <c r="D3699" s="39">
        <v>63</v>
      </c>
      <c r="E3699" s="1"/>
      <c r="F3699" s="39">
        <f t="shared" ref="F3699:F3705" si="254">E3699+F3675</f>
        <v>0</v>
      </c>
      <c r="G3699" s="395"/>
      <c r="H3699" s="395"/>
      <c r="J3699" s="42"/>
    </row>
    <row r="3700" spans="1:10" s="393" customFormat="1" x14ac:dyDescent="0.25">
      <c r="A3700" s="19" t="s">
        <v>15</v>
      </c>
      <c r="B3700" s="2">
        <v>44047</v>
      </c>
      <c r="C3700" s="1">
        <v>53</v>
      </c>
      <c r="D3700" s="39">
        <v>3755</v>
      </c>
      <c r="E3700" s="1">
        <v>3</v>
      </c>
      <c r="F3700" s="39">
        <f t="shared" si="254"/>
        <v>151</v>
      </c>
      <c r="G3700" s="395"/>
      <c r="H3700" s="395"/>
      <c r="J3700" s="42"/>
    </row>
    <row r="3701" spans="1:10" s="393" customFormat="1" x14ac:dyDescent="0.25">
      <c r="A3701" s="19" t="s">
        <v>29</v>
      </c>
      <c r="B3701" s="2">
        <v>44047</v>
      </c>
      <c r="C3701" s="1">
        <v>1</v>
      </c>
      <c r="D3701" s="39">
        <v>294</v>
      </c>
      <c r="E3701" s="1"/>
      <c r="F3701" s="39">
        <f t="shared" si="254"/>
        <v>4</v>
      </c>
      <c r="G3701" s="395"/>
      <c r="H3701" s="395"/>
      <c r="J3701" s="42"/>
    </row>
    <row r="3702" spans="1:10" s="393" customFormat="1" x14ac:dyDescent="0.25">
      <c r="A3702" s="19" t="s">
        <v>43</v>
      </c>
      <c r="B3702" s="2">
        <v>44047</v>
      </c>
      <c r="C3702" s="1">
        <v>1371</v>
      </c>
      <c r="D3702" s="39">
        <v>64048</v>
      </c>
      <c r="E3702" s="1">
        <f>18+13+7+7</f>
        <v>45</v>
      </c>
      <c r="F3702" s="39">
        <f t="shared" si="254"/>
        <v>1342</v>
      </c>
      <c r="G3702" s="395"/>
      <c r="H3702" s="395"/>
      <c r="J3702" s="42"/>
    </row>
    <row r="3703" spans="1:10" s="393" customFormat="1" x14ac:dyDescent="0.25">
      <c r="A3703" s="19" t="s">
        <v>20</v>
      </c>
      <c r="B3703" s="2">
        <v>44047</v>
      </c>
      <c r="C3703" s="1">
        <v>147</v>
      </c>
      <c r="D3703" s="39">
        <v>2717</v>
      </c>
      <c r="E3703" s="1">
        <v>1</v>
      </c>
      <c r="F3703" s="39">
        <f t="shared" si="254"/>
        <v>47</v>
      </c>
      <c r="G3703" s="395"/>
      <c r="H3703" s="395"/>
      <c r="J3703" s="42"/>
    </row>
    <row r="3704" spans="1:10" s="393" customFormat="1" x14ac:dyDescent="0.25">
      <c r="A3704" s="19" t="s">
        <v>30</v>
      </c>
      <c r="B3704" s="2">
        <v>44047</v>
      </c>
      <c r="C3704" s="1">
        <v>-4</v>
      </c>
      <c r="D3704" s="39">
        <v>192</v>
      </c>
      <c r="E3704" s="1">
        <v>1</v>
      </c>
      <c r="F3704" s="39">
        <f>E3704+F3680</f>
        <v>2</v>
      </c>
      <c r="G3704" s="395"/>
      <c r="H3704" s="395"/>
      <c r="J3704" s="42"/>
    </row>
    <row r="3705" spans="1:10" x14ac:dyDescent="0.25">
      <c r="A3705" s="19" t="s">
        <v>31</v>
      </c>
      <c r="B3705" s="2">
        <v>44047</v>
      </c>
      <c r="C3705" s="1">
        <v>22</v>
      </c>
      <c r="D3705" s="39">
        <v>897</v>
      </c>
      <c r="F3705" s="39">
        <f t="shared" si="254"/>
        <v>10</v>
      </c>
    </row>
    <row r="3706" spans="1:10" s="393" customFormat="1" x14ac:dyDescent="0.25">
      <c r="A3706" s="19" t="s">
        <v>41</v>
      </c>
      <c r="B3706" s="2">
        <v>44047</v>
      </c>
      <c r="C3706" s="1">
        <v>1</v>
      </c>
      <c r="D3706" s="39">
        <v>85</v>
      </c>
      <c r="E3706" s="1"/>
      <c r="F3706" s="39">
        <f>E3706+F3682</f>
        <v>0</v>
      </c>
      <c r="G3706" s="395"/>
      <c r="H3706" s="395"/>
      <c r="J3706" s="42"/>
    </row>
    <row r="3707" spans="1:10" s="393" customFormat="1" x14ac:dyDescent="0.25">
      <c r="A3707" s="19" t="s">
        <v>32</v>
      </c>
      <c r="B3707" s="2">
        <v>44047</v>
      </c>
      <c r="C3707" s="1">
        <v>269</v>
      </c>
      <c r="D3707" s="39">
        <v>2743</v>
      </c>
      <c r="E3707" s="1"/>
      <c r="F3707" s="39">
        <f t="shared" ref="F3707:F3716" si="255">E3707+F3682</f>
        <v>0</v>
      </c>
      <c r="G3707" s="395"/>
      <c r="H3707" s="395"/>
      <c r="J3707" s="42"/>
    </row>
    <row r="3708" spans="1:10" s="393" customFormat="1" x14ac:dyDescent="0.25">
      <c r="A3708" s="19" t="s">
        <v>33</v>
      </c>
      <c r="B3708" s="2">
        <v>44047</v>
      </c>
      <c r="C3708" s="1">
        <v>29</v>
      </c>
      <c r="D3708" s="39">
        <v>187</v>
      </c>
      <c r="E3708" s="1"/>
      <c r="F3708" s="39">
        <f t="shared" si="255"/>
        <v>0</v>
      </c>
      <c r="G3708" s="395"/>
      <c r="H3708" s="395"/>
      <c r="J3708" s="42"/>
    </row>
    <row r="3709" spans="1:10" s="393" customFormat="1" x14ac:dyDescent="0.25">
      <c r="A3709" s="19" t="s">
        <v>21</v>
      </c>
      <c r="B3709" s="2">
        <v>44047</v>
      </c>
      <c r="C3709" s="1">
        <v>29</v>
      </c>
      <c r="D3709" s="39">
        <v>381</v>
      </c>
      <c r="E3709" s="1"/>
      <c r="F3709" s="39">
        <f t="shared" si="255"/>
        <v>0</v>
      </c>
      <c r="G3709" s="395"/>
      <c r="H3709" s="395"/>
      <c r="J3709" s="42"/>
    </row>
    <row r="3710" spans="1:10" s="393" customFormat="1" x14ac:dyDescent="0.25">
      <c r="A3710" s="19" t="s">
        <v>17</v>
      </c>
      <c r="B3710" s="2">
        <v>44047</v>
      </c>
      <c r="C3710" s="1">
        <v>106</v>
      </c>
      <c r="D3710" s="39">
        <v>1575</v>
      </c>
      <c r="E3710" s="1">
        <v>2</v>
      </c>
      <c r="F3710" s="39">
        <f t="shared" si="255"/>
        <v>2</v>
      </c>
      <c r="G3710" s="395"/>
      <c r="H3710" s="395"/>
      <c r="J3710" s="42"/>
    </row>
    <row r="3711" spans="1:10" s="393" customFormat="1" x14ac:dyDescent="0.25">
      <c r="A3711" s="19" t="s">
        <v>23</v>
      </c>
      <c r="B3711" s="2">
        <v>44047</v>
      </c>
      <c r="C3711" s="1">
        <v>-1</v>
      </c>
      <c r="D3711" s="39">
        <v>59</v>
      </c>
      <c r="E3711" s="1"/>
      <c r="F3711" s="39">
        <f t="shared" si="255"/>
        <v>6</v>
      </c>
      <c r="G3711" s="395"/>
      <c r="H3711" s="395"/>
      <c r="J3711" s="42"/>
    </row>
    <row r="3712" spans="1:10" s="393" customFormat="1" x14ac:dyDescent="0.25">
      <c r="A3712" s="19" t="s">
        <v>19</v>
      </c>
      <c r="B3712" s="2">
        <v>44047</v>
      </c>
      <c r="C3712" s="1">
        <v>18</v>
      </c>
      <c r="D3712" s="39">
        <v>1233</v>
      </c>
      <c r="E3712" s="1"/>
      <c r="F3712" s="39">
        <f t="shared" si="255"/>
        <v>6</v>
      </c>
      <c r="G3712" s="395"/>
      <c r="H3712" s="395"/>
      <c r="J3712" s="42"/>
    </row>
    <row r="3713" spans="1:10" s="393" customFormat="1" x14ac:dyDescent="0.25">
      <c r="A3713" s="19" t="s">
        <v>18</v>
      </c>
      <c r="B3713" s="2">
        <v>44047</v>
      </c>
      <c r="C3713" s="1">
        <v>197</v>
      </c>
      <c r="D3713" s="39">
        <v>2323</v>
      </c>
      <c r="E3713" s="1">
        <v>2</v>
      </c>
      <c r="F3713" s="39">
        <f t="shared" si="255"/>
        <v>5</v>
      </c>
      <c r="G3713" s="395"/>
      <c r="H3713" s="395"/>
      <c r="J3713" s="42"/>
    </row>
    <row r="3714" spans="1:10" s="393" customFormat="1" x14ac:dyDescent="0.25">
      <c r="A3714" s="19" t="s">
        <v>34</v>
      </c>
      <c r="B3714" s="2">
        <v>44047</v>
      </c>
      <c r="C3714" s="1">
        <v>42</v>
      </c>
      <c r="D3714" s="39">
        <v>345</v>
      </c>
      <c r="E3714" s="1"/>
      <c r="F3714" s="39">
        <f t="shared" si="255"/>
        <v>4</v>
      </c>
      <c r="G3714" s="395"/>
      <c r="H3714" s="395"/>
      <c r="J3714" s="42"/>
    </row>
    <row r="3715" spans="1:10" s="393" customFormat="1" x14ac:dyDescent="0.25">
      <c r="A3715" s="19" t="s">
        <v>35</v>
      </c>
      <c r="B3715" s="2">
        <v>44047</v>
      </c>
      <c r="C3715" s="1">
        <v>0</v>
      </c>
      <c r="D3715" s="39">
        <v>22</v>
      </c>
      <c r="E3715" s="1"/>
      <c r="F3715" s="39">
        <f>E3715+F3691</f>
        <v>0</v>
      </c>
      <c r="G3715" s="395"/>
      <c r="H3715" s="395"/>
      <c r="J3715" s="42"/>
    </row>
    <row r="3716" spans="1:10" s="393" customFormat="1" x14ac:dyDescent="0.25">
      <c r="A3716" s="19" t="s">
        <v>36</v>
      </c>
      <c r="B3716" s="2">
        <v>44047</v>
      </c>
      <c r="C3716" s="1">
        <v>5</v>
      </c>
      <c r="D3716" s="39">
        <v>31</v>
      </c>
      <c r="E3716" s="1"/>
      <c r="F3716" s="39">
        <f t="shared" si="255"/>
        <v>0</v>
      </c>
      <c r="G3716" s="395"/>
      <c r="H3716" s="395"/>
      <c r="J3716" s="42"/>
    </row>
    <row r="3717" spans="1:10" s="393" customFormat="1" x14ac:dyDescent="0.25">
      <c r="A3717" s="19" t="s">
        <v>37</v>
      </c>
      <c r="B3717" s="2">
        <v>44047</v>
      </c>
      <c r="C3717" s="1">
        <v>16</v>
      </c>
      <c r="D3717" s="39">
        <v>564</v>
      </c>
      <c r="E3717" s="1"/>
      <c r="F3717" s="39">
        <f t="shared" ref="F3717:F3722" si="256">E3717+F3693</f>
        <v>2</v>
      </c>
      <c r="G3717" s="395"/>
      <c r="H3717" s="395"/>
      <c r="J3717" s="42"/>
    </row>
    <row r="3718" spans="1:10" s="393" customFormat="1" x14ac:dyDescent="0.25">
      <c r="A3718" s="19" t="s">
        <v>22</v>
      </c>
      <c r="B3718" s="2">
        <v>44047</v>
      </c>
      <c r="C3718" s="1">
        <v>101</v>
      </c>
      <c r="D3718" s="39">
        <v>1536</v>
      </c>
      <c r="E3718" s="1"/>
      <c r="F3718" s="39">
        <f t="shared" si="256"/>
        <v>16</v>
      </c>
      <c r="G3718" s="395"/>
      <c r="H3718" s="395"/>
      <c r="J3718" s="42"/>
    </row>
    <row r="3719" spans="1:10" s="393" customFormat="1" x14ac:dyDescent="0.25">
      <c r="A3719" s="19" t="s">
        <v>38</v>
      </c>
      <c r="B3719" s="2">
        <v>44047</v>
      </c>
      <c r="C3719" s="1">
        <v>1</v>
      </c>
      <c r="D3719" s="39">
        <v>49</v>
      </c>
      <c r="E3719" s="1"/>
      <c r="F3719" s="39">
        <f t="shared" si="256"/>
        <v>1</v>
      </c>
      <c r="G3719" s="395"/>
      <c r="H3719" s="395"/>
      <c r="J3719" s="42"/>
    </row>
    <row r="3720" spans="1:10" s="393" customFormat="1" x14ac:dyDescent="0.25">
      <c r="A3720" s="19" t="s">
        <v>39</v>
      </c>
      <c r="B3720" s="2">
        <v>44047</v>
      </c>
      <c r="C3720" s="1">
        <v>58</v>
      </c>
      <c r="D3720" s="39">
        <v>703</v>
      </c>
      <c r="E3720" s="1"/>
      <c r="F3720" s="39">
        <f t="shared" si="256"/>
        <v>1</v>
      </c>
      <c r="G3720" s="395"/>
      <c r="H3720" s="395"/>
      <c r="J3720" s="42"/>
    </row>
    <row r="3721" spans="1:10" s="393" customFormat="1" x14ac:dyDescent="0.25">
      <c r="A3721" s="19" t="s">
        <v>40</v>
      </c>
      <c r="B3721" s="2">
        <v>44047</v>
      </c>
      <c r="C3721" s="1">
        <v>24</v>
      </c>
      <c r="D3721" s="39">
        <v>297</v>
      </c>
      <c r="E3721" s="1"/>
      <c r="F3721" s="39">
        <f t="shared" si="256"/>
        <v>4</v>
      </c>
      <c r="G3721" s="395"/>
      <c r="H3721" s="395"/>
      <c r="J3721" s="42"/>
    </row>
    <row r="3722" spans="1:10" s="393" customFormat="1" x14ac:dyDescent="0.25">
      <c r="A3722" s="394" t="s">
        <v>16</v>
      </c>
      <c r="B3722" s="2">
        <v>44048</v>
      </c>
      <c r="C3722" s="1">
        <v>4676</v>
      </c>
      <c r="D3722" s="39">
        <v>134123</v>
      </c>
      <c r="E3722" s="1">
        <f>12+12+34+26</f>
        <v>84</v>
      </c>
      <c r="F3722" s="39">
        <f t="shared" si="256"/>
        <v>2272</v>
      </c>
      <c r="G3722" s="395"/>
      <c r="H3722" s="395"/>
      <c r="J3722" s="42"/>
    </row>
    <row r="3723" spans="1:10" s="393" customFormat="1" x14ac:dyDescent="0.25">
      <c r="A3723" s="19" t="s">
        <v>28</v>
      </c>
      <c r="B3723" s="2">
        <v>44048</v>
      </c>
      <c r="C3723" s="1">
        <v>-2</v>
      </c>
      <c r="D3723" s="39">
        <v>61</v>
      </c>
      <c r="E3723" s="1"/>
      <c r="F3723" s="39">
        <f t="shared" ref="F3723:F3729" si="257">E3723+F3699</f>
        <v>0</v>
      </c>
      <c r="G3723" s="395"/>
      <c r="H3723" s="395"/>
      <c r="J3723" s="42"/>
    </row>
    <row r="3724" spans="1:10" s="393" customFormat="1" x14ac:dyDescent="0.25">
      <c r="A3724" s="19" t="s">
        <v>15</v>
      </c>
      <c r="B3724" s="2">
        <v>44048</v>
      </c>
      <c r="C3724" s="1">
        <v>70</v>
      </c>
      <c r="D3724" s="39">
        <v>3825</v>
      </c>
      <c r="E3724" s="1">
        <v>2</v>
      </c>
      <c r="F3724" s="39">
        <f t="shared" si="257"/>
        <v>153</v>
      </c>
      <c r="G3724" s="395"/>
      <c r="H3724" s="395"/>
      <c r="J3724" s="42"/>
    </row>
    <row r="3725" spans="1:10" s="393" customFormat="1" x14ac:dyDescent="0.25">
      <c r="A3725" s="19" t="s">
        <v>29</v>
      </c>
      <c r="B3725" s="2">
        <v>44048</v>
      </c>
      <c r="C3725" s="1">
        <v>9</v>
      </c>
      <c r="D3725" s="39">
        <v>303</v>
      </c>
      <c r="E3725" s="1"/>
      <c r="F3725" s="39">
        <f t="shared" si="257"/>
        <v>4</v>
      </c>
      <c r="G3725" s="395"/>
      <c r="H3725" s="395"/>
      <c r="J3725" s="42"/>
    </row>
    <row r="3726" spans="1:10" s="393" customFormat="1" x14ac:dyDescent="0.25">
      <c r="A3726" s="19" t="s">
        <v>43</v>
      </c>
      <c r="B3726" s="2">
        <v>44048</v>
      </c>
      <c r="C3726" s="1">
        <v>1467</v>
      </c>
      <c r="D3726" s="39">
        <v>65515</v>
      </c>
      <c r="E3726" s="1">
        <f>1+1+16+14</f>
        <v>32</v>
      </c>
      <c r="F3726" s="39">
        <f t="shared" si="257"/>
        <v>1374</v>
      </c>
      <c r="G3726" s="395"/>
      <c r="H3726" s="395"/>
      <c r="J3726" s="42"/>
    </row>
    <row r="3727" spans="1:10" s="393" customFormat="1" x14ac:dyDescent="0.25">
      <c r="A3727" s="19" t="s">
        <v>20</v>
      </c>
      <c r="B3727" s="2">
        <v>44048</v>
      </c>
      <c r="C3727" s="1">
        <v>137</v>
      </c>
      <c r="D3727" s="39">
        <v>2854</v>
      </c>
      <c r="E3727" s="1">
        <v>2</v>
      </c>
      <c r="F3727" s="39">
        <f t="shared" si="257"/>
        <v>49</v>
      </c>
      <c r="G3727" s="395"/>
      <c r="H3727" s="395"/>
      <c r="J3727" s="42"/>
    </row>
    <row r="3728" spans="1:10" s="393" customFormat="1" x14ac:dyDescent="0.25">
      <c r="A3728" s="19" t="s">
        <v>30</v>
      </c>
      <c r="B3728" s="2">
        <v>44048</v>
      </c>
      <c r="C3728" s="1">
        <v>5</v>
      </c>
      <c r="D3728" s="39">
        <v>197</v>
      </c>
      <c r="E3728" s="1"/>
      <c r="F3728" s="39">
        <f t="shared" si="257"/>
        <v>2</v>
      </c>
      <c r="G3728" s="395"/>
      <c r="H3728" s="395"/>
      <c r="J3728" s="42"/>
    </row>
    <row r="3729" spans="1:10" x14ac:dyDescent="0.25">
      <c r="A3729" s="19" t="s">
        <v>31</v>
      </c>
      <c r="B3729" s="2">
        <v>44048</v>
      </c>
      <c r="C3729" s="1">
        <v>42</v>
      </c>
      <c r="D3729" s="39">
        <v>939</v>
      </c>
      <c r="E3729" s="1">
        <v>2</v>
      </c>
      <c r="F3729" s="39">
        <f t="shared" si="257"/>
        <v>12</v>
      </c>
    </row>
    <row r="3730" spans="1:10" s="393" customFormat="1" x14ac:dyDescent="0.25">
      <c r="A3730" s="19" t="s">
        <v>41</v>
      </c>
      <c r="B3730" s="2">
        <v>44048</v>
      </c>
      <c r="C3730" s="1">
        <v>-2</v>
      </c>
      <c r="D3730" s="39">
        <v>83</v>
      </c>
      <c r="E3730" s="1"/>
      <c r="F3730" s="39">
        <f>E3730+F3706</f>
        <v>0</v>
      </c>
      <c r="G3730" s="395"/>
      <c r="H3730" s="395"/>
      <c r="J3730" s="42"/>
    </row>
    <row r="3731" spans="1:10" s="393" customFormat="1" x14ac:dyDescent="0.25">
      <c r="A3731" s="19" t="s">
        <v>32</v>
      </c>
      <c r="B3731" s="2">
        <v>44048</v>
      </c>
      <c r="C3731" s="1">
        <v>135</v>
      </c>
      <c r="D3731" s="39">
        <v>2878</v>
      </c>
      <c r="E3731" s="1"/>
      <c r="F3731" s="39">
        <f t="shared" ref="F3731:F3740" si="258">E3731+F3706</f>
        <v>0</v>
      </c>
      <c r="G3731" s="395"/>
      <c r="H3731" s="395"/>
      <c r="J3731" s="42"/>
    </row>
    <row r="3732" spans="1:10" s="393" customFormat="1" x14ac:dyDescent="0.25">
      <c r="A3732" s="19" t="s">
        <v>33</v>
      </c>
      <c r="B3732" s="2">
        <v>44048</v>
      </c>
      <c r="C3732" s="1">
        <v>6</v>
      </c>
      <c r="D3732" s="39">
        <v>193</v>
      </c>
      <c r="E3732" s="1"/>
      <c r="F3732" s="39">
        <f t="shared" si="258"/>
        <v>0</v>
      </c>
      <c r="G3732" s="395"/>
      <c r="H3732" s="395"/>
      <c r="J3732" s="42"/>
    </row>
    <row r="3733" spans="1:10" s="393" customFormat="1" x14ac:dyDescent="0.25">
      <c r="A3733" s="19" t="s">
        <v>21</v>
      </c>
      <c r="B3733" s="2">
        <v>44048</v>
      </c>
      <c r="C3733" s="1">
        <v>27</v>
      </c>
      <c r="D3733" s="39">
        <v>408</v>
      </c>
      <c r="E3733" s="1"/>
      <c r="F3733" s="39">
        <f t="shared" si="258"/>
        <v>0</v>
      </c>
      <c r="G3733" s="395"/>
      <c r="H3733" s="395"/>
      <c r="J3733" s="42"/>
    </row>
    <row r="3734" spans="1:10" s="393" customFormat="1" x14ac:dyDescent="0.25">
      <c r="A3734" s="19" t="s">
        <v>17</v>
      </c>
      <c r="B3734" s="2">
        <v>44048</v>
      </c>
      <c r="C3734" s="1">
        <v>98</v>
      </c>
      <c r="D3734" s="39">
        <v>1673</v>
      </c>
      <c r="E3734" s="1">
        <v>1</v>
      </c>
      <c r="F3734" s="39">
        <f t="shared" si="258"/>
        <v>1</v>
      </c>
      <c r="G3734" s="395"/>
      <c r="H3734" s="395"/>
      <c r="J3734" s="42"/>
    </row>
    <row r="3735" spans="1:10" s="393" customFormat="1" x14ac:dyDescent="0.25">
      <c r="A3735" s="19" t="s">
        <v>23</v>
      </c>
      <c r="B3735" s="2">
        <v>44048</v>
      </c>
      <c r="C3735" s="1">
        <v>0</v>
      </c>
      <c r="D3735" s="39">
        <v>59</v>
      </c>
      <c r="E3735" s="1"/>
      <c r="F3735" s="39">
        <f t="shared" si="258"/>
        <v>2</v>
      </c>
      <c r="G3735" s="395"/>
      <c r="H3735" s="395"/>
      <c r="J3735" s="42"/>
    </row>
    <row r="3736" spans="1:10" s="393" customFormat="1" x14ac:dyDescent="0.25">
      <c r="A3736" s="19" t="s">
        <v>19</v>
      </c>
      <c r="B3736" s="2">
        <v>44048</v>
      </c>
      <c r="C3736" s="1">
        <v>81</v>
      </c>
      <c r="D3736" s="39">
        <v>1314</v>
      </c>
      <c r="E3736" s="1">
        <f>1+1</f>
        <v>2</v>
      </c>
      <c r="F3736" s="39">
        <f t="shared" si="258"/>
        <v>8</v>
      </c>
      <c r="G3736" s="395"/>
      <c r="H3736" s="395"/>
      <c r="J3736" s="42"/>
    </row>
    <row r="3737" spans="1:10" s="393" customFormat="1" x14ac:dyDescent="0.25">
      <c r="A3737" s="19" t="s">
        <v>18</v>
      </c>
      <c r="B3737" s="2">
        <v>44048</v>
      </c>
      <c r="C3737" s="1">
        <v>121</v>
      </c>
      <c r="D3737" s="39">
        <v>2444</v>
      </c>
      <c r="E3737" s="1"/>
      <c r="F3737" s="39">
        <f t="shared" si="258"/>
        <v>6</v>
      </c>
      <c r="G3737" s="395"/>
      <c r="H3737" s="395"/>
      <c r="J3737" s="42"/>
    </row>
    <row r="3738" spans="1:10" s="393" customFormat="1" x14ac:dyDescent="0.25">
      <c r="A3738" s="19" t="s">
        <v>34</v>
      </c>
      <c r="B3738" s="2">
        <v>44048</v>
      </c>
      <c r="C3738" s="1">
        <v>34</v>
      </c>
      <c r="D3738" s="39">
        <v>379</v>
      </c>
      <c r="E3738" s="1"/>
      <c r="F3738" s="39">
        <f t="shared" si="258"/>
        <v>5</v>
      </c>
      <c r="G3738" s="395"/>
      <c r="H3738" s="395"/>
      <c r="J3738" s="42"/>
    </row>
    <row r="3739" spans="1:10" s="393" customFormat="1" x14ac:dyDescent="0.25">
      <c r="A3739" s="19" t="s">
        <v>35</v>
      </c>
      <c r="B3739" s="2">
        <v>44048</v>
      </c>
      <c r="C3739" s="1">
        <v>1</v>
      </c>
      <c r="D3739" s="39">
        <v>23</v>
      </c>
      <c r="E3739" s="1"/>
      <c r="F3739" s="39">
        <f>E3739+F3715</f>
        <v>0</v>
      </c>
      <c r="G3739" s="395"/>
      <c r="H3739" s="395"/>
      <c r="J3739" s="42"/>
    </row>
    <row r="3740" spans="1:10" s="393" customFormat="1" x14ac:dyDescent="0.25">
      <c r="A3740" s="19" t="s">
        <v>36</v>
      </c>
      <c r="B3740" s="2">
        <v>44048</v>
      </c>
      <c r="C3740" s="1">
        <v>2</v>
      </c>
      <c r="D3740" s="39">
        <v>33</v>
      </c>
      <c r="E3740" s="1"/>
      <c r="F3740" s="39">
        <f t="shared" si="258"/>
        <v>0</v>
      </c>
      <c r="G3740" s="395"/>
      <c r="H3740" s="395"/>
      <c r="J3740" s="42"/>
    </row>
    <row r="3741" spans="1:10" s="393" customFormat="1" x14ac:dyDescent="0.25">
      <c r="A3741" s="19" t="s">
        <v>37</v>
      </c>
      <c r="B3741" s="2">
        <v>44048</v>
      </c>
      <c r="C3741" s="1">
        <v>50</v>
      </c>
      <c r="D3741" s="39">
        <v>614</v>
      </c>
      <c r="E3741" s="1"/>
      <c r="F3741" s="39">
        <f t="shared" ref="F3741:F3746" si="259">E3741+F3717</f>
        <v>2</v>
      </c>
      <c r="G3741" s="395"/>
      <c r="H3741" s="395"/>
      <c r="J3741" s="42"/>
    </row>
    <row r="3742" spans="1:10" s="393" customFormat="1" x14ac:dyDescent="0.25">
      <c r="A3742" s="19" t="s">
        <v>22</v>
      </c>
      <c r="B3742" s="2">
        <v>44048</v>
      </c>
      <c r="C3742" s="1">
        <v>101</v>
      </c>
      <c r="D3742" s="39">
        <v>1637</v>
      </c>
      <c r="E3742" s="1">
        <f>1+1</f>
        <v>2</v>
      </c>
      <c r="F3742" s="39">
        <f t="shared" si="259"/>
        <v>18</v>
      </c>
      <c r="G3742" s="395"/>
      <c r="H3742" s="395"/>
      <c r="J3742" s="42"/>
    </row>
    <row r="3743" spans="1:10" s="393" customFormat="1" x14ac:dyDescent="0.25">
      <c r="A3743" s="19" t="s">
        <v>38</v>
      </c>
      <c r="B3743" s="2">
        <v>44048</v>
      </c>
      <c r="C3743" s="1">
        <v>18</v>
      </c>
      <c r="D3743" s="39">
        <v>67</v>
      </c>
      <c r="E3743" s="1"/>
      <c r="F3743" s="39">
        <f t="shared" si="259"/>
        <v>1</v>
      </c>
      <c r="G3743" s="395"/>
      <c r="H3743" s="395"/>
      <c r="J3743" s="42"/>
    </row>
    <row r="3744" spans="1:10" s="393" customFormat="1" x14ac:dyDescent="0.25">
      <c r="A3744" s="19" t="s">
        <v>39</v>
      </c>
      <c r="B3744" s="2">
        <v>44048</v>
      </c>
      <c r="C3744" s="1">
        <v>43</v>
      </c>
      <c r="D3744" s="39">
        <v>746</v>
      </c>
      <c r="E3744" s="1"/>
      <c r="F3744" s="39">
        <f t="shared" si="259"/>
        <v>1</v>
      </c>
      <c r="G3744" s="395"/>
      <c r="H3744" s="395"/>
      <c r="J3744" s="42"/>
    </row>
    <row r="3745" spans="1:10" s="393" customFormat="1" x14ac:dyDescent="0.25">
      <c r="A3745" s="19" t="s">
        <v>40</v>
      </c>
      <c r="B3745" s="2">
        <v>44048</v>
      </c>
      <c r="C3745" s="1">
        <v>28</v>
      </c>
      <c r="D3745" s="39">
        <v>325</v>
      </c>
      <c r="E3745" s="1"/>
      <c r="F3745" s="39">
        <f t="shared" si="259"/>
        <v>4</v>
      </c>
      <c r="G3745" s="395"/>
      <c r="H3745" s="395"/>
      <c r="J3745" s="42"/>
    </row>
    <row r="3746" spans="1:10" s="393" customFormat="1" x14ac:dyDescent="0.25">
      <c r="A3746" s="394" t="s">
        <v>16</v>
      </c>
      <c r="B3746" s="2">
        <v>44049</v>
      </c>
      <c r="C3746" s="1">
        <v>4987</v>
      </c>
      <c r="D3746" s="39">
        <v>139110</v>
      </c>
      <c r="E3746" s="1">
        <f>15+6+45+30</f>
        <v>96</v>
      </c>
      <c r="F3746" s="39">
        <f t="shared" si="259"/>
        <v>2368</v>
      </c>
      <c r="G3746" s="395"/>
      <c r="H3746" s="395"/>
      <c r="J3746" s="42"/>
    </row>
    <row r="3747" spans="1:10" s="393" customFormat="1" x14ac:dyDescent="0.25">
      <c r="A3747" s="19" t="s">
        <v>28</v>
      </c>
      <c r="B3747" s="2">
        <v>44049</v>
      </c>
      <c r="C3747" s="1">
        <v>0</v>
      </c>
      <c r="D3747" s="39">
        <v>61</v>
      </c>
      <c r="E3747" s="1"/>
      <c r="F3747" s="39">
        <f t="shared" ref="F3747:F3753" si="260">E3747+F3723</f>
        <v>0</v>
      </c>
      <c r="G3747" s="395"/>
      <c r="H3747" s="395"/>
      <c r="J3747" s="42"/>
    </row>
    <row r="3748" spans="1:10" s="393" customFormat="1" x14ac:dyDescent="0.25">
      <c r="A3748" s="19" t="s">
        <v>15</v>
      </c>
      <c r="B3748" s="2">
        <v>44049</v>
      </c>
      <c r="C3748" s="1">
        <v>47</v>
      </c>
      <c r="D3748" s="39">
        <v>3872</v>
      </c>
      <c r="E3748" s="1">
        <f>1+4</f>
        <v>5</v>
      </c>
      <c r="F3748" s="39">
        <f t="shared" si="260"/>
        <v>158</v>
      </c>
      <c r="G3748" s="395"/>
      <c r="H3748" s="395"/>
      <c r="J3748" s="42"/>
    </row>
    <row r="3749" spans="1:10" s="393" customFormat="1" x14ac:dyDescent="0.25">
      <c r="A3749" s="19" t="s">
        <v>29</v>
      </c>
      <c r="B3749" s="2">
        <v>44049</v>
      </c>
      <c r="C3749" s="1">
        <v>7</v>
      </c>
      <c r="D3749" s="39">
        <v>310</v>
      </c>
      <c r="E3749" s="1"/>
      <c r="F3749" s="39">
        <f t="shared" si="260"/>
        <v>4</v>
      </c>
      <c r="G3749" s="395"/>
      <c r="H3749" s="395"/>
      <c r="J3749" s="42"/>
    </row>
    <row r="3750" spans="1:10" s="393" customFormat="1" x14ac:dyDescent="0.25">
      <c r="A3750" s="19" t="s">
        <v>43</v>
      </c>
      <c r="B3750" s="2">
        <v>44049</v>
      </c>
      <c r="C3750" s="1">
        <v>1448</v>
      </c>
      <c r="D3750" s="39">
        <v>66963</v>
      </c>
      <c r="E3750" s="1">
        <v>31</v>
      </c>
      <c r="F3750" s="39">
        <f>E3750+F3726</f>
        <v>1405</v>
      </c>
      <c r="G3750" s="395"/>
      <c r="H3750" s="395"/>
      <c r="J3750" s="42"/>
    </row>
    <row r="3751" spans="1:10" s="393" customFormat="1" x14ac:dyDescent="0.25">
      <c r="A3751" s="19" t="s">
        <v>20</v>
      </c>
      <c r="B3751" s="2">
        <v>44049</v>
      </c>
      <c r="C3751" s="1">
        <v>144</v>
      </c>
      <c r="D3751" s="39">
        <v>2998</v>
      </c>
      <c r="E3751" s="1"/>
      <c r="F3751" s="39">
        <f t="shared" si="260"/>
        <v>49</v>
      </c>
      <c r="G3751" s="395"/>
      <c r="H3751" s="395"/>
      <c r="J3751" s="42"/>
    </row>
    <row r="3752" spans="1:10" s="393" customFormat="1" x14ac:dyDescent="0.25">
      <c r="A3752" s="19" t="s">
        <v>30</v>
      </c>
      <c r="B3752" s="2">
        <v>44049</v>
      </c>
      <c r="C3752" s="1">
        <v>4</v>
      </c>
      <c r="D3752" s="39">
        <v>201</v>
      </c>
      <c r="E3752" s="1"/>
      <c r="F3752" s="39">
        <f t="shared" si="260"/>
        <v>2</v>
      </c>
      <c r="G3752" s="395"/>
      <c r="H3752" s="395"/>
      <c r="J3752" s="42"/>
    </row>
    <row r="3753" spans="1:10" x14ac:dyDescent="0.25">
      <c r="A3753" s="19" t="s">
        <v>31</v>
      </c>
      <c r="B3753" s="2">
        <v>44049</v>
      </c>
      <c r="C3753" s="1">
        <v>59</v>
      </c>
      <c r="D3753" s="39">
        <v>998</v>
      </c>
      <c r="F3753" s="39">
        <f t="shared" si="260"/>
        <v>12</v>
      </c>
    </row>
    <row r="3754" spans="1:10" s="393" customFormat="1" x14ac:dyDescent="0.25">
      <c r="A3754" s="19" t="s">
        <v>41</v>
      </c>
      <c r="B3754" s="2">
        <v>44049</v>
      </c>
      <c r="C3754" s="1">
        <v>1</v>
      </c>
      <c r="D3754" s="39">
        <v>84</v>
      </c>
      <c r="E3754" s="1"/>
      <c r="F3754" s="39">
        <f>E3754+F3730</f>
        <v>0</v>
      </c>
      <c r="G3754" s="395"/>
      <c r="H3754" s="395"/>
      <c r="J3754" s="42"/>
    </row>
    <row r="3755" spans="1:10" s="393" customFormat="1" x14ac:dyDescent="0.25">
      <c r="A3755" s="19" t="s">
        <v>32</v>
      </c>
      <c r="B3755" s="2">
        <v>44049</v>
      </c>
      <c r="C3755" s="1">
        <v>71</v>
      </c>
      <c r="D3755" s="39">
        <v>2949</v>
      </c>
      <c r="E3755" s="1"/>
      <c r="F3755" s="39">
        <f t="shared" ref="F3755:F3764" si="261">E3755+F3730</f>
        <v>0</v>
      </c>
      <c r="G3755" s="395"/>
      <c r="H3755" s="395"/>
      <c r="J3755" s="42"/>
    </row>
    <row r="3756" spans="1:10" s="393" customFormat="1" x14ac:dyDescent="0.25">
      <c r="A3756" s="19" t="s">
        <v>33</v>
      </c>
      <c r="B3756" s="2">
        <v>44049</v>
      </c>
      <c r="C3756" s="1">
        <v>5</v>
      </c>
      <c r="D3756" s="39">
        <v>198</v>
      </c>
      <c r="E3756" s="1"/>
      <c r="F3756" s="39">
        <f t="shared" si="261"/>
        <v>0</v>
      </c>
      <c r="G3756" s="395"/>
      <c r="H3756" s="395"/>
      <c r="J3756" s="42"/>
    </row>
    <row r="3757" spans="1:10" s="393" customFormat="1" x14ac:dyDescent="0.25">
      <c r="A3757" s="19" t="s">
        <v>21</v>
      </c>
      <c r="B3757" s="2">
        <v>44049</v>
      </c>
      <c r="C3757" s="1">
        <v>40</v>
      </c>
      <c r="D3757" s="39">
        <v>448</v>
      </c>
      <c r="E3757" s="1"/>
      <c r="F3757" s="39">
        <f t="shared" si="261"/>
        <v>0</v>
      </c>
      <c r="G3757" s="395"/>
      <c r="H3757" s="395"/>
      <c r="J3757" s="42"/>
    </row>
    <row r="3758" spans="1:10" s="393" customFormat="1" x14ac:dyDescent="0.25">
      <c r="A3758" s="19" t="s">
        <v>17</v>
      </c>
      <c r="B3758" s="2">
        <v>44049</v>
      </c>
      <c r="C3758" s="1">
        <v>117</v>
      </c>
      <c r="D3758" s="39">
        <v>1790</v>
      </c>
      <c r="E3758" s="1">
        <v>2</v>
      </c>
      <c r="F3758" s="39">
        <f t="shared" si="261"/>
        <v>2</v>
      </c>
      <c r="G3758" s="395"/>
      <c r="H3758" s="395"/>
      <c r="J3758" s="42"/>
    </row>
    <row r="3759" spans="1:10" s="393" customFormat="1" x14ac:dyDescent="0.25">
      <c r="A3759" s="19" t="s">
        <v>23</v>
      </c>
      <c r="B3759" s="2">
        <v>44049</v>
      </c>
      <c r="C3759" s="1">
        <v>1</v>
      </c>
      <c r="D3759" s="39">
        <v>60</v>
      </c>
      <c r="E3759" s="1"/>
      <c r="F3759" s="39">
        <f t="shared" si="261"/>
        <v>1</v>
      </c>
      <c r="G3759" s="395"/>
      <c r="H3759" s="395"/>
      <c r="J3759" s="42"/>
    </row>
    <row r="3760" spans="1:10" s="393" customFormat="1" x14ac:dyDescent="0.25">
      <c r="A3760" s="19" t="s">
        <v>19</v>
      </c>
      <c r="B3760" s="2">
        <v>44049</v>
      </c>
      <c r="C3760" s="1">
        <v>53</v>
      </c>
      <c r="D3760" s="39">
        <v>1367</v>
      </c>
      <c r="E3760" s="1">
        <v>4</v>
      </c>
      <c r="F3760" s="39">
        <f t="shared" si="261"/>
        <v>6</v>
      </c>
      <c r="G3760" s="395"/>
      <c r="H3760" s="395"/>
      <c r="J3760" s="42"/>
    </row>
    <row r="3761" spans="1:10" s="393" customFormat="1" x14ac:dyDescent="0.25">
      <c r="A3761" s="19" t="s">
        <v>18</v>
      </c>
      <c r="B3761" s="2">
        <v>44049</v>
      </c>
      <c r="C3761" s="1">
        <v>222</v>
      </c>
      <c r="D3761" s="39">
        <v>2666</v>
      </c>
      <c r="E3761" s="1"/>
      <c r="F3761" s="39">
        <f t="shared" si="261"/>
        <v>8</v>
      </c>
      <c r="G3761" s="395"/>
      <c r="H3761" s="395"/>
      <c r="J3761" s="42"/>
    </row>
    <row r="3762" spans="1:10" s="393" customFormat="1" x14ac:dyDescent="0.25">
      <c r="A3762" s="19" t="s">
        <v>34</v>
      </c>
      <c r="B3762" s="2">
        <v>44049</v>
      </c>
      <c r="C3762" s="1">
        <v>42</v>
      </c>
      <c r="D3762" s="39">
        <v>421</v>
      </c>
      <c r="E3762" s="1"/>
      <c r="F3762" s="39">
        <f t="shared" si="261"/>
        <v>6</v>
      </c>
      <c r="G3762" s="395"/>
      <c r="H3762" s="395"/>
      <c r="J3762" s="42"/>
    </row>
    <row r="3763" spans="1:10" s="393" customFormat="1" x14ac:dyDescent="0.25">
      <c r="A3763" s="19" t="s">
        <v>35</v>
      </c>
      <c r="B3763" s="2">
        <v>44049</v>
      </c>
      <c r="C3763" s="1">
        <v>-1</v>
      </c>
      <c r="D3763" s="39">
        <v>22</v>
      </c>
      <c r="E3763" s="1"/>
      <c r="F3763" s="39">
        <f>E3763+F3739</f>
        <v>0</v>
      </c>
      <c r="G3763" s="395"/>
      <c r="H3763" s="395"/>
      <c r="J3763" s="42"/>
    </row>
    <row r="3764" spans="1:10" s="393" customFormat="1" x14ac:dyDescent="0.25">
      <c r="A3764" s="19" t="s">
        <v>36</v>
      </c>
      <c r="B3764" s="2">
        <v>44049</v>
      </c>
      <c r="C3764" s="1">
        <v>-1</v>
      </c>
      <c r="D3764" s="39">
        <v>32</v>
      </c>
      <c r="E3764" s="1"/>
      <c r="F3764" s="39">
        <f t="shared" si="261"/>
        <v>0</v>
      </c>
      <c r="G3764" s="395"/>
      <c r="H3764" s="395"/>
      <c r="J3764" s="42"/>
    </row>
    <row r="3765" spans="1:10" s="393" customFormat="1" x14ac:dyDescent="0.25">
      <c r="A3765" s="19" t="s">
        <v>37</v>
      </c>
      <c r="B3765" s="2">
        <v>44049</v>
      </c>
      <c r="C3765" s="1">
        <v>21</v>
      </c>
      <c r="D3765" s="39">
        <v>635</v>
      </c>
      <c r="E3765" s="1">
        <v>1</v>
      </c>
      <c r="F3765" s="39">
        <f t="shared" ref="F3765:F3770" si="262">E3765+F3741</f>
        <v>3</v>
      </c>
      <c r="G3765" s="395"/>
      <c r="H3765" s="395"/>
      <c r="J3765" s="42"/>
    </row>
    <row r="3766" spans="1:10" s="393" customFormat="1" x14ac:dyDescent="0.25">
      <c r="A3766" s="19" t="s">
        <v>22</v>
      </c>
      <c r="B3766" s="2">
        <v>44049</v>
      </c>
      <c r="C3766" s="1">
        <v>141</v>
      </c>
      <c r="D3766" s="39">
        <v>1778</v>
      </c>
      <c r="E3766" s="1"/>
      <c r="F3766" s="39">
        <f t="shared" si="262"/>
        <v>18</v>
      </c>
      <c r="G3766" s="395"/>
      <c r="H3766" s="395"/>
      <c r="J3766" s="42"/>
    </row>
    <row r="3767" spans="1:10" s="393" customFormat="1" x14ac:dyDescent="0.25">
      <c r="A3767" s="19" t="s">
        <v>38</v>
      </c>
      <c r="B3767" s="2">
        <v>44049</v>
      </c>
      <c r="C3767" s="1">
        <v>10</v>
      </c>
      <c r="D3767" s="39">
        <v>77</v>
      </c>
      <c r="E3767" s="1"/>
      <c r="F3767" s="39">
        <f t="shared" si="262"/>
        <v>1</v>
      </c>
      <c r="G3767" s="395"/>
      <c r="H3767" s="395"/>
      <c r="J3767" s="42"/>
    </row>
    <row r="3768" spans="1:10" s="393" customFormat="1" x14ac:dyDescent="0.25">
      <c r="A3768" s="19" t="s">
        <v>39</v>
      </c>
      <c r="B3768" s="2">
        <v>44049</v>
      </c>
      <c r="C3768" s="1">
        <v>67</v>
      </c>
      <c r="D3768" s="39">
        <v>813</v>
      </c>
      <c r="E3768" s="1">
        <f>1+2</f>
        <v>3</v>
      </c>
      <c r="F3768" s="39">
        <f t="shared" si="262"/>
        <v>4</v>
      </c>
      <c r="G3768" s="395"/>
      <c r="H3768" s="395"/>
      <c r="J3768" s="42"/>
    </row>
    <row r="3769" spans="1:10" s="393" customFormat="1" x14ac:dyDescent="0.25">
      <c r="A3769" s="19" t="s">
        <v>40</v>
      </c>
      <c r="B3769" s="2">
        <v>44049</v>
      </c>
      <c r="C3769" s="1">
        <v>30</v>
      </c>
      <c r="D3769" s="39">
        <v>355</v>
      </c>
      <c r="E3769" s="1">
        <f>1</f>
        <v>1</v>
      </c>
      <c r="F3769" s="39">
        <f t="shared" si="262"/>
        <v>5</v>
      </c>
      <c r="G3769" s="395"/>
      <c r="H3769" s="395"/>
      <c r="J3769" s="42"/>
    </row>
    <row r="3770" spans="1:10" s="393" customFormat="1" x14ac:dyDescent="0.25">
      <c r="A3770" s="394" t="s">
        <v>16</v>
      </c>
      <c r="B3770" s="2">
        <v>44050</v>
      </c>
      <c r="C3770" s="1">
        <v>5200</v>
      </c>
      <c r="D3770" s="39">
        <v>144310</v>
      </c>
      <c r="E3770" s="1">
        <v>107</v>
      </c>
      <c r="F3770" s="39">
        <f t="shared" si="262"/>
        <v>2475</v>
      </c>
      <c r="G3770" s="395"/>
      <c r="H3770" s="395"/>
      <c r="J3770" s="42"/>
    </row>
    <row r="3771" spans="1:10" s="393" customFormat="1" x14ac:dyDescent="0.25">
      <c r="A3771" s="19" t="s">
        <v>28</v>
      </c>
      <c r="B3771" s="2">
        <v>44050</v>
      </c>
      <c r="C3771" s="1">
        <v>0</v>
      </c>
      <c r="D3771" s="39">
        <v>61</v>
      </c>
      <c r="E3771" s="1"/>
      <c r="F3771" s="39">
        <f t="shared" ref="F3771:F3777" si="263">E3771+F3747</f>
        <v>0</v>
      </c>
      <c r="G3771" s="395"/>
      <c r="H3771" s="395"/>
      <c r="J3771" s="42"/>
    </row>
    <row r="3772" spans="1:10" s="393" customFormat="1" x14ac:dyDescent="0.25">
      <c r="A3772" s="19" t="s">
        <v>15</v>
      </c>
      <c r="B3772" s="2">
        <v>44050</v>
      </c>
      <c r="C3772" s="1">
        <v>77</v>
      </c>
      <c r="D3772" s="39">
        <v>3949</v>
      </c>
      <c r="E3772" s="1">
        <v>5</v>
      </c>
      <c r="F3772" s="39">
        <f t="shared" si="263"/>
        <v>163</v>
      </c>
      <c r="G3772" s="395"/>
      <c r="H3772" s="395"/>
      <c r="J3772" s="42"/>
    </row>
    <row r="3773" spans="1:10" s="393" customFormat="1" x14ac:dyDescent="0.25">
      <c r="A3773" s="19" t="s">
        <v>29</v>
      </c>
      <c r="B3773" s="2">
        <v>44050</v>
      </c>
      <c r="C3773" s="1">
        <v>2</v>
      </c>
      <c r="D3773" s="39">
        <v>312</v>
      </c>
      <c r="E3773" s="1"/>
      <c r="F3773" s="39">
        <f t="shared" si="263"/>
        <v>4</v>
      </c>
      <c r="G3773" s="395"/>
      <c r="H3773" s="395"/>
      <c r="J3773" s="42"/>
    </row>
    <row r="3774" spans="1:10" s="393" customFormat="1" x14ac:dyDescent="0.25">
      <c r="A3774" s="19" t="s">
        <v>43</v>
      </c>
      <c r="B3774" s="2">
        <v>44050</v>
      </c>
      <c r="C3774" s="1">
        <v>1237</v>
      </c>
      <c r="D3774" s="39">
        <v>68200</v>
      </c>
      <c r="E3774" s="1">
        <v>26</v>
      </c>
      <c r="F3774" s="39">
        <f t="shared" si="263"/>
        <v>1431</v>
      </c>
      <c r="G3774" s="395"/>
      <c r="H3774" s="395"/>
      <c r="J3774" s="42"/>
    </row>
    <row r="3775" spans="1:10" s="393" customFormat="1" x14ac:dyDescent="0.25">
      <c r="A3775" s="19" t="s">
        <v>20</v>
      </c>
      <c r="B3775" s="2">
        <v>44050</v>
      </c>
      <c r="C3775" s="1">
        <v>162</v>
      </c>
      <c r="D3775" s="39">
        <v>3160</v>
      </c>
      <c r="E3775" s="1">
        <f>5+4</f>
        <v>9</v>
      </c>
      <c r="F3775" s="39">
        <f t="shared" si="263"/>
        <v>58</v>
      </c>
      <c r="G3775" s="395"/>
      <c r="H3775" s="395"/>
      <c r="J3775" s="42"/>
    </row>
    <row r="3776" spans="1:10" s="393" customFormat="1" x14ac:dyDescent="0.25">
      <c r="A3776" s="19" t="s">
        <v>30</v>
      </c>
      <c r="B3776" s="2">
        <v>44050</v>
      </c>
      <c r="C3776" s="1">
        <v>4</v>
      </c>
      <c r="D3776" s="39">
        <v>205</v>
      </c>
      <c r="E3776" s="1"/>
      <c r="F3776" s="39">
        <f t="shared" si="263"/>
        <v>2</v>
      </c>
      <c r="G3776" s="395"/>
      <c r="H3776" s="395"/>
      <c r="J3776" s="42"/>
    </row>
    <row r="3777" spans="1:10" x14ac:dyDescent="0.25">
      <c r="A3777" s="19" t="s">
        <v>31</v>
      </c>
      <c r="B3777" s="2">
        <v>44050</v>
      </c>
      <c r="C3777" s="1">
        <v>57</v>
      </c>
      <c r="D3777" s="39">
        <v>1055</v>
      </c>
      <c r="E3777" s="1">
        <v>1</v>
      </c>
      <c r="F3777" s="39">
        <f t="shared" si="263"/>
        <v>13</v>
      </c>
    </row>
    <row r="3778" spans="1:10" s="393" customFormat="1" x14ac:dyDescent="0.25">
      <c r="A3778" s="19" t="s">
        <v>41</v>
      </c>
      <c r="B3778" s="2">
        <v>44050</v>
      </c>
      <c r="C3778" s="1">
        <v>0</v>
      </c>
      <c r="D3778" s="39">
        <v>84</v>
      </c>
      <c r="E3778" s="1"/>
      <c r="F3778" s="39">
        <f>E3778+F3754</f>
        <v>0</v>
      </c>
      <c r="G3778" s="395"/>
      <c r="H3778" s="395"/>
      <c r="J3778" s="42"/>
    </row>
    <row r="3779" spans="1:10" s="393" customFormat="1" x14ac:dyDescent="0.25">
      <c r="A3779" s="19" t="s">
        <v>32</v>
      </c>
      <c r="B3779" s="2">
        <v>44050</v>
      </c>
      <c r="C3779" s="1">
        <v>70</v>
      </c>
      <c r="D3779" s="39">
        <v>3019</v>
      </c>
      <c r="E3779" s="1"/>
      <c r="F3779" s="39">
        <f t="shared" ref="F3779:F3788" si="264">E3779+F3754</f>
        <v>0</v>
      </c>
      <c r="G3779" s="395"/>
      <c r="H3779" s="395"/>
      <c r="J3779" s="42"/>
    </row>
    <row r="3780" spans="1:10" s="393" customFormat="1" x14ac:dyDescent="0.25">
      <c r="A3780" s="19" t="s">
        <v>33</v>
      </c>
      <c r="B3780" s="2">
        <v>44050</v>
      </c>
      <c r="C3780" s="1">
        <v>7</v>
      </c>
      <c r="D3780" s="39">
        <v>205</v>
      </c>
      <c r="E3780" s="1"/>
      <c r="F3780" s="39">
        <f t="shared" si="264"/>
        <v>0</v>
      </c>
      <c r="G3780" s="395"/>
      <c r="H3780" s="395"/>
      <c r="J3780" s="42"/>
    </row>
    <row r="3781" spans="1:10" s="393" customFormat="1" x14ac:dyDescent="0.25">
      <c r="A3781" s="19" t="s">
        <v>21</v>
      </c>
      <c r="B3781" s="2">
        <v>44050</v>
      </c>
      <c r="C3781" s="1">
        <v>29</v>
      </c>
      <c r="D3781" s="39">
        <v>477</v>
      </c>
      <c r="E3781" s="1">
        <f>1</f>
        <v>1</v>
      </c>
      <c r="F3781" s="39">
        <f t="shared" si="264"/>
        <v>1</v>
      </c>
      <c r="G3781" s="395"/>
      <c r="H3781" s="395"/>
      <c r="J3781" s="42"/>
    </row>
    <row r="3782" spans="1:10" s="393" customFormat="1" x14ac:dyDescent="0.25">
      <c r="A3782" s="19" t="s">
        <v>17</v>
      </c>
      <c r="B3782" s="2">
        <v>44050</v>
      </c>
      <c r="C3782" s="1">
        <v>124</v>
      </c>
      <c r="D3782" s="39">
        <v>1914</v>
      </c>
      <c r="E3782" s="1">
        <v>2</v>
      </c>
      <c r="F3782" s="39">
        <f t="shared" si="264"/>
        <v>2</v>
      </c>
      <c r="G3782" s="395"/>
      <c r="H3782" s="395"/>
      <c r="J3782" s="42"/>
    </row>
    <row r="3783" spans="1:10" s="393" customFormat="1" x14ac:dyDescent="0.25">
      <c r="A3783" s="19" t="s">
        <v>23</v>
      </c>
      <c r="B3783" s="2">
        <v>44050</v>
      </c>
      <c r="C3783" s="1">
        <v>-1</v>
      </c>
      <c r="D3783" s="39">
        <v>59</v>
      </c>
      <c r="E3783" s="1"/>
      <c r="F3783" s="39">
        <f t="shared" si="264"/>
        <v>2</v>
      </c>
      <c r="G3783" s="395"/>
      <c r="H3783" s="395"/>
      <c r="J3783" s="42"/>
    </row>
    <row r="3784" spans="1:10" s="393" customFormat="1" x14ac:dyDescent="0.25">
      <c r="A3784" s="19" t="s">
        <v>19</v>
      </c>
      <c r="B3784" s="2">
        <v>44050</v>
      </c>
      <c r="C3784" s="1">
        <v>42</v>
      </c>
      <c r="D3784" s="39">
        <v>1409</v>
      </c>
      <c r="E3784" s="1">
        <v>1</v>
      </c>
      <c r="F3784" s="39">
        <f t="shared" si="264"/>
        <v>2</v>
      </c>
      <c r="G3784" s="395"/>
      <c r="H3784" s="395"/>
      <c r="J3784" s="42"/>
    </row>
    <row r="3785" spans="1:10" s="393" customFormat="1" x14ac:dyDescent="0.25">
      <c r="A3785" s="19" t="s">
        <v>18</v>
      </c>
      <c r="B3785" s="2">
        <v>44050</v>
      </c>
      <c r="C3785" s="1">
        <v>105</v>
      </c>
      <c r="D3785" s="39">
        <v>2771</v>
      </c>
      <c r="E3785" s="1">
        <v>1</v>
      </c>
      <c r="F3785" s="39">
        <f t="shared" si="264"/>
        <v>7</v>
      </c>
      <c r="G3785" s="395"/>
      <c r="H3785" s="395"/>
      <c r="J3785" s="42"/>
    </row>
    <row r="3786" spans="1:10" s="393" customFormat="1" x14ac:dyDescent="0.25">
      <c r="A3786" s="19" t="s">
        <v>34</v>
      </c>
      <c r="B3786" s="2">
        <v>44050</v>
      </c>
      <c r="C3786" s="1">
        <v>54</v>
      </c>
      <c r="D3786" s="39">
        <v>475</v>
      </c>
      <c r="E3786" s="1">
        <f>2+2</f>
        <v>4</v>
      </c>
      <c r="F3786" s="39">
        <f t="shared" si="264"/>
        <v>12</v>
      </c>
      <c r="G3786" s="395"/>
      <c r="H3786" s="395"/>
      <c r="J3786" s="42"/>
    </row>
    <row r="3787" spans="1:10" s="393" customFormat="1" x14ac:dyDescent="0.25">
      <c r="A3787" s="19" t="s">
        <v>35</v>
      </c>
      <c r="B3787" s="2">
        <v>44050</v>
      </c>
      <c r="C3787" s="1">
        <v>0</v>
      </c>
      <c r="D3787" s="39">
        <v>22</v>
      </c>
      <c r="E3787" s="1"/>
      <c r="F3787" s="39">
        <f>E3787+F3763</f>
        <v>0</v>
      </c>
      <c r="G3787" s="395"/>
      <c r="H3787" s="395"/>
      <c r="J3787" s="42"/>
    </row>
    <row r="3788" spans="1:10" s="393" customFormat="1" x14ac:dyDescent="0.25">
      <c r="A3788" s="19" t="s">
        <v>36</v>
      </c>
      <c r="B3788" s="2">
        <v>44050</v>
      </c>
      <c r="C3788" s="1">
        <v>1</v>
      </c>
      <c r="D3788" s="39">
        <v>33</v>
      </c>
      <c r="E3788" s="1"/>
      <c r="F3788" s="39">
        <f t="shared" si="264"/>
        <v>0</v>
      </c>
      <c r="G3788" s="395"/>
      <c r="H3788" s="395"/>
      <c r="J3788" s="42"/>
    </row>
    <row r="3789" spans="1:10" s="393" customFormat="1" x14ac:dyDescent="0.25">
      <c r="A3789" s="19" t="s">
        <v>37</v>
      </c>
      <c r="B3789" s="2">
        <v>44050</v>
      </c>
      <c r="C3789" s="1">
        <v>64</v>
      </c>
      <c r="D3789" s="39">
        <v>699</v>
      </c>
      <c r="E3789" s="1"/>
      <c r="F3789" s="39">
        <f t="shared" ref="F3789:F3794" si="265">E3789+F3765</f>
        <v>3</v>
      </c>
      <c r="G3789" s="395"/>
      <c r="H3789" s="395"/>
      <c r="J3789" s="42"/>
    </row>
    <row r="3790" spans="1:10" s="393" customFormat="1" x14ac:dyDescent="0.25">
      <c r="A3790" s="19" t="s">
        <v>22</v>
      </c>
      <c r="B3790" s="2">
        <v>44050</v>
      </c>
      <c r="C3790" s="1">
        <v>134</v>
      </c>
      <c r="D3790" s="39">
        <v>1912</v>
      </c>
      <c r="E3790" s="1">
        <f>1+1</f>
        <v>2</v>
      </c>
      <c r="F3790" s="39">
        <f t="shared" si="265"/>
        <v>20</v>
      </c>
      <c r="G3790" s="395"/>
      <c r="H3790" s="395"/>
      <c r="J3790" s="42"/>
    </row>
    <row r="3791" spans="1:10" s="393" customFormat="1" x14ac:dyDescent="0.25">
      <c r="A3791" s="19" t="s">
        <v>38</v>
      </c>
      <c r="B3791" s="2">
        <v>44050</v>
      </c>
      <c r="C3791" s="1">
        <v>29</v>
      </c>
      <c r="D3791" s="39">
        <v>106</v>
      </c>
      <c r="E3791" s="1"/>
      <c r="F3791" s="39">
        <f t="shared" si="265"/>
        <v>1</v>
      </c>
      <c r="G3791" s="395"/>
      <c r="H3791" s="395"/>
      <c r="J3791" s="42"/>
    </row>
    <row r="3792" spans="1:10" s="393" customFormat="1" x14ac:dyDescent="0.25">
      <c r="A3792" s="19" t="s">
        <v>39</v>
      </c>
      <c r="B3792" s="2">
        <v>44050</v>
      </c>
      <c r="C3792" s="1">
        <v>85</v>
      </c>
      <c r="D3792" s="39">
        <v>898</v>
      </c>
      <c r="E3792" s="1"/>
      <c r="F3792" s="39">
        <f t="shared" si="265"/>
        <v>4</v>
      </c>
      <c r="G3792" s="395"/>
      <c r="H3792" s="395"/>
      <c r="J3792" s="42"/>
    </row>
    <row r="3793" spans="1:10" s="393" customFormat="1" x14ac:dyDescent="0.25">
      <c r="A3793" s="19" t="s">
        <v>40</v>
      </c>
      <c r="B3793" s="2">
        <v>44050</v>
      </c>
      <c r="C3793" s="1">
        <v>9</v>
      </c>
      <c r="D3793" s="39">
        <v>364</v>
      </c>
      <c r="E3793" s="1"/>
      <c r="F3793" s="39">
        <f t="shared" si="265"/>
        <v>5</v>
      </c>
      <c r="G3793" s="395"/>
      <c r="H3793" s="395"/>
      <c r="J3793" s="42"/>
    </row>
    <row r="3794" spans="1:10" s="393" customFormat="1" x14ac:dyDescent="0.25">
      <c r="A3794" s="394" t="s">
        <v>16</v>
      </c>
      <c r="B3794" s="2">
        <v>44051</v>
      </c>
      <c r="C3794" s="1">
        <v>4053</v>
      </c>
      <c r="D3794" s="39">
        <v>148363</v>
      </c>
      <c r="E3794" s="1">
        <v>84</v>
      </c>
      <c r="F3794" s="39">
        <f t="shared" si="265"/>
        <v>2559</v>
      </c>
      <c r="G3794" s="395"/>
      <c r="H3794" s="395"/>
      <c r="J3794" s="42"/>
    </row>
    <row r="3795" spans="1:10" s="393" customFormat="1" x14ac:dyDescent="0.25">
      <c r="A3795" s="19" t="s">
        <v>28</v>
      </c>
      <c r="B3795" s="2">
        <v>44051</v>
      </c>
      <c r="C3795" s="1">
        <v>1</v>
      </c>
      <c r="D3795" s="39">
        <v>62</v>
      </c>
      <c r="E3795" s="1"/>
      <c r="F3795" s="39">
        <f t="shared" ref="F3795:F3801" si="266">E3795+F3771</f>
        <v>0</v>
      </c>
      <c r="G3795" s="395"/>
      <c r="H3795" s="395"/>
      <c r="J3795" s="42"/>
    </row>
    <row r="3796" spans="1:10" s="393" customFormat="1" x14ac:dyDescent="0.25">
      <c r="A3796" s="19" t="s">
        <v>15</v>
      </c>
      <c r="B3796" s="2">
        <v>44051</v>
      </c>
      <c r="C3796" s="1">
        <v>54</v>
      </c>
      <c r="D3796" s="39">
        <v>4003</v>
      </c>
      <c r="E3796" s="1"/>
      <c r="F3796" s="39">
        <f t="shared" si="266"/>
        <v>163</v>
      </c>
      <c r="G3796" s="395"/>
      <c r="H3796" s="395"/>
      <c r="J3796" s="42"/>
    </row>
    <row r="3797" spans="1:10" s="393" customFormat="1" x14ac:dyDescent="0.25">
      <c r="A3797" s="19" t="s">
        <v>29</v>
      </c>
      <c r="B3797" s="2">
        <v>44051</v>
      </c>
      <c r="C3797" s="1">
        <v>16</v>
      </c>
      <c r="D3797" s="39">
        <v>328</v>
      </c>
      <c r="E3797" s="1"/>
      <c r="F3797" s="39">
        <f t="shared" si="266"/>
        <v>4</v>
      </c>
      <c r="G3797" s="395"/>
      <c r="H3797" s="395"/>
      <c r="J3797" s="42"/>
    </row>
    <row r="3798" spans="1:10" s="393" customFormat="1" x14ac:dyDescent="0.25">
      <c r="A3798" s="19" t="s">
        <v>43</v>
      </c>
      <c r="B3798" s="2">
        <v>44051</v>
      </c>
      <c r="C3798" s="1">
        <v>966</v>
      </c>
      <c r="D3798" s="39">
        <v>69166</v>
      </c>
      <c r="E3798" s="1">
        <v>17</v>
      </c>
      <c r="F3798" s="39">
        <f t="shared" si="266"/>
        <v>1448</v>
      </c>
      <c r="G3798" s="395"/>
      <c r="H3798" s="395"/>
      <c r="J3798" s="42"/>
    </row>
    <row r="3799" spans="1:10" s="393" customFormat="1" x14ac:dyDescent="0.25">
      <c r="A3799" s="19" t="s">
        <v>20</v>
      </c>
      <c r="B3799" s="2">
        <v>44051</v>
      </c>
      <c r="C3799" s="1">
        <v>150</v>
      </c>
      <c r="D3799" s="39">
        <v>3310</v>
      </c>
      <c r="E3799" s="1">
        <v>3</v>
      </c>
      <c r="F3799" s="39">
        <f t="shared" si="266"/>
        <v>61</v>
      </c>
      <c r="G3799" s="395"/>
      <c r="H3799" s="395"/>
      <c r="J3799" s="42"/>
    </row>
    <row r="3800" spans="1:10" s="393" customFormat="1" x14ac:dyDescent="0.25">
      <c r="A3800" s="19" t="s">
        <v>30</v>
      </c>
      <c r="B3800" s="2">
        <v>44051</v>
      </c>
      <c r="C3800" s="1">
        <v>3</v>
      </c>
      <c r="D3800" s="39">
        <v>208</v>
      </c>
      <c r="E3800" s="1"/>
      <c r="F3800" s="39">
        <f t="shared" si="266"/>
        <v>2</v>
      </c>
      <c r="G3800" s="395"/>
      <c r="H3800" s="395"/>
      <c r="J3800" s="42"/>
    </row>
    <row r="3801" spans="1:10" x14ac:dyDescent="0.25">
      <c r="A3801" s="19" t="s">
        <v>31</v>
      </c>
      <c r="B3801" s="2">
        <v>44051</v>
      </c>
      <c r="C3801" s="1">
        <v>31</v>
      </c>
      <c r="D3801" s="39">
        <v>1086</v>
      </c>
      <c r="F3801" s="39">
        <f t="shared" si="266"/>
        <v>13</v>
      </c>
    </row>
    <row r="3802" spans="1:10" s="393" customFormat="1" x14ac:dyDescent="0.25">
      <c r="A3802" s="19" t="s">
        <v>41</v>
      </c>
      <c r="B3802" s="2">
        <v>44051</v>
      </c>
      <c r="C3802" s="1">
        <v>1</v>
      </c>
      <c r="D3802" s="39">
        <v>85</v>
      </c>
      <c r="E3802" s="1"/>
      <c r="F3802" s="39">
        <f>E3802+F3778</f>
        <v>0</v>
      </c>
      <c r="G3802" s="395"/>
      <c r="H3802" s="395"/>
      <c r="J3802" s="42"/>
    </row>
    <row r="3803" spans="1:10" s="393" customFormat="1" x14ac:dyDescent="0.25">
      <c r="A3803" s="19" t="s">
        <v>32</v>
      </c>
      <c r="B3803" s="2">
        <v>44051</v>
      </c>
      <c r="C3803" s="1">
        <v>328</v>
      </c>
      <c r="D3803" s="39">
        <v>3347</v>
      </c>
      <c r="E3803" s="1">
        <v>1</v>
      </c>
      <c r="F3803" s="39">
        <f t="shared" ref="F3803:F3812" si="267">E3803+F3778</f>
        <v>1</v>
      </c>
      <c r="G3803" s="395"/>
      <c r="H3803" s="395"/>
      <c r="J3803" s="42"/>
    </row>
    <row r="3804" spans="1:10" s="393" customFormat="1" x14ac:dyDescent="0.25">
      <c r="A3804" s="19" t="s">
        <v>33</v>
      </c>
      <c r="B3804" s="2">
        <v>44051</v>
      </c>
      <c r="C3804" s="1">
        <v>1</v>
      </c>
      <c r="D3804" s="39">
        <v>206</v>
      </c>
      <c r="E3804" s="1"/>
      <c r="F3804" s="39">
        <f t="shared" si="267"/>
        <v>0</v>
      </c>
      <c r="G3804" s="395"/>
      <c r="H3804" s="395"/>
      <c r="J3804" s="42"/>
    </row>
    <row r="3805" spans="1:10" s="393" customFormat="1" x14ac:dyDescent="0.25">
      <c r="A3805" s="19" t="s">
        <v>21</v>
      </c>
      <c r="B3805" s="2">
        <v>44051</v>
      </c>
      <c r="C3805" s="1">
        <v>36</v>
      </c>
      <c r="D3805" s="39">
        <v>513</v>
      </c>
      <c r="E3805" s="1">
        <v>1</v>
      </c>
      <c r="F3805" s="39">
        <f t="shared" si="267"/>
        <v>1</v>
      </c>
      <c r="G3805" s="395"/>
      <c r="H3805" s="395"/>
      <c r="J3805" s="42"/>
    </row>
    <row r="3806" spans="1:10" s="393" customFormat="1" x14ac:dyDescent="0.25">
      <c r="A3806" s="19" t="s">
        <v>17</v>
      </c>
      <c r="B3806" s="2">
        <v>44051</v>
      </c>
      <c r="C3806" s="1">
        <v>124</v>
      </c>
      <c r="D3806" s="39">
        <v>2038</v>
      </c>
      <c r="E3806" s="1">
        <v>1</v>
      </c>
      <c r="F3806" s="39">
        <f t="shared" si="267"/>
        <v>2</v>
      </c>
      <c r="G3806" s="395"/>
      <c r="H3806" s="395"/>
      <c r="J3806" s="42"/>
    </row>
    <row r="3807" spans="1:10" s="393" customFormat="1" x14ac:dyDescent="0.25">
      <c r="A3807" s="19" t="s">
        <v>23</v>
      </c>
      <c r="B3807" s="2">
        <v>44051</v>
      </c>
      <c r="C3807" s="1">
        <v>-2</v>
      </c>
      <c r="D3807" s="39">
        <v>57</v>
      </c>
      <c r="E3807" s="1"/>
      <c r="F3807" s="39">
        <f t="shared" si="267"/>
        <v>2</v>
      </c>
      <c r="G3807" s="395"/>
      <c r="H3807" s="395"/>
      <c r="J3807" s="42"/>
    </row>
    <row r="3808" spans="1:10" s="393" customFormat="1" x14ac:dyDescent="0.25">
      <c r="A3808" s="19" t="s">
        <v>19</v>
      </c>
      <c r="B3808" s="2">
        <v>44051</v>
      </c>
      <c r="C3808" s="1">
        <v>18</v>
      </c>
      <c r="D3808" s="39">
        <v>1427</v>
      </c>
      <c r="E3808" s="1"/>
      <c r="F3808" s="39">
        <f t="shared" si="267"/>
        <v>2</v>
      </c>
      <c r="G3808" s="395"/>
      <c r="H3808" s="395"/>
      <c r="J3808" s="42"/>
    </row>
    <row r="3809" spans="1:10" s="393" customFormat="1" x14ac:dyDescent="0.25">
      <c r="A3809" s="19" t="s">
        <v>18</v>
      </c>
      <c r="B3809" s="2">
        <v>44051</v>
      </c>
      <c r="C3809" s="1">
        <v>70</v>
      </c>
      <c r="D3809" s="39">
        <v>2841</v>
      </c>
      <c r="E3809" s="1">
        <v>3</v>
      </c>
      <c r="F3809" s="39">
        <f t="shared" si="267"/>
        <v>5</v>
      </c>
      <c r="G3809" s="395"/>
      <c r="H3809" s="395"/>
      <c r="J3809" s="42"/>
    </row>
    <row r="3810" spans="1:10" s="393" customFormat="1" x14ac:dyDescent="0.25">
      <c r="A3810" s="19" t="s">
        <v>34</v>
      </c>
      <c r="B3810" s="2">
        <v>44051</v>
      </c>
      <c r="C3810" s="1">
        <v>68</v>
      </c>
      <c r="D3810" s="39">
        <v>543</v>
      </c>
      <c r="E3810" s="1"/>
      <c r="F3810" s="39">
        <f t="shared" si="267"/>
        <v>7</v>
      </c>
      <c r="G3810" s="395"/>
      <c r="H3810" s="395"/>
      <c r="J3810" s="42"/>
    </row>
    <row r="3811" spans="1:10" s="393" customFormat="1" x14ac:dyDescent="0.25">
      <c r="A3811" s="19" t="s">
        <v>35</v>
      </c>
      <c r="B3811" s="2">
        <v>44051</v>
      </c>
      <c r="C3811" s="1">
        <v>1</v>
      </c>
      <c r="D3811" s="39">
        <v>23</v>
      </c>
      <c r="E3811" s="1"/>
      <c r="F3811" s="39">
        <f>E3811+F3787</f>
        <v>0</v>
      </c>
      <c r="G3811" s="395"/>
      <c r="H3811" s="395"/>
      <c r="J3811" s="42"/>
    </row>
    <row r="3812" spans="1:10" s="393" customFormat="1" x14ac:dyDescent="0.25">
      <c r="A3812" s="19" t="s">
        <v>36</v>
      </c>
      <c r="B3812" s="2">
        <v>44051</v>
      </c>
      <c r="C3812" s="1">
        <v>0</v>
      </c>
      <c r="D3812" s="39">
        <v>33</v>
      </c>
      <c r="E3812" s="1"/>
      <c r="F3812" s="39">
        <f t="shared" si="267"/>
        <v>0</v>
      </c>
      <c r="G3812" s="395"/>
      <c r="H3812" s="395"/>
      <c r="J3812" s="42"/>
    </row>
    <row r="3813" spans="1:10" s="393" customFormat="1" x14ac:dyDescent="0.25">
      <c r="A3813" s="19" t="s">
        <v>37</v>
      </c>
      <c r="B3813" s="2">
        <v>44051</v>
      </c>
      <c r="C3813" s="1">
        <v>8</v>
      </c>
      <c r="D3813" s="39">
        <v>707</v>
      </c>
      <c r="E3813" s="1"/>
      <c r="F3813" s="39">
        <f t="shared" ref="F3813:F3818" si="268">E3813+F3789</f>
        <v>3</v>
      </c>
      <c r="G3813" s="395"/>
      <c r="H3813" s="395"/>
      <c r="J3813" s="42"/>
    </row>
    <row r="3814" spans="1:10" s="393" customFormat="1" x14ac:dyDescent="0.25">
      <c r="A3814" s="19" t="s">
        <v>22</v>
      </c>
      <c r="B3814" s="2">
        <v>44051</v>
      </c>
      <c r="C3814" s="1">
        <v>137</v>
      </c>
      <c r="D3814" s="39">
        <v>2049</v>
      </c>
      <c r="E3814" s="1">
        <v>1</v>
      </c>
      <c r="F3814" s="39">
        <f t="shared" si="268"/>
        <v>21</v>
      </c>
      <c r="G3814" s="395"/>
      <c r="H3814" s="395"/>
      <c r="J3814" s="42"/>
    </row>
    <row r="3815" spans="1:10" s="393" customFormat="1" x14ac:dyDescent="0.25">
      <c r="A3815" s="19" t="s">
        <v>38</v>
      </c>
      <c r="B3815" s="2">
        <v>44051</v>
      </c>
      <c r="C3815" s="1">
        <v>9</v>
      </c>
      <c r="D3815" s="39">
        <v>115</v>
      </c>
      <c r="E3815" s="1"/>
      <c r="F3815" s="39">
        <f t="shared" si="268"/>
        <v>1</v>
      </c>
      <c r="G3815" s="395"/>
      <c r="H3815" s="395"/>
      <c r="J3815" s="42"/>
    </row>
    <row r="3816" spans="1:10" s="393" customFormat="1" x14ac:dyDescent="0.25">
      <c r="A3816" s="19" t="s">
        <v>39</v>
      </c>
      <c r="B3816" s="2">
        <v>44051</v>
      </c>
      <c r="C3816" s="1">
        <v>52</v>
      </c>
      <c r="D3816" s="39">
        <v>950</v>
      </c>
      <c r="E3816" s="1">
        <v>1</v>
      </c>
      <c r="F3816" s="39">
        <f t="shared" si="268"/>
        <v>5</v>
      </c>
      <c r="G3816" s="395"/>
      <c r="H3816" s="395"/>
      <c r="J3816" s="42"/>
    </row>
    <row r="3817" spans="1:10" s="393" customFormat="1" x14ac:dyDescent="0.25">
      <c r="A3817" s="19" t="s">
        <v>40</v>
      </c>
      <c r="B3817" s="2">
        <v>44051</v>
      </c>
      <c r="C3817" s="1">
        <v>9</v>
      </c>
      <c r="D3817" s="39">
        <v>373</v>
      </c>
      <c r="E3817" s="1"/>
      <c r="F3817" s="39">
        <f t="shared" si="268"/>
        <v>5</v>
      </c>
      <c r="G3817" s="395"/>
      <c r="H3817" s="395"/>
      <c r="J3817" s="42"/>
    </row>
    <row r="3818" spans="1:10" s="393" customFormat="1" x14ac:dyDescent="0.25">
      <c r="A3818" s="394" t="s">
        <v>16</v>
      </c>
      <c r="B3818" s="2">
        <v>44052</v>
      </c>
      <c r="C3818" s="1">
        <v>2904</v>
      </c>
      <c r="D3818" s="39">
        <v>151267</v>
      </c>
      <c r="E3818" s="1">
        <v>55</v>
      </c>
      <c r="F3818" s="39">
        <f t="shared" si="268"/>
        <v>2614</v>
      </c>
      <c r="G3818" s="395"/>
      <c r="H3818" s="395"/>
      <c r="J3818" s="42"/>
    </row>
    <row r="3819" spans="1:10" s="393" customFormat="1" x14ac:dyDescent="0.25">
      <c r="A3819" s="19" t="s">
        <v>28</v>
      </c>
      <c r="B3819" s="2">
        <v>44052</v>
      </c>
      <c r="C3819" s="1">
        <v>0</v>
      </c>
      <c r="D3819" s="39">
        <v>62</v>
      </c>
      <c r="E3819" s="1"/>
      <c r="F3819" s="39">
        <f t="shared" ref="F3819:F3825" si="269">E3819+F3795</f>
        <v>0</v>
      </c>
      <c r="G3819" s="395"/>
      <c r="H3819" s="395"/>
      <c r="J3819" s="42"/>
    </row>
    <row r="3820" spans="1:10" s="393" customFormat="1" x14ac:dyDescent="0.25">
      <c r="A3820" s="19" t="s">
        <v>15</v>
      </c>
      <c r="B3820" s="2">
        <v>44052</v>
      </c>
      <c r="C3820" s="1">
        <v>66</v>
      </c>
      <c r="D3820" s="39">
        <v>4069</v>
      </c>
      <c r="E3820" s="1"/>
      <c r="F3820" s="39">
        <f t="shared" si="269"/>
        <v>163</v>
      </c>
      <c r="G3820" s="395"/>
      <c r="H3820" s="395"/>
      <c r="J3820" s="42"/>
    </row>
    <row r="3821" spans="1:10" s="393" customFormat="1" x14ac:dyDescent="0.25">
      <c r="A3821" s="19" t="s">
        <v>29</v>
      </c>
      <c r="B3821" s="2">
        <v>44052</v>
      </c>
      <c r="C3821" s="1">
        <v>21</v>
      </c>
      <c r="D3821" s="39">
        <v>349</v>
      </c>
      <c r="E3821" s="1"/>
      <c r="F3821" s="39">
        <f t="shared" si="269"/>
        <v>4</v>
      </c>
      <c r="G3821" s="395"/>
      <c r="H3821" s="395"/>
      <c r="J3821" s="42"/>
    </row>
    <row r="3822" spans="1:10" s="393" customFormat="1" x14ac:dyDescent="0.25">
      <c r="A3822" s="19" t="s">
        <v>43</v>
      </c>
      <c r="B3822" s="2">
        <v>44052</v>
      </c>
      <c r="C3822" s="1">
        <v>873</v>
      </c>
      <c r="D3822" s="39">
        <v>70039</v>
      </c>
      <c r="E3822" s="1">
        <v>22</v>
      </c>
      <c r="F3822" s="39">
        <f t="shared" si="269"/>
        <v>1470</v>
      </c>
      <c r="G3822" s="395"/>
      <c r="H3822" s="395"/>
      <c r="J3822" s="42"/>
    </row>
    <row r="3823" spans="1:10" s="393" customFormat="1" x14ac:dyDescent="0.25">
      <c r="A3823" s="19" t="s">
        <v>20</v>
      </c>
      <c r="B3823" s="2">
        <v>44052</v>
      </c>
      <c r="C3823" s="1">
        <v>205</v>
      </c>
      <c r="D3823" s="39">
        <v>3515</v>
      </c>
      <c r="E3823" s="1">
        <v>3</v>
      </c>
      <c r="F3823" s="39">
        <f>E3823+F3799</f>
        <v>64</v>
      </c>
      <c r="G3823" s="395"/>
      <c r="H3823" s="395"/>
      <c r="J3823" s="42"/>
    </row>
    <row r="3824" spans="1:10" s="393" customFormat="1" x14ac:dyDescent="0.25">
      <c r="A3824" s="19" t="s">
        <v>30</v>
      </c>
      <c r="B3824" s="2">
        <v>44052</v>
      </c>
      <c r="C3824" s="1">
        <v>6</v>
      </c>
      <c r="D3824" s="39">
        <v>214</v>
      </c>
      <c r="E3824" s="1"/>
      <c r="F3824" s="39">
        <f t="shared" si="269"/>
        <v>2</v>
      </c>
      <c r="G3824" s="395"/>
      <c r="H3824" s="395"/>
      <c r="J3824" s="42"/>
    </row>
    <row r="3825" spans="1:10" x14ac:dyDescent="0.25">
      <c r="A3825" s="19" t="s">
        <v>31</v>
      </c>
      <c r="B3825" s="2">
        <v>44052</v>
      </c>
      <c r="C3825" s="1">
        <v>77</v>
      </c>
      <c r="D3825" s="39">
        <v>1163</v>
      </c>
      <c r="F3825" s="39">
        <f t="shared" si="269"/>
        <v>13</v>
      </c>
    </row>
    <row r="3826" spans="1:10" s="393" customFormat="1" x14ac:dyDescent="0.25">
      <c r="A3826" s="19" t="s">
        <v>41</v>
      </c>
      <c r="B3826" s="2">
        <v>44052</v>
      </c>
      <c r="C3826" s="1">
        <v>1</v>
      </c>
      <c r="D3826" s="39">
        <v>86</v>
      </c>
      <c r="E3826" s="1"/>
      <c r="F3826" s="39">
        <f>E3826+F3802</f>
        <v>0</v>
      </c>
      <c r="G3826" s="395"/>
      <c r="H3826" s="395"/>
      <c r="J3826" s="42"/>
    </row>
    <row r="3827" spans="1:10" s="393" customFormat="1" x14ac:dyDescent="0.25">
      <c r="A3827" s="19" t="s">
        <v>32</v>
      </c>
      <c r="B3827" s="2">
        <v>44052</v>
      </c>
      <c r="C3827" s="1">
        <v>73</v>
      </c>
      <c r="D3827" s="39">
        <v>3420</v>
      </c>
      <c r="E3827" s="1"/>
      <c r="F3827" s="39">
        <f t="shared" ref="F3827:F3836" si="270">E3827+F3802</f>
        <v>0</v>
      </c>
      <c r="G3827" s="395"/>
      <c r="H3827" s="395"/>
      <c r="J3827" s="42"/>
    </row>
    <row r="3828" spans="1:10" s="393" customFormat="1" x14ac:dyDescent="0.25">
      <c r="A3828" s="19" t="s">
        <v>33</v>
      </c>
      <c r="B3828" s="2">
        <v>44052</v>
      </c>
      <c r="C3828" s="1">
        <v>0</v>
      </c>
      <c r="D3828" s="39">
        <v>206</v>
      </c>
      <c r="E3828" s="1"/>
      <c r="F3828" s="39">
        <f t="shared" si="270"/>
        <v>1</v>
      </c>
      <c r="G3828" s="395"/>
      <c r="H3828" s="395"/>
      <c r="J3828" s="42"/>
    </row>
    <row r="3829" spans="1:10" s="393" customFormat="1" x14ac:dyDescent="0.25">
      <c r="A3829" s="19" t="s">
        <v>21</v>
      </c>
      <c r="B3829" s="2">
        <v>44052</v>
      </c>
      <c r="C3829" s="1">
        <v>3</v>
      </c>
      <c r="D3829" s="39">
        <v>516</v>
      </c>
      <c r="E3829" s="1">
        <v>1</v>
      </c>
      <c r="F3829" s="39">
        <f t="shared" si="270"/>
        <v>1</v>
      </c>
      <c r="G3829" s="395"/>
      <c r="H3829" s="395"/>
      <c r="J3829" s="42"/>
    </row>
    <row r="3830" spans="1:10" s="393" customFormat="1" x14ac:dyDescent="0.25">
      <c r="A3830" s="19" t="s">
        <v>17</v>
      </c>
      <c r="B3830" s="2">
        <v>44052</v>
      </c>
      <c r="C3830" s="1">
        <v>108</v>
      </c>
      <c r="D3830" s="39">
        <v>2146</v>
      </c>
      <c r="E3830" s="1">
        <v>1</v>
      </c>
      <c r="F3830" s="39">
        <f t="shared" si="270"/>
        <v>2</v>
      </c>
      <c r="G3830" s="395"/>
      <c r="H3830" s="395"/>
      <c r="J3830" s="42"/>
    </row>
    <row r="3831" spans="1:10" s="393" customFormat="1" x14ac:dyDescent="0.25">
      <c r="A3831" s="19" t="s">
        <v>23</v>
      </c>
      <c r="B3831" s="2">
        <v>44052</v>
      </c>
      <c r="C3831" s="1">
        <v>3</v>
      </c>
      <c r="D3831" s="39">
        <v>60</v>
      </c>
      <c r="E3831" s="1"/>
      <c r="F3831" s="39">
        <f t="shared" si="270"/>
        <v>2</v>
      </c>
      <c r="G3831" s="395"/>
      <c r="H3831" s="395"/>
      <c r="J3831" s="42"/>
    </row>
    <row r="3832" spans="1:10" s="393" customFormat="1" x14ac:dyDescent="0.25">
      <c r="A3832" s="19" t="s">
        <v>19</v>
      </c>
      <c r="B3832" s="2">
        <v>44052</v>
      </c>
      <c r="C3832" s="1">
        <v>29</v>
      </c>
      <c r="D3832" s="39">
        <v>1456</v>
      </c>
      <c r="E3832" s="1"/>
      <c r="F3832" s="39">
        <f t="shared" si="270"/>
        <v>2</v>
      </c>
      <c r="G3832" s="395"/>
      <c r="H3832" s="395"/>
      <c r="J3832" s="42"/>
    </row>
    <row r="3833" spans="1:10" s="393" customFormat="1" x14ac:dyDescent="0.25">
      <c r="A3833" s="19" t="s">
        <v>18</v>
      </c>
      <c r="B3833" s="2">
        <v>44052</v>
      </c>
      <c r="C3833" s="1">
        <v>62</v>
      </c>
      <c r="D3833" s="39">
        <v>2903</v>
      </c>
      <c r="E3833" s="1"/>
      <c r="F3833" s="39">
        <f t="shared" si="270"/>
        <v>2</v>
      </c>
      <c r="G3833" s="395"/>
      <c r="H3833" s="395"/>
      <c r="J3833" s="42"/>
    </row>
    <row r="3834" spans="1:10" s="393" customFormat="1" x14ac:dyDescent="0.25">
      <c r="A3834" s="19" t="s">
        <v>34</v>
      </c>
      <c r="B3834" s="2">
        <v>44052</v>
      </c>
      <c r="C3834" s="1">
        <v>46</v>
      </c>
      <c r="D3834" s="39">
        <v>589</v>
      </c>
      <c r="E3834" s="1"/>
      <c r="F3834" s="39">
        <f t="shared" si="270"/>
        <v>5</v>
      </c>
      <c r="G3834" s="395"/>
      <c r="H3834" s="395"/>
      <c r="J3834" s="42"/>
    </row>
    <row r="3835" spans="1:10" s="393" customFormat="1" x14ac:dyDescent="0.25">
      <c r="A3835" s="19" t="s">
        <v>35</v>
      </c>
      <c r="B3835" s="2">
        <v>44052</v>
      </c>
      <c r="C3835" s="1">
        <v>-1</v>
      </c>
      <c r="D3835" s="39">
        <v>22</v>
      </c>
      <c r="E3835" s="1"/>
      <c r="F3835" s="39">
        <f>E3835+F3811</f>
        <v>0</v>
      </c>
      <c r="G3835" s="395"/>
      <c r="H3835" s="395"/>
      <c r="J3835" s="42"/>
    </row>
    <row r="3836" spans="1:10" s="393" customFormat="1" x14ac:dyDescent="0.25">
      <c r="A3836" s="19" t="s">
        <v>36</v>
      </c>
      <c r="B3836" s="2">
        <v>44052</v>
      </c>
      <c r="C3836" s="1">
        <v>1</v>
      </c>
      <c r="D3836" s="39">
        <v>34</v>
      </c>
      <c r="E3836" s="1"/>
      <c r="F3836" s="39">
        <f t="shared" si="270"/>
        <v>0</v>
      </c>
      <c r="G3836" s="395"/>
      <c r="H3836" s="395"/>
      <c r="J3836" s="42"/>
    </row>
    <row r="3837" spans="1:10" s="393" customFormat="1" x14ac:dyDescent="0.25">
      <c r="A3837" s="19" t="s">
        <v>37</v>
      </c>
      <c r="B3837" s="2">
        <v>44052</v>
      </c>
      <c r="C3837" s="1">
        <v>41</v>
      </c>
      <c r="D3837" s="39">
        <v>748</v>
      </c>
      <c r="E3837" s="1"/>
      <c r="F3837" s="39">
        <f t="shared" ref="F3837:F3842" si="271">E3837+F3813</f>
        <v>3</v>
      </c>
      <c r="G3837" s="395"/>
      <c r="H3837" s="395"/>
      <c r="J3837" s="42"/>
    </row>
    <row r="3838" spans="1:10" s="393" customFormat="1" x14ac:dyDescent="0.25">
      <c r="A3838" s="19" t="s">
        <v>22</v>
      </c>
      <c r="B3838" s="2">
        <v>44052</v>
      </c>
      <c r="C3838" s="1">
        <v>87</v>
      </c>
      <c r="D3838" s="39">
        <v>2136</v>
      </c>
      <c r="E3838" s="1">
        <v>1</v>
      </c>
      <c r="F3838" s="39">
        <f t="shared" si="271"/>
        <v>22</v>
      </c>
      <c r="G3838" s="395"/>
      <c r="H3838" s="395"/>
      <c r="J3838" s="42"/>
    </row>
    <row r="3839" spans="1:10" s="393" customFormat="1" x14ac:dyDescent="0.25">
      <c r="A3839" s="19" t="s">
        <v>38</v>
      </c>
      <c r="B3839" s="2">
        <v>44052</v>
      </c>
      <c r="C3839" s="1">
        <v>20</v>
      </c>
      <c r="D3839" s="39">
        <v>135</v>
      </c>
      <c r="E3839" s="1"/>
      <c r="F3839" s="39">
        <f t="shared" si="271"/>
        <v>1</v>
      </c>
      <c r="G3839" s="395"/>
      <c r="H3839" s="395"/>
      <c r="J3839" s="42"/>
    </row>
    <row r="3840" spans="1:10" s="393" customFormat="1" x14ac:dyDescent="0.25">
      <c r="A3840" s="19" t="s">
        <v>39</v>
      </c>
      <c r="B3840" s="2">
        <v>44052</v>
      </c>
      <c r="C3840" s="1">
        <v>37</v>
      </c>
      <c r="D3840" s="39">
        <v>987</v>
      </c>
      <c r="E3840" s="1"/>
      <c r="F3840" s="39">
        <f t="shared" si="271"/>
        <v>5</v>
      </c>
      <c r="G3840" s="395"/>
      <c r="H3840" s="395"/>
      <c r="J3840" s="42"/>
    </row>
    <row r="3841" spans="1:10" s="393" customFormat="1" x14ac:dyDescent="0.25">
      <c r="A3841" s="19" t="s">
        <v>40</v>
      </c>
      <c r="B3841" s="2">
        <v>44052</v>
      </c>
      <c r="C3841" s="1">
        <v>26</v>
      </c>
      <c r="D3841" s="39">
        <v>399</v>
      </c>
      <c r="E3841" s="1"/>
      <c r="F3841" s="39">
        <f t="shared" si="271"/>
        <v>5</v>
      </c>
      <c r="G3841" s="395"/>
      <c r="H3841" s="395"/>
      <c r="J3841" s="42"/>
    </row>
    <row r="3842" spans="1:10" s="393" customFormat="1" x14ac:dyDescent="0.25">
      <c r="A3842" s="394" t="s">
        <v>16</v>
      </c>
      <c r="B3842" s="2">
        <v>44053</v>
      </c>
      <c r="C3842" s="1">
        <v>5402</v>
      </c>
      <c r="D3842" s="39">
        <v>156669</v>
      </c>
      <c r="E3842" s="1">
        <v>108</v>
      </c>
      <c r="F3842" s="39">
        <f t="shared" si="271"/>
        <v>2722</v>
      </c>
      <c r="G3842" s="395"/>
      <c r="H3842" s="395"/>
      <c r="J3842" s="42"/>
    </row>
    <row r="3843" spans="1:10" s="393" customFormat="1" x14ac:dyDescent="0.25">
      <c r="A3843" s="19" t="s">
        <v>28</v>
      </c>
      <c r="B3843" s="2">
        <v>44053</v>
      </c>
      <c r="C3843" s="1">
        <v>0</v>
      </c>
      <c r="D3843" s="39">
        <v>62</v>
      </c>
      <c r="E3843" s="1"/>
      <c r="F3843" s="39">
        <f t="shared" ref="F3843:F3860" si="272">E3843+F3819</f>
        <v>0</v>
      </c>
      <c r="G3843" s="395"/>
      <c r="H3843" s="395"/>
      <c r="J3843" s="42"/>
    </row>
    <row r="3844" spans="1:10" s="393" customFormat="1" x14ac:dyDescent="0.25">
      <c r="A3844" s="19" t="s">
        <v>15</v>
      </c>
      <c r="B3844" s="2">
        <v>44053</v>
      </c>
      <c r="C3844" s="1">
        <v>16</v>
      </c>
      <c r="D3844" s="39">
        <v>4085</v>
      </c>
      <c r="E3844" s="1">
        <v>3</v>
      </c>
      <c r="F3844" s="39">
        <f t="shared" si="272"/>
        <v>166</v>
      </c>
      <c r="G3844" s="395"/>
      <c r="H3844" s="395"/>
      <c r="J3844" s="42"/>
    </row>
    <row r="3845" spans="1:10" s="393" customFormat="1" x14ac:dyDescent="0.25">
      <c r="A3845" s="19" t="s">
        <v>29</v>
      </c>
      <c r="B3845" s="2">
        <v>44053</v>
      </c>
      <c r="C3845" s="1">
        <v>2</v>
      </c>
      <c r="D3845" s="39">
        <v>351</v>
      </c>
      <c r="E3845" s="1"/>
      <c r="F3845" s="39">
        <f t="shared" si="272"/>
        <v>4</v>
      </c>
      <c r="G3845" s="395"/>
      <c r="H3845" s="395"/>
      <c r="J3845" s="42"/>
    </row>
    <row r="3846" spans="1:10" s="393" customFormat="1" x14ac:dyDescent="0.25">
      <c r="A3846" s="19" t="s">
        <v>43</v>
      </c>
      <c r="B3846" s="2">
        <v>44053</v>
      </c>
      <c r="C3846" s="1">
        <v>1047</v>
      </c>
      <c r="D3846" s="39">
        <v>71086</v>
      </c>
      <c r="E3846" s="1">
        <f>4+13+16</f>
        <v>33</v>
      </c>
      <c r="F3846" s="39">
        <f>E3846+F3822</f>
        <v>1503</v>
      </c>
      <c r="G3846" s="395"/>
      <c r="H3846" s="395"/>
      <c r="J3846" s="42"/>
    </row>
    <row r="3847" spans="1:10" s="393" customFormat="1" x14ac:dyDescent="0.25">
      <c r="A3847" s="19" t="s">
        <v>20</v>
      </c>
      <c r="B3847" s="2">
        <v>44053</v>
      </c>
      <c r="C3847" s="1">
        <v>170</v>
      </c>
      <c r="D3847" s="39">
        <v>3685</v>
      </c>
      <c r="E3847" s="1">
        <v>3</v>
      </c>
      <c r="F3847" s="39">
        <f>E3847+F3823</f>
        <v>67</v>
      </c>
      <c r="G3847" s="395"/>
      <c r="H3847" s="395"/>
      <c r="J3847" s="42"/>
    </row>
    <row r="3848" spans="1:10" s="393" customFormat="1" x14ac:dyDescent="0.25">
      <c r="A3848" s="19" t="s">
        <v>30</v>
      </c>
      <c r="B3848" s="2">
        <v>44053</v>
      </c>
      <c r="C3848" s="1">
        <v>2</v>
      </c>
      <c r="D3848" s="39">
        <v>216</v>
      </c>
      <c r="E3848" s="1"/>
      <c r="F3848" s="39">
        <f t="shared" si="272"/>
        <v>2</v>
      </c>
      <c r="G3848" s="395"/>
      <c r="H3848" s="395"/>
      <c r="J3848" s="42"/>
    </row>
    <row r="3849" spans="1:10" x14ac:dyDescent="0.25">
      <c r="A3849" s="19" t="s">
        <v>31</v>
      </c>
      <c r="B3849" s="2">
        <v>44053</v>
      </c>
      <c r="C3849" s="1">
        <v>45</v>
      </c>
      <c r="D3849" s="39">
        <v>1208</v>
      </c>
      <c r="F3849" s="39">
        <f t="shared" si="272"/>
        <v>13</v>
      </c>
    </row>
    <row r="3850" spans="1:10" s="393" customFormat="1" x14ac:dyDescent="0.25">
      <c r="A3850" s="19" t="s">
        <v>41</v>
      </c>
      <c r="B3850" s="2">
        <v>44053</v>
      </c>
      <c r="C3850" s="1">
        <v>1</v>
      </c>
      <c r="D3850" s="39">
        <v>87</v>
      </c>
      <c r="E3850" s="1"/>
      <c r="F3850" s="39">
        <f>E3850+F3826</f>
        <v>0</v>
      </c>
      <c r="G3850" s="395"/>
      <c r="H3850" s="395"/>
      <c r="J3850" s="42"/>
    </row>
    <row r="3851" spans="1:10" s="393" customFormat="1" x14ac:dyDescent="0.25">
      <c r="A3851" s="19" t="s">
        <v>32</v>
      </c>
      <c r="B3851" s="2">
        <v>44053</v>
      </c>
      <c r="C3851" s="1">
        <v>139</v>
      </c>
      <c r="D3851" s="39">
        <v>3559</v>
      </c>
      <c r="E3851" s="1">
        <v>1</v>
      </c>
      <c r="F3851" s="39">
        <f t="shared" si="272"/>
        <v>1</v>
      </c>
      <c r="G3851" s="395"/>
      <c r="H3851" s="395"/>
      <c r="J3851" s="42"/>
    </row>
    <row r="3852" spans="1:10" s="393" customFormat="1" x14ac:dyDescent="0.25">
      <c r="A3852" s="19" t="s">
        <v>33</v>
      </c>
      <c r="B3852" s="2">
        <v>44053</v>
      </c>
      <c r="C3852" s="1">
        <v>2</v>
      </c>
      <c r="D3852" s="39">
        <v>208</v>
      </c>
      <c r="E3852" s="1"/>
      <c r="F3852" s="39">
        <f t="shared" si="272"/>
        <v>1</v>
      </c>
      <c r="G3852" s="395"/>
      <c r="H3852" s="395"/>
      <c r="J3852" s="42"/>
    </row>
    <row r="3853" spans="1:10" s="393" customFormat="1" x14ac:dyDescent="0.25">
      <c r="A3853" s="19" t="s">
        <v>21</v>
      </c>
      <c r="B3853" s="2">
        <v>44053</v>
      </c>
      <c r="C3853" s="1">
        <v>2</v>
      </c>
      <c r="D3853" s="39">
        <v>518</v>
      </c>
      <c r="E3853" s="1"/>
      <c r="F3853" s="39">
        <f t="shared" si="272"/>
        <v>1</v>
      </c>
      <c r="G3853" s="395"/>
      <c r="H3853" s="395"/>
      <c r="J3853" s="42"/>
    </row>
    <row r="3854" spans="1:10" s="393" customFormat="1" x14ac:dyDescent="0.25">
      <c r="A3854" s="19" t="s">
        <v>17</v>
      </c>
      <c r="B3854" s="2">
        <v>44053</v>
      </c>
      <c r="C3854" s="1">
        <v>94</v>
      </c>
      <c r="D3854" s="39">
        <v>2240</v>
      </c>
      <c r="E3854" s="1">
        <v>3</v>
      </c>
      <c r="F3854" s="39">
        <f t="shared" si="272"/>
        <v>5</v>
      </c>
      <c r="G3854" s="395"/>
      <c r="H3854" s="395"/>
      <c r="J3854" s="42"/>
    </row>
    <row r="3855" spans="1:10" s="393" customFormat="1" x14ac:dyDescent="0.25">
      <c r="A3855" s="19" t="s">
        <v>23</v>
      </c>
      <c r="B3855" s="2">
        <v>44053</v>
      </c>
      <c r="C3855" s="1">
        <v>1</v>
      </c>
      <c r="D3855" s="39">
        <v>61</v>
      </c>
      <c r="E3855" s="1"/>
      <c r="F3855" s="39">
        <f t="shared" si="272"/>
        <v>2</v>
      </c>
      <c r="G3855" s="395"/>
      <c r="H3855" s="395"/>
      <c r="J3855" s="42"/>
    </row>
    <row r="3856" spans="1:10" s="393" customFormat="1" x14ac:dyDescent="0.25">
      <c r="A3856" s="19" t="s">
        <v>19</v>
      </c>
      <c r="B3856" s="2">
        <v>44053</v>
      </c>
      <c r="C3856" s="1">
        <v>27</v>
      </c>
      <c r="D3856" s="39">
        <v>1483</v>
      </c>
      <c r="E3856" s="1"/>
      <c r="F3856" s="39">
        <f t="shared" si="272"/>
        <v>2</v>
      </c>
      <c r="G3856" s="395"/>
      <c r="H3856" s="395"/>
      <c r="J3856" s="42"/>
    </row>
    <row r="3857" spans="1:10" s="393" customFormat="1" x14ac:dyDescent="0.25">
      <c r="A3857" s="19" t="s">
        <v>18</v>
      </c>
      <c r="B3857" s="2">
        <v>44053</v>
      </c>
      <c r="C3857" s="1">
        <v>105</v>
      </c>
      <c r="D3857" s="39">
        <v>3008</v>
      </c>
      <c r="E3857" s="1">
        <v>4</v>
      </c>
      <c r="F3857" s="39">
        <f t="shared" si="272"/>
        <v>6</v>
      </c>
      <c r="G3857" s="395"/>
      <c r="H3857" s="395"/>
      <c r="J3857" s="42"/>
    </row>
    <row r="3858" spans="1:10" s="393" customFormat="1" x14ac:dyDescent="0.25">
      <c r="A3858" s="19" t="s">
        <v>34</v>
      </c>
      <c r="B3858" s="2">
        <v>44053</v>
      </c>
      <c r="C3858" s="1">
        <v>22</v>
      </c>
      <c r="D3858" s="39">
        <v>611</v>
      </c>
      <c r="E3858" s="1"/>
      <c r="F3858" s="39">
        <f t="shared" si="272"/>
        <v>5</v>
      </c>
      <c r="G3858" s="395"/>
      <c r="H3858" s="395"/>
      <c r="J3858" s="42"/>
    </row>
    <row r="3859" spans="1:10" s="393" customFormat="1" x14ac:dyDescent="0.25">
      <c r="A3859" s="19" t="s">
        <v>35</v>
      </c>
      <c r="B3859" s="2">
        <v>44053</v>
      </c>
      <c r="C3859" s="1">
        <v>0</v>
      </c>
      <c r="D3859" s="39">
        <v>22</v>
      </c>
      <c r="E3859" s="1"/>
      <c r="F3859" s="39">
        <f>E3859+F3835</f>
        <v>0</v>
      </c>
      <c r="G3859" s="395"/>
      <c r="H3859" s="395"/>
      <c r="J3859" s="42"/>
    </row>
    <row r="3860" spans="1:10" s="393" customFormat="1" x14ac:dyDescent="0.25">
      <c r="A3860" s="19" t="s">
        <v>36</v>
      </c>
      <c r="B3860" s="2">
        <v>44053</v>
      </c>
      <c r="C3860" s="1">
        <v>-3</v>
      </c>
      <c r="D3860" s="39">
        <v>31</v>
      </c>
      <c r="E3860" s="1"/>
      <c r="F3860" s="39">
        <f t="shared" si="272"/>
        <v>0</v>
      </c>
      <c r="G3860" s="395"/>
      <c r="H3860" s="395"/>
      <c r="J3860" s="42"/>
    </row>
    <row r="3861" spans="1:10" s="393" customFormat="1" x14ac:dyDescent="0.25">
      <c r="A3861" s="19" t="s">
        <v>37</v>
      </c>
      <c r="B3861" s="2">
        <v>44053</v>
      </c>
      <c r="C3861" s="1">
        <v>57</v>
      </c>
      <c r="D3861" s="39">
        <v>805</v>
      </c>
      <c r="E3861" s="1"/>
      <c r="F3861" s="39">
        <f t="shared" ref="F3861:F3866" si="273">E3861+F3837</f>
        <v>3</v>
      </c>
      <c r="G3861" s="395"/>
      <c r="H3861" s="395"/>
      <c r="J3861" s="42"/>
    </row>
    <row r="3862" spans="1:10" s="393" customFormat="1" x14ac:dyDescent="0.25">
      <c r="A3862" s="19" t="s">
        <v>22</v>
      </c>
      <c r="B3862" s="2">
        <v>44053</v>
      </c>
      <c r="C3862" s="1">
        <v>140</v>
      </c>
      <c r="D3862" s="39">
        <v>2276</v>
      </c>
      <c r="E3862" s="1">
        <v>1</v>
      </c>
      <c r="F3862" s="39">
        <f t="shared" si="273"/>
        <v>23</v>
      </c>
      <c r="G3862" s="395"/>
      <c r="H3862" s="395"/>
      <c r="J3862" s="42"/>
    </row>
    <row r="3863" spans="1:10" s="393" customFormat="1" x14ac:dyDescent="0.25">
      <c r="A3863" s="19" t="s">
        <v>38</v>
      </c>
      <c r="B3863" s="2">
        <v>44053</v>
      </c>
      <c r="C3863" s="1">
        <v>3</v>
      </c>
      <c r="D3863" s="39">
        <v>138</v>
      </c>
      <c r="E3863" s="1"/>
      <c r="F3863" s="39">
        <f t="shared" si="273"/>
        <v>1</v>
      </c>
      <c r="G3863" s="395"/>
      <c r="H3863" s="395"/>
      <c r="J3863" s="42"/>
    </row>
    <row r="3864" spans="1:10" s="393" customFormat="1" x14ac:dyDescent="0.25">
      <c r="A3864" s="19" t="s">
        <v>39</v>
      </c>
      <c r="B3864" s="2">
        <v>44053</v>
      </c>
      <c r="C3864" s="1">
        <v>68</v>
      </c>
      <c r="D3864" s="39">
        <v>1055</v>
      </c>
      <c r="E3864" s="1">
        <v>2</v>
      </c>
      <c r="F3864" s="39">
        <f t="shared" si="273"/>
        <v>7</v>
      </c>
      <c r="G3864" s="395"/>
      <c r="H3864" s="395"/>
      <c r="J3864" s="42"/>
    </row>
    <row r="3865" spans="1:10" s="393" customFormat="1" x14ac:dyDescent="0.25">
      <c r="A3865" s="19" t="s">
        <v>40</v>
      </c>
      <c r="B3865" s="2">
        <v>44053</v>
      </c>
      <c r="C3865" s="1">
        <v>27</v>
      </c>
      <c r="D3865" s="39">
        <v>426</v>
      </c>
      <c r="E3865" s="1"/>
      <c r="F3865" s="39">
        <f t="shared" si="273"/>
        <v>5</v>
      </c>
      <c r="G3865" s="395"/>
      <c r="H3865" s="395"/>
      <c r="J3865" s="42"/>
    </row>
    <row r="3866" spans="1:10" s="393" customFormat="1" x14ac:dyDescent="0.25">
      <c r="A3866" s="394" t="s">
        <v>16</v>
      </c>
      <c r="B3866" s="2">
        <v>44054</v>
      </c>
      <c r="C3866" s="1">
        <v>4576</v>
      </c>
      <c r="D3866" s="39">
        <v>161245</v>
      </c>
      <c r="E3866" s="1">
        <f>4+6+90+93</f>
        <v>193</v>
      </c>
      <c r="F3866" s="39">
        <f t="shared" si="273"/>
        <v>2915</v>
      </c>
      <c r="G3866" s="395"/>
      <c r="H3866" s="395"/>
      <c r="J3866" s="42"/>
    </row>
    <row r="3867" spans="1:10" s="393" customFormat="1" x14ac:dyDescent="0.25">
      <c r="A3867" s="19" t="s">
        <v>43</v>
      </c>
      <c r="B3867" s="2">
        <v>44054</v>
      </c>
      <c r="C3867" s="1">
        <v>1200</v>
      </c>
      <c r="D3867" s="39">
        <v>72286</v>
      </c>
      <c r="E3867" s="1">
        <f>3+4+11+13</f>
        <v>31</v>
      </c>
      <c r="F3867" s="39">
        <f>E3867+F3846</f>
        <v>1534</v>
      </c>
      <c r="G3867" s="395"/>
      <c r="H3867" s="395"/>
      <c r="J3867" s="42"/>
    </row>
    <row r="3868" spans="1:10" s="393" customFormat="1" x14ac:dyDescent="0.25">
      <c r="A3868" s="19" t="s">
        <v>28</v>
      </c>
      <c r="B3868" s="2">
        <v>44054</v>
      </c>
      <c r="C3868" s="1">
        <v>0</v>
      </c>
      <c r="D3868" s="39">
        <v>62</v>
      </c>
      <c r="E3868" s="1"/>
      <c r="F3868" s="39">
        <f>E3868+F3843</f>
        <v>0</v>
      </c>
      <c r="G3868" s="395"/>
      <c r="H3868" s="395"/>
      <c r="J3868" s="42"/>
    </row>
    <row r="3869" spans="1:10" s="393" customFormat="1" x14ac:dyDescent="0.25">
      <c r="A3869" s="19" t="s">
        <v>15</v>
      </c>
      <c r="B3869" s="2">
        <v>44054</v>
      </c>
      <c r="C3869" s="1">
        <v>69</v>
      </c>
      <c r="D3869" s="39">
        <v>4154</v>
      </c>
      <c r="E3869" s="1">
        <v>1</v>
      </c>
      <c r="F3869" s="39">
        <f>E3869+F3844</f>
        <v>167</v>
      </c>
      <c r="G3869" s="395"/>
      <c r="H3869" s="395"/>
      <c r="J3869" s="42"/>
    </row>
    <row r="3870" spans="1:10" s="393" customFormat="1" x14ac:dyDescent="0.25">
      <c r="A3870" s="19" t="s">
        <v>29</v>
      </c>
      <c r="B3870" s="2">
        <v>44054</v>
      </c>
      <c r="C3870" s="1">
        <v>6</v>
      </c>
      <c r="D3870" s="39">
        <v>357</v>
      </c>
      <c r="E3870" s="1"/>
      <c r="F3870" s="39">
        <f>E3870+F3845</f>
        <v>4</v>
      </c>
      <c r="G3870" s="395"/>
      <c r="H3870" s="395"/>
      <c r="J3870" s="42"/>
    </row>
    <row r="3871" spans="1:10" s="393" customFormat="1" x14ac:dyDescent="0.25">
      <c r="A3871" s="19" t="s">
        <v>20</v>
      </c>
      <c r="B3871" s="2">
        <v>44054</v>
      </c>
      <c r="C3871" s="1">
        <v>148</v>
      </c>
      <c r="D3871" s="39">
        <v>3833</v>
      </c>
      <c r="E3871" s="1">
        <v>3</v>
      </c>
      <c r="F3871" s="39">
        <f>E3871+F3847</f>
        <v>70</v>
      </c>
      <c r="G3871" s="395"/>
      <c r="H3871" s="395"/>
      <c r="J3871" s="42"/>
    </row>
    <row r="3872" spans="1:10" s="393" customFormat="1" x14ac:dyDescent="0.25">
      <c r="A3872" s="19" t="s">
        <v>30</v>
      </c>
      <c r="B3872" s="2">
        <v>44054</v>
      </c>
      <c r="C3872" s="1">
        <v>2</v>
      </c>
      <c r="D3872" s="39">
        <v>218</v>
      </c>
      <c r="E3872" s="1"/>
      <c r="F3872" s="39">
        <f t="shared" ref="F3872:F3929" si="274">E3872+F3848</f>
        <v>2</v>
      </c>
      <c r="G3872" s="395"/>
      <c r="H3872" s="395"/>
      <c r="J3872" s="42"/>
    </row>
    <row r="3873" spans="1:10" x14ac:dyDescent="0.25">
      <c r="A3873" s="19" t="s">
        <v>31</v>
      </c>
      <c r="B3873" s="2">
        <v>44054</v>
      </c>
      <c r="C3873" s="1">
        <v>35</v>
      </c>
      <c r="D3873" s="39">
        <v>1243</v>
      </c>
      <c r="E3873" s="1">
        <v>2</v>
      </c>
      <c r="F3873" s="39">
        <f t="shared" si="274"/>
        <v>15</v>
      </c>
    </row>
    <row r="3874" spans="1:10" s="393" customFormat="1" x14ac:dyDescent="0.25">
      <c r="A3874" s="19" t="s">
        <v>41</v>
      </c>
      <c r="B3874" s="2">
        <v>44054</v>
      </c>
      <c r="C3874" s="1">
        <v>-4</v>
      </c>
      <c r="D3874" s="39">
        <v>83</v>
      </c>
      <c r="E3874" s="1"/>
      <c r="F3874" s="39">
        <f>E3874+F3850</f>
        <v>0</v>
      </c>
      <c r="G3874" s="395"/>
      <c r="H3874" s="395"/>
      <c r="J3874" s="42"/>
    </row>
    <row r="3875" spans="1:10" s="393" customFormat="1" x14ac:dyDescent="0.25">
      <c r="A3875" s="19" t="s">
        <v>32</v>
      </c>
      <c r="B3875" s="2">
        <v>44054</v>
      </c>
      <c r="C3875" s="1">
        <v>318</v>
      </c>
      <c r="D3875" s="39">
        <v>3877</v>
      </c>
      <c r="E3875" s="1"/>
      <c r="F3875" s="39">
        <f t="shared" si="274"/>
        <v>1</v>
      </c>
      <c r="G3875" s="395"/>
      <c r="H3875" s="395"/>
      <c r="J3875" s="42"/>
    </row>
    <row r="3876" spans="1:10" s="393" customFormat="1" x14ac:dyDescent="0.25">
      <c r="A3876" s="19" t="s">
        <v>33</v>
      </c>
      <c r="B3876" s="2">
        <v>44054</v>
      </c>
      <c r="C3876" s="1">
        <v>0</v>
      </c>
      <c r="D3876" s="39">
        <v>208</v>
      </c>
      <c r="E3876" s="1"/>
      <c r="F3876" s="39">
        <f t="shared" si="274"/>
        <v>1</v>
      </c>
      <c r="G3876" s="395"/>
      <c r="H3876" s="395"/>
      <c r="J3876" s="42"/>
    </row>
    <row r="3877" spans="1:10" s="393" customFormat="1" x14ac:dyDescent="0.25">
      <c r="A3877" s="19" t="s">
        <v>21</v>
      </c>
      <c r="B3877" s="2">
        <v>44054</v>
      </c>
      <c r="C3877" s="1">
        <v>1</v>
      </c>
      <c r="D3877" s="39">
        <v>519</v>
      </c>
      <c r="E3877" s="1"/>
      <c r="F3877" s="39">
        <f t="shared" si="274"/>
        <v>1</v>
      </c>
      <c r="G3877" s="395"/>
      <c r="H3877" s="395"/>
      <c r="J3877" s="42"/>
    </row>
    <row r="3878" spans="1:10" s="393" customFormat="1" x14ac:dyDescent="0.25">
      <c r="A3878" s="19" t="s">
        <v>17</v>
      </c>
      <c r="B3878" s="2">
        <v>44054</v>
      </c>
      <c r="C3878" s="1">
        <v>148</v>
      </c>
      <c r="D3878" s="39">
        <v>2388</v>
      </c>
      <c r="E3878" s="1">
        <v>2</v>
      </c>
      <c r="F3878" s="39">
        <f t="shared" si="274"/>
        <v>7</v>
      </c>
      <c r="G3878" s="395"/>
      <c r="H3878" s="395"/>
      <c r="J3878" s="42"/>
    </row>
    <row r="3879" spans="1:10" s="393" customFormat="1" x14ac:dyDescent="0.25">
      <c r="A3879" s="19" t="s">
        <v>23</v>
      </c>
      <c r="B3879" s="2">
        <v>44054</v>
      </c>
      <c r="C3879" s="1">
        <v>1</v>
      </c>
      <c r="D3879" s="39">
        <v>62</v>
      </c>
      <c r="E3879" s="1"/>
      <c r="F3879" s="39">
        <f t="shared" si="274"/>
        <v>2</v>
      </c>
      <c r="G3879" s="395"/>
      <c r="H3879" s="395"/>
      <c r="J3879" s="42"/>
    </row>
    <row r="3880" spans="1:10" s="393" customFormat="1" x14ac:dyDescent="0.25">
      <c r="A3880" s="19" t="s">
        <v>19</v>
      </c>
      <c r="B3880" s="2">
        <v>44054</v>
      </c>
      <c r="C3880" s="1">
        <v>7</v>
      </c>
      <c r="D3880" s="39">
        <v>1490</v>
      </c>
      <c r="E3880" s="1">
        <f>1</f>
        <v>1</v>
      </c>
      <c r="F3880" s="39">
        <f t="shared" si="274"/>
        <v>3</v>
      </c>
      <c r="G3880" s="395"/>
      <c r="H3880" s="395"/>
      <c r="J3880" s="42"/>
    </row>
    <row r="3881" spans="1:10" s="393" customFormat="1" x14ac:dyDescent="0.25">
      <c r="A3881" s="19" t="s">
        <v>18</v>
      </c>
      <c r="B3881" s="2">
        <v>44054</v>
      </c>
      <c r="C3881" s="1">
        <v>187</v>
      </c>
      <c r="D3881" s="39">
        <v>3195</v>
      </c>
      <c r="E3881" s="1">
        <v>4</v>
      </c>
      <c r="F3881" s="39">
        <f t="shared" si="274"/>
        <v>10</v>
      </c>
      <c r="G3881" s="395"/>
      <c r="H3881" s="395"/>
      <c r="J3881" s="42"/>
    </row>
    <row r="3882" spans="1:10" s="393" customFormat="1" x14ac:dyDescent="0.25">
      <c r="A3882" s="19" t="s">
        <v>34</v>
      </c>
      <c r="B3882" s="2">
        <v>44054</v>
      </c>
      <c r="C3882" s="1">
        <v>72</v>
      </c>
      <c r="D3882" s="39">
        <v>683</v>
      </c>
      <c r="E3882" s="1"/>
      <c r="F3882" s="39">
        <f>E3882+F3858</f>
        <v>5</v>
      </c>
      <c r="G3882" s="395"/>
      <c r="H3882" s="395"/>
      <c r="J3882" s="42"/>
    </row>
    <row r="3883" spans="1:10" s="393" customFormat="1" x14ac:dyDescent="0.25">
      <c r="A3883" s="19" t="s">
        <v>35</v>
      </c>
      <c r="B3883" s="2">
        <v>44054</v>
      </c>
      <c r="C3883" s="1">
        <v>1</v>
      </c>
      <c r="D3883" s="39">
        <v>23</v>
      </c>
      <c r="E3883" s="1"/>
      <c r="F3883" s="39">
        <f>E3883+F3859</f>
        <v>0</v>
      </c>
      <c r="G3883" s="395"/>
      <c r="H3883" s="395"/>
      <c r="J3883" s="42"/>
    </row>
    <row r="3884" spans="1:10" s="393" customFormat="1" x14ac:dyDescent="0.25">
      <c r="A3884" s="19" t="s">
        <v>36</v>
      </c>
      <c r="B3884" s="2">
        <v>44054</v>
      </c>
      <c r="C3884" s="1">
        <v>0</v>
      </c>
      <c r="D3884" s="39">
        <v>31</v>
      </c>
      <c r="E3884" s="1"/>
      <c r="F3884" s="39">
        <f t="shared" si="274"/>
        <v>0</v>
      </c>
      <c r="G3884" s="395"/>
      <c r="H3884" s="395"/>
      <c r="J3884" s="42"/>
    </row>
    <row r="3885" spans="1:10" s="393" customFormat="1" x14ac:dyDescent="0.25">
      <c r="A3885" s="19" t="s">
        <v>37</v>
      </c>
      <c r="B3885" s="2">
        <v>44054</v>
      </c>
      <c r="C3885" s="1">
        <v>29</v>
      </c>
      <c r="D3885" s="39">
        <v>834</v>
      </c>
      <c r="E3885" s="1"/>
      <c r="F3885" s="39">
        <f t="shared" ref="F3885:F3891" si="275">E3885+F3861</f>
        <v>3</v>
      </c>
      <c r="G3885" s="395"/>
      <c r="H3885" s="395"/>
      <c r="J3885" s="42"/>
    </row>
    <row r="3886" spans="1:10" s="393" customFormat="1" x14ac:dyDescent="0.25">
      <c r="A3886" s="19" t="s">
        <v>22</v>
      </c>
      <c r="B3886" s="2">
        <v>44054</v>
      </c>
      <c r="C3886" s="1">
        <v>155</v>
      </c>
      <c r="D3886" s="39">
        <v>2431</v>
      </c>
      <c r="E3886" s="1">
        <v>2</v>
      </c>
      <c r="F3886" s="39">
        <f t="shared" si="275"/>
        <v>25</v>
      </c>
      <c r="G3886" s="395"/>
      <c r="H3886" s="395"/>
      <c r="J3886" s="42"/>
    </row>
    <row r="3887" spans="1:10" s="393" customFormat="1" x14ac:dyDescent="0.25">
      <c r="A3887" s="19" t="s">
        <v>38</v>
      </c>
      <c r="B3887" s="2">
        <v>44054</v>
      </c>
      <c r="C3887" s="1">
        <v>20</v>
      </c>
      <c r="D3887" s="39">
        <v>158</v>
      </c>
      <c r="E3887" s="1"/>
      <c r="F3887" s="39">
        <f t="shared" si="275"/>
        <v>1</v>
      </c>
      <c r="G3887" s="395"/>
      <c r="H3887" s="395"/>
      <c r="J3887" s="42"/>
    </row>
    <row r="3888" spans="1:10" s="393" customFormat="1" x14ac:dyDescent="0.25">
      <c r="A3888" s="19" t="s">
        <v>39</v>
      </c>
      <c r="B3888" s="2">
        <v>44054</v>
      </c>
      <c r="C3888" s="1">
        <v>42</v>
      </c>
      <c r="D3888" s="39">
        <v>1097</v>
      </c>
      <c r="E3888" s="1">
        <v>2</v>
      </c>
      <c r="F3888" s="39">
        <f t="shared" si="275"/>
        <v>9</v>
      </c>
      <c r="G3888" s="395"/>
      <c r="H3888" s="395"/>
      <c r="J3888" s="42"/>
    </row>
    <row r="3889" spans="1:10" s="393" customFormat="1" x14ac:dyDescent="0.25">
      <c r="A3889" s="19" t="s">
        <v>40</v>
      </c>
      <c r="B3889" s="2">
        <v>44054</v>
      </c>
      <c r="C3889" s="1">
        <v>30</v>
      </c>
      <c r="D3889" s="39">
        <v>456</v>
      </c>
      <c r="E3889" s="1"/>
      <c r="F3889" s="39">
        <f t="shared" si="275"/>
        <v>5</v>
      </c>
      <c r="G3889" s="395"/>
      <c r="H3889" s="395"/>
      <c r="J3889" s="42"/>
    </row>
    <row r="3890" spans="1:10" s="393" customFormat="1" x14ac:dyDescent="0.25">
      <c r="A3890" s="394" t="s">
        <v>16</v>
      </c>
      <c r="B3890" s="2">
        <v>44055</v>
      </c>
      <c r="C3890" s="1">
        <v>5153</v>
      </c>
      <c r="D3890" s="39">
        <f>C3890+D3866</f>
        <v>166398</v>
      </c>
      <c r="E3890" s="1">
        <v>141</v>
      </c>
      <c r="F3890" s="39">
        <f t="shared" si="275"/>
        <v>3056</v>
      </c>
      <c r="G3890" s="395"/>
      <c r="H3890" s="395"/>
      <c r="J3890" s="42"/>
    </row>
    <row r="3891" spans="1:10" s="393" customFormat="1" x14ac:dyDescent="0.25">
      <c r="A3891" s="19" t="s">
        <v>43</v>
      </c>
      <c r="B3891" s="2">
        <v>44055</v>
      </c>
      <c r="C3891" s="1">
        <v>1163</v>
      </c>
      <c r="D3891" s="39">
        <f t="shared" ref="D3891:D3913" si="276">C3891+D3867</f>
        <v>73449</v>
      </c>
      <c r="E3891" s="1">
        <v>59</v>
      </c>
      <c r="F3891" s="39">
        <f t="shared" si="275"/>
        <v>1593</v>
      </c>
      <c r="G3891" s="395"/>
      <c r="H3891" s="395"/>
      <c r="J3891" s="42"/>
    </row>
    <row r="3892" spans="1:10" s="393" customFormat="1" x14ac:dyDescent="0.25">
      <c r="A3892" s="19" t="s">
        <v>28</v>
      </c>
      <c r="B3892" s="2">
        <v>44055</v>
      </c>
      <c r="C3892" s="1">
        <v>0</v>
      </c>
      <c r="D3892" s="39">
        <f t="shared" si="276"/>
        <v>62</v>
      </c>
      <c r="E3892" s="1"/>
      <c r="F3892" s="39">
        <f t="shared" si="274"/>
        <v>0</v>
      </c>
      <c r="G3892" s="395"/>
      <c r="H3892" s="395"/>
      <c r="J3892" s="42"/>
    </row>
    <row r="3893" spans="1:10" s="393" customFormat="1" x14ac:dyDescent="0.25">
      <c r="A3893" s="19" t="s">
        <v>15</v>
      </c>
      <c r="B3893" s="2">
        <v>44055</v>
      </c>
      <c r="C3893" s="1">
        <v>64</v>
      </c>
      <c r="D3893" s="39">
        <f t="shared" si="276"/>
        <v>4218</v>
      </c>
      <c r="E3893" s="1"/>
      <c r="F3893" s="39">
        <f t="shared" si="274"/>
        <v>167</v>
      </c>
      <c r="G3893" s="395"/>
      <c r="H3893" s="395"/>
      <c r="J3893" s="42"/>
    </row>
    <row r="3894" spans="1:10" s="393" customFormat="1" x14ac:dyDescent="0.25">
      <c r="A3894" s="19" t="s">
        <v>29</v>
      </c>
      <c r="B3894" s="2">
        <v>44055</v>
      </c>
      <c r="C3894" s="1">
        <v>10</v>
      </c>
      <c r="D3894" s="39">
        <f t="shared" si="276"/>
        <v>367</v>
      </c>
      <c r="E3894" s="1">
        <v>1</v>
      </c>
      <c r="F3894" s="39">
        <f t="shared" si="274"/>
        <v>5</v>
      </c>
      <c r="G3894" s="395"/>
      <c r="H3894" s="395"/>
      <c r="J3894" s="42"/>
    </row>
    <row r="3895" spans="1:10" s="393" customFormat="1" x14ac:dyDescent="0.25">
      <c r="A3895" s="19" t="s">
        <v>20</v>
      </c>
      <c r="B3895" s="2">
        <v>44055</v>
      </c>
      <c r="C3895" s="1">
        <v>141</v>
      </c>
      <c r="D3895" s="39">
        <f t="shared" si="276"/>
        <v>3974</v>
      </c>
      <c r="E3895" s="1"/>
      <c r="F3895" s="39">
        <f t="shared" si="274"/>
        <v>70</v>
      </c>
      <c r="G3895" s="395"/>
      <c r="H3895" s="395"/>
      <c r="J3895" s="42"/>
    </row>
    <row r="3896" spans="1:10" s="393" customFormat="1" x14ac:dyDescent="0.25">
      <c r="A3896" s="19" t="s">
        <v>30</v>
      </c>
      <c r="B3896" s="2">
        <v>44055</v>
      </c>
      <c r="C3896" s="1">
        <v>3</v>
      </c>
      <c r="D3896" s="39">
        <f t="shared" si="276"/>
        <v>221</v>
      </c>
      <c r="E3896" s="1"/>
      <c r="F3896" s="39">
        <f t="shared" si="274"/>
        <v>2</v>
      </c>
      <c r="G3896" s="395"/>
      <c r="H3896" s="395"/>
      <c r="J3896" s="42"/>
    </row>
    <row r="3897" spans="1:10" x14ac:dyDescent="0.25">
      <c r="A3897" s="19" t="s">
        <v>31</v>
      </c>
      <c r="B3897" s="2">
        <v>44055</v>
      </c>
      <c r="C3897" s="1">
        <v>66</v>
      </c>
      <c r="D3897" s="39">
        <f t="shared" si="276"/>
        <v>1309</v>
      </c>
      <c r="F3897" s="39">
        <f t="shared" si="274"/>
        <v>15</v>
      </c>
    </row>
    <row r="3898" spans="1:10" s="393" customFormat="1" x14ac:dyDescent="0.25">
      <c r="A3898" s="19" t="s">
        <v>41</v>
      </c>
      <c r="B3898" s="2">
        <v>44055</v>
      </c>
      <c r="C3898" s="1">
        <v>0</v>
      </c>
      <c r="D3898" s="39">
        <f t="shared" si="276"/>
        <v>83</v>
      </c>
      <c r="E3898" s="1"/>
      <c r="F3898" s="39">
        <f>E3898+F3874</f>
        <v>0</v>
      </c>
      <c r="G3898" s="395"/>
      <c r="H3898" s="395"/>
      <c r="J3898" s="42"/>
    </row>
    <row r="3899" spans="1:10" s="393" customFormat="1" x14ac:dyDescent="0.25">
      <c r="A3899" s="19" t="s">
        <v>32</v>
      </c>
      <c r="B3899" s="2">
        <v>44055</v>
      </c>
      <c r="C3899" s="1">
        <v>152</v>
      </c>
      <c r="D3899" s="39">
        <f t="shared" si="276"/>
        <v>4029</v>
      </c>
      <c r="E3899" s="1"/>
      <c r="F3899" s="39">
        <f>E3899+F3875</f>
        <v>1</v>
      </c>
      <c r="G3899" s="395"/>
      <c r="H3899" s="395"/>
      <c r="J3899" s="42"/>
    </row>
    <row r="3900" spans="1:10" s="393" customFormat="1" x14ac:dyDescent="0.25">
      <c r="A3900" s="19" t="s">
        <v>33</v>
      </c>
      <c r="B3900" s="2">
        <v>44055</v>
      </c>
      <c r="C3900" s="1">
        <v>0</v>
      </c>
      <c r="D3900" s="39">
        <f t="shared" si="276"/>
        <v>208</v>
      </c>
      <c r="E3900" s="1"/>
      <c r="F3900" s="39">
        <f t="shared" si="274"/>
        <v>1</v>
      </c>
      <c r="G3900" s="395"/>
      <c r="H3900" s="395"/>
      <c r="J3900" s="42"/>
    </row>
    <row r="3901" spans="1:10" s="393" customFormat="1" x14ac:dyDescent="0.25">
      <c r="A3901" s="19" t="s">
        <v>21</v>
      </c>
      <c r="B3901" s="2">
        <v>44055</v>
      </c>
      <c r="C3901" s="1">
        <v>22</v>
      </c>
      <c r="D3901" s="39">
        <f t="shared" si="276"/>
        <v>541</v>
      </c>
      <c r="E3901" s="1"/>
      <c r="F3901" s="39">
        <f t="shared" si="274"/>
        <v>1</v>
      </c>
      <c r="G3901" s="395"/>
      <c r="H3901" s="395"/>
      <c r="J3901" s="42"/>
    </row>
    <row r="3902" spans="1:10" s="393" customFormat="1" x14ac:dyDescent="0.25">
      <c r="A3902" s="19" t="s">
        <v>17</v>
      </c>
      <c r="B3902" s="2">
        <v>44055</v>
      </c>
      <c r="C3902" s="1">
        <v>189</v>
      </c>
      <c r="D3902" s="39">
        <f t="shared" si="276"/>
        <v>2577</v>
      </c>
      <c r="E3902" s="1">
        <v>3</v>
      </c>
      <c r="F3902" s="39">
        <f t="shared" si="274"/>
        <v>10</v>
      </c>
      <c r="G3902" s="395"/>
      <c r="H3902" s="395"/>
      <c r="J3902" s="42"/>
    </row>
    <row r="3903" spans="1:10" s="393" customFormat="1" x14ac:dyDescent="0.25">
      <c r="A3903" s="19" t="s">
        <v>23</v>
      </c>
      <c r="B3903" s="2">
        <v>44055</v>
      </c>
      <c r="C3903" s="1">
        <v>-1</v>
      </c>
      <c r="D3903" s="39">
        <f t="shared" si="276"/>
        <v>61</v>
      </c>
      <c r="E3903" s="1"/>
      <c r="F3903" s="39">
        <f t="shared" si="274"/>
        <v>2</v>
      </c>
      <c r="G3903" s="395"/>
      <c r="H3903" s="395"/>
      <c r="J3903" s="42"/>
    </row>
    <row r="3904" spans="1:10" s="393" customFormat="1" x14ac:dyDescent="0.25">
      <c r="A3904" s="19" t="s">
        <v>19</v>
      </c>
      <c r="B3904" s="2">
        <v>44055</v>
      </c>
      <c r="C3904" s="1">
        <v>155</v>
      </c>
      <c r="D3904" s="39">
        <f t="shared" si="276"/>
        <v>1645</v>
      </c>
      <c r="E3904" s="1"/>
      <c r="F3904" s="39">
        <f t="shared" si="274"/>
        <v>3</v>
      </c>
      <c r="G3904" s="395"/>
      <c r="H3904" s="395"/>
      <c r="J3904" s="42"/>
    </row>
    <row r="3905" spans="1:10" s="393" customFormat="1" x14ac:dyDescent="0.25">
      <c r="A3905" s="19" t="s">
        <v>18</v>
      </c>
      <c r="B3905" s="2">
        <v>44055</v>
      </c>
      <c r="C3905" s="1">
        <v>180</v>
      </c>
      <c r="D3905" s="39">
        <f t="shared" si="276"/>
        <v>3375</v>
      </c>
      <c r="E3905" s="1">
        <v>3</v>
      </c>
      <c r="F3905" s="39">
        <f t="shared" si="274"/>
        <v>13</v>
      </c>
      <c r="G3905" s="395"/>
      <c r="H3905" s="395"/>
      <c r="J3905" s="42"/>
    </row>
    <row r="3906" spans="1:10" s="393" customFormat="1" x14ac:dyDescent="0.25">
      <c r="A3906" s="19" t="s">
        <v>34</v>
      </c>
      <c r="B3906" s="2">
        <v>44055</v>
      </c>
      <c r="C3906" s="1">
        <v>67</v>
      </c>
      <c r="D3906" s="39">
        <f>C3906+D3882</f>
        <v>750</v>
      </c>
      <c r="E3906" s="1"/>
      <c r="F3906" s="39">
        <f>E3906+F3882</f>
        <v>5</v>
      </c>
      <c r="G3906" s="395"/>
      <c r="H3906" s="395"/>
      <c r="J3906" s="42"/>
    </row>
    <row r="3907" spans="1:10" s="393" customFormat="1" x14ac:dyDescent="0.25">
      <c r="A3907" s="19" t="s">
        <v>35</v>
      </c>
      <c r="B3907" s="2">
        <v>44055</v>
      </c>
      <c r="C3907" s="1">
        <v>0</v>
      </c>
      <c r="D3907" s="39">
        <f t="shared" si="276"/>
        <v>23</v>
      </c>
      <c r="E3907" s="1"/>
      <c r="F3907" s="39">
        <f>E3907+F3883</f>
        <v>0</v>
      </c>
      <c r="G3907" s="395"/>
      <c r="H3907" s="395"/>
      <c r="J3907" s="42"/>
    </row>
    <row r="3908" spans="1:10" s="393" customFormat="1" x14ac:dyDescent="0.25">
      <c r="A3908" s="19" t="s">
        <v>36</v>
      </c>
      <c r="B3908" s="2">
        <v>44055</v>
      </c>
      <c r="C3908" s="1">
        <v>1</v>
      </c>
      <c r="D3908" s="39">
        <f t="shared" si="276"/>
        <v>32</v>
      </c>
      <c r="E3908" s="1"/>
      <c r="F3908" s="39">
        <f t="shared" si="274"/>
        <v>0</v>
      </c>
      <c r="G3908" s="395"/>
      <c r="H3908" s="395"/>
      <c r="J3908" s="42"/>
    </row>
    <row r="3909" spans="1:10" s="393" customFormat="1" x14ac:dyDescent="0.25">
      <c r="A3909" s="19" t="s">
        <v>37</v>
      </c>
      <c r="B3909" s="2">
        <v>44055</v>
      </c>
      <c r="C3909" s="1">
        <v>34</v>
      </c>
      <c r="D3909" s="39">
        <f t="shared" si="276"/>
        <v>868</v>
      </c>
      <c r="E3909" s="1"/>
      <c r="F3909" s="39">
        <f t="shared" ref="F3909:F3914" si="277">E3909+F3885</f>
        <v>3</v>
      </c>
      <c r="G3909" s="395"/>
      <c r="H3909" s="395"/>
      <c r="J3909" s="42"/>
    </row>
    <row r="3910" spans="1:10" s="393" customFormat="1" x14ac:dyDescent="0.25">
      <c r="A3910" s="19" t="s">
        <v>22</v>
      </c>
      <c r="B3910" s="2">
        <v>44055</v>
      </c>
      <c r="C3910" s="1">
        <v>165</v>
      </c>
      <c r="D3910" s="39">
        <f t="shared" si="276"/>
        <v>2596</v>
      </c>
      <c r="E3910" s="1">
        <v>1</v>
      </c>
      <c r="F3910" s="39">
        <f t="shared" si="277"/>
        <v>26</v>
      </c>
      <c r="G3910" s="395"/>
      <c r="H3910" s="395"/>
      <c r="J3910" s="42"/>
    </row>
    <row r="3911" spans="1:10" s="393" customFormat="1" x14ac:dyDescent="0.25">
      <c r="A3911" s="19" t="s">
        <v>38</v>
      </c>
      <c r="B3911" s="2">
        <v>44055</v>
      </c>
      <c r="C3911" s="1">
        <v>21</v>
      </c>
      <c r="D3911" s="39">
        <f t="shared" si="276"/>
        <v>179</v>
      </c>
      <c r="E3911" s="1"/>
      <c r="F3911" s="39">
        <f t="shared" si="277"/>
        <v>1</v>
      </c>
      <c r="G3911" s="395"/>
      <c r="H3911" s="395"/>
      <c r="J3911" s="42"/>
    </row>
    <row r="3912" spans="1:10" s="393" customFormat="1" x14ac:dyDescent="0.25">
      <c r="A3912" s="19" t="s">
        <v>39</v>
      </c>
      <c r="B3912" s="2">
        <v>44055</v>
      </c>
      <c r="C3912" s="1">
        <v>46</v>
      </c>
      <c r="D3912" s="39">
        <f t="shared" si="276"/>
        <v>1143</v>
      </c>
      <c r="E3912" s="1">
        <v>1</v>
      </c>
      <c r="F3912" s="39">
        <f t="shared" si="277"/>
        <v>10</v>
      </c>
      <c r="G3912" s="395"/>
      <c r="H3912" s="395"/>
      <c r="J3912" s="42"/>
    </row>
    <row r="3913" spans="1:10" s="393" customFormat="1" x14ac:dyDescent="0.25">
      <c r="A3913" s="19" t="s">
        <v>40</v>
      </c>
      <c r="B3913" s="2">
        <v>44055</v>
      </c>
      <c r="C3913" s="1">
        <v>32</v>
      </c>
      <c r="D3913" s="39">
        <f t="shared" si="276"/>
        <v>488</v>
      </c>
      <c r="E3913" s="1"/>
      <c r="F3913" s="39">
        <f t="shared" si="277"/>
        <v>5</v>
      </c>
      <c r="G3913" s="395"/>
      <c r="H3913" s="395"/>
      <c r="J3913" s="42"/>
    </row>
    <row r="3914" spans="1:10" s="393" customFormat="1" x14ac:dyDescent="0.25">
      <c r="A3914" s="394" t="s">
        <v>16</v>
      </c>
      <c r="B3914" s="2">
        <v>44056</v>
      </c>
      <c r="C3914" s="1">
        <v>4986</v>
      </c>
      <c r="D3914" s="39">
        <f>C3914+D3890</f>
        <v>171384</v>
      </c>
      <c r="E3914" s="1">
        <v>73</v>
      </c>
      <c r="F3914" s="39">
        <f t="shared" si="277"/>
        <v>3129</v>
      </c>
      <c r="G3914" s="395"/>
      <c r="H3914" s="395"/>
      <c r="J3914" s="42"/>
    </row>
    <row r="3915" spans="1:10" s="393" customFormat="1" x14ac:dyDescent="0.25">
      <c r="A3915" s="19" t="s">
        <v>43</v>
      </c>
      <c r="B3915" s="2">
        <v>44056</v>
      </c>
      <c r="C3915" s="1">
        <v>1126</v>
      </c>
      <c r="D3915" s="39">
        <f t="shared" ref="D3915:D3929" si="278">C3915+D3891</f>
        <v>74575</v>
      </c>
      <c r="E3915" s="1">
        <f>2+2+10+15</f>
        <v>29</v>
      </c>
      <c r="F3915" s="39">
        <f t="shared" si="274"/>
        <v>1622</v>
      </c>
      <c r="G3915" s="395"/>
      <c r="H3915" s="395"/>
      <c r="J3915" s="42"/>
    </row>
    <row r="3916" spans="1:10" s="393" customFormat="1" x14ac:dyDescent="0.25">
      <c r="A3916" s="19" t="s">
        <v>28</v>
      </c>
      <c r="B3916" s="2">
        <v>44056</v>
      </c>
      <c r="C3916" s="1">
        <v>1</v>
      </c>
      <c r="D3916" s="39">
        <f t="shared" si="278"/>
        <v>63</v>
      </c>
      <c r="E3916" s="1"/>
      <c r="F3916" s="39">
        <f t="shared" si="274"/>
        <v>0</v>
      </c>
      <c r="G3916" s="395"/>
      <c r="H3916" s="395"/>
      <c r="J3916" s="42"/>
    </row>
    <row r="3917" spans="1:10" s="393" customFormat="1" x14ac:dyDescent="0.25">
      <c r="A3917" s="19" t="s">
        <v>15</v>
      </c>
      <c r="B3917" s="2">
        <v>44056</v>
      </c>
      <c r="C3917" s="1">
        <v>61</v>
      </c>
      <c r="D3917" s="39">
        <f t="shared" si="278"/>
        <v>4279</v>
      </c>
      <c r="E3917" s="1">
        <v>6</v>
      </c>
      <c r="F3917" s="39">
        <f t="shared" si="274"/>
        <v>173</v>
      </c>
      <c r="G3917" s="395"/>
      <c r="H3917" s="395"/>
      <c r="J3917" s="42"/>
    </row>
    <row r="3918" spans="1:10" s="393" customFormat="1" x14ac:dyDescent="0.25">
      <c r="A3918" s="19" t="s">
        <v>29</v>
      </c>
      <c r="B3918" s="2">
        <v>44056</v>
      </c>
      <c r="C3918" s="1">
        <v>18</v>
      </c>
      <c r="D3918" s="39">
        <f t="shared" si="278"/>
        <v>385</v>
      </c>
      <c r="E3918" s="1"/>
      <c r="F3918" s="39">
        <f t="shared" si="274"/>
        <v>5</v>
      </c>
      <c r="G3918" s="395"/>
      <c r="H3918" s="395"/>
      <c r="J3918" s="42"/>
    </row>
    <row r="3919" spans="1:10" s="393" customFormat="1" x14ac:dyDescent="0.25">
      <c r="A3919" s="19" t="s">
        <v>20</v>
      </c>
      <c r="B3919" s="2">
        <v>44056</v>
      </c>
      <c r="C3919" s="1">
        <v>175</v>
      </c>
      <c r="D3919" s="39">
        <f t="shared" si="278"/>
        <v>4149</v>
      </c>
      <c r="E3919" s="1">
        <v>3</v>
      </c>
      <c r="F3919" s="39">
        <f t="shared" si="274"/>
        <v>73</v>
      </c>
      <c r="G3919" s="395"/>
      <c r="H3919" s="395"/>
      <c r="J3919" s="42"/>
    </row>
    <row r="3920" spans="1:10" s="393" customFormat="1" x14ac:dyDescent="0.25">
      <c r="A3920" s="19" t="s">
        <v>30</v>
      </c>
      <c r="B3920" s="2">
        <v>44056</v>
      </c>
      <c r="C3920" s="1">
        <v>2</v>
      </c>
      <c r="D3920" s="39">
        <f t="shared" si="278"/>
        <v>223</v>
      </c>
      <c r="E3920" s="1"/>
      <c r="F3920" s="39">
        <f t="shared" si="274"/>
        <v>2</v>
      </c>
      <c r="G3920" s="395"/>
      <c r="H3920" s="395"/>
      <c r="J3920" s="42"/>
    </row>
    <row r="3921" spans="1:10" x14ac:dyDescent="0.25">
      <c r="A3921" s="19" t="s">
        <v>31</v>
      </c>
      <c r="B3921" s="2">
        <v>44056</v>
      </c>
      <c r="C3921" s="1">
        <v>55</v>
      </c>
      <c r="D3921" s="39">
        <f t="shared" si="278"/>
        <v>1364</v>
      </c>
      <c r="E3921" s="1">
        <v>3</v>
      </c>
      <c r="F3921" s="39">
        <f t="shared" si="274"/>
        <v>18</v>
      </c>
    </row>
    <row r="3922" spans="1:10" s="393" customFormat="1" x14ac:dyDescent="0.25">
      <c r="A3922" s="19" t="s">
        <v>41</v>
      </c>
      <c r="B3922" s="2">
        <v>44056</v>
      </c>
      <c r="C3922" s="1">
        <v>-2</v>
      </c>
      <c r="D3922" s="39">
        <f t="shared" si="278"/>
        <v>81</v>
      </c>
      <c r="E3922" s="1"/>
      <c r="F3922" s="39">
        <f>E3922+F3898</f>
        <v>0</v>
      </c>
      <c r="G3922" s="395"/>
      <c r="H3922" s="395"/>
      <c r="J3922" s="42"/>
    </row>
    <row r="3923" spans="1:10" s="393" customFormat="1" x14ac:dyDescent="0.25">
      <c r="A3923" s="19" t="s">
        <v>32</v>
      </c>
      <c r="B3923" s="2">
        <v>44056</v>
      </c>
      <c r="C3923" s="1">
        <v>167</v>
      </c>
      <c r="D3923" s="39">
        <f t="shared" si="278"/>
        <v>4196</v>
      </c>
      <c r="E3923" s="1">
        <f>2+9+8</f>
        <v>19</v>
      </c>
      <c r="F3923" s="39">
        <f>E3923+F3899</f>
        <v>20</v>
      </c>
      <c r="G3923" s="395"/>
      <c r="H3923" s="395"/>
      <c r="J3923" s="42"/>
    </row>
    <row r="3924" spans="1:10" s="393" customFormat="1" x14ac:dyDescent="0.25">
      <c r="A3924" s="19" t="s">
        <v>33</v>
      </c>
      <c r="B3924" s="2">
        <v>44056</v>
      </c>
      <c r="C3924" s="1">
        <v>1</v>
      </c>
      <c r="D3924" s="39">
        <f t="shared" si="278"/>
        <v>209</v>
      </c>
      <c r="E3924" s="1"/>
      <c r="F3924" s="39">
        <f t="shared" si="274"/>
        <v>1</v>
      </c>
      <c r="G3924" s="395"/>
      <c r="H3924" s="395"/>
      <c r="J3924" s="42"/>
    </row>
    <row r="3925" spans="1:10" s="393" customFormat="1" x14ac:dyDescent="0.25">
      <c r="A3925" s="19" t="s">
        <v>21</v>
      </c>
      <c r="B3925" s="2">
        <v>44056</v>
      </c>
      <c r="C3925" s="1">
        <v>98</v>
      </c>
      <c r="D3925" s="39">
        <f t="shared" si="278"/>
        <v>639</v>
      </c>
      <c r="E3925" s="1"/>
      <c r="F3925" s="39">
        <f t="shared" si="274"/>
        <v>1</v>
      </c>
      <c r="G3925" s="395"/>
      <c r="H3925" s="395"/>
      <c r="J3925" s="42"/>
    </row>
    <row r="3926" spans="1:10" s="393" customFormat="1" x14ac:dyDescent="0.25">
      <c r="A3926" s="19" t="s">
        <v>17</v>
      </c>
      <c r="B3926" s="2">
        <v>44056</v>
      </c>
      <c r="C3926" s="1">
        <v>164</v>
      </c>
      <c r="D3926" s="39">
        <f t="shared" si="278"/>
        <v>2741</v>
      </c>
      <c r="E3926" s="1">
        <f>1+2+4</f>
        <v>7</v>
      </c>
      <c r="F3926" s="39">
        <f t="shared" si="274"/>
        <v>17</v>
      </c>
      <c r="G3926" s="395"/>
      <c r="H3926" s="395"/>
      <c r="J3926" s="42"/>
    </row>
    <row r="3927" spans="1:10" s="393" customFormat="1" x14ac:dyDescent="0.25">
      <c r="A3927" s="19" t="s">
        <v>23</v>
      </c>
      <c r="B3927" s="2">
        <v>44056</v>
      </c>
      <c r="C3927" s="1">
        <v>2</v>
      </c>
      <c r="D3927" s="39">
        <f t="shared" si="278"/>
        <v>63</v>
      </c>
      <c r="E3927" s="1"/>
      <c r="F3927" s="39">
        <f t="shared" si="274"/>
        <v>2</v>
      </c>
      <c r="G3927" s="395"/>
      <c r="H3927" s="395"/>
      <c r="J3927" s="42"/>
    </row>
    <row r="3928" spans="1:10" s="393" customFormat="1" x14ac:dyDescent="0.25">
      <c r="A3928" s="19" t="s">
        <v>19</v>
      </c>
      <c r="B3928" s="2">
        <v>44056</v>
      </c>
      <c r="C3928" s="1">
        <v>65</v>
      </c>
      <c r="D3928" s="39">
        <f t="shared" si="278"/>
        <v>1710</v>
      </c>
      <c r="E3928" s="1"/>
      <c r="F3928" s="39">
        <f t="shared" si="274"/>
        <v>3</v>
      </c>
      <c r="G3928" s="395"/>
      <c r="H3928" s="395"/>
      <c r="J3928" s="42"/>
    </row>
    <row r="3929" spans="1:10" s="393" customFormat="1" x14ac:dyDescent="0.25">
      <c r="A3929" s="19" t="s">
        <v>18</v>
      </c>
      <c r="B3929" s="2">
        <v>44056</v>
      </c>
      <c r="C3929" s="1">
        <v>160</v>
      </c>
      <c r="D3929" s="39">
        <f t="shared" si="278"/>
        <v>3535</v>
      </c>
      <c r="E3929" s="1">
        <v>5</v>
      </c>
      <c r="F3929" s="39">
        <f t="shared" si="274"/>
        <v>18</v>
      </c>
      <c r="G3929" s="395"/>
      <c r="H3929" s="395"/>
      <c r="J3929" s="42"/>
    </row>
    <row r="3930" spans="1:10" s="393" customFormat="1" x14ac:dyDescent="0.25">
      <c r="A3930" s="19" t="s">
        <v>34</v>
      </c>
      <c r="B3930" s="2">
        <v>44056</v>
      </c>
      <c r="C3930" s="1">
        <v>78</v>
      </c>
      <c r="D3930" s="39">
        <f>C3930+D3906</f>
        <v>828</v>
      </c>
      <c r="E3930" s="1"/>
      <c r="F3930" s="39">
        <f>E3930+F3906</f>
        <v>5</v>
      </c>
      <c r="G3930" s="395"/>
      <c r="H3930" s="395"/>
      <c r="J3930" s="42"/>
    </row>
    <row r="3931" spans="1:10" s="393" customFormat="1" x14ac:dyDescent="0.25">
      <c r="A3931" s="19" t="s">
        <v>35</v>
      </c>
      <c r="B3931" s="2">
        <v>44056</v>
      </c>
      <c r="C3931" s="1">
        <v>0</v>
      </c>
      <c r="D3931" s="39">
        <f t="shared" ref="D3931:D3937" si="279">C3931+D3907</f>
        <v>23</v>
      </c>
      <c r="E3931" s="1"/>
      <c r="F3931" s="39">
        <f>E3931+F3907</f>
        <v>0</v>
      </c>
      <c r="G3931" s="395"/>
      <c r="H3931" s="395"/>
      <c r="J3931" s="42"/>
    </row>
    <row r="3932" spans="1:10" s="393" customFormat="1" x14ac:dyDescent="0.25">
      <c r="A3932" s="19" t="s">
        <v>36</v>
      </c>
      <c r="B3932" s="2">
        <v>44056</v>
      </c>
      <c r="C3932" s="1">
        <v>1</v>
      </c>
      <c r="D3932" s="39">
        <f t="shared" si="279"/>
        <v>33</v>
      </c>
      <c r="E3932" s="1"/>
      <c r="F3932" s="39">
        <f>E3932+F3908</f>
        <v>0</v>
      </c>
      <c r="G3932" s="395"/>
      <c r="H3932" s="395"/>
      <c r="J3932" s="42"/>
    </row>
    <row r="3933" spans="1:10" s="393" customFormat="1" x14ac:dyDescent="0.25">
      <c r="A3933" s="19" t="s">
        <v>37</v>
      </c>
      <c r="B3933" s="2">
        <v>44056</v>
      </c>
      <c r="C3933" s="1">
        <v>46</v>
      </c>
      <c r="D3933" s="39">
        <f t="shared" si="279"/>
        <v>914</v>
      </c>
      <c r="E3933" s="1"/>
      <c r="F3933" s="39">
        <f t="shared" ref="F3933:F3938" si="280">E3933+F3909</f>
        <v>3</v>
      </c>
      <c r="G3933" s="395"/>
      <c r="H3933" s="395"/>
      <c r="J3933" s="42"/>
    </row>
    <row r="3934" spans="1:10" s="393" customFormat="1" x14ac:dyDescent="0.25">
      <c r="A3934" s="19" t="s">
        <v>22</v>
      </c>
      <c r="B3934" s="2">
        <v>44056</v>
      </c>
      <c r="C3934" s="1">
        <v>168</v>
      </c>
      <c r="D3934" s="39">
        <f t="shared" si="279"/>
        <v>2764</v>
      </c>
      <c r="E3934" s="1">
        <v>3</v>
      </c>
      <c r="F3934" s="39">
        <f t="shared" si="280"/>
        <v>29</v>
      </c>
      <c r="G3934" s="395"/>
      <c r="H3934" s="395"/>
      <c r="J3934" s="42"/>
    </row>
    <row r="3935" spans="1:10" s="393" customFormat="1" x14ac:dyDescent="0.25">
      <c r="A3935" s="19" t="s">
        <v>38</v>
      </c>
      <c r="B3935" s="2">
        <v>44056</v>
      </c>
      <c r="C3935" s="1">
        <v>21</v>
      </c>
      <c r="D3935" s="39">
        <f t="shared" si="279"/>
        <v>200</v>
      </c>
      <c r="E3935" s="1"/>
      <c r="F3935" s="39">
        <f t="shared" si="280"/>
        <v>1</v>
      </c>
      <c r="G3935" s="395"/>
      <c r="H3935" s="395"/>
      <c r="J3935" s="42"/>
    </row>
    <row r="3936" spans="1:10" s="393" customFormat="1" x14ac:dyDescent="0.25">
      <c r="A3936" s="19" t="s">
        <v>39</v>
      </c>
      <c r="B3936" s="2">
        <v>44056</v>
      </c>
      <c r="C3936" s="1">
        <v>84</v>
      </c>
      <c r="D3936" s="39">
        <f t="shared" si="279"/>
        <v>1227</v>
      </c>
      <c r="E3936" s="1">
        <v>1</v>
      </c>
      <c r="F3936" s="39">
        <f t="shared" si="280"/>
        <v>11</v>
      </c>
      <c r="G3936" s="395"/>
      <c r="H3936" s="395"/>
      <c r="J3936" s="42"/>
    </row>
    <row r="3937" spans="1:10" s="393" customFormat="1" x14ac:dyDescent="0.25">
      <c r="A3937" s="19" t="s">
        <v>40</v>
      </c>
      <c r="B3937" s="2">
        <v>44056</v>
      </c>
      <c r="C3937" s="1">
        <v>21</v>
      </c>
      <c r="D3937" s="39">
        <f t="shared" si="279"/>
        <v>509</v>
      </c>
      <c r="E3937" s="1"/>
      <c r="F3937" s="39">
        <f t="shared" si="280"/>
        <v>5</v>
      </c>
      <c r="G3937" s="395"/>
      <c r="H3937" s="395"/>
      <c r="J3937" s="42"/>
    </row>
    <row r="3938" spans="1:10" s="393" customFormat="1" x14ac:dyDescent="0.25">
      <c r="A3938" s="394" t="s">
        <v>16</v>
      </c>
      <c r="B3938" s="2">
        <v>44057</v>
      </c>
      <c r="C3938" s="1">
        <f>4157+3</f>
        <v>4160</v>
      </c>
      <c r="D3938" s="39">
        <f>C3938+D3914</f>
        <v>175544</v>
      </c>
      <c r="E3938" s="1">
        <f>19+13+31+25</f>
        <v>88</v>
      </c>
      <c r="F3938" s="39">
        <f t="shared" si="280"/>
        <v>3217</v>
      </c>
      <c r="G3938" s="395"/>
      <c r="H3938" s="395"/>
      <c r="J3938" s="42"/>
    </row>
    <row r="3939" spans="1:10" s="393" customFormat="1" x14ac:dyDescent="0.25">
      <c r="A3939" s="19" t="s">
        <v>43</v>
      </c>
      <c r="B3939" s="2">
        <v>44057</v>
      </c>
      <c r="C3939" s="1">
        <f>1012+6</f>
        <v>1018</v>
      </c>
      <c r="D3939" s="39">
        <f t="shared" ref="D3939:D3953" si="281">C3939+D3915</f>
        <v>75593</v>
      </c>
      <c r="E3939" s="1">
        <f>3+7+17+11</f>
        <v>38</v>
      </c>
      <c r="F3939" s="39">
        <f t="shared" ref="F3939:F3977" si="282">E3939+F3915</f>
        <v>1660</v>
      </c>
      <c r="G3939" s="395"/>
      <c r="H3939" s="395"/>
      <c r="J3939" s="42"/>
    </row>
    <row r="3940" spans="1:10" s="393" customFormat="1" x14ac:dyDescent="0.25">
      <c r="A3940" s="19" t="s">
        <v>28</v>
      </c>
      <c r="B3940" s="2">
        <v>44057</v>
      </c>
      <c r="C3940" s="1">
        <v>0</v>
      </c>
      <c r="D3940" s="39">
        <f t="shared" si="281"/>
        <v>63</v>
      </c>
      <c r="E3940" s="1"/>
      <c r="F3940" s="39">
        <f t="shared" si="282"/>
        <v>0</v>
      </c>
      <c r="G3940" s="395"/>
      <c r="H3940" s="395"/>
      <c r="J3940" s="42"/>
    </row>
    <row r="3941" spans="1:10" s="393" customFormat="1" x14ac:dyDescent="0.25">
      <c r="A3941" s="19" t="s">
        <v>15</v>
      </c>
      <c r="B3941" s="2">
        <v>44057</v>
      </c>
      <c r="C3941" s="1">
        <v>49</v>
      </c>
      <c r="D3941" s="39">
        <f t="shared" si="281"/>
        <v>4328</v>
      </c>
      <c r="E3941" s="1"/>
      <c r="F3941" s="39">
        <f t="shared" si="282"/>
        <v>173</v>
      </c>
      <c r="G3941" s="395"/>
      <c r="H3941" s="395"/>
      <c r="J3941" s="42"/>
    </row>
    <row r="3942" spans="1:10" s="393" customFormat="1" x14ac:dyDescent="0.25">
      <c r="A3942" s="19" t="s">
        <v>29</v>
      </c>
      <c r="B3942" s="2">
        <v>44057</v>
      </c>
      <c r="C3942" s="1">
        <v>6</v>
      </c>
      <c r="D3942" s="39">
        <f t="shared" si="281"/>
        <v>391</v>
      </c>
      <c r="E3942" s="1"/>
      <c r="F3942" s="39">
        <f t="shared" si="282"/>
        <v>5</v>
      </c>
      <c r="G3942" s="395"/>
      <c r="H3942" s="395"/>
      <c r="J3942" s="42"/>
    </row>
    <row r="3943" spans="1:10" s="393" customFormat="1" x14ac:dyDescent="0.25">
      <c r="A3943" s="19" t="s">
        <v>20</v>
      </c>
      <c r="B3943" s="2">
        <v>44057</v>
      </c>
      <c r="C3943" s="1">
        <v>144</v>
      </c>
      <c r="D3943" s="39">
        <f t="shared" si="281"/>
        <v>4293</v>
      </c>
      <c r="E3943" s="1">
        <f>1</f>
        <v>1</v>
      </c>
      <c r="F3943" s="39">
        <f t="shared" si="282"/>
        <v>74</v>
      </c>
      <c r="G3943" s="395"/>
      <c r="H3943" s="395"/>
      <c r="J3943" s="42"/>
    </row>
    <row r="3944" spans="1:10" s="393" customFormat="1" x14ac:dyDescent="0.25">
      <c r="A3944" s="19" t="s">
        <v>30</v>
      </c>
      <c r="B3944" s="2">
        <v>44057</v>
      </c>
      <c r="C3944" s="1">
        <v>1</v>
      </c>
      <c r="D3944" s="39">
        <f t="shared" si="281"/>
        <v>224</v>
      </c>
      <c r="E3944" s="1"/>
      <c r="F3944" s="39">
        <f t="shared" si="282"/>
        <v>2</v>
      </c>
      <c r="G3944" s="395"/>
      <c r="H3944" s="395"/>
      <c r="J3944" s="42"/>
    </row>
    <row r="3945" spans="1:10" x14ac:dyDescent="0.25">
      <c r="A3945" s="19" t="s">
        <v>31</v>
      </c>
      <c r="B3945" s="2">
        <v>44057</v>
      </c>
      <c r="C3945" s="1">
        <v>100</v>
      </c>
      <c r="D3945" s="39">
        <f t="shared" si="281"/>
        <v>1464</v>
      </c>
      <c r="E3945" s="1">
        <v>2</v>
      </c>
      <c r="F3945" s="39">
        <f t="shared" si="282"/>
        <v>20</v>
      </c>
    </row>
    <row r="3946" spans="1:10" s="393" customFormat="1" x14ac:dyDescent="0.25">
      <c r="A3946" s="19" t="s">
        <v>41</v>
      </c>
      <c r="B3946" s="2">
        <v>44057</v>
      </c>
      <c r="C3946" s="1">
        <v>0</v>
      </c>
      <c r="D3946" s="39">
        <f t="shared" si="281"/>
        <v>81</v>
      </c>
      <c r="E3946" s="1"/>
      <c r="F3946" s="39">
        <f>E3946+F3922</f>
        <v>0</v>
      </c>
      <c r="G3946" s="395"/>
      <c r="H3946" s="395"/>
      <c r="J3946" s="42"/>
    </row>
    <row r="3947" spans="1:10" s="393" customFormat="1" x14ac:dyDescent="0.25">
      <c r="A3947" s="19" t="s">
        <v>32</v>
      </c>
      <c r="B3947" s="2">
        <v>44057</v>
      </c>
      <c r="C3947" s="1">
        <f>133-3</f>
        <v>130</v>
      </c>
      <c r="D3947" s="39">
        <f t="shared" si="281"/>
        <v>4326</v>
      </c>
      <c r="E3947" s="1">
        <f>14+7</f>
        <v>21</v>
      </c>
      <c r="F3947" s="39">
        <f>E3947+F3923</f>
        <v>41</v>
      </c>
      <c r="G3947" s="395"/>
      <c r="H3947" s="395"/>
      <c r="J3947" s="42"/>
    </row>
    <row r="3948" spans="1:10" s="393" customFormat="1" x14ac:dyDescent="0.25">
      <c r="A3948" s="19" t="s">
        <v>33</v>
      </c>
      <c r="B3948" s="2">
        <v>44057</v>
      </c>
      <c r="C3948" s="1">
        <v>1</v>
      </c>
      <c r="D3948" s="39">
        <f t="shared" si="281"/>
        <v>210</v>
      </c>
      <c r="E3948" s="1"/>
      <c r="F3948" s="39">
        <f t="shared" si="282"/>
        <v>1</v>
      </c>
      <c r="G3948" s="395"/>
      <c r="H3948" s="395"/>
      <c r="J3948" s="42"/>
    </row>
    <row r="3949" spans="1:10" s="393" customFormat="1" x14ac:dyDescent="0.25">
      <c r="A3949" s="19" t="s">
        <v>21</v>
      </c>
      <c r="B3949" s="2">
        <v>44057</v>
      </c>
      <c r="C3949" s="1">
        <f>22-1</f>
        <v>21</v>
      </c>
      <c r="D3949" s="39">
        <f t="shared" si="281"/>
        <v>660</v>
      </c>
      <c r="E3949" s="1"/>
      <c r="F3949" s="39">
        <f t="shared" si="282"/>
        <v>1</v>
      </c>
      <c r="G3949" s="395"/>
      <c r="H3949" s="395"/>
      <c r="J3949" s="42"/>
    </row>
    <row r="3950" spans="1:10" s="393" customFormat="1" x14ac:dyDescent="0.25">
      <c r="A3950" s="19" t="s">
        <v>17</v>
      </c>
      <c r="B3950" s="2">
        <v>44057</v>
      </c>
      <c r="C3950" s="1">
        <v>165</v>
      </c>
      <c r="D3950" s="39">
        <f t="shared" si="281"/>
        <v>2906</v>
      </c>
      <c r="E3950" s="1">
        <v>2</v>
      </c>
      <c r="F3950" s="39">
        <f t="shared" si="282"/>
        <v>19</v>
      </c>
      <c r="G3950" s="395"/>
      <c r="H3950" s="395"/>
      <c r="J3950" s="42"/>
    </row>
    <row r="3951" spans="1:10" s="393" customFormat="1" x14ac:dyDescent="0.25">
      <c r="A3951" s="19" t="s">
        <v>23</v>
      </c>
      <c r="B3951" s="2">
        <v>44057</v>
      </c>
      <c r="C3951" s="1">
        <v>1</v>
      </c>
      <c r="D3951" s="39">
        <f t="shared" si="281"/>
        <v>64</v>
      </c>
      <c r="E3951" s="1"/>
      <c r="F3951" s="39">
        <f t="shared" si="282"/>
        <v>2</v>
      </c>
      <c r="G3951" s="395"/>
      <c r="H3951" s="395"/>
      <c r="J3951" s="42"/>
    </row>
    <row r="3952" spans="1:10" s="393" customFormat="1" x14ac:dyDescent="0.25">
      <c r="A3952" s="19" t="s">
        <v>19</v>
      </c>
      <c r="B3952" s="2">
        <v>44057</v>
      </c>
      <c r="C3952" s="1">
        <v>16</v>
      </c>
      <c r="D3952" s="39">
        <f t="shared" si="281"/>
        <v>1726</v>
      </c>
      <c r="E3952" s="1">
        <v>1</v>
      </c>
      <c r="F3952" s="39">
        <f t="shared" si="282"/>
        <v>4</v>
      </c>
      <c r="G3952" s="395"/>
      <c r="H3952" s="395"/>
      <c r="J3952" s="42"/>
    </row>
    <row r="3953" spans="1:10" s="393" customFormat="1" x14ac:dyDescent="0.25">
      <c r="A3953" s="19" t="s">
        <v>18</v>
      </c>
      <c r="B3953" s="2">
        <v>44057</v>
      </c>
      <c r="C3953" s="1">
        <v>118</v>
      </c>
      <c r="D3953" s="39">
        <f t="shared" si="281"/>
        <v>3653</v>
      </c>
      <c r="E3953" s="1">
        <v>6</v>
      </c>
      <c r="F3953" s="39">
        <f t="shared" si="282"/>
        <v>24</v>
      </c>
      <c r="G3953" s="395"/>
      <c r="H3953" s="395"/>
      <c r="J3953" s="42"/>
    </row>
    <row r="3954" spans="1:10" s="393" customFormat="1" x14ac:dyDescent="0.25">
      <c r="A3954" s="19" t="s">
        <v>34</v>
      </c>
      <c r="B3954" s="2">
        <v>44057</v>
      </c>
      <c r="C3954" s="1">
        <f>106+3</f>
        <v>109</v>
      </c>
      <c r="D3954" s="39">
        <f>C3954+D3930</f>
        <v>937</v>
      </c>
      <c r="E3954" s="1">
        <v>2</v>
      </c>
      <c r="F3954" s="39">
        <f>E3954+F3930</f>
        <v>7</v>
      </c>
      <c r="G3954" s="395"/>
      <c r="H3954" s="395"/>
      <c r="J3954" s="42"/>
    </row>
    <row r="3955" spans="1:10" s="393" customFormat="1" x14ac:dyDescent="0.25">
      <c r="A3955" s="19" t="s">
        <v>35</v>
      </c>
      <c r="B3955" s="2">
        <v>44057</v>
      </c>
      <c r="C3955" s="1">
        <v>-1</v>
      </c>
      <c r="D3955" s="39">
        <f t="shared" ref="D3955:D3961" si="283">C3955+D3931</f>
        <v>22</v>
      </c>
      <c r="E3955" s="1"/>
      <c r="F3955" s="39">
        <f>E3955+F3931</f>
        <v>0</v>
      </c>
      <c r="G3955" s="395"/>
      <c r="H3955" s="395"/>
      <c r="J3955" s="42"/>
    </row>
    <row r="3956" spans="1:10" s="393" customFormat="1" x14ac:dyDescent="0.25">
      <c r="A3956" s="19" t="s">
        <v>36</v>
      </c>
      <c r="B3956" s="2">
        <v>44057</v>
      </c>
      <c r="C3956" s="1">
        <v>1</v>
      </c>
      <c r="D3956" s="39">
        <f t="shared" si="283"/>
        <v>34</v>
      </c>
      <c r="E3956" s="1"/>
      <c r="F3956" s="39">
        <f t="shared" si="282"/>
        <v>0</v>
      </c>
      <c r="G3956" s="395"/>
      <c r="H3956" s="395"/>
      <c r="J3956" s="42"/>
    </row>
    <row r="3957" spans="1:10" s="393" customFormat="1" x14ac:dyDescent="0.25">
      <c r="A3957" s="19" t="s">
        <v>37</v>
      </c>
      <c r="B3957" s="2">
        <v>44057</v>
      </c>
      <c r="C3957" s="1">
        <f>40-3</f>
        <v>37</v>
      </c>
      <c r="D3957" s="39">
        <f t="shared" si="283"/>
        <v>951</v>
      </c>
      <c r="E3957" s="1"/>
      <c r="F3957" s="39">
        <f t="shared" ref="F3957:F3962" si="284">E3957+F3933</f>
        <v>3</v>
      </c>
      <c r="G3957" s="395"/>
      <c r="H3957" s="395"/>
      <c r="J3957" s="42"/>
    </row>
    <row r="3958" spans="1:10" s="393" customFormat="1" x14ac:dyDescent="0.25">
      <c r="A3958" s="19" t="s">
        <v>22</v>
      </c>
      <c r="B3958" s="2">
        <v>44057</v>
      </c>
      <c r="C3958" s="1">
        <v>190</v>
      </c>
      <c r="D3958" s="39">
        <f t="shared" si="283"/>
        <v>2954</v>
      </c>
      <c r="E3958" s="1">
        <v>1</v>
      </c>
      <c r="F3958" s="39">
        <f t="shared" si="284"/>
        <v>30</v>
      </c>
      <c r="G3958" s="395"/>
      <c r="H3958" s="395"/>
      <c r="J3958" s="42"/>
    </row>
    <row r="3959" spans="1:10" s="393" customFormat="1" x14ac:dyDescent="0.25">
      <c r="A3959" s="19" t="s">
        <v>38</v>
      </c>
      <c r="B3959" s="2">
        <v>44057</v>
      </c>
      <c r="C3959" s="1">
        <f>24-2</f>
        <v>22</v>
      </c>
      <c r="D3959" s="39">
        <f t="shared" si="283"/>
        <v>222</v>
      </c>
      <c r="E3959" s="1"/>
      <c r="F3959" s="39">
        <f t="shared" si="284"/>
        <v>1</v>
      </c>
      <c r="G3959" s="395"/>
      <c r="H3959" s="395"/>
      <c r="J3959" s="42"/>
    </row>
    <row r="3960" spans="1:10" s="393" customFormat="1" x14ac:dyDescent="0.25">
      <c r="A3960" s="19" t="s">
        <v>39</v>
      </c>
      <c r="B3960" s="2">
        <v>44057</v>
      </c>
      <c r="C3960" s="1">
        <f>48-2</f>
        <v>46</v>
      </c>
      <c r="D3960" s="39">
        <f t="shared" si="283"/>
        <v>1273</v>
      </c>
      <c r="E3960" s="1">
        <v>3</v>
      </c>
      <c r="F3960" s="39">
        <f t="shared" si="284"/>
        <v>14</v>
      </c>
      <c r="G3960" s="395"/>
      <c r="H3960" s="395"/>
      <c r="J3960" s="42"/>
    </row>
    <row r="3961" spans="1:10" s="393" customFormat="1" x14ac:dyDescent="0.25">
      <c r="A3961" s="19" t="s">
        <v>40</v>
      </c>
      <c r="B3961" s="2">
        <v>44057</v>
      </c>
      <c r="C3961" s="1">
        <f>32-1</f>
        <v>31</v>
      </c>
      <c r="D3961" s="39">
        <f t="shared" si="283"/>
        <v>540</v>
      </c>
      <c r="E3961" s="1"/>
      <c r="F3961" s="39">
        <f t="shared" si="284"/>
        <v>5</v>
      </c>
      <c r="G3961" s="395"/>
      <c r="H3961" s="395"/>
      <c r="J3961" s="42"/>
    </row>
    <row r="3962" spans="1:10" s="393" customFormat="1" x14ac:dyDescent="0.25">
      <c r="A3962" s="394" t="s">
        <v>16</v>
      </c>
      <c r="B3962" s="2">
        <v>44058</v>
      </c>
      <c r="C3962" s="1">
        <v>4438</v>
      </c>
      <c r="D3962" s="39">
        <f>C3962+D3938</f>
        <v>179982</v>
      </c>
      <c r="E3962" s="1">
        <f>16+10+33+24</f>
        <v>83</v>
      </c>
      <c r="F3962" s="39">
        <f t="shared" si="284"/>
        <v>3300</v>
      </c>
      <c r="G3962" s="395"/>
      <c r="H3962" s="395"/>
      <c r="J3962" s="42"/>
    </row>
    <row r="3963" spans="1:10" s="393" customFormat="1" x14ac:dyDescent="0.25">
      <c r="A3963" s="19" t="s">
        <v>43</v>
      </c>
      <c r="B3963" s="2">
        <v>44058</v>
      </c>
      <c r="C3963" s="1">
        <v>915</v>
      </c>
      <c r="D3963" s="39">
        <f t="shared" ref="D3963:D3977" si="285">C3963+D3939</f>
        <v>76508</v>
      </c>
      <c r="E3963" s="1">
        <f>4+2+3</f>
        <v>9</v>
      </c>
      <c r="F3963" s="39">
        <f t="shared" si="282"/>
        <v>1669</v>
      </c>
      <c r="G3963" s="395"/>
      <c r="H3963" s="395"/>
      <c r="J3963" s="42"/>
    </row>
    <row r="3964" spans="1:10" s="393" customFormat="1" x14ac:dyDescent="0.25">
      <c r="A3964" s="19" t="s">
        <v>28</v>
      </c>
      <c r="B3964" s="2">
        <v>44058</v>
      </c>
      <c r="C3964" s="1">
        <v>0</v>
      </c>
      <c r="D3964" s="39">
        <f t="shared" si="285"/>
        <v>63</v>
      </c>
      <c r="E3964" s="1"/>
      <c r="F3964" s="39">
        <f t="shared" si="282"/>
        <v>0</v>
      </c>
      <c r="G3964" s="395"/>
      <c r="H3964" s="395"/>
      <c r="J3964" s="42"/>
    </row>
    <row r="3965" spans="1:10" s="393" customFormat="1" x14ac:dyDescent="0.25">
      <c r="A3965" s="19" t="s">
        <v>15</v>
      </c>
      <c r="B3965" s="2">
        <v>44058</v>
      </c>
      <c r="C3965" s="1">
        <v>40</v>
      </c>
      <c r="D3965" s="39">
        <f t="shared" si="285"/>
        <v>4368</v>
      </c>
      <c r="E3965" s="1">
        <v>4</v>
      </c>
      <c r="F3965" s="39">
        <f t="shared" si="282"/>
        <v>177</v>
      </c>
      <c r="G3965" s="395"/>
      <c r="H3965" s="395"/>
      <c r="J3965" s="42"/>
    </row>
    <row r="3966" spans="1:10" s="393" customFormat="1" x14ac:dyDescent="0.25">
      <c r="A3966" s="19" t="s">
        <v>29</v>
      </c>
      <c r="B3966" s="2">
        <v>44058</v>
      </c>
      <c r="C3966" s="1">
        <v>4</v>
      </c>
      <c r="D3966" s="39">
        <f t="shared" si="285"/>
        <v>395</v>
      </c>
      <c r="E3966" s="1"/>
      <c r="F3966" s="39">
        <f t="shared" si="282"/>
        <v>5</v>
      </c>
      <c r="G3966" s="395"/>
      <c r="H3966" s="395"/>
      <c r="J3966" s="42"/>
    </row>
    <row r="3967" spans="1:10" s="393" customFormat="1" x14ac:dyDescent="0.25">
      <c r="A3967" s="19" t="s">
        <v>20</v>
      </c>
      <c r="B3967" s="2">
        <v>44058</v>
      </c>
      <c r="C3967" s="1">
        <v>161</v>
      </c>
      <c r="D3967" s="39">
        <f t="shared" si="285"/>
        <v>4454</v>
      </c>
      <c r="E3967" s="1"/>
      <c r="F3967" s="39">
        <f t="shared" si="282"/>
        <v>74</v>
      </c>
      <c r="G3967" s="395"/>
      <c r="H3967" s="395"/>
      <c r="J3967" s="42"/>
    </row>
    <row r="3968" spans="1:10" s="393" customFormat="1" x14ac:dyDescent="0.25">
      <c r="A3968" s="19" t="s">
        <v>30</v>
      </c>
      <c r="B3968" s="2">
        <v>44058</v>
      </c>
      <c r="C3968" s="1">
        <v>2</v>
      </c>
      <c r="D3968" s="39">
        <f t="shared" si="285"/>
        <v>226</v>
      </c>
      <c r="E3968" s="1"/>
      <c r="F3968" s="39">
        <f t="shared" si="282"/>
        <v>2</v>
      </c>
      <c r="G3968" s="395"/>
      <c r="H3968" s="395"/>
      <c r="J3968" s="42"/>
    </row>
    <row r="3969" spans="1:10" x14ac:dyDescent="0.25">
      <c r="A3969" s="19" t="s">
        <v>31</v>
      </c>
      <c r="B3969" s="2">
        <v>44058</v>
      </c>
      <c r="C3969" s="1">
        <v>64</v>
      </c>
      <c r="D3969" s="39">
        <f t="shared" si="285"/>
        <v>1528</v>
      </c>
      <c r="E3969" s="1">
        <v>2</v>
      </c>
      <c r="F3969" s="39">
        <f t="shared" si="282"/>
        <v>22</v>
      </c>
    </row>
    <row r="3970" spans="1:10" s="393" customFormat="1" x14ac:dyDescent="0.25">
      <c r="A3970" s="19" t="s">
        <v>41</v>
      </c>
      <c r="B3970" s="2">
        <v>44058</v>
      </c>
      <c r="C3970" s="1">
        <v>1</v>
      </c>
      <c r="D3970" s="39">
        <f t="shared" si="285"/>
        <v>82</v>
      </c>
      <c r="E3970" s="1"/>
      <c r="F3970" s="39">
        <f>E3970+F3946</f>
        <v>0</v>
      </c>
      <c r="G3970" s="395"/>
      <c r="H3970" s="395"/>
      <c r="J3970" s="42"/>
    </row>
    <row r="3971" spans="1:10" s="393" customFormat="1" x14ac:dyDescent="0.25">
      <c r="A3971" s="19" t="s">
        <v>32</v>
      </c>
      <c r="B3971" s="2">
        <v>44058</v>
      </c>
      <c r="C3971" s="1">
        <v>157</v>
      </c>
      <c r="D3971" s="39">
        <f t="shared" si="285"/>
        <v>4483</v>
      </c>
      <c r="E3971" s="1"/>
      <c r="F3971" s="39">
        <f t="shared" si="282"/>
        <v>41</v>
      </c>
      <c r="G3971" s="395"/>
      <c r="H3971" s="395"/>
      <c r="J3971" s="42"/>
    </row>
    <row r="3972" spans="1:10" s="393" customFormat="1" x14ac:dyDescent="0.25">
      <c r="A3972" s="19" t="s">
        <v>33</v>
      </c>
      <c r="B3972" s="2">
        <v>44058</v>
      </c>
      <c r="C3972" s="1">
        <v>1</v>
      </c>
      <c r="D3972" s="39">
        <f t="shared" si="285"/>
        <v>211</v>
      </c>
      <c r="E3972" s="1"/>
      <c r="F3972" s="39">
        <f t="shared" si="282"/>
        <v>1</v>
      </c>
      <c r="G3972" s="395"/>
      <c r="H3972" s="395"/>
      <c r="J3972" s="42"/>
    </row>
    <row r="3973" spans="1:10" s="393" customFormat="1" x14ac:dyDescent="0.25">
      <c r="A3973" s="19" t="s">
        <v>21</v>
      </c>
      <c r="B3973" s="2">
        <v>44058</v>
      </c>
      <c r="C3973" s="1">
        <v>55</v>
      </c>
      <c r="D3973" s="39">
        <f t="shared" si="285"/>
        <v>715</v>
      </c>
      <c r="E3973" s="1"/>
      <c r="F3973" s="39">
        <f t="shared" si="282"/>
        <v>1</v>
      </c>
      <c r="G3973" s="395"/>
      <c r="H3973" s="395"/>
      <c r="J3973" s="42"/>
    </row>
    <row r="3974" spans="1:10" s="393" customFormat="1" x14ac:dyDescent="0.25">
      <c r="A3974" s="19" t="s">
        <v>17</v>
      </c>
      <c r="B3974" s="2">
        <v>44058</v>
      </c>
      <c r="C3974" s="1">
        <v>210</v>
      </c>
      <c r="D3974" s="39">
        <f t="shared" si="285"/>
        <v>3116</v>
      </c>
      <c r="E3974" s="1">
        <f>1+1+3</f>
        <v>5</v>
      </c>
      <c r="F3974" s="39">
        <f t="shared" si="282"/>
        <v>24</v>
      </c>
      <c r="G3974" s="395"/>
      <c r="H3974" s="395"/>
      <c r="J3974" s="42"/>
    </row>
    <row r="3975" spans="1:10" s="393" customFormat="1" x14ac:dyDescent="0.25">
      <c r="A3975" s="19" t="s">
        <v>23</v>
      </c>
      <c r="B3975" s="2">
        <v>44058</v>
      </c>
      <c r="C3975" s="1">
        <v>3</v>
      </c>
      <c r="D3975" s="39">
        <f t="shared" si="285"/>
        <v>67</v>
      </c>
      <c r="E3975" s="1"/>
      <c r="F3975" s="39">
        <f t="shared" si="282"/>
        <v>2</v>
      </c>
      <c r="G3975" s="395"/>
      <c r="H3975" s="395"/>
      <c r="J3975" s="42"/>
    </row>
    <row r="3976" spans="1:10" s="393" customFormat="1" x14ac:dyDescent="0.25">
      <c r="A3976" s="19" t="s">
        <v>19</v>
      </c>
      <c r="B3976" s="2">
        <v>44058</v>
      </c>
      <c r="C3976" s="1">
        <v>72</v>
      </c>
      <c r="D3976" s="39">
        <f t="shared" si="285"/>
        <v>1798</v>
      </c>
      <c r="E3976" s="1"/>
      <c r="F3976" s="39">
        <f t="shared" si="282"/>
        <v>4</v>
      </c>
      <c r="G3976" s="395"/>
      <c r="H3976" s="395"/>
      <c r="J3976" s="42"/>
    </row>
    <row r="3977" spans="1:10" s="393" customFormat="1" x14ac:dyDescent="0.25">
      <c r="A3977" s="19" t="s">
        <v>18</v>
      </c>
      <c r="B3977" s="2">
        <v>44058</v>
      </c>
      <c r="C3977" s="1">
        <v>115</v>
      </c>
      <c r="D3977" s="39">
        <f t="shared" si="285"/>
        <v>3768</v>
      </c>
      <c r="E3977" s="1">
        <v>1</v>
      </c>
      <c r="F3977" s="39">
        <f t="shared" si="282"/>
        <v>25</v>
      </c>
      <c r="G3977" s="395"/>
      <c r="H3977" s="395"/>
      <c r="J3977" s="42"/>
    </row>
    <row r="3978" spans="1:10" s="393" customFormat="1" x14ac:dyDescent="0.25">
      <c r="A3978" s="19" t="s">
        <v>34</v>
      </c>
      <c r="B3978" s="2">
        <v>44058</v>
      </c>
      <c r="C3978" s="1">
        <v>66</v>
      </c>
      <c r="D3978" s="39">
        <f>C3978+D3954</f>
        <v>1003</v>
      </c>
      <c r="E3978" s="1">
        <v>3</v>
      </c>
      <c r="F3978" s="39">
        <f>E3978+F3954</f>
        <v>10</v>
      </c>
      <c r="G3978" s="395"/>
      <c r="H3978" s="395"/>
      <c r="J3978" s="42"/>
    </row>
    <row r="3979" spans="1:10" s="393" customFormat="1" x14ac:dyDescent="0.25">
      <c r="A3979" s="19" t="s">
        <v>35</v>
      </c>
      <c r="B3979" s="2">
        <v>44058</v>
      </c>
      <c r="C3979" s="1">
        <v>0</v>
      </c>
      <c r="D3979" s="39">
        <f t="shared" ref="D3979:D3985" si="286">C3979+D3955</f>
        <v>22</v>
      </c>
      <c r="E3979" s="1"/>
      <c r="F3979" s="39">
        <f>E3979+F3955</f>
        <v>0</v>
      </c>
      <c r="G3979" s="395"/>
      <c r="H3979" s="395"/>
      <c r="J3979" s="42"/>
    </row>
    <row r="3980" spans="1:10" s="393" customFormat="1" x14ac:dyDescent="0.25">
      <c r="A3980" s="19" t="s">
        <v>36</v>
      </c>
      <c r="B3980" s="2">
        <v>44058</v>
      </c>
      <c r="C3980" s="1">
        <v>0</v>
      </c>
      <c r="D3980" s="39">
        <f t="shared" si="286"/>
        <v>34</v>
      </c>
      <c r="E3980" s="1"/>
      <c r="F3980" s="39">
        <f>E3980+F3956</f>
        <v>0</v>
      </c>
      <c r="G3980" s="395"/>
      <c r="H3980" s="395"/>
      <c r="J3980" s="42"/>
    </row>
    <row r="3981" spans="1:10" s="393" customFormat="1" x14ac:dyDescent="0.25">
      <c r="A3981" s="19" t="s">
        <v>37</v>
      </c>
      <c r="B3981" s="2">
        <v>44058</v>
      </c>
      <c r="C3981" s="1">
        <v>38</v>
      </c>
      <c r="D3981" s="39">
        <f t="shared" si="286"/>
        <v>989</v>
      </c>
      <c r="E3981" s="1"/>
      <c r="F3981" s="39">
        <f t="shared" ref="F3981:F3986" si="287">E3981+F3957</f>
        <v>3</v>
      </c>
      <c r="G3981" s="395"/>
      <c r="H3981" s="395"/>
      <c r="J3981" s="42"/>
    </row>
    <row r="3982" spans="1:10" s="393" customFormat="1" x14ac:dyDescent="0.25">
      <c r="A3982" s="19" t="s">
        <v>22</v>
      </c>
      <c r="B3982" s="2">
        <v>44058</v>
      </c>
      <c r="C3982" s="1">
        <v>179</v>
      </c>
      <c r="D3982" s="39">
        <f t="shared" si="286"/>
        <v>3133</v>
      </c>
      <c r="E3982" s="1">
        <v>1</v>
      </c>
      <c r="F3982" s="39">
        <f t="shared" si="287"/>
        <v>31</v>
      </c>
      <c r="G3982" s="395"/>
      <c r="H3982" s="395"/>
      <c r="J3982" s="42"/>
    </row>
    <row r="3983" spans="1:10" s="393" customFormat="1" x14ac:dyDescent="0.25">
      <c r="A3983" s="19" t="s">
        <v>38</v>
      </c>
      <c r="B3983" s="2">
        <v>44058</v>
      </c>
      <c r="C3983" s="1">
        <v>26</v>
      </c>
      <c r="D3983" s="39">
        <f t="shared" si="286"/>
        <v>248</v>
      </c>
      <c r="E3983" s="1"/>
      <c r="F3983" s="39">
        <f t="shared" si="287"/>
        <v>1</v>
      </c>
      <c r="G3983" s="395"/>
      <c r="H3983" s="395"/>
      <c r="J3983" s="42"/>
    </row>
    <row r="3984" spans="1:10" s="393" customFormat="1" x14ac:dyDescent="0.25">
      <c r="A3984" s="19" t="s">
        <v>39</v>
      </c>
      <c r="B3984" s="2">
        <v>44058</v>
      </c>
      <c r="C3984" s="1">
        <v>88</v>
      </c>
      <c r="D3984" s="39">
        <f t="shared" si="286"/>
        <v>1361</v>
      </c>
      <c r="E3984" s="1">
        <v>2</v>
      </c>
      <c r="F3984" s="39">
        <f t="shared" si="287"/>
        <v>16</v>
      </c>
      <c r="G3984" s="395"/>
      <c r="H3984" s="395"/>
      <c r="J3984" s="42"/>
    </row>
    <row r="3985" spans="1:10" s="393" customFormat="1" x14ac:dyDescent="0.25">
      <c r="A3985" s="19" t="s">
        <v>40</v>
      </c>
      <c r="B3985" s="2">
        <v>44058</v>
      </c>
      <c r="C3985" s="1">
        <v>28</v>
      </c>
      <c r="D3985" s="39">
        <f t="shared" si="286"/>
        <v>568</v>
      </c>
      <c r="E3985" s="1"/>
      <c r="F3985" s="39">
        <f t="shared" si="287"/>
        <v>5</v>
      </c>
      <c r="G3985" s="395"/>
      <c r="H3985" s="395"/>
      <c r="J3985" s="42"/>
    </row>
    <row r="3986" spans="1:10" s="393" customFormat="1" x14ac:dyDescent="0.25">
      <c r="A3986" s="394" t="s">
        <v>16</v>
      </c>
      <c r="B3986" s="2">
        <v>44059</v>
      </c>
      <c r="C3986" s="1">
        <v>3117</v>
      </c>
      <c r="D3986" s="39">
        <f>C3986+D3962</f>
        <v>183099</v>
      </c>
      <c r="E3986" s="1">
        <f>8+5+1+8+7</f>
        <v>29</v>
      </c>
      <c r="F3986" s="39">
        <f t="shared" si="287"/>
        <v>3329</v>
      </c>
      <c r="G3986" s="395"/>
      <c r="H3986" s="395"/>
      <c r="J3986" s="42"/>
    </row>
    <row r="3987" spans="1:10" s="393" customFormat="1" x14ac:dyDescent="0.25">
      <c r="A3987" s="19" t="s">
        <v>43</v>
      </c>
      <c r="B3987" s="2">
        <v>44059</v>
      </c>
      <c r="C3987" s="1">
        <v>972</v>
      </c>
      <c r="D3987" s="39">
        <f t="shared" ref="D3987:D4001" si="288">C3987+D3963</f>
        <v>77480</v>
      </c>
      <c r="E3987" s="1">
        <f>2+5+1</f>
        <v>8</v>
      </c>
      <c r="F3987" s="39">
        <f t="shared" ref="F3987:F4025" si="289">E3987+F3963</f>
        <v>1677</v>
      </c>
      <c r="G3987" s="395"/>
      <c r="H3987" s="395"/>
      <c r="J3987" s="42"/>
    </row>
    <row r="3988" spans="1:10" s="393" customFormat="1" x14ac:dyDescent="0.25">
      <c r="A3988" s="19" t="s">
        <v>28</v>
      </c>
      <c r="B3988" s="2">
        <v>44059</v>
      </c>
      <c r="C3988" s="1">
        <v>0</v>
      </c>
      <c r="D3988" s="39">
        <f t="shared" si="288"/>
        <v>63</v>
      </c>
      <c r="E3988" s="1"/>
      <c r="F3988" s="39">
        <f t="shared" si="289"/>
        <v>0</v>
      </c>
      <c r="G3988" s="395"/>
      <c r="H3988" s="395"/>
      <c r="J3988" s="42"/>
    </row>
    <row r="3989" spans="1:10" s="393" customFormat="1" x14ac:dyDescent="0.25">
      <c r="A3989" s="19" t="s">
        <v>15</v>
      </c>
      <c r="B3989" s="2">
        <v>44059</v>
      </c>
      <c r="C3989" s="1">
        <v>68</v>
      </c>
      <c r="D3989" s="39">
        <f t="shared" si="288"/>
        <v>4436</v>
      </c>
      <c r="E3989" s="1">
        <v>3</v>
      </c>
      <c r="F3989" s="39">
        <f>E3989+F3965</f>
        <v>180</v>
      </c>
      <c r="G3989" s="395"/>
      <c r="H3989" s="395"/>
      <c r="J3989" s="42"/>
    </row>
    <row r="3990" spans="1:10" s="393" customFormat="1" x14ac:dyDescent="0.25">
      <c r="A3990" s="19" t="s">
        <v>29</v>
      </c>
      <c r="B3990" s="2">
        <v>44059</v>
      </c>
      <c r="C3990" s="1">
        <v>9</v>
      </c>
      <c r="D3990" s="39">
        <f t="shared" si="288"/>
        <v>404</v>
      </c>
      <c r="E3990" s="1"/>
      <c r="F3990" s="39">
        <f t="shared" si="289"/>
        <v>5</v>
      </c>
      <c r="G3990" s="395"/>
      <c r="H3990" s="395"/>
      <c r="J3990" s="42"/>
    </row>
    <row r="3991" spans="1:10" s="393" customFormat="1" x14ac:dyDescent="0.25">
      <c r="A3991" s="19" t="s">
        <v>20</v>
      </c>
      <c r="B3991" s="2">
        <v>44059</v>
      </c>
      <c r="C3991" s="1">
        <v>141</v>
      </c>
      <c r="D3991" s="39">
        <f t="shared" si="288"/>
        <v>4595</v>
      </c>
      <c r="E3991" s="1">
        <v>4</v>
      </c>
      <c r="F3991" s="39">
        <f t="shared" si="289"/>
        <v>78</v>
      </c>
      <c r="G3991" s="395"/>
      <c r="H3991" s="395"/>
      <c r="J3991" s="42"/>
    </row>
    <row r="3992" spans="1:10" s="393" customFormat="1" x14ac:dyDescent="0.25">
      <c r="A3992" s="19" t="s">
        <v>30</v>
      </c>
      <c r="B3992" s="2">
        <v>44059</v>
      </c>
      <c r="C3992" s="1">
        <v>3</v>
      </c>
      <c r="D3992" s="39">
        <f t="shared" si="288"/>
        <v>229</v>
      </c>
      <c r="E3992" s="1"/>
      <c r="F3992" s="39">
        <f t="shared" si="289"/>
        <v>2</v>
      </c>
      <c r="G3992" s="395"/>
      <c r="H3992" s="395"/>
      <c r="J3992" s="42"/>
    </row>
    <row r="3993" spans="1:10" x14ac:dyDescent="0.25">
      <c r="A3993" s="19" t="s">
        <v>31</v>
      </c>
      <c r="B3993" s="2">
        <v>44059</v>
      </c>
      <c r="C3993" s="1">
        <v>102</v>
      </c>
      <c r="D3993" s="39">
        <f t="shared" si="288"/>
        <v>1630</v>
      </c>
      <c r="E3993" s="1">
        <v>2</v>
      </c>
      <c r="F3993" s="39">
        <f t="shared" si="289"/>
        <v>24</v>
      </c>
    </row>
    <row r="3994" spans="1:10" s="393" customFormat="1" x14ac:dyDescent="0.25">
      <c r="A3994" s="19" t="s">
        <v>41</v>
      </c>
      <c r="B3994" s="2">
        <v>44059</v>
      </c>
      <c r="C3994" s="1">
        <v>1</v>
      </c>
      <c r="D3994" s="39">
        <f t="shared" si="288"/>
        <v>83</v>
      </c>
      <c r="E3994" s="1"/>
      <c r="F3994" s="39">
        <f>E3994+F3970</f>
        <v>0</v>
      </c>
      <c r="G3994" s="395"/>
      <c r="H3994" s="395"/>
      <c r="J3994" s="42"/>
    </row>
    <row r="3995" spans="1:10" s="393" customFormat="1" x14ac:dyDescent="0.25">
      <c r="A3995" s="19" t="s">
        <v>32</v>
      </c>
      <c r="B3995" s="2">
        <v>44059</v>
      </c>
      <c r="C3995" s="1">
        <v>272</v>
      </c>
      <c r="D3995" s="39">
        <f t="shared" si="288"/>
        <v>4755</v>
      </c>
      <c r="E3995" s="1">
        <v>16</v>
      </c>
      <c r="F3995" s="39">
        <f t="shared" si="289"/>
        <v>57</v>
      </c>
      <c r="G3995" s="395"/>
      <c r="H3995" s="395"/>
      <c r="J3995" s="42"/>
    </row>
    <row r="3996" spans="1:10" s="393" customFormat="1" x14ac:dyDescent="0.25">
      <c r="A3996" s="19" t="s">
        <v>33</v>
      </c>
      <c r="B3996" s="2">
        <v>44059</v>
      </c>
      <c r="C3996" s="1">
        <v>1</v>
      </c>
      <c r="D3996" s="39">
        <f t="shared" si="288"/>
        <v>212</v>
      </c>
      <c r="E3996" s="1"/>
      <c r="F3996" s="39">
        <f t="shared" si="289"/>
        <v>1</v>
      </c>
      <c r="G3996" s="395"/>
      <c r="H3996" s="395"/>
      <c r="J3996" s="42"/>
    </row>
    <row r="3997" spans="1:10" s="393" customFormat="1" x14ac:dyDescent="0.25">
      <c r="A3997" s="19" t="s">
        <v>21</v>
      </c>
      <c r="B3997" s="2">
        <v>44059</v>
      </c>
      <c r="C3997" s="1">
        <v>34</v>
      </c>
      <c r="D3997" s="39">
        <f t="shared" si="288"/>
        <v>749</v>
      </c>
      <c r="E3997" s="1"/>
      <c r="F3997" s="39">
        <f t="shared" si="289"/>
        <v>1</v>
      </c>
      <c r="G3997" s="395"/>
      <c r="H3997" s="395"/>
      <c r="J3997" s="42"/>
    </row>
    <row r="3998" spans="1:10" s="393" customFormat="1" x14ac:dyDescent="0.25">
      <c r="A3998" s="19" t="s">
        <v>17</v>
      </c>
      <c r="B3998" s="2">
        <v>44059</v>
      </c>
      <c r="C3998" s="1">
        <v>210</v>
      </c>
      <c r="D3998" s="39">
        <f t="shared" si="288"/>
        <v>3326</v>
      </c>
      <c r="E3998" s="1">
        <v>2</v>
      </c>
      <c r="F3998" s="39">
        <f t="shared" si="289"/>
        <v>26</v>
      </c>
      <c r="G3998" s="395"/>
      <c r="H3998" s="395"/>
      <c r="J3998" s="42"/>
    </row>
    <row r="3999" spans="1:10" s="393" customFormat="1" x14ac:dyDescent="0.25">
      <c r="A3999" s="19" t="s">
        <v>23</v>
      </c>
      <c r="B3999" s="2">
        <v>44059</v>
      </c>
      <c r="C3999" s="1">
        <v>0</v>
      </c>
      <c r="D3999" s="39">
        <f t="shared" si="288"/>
        <v>67</v>
      </c>
      <c r="E3999" s="1"/>
      <c r="F3999" s="39">
        <f t="shared" si="289"/>
        <v>2</v>
      </c>
      <c r="G3999" s="395"/>
      <c r="H3999" s="395"/>
      <c r="J3999" s="42"/>
    </row>
    <row r="4000" spans="1:10" s="393" customFormat="1" x14ac:dyDescent="0.25">
      <c r="A4000" s="19" t="s">
        <v>19</v>
      </c>
      <c r="B4000" s="2">
        <v>44059</v>
      </c>
      <c r="C4000" s="1">
        <v>27</v>
      </c>
      <c r="D4000" s="39">
        <f t="shared" si="288"/>
        <v>1825</v>
      </c>
      <c r="E4000" s="1"/>
      <c r="F4000" s="39">
        <f t="shared" si="289"/>
        <v>4</v>
      </c>
      <c r="G4000" s="395"/>
      <c r="H4000" s="395"/>
      <c r="J4000" s="42"/>
    </row>
    <row r="4001" spans="1:10" s="393" customFormat="1" x14ac:dyDescent="0.25">
      <c r="A4001" s="19" t="s">
        <v>18</v>
      </c>
      <c r="B4001" s="2">
        <v>44059</v>
      </c>
      <c r="C4001" s="1">
        <v>86</v>
      </c>
      <c r="D4001" s="39">
        <f t="shared" si="288"/>
        <v>3854</v>
      </c>
      <c r="E4001" s="1"/>
      <c r="F4001" s="39">
        <f t="shared" si="289"/>
        <v>25</v>
      </c>
      <c r="G4001" s="395"/>
      <c r="H4001" s="395"/>
      <c r="J4001" s="42"/>
    </row>
    <row r="4002" spans="1:10" s="393" customFormat="1" x14ac:dyDescent="0.25">
      <c r="A4002" s="19" t="s">
        <v>34</v>
      </c>
      <c r="B4002" s="2">
        <v>44059</v>
      </c>
      <c r="C4002" s="1">
        <v>92</v>
      </c>
      <c r="D4002" s="39">
        <f>C4002+D3978</f>
        <v>1095</v>
      </c>
      <c r="E4002" s="1">
        <v>2</v>
      </c>
      <c r="F4002" s="39">
        <f>E4002+F3978</f>
        <v>12</v>
      </c>
      <c r="G4002" s="395"/>
      <c r="H4002" s="395"/>
      <c r="J4002" s="42"/>
    </row>
    <row r="4003" spans="1:10" s="393" customFormat="1" x14ac:dyDescent="0.25">
      <c r="A4003" s="19" t="s">
        <v>35</v>
      </c>
      <c r="B4003" s="2">
        <v>44059</v>
      </c>
      <c r="C4003" s="1">
        <v>0</v>
      </c>
      <c r="D4003" s="39">
        <f t="shared" ref="D4003:D4009" si="290">C4003+D3979</f>
        <v>22</v>
      </c>
      <c r="E4003" s="1"/>
      <c r="F4003" s="39">
        <f>E4003+F3979</f>
        <v>0</v>
      </c>
      <c r="G4003" s="395"/>
      <c r="H4003" s="395"/>
      <c r="J4003" s="42"/>
    </row>
    <row r="4004" spans="1:10" s="393" customFormat="1" x14ac:dyDescent="0.25">
      <c r="A4004" s="19" t="s">
        <v>36</v>
      </c>
      <c r="B4004" s="2">
        <v>44059</v>
      </c>
      <c r="C4004" s="1">
        <v>0</v>
      </c>
      <c r="D4004" s="39">
        <f t="shared" si="290"/>
        <v>34</v>
      </c>
      <c r="E4004" s="1"/>
      <c r="F4004" s="39">
        <f t="shared" si="289"/>
        <v>0</v>
      </c>
      <c r="G4004" s="395"/>
      <c r="H4004" s="395"/>
      <c r="J4004" s="42"/>
    </row>
    <row r="4005" spans="1:10" s="393" customFormat="1" x14ac:dyDescent="0.25">
      <c r="A4005" s="19" t="s">
        <v>37</v>
      </c>
      <c r="B4005" s="2">
        <v>44059</v>
      </c>
      <c r="C4005" s="1">
        <v>42</v>
      </c>
      <c r="D4005" s="39">
        <f t="shared" si="290"/>
        <v>1031</v>
      </c>
      <c r="E4005" s="1"/>
      <c r="F4005" s="39">
        <f t="shared" ref="F4005:F4010" si="291">E4005+F3981</f>
        <v>3</v>
      </c>
      <c r="G4005" s="395"/>
      <c r="H4005" s="395"/>
      <c r="J4005" s="42"/>
    </row>
    <row r="4006" spans="1:10" s="393" customFormat="1" x14ac:dyDescent="0.25">
      <c r="A4006" s="19" t="s">
        <v>22</v>
      </c>
      <c r="B4006" s="2">
        <v>44059</v>
      </c>
      <c r="C4006" s="1">
        <v>160</v>
      </c>
      <c r="D4006" s="39">
        <f t="shared" si="290"/>
        <v>3293</v>
      </c>
      <c r="E4006" s="1"/>
      <c r="F4006" s="39">
        <f t="shared" si="291"/>
        <v>31</v>
      </c>
      <c r="G4006" s="395"/>
      <c r="H4006" s="395"/>
      <c r="J4006" s="42"/>
    </row>
    <row r="4007" spans="1:10" s="393" customFormat="1" x14ac:dyDescent="0.25">
      <c r="A4007" s="19" t="s">
        <v>38</v>
      </c>
      <c r="B4007" s="2">
        <v>44059</v>
      </c>
      <c r="C4007" s="1">
        <v>33</v>
      </c>
      <c r="D4007" s="39">
        <f t="shared" si="290"/>
        <v>281</v>
      </c>
      <c r="E4007" s="1"/>
      <c r="F4007" s="39">
        <f t="shared" si="291"/>
        <v>1</v>
      </c>
      <c r="G4007" s="395"/>
      <c r="H4007" s="395"/>
      <c r="J4007" s="42"/>
    </row>
    <row r="4008" spans="1:10" s="393" customFormat="1" x14ac:dyDescent="0.25">
      <c r="A4008" s="19" t="s">
        <v>39</v>
      </c>
      <c r="B4008" s="2">
        <v>44059</v>
      </c>
      <c r="C4008" s="1">
        <v>57</v>
      </c>
      <c r="D4008" s="39">
        <f t="shared" si="290"/>
        <v>1418</v>
      </c>
      <c r="E4008" s="1"/>
      <c r="F4008" s="39">
        <f t="shared" si="291"/>
        <v>16</v>
      </c>
      <c r="G4008" s="395"/>
      <c r="H4008" s="395"/>
      <c r="J4008" s="42"/>
    </row>
    <row r="4009" spans="1:10" s="393" customFormat="1" x14ac:dyDescent="0.25">
      <c r="A4009" s="19" t="s">
        <v>40</v>
      </c>
      <c r="B4009" s="2">
        <v>44059</v>
      </c>
      <c r="C4009" s="1">
        <v>42</v>
      </c>
      <c r="D4009" s="39">
        <f t="shared" si="290"/>
        <v>610</v>
      </c>
      <c r="E4009" s="1"/>
      <c r="F4009" s="39">
        <f t="shared" si="291"/>
        <v>5</v>
      </c>
      <c r="G4009" s="395"/>
      <c r="H4009" s="395"/>
      <c r="J4009" s="42"/>
    </row>
    <row r="4010" spans="1:10" s="393" customFormat="1" x14ac:dyDescent="0.25">
      <c r="A4010" s="394" t="s">
        <v>16</v>
      </c>
      <c r="B4010" s="2">
        <v>44060</v>
      </c>
      <c r="C4010" s="1">
        <v>2521</v>
      </c>
      <c r="D4010" s="39">
        <f>C4010+D3986</f>
        <v>185620</v>
      </c>
      <c r="E4010" s="1">
        <f>11+15+20+13</f>
        <v>59</v>
      </c>
      <c r="F4010" s="39">
        <f t="shared" si="291"/>
        <v>3388</v>
      </c>
      <c r="G4010" s="395"/>
      <c r="H4010" s="395"/>
      <c r="J4010" s="42"/>
    </row>
    <row r="4011" spans="1:10" s="393" customFormat="1" x14ac:dyDescent="0.25">
      <c r="A4011" s="19" t="s">
        <v>43</v>
      </c>
      <c r="B4011" s="2">
        <v>44060</v>
      </c>
      <c r="C4011" s="1">
        <v>710</v>
      </c>
      <c r="D4011" s="39">
        <f t="shared" ref="D4011:D4025" si="292">C4011+D3987</f>
        <v>78190</v>
      </c>
      <c r="E4011" s="1">
        <f>4+6+8+11</f>
        <v>29</v>
      </c>
      <c r="F4011" s="39">
        <f t="shared" si="289"/>
        <v>1706</v>
      </c>
      <c r="G4011" s="395"/>
      <c r="H4011" s="395"/>
      <c r="J4011" s="42"/>
    </row>
    <row r="4012" spans="1:10" s="393" customFormat="1" x14ac:dyDescent="0.25">
      <c r="A4012" s="19" t="s">
        <v>28</v>
      </c>
      <c r="B4012" s="2">
        <v>44060</v>
      </c>
      <c r="C4012" s="1">
        <v>2</v>
      </c>
      <c r="D4012" s="39">
        <f t="shared" si="292"/>
        <v>65</v>
      </c>
      <c r="E4012" s="1"/>
      <c r="F4012" s="39">
        <f t="shared" si="289"/>
        <v>0</v>
      </c>
      <c r="G4012" s="395"/>
      <c r="H4012" s="395"/>
      <c r="J4012" s="42"/>
    </row>
    <row r="4013" spans="1:10" s="393" customFormat="1" x14ac:dyDescent="0.25">
      <c r="A4013" s="19" t="s">
        <v>15</v>
      </c>
      <c r="B4013" s="2">
        <v>44060</v>
      </c>
      <c r="C4013" s="1">
        <v>68</v>
      </c>
      <c r="D4013" s="39">
        <f t="shared" si="292"/>
        <v>4504</v>
      </c>
      <c r="E4013" s="1">
        <f>3+1</f>
        <v>4</v>
      </c>
      <c r="F4013" s="39">
        <f t="shared" si="289"/>
        <v>184</v>
      </c>
      <c r="G4013" s="395"/>
      <c r="H4013" s="395"/>
      <c r="J4013" s="42"/>
    </row>
    <row r="4014" spans="1:10" s="393" customFormat="1" x14ac:dyDescent="0.25">
      <c r="A4014" s="19" t="s">
        <v>29</v>
      </c>
      <c r="B4014" s="2">
        <v>44060</v>
      </c>
      <c r="C4014" s="1">
        <v>14</v>
      </c>
      <c r="D4014" s="39">
        <f t="shared" si="292"/>
        <v>418</v>
      </c>
      <c r="E4014" s="1"/>
      <c r="F4014" s="39">
        <f t="shared" si="289"/>
        <v>5</v>
      </c>
      <c r="G4014" s="395"/>
      <c r="H4014" s="395"/>
      <c r="J4014" s="42"/>
    </row>
    <row r="4015" spans="1:10" s="393" customFormat="1" x14ac:dyDescent="0.25">
      <c r="A4015" s="19" t="s">
        <v>20</v>
      </c>
      <c r="B4015" s="2">
        <v>44060</v>
      </c>
      <c r="C4015" s="1">
        <v>172</v>
      </c>
      <c r="D4015" s="39">
        <f t="shared" si="292"/>
        <v>4767</v>
      </c>
      <c r="E4015" s="1">
        <v>1</v>
      </c>
      <c r="F4015" s="39">
        <f t="shared" si="289"/>
        <v>79</v>
      </c>
      <c r="G4015" s="395"/>
      <c r="H4015" s="395"/>
      <c r="J4015" s="42"/>
    </row>
    <row r="4016" spans="1:10" s="393" customFormat="1" x14ac:dyDescent="0.25">
      <c r="A4016" s="19" t="s">
        <v>30</v>
      </c>
      <c r="B4016" s="2">
        <v>44060</v>
      </c>
      <c r="C4016" s="1">
        <v>2</v>
      </c>
      <c r="D4016" s="39">
        <f t="shared" si="292"/>
        <v>231</v>
      </c>
      <c r="E4016" s="1"/>
      <c r="F4016" s="39">
        <f t="shared" si="289"/>
        <v>2</v>
      </c>
      <c r="G4016" s="395"/>
      <c r="H4016" s="395"/>
      <c r="J4016" s="42"/>
    </row>
    <row r="4017" spans="1:10" x14ac:dyDescent="0.25">
      <c r="A4017" s="19" t="s">
        <v>31</v>
      </c>
      <c r="B4017" s="2">
        <v>44060</v>
      </c>
      <c r="C4017" s="1">
        <v>73</v>
      </c>
      <c r="D4017" s="39">
        <f t="shared" si="292"/>
        <v>1703</v>
      </c>
      <c r="E4017" s="1">
        <v>2</v>
      </c>
      <c r="F4017" s="39">
        <f t="shared" si="289"/>
        <v>26</v>
      </c>
    </row>
    <row r="4018" spans="1:10" s="393" customFormat="1" x14ac:dyDescent="0.25">
      <c r="A4018" s="19" t="s">
        <v>41</v>
      </c>
      <c r="B4018" s="2">
        <v>44060</v>
      </c>
      <c r="C4018" s="1">
        <v>0</v>
      </c>
      <c r="D4018" s="39">
        <f t="shared" si="292"/>
        <v>83</v>
      </c>
      <c r="E4018" s="1"/>
      <c r="F4018" s="39">
        <f>E4018+F3994</f>
        <v>0</v>
      </c>
      <c r="G4018" s="395"/>
      <c r="H4018" s="395"/>
      <c r="J4018" s="42"/>
    </row>
    <row r="4019" spans="1:10" s="393" customFormat="1" x14ac:dyDescent="0.25">
      <c r="A4019" s="19" t="s">
        <v>32</v>
      </c>
      <c r="B4019" s="2">
        <v>44060</v>
      </c>
      <c r="C4019" s="1">
        <v>244</v>
      </c>
      <c r="D4019" s="39">
        <f t="shared" si="292"/>
        <v>4999</v>
      </c>
      <c r="E4019" s="1"/>
      <c r="F4019" s="39">
        <f t="shared" si="289"/>
        <v>57</v>
      </c>
      <c r="G4019" s="395"/>
      <c r="H4019" s="395"/>
      <c r="J4019" s="42"/>
    </row>
    <row r="4020" spans="1:10" s="393" customFormat="1" x14ac:dyDescent="0.25">
      <c r="A4020" s="19" t="s">
        <v>33</v>
      </c>
      <c r="B4020" s="2">
        <v>44060</v>
      </c>
      <c r="C4020" s="1">
        <v>1</v>
      </c>
      <c r="D4020" s="39">
        <f t="shared" si="292"/>
        <v>213</v>
      </c>
      <c r="E4020" s="1"/>
      <c r="F4020" s="39">
        <f t="shared" si="289"/>
        <v>1</v>
      </c>
      <c r="G4020" s="395"/>
      <c r="H4020" s="395"/>
      <c r="J4020" s="42"/>
    </row>
    <row r="4021" spans="1:10" s="393" customFormat="1" x14ac:dyDescent="0.25">
      <c r="A4021" s="19" t="s">
        <v>21</v>
      </c>
      <c r="B4021" s="2">
        <v>44060</v>
      </c>
      <c r="C4021" s="1">
        <v>45</v>
      </c>
      <c r="D4021" s="39">
        <f t="shared" si="292"/>
        <v>794</v>
      </c>
      <c r="E4021" s="1"/>
      <c r="F4021" s="39">
        <f t="shared" si="289"/>
        <v>1</v>
      </c>
      <c r="G4021" s="395"/>
      <c r="H4021" s="395"/>
      <c r="J4021" s="42"/>
    </row>
    <row r="4022" spans="1:10" s="393" customFormat="1" x14ac:dyDescent="0.25">
      <c r="A4022" s="19" t="s">
        <v>17</v>
      </c>
      <c r="B4022" s="2">
        <v>44060</v>
      </c>
      <c r="C4022" s="1">
        <v>169</v>
      </c>
      <c r="D4022" s="39">
        <f t="shared" si="292"/>
        <v>3495</v>
      </c>
      <c r="E4022" s="1">
        <v>1</v>
      </c>
      <c r="F4022" s="39">
        <f t="shared" si="289"/>
        <v>27</v>
      </c>
      <c r="G4022" s="395"/>
      <c r="H4022" s="395"/>
      <c r="J4022" s="42"/>
    </row>
    <row r="4023" spans="1:10" s="393" customFormat="1" x14ac:dyDescent="0.25">
      <c r="A4023" s="19" t="s">
        <v>23</v>
      </c>
      <c r="B4023" s="2">
        <v>44060</v>
      </c>
      <c r="C4023" s="1">
        <v>-4</v>
      </c>
      <c r="D4023" s="39">
        <f t="shared" si="292"/>
        <v>63</v>
      </c>
      <c r="E4023" s="1"/>
      <c r="F4023" s="39">
        <f t="shared" si="289"/>
        <v>2</v>
      </c>
      <c r="G4023" s="395"/>
      <c r="H4023" s="395"/>
      <c r="J4023" s="42"/>
    </row>
    <row r="4024" spans="1:10" s="393" customFormat="1" x14ac:dyDescent="0.25">
      <c r="A4024" s="19" t="s">
        <v>19</v>
      </c>
      <c r="B4024" s="2">
        <v>44060</v>
      </c>
      <c r="C4024" s="1">
        <v>64</v>
      </c>
      <c r="D4024" s="39">
        <f t="shared" si="292"/>
        <v>1889</v>
      </c>
      <c r="E4024" s="1">
        <f>1</f>
        <v>1</v>
      </c>
      <c r="F4024" s="39">
        <f t="shared" si="289"/>
        <v>5</v>
      </c>
      <c r="G4024" s="395"/>
      <c r="H4024" s="395"/>
      <c r="J4024" s="42"/>
    </row>
    <row r="4025" spans="1:10" s="393" customFormat="1" x14ac:dyDescent="0.25">
      <c r="A4025" s="19" t="s">
        <v>18</v>
      </c>
      <c r="B4025" s="2">
        <v>44060</v>
      </c>
      <c r="C4025" s="1">
        <v>82</v>
      </c>
      <c r="D4025" s="39">
        <f t="shared" si="292"/>
        <v>3936</v>
      </c>
      <c r="E4025" s="1">
        <f>1+3+1+1</f>
        <v>6</v>
      </c>
      <c r="F4025" s="39">
        <f t="shared" si="289"/>
        <v>31</v>
      </c>
      <c r="G4025" s="395"/>
      <c r="H4025" s="395"/>
      <c r="J4025" s="42"/>
    </row>
    <row r="4026" spans="1:10" s="393" customFormat="1" x14ac:dyDescent="0.25">
      <c r="A4026" s="19" t="s">
        <v>34</v>
      </c>
      <c r="B4026" s="2">
        <v>44060</v>
      </c>
      <c r="C4026" s="1">
        <v>88</v>
      </c>
      <c r="D4026" s="39">
        <f>C4026+D4002</f>
        <v>1183</v>
      </c>
      <c r="E4026" s="1">
        <f>1+2+2</f>
        <v>5</v>
      </c>
      <c r="F4026" s="39">
        <f>E4026+F4002</f>
        <v>17</v>
      </c>
      <c r="G4026" s="395"/>
      <c r="H4026" s="395"/>
      <c r="J4026" s="42"/>
    </row>
    <row r="4027" spans="1:10" s="393" customFormat="1" x14ac:dyDescent="0.25">
      <c r="A4027" s="19" t="s">
        <v>35</v>
      </c>
      <c r="B4027" s="2">
        <v>44060</v>
      </c>
      <c r="C4027" s="1">
        <v>0</v>
      </c>
      <c r="D4027" s="39">
        <f t="shared" ref="D4027:D4033" si="293">C4027+D4003</f>
        <v>22</v>
      </c>
      <c r="E4027" s="1"/>
      <c r="F4027" s="39">
        <f>E4027+F4003</f>
        <v>0</v>
      </c>
      <c r="G4027" s="395"/>
      <c r="H4027" s="395"/>
      <c r="J4027" s="42"/>
    </row>
    <row r="4028" spans="1:10" s="393" customFormat="1" x14ac:dyDescent="0.25">
      <c r="A4028" s="19" t="s">
        <v>36</v>
      </c>
      <c r="B4028" s="2">
        <v>44060</v>
      </c>
      <c r="C4028" s="1">
        <v>0</v>
      </c>
      <c r="D4028" s="39">
        <f t="shared" si="293"/>
        <v>34</v>
      </c>
      <c r="E4028" s="1"/>
      <c r="F4028" s="39">
        <f>E4028+F4004</f>
        <v>0</v>
      </c>
      <c r="G4028" s="395"/>
      <c r="H4028" s="395"/>
      <c r="J4028" s="42"/>
    </row>
    <row r="4029" spans="1:10" s="393" customFormat="1" x14ac:dyDescent="0.25">
      <c r="A4029" s="19" t="s">
        <v>37</v>
      </c>
      <c r="B4029" s="2">
        <v>44060</v>
      </c>
      <c r="C4029" s="1">
        <v>33</v>
      </c>
      <c r="D4029" s="39">
        <f t="shared" si="293"/>
        <v>1064</v>
      </c>
      <c r="E4029" s="1"/>
      <c r="F4029" s="39">
        <f t="shared" ref="F4029:F4034" si="294">E4029+F4005</f>
        <v>3</v>
      </c>
      <c r="G4029" s="395"/>
      <c r="H4029" s="395"/>
      <c r="J4029" s="42"/>
    </row>
    <row r="4030" spans="1:10" s="393" customFormat="1" x14ac:dyDescent="0.25">
      <c r="A4030" s="19" t="s">
        <v>22</v>
      </c>
      <c r="B4030" s="2">
        <v>44060</v>
      </c>
      <c r="C4030" s="1">
        <v>139</v>
      </c>
      <c r="D4030" s="39">
        <f t="shared" si="293"/>
        <v>3432</v>
      </c>
      <c r="E4030" s="1">
        <f>1</f>
        <v>1</v>
      </c>
      <c r="F4030" s="39">
        <f t="shared" si="294"/>
        <v>32</v>
      </c>
      <c r="G4030" s="395"/>
      <c r="H4030" s="395"/>
      <c r="J4030" s="42"/>
    </row>
    <row r="4031" spans="1:10" s="393" customFormat="1" x14ac:dyDescent="0.25">
      <c r="A4031" s="19" t="s">
        <v>38</v>
      </c>
      <c r="B4031" s="2">
        <v>44060</v>
      </c>
      <c r="C4031" s="1">
        <v>44</v>
      </c>
      <c r="D4031" s="39">
        <f t="shared" si="293"/>
        <v>325</v>
      </c>
      <c r="E4031" s="1"/>
      <c r="F4031" s="39">
        <f t="shared" si="294"/>
        <v>1</v>
      </c>
      <c r="G4031" s="395"/>
      <c r="H4031" s="395"/>
      <c r="J4031" s="42"/>
    </row>
    <row r="4032" spans="1:10" s="393" customFormat="1" x14ac:dyDescent="0.25">
      <c r="A4032" s="19" t="s">
        <v>39</v>
      </c>
      <c r="B4032" s="2">
        <v>44060</v>
      </c>
      <c r="C4032" s="1">
        <v>60</v>
      </c>
      <c r="D4032" s="39">
        <f t="shared" si="293"/>
        <v>1478</v>
      </c>
      <c r="E4032" s="1">
        <f>1</f>
        <v>1</v>
      </c>
      <c r="F4032" s="39">
        <f t="shared" si="294"/>
        <v>17</v>
      </c>
      <c r="G4032" s="395"/>
      <c r="H4032" s="395"/>
      <c r="J4032" s="42"/>
    </row>
    <row r="4033" spans="1:10" s="393" customFormat="1" x14ac:dyDescent="0.25">
      <c r="A4033" s="19" t="s">
        <v>40</v>
      </c>
      <c r="B4033" s="2">
        <v>44060</v>
      </c>
      <c r="C4033" s="1">
        <v>30</v>
      </c>
      <c r="D4033" s="39">
        <f t="shared" si="293"/>
        <v>640</v>
      </c>
      <c r="E4033" s="1"/>
      <c r="F4033" s="39">
        <f t="shared" si="294"/>
        <v>5</v>
      </c>
      <c r="G4033" s="395"/>
      <c r="H4033" s="395"/>
      <c r="J4033" s="42"/>
    </row>
    <row r="4034" spans="1:10" s="393" customFormat="1" x14ac:dyDescent="0.25">
      <c r="A4034" s="394" t="s">
        <v>16</v>
      </c>
      <c r="B4034" s="2">
        <v>44061</v>
      </c>
      <c r="C4034" s="1">
        <v>4585</v>
      </c>
      <c r="D4034" s="39">
        <v>190199</v>
      </c>
      <c r="E4034" s="1">
        <v>132</v>
      </c>
      <c r="F4034" s="39">
        <f t="shared" si="294"/>
        <v>3520</v>
      </c>
      <c r="G4034" s="395"/>
      <c r="H4034" s="395"/>
      <c r="J4034" s="42"/>
    </row>
    <row r="4035" spans="1:10" s="393" customFormat="1" x14ac:dyDescent="0.25">
      <c r="A4035" s="19" t="s">
        <v>43</v>
      </c>
      <c r="B4035" s="2">
        <v>44061</v>
      </c>
      <c r="C4035" s="1">
        <v>1051</v>
      </c>
      <c r="D4035" s="39">
        <v>79252</v>
      </c>
      <c r="E4035" s="1">
        <v>60</v>
      </c>
      <c r="F4035" s="39">
        <f t="shared" ref="F4035:F4073" si="295">E4035+F4011</f>
        <v>1766</v>
      </c>
      <c r="G4035" s="395"/>
      <c r="H4035" s="395"/>
      <c r="J4035" s="42"/>
    </row>
    <row r="4036" spans="1:10" s="393" customFormat="1" x14ac:dyDescent="0.25">
      <c r="A4036" s="19" t="s">
        <v>28</v>
      </c>
      <c r="B4036" s="2">
        <v>44061</v>
      </c>
      <c r="C4036" s="1">
        <v>-1</v>
      </c>
      <c r="D4036" s="39">
        <f>C4036+D4012</f>
        <v>64</v>
      </c>
      <c r="E4036" s="1"/>
      <c r="F4036" s="39">
        <f t="shared" si="295"/>
        <v>0</v>
      </c>
      <c r="G4036" s="395"/>
      <c r="H4036" s="395"/>
      <c r="J4036" s="42"/>
    </row>
    <row r="4037" spans="1:10" s="393" customFormat="1" x14ac:dyDescent="0.25">
      <c r="A4037" s="19" t="s">
        <v>15</v>
      </c>
      <c r="B4037" s="2">
        <v>44061</v>
      </c>
      <c r="C4037" s="1">
        <v>45</v>
      </c>
      <c r="D4037" s="39">
        <f>C4037+D4013</f>
        <v>4549</v>
      </c>
      <c r="E4037" s="1">
        <f>1+2</f>
        <v>3</v>
      </c>
      <c r="F4037" s="39">
        <f t="shared" si="295"/>
        <v>187</v>
      </c>
      <c r="G4037" s="395"/>
      <c r="H4037" s="395"/>
      <c r="J4037" s="42"/>
    </row>
    <row r="4038" spans="1:10" s="393" customFormat="1" x14ac:dyDescent="0.25">
      <c r="A4038" s="19" t="s">
        <v>29</v>
      </c>
      <c r="B4038" s="2">
        <v>44061</v>
      </c>
      <c r="C4038" s="1">
        <v>7</v>
      </c>
      <c r="D4038" s="39">
        <v>424</v>
      </c>
      <c r="E4038" s="1"/>
      <c r="F4038" s="39">
        <f t="shared" si="295"/>
        <v>5</v>
      </c>
      <c r="G4038" s="395"/>
      <c r="H4038" s="395"/>
      <c r="J4038" s="42"/>
    </row>
    <row r="4039" spans="1:10" s="393" customFormat="1" x14ac:dyDescent="0.25">
      <c r="A4039" s="19" t="s">
        <v>20</v>
      </c>
      <c r="B4039" s="2">
        <v>44061</v>
      </c>
      <c r="C4039" s="1">
        <v>227</v>
      </c>
      <c r="D4039" s="39">
        <v>4991</v>
      </c>
      <c r="E4039" s="1">
        <f>1+4</f>
        <v>5</v>
      </c>
      <c r="F4039" s="39">
        <f t="shared" si="295"/>
        <v>84</v>
      </c>
      <c r="G4039" s="395"/>
      <c r="H4039" s="395"/>
      <c r="J4039" s="42"/>
    </row>
    <row r="4040" spans="1:10" s="393" customFormat="1" x14ac:dyDescent="0.25">
      <c r="A4040" s="19" t="s">
        <v>30</v>
      </c>
      <c r="B4040" s="2">
        <v>44061</v>
      </c>
      <c r="C4040" s="1">
        <v>3</v>
      </c>
      <c r="D4040" s="39">
        <v>233</v>
      </c>
      <c r="E4040" s="1"/>
      <c r="F4040" s="39">
        <f t="shared" si="295"/>
        <v>2</v>
      </c>
      <c r="G4040" s="395"/>
      <c r="H4040" s="395"/>
      <c r="J4040" s="42"/>
    </row>
    <row r="4041" spans="1:10" x14ac:dyDescent="0.25">
      <c r="A4041" s="19" t="s">
        <v>31</v>
      </c>
      <c r="B4041" s="2">
        <v>44061</v>
      </c>
      <c r="C4041" s="1">
        <v>46</v>
      </c>
      <c r="D4041" s="39">
        <v>1750</v>
      </c>
      <c r="F4041" s="39">
        <f t="shared" si="295"/>
        <v>26</v>
      </c>
    </row>
    <row r="4042" spans="1:10" s="393" customFormat="1" x14ac:dyDescent="0.25">
      <c r="A4042" s="19" t="s">
        <v>41</v>
      </c>
      <c r="B4042" s="2">
        <v>44061</v>
      </c>
      <c r="C4042" s="1">
        <v>-1</v>
      </c>
      <c r="D4042" s="39">
        <v>79</v>
      </c>
      <c r="E4042" s="1">
        <v>1</v>
      </c>
      <c r="F4042" s="39">
        <f>E4042+F4018</f>
        <v>1</v>
      </c>
      <c r="G4042" s="395"/>
      <c r="H4042" s="395"/>
      <c r="J4042" s="42"/>
    </row>
    <row r="4043" spans="1:10" s="393" customFormat="1" x14ac:dyDescent="0.25">
      <c r="A4043" s="19" t="s">
        <v>32</v>
      </c>
      <c r="B4043" s="2">
        <v>44061</v>
      </c>
      <c r="C4043" s="1">
        <v>218</v>
      </c>
      <c r="D4043" s="39">
        <v>5227</v>
      </c>
      <c r="E4043" s="1">
        <f>3+7+5+1</f>
        <v>16</v>
      </c>
      <c r="F4043" s="39">
        <f t="shared" si="295"/>
        <v>73</v>
      </c>
      <c r="G4043" s="395"/>
      <c r="H4043" s="395"/>
      <c r="J4043" s="42"/>
    </row>
    <row r="4044" spans="1:10" s="393" customFormat="1" x14ac:dyDescent="0.25">
      <c r="A4044" s="19" t="s">
        <v>33</v>
      </c>
      <c r="B4044" s="2">
        <v>44061</v>
      </c>
      <c r="C4044" s="1">
        <v>-1</v>
      </c>
      <c r="D4044" s="39">
        <v>184</v>
      </c>
      <c r="E4044" s="1"/>
      <c r="F4044" s="39">
        <f t="shared" si="295"/>
        <v>1</v>
      </c>
      <c r="G4044" s="395"/>
      <c r="H4044" s="395"/>
      <c r="J4044" s="42"/>
    </row>
    <row r="4045" spans="1:10" s="393" customFormat="1" x14ac:dyDescent="0.25">
      <c r="A4045" s="19" t="s">
        <v>21</v>
      </c>
      <c r="B4045" s="2">
        <v>44061</v>
      </c>
      <c r="C4045" s="1">
        <v>56</v>
      </c>
      <c r="D4045" s="39">
        <v>851</v>
      </c>
      <c r="E4045" s="1"/>
      <c r="F4045" s="39">
        <f t="shared" si="295"/>
        <v>1</v>
      </c>
      <c r="G4045" s="395"/>
      <c r="H4045" s="395"/>
      <c r="J4045" s="42"/>
    </row>
    <row r="4046" spans="1:10" s="393" customFormat="1" x14ac:dyDescent="0.25">
      <c r="A4046" s="19" t="s">
        <v>17</v>
      </c>
      <c r="B4046" s="2">
        <v>44061</v>
      </c>
      <c r="C4046" s="1">
        <v>124</v>
      </c>
      <c r="D4046" s="39">
        <v>3623</v>
      </c>
      <c r="E4046" s="1">
        <f>7+1</f>
        <v>8</v>
      </c>
      <c r="F4046" s="39">
        <f t="shared" si="295"/>
        <v>35</v>
      </c>
      <c r="G4046" s="395"/>
      <c r="H4046" s="395"/>
      <c r="J4046" s="42"/>
    </row>
    <row r="4047" spans="1:10" s="393" customFormat="1" x14ac:dyDescent="0.25">
      <c r="A4047" s="19" t="s">
        <v>23</v>
      </c>
      <c r="B4047" s="2">
        <v>44061</v>
      </c>
      <c r="C4047" s="1">
        <v>0</v>
      </c>
      <c r="D4047" s="39">
        <v>55</v>
      </c>
      <c r="E4047" s="1"/>
      <c r="F4047" s="39">
        <f t="shared" si="295"/>
        <v>2</v>
      </c>
      <c r="G4047" s="395"/>
      <c r="H4047" s="395"/>
      <c r="J4047" s="42"/>
    </row>
    <row r="4048" spans="1:10" s="393" customFormat="1" x14ac:dyDescent="0.25">
      <c r="A4048" s="19" t="s">
        <v>19</v>
      </c>
      <c r="B4048" s="2">
        <v>44061</v>
      </c>
      <c r="C4048" s="1">
        <v>13</v>
      </c>
      <c r="D4048" s="39">
        <v>1911</v>
      </c>
      <c r="E4048" s="1">
        <v>2</v>
      </c>
      <c r="F4048" s="39">
        <f t="shared" si="295"/>
        <v>7</v>
      </c>
      <c r="G4048" s="395"/>
      <c r="H4048" s="395"/>
      <c r="J4048" s="42"/>
    </row>
    <row r="4049" spans="1:10" s="393" customFormat="1" x14ac:dyDescent="0.25">
      <c r="A4049" s="19" t="s">
        <v>18</v>
      </c>
      <c r="B4049" s="2">
        <v>44061</v>
      </c>
      <c r="C4049" s="1">
        <v>138</v>
      </c>
      <c r="D4049" s="39">
        <f>C4049+D4025</f>
        <v>4074</v>
      </c>
      <c r="E4049" s="1">
        <v>2</v>
      </c>
      <c r="F4049" s="39">
        <f t="shared" si="295"/>
        <v>33</v>
      </c>
      <c r="G4049" s="395"/>
      <c r="H4049" s="395"/>
      <c r="J4049" s="42"/>
    </row>
    <row r="4050" spans="1:10" s="393" customFormat="1" x14ac:dyDescent="0.25">
      <c r="A4050" s="19" t="s">
        <v>34</v>
      </c>
      <c r="B4050" s="2">
        <v>44061</v>
      </c>
      <c r="C4050" s="1">
        <v>111</v>
      </c>
      <c r="D4050" s="39">
        <v>1287</v>
      </c>
      <c r="E4050" s="1">
        <v>1</v>
      </c>
      <c r="F4050" s="39">
        <f>E4050+F4026</f>
        <v>18</v>
      </c>
      <c r="G4050" s="395"/>
      <c r="H4050" s="395"/>
      <c r="J4050" s="42"/>
    </row>
    <row r="4051" spans="1:10" s="393" customFormat="1" x14ac:dyDescent="0.25">
      <c r="A4051" s="19" t="s">
        <v>35</v>
      </c>
      <c r="B4051" s="2">
        <v>44061</v>
      </c>
      <c r="C4051" s="1">
        <v>0</v>
      </c>
      <c r="D4051" s="39">
        <f>C4051+D4027</f>
        <v>22</v>
      </c>
      <c r="E4051" s="1"/>
      <c r="F4051" s="39">
        <f>E4051+F4027</f>
        <v>0</v>
      </c>
      <c r="G4051" s="395"/>
      <c r="H4051" s="395"/>
      <c r="J4051" s="42"/>
    </row>
    <row r="4052" spans="1:10" s="393" customFormat="1" x14ac:dyDescent="0.25">
      <c r="A4052" s="19" t="s">
        <v>36</v>
      </c>
      <c r="B4052" s="2">
        <v>44061</v>
      </c>
      <c r="C4052" s="1">
        <v>2</v>
      </c>
      <c r="D4052" s="39">
        <f>C4052+D4028</f>
        <v>36</v>
      </c>
      <c r="E4052" s="1"/>
      <c r="F4052" s="39">
        <f t="shared" si="295"/>
        <v>0</v>
      </c>
      <c r="G4052" s="395"/>
      <c r="H4052" s="395"/>
      <c r="J4052" s="42"/>
    </row>
    <row r="4053" spans="1:10" s="393" customFormat="1" x14ac:dyDescent="0.25">
      <c r="A4053" s="19" t="s">
        <v>37</v>
      </c>
      <c r="B4053" s="2">
        <v>44061</v>
      </c>
      <c r="C4053" s="1">
        <v>22</v>
      </c>
      <c r="D4053" s="39">
        <v>1089</v>
      </c>
      <c r="E4053" s="1"/>
      <c r="F4053" s="39">
        <f t="shared" ref="F4053:F4058" si="296">E4053+F4029</f>
        <v>3</v>
      </c>
      <c r="G4053" s="395"/>
      <c r="H4053" s="395"/>
      <c r="J4053" s="42"/>
    </row>
    <row r="4054" spans="1:10" s="393" customFormat="1" x14ac:dyDescent="0.25">
      <c r="A4054" s="19" t="s">
        <v>22</v>
      </c>
      <c r="B4054" s="2">
        <v>44061</v>
      </c>
      <c r="C4054" s="1">
        <v>129</v>
      </c>
      <c r="D4054" s="39">
        <f>C4054+D4030</f>
        <v>3561</v>
      </c>
      <c r="E4054" s="1">
        <v>2</v>
      </c>
      <c r="F4054" s="39">
        <f t="shared" si="296"/>
        <v>34</v>
      </c>
      <c r="G4054" s="395"/>
      <c r="H4054" s="395"/>
      <c r="J4054" s="42"/>
    </row>
    <row r="4055" spans="1:10" s="393" customFormat="1" x14ac:dyDescent="0.25">
      <c r="A4055" s="19" t="s">
        <v>38</v>
      </c>
      <c r="B4055" s="2">
        <v>44061</v>
      </c>
      <c r="C4055" s="1">
        <v>12</v>
      </c>
      <c r="D4055" s="39">
        <v>338</v>
      </c>
      <c r="E4055" s="1"/>
      <c r="F4055" s="39">
        <f t="shared" si="296"/>
        <v>1</v>
      </c>
      <c r="G4055" s="395"/>
      <c r="H4055" s="395"/>
      <c r="J4055" s="42"/>
    </row>
    <row r="4056" spans="1:10" s="393" customFormat="1" x14ac:dyDescent="0.25">
      <c r="A4056" s="19" t="s">
        <v>39</v>
      </c>
      <c r="B4056" s="2">
        <v>44061</v>
      </c>
      <c r="C4056" s="1">
        <v>10</v>
      </c>
      <c r="D4056" s="39">
        <v>1489</v>
      </c>
      <c r="E4056" s="1">
        <v>1</v>
      </c>
      <c r="F4056" s="39">
        <f t="shared" si="296"/>
        <v>18</v>
      </c>
      <c r="G4056" s="395"/>
      <c r="H4056" s="395"/>
      <c r="J4056" s="42"/>
    </row>
    <row r="4057" spans="1:10" s="393" customFormat="1" x14ac:dyDescent="0.25">
      <c r="A4057" s="19" t="s">
        <v>40</v>
      </c>
      <c r="B4057" s="2">
        <v>44061</v>
      </c>
      <c r="C4057" s="1">
        <v>44</v>
      </c>
      <c r="D4057" s="39">
        <v>678</v>
      </c>
      <c r="E4057" s="1"/>
      <c r="F4057" s="39">
        <f t="shared" si="296"/>
        <v>5</v>
      </c>
      <c r="G4057" s="395"/>
      <c r="H4057" s="395"/>
      <c r="J4057" s="42"/>
    </row>
    <row r="4058" spans="1:10" s="393" customFormat="1" x14ac:dyDescent="0.25">
      <c r="A4058" s="394" t="s">
        <v>16</v>
      </c>
      <c r="B4058" s="2">
        <v>44062</v>
      </c>
      <c r="C4058" s="1">
        <v>4303</v>
      </c>
      <c r="D4058" s="39">
        <f>C4058+D4034</f>
        <v>194502</v>
      </c>
      <c r="E4058" s="1">
        <v>209</v>
      </c>
      <c r="F4058" s="39">
        <f t="shared" si="296"/>
        <v>3729</v>
      </c>
      <c r="G4058" s="395"/>
      <c r="H4058" s="395"/>
      <c r="J4058" s="42"/>
    </row>
    <row r="4059" spans="1:10" s="393" customFormat="1" x14ac:dyDescent="0.25">
      <c r="A4059" s="19" t="s">
        <v>43</v>
      </c>
      <c r="B4059" s="2">
        <v>44062</v>
      </c>
      <c r="C4059" s="1">
        <v>1094</v>
      </c>
      <c r="D4059" s="39">
        <f t="shared" ref="D4059:D4073" si="297">C4059+D4035</f>
        <v>80346</v>
      </c>
      <c r="E4059" s="1">
        <f>6+5+14+22</f>
        <v>47</v>
      </c>
      <c r="F4059" s="39">
        <f t="shared" si="295"/>
        <v>1813</v>
      </c>
      <c r="G4059" s="395"/>
      <c r="H4059" s="395"/>
      <c r="J4059" s="42"/>
    </row>
    <row r="4060" spans="1:10" s="393" customFormat="1" x14ac:dyDescent="0.25">
      <c r="A4060" s="19" t="s">
        <v>28</v>
      </c>
      <c r="B4060" s="2">
        <v>44062</v>
      </c>
      <c r="C4060" s="1">
        <v>-1</v>
      </c>
      <c r="D4060" s="39">
        <f t="shared" si="297"/>
        <v>63</v>
      </c>
      <c r="E4060" s="1"/>
      <c r="F4060" s="39">
        <f t="shared" si="295"/>
        <v>0</v>
      </c>
      <c r="G4060" s="395"/>
      <c r="H4060" s="395"/>
      <c r="J4060" s="42"/>
    </row>
    <row r="4061" spans="1:10" s="393" customFormat="1" x14ac:dyDescent="0.25">
      <c r="A4061" s="19" t="s">
        <v>15</v>
      </c>
      <c r="B4061" s="2">
        <v>44062</v>
      </c>
      <c r="C4061" s="1">
        <v>57</v>
      </c>
      <c r="D4061" s="39">
        <f t="shared" si="297"/>
        <v>4606</v>
      </c>
      <c r="E4061" s="1">
        <v>1</v>
      </c>
      <c r="F4061" s="39">
        <f t="shared" si="295"/>
        <v>188</v>
      </c>
      <c r="G4061" s="395"/>
      <c r="H4061" s="395"/>
      <c r="J4061" s="42"/>
    </row>
    <row r="4062" spans="1:10" s="393" customFormat="1" x14ac:dyDescent="0.25">
      <c r="A4062" s="19" t="s">
        <v>29</v>
      </c>
      <c r="B4062" s="2">
        <v>44062</v>
      </c>
      <c r="C4062" s="1">
        <v>13</v>
      </c>
      <c r="D4062" s="39">
        <f t="shared" si="297"/>
        <v>437</v>
      </c>
      <c r="E4062" s="1"/>
      <c r="F4062" s="39">
        <f t="shared" si="295"/>
        <v>5</v>
      </c>
      <c r="G4062" s="395"/>
      <c r="H4062" s="395"/>
      <c r="J4062" s="42"/>
    </row>
    <row r="4063" spans="1:10" s="393" customFormat="1" x14ac:dyDescent="0.25">
      <c r="A4063" s="19" t="s">
        <v>20</v>
      </c>
      <c r="B4063" s="2">
        <v>44062</v>
      </c>
      <c r="C4063" s="1">
        <v>100</v>
      </c>
      <c r="D4063" s="39">
        <f t="shared" si="297"/>
        <v>5091</v>
      </c>
      <c r="E4063" s="1"/>
      <c r="F4063" s="39">
        <f t="shared" si="295"/>
        <v>84</v>
      </c>
      <c r="G4063" s="395"/>
      <c r="H4063" s="395"/>
      <c r="J4063" s="42"/>
    </row>
    <row r="4064" spans="1:10" s="393" customFormat="1" x14ac:dyDescent="0.25">
      <c r="A4064" s="19" t="s">
        <v>30</v>
      </c>
      <c r="B4064" s="2">
        <v>44062</v>
      </c>
      <c r="C4064" s="1">
        <v>3</v>
      </c>
      <c r="D4064" s="39">
        <f t="shared" si="297"/>
        <v>236</v>
      </c>
      <c r="E4064" s="1"/>
      <c r="F4064" s="39">
        <f t="shared" si="295"/>
        <v>2</v>
      </c>
      <c r="G4064" s="395"/>
      <c r="H4064" s="395"/>
      <c r="J4064" s="42"/>
    </row>
    <row r="4065" spans="1:10" x14ac:dyDescent="0.25">
      <c r="A4065" s="19" t="s">
        <v>31</v>
      </c>
      <c r="B4065" s="2">
        <v>44062</v>
      </c>
      <c r="C4065" s="1">
        <v>60</v>
      </c>
      <c r="D4065" s="39">
        <f t="shared" si="297"/>
        <v>1810</v>
      </c>
      <c r="E4065" s="1">
        <v>1</v>
      </c>
      <c r="F4065" s="39">
        <f t="shared" si="295"/>
        <v>27</v>
      </c>
    </row>
    <row r="4066" spans="1:10" s="393" customFormat="1" x14ac:dyDescent="0.25">
      <c r="A4066" s="19" t="s">
        <v>41</v>
      </c>
      <c r="B4066" s="2">
        <v>44062</v>
      </c>
      <c r="C4066" s="1">
        <v>0</v>
      </c>
      <c r="D4066" s="39">
        <f t="shared" si="297"/>
        <v>79</v>
      </c>
      <c r="E4066" s="1"/>
      <c r="F4066" s="39">
        <f>E4066+F4042</f>
        <v>1</v>
      </c>
      <c r="G4066" s="395"/>
      <c r="H4066" s="395"/>
      <c r="J4066" s="42"/>
    </row>
    <row r="4067" spans="1:10" s="393" customFormat="1" x14ac:dyDescent="0.25">
      <c r="A4067" s="19" t="s">
        <v>32</v>
      </c>
      <c r="B4067" s="2">
        <v>44062</v>
      </c>
      <c r="C4067" s="1">
        <v>133</v>
      </c>
      <c r="D4067" s="39">
        <f t="shared" si="297"/>
        <v>5360</v>
      </c>
      <c r="E4067" s="1">
        <v>12</v>
      </c>
      <c r="F4067" s="39">
        <f t="shared" si="295"/>
        <v>85</v>
      </c>
      <c r="G4067" s="395"/>
      <c r="H4067" s="395"/>
      <c r="J4067" s="42"/>
    </row>
    <row r="4068" spans="1:10" s="393" customFormat="1" x14ac:dyDescent="0.25">
      <c r="A4068" s="19" t="s">
        <v>33</v>
      </c>
      <c r="B4068" s="2">
        <v>44062</v>
      </c>
      <c r="C4068" s="1">
        <v>2</v>
      </c>
      <c r="D4068" s="39">
        <f t="shared" si="297"/>
        <v>186</v>
      </c>
      <c r="E4068" s="1"/>
      <c r="F4068" s="39">
        <f t="shared" si="295"/>
        <v>1</v>
      </c>
      <c r="G4068" s="395"/>
      <c r="H4068" s="395"/>
      <c r="J4068" s="42"/>
    </row>
    <row r="4069" spans="1:10" s="393" customFormat="1" x14ac:dyDescent="0.25">
      <c r="A4069" s="19" t="s">
        <v>21</v>
      </c>
      <c r="B4069" s="2">
        <v>44062</v>
      </c>
      <c r="C4069" s="1">
        <v>54</v>
      </c>
      <c r="D4069" s="39">
        <f t="shared" si="297"/>
        <v>905</v>
      </c>
      <c r="E4069" s="1"/>
      <c r="F4069" s="39">
        <f t="shared" si="295"/>
        <v>1</v>
      </c>
      <c r="G4069" s="395"/>
      <c r="H4069" s="395"/>
      <c r="J4069" s="42"/>
    </row>
    <row r="4070" spans="1:10" s="393" customFormat="1" x14ac:dyDescent="0.25">
      <c r="A4070" s="19" t="s">
        <v>17</v>
      </c>
      <c r="B4070" s="2">
        <v>44062</v>
      </c>
      <c r="C4070" s="1">
        <v>150</v>
      </c>
      <c r="D4070" s="39">
        <f t="shared" si="297"/>
        <v>3773</v>
      </c>
      <c r="E4070" s="1">
        <v>5</v>
      </c>
      <c r="F4070" s="39">
        <f t="shared" si="295"/>
        <v>40</v>
      </c>
      <c r="G4070" s="395"/>
      <c r="H4070" s="395"/>
      <c r="J4070" s="42"/>
    </row>
    <row r="4071" spans="1:10" s="393" customFormat="1" x14ac:dyDescent="0.25">
      <c r="A4071" s="19" t="s">
        <v>23</v>
      </c>
      <c r="B4071" s="2">
        <v>44062</v>
      </c>
      <c r="C4071" s="1">
        <v>0</v>
      </c>
      <c r="D4071" s="39">
        <f t="shared" si="297"/>
        <v>55</v>
      </c>
      <c r="E4071" s="1"/>
      <c r="F4071" s="39">
        <f t="shared" si="295"/>
        <v>2</v>
      </c>
      <c r="G4071" s="395"/>
      <c r="H4071" s="395"/>
      <c r="J4071" s="42"/>
    </row>
    <row r="4072" spans="1:10" s="393" customFormat="1" x14ac:dyDescent="0.25">
      <c r="A4072" s="19" t="s">
        <v>19</v>
      </c>
      <c r="B4072" s="2">
        <v>44062</v>
      </c>
      <c r="C4072" s="1">
        <v>50</v>
      </c>
      <c r="D4072" s="39">
        <f t="shared" si="297"/>
        <v>1961</v>
      </c>
      <c r="E4072" s="1">
        <v>1</v>
      </c>
      <c r="F4072" s="39">
        <f t="shared" si="295"/>
        <v>8</v>
      </c>
      <c r="G4072" s="395"/>
      <c r="H4072" s="395"/>
      <c r="J4072" s="42"/>
    </row>
    <row r="4073" spans="1:10" s="393" customFormat="1" x14ac:dyDescent="0.25">
      <c r="A4073" s="19" t="s">
        <v>18</v>
      </c>
      <c r="B4073" s="2">
        <v>44062</v>
      </c>
      <c r="C4073" s="1">
        <v>94</v>
      </c>
      <c r="D4073" s="39">
        <f t="shared" si="297"/>
        <v>4168</v>
      </c>
      <c r="E4073" s="1">
        <v>3</v>
      </c>
      <c r="F4073" s="39">
        <f t="shared" si="295"/>
        <v>36</v>
      </c>
      <c r="G4073" s="395"/>
      <c r="H4073" s="395"/>
      <c r="J4073" s="42"/>
    </row>
    <row r="4074" spans="1:10" s="393" customFormat="1" x14ac:dyDescent="0.25">
      <c r="A4074" s="19" t="s">
        <v>34</v>
      </c>
      <c r="B4074" s="2">
        <v>44062</v>
      </c>
      <c r="C4074" s="1">
        <v>114</v>
      </c>
      <c r="D4074" s="39">
        <f>C4074+D4050</f>
        <v>1401</v>
      </c>
      <c r="E4074" s="1">
        <v>2</v>
      </c>
      <c r="F4074" s="39">
        <f>E4074+F4050</f>
        <v>20</v>
      </c>
      <c r="G4074" s="395"/>
      <c r="H4074" s="395"/>
      <c r="J4074" s="42"/>
    </row>
    <row r="4075" spans="1:10" s="393" customFormat="1" x14ac:dyDescent="0.25">
      <c r="A4075" s="19" t="s">
        <v>35</v>
      </c>
      <c r="B4075" s="2">
        <v>44062</v>
      </c>
      <c r="C4075" s="1">
        <v>0</v>
      </c>
      <c r="D4075" s="39">
        <f t="shared" ref="D4075:D4081" si="298">C4075+D4051</f>
        <v>22</v>
      </c>
      <c r="E4075" s="1"/>
      <c r="F4075" s="39">
        <f>E4075+F4051</f>
        <v>0</v>
      </c>
      <c r="G4075" s="395"/>
      <c r="H4075" s="395"/>
      <c r="J4075" s="42"/>
    </row>
    <row r="4076" spans="1:10" s="393" customFormat="1" x14ac:dyDescent="0.25">
      <c r="A4076" s="19" t="s">
        <v>36</v>
      </c>
      <c r="B4076" s="2">
        <v>44062</v>
      </c>
      <c r="C4076" s="1">
        <v>0</v>
      </c>
      <c r="D4076" s="39">
        <f t="shared" si="298"/>
        <v>36</v>
      </c>
      <c r="E4076" s="1"/>
      <c r="F4076" s="39">
        <f>E4076+F4052</f>
        <v>0</v>
      </c>
      <c r="G4076" s="395"/>
      <c r="H4076" s="395"/>
      <c r="J4076" s="42"/>
    </row>
    <row r="4077" spans="1:10" s="393" customFormat="1" x14ac:dyDescent="0.25">
      <c r="A4077" s="19" t="s">
        <v>37</v>
      </c>
      <c r="B4077" s="2">
        <v>44062</v>
      </c>
      <c r="C4077" s="1">
        <v>56</v>
      </c>
      <c r="D4077" s="39">
        <f t="shared" si="298"/>
        <v>1145</v>
      </c>
      <c r="E4077" s="1"/>
      <c r="F4077" s="39">
        <f t="shared" ref="F4077:F4082" si="299">E4077+F4053</f>
        <v>3</v>
      </c>
      <c r="G4077" s="395"/>
      <c r="H4077" s="395"/>
      <c r="J4077" s="42"/>
    </row>
    <row r="4078" spans="1:10" s="393" customFormat="1" x14ac:dyDescent="0.25">
      <c r="A4078" s="19" t="s">
        <v>22</v>
      </c>
      <c r="B4078" s="2">
        <v>44062</v>
      </c>
      <c r="C4078" s="1">
        <v>202</v>
      </c>
      <c r="D4078" s="39">
        <f t="shared" si="298"/>
        <v>3763</v>
      </c>
      <c r="E4078" s="1">
        <v>2</v>
      </c>
      <c r="F4078" s="39">
        <f t="shared" si="299"/>
        <v>36</v>
      </c>
      <c r="G4078" s="395"/>
      <c r="H4078" s="395"/>
      <c r="J4078" s="42"/>
    </row>
    <row r="4079" spans="1:10" s="393" customFormat="1" x14ac:dyDescent="0.25">
      <c r="A4079" s="19" t="s">
        <v>38</v>
      </c>
      <c r="B4079" s="2">
        <v>44062</v>
      </c>
      <c r="C4079" s="1">
        <v>41</v>
      </c>
      <c r="D4079" s="39">
        <f t="shared" si="298"/>
        <v>379</v>
      </c>
      <c r="E4079" s="1"/>
      <c r="F4079" s="39">
        <f t="shared" si="299"/>
        <v>1</v>
      </c>
      <c r="G4079" s="395"/>
      <c r="H4079" s="395"/>
      <c r="J4079" s="42"/>
    </row>
    <row r="4080" spans="1:10" s="393" customFormat="1" x14ac:dyDescent="0.25">
      <c r="A4080" s="19" t="s">
        <v>39</v>
      </c>
      <c r="B4080" s="2">
        <v>44062</v>
      </c>
      <c r="C4080" s="1">
        <v>64</v>
      </c>
      <c r="D4080" s="39">
        <f t="shared" si="298"/>
        <v>1553</v>
      </c>
      <c r="E4080" s="1"/>
      <c r="F4080" s="39">
        <f t="shared" si="299"/>
        <v>18</v>
      </c>
      <c r="G4080" s="395"/>
      <c r="H4080" s="395"/>
      <c r="J4080" s="42"/>
    </row>
    <row r="4081" spans="1:10" s="393" customFormat="1" x14ac:dyDescent="0.25">
      <c r="A4081" s="19" t="s">
        <v>40</v>
      </c>
      <c r="B4081" s="2">
        <v>44062</v>
      </c>
      <c r="C4081" s="1">
        <v>104</v>
      </c>
      <c r="D4081" s="39">
        <f t="shared" si="298"/>
        <v>782</v>
      </c>
      <c r="E4081" s="1"/>
      <c r="F4081" s="39">
        <f t="shared" si="299"/>
        <v>5</v>
      </c>
      <c r="G4081" s="395"/>
      <c r="H4081" s="395"/>
      <c r="J4081" s="42"/>
    </row>
    <row r="4082" spans="1:10" s="393" customFormat="1" x14ac:dyDescent="0.25">
      <c r="A4082" s="394" t="s">
        <v>16</v>
      </c>
      <c r="B4082" s="2">
        <v>44063</v>
      </c>
      <c r="C4082" s="1">
        <v>5245</v>
      </c>
      <c r="D4082" s="39">
        <f>C4082+D4058</f>
        <v>199747</v>
      </c>
      <c r="E4082" s="1">
        <v>55</v>
      </c>
      <c r="F4082" s="39">
        <f t="shared" si="299"/>
        <v>3784</v>
      </c>
      <c r="G4082" s="395"/>
      <c r="H4082" s="395"/>
      <c r="J4082" s="42"/>
    </row>
    <row r="4083" spans="1:10" s="393" customFormat="1" x14ac:dyDescent="0.25">
      <c r="A4083" s="19" t="s">
        <v>43</v>
      </c>
      <c r="B4083" s="2">
        <v>44063</v>
      </c>
      <c r="C4083" s="1">
        <v>1280</v>
      </c>
      <c r="D4083" s="39">
        <f t="shared" ref="D4083:D4097" si="300">C4083+D4059</f>
        <v>81626</v>
      </c>
      <c r="E4083" s="1">
        <v>85</v>
      </c>
      <c r="F4083" s="39">
        <f t="shared" ref="F4083:F4121" si="301">E4083+F4059</f>
        <v>1898</v>
      </c>
      <c r="G4083" s="395"/>
      <c r="H4083" s="395"/>
      <c r="J4083" s="42"/>
    </row>
    <row r="4084" spans="1:10" s="393" customFormat="1" x14ac:dyDescent="0.25">
      <c r="A4084" s="19" t="s">
        <v>28</v>
      </c>
      <c r="B4084" s="2">
        <v>44063</v>
      </c>
      <c r="C4084" s="1">
        <v>1</v>
      </c>
      <c r="D4084" s="39">
        <f t="shared" si="300"/>
        <v>64</v>
      </c>
      <c r="E4084" s="1"/>
      <c r="F4084" s="39">
        <f t="shared" si="301"/>
        <v>0</v>
      </c>
      <c r="G4084" s="395"/>
      <c r="H4084" s="395"/>
      <c r="J4084" s="42"/>
    </row>
    <row r="4085" spans="1:10" s="393" customFormat="1" x14ac:dyDescent="0.25">
      <c r="A4085" s="19" t="s">
        <v>15</v>
      </c>
      <c r="B4085" s="2">
        <v>44063</v>
      </c>
      <c r="C4085" s="1">
        <v>95</v>
      </c>
      <c r="D4085" s="39">
        <f t="shared" si="300"/>
        <v>4701</v>
      </c>
      <c r="E4085" s="1">
        <v>2</v>
      </c>
      <c r="F4085" s="39">
        <f t="shared" si="301"/>
        <v>190</v>
      </c>
      <c r="G4085" s="395"/>
      <c r="H4085" s="395"/>
      <c r="J4085" s="42"/>
    </row>
    <row r="4086" spans="1:10" s="393" customFormat="1" x14ac:dyDescent="0.25">
      <c r="A4086" s="19" t="s">
        <v>29</v>
      </c>
      <c r="B4086" s="2">
        <v>44063</v>
      </c>
      <c r="C4086" s="1">
        <v>18</v>
      </c>
      <c r="D4086" s="39">
        <f t="shared" si="300"/>
        <v>455</v>
      </c>
      <c r="E4086" s="1">
        <v>1</v>
      </c>
      <c r="F4086" s="39">
        <f t="shared" si="301"/>
        <v>6</v>
      </c>
      <c r="G4086" s="395"/>
      <c r="H4086" s="395"/>
      <c r="J4086" s="42"/>
    </row>
    <row r="4087" spans="1:10" s="393" customFormat="1" x14ac:dyDescent="0.25">
      <c r="A4087" s="19" t="s">
        <v>20</v>
      </c>
      <c r="B4087" s="2">
        <v>44063</v>
      </c>
      <c r="C4087" s="1">
        <v>181</v>
      </c>
      <c r="D4087" s="39">
        <f t="shared" si="300"/>
        <v>5272</v>
      </c>
      <c r="E4087" s="1">
        <f>4+1</f>
        <v>5</v>
      </c>
      <c r="F4087" s="39">
        <f t="shared" si="301"/>
        <v>89</v>
      </c>
      <c r="G4087" s="395"/>
      <c r="H4087" s="395"/>
      <c r="J4087" s="42"/>
    </row>
    <row r="4088" spans="1:10" s="393" customFormat="1" x14ac:dyDescent="0.25">
      <c r="A4088" s="19" t="s">
        <v>30</v>
      </c>
      <c r="B4088" s="2">
        <v>44063</v>
      </c>
      <c r="C4088" s="1">
        <v>3</v>
      </c>
      <c r="D4088" s="39">
        <f t="shared" si="300"/>
        <v>239</v>
      </c>
      <c r="E4088" s="1"/>
      <c r="F4088" s="39">
        <f t="shared" si="301"/>
        <v>2</v>
      </c>
      <c r="G4088" s="395"/>
      <c r="H4088" s="395"/>
      <c r="J4088" s="42"/>
    </row>
    <row r="4089" spans="1:10" x14ac:dyDescent="0.25">
      <c r="A4089" s="19" t="s">
        <v>31</v>
      </c>
      <c r="B4089" s="2">
        <v>44063</v>
      </c>
      <c r="C4089" s="1">
        <v>51</v>
      </c>
      <c r="D4089" s="39">
        <f t="shared" si="300"/>
        <v>1861</v>
      </c>
      <c r="F4089" s="39">
        <f t="shared" si="301"/>
        <v>27</v>
      </c>
    </row>
    <row r="4090" spans="1:10" s="393" customFormat="1" x14ac:dyDescent="0.25">
      <c r="A4090" s="19" t="s">
        <v>41</v>
      </c>
      <c r="B4090" s="2">
        <v>44063</v>
      </c>
      <c r="C4090" s="1">
        <v>1</v>
      </c>
      <c r="D4090" s="39">
        <f t="shared" si="300"/>
        <v>80</v>
      </c>
      <c r="E4090" s="1"/>
      <c r="F4090" s="39">
        <f>E4090+F4066</f>
        <v>1</v>
      </c>
      <c r="G4090" s="395"/>
      <c r="H4090" s="395"/>
      <c r="J4090" s="42"/>
    </row>
    <row r="4091" spans="1:10" s="393" customFormat="1" x14ac:dyDescent="0.25">
      <c r="A4091" s="19" t="s">
        <v>32</v>
      </c>
      <c r="B4091" s="2">
        <v>44063</v>
      </c>
      <c r="C4091" s="1">
        <v>264</v>
      </c>
      <c r="D4091" s="39">
        <f t="shared" si="300"/>
        <v>5624</v>
      </c>
      <c r="E4091" s="1">
        <f>1+8+6</f>
        <v>15</v>
      </c>
      <c r="F4091" s="39">
        <f t="shared" si="301"/>
        <v>100</v>
      </c>
      <c r="G4091" s="395"/>
      <c r="H4091" s="395"/>
      <c r="J4091" s="42"/>
    </row>
    <row r="4092" spans="1:10" s="393" customFormat="1" x14ac:dyDescent="0.25">
      <c r="A4092" s="19" t="s">
        <v>33</v>
      </c>
      <c r="B4092" s="2">
        <v>44063</v>
      </c>
      <c r="C4092" s="1">
        <v>1</v>
      </c>
      <c r="D4092" s="39">
        <f t="shared" si="300"/>
        <v>187</v>
      </c>
      <c r="E4092" s="1"/>
      <c r="F4092" s="39">
        <f t="shared" si="301"/>
        <v>1</v>
      </c>
      <c r="G4092" s="395"/>
      <c r="H4092" s="395"/>
      <c r="J4092" s="42"/>
    </row>
    <row r="4093" spans="1:10" s="393" customFormat="1" x14ac:dyDescent="0.25">
      <c r="A4093" s="19" t="s">
        <v>21</v>
      </c>
      <c r="B4093" s="2">
        <v>44063</v>
      </c>
      <c r="C4093" s="1">
        <v>22</v>
      </c>
      <c r="D4093" s="39">
        <f t="shared" si="300"/>
        <v>927</v>
      </c>
      <c r="E4093" s="1"/>
      <c r="F4093" s="39">
        <f t="shared" si="301"/>
        <v>1</v>
      </c>
      <c r="G4093" s="395"/>
      <c r="H4093" s="395"/>
      <c r="J4093" s="42"/>
    </row>
    <row r="4094" spans="1:10" s="393" customFormat="1" x14ac:dyDescent="0.25">
      <c r="A4094" s="19" t="s">
        <v>17</v>
      </c>
      <c r="B4094" s="2">
        <v>44063</v>
      </c>
      <c r="C4094" s="1">
        <v>267</v>
      </c>
      <c r="D4094" s="39">
        <f t="shared" si="300"/>
        <v>4040</v>
      </c>
      <c r="E4094" s="1">
        <f>2+2</f>
        <v>4</v>
      </c>
      <c r="F4094" s="39">
        <f t="shared" si="301"/>
        <v>44</v>
      </c>
      <c r="G4094" s="395"/>
      <c r="H4094" s="395"/>
      <c r="J4094" s="42"/>
    </row>
    <row r="4095" spans="1:10" s="393" customFormat="1" x14ac:dyDescent="0.25">
      <c r="A4095" s="19" t="s">
        <v>23</v>
      </c>
      <c r="B4095" s="2">
        <v>44063</v>
      </c>
      <c r="C4095" s="1">
        <v>-2</v>
      </c>
      <c r="D4095" s="39">
        <f t="shared" si="300"/>
        <v>53</v>
      </c>
      <c r="E4095" s="1"/>
      <c r="F4095" s="39">
        <f t="shared" si="301"/>
        <v>2</v>
      </c>
      <c r="G4095" s="395"/>
      <c r="H4095" s="395"/>
      <c r="J4095" s="42"/>
    </row>
    <row r="4096" spans="1:10" s="393" customFormat="1" x14ac:dyDescent="0.25">
      <c r="A4096" s="19" t="s">
        <v>19</v>
      </c>
      <c r="B4096" s="2">
        <v>44063</v>
      </c>
      <c r="C4096" s="1">
        <v>59</v>
      </c>
      <c r="D4096" s="39">
        <f t="shared" si="300"/>
        <v>2020</v>
      </c>
      <c r="E4096" s="1">
        <v>1</v>
      </c>
      <c r="F4096" s="39">
        <f t="shared" si="301"/>
        <v>9</v>
      </c>
      <c r="G4096" s="395"/>
      <c r="H4096" s="395"/>
      <c r="J4096" s="42"/>
    </row>
    <row r="4097" spans="1:10" s="393" customFormat="1" x14ac:dyDescent="0.25">
      <c r="A4097" s="19" t="s">
        <v>18</v>
      </c>
      <c r="B4097" s="2">
        <v>44063</v>
      </c>
      <c r="C4097" s="1">
        <v>161</v>
      </c>
      <c r="D4097" s="39">
        <f t="shared" si="300"/>
        <v>4329</v>
      </c>
      <c r="E4097" s="1">
        <f>3+1+2</f>
        <v>6</v>
      </c>
      <c r="F4097" s="39">
        <f t="shared" si="301"/>
        <v>42</v>
      </c>
      <c r="G4097" s="395"/>
      <c r="H4097" s="395"/>
      <c r="J4097" s="42"/>
    </row>
    <row r="4098" spans="1:10" s="393" customFormat="1" x14ac:dyDescent="0.25">
      <c r="A4098" s="19" t="s">
        <v>34</v>
      </c>
      <c r="B4098" s="2">
        <v>44063</v>
      </c>
      <c r="C4098" s="1">
        <v>99</v>
      </c>
      <c r="D4098" s="39">
        <f>C4098+D4074</f>
        <v>1500</v>
      </c>
      <c r="E4098" s="1">
        <v>2</v>
      </c>
      <c r="F4098" s="39">
        <f>E4098+F4074</f>
        <v>22</v>
      </c>
      <c r="G4098" s="395"/>
      <c r="H4098" s="395"/>
      <c r="J4098" s="42"/>
    </row>
    <row r="4099" spans="1:10" s="393" customFormat="1" x14ac:dyDescent="0.25">
      <c r="A4099" s="19" t="s">
        <v>35</v>
      </c>
      <c r="B4099" s="2">
        <v>44063</v>
      </c>
      <c r="C4099" s="1">
        <v>13</v>
      </c>
      <c r="D4099" s="39">
        <f t="shared" ref="D4099:D4105" si="302">C4099+D4075</f>
        <v>35</v>
      </c>
      <c r="E4099" s="1"/>
      <c r="F4099" s="39">
        <f>E4099+F4075</f>
        <v>0</v>
      </c>
      <c r="G4099" s="395"/>
      <c r="H4099" s="395"/>
      <c r="J4099" s="42"/>
    </row>
    <row r="4100" spans="1:10" s="393" customFormat="1" x14ac:dyDescent="0.25">
      <c r="A4100" s="19" t="s">
        <v>36</v>
      </c>
      <c r="B4100" s="2">
        <v>44063</v>
      </c>
      <c r="C4100" s="1">
        <v>3</v>
      </c>
      <c r="D4100" s="39">
        <f t="shared" si="302"/>
        <v>39</v>
      </c>
      <c r="E4100" s="1"/>
      <c r="F4100" s="39">
        <f t="shared" si="301"/>
        <v>0</v>
      </c>
      <c r="G4100" s="395"/>
      <c r="H4100" s="395"/>
      <c r="J4100" s="42"/>
    </row>
    <row r="4101" spans="1:10" s="393" customFormat="1" x14ac:dyDescent="0.25">
      <c r="A4101" s="19" t="s">
        <v>37</v>
      </c>
      <c r="B4101" s="2">
        <v>44063</v>
      </c>
      <c r="C4101" s="1">
        <v>33</v>
      </c>
      <c r="D4101" s="39">
        <f t="shared" si="302"/>
        <v>1178</v>
      </c>
      <c r="E4101" s="1">
        <f>3+3</f>
        <v>6</v>
      </c>
      <c r="F4101" s="39">
        <f t="shared" ref="F4101:F4106" si="303">E4101+F4077</f>
        <v>9</v>
      </c>
      <c r="G4101" s="395"/>
      <c r="H4101" s="395"/>
      <c r="J4101" s="42"/>
    </row>
    <row r="4102" spans="1:10" s="393" customFormat="1" x14ac:dyDescent="0.25">
      <c r="A4102" s="19" t="s">
        <v>22</v>
      </c>
      <c r="B4102" s="2">
        <v>44063</v>
      </c>
      <c r="C4102" s="1">
        <v>290</v>
      </c>
      <c r="D4102" s="39">
        <f t="shared" si="302"/>
        <v>4053</v>
      </c>
      <c r="E4102" s="1">
        <v>3</v>
      </c>
      <c r="F4102" s="39">
        <f t="shared" si="303"/>
        <v>39</v>
      </c>
      <c r="G4102" s="395"/>
      <c r="H4102" s="395"/>
      <c r="J4102" s="42"/>
    </row>
    <row r="4103" spans="1:10" s="393" customFormat="1" x14ac:dyDescent="0.25">
      <c r="A4103" s="19" t="s">
        <v>38</v>
      </c>
      <c r="B4103" s="2">
        <v>44063</v>
      </c>
      <c r="C4103" s="1">
        <v>38</v>
      </c>
      <c r="D4103" s="39">
        <f t="shared" si="302"/>
        <v>417</v>
      </c>
      <c r="E4103" s="1"/>
      <c r="F4103" s="39">
        <f t="shared" si="303"/>
        <v>1</v>
      </c>
      <c r="G4103" s="395"/>
      <c r="H4103" s="395"/>
      <c r="J4103" s="42"/>
    </row>
    <row r="4104" spans="1:10" s="393" customFormat="1" x14ac:dyDescent="0.25">
      <c r="A4104" s="19" t="s">
        <v>39</v>
      </c>
      <c r="B4104" s="2">
        <v>44063</v>
      </c>
      <c r="C4104" s="1">
        <v>47</v>
      </c>
      <c r="D4104" s="39">
        <f t="shared" si="302"/>
        <v>1600</v>
      </c>
      <c r="E4104" s="1">
        <v>1</v>
      </c>
      <c r="F4104" s="39">
        <f t="shared" si="303"/>
        <v>19</v>
      </c>
      <c r="G4104" s="395"/>
      <c r="H4104" s="395"/>
      <c r="J4104" s="42"/>
    </row>
    <row r="4105" spans="1:10" s="393" customFormat="1" x14ac:dyDescent="0.25">
      <c r="A4105" s="19" t="s">
        <v>40</v>
      </c>
      <c r="B4105" s="2">
        <v>44063</v>
      </c>
      <c r="C4105" s="1">
        <v>55</v>
      </c>
      <c r="D4105" s="39">
        <f t="shared" si="302"/>
        <v>837</v>
      </c>
      <c r="E4105" s="1">
        <v>1</v>
      </c>
      <c r="F4105" s="39">
        <f t="shared" si="303"/>
        <v>6</v>
      </c>
      <c r="G4105" s="395"/>
      <c r="H4105" s="395"/>
      <c r="J4105" s="42"/>
    </row>
    <row r="4106" spans="1:10" s="393" customFormat="1" x14ac:dyDescent="0.25">
      <c r="A4106" s="394" t="s">
        <v>16</v>
      </c>
      <c r="B4106" s="2">
        <v>44064</v>
      </c>
      <c r="C4106" s="1">
        <v>5322</v>
      </c>
      <c r="D4106" s="39">
        <f>C4106+D4082</f>
        <v>205069</v>
      </c>
      <c r="E4106" s="1">
        <v>131</v>
      </c>
      <c r="F4106" s="39">
        <f t="shared" si="303"/>
        <v>3915</v>
      </c>
      <c r="G4106" s="395"/>
      <c r="H4106" s="395"/>
      <c r="J4106" s="42"/>
    </row>
    <row r="4107" spans="1:10" s="393" customFormat="1" x14ac:dyDescent="0.25">
      <c r="A4107" s="19" t="s">
        <v>43</v>
      </c>
      <c r="B4107" s="2">
        <v>44064</v>
      </c>
      <c r="C4107" s="1">
        <v>1179</v>
      </c>
      <c r="D4107" s="39">
        <f t="shared" ref="D4107:D4121" si="304">C4107+D4083</f>
        <v>82805</v>
      </c>
      <c r="E4107" s="1">
        <f>5+14+12</f>
        <v>31</v>
      </c>
      <c r="F4107" s="39">
        <f t="shared" si="301"/>
        <v>1929</v>
      </c>
      <c r="G4107" s="395"/>
      <c r="H4107" s="395"/>
      <c r="J4107" s="42"/>
    </row>
    <row r="4108" spans="1:10" s="393" customFormat="1" x14ac:dyDescent="0.25">
      <c r="A4108" s="19" t="s">
        <v>28</v>
      </c>
      <c r="B4108" s="2">
        <v>44064</v>
      </c>
      <c r="C4108" s="1">
        <v>-1</v>
      </c>
      <c r="D4108" s="39">
        <f t="shared" si="304"/>
        <v>63</v>
      </c>
      <c r="E4108" s="1"/>
      <c r="F4108" s="39">
        <f t="shared" si="301"/>
        <v>0</v>
      </c>
      <c r="G4108" s="395"/>
      <c r="H4108" s="395"/>
      <c r="J4108" s="42"/>
    </row>
    <row r="4109" spans="1:10" s="393" customFormat="1" x14ac:dyDescent="0.25">
      <c r="A4109" s="19" t="s">
        <v>15</v>
      </c>
      <c r="B4109" s="2">
        <v>44064</v>
      </c>
      <c r="C4109" s="1">
        <v>55</v>
      </c>
      <c r="D4109" s="39">
        <f t="shared" si="304"/>
        <v>4756</v>
      </c>
      <c r="E4109" s="1">
        <f>2</f>
        <v>2</v>
      </c>
      <c r="F4109" s="39">
        <f t="shared" si="301"/>
        <v>192</v>
      </c>
      <c r="G4109" s="395"/>
      <c r="H4109" s="395"/>
      <c r="J4109" s="42"/>
    </row>
    <row r="4110" spans="1:10" s="393" customFormat="1" x14ac:dyDescent="0.25">
      <c r="A4110" s="19" t="s">
        <v>29</v>
      </c>
      <c r="B4110" s="2">
        <v>44064</v>
      </c>
      <c r="C4110" s="1">
        <v>19</v>
      </c>
      <c r="D4110" s="39">
        <f t="shared" si="304"/>
        <v>474</v>
      </c>
      <c r="E4110" s="1">
        <f>1</f>
        <v>1</v>
      </c>
      <c r="F4110" s="39">
        <f t="shared" si="301"/>
        <v>7</v>
      </c>
      <c r="G4110" s="395"/>
      <c r="H4110" s="395"/>
      <c r="J4110" s="42"/>
    </row>
    <row r="4111" spans="1:10" s="393" customFormat="1" x14ac:dyDescent="0.25">
      <c r="A4111" s="19" t="s">
        <v>20</v>
      </c>
      <c r="B4111" s="2">
        <v>44064</v>
      </c>
      <c r="C4111" s="1">
        <v>182</v>
      </c>
      <c r="D4111" s="39">
        <f t="shared" si="304"/>
        <v>5454</v>
      </c>
      <c r="E4111" s="1">
        <v>2</v>
      </c>
      <c r="F4111" s="39">
        <f t="shared" si="301"/>
        <v>91</v>
      </c>
      <c r="G4111" s="395"/>
      <c r="H4111" s="395"/>
      <c r="J4111" s="42"/>
    </row>
    <row r="4112" spans="1:10" s="393" customFormat="1" x14ac:dyDescent="0.25">
      <c r="A4112" s="19" t="s">
        <v>30</v>
      </c>
      <c r="B4112" s="2">
        <v>44064</v>
      </c>
      <c r="C4112" s="1">
        <v>4</v>
      </c>
      <c r="D4112" s="39">
        <f t="shared" si="304"/>
        <v>243</v>
      </c>
      <c r="E4112" s="1">
        <v>1</v>
      </c>
      <c r="F4112" s="39">
        <f t="shared" si="301"/>
        <v>3</v>
      </c>
      <c r="G4112" s="395"/>
      <c r="H4112" s="395"/>
      <c r="J4112" s="42"/>
    </row>
    <row r="4113" spans="1:10" x14ac:dyDescent="0.25">
      <c r="A4113" s="19" t="s">
        <v>31</v>
      </c>
      <c r="B4113" s="2">
        <v>44064</v>
      </c>
      <c r="C4113" s="1">
        <v>136</v>
      </c>
      <c r="D4113" s="39">
        <f t="shared" si="304"/>
        <v>1997</v>
      </c>
      <c r="E4113" s="1">
        <v>2</v>
      </c>
      <c r="F4113" s="39">
        <f t="shared" si="301"/>
        <v>29</v>
      </c>
    </row>
    <row r="4114" spans="1:10" s="393" customFormat="1" x14ac:dyDescent="0.25">
      <c r="A4114" s="19" t="s">
        <v>41</v>
      </c>
      <c r="B4114" s="2">
        <v>44064</v>
      </c>
      <c r="C4114" s="1">
        <v>-1</v>
      </c>
      <c r="D4114" s="39">
        <f t="shared" si="304"/>
        <v>79</v>
      </c>
      <c r="E4114" s="1"/>
      <c r="F4114" s="39">
        <f>E4114+F4090</f>
        <v>1</v>
      </c>
      <c r="G4114" s="395"/>
      <c r="H4114" s="395"/>
      <c r="J4114" s="42"/>
    </row>
    <row r="4115" spans="1:10" s="393" customFormat="1" x14ac:dyDescent="0.25">
      <c r="A4115" s="19" t="s">
        <v>32</v>
      </c>
      <c r="B4115" s="2">
        <v>44064</v>
      </c>
      <c r="C4115" s="1">
        <v>250</v>
      </c>
      <c r="D4115" s="39">
        <f t="shared" si="304"/>
        <v>5874</v>
      </c>
      <c r="E4115" s="1">
        <f>8+4+10+5</f>
        <v>27</v>
      </c>
      <c r="F4115" s="39">
        <f t="shared" si="301"/>
        <v>127</v>
      </c>
      <c r="G4115" s="395"/>
      <c r="H4115" s="395"/>
      <c r="J4115" s="42"/>
    </row>
    <row r="4116" spans="1:10" s="393" customFormat="1" x14ac:dyDescent="0.25">
      <c r="A4116" s="19" t="s">
        <v>33</v>
      </c>
      <c r="B4116" s="2">
        <v>44064</v>
      </c>
      <c r="C4116" s="1">
        <v>0</v>
      </c>
      <c r="D4116" s="39">
        <f t="shared" si="304"/>
        <v>187</v>
      </c>
      <c r="E4116" s="1"/>
      <c r="F4116" s="39">
        <f t="shared" si="301"/>
        <v>1</v>
      </c>
      <c r="G4116" s="395"/>
      <c r="H4116" s="395"/>
      <c r="J4116" s="42"/>
    </row>
    <row r="4117" spans="1:10" s="393" customFormat="1" x14ac:dyDescent="0.25">
      <c r="A4117" s="19" t="s">
        <v>21</v>
      </c>
      <c r="B4117" s="2">
        <v>44064</v>
      </c>
      <c r="C4117" s="1">
        <v>51</v>
      </c>
      <c r="D4117" s="39">
        <f t="shared" si="304"/>
        <v>978</v>
      </c>
      <c r="E4117" s="1"/>
      <c r="F4117" s="39">
        <f t="shared" si="301"/>
        <v>1</v>
      </c>
      <c r="G4117" s="395"/>
      <c r="H4117" s="395"/>
      <c r="J4117" s="42"/>
    </row>
    <row r="4118" spans="1:10" s="393" customFormat="1" x14ac:dyDescent="0.25">
      <c r="A4118" s="19" t="s">
        <v>17</v>
      </c>
      <c r="B4118" s="2">
        <v>44064</v>
      </c>
      <c r="C4118" s="1">
        <v>212</v>
      </c>
      <c r="D4118" s="39">
        <f t="shared" si="304"/>
        <v>4252</v>
      </c>
      <c r="E4118" s="1">
        <f>1+2+1+1</f>
        <v>5</v>
      </c>
      <c r="F4118" s="39">
        <f t="shared" si="301"/>
        <v>49</v>
      </c>
      <c r="G4118" s="395"/>
      <c r="H4118" s="395"/>
      <c r="J4118" s="42"/>
    </row>
    <row r="4119" spans="1:10" s="393" customFormat="1" x14ac:dyDescent="0.25">
      <c r="A4119" s="19" t="s">
        <v>23</v>
      </c>
      <c r="B4119" s="2">
        <v>44064</v>
      </c>
      <c r="C4119" s="1">
        <v>5</v>
      </c>
      <c r="D4119" s="39">
        <f t="shared" si="304"/>
        <v>58</v>
      </c>
      <c r="E4119" s="1"/>
      <c r="F4119" s="39">
        <f t="shared" si="301"/>
        <v>2</v>
      </c>
      <c r="G4119" s="395"/>
      <c r="H4119" s="395"/>
      <c r="J4119" s="42"/>
    </row>
    <row r="4120" spans="1:10" s="393" customFormat="1" x14ac:dyDescent="0.25">
      <c r="A4120" s="19" t="s">
        <v>19</v>
      </c>
      <c r="B4120" s="2">
        <v>44064</v>
      </c>
      <c r="C4120" s="1">
        <v>47</v>
      </c>
      <c r="D4120" s="39">
        <f t="shared" si="304"/>
        <v>2067</v>
      </c>
      <c r="E4120" s="1">
        <f>2</f>
        <v>2</v>
      </c>
      <c r="F4120" s="39">
        <f t="shared" si="301"/>
        <v>11</v>
      </c>
      <c r="G4120" s="395"/>
      <c r="H4120" s="395"/>
      <c r="J4120" s="42"/>
    </row>
    <row r="4121" spans="1:10" s="393" customFormat="1" x14ac:dyDescent="0.25">
      <c r="A4121" s="19" t="s">
        <v>18</v>
      </c>
      <c r="B4121" s="2">
        <v>44064</v>
      </c>
      <c r="C4121" s="1">
        <v>137</v>
      </c>
      <c r="D4121" s="39">
        <f t="shared" si="304"/>
        <v>4466</v>
      </c>
      <c r="E4121" s="1"/>
      <c r="F4121" s="39">
        <f t="shared" si="301"/>
        <v>42</v>
      </c>
      <c r="G4121" s="395"/>
      <c r="H4121" s="395"/>
      <c r="J4121" s="42"/>
    </row>
    <row r="4122" spans="1:10" s="393" customFormat="1" x14ac:dyDescent="0.25">
      <c r="A4122" s="19" t="s">
        <v>34</v>
      </c>
      <c r="B4122" s="2">
        <v>44064</v>
      </c>
      <c r="C4122" s="1">
        <v>90</v>
      </c>
      <c r="D4122" s="39">
        <f>C4122+D4098</f>
        <v>1590</v>
      </c>
      <c r="E4122" s="1">
        <f>1+1+1</f>
        <v>3</v>
      </c>
      <c r="F4122" s="39">
        <f>E4122+F4098</f>
        <v>25</v>
      </c>
      <c r="G4122" s="395"/>
      <c r="H4122" s="395"/>
      <c r="J4122" s="42"/>
    </row>
    <row r="4123" spans="1:10" s="393" customFormat="1" x14ac:dyDescent="0.25">
      <c r="A4123" s="19" t="s">
        <v>35</v>
      </c>
      <c r="B4123" s="2">
        <v>44064</v>
      </c>
      <c r="C4123" s="1">
        <v>1</v>
      </c>
      <c r="D4123" s="39">
        <f t="shared" ref="D4123:D4129" si="305">C4123+D4099</f>
        <v>36</v>
      </c>
      <c r="E4123" s="1"/>
      <c r="F4123" s="39">
        <f>E4123+F4099</f>
        <v>0</v>
      </c>
      <c r="G4123" s="395"/>
      <c r="H4123" s="395"/>
      <c r="J4123" s="42"/>
    </row>
    <row r="4124" spans="1:10" s="393" customFormat="1" x14ac:dyDescent="0.25">
      <c r="A4124" s="19" t="s">
        <v>36</v>
      </c>
      <c r="B4124" s="2">
        <v>44064</v>
      </c>
      <c r="C4124" s="1">
        <v>0</v>
      </c>
      <c r="D4124" s="39">
        <f t="shared" si="305"/>
        <v>39</v>
      </c>
      <c r="E4124" s="1"/>
      <c r="F4124" s="39">
        <f>E4124+F4100</f>
        <v>0</v>
      </c>
      <c r="G4124" s="395"/>
      <c r="H4124" s="395"/>
      <c r="J4124" s="42"/>
    </row>
    <row r="4125" spans="1:10" s="393" customFormat="1" x14ac:dyDescent="0.25">
      <c r="A4125" s="19" t="s">
        <v>37</v>
      </c>
      <c r="B4125" s="2">
        <v>44064</v>
      </c>
      <c r="C4125" s="1">
        <v>68</v>
      </c>
      <c r="D4125" s="39">
        <f t="shared" si="305"/>
        <v>1246</v>
      </c>
      <c r="E4125" s="1"/>
      <c r="F4125" s="39">
        <f t="shared" ref="F4125:F4130" si="306">E4125+F4101</f>
        <v>9</v>
      </c>
      <c r="G4125" s="395"/>
      <c r="H4125" s="395"/>
      <c r="J4125" s="42"/>
    </row>
    <row r="4126" spans="1:10" s="393" customFormat="1" x14ac:dyDescent="0.25">
      <c r="A4126" s="19" t="s">
        <v>22</v>
      </c>
      <c r="B4126" s="2">
        <v>44064</v>
      </c>
      <c r="C4126" s="1">
        <v>262</v>
      </c>
      <c r="D4126" s="39">
        <f t="shared" si="305"/>
        <v>4315</v>
      </c>
      <c r="E4126" s="1">
        <v>6</v>
      </c>
      <c r="F4126" s="39">
        <f t="shared" si="306"/>
        <v>45</v>
      </c>
      <c r="G4126" s="395"/>
      <c r="H4126" s="395"/>
      <c r="J4126" s="42"/>
    </row>
    <row r="4127" spans="1:10" s="393" customFormat="1" x14ac:dyDescent="0.25">
      <c r="A4127" s="19" t="s">
        <v>38</v>
      </c>
      <c r="B4127" s="2">
        <v>44064</v>
      </c>
      <c r="C4127" s="1">
        <v>38</v>
      </c>
      <c r="D4127" s="39">
        <f t="shared" si="305"/>
        <v>455</v>
      </c>
      <c r="E4127" s="1">
        <v>1</v>
      </c>
      <c r="F4127" s="39">
        <f t="shared" si="306"/>
        <v>2</v>
      </c>
      <c r="G4127" s="395"/>
      <c r="H4127" s="395"/>
      <c r="J4127" s="42"/>
    </row>
    <row r="4128" spans="1:10" s="393" customFormat="1" x14ac:dyDescent="0.25">
      <c r="A4128" s="19" t="s">
        <v>39</v>
      </c>
      <c r="B4128" s="2">
        <v>44064</v>
      </c>
      <c r="C4128" s="1">
        <v>36</v>
      </c>
      <c r="D4128" s="39">
        <f t="shared" si="305"/>
        <v>1636</v>
      </c>
      <c r="E4128" s="1"/>
      <c r="F4128" s="39">
        <f t="shared" si="306"/>
        <v>19</v>
      </c>
      <c r="G4128" s="395"/>
      <c r="H4128" s="395"/>
      <c r="J4128" s="42"/>
    </row>
    <row r="4129" spans="1:10" s="393" customFormat="1" x14ac:dyDescent="0.25">
      <c r="A4129" s="19" t="s">
        <v>40</v>
      </c>
      <c r="B4129" s="2">
        <v>44064</v>
      </c>
      <c r="C4129" s="1">
        <v>67</v>
      </c>
      <c r="D4129" s="39">
        <f t="shared" si="305"/>
        <v>904</v>
      </c>
      <c r="E4129" s="1"/>
      <c r="F4129" s="39">
        <f t="shared" si="306"/>
        <v>6</v>
      </c>
      <c r="G4129" s="395"/>
      <c r="H4129" s="395"/>
      <c r="J4129" s="42"/>
    </row>
    <row r="4130" spans="1:10" s="393" customFormat="1" x14ac:dyDescent="0.25">
      <c r="A4130" s="394" t="s">
        <v>16</v>
      </c>
      <c r="B4130" s="2">
        <v>44065</v>
      </c>
      <c r="C4130" s="1">
        <v>4838</v>
      </c>
      <c r="D4130" s="39">
        <f>C4130+D4106</f>
        <v>209907</v>
      </c>
      <c r="E4130" s="1">
        <f>28+13+25+11</f>
        <v>77</v>
      </c>
      <c r="F4130" s="39">
        <f t="shared" si="306"/>
        <v>3992</v>
      </c>
      <c r="G4130" s="395"/>
      <c r="H4130" s="395"/>
      <c r="J4130" s="42"/>
    </row>
    <row r="4131" spans="1:10" s="393" customFormat="1" x14ac:dyDescent="0.25">
      <c r="A4131" s="19" t="s">
        <v>43</v>
      </c>
      <c r="B4131" s="2">
        <v>44065</v>
      </c>
      <c r="C4131" s="1">
        <v>1100</v>
      </c>
      <c r="D4131" s="39">
        <f t="shared" ref="D4131:D4145" si="307">C4131+D4107</f>
        <v>83905</v>
      </c>
      <c r="E4131" s="1">
        <f>1+1+3+5</f>
        <v>10</v>
      </c>
      <c r="F4131" s="39">
        <f t="shared" ref="F4131:F4169" si="308">E4131+F4107</f>
        <v>1939</v>
      </c>
      <c r="G4131" s="395"/>
      <c r="H4131" s="395"/>
      <c r="J4131" s="42"/>
    </row>
    <row r="4132" spans="1:10" s="393" customFormat="1" x14ac:dyDescent="0.25">
      <c r="A4132" s="19" t="s">
        <v>28</v>
      </c>
      <c r="B4132" s="2">
        <v>44065</v>
      </c>
      <c r="C4132" s="1">
        <v>1</v>
      </c>
      <c r="D4132" s="39">
        <f t="shared" si="307"/>
        <v>64</v>
      </c>
      <c r="E4132" s="1"/>
      <c r="F4132" s="39">
        <f t="shared" si="308"/>
        <v>0</v>
      </c>
      <c r="G4132" s="395"/>
      <c r="H4132" s="395"/>
      <c r="J4132" s="42"/>
    </row>
    <row r="4133" spans="1:10" s="393" customFormat="1" x14ac:dyDescent="0.25">
      <c r="A4133" s="19" t="s">
        <v>15</v>
      </c>
      <c r="B4133" s="2">
        <v>44065</v>
      </c>
      <c r="C4133" s="1">
        <v>78</v>
      </c>
      <c r="D4133" s="39">
        <f t="shared" si="307"/>
        <v>4834</v>
      </c>
      <c r="E4133" s="1"/>
      <c r="F4133" s="39">
        <f t="shared" si="308"/>
        <v>192</v>
      </c>
      <c r="G4133" s="395"/>
      <c r="H4133" s="395"/>
      <c r="J4133" s="42"/>
    </row>
    <row r="4134" spans="1:10" s="393" customFormat="1" x14ac:dyDescent="0.25">
      <c r="A4134" s="19" t="s">
        <v>29</v>
      </c>
      <c r="B4134" s="2">
        <v>44065</v>
      </c>
      <c r="C4134" s="1">
        <v>36</v>
      </c>
      <c r="D4134" s="39">
        <f t="shared" si="307"/>
        <v>510</v>
      </c>
      <c r="E4134" s="1"/>
      <c r="F4134" s="39">
        <f t="shared" si="308"/>
        <v>7</v>
      </c>
      <c r="G4134" s="395"/>
      <c r="H4134" s="395"/>
      <c r="J4134" s="42"/>
    </row>
    <row r="4135" spans="1:10" s="393" customFormat="1" x14ac:dyDescent="0.25">
      <c r="A4135" s="19" t="s">
        <v>20</v>
      </c>
      <c r="B4135" s="2">
        <v>44065</v>
      </c>
      <c r="C4135" s="1">
        <v>219</v>
      </c>
      <c r="D4135" s="39">
        <f t="shared" si="307"/>
        <v>5673</v>
      </c>
      <c r="E4135" s="1">
        <v>4</v>
      </c>
      <c r="F4135" s="39">
        <f t="shared" si="308"/>
        <v>95</v>
      </c>
      <c r="G4135" s="395"/>
      <c r="H4135" s="395"/>
      <c r="J4135" s="42"/>
    </row>
    <row r="4136" spans="1:10" s="393" customFormat="1" x14ac:dyDescent="0.25">
      <c r="A4136" s="19" t="s">
        <v>30</v>
      </c>
      <c r="B4136" s="2">
        <v>44065</v>
      </c>
      <c r="C4136" s="1">
        <v>4</v>
      </c>
      <c r="D4136" s="39">
        <f t="shared" si="307"/>
        <v>247</v>
      </c>
      <c r="E4136" s="1"/>
      <c r="F4136" s="39">
        <f t="shared" si="308"/>
        <v>3</v>
      </c>
      <c r="G4136" s="395"/>
      <c r="H4136" s="395"/>
      <c r="J4136" s="42"/>
    </row>
    <row r="4137" spans="1:10" x14ac:dyDescent="0.25">
      <c r="A4137" s="19" t="s">
        <v>31</v>
      </c>
      <c r="B4137" s="2">
        <v>44065</v>
      </c>
      <c r="C4137" s="1">
        <v>135</v>
      </c>
      <c r="D4137" s="39">
        <f t="shared" si="307"/>
        <v>2132</v>
      </c>
      <c r="F4137" s="39">
        <f t="shared" si="308"/>
        <v>29</v>
      </c>
    </row>
    <row r="4138" spans="1:10" s="393" customFormat="1" x14ac:dyDescent="0.25">
      <c r="A4138" s="19" t="s">
        <v>41</v>
      </c>
      <c r="B4138" s="2">
        <v>44065</v>
      </c>
      <c r="C4138" s="1">
        <v>1</v>
      </c>
      <c r="D4138" s="39">
        <f t="shared" si="307"/>
        <v>80</v>
      </c>
      <c r="E4138" s="1"/>
      <c r="F4138" s="39">
        <f>E4138+F4114</f>
        <v>1</v>
      </c>
      <c r="G4138" s="395"/>
      <c r="H4138" s="395"/>
      <c r="J4138" s="42"/>
    </row>
    <row r="4139" spans="1:10" s="393" customFormat="1" x14ac:dyDescent="0.25">
      <c r="A4139" s="19" t="s">
        <v>32</v>
      </c>
      <c r="B4139" s="2">
        <v>44065</v>
      </c>
      <c r="C4139" s="1">
        <v>212</v>
      </c>
      <c r="D4139" s="39">
        <f t="shared" si="307"/>
        <v>6086</v>
      </c>
      <c r="E4139" s="1">
        <f>10+4</f>
        <v>14</v>
      </c>
      <c r="F4139" s="39">
        <f t="shared" si="308"/>
        <v>141</v>
      </c>
      <c r="G4139" s="395"/>
      <c r="H4139" s="395"/>
      <c r="J4139" s="42"/>
    </row>
    <row r="4140" spans="1:10" s="393" customFormat="1" x14ac:dyDescent="0.25">
      <c r="A4140" s="19" t="s">
        <v>33</v>
      </c>
      <c r="B4140" s="2">
        <v>44065</v>
      </c>
      <c r="C4140" s="1">
        <v>4</v>
      </c>
      <c r="D4140" s="39">
        <f t="shared" si="307"/>
        <v>191</v>
      </c>
      <c r="E4140" s="1"/>
      <c r="F4140" s="39">
        <f t="shared" si="308"/>
        <v>1</v>
      </c>
      <c r="G4140" s="395"/>
      <c r="H4140" s="395"/>
      <c r="J4140" s="42"/>
    </row>
    <row r="4141" spans="1:10" s="393" customFormat="1" x14ac:dyDescent="0.25">
      <c r="A4141" s="19" t="s">
        <v>21</v>
      </c>
      <c r="B4141" s="2">
        <v>44065</v>
      </c>
      <c r="C4141" s="1">
        <v>28</v>
      </c>
      <c r="D4141" s="39">
        <f t="shared" si="307"/>
        <v>1006</v>
      </c>
      <c r="E4141" s="1"/>
      <c r="F4141" s="39">
        <f t="shared" si="308"/>
        <v>1</v>
      </c>
      <c r="G4141" s="395"/>
      <c r="H4141" s="395"/>
      <c r="J4141" s="42"/>
    </row>
    <row r="4142" spans="1:10" s="393" customFormat="1" x14ac:dyDescent="0.25">
      <c r="A4142" s="19" t="s">
        <v>17</v>
      </c>
      <c r="B4142" s="2">
        <v>44065</v>
      </c>
      <c r="C4142" s="1">
        <v>245</v>
      </c>
      <c r="D4142" s="39">
        <f t="shared" si="307"/>
        <v>4497</v>
      </c>
      <c r="E4142" s="1">
        <f>1+2</f>
        <v>3</v>
      </c>
      <c r="F4142" s="39">
        <f t="shared" si="308"/>
        <v>52</v>
      </c>
      <c r="G4142" s="395"/>
      <c r="H4142" s="395"/>
      <c r="J4142" s="42"/>
    </row>
    <row r="4143" spans="1:10" s="393" customFormat="1" x14ac:dyDescent="0.25">
      <c r="A4143" s="19" t="s">
        <v>23</v>
      </c>
      <c r="B4143" s="2">
        <v>44065</v>
      </c>
      <c r="C4143" s="1">
        <v>1</v>
      </c>
      <c r="D4143" s="39">
        <f t="shared" si="307"/>
        <v>59</v>
      </c>
      <c r="E4143" s="1"/>
      <c r="F4143" s="39">
        <f t="shared" si="308"/>
        <v>2</v>
      </c>
      <c r="G4143" s="395"/>
      <c r="H4143" s="395"/>
      <c r="J4143" s="42"/>
    </row>
    <row r="4144" spans="1:10" s="393" customFormat="1" x14ac:dyDescent="0.25">
      <c r="A4144" s="19" t="s">
        <v>19</v>
      </c>
      <c r="B4144" s="2">
        <v>44065</v>
      </c>
      <c r="C4144" s="1">
        <v>103</v>
      </c>
      <c r="D4144" s="39">
        <f t="shared" si="307"/>
        <v>2170</v>
      </c>
      <c r="E4144" s="1"/>
      <c r="F4144" s="39">
        <f t="shared" si="308"/>
        <v>11</v>
      </c>
      <c r="G4144" s="395"/>
      <c r="H4144" s="395"/>
      <c r="J4144" s="42"/>
    </row>
    <row r="4145" spans="1:10" s="393" customFormat="1" x14ac:dyDescent="0.25">
      <c r="A4145" s="19" t="s">
        <v>18</v>
      </c>
      <c r="B4145" s="2">
        <v>44065</v>
      </c>
      <c r="C4145" s="1">
        <v>118</v>
      </c>
      <c r="D4145" s="39">
        <f t="shared" si="307"/>
        <v>4584</v>
      </c>
      <c r="E4145" s="1">
        <f>1+1</f>
        <v>2</v>
      </c>
      <c r="F4145" s="39">
        <f t="shared" si="308"/>
        <v>44</v>
      </c>
      <c r="G4145" s="395"/>
      <c r="H4145" s="395"/>
      <c r="J4145" s="42"/>
    </row>
    <row r="4146" spans="1:10" s="393" customFormat="1" x14ac:dyDescent="0.25">
      <c r="A4146" s="19" t="s">
        <v>34</v>
      </c>
      <c r="B4146" s="2">
        <v>44065</v>
      </c>
      <c r="C4146" s="1">
        <v>150</v>
      </c>
      <c r="D4146" s="39">
        <f>C4146+D4122</f>
        <v>1740</v>
      </c>
      <c r="E4146" s="1">
        <f>2+1</f>
        <v>3</v>
      </c>
      <c r="F4146" s="39">
        <f>E4146+F4122</f>
        <v>28</v>
      </c>
      <c r="G4146" s="395"/>
      <c r="H4146" s="395"/>
      <c r="J4146" s="42"/>
    </row>
    <row r="4147" spans="1:10" s="393" customFormat="1" x14ac:dyDescent="0.25">
      <c r="A4147" s="19" t="s">
        <v>35</v>
      </c>
      <c r="B4147" s="2">
        <v>44065</v>
      </c>
      <c r="C4147" s="1">
        <v>3</v>
      </c>
      <c r="D4147" s="39">
        <f t="shared" ref="D4147:D4153" si="309">C4147+D4123</f>
        <v>39</v>
      </c>
      <c r="E4147" s="1"/>
      <c r="F4147" s="39">
        <f>E4147+F4123</f>
        <v>0</v>
      </c>
      <c r="G4147" s="395"/>
      <c r="H4147" s="395"/>
      <c r="J4147" s="42"/>
    </row>
    <row r="4148" spans="1:10" s="393" customFormat="1" x14ac:dyDescent="0.25">
      <c r="A4148" s="19" t="s">
        <v>36</v>
      </c>
      <c r="B4148" s="2">
        <v>44065</v>
      </c>
      <c r="C4148" s="1">
        <v>2</v>
      </c>
      <c r="D4148" s="39">
        <f t="shared" si="309"/>
        <v>41</v>
      </c>
      <c r="E4148" s="1"/>
      <c r="F4148" s="39">
        <f t="shared" si="308"/>
        <v>0</v>
      </c>
      <c r="G4148" s="395"/>
      <c r="H4148" s="395"/>
      <c r="J4148" s="42"/>
    </row>
    <row r="4149" spans="1:10" s="393" customFormat="1" x14ac:dyDescent="0.25">
      <c r="A4149" s="19" t="s">
        <v>37</v>
      </c>
      <c r="B4149" s="2">
        <v>44065</v>
      </c>
      <c r="C4149" s="1">
        <v>47</v>
      </c>
      <c r="D4149" s="39">
        <f t="shared" si="309"/>
        <v>1293</v>
      </c>
      <c r="E4149" s="1"/>
      <c r="F4149" s="39">
        <f t="shared" ref="F4149:F4154" si="310">E4149+F4125</f>
        <v>9</v>
      </c>
      <c r="G4149" s="395"/>
      <c r="H4149" s="395"/>
      <c r="J4149" s="42"/>
    </row>
    <row r="4150" spans="1:10" s="393" customFormat="1" x14ac:dyDescent="0.25">
      <c r="A4150" s="19" t="s">
        <v>22</v>
      </c>
      <c r="B4150" s="2">
        <v>44065</v>
      </c>
      <c r="C4150" s="1">
        <v>294</v>
      </c>
      <c r="D4150" s="39">
        <f t="shared" si="309"/>
        <v>4609</v>
      </c>
      <c r="E4150" s="1">
        <f>2+2</f>
        <v>4</v>
      </c>
      <c r="F4150" s="39">
        <f t="shared" si="310"/>
        <v>49</v>
      </c>
      <c r="G4150" s="395"/>
      <c r="H4150" s="395"/>
      <c r="J4150" s="42"/>
    </row>
    <row r="4151" spans="1:10" s="393" customFormat="1" x14ac:dyDescent="0.25">
      <c r="A4151" s="19" t="s">
        <v>38</v>
      </c>
      <c r="B4151" s="2">
        <v>44065</v>
      </c>
      <c r="C4151" s="1">
        <v>34</v>
      </c>
      <c r="D4151" s="39">
        <f t="shared" si="309"/>
        <v>489</v>
      </c>
      <c r="E4151" s="1"/>
      <c r="F4151" s="39">
        <f t="shared" si="310"/>
        <v>2</v>
      </c>
      <c r="G4151" s="395"/>
      <c r="H4151" s="395"/>
      <c r="J4151" s="42"/>
    </row>
    <row r="4152" spans="1:10" s="393" customFormat="1" x14ac:dyDescent="0.25">
      <c r="A4152" s="19" t="s">
        <v>39</v>
      </c>
      <c r="B4152" s="2">
        <v>44065</v>
      </c>
      <c r="C4152" s="1">
        <v>34</v>
      </c>
      <c r="D4152" s="39">
        <f t="shared" si="309"/>
        <v>1670</v>
      </c>
      <c r="E4152" s="1"/>
      <c r="F4152" s="39">
        <f t="shared" si="310"/>
        <v>19</v>
      </c>
      <c r="G4152" s="395"/>
      <c r="H4152" s="395"/>
      <c r="J4152" s="42"/>
    </row>
    <row r="4153" spans="1:10" s="393" customFormat="1" x14ac:dyDescent="0.25">
      <c r="A4153" s="19" t="s">
        <v>40</v>
      </c>
      <c r="B4153" s="2">
        <v>44065</v>
      </c>
      <c r="C4153" s="1">
        <v>72</v>
      </c>
      <c r="D4153" s="39">
        <f t="shared" si="309"/>
        <v>976</v>
      </c>
      <c r="E4153" s="1"/>
      <c r="F4153" s="39">
        <f t="shared" si="310"/>
        <v>6</v>
      </c>
      <c r="G4153" s="395"/>
      <c r="H4153" s="395"/>
      <c r="J4153" s="42"/>
    </row>
    <row r="4154" spans="1:10" s="393" customFormat="1" x14ac:dyDescent="0.25">
      <c r="A4154" s="394" t="s">
        <v>16</v>
      </c>
      <c r="B4154" s="2">
        <v>44066</v>
      </c>
      <c r="C4154" s="1">
        <v>2829</v>
      </c>
      <c r="D4154" s="39">
        <f>C4154+D4130</f>
        <v>212736</v>
      </c>
      <c r="E4154" s="1">
        <v>100</v>
      </c>
      <c r="F4154" s="39">
        <f t="shared" si="310"/>
        <v>4092</v>
      </c>
      <c r="G4154" s="395"/>
      <c r="H4154" s="395"/>
      <c r="J4154" s="42"/>
    </row>
    <row r="4155" spans="1:10" s="393" customFormat="1" x14ac:dyDescent="0.25">
      <c r="A4155" s="19" t="s">
        <v>43</v>
      </c>
      <c r="B4155" s="2">
        <v>44066</v>
      </c>
      <c r="C4155" s="1">
        <v>1020</v>
      </c>
      <c r="D4155" s="39">
        <f t="shared" ref="D4155:D4167" si="311">C4155+D4131</f>
        <v>84925</v>
      </c>
      <c r="E4155" s="1">
        <f>5+3</f>
        <v>8</v>
      </c>
      <c r="F4155" s="39">
        <f t="shared" si="308"/>
        <v>1947</v>
      </c>
      <c r="G4155" s="395"/>
      <c r="H4155" s="395"/>
      <c r="J4155" s="42"/>
    </row>
    <row r="4156" spans="1:10" s="393" customFormat="1" x14ac:dyDescent="0.25">
      <c r="A4156" s="19" t="s">
        <v>28</v>
      </c>
      <c r="B4156" s="2">
        <v>44066</v>
      </c>
      <c r="C4156" s="1">
        <v>-1</v>
      </c>
      <c r="D4156" s="39">
        <f t="shared" si="311"/>
        <v>63</v>
      </c>
      <c r="E4156" s="1"/>
      <c r="F4156" s="39">
        <f t="shared" si="308"/>
        <v>0</v>
      </c>
      <c r="G4156" s="395"/>
      <c r="H4156" s="395"/>
      <c r="J4156" s="42"/>
    </row>
    <row r="4157" spans="1:10" s="393" customFormat="1" x14ac:dyDescent="0.25">
      <c r="A4157" s="19" t="s">
        <v>15</v>
      </c>
      <c r="B4157" s="2">
        <v>44066</v>
      </c>
      <c r="C4157" s="1">
        <v>27</v>
      </c>
      <c r="D4157" s="39">
        <f t="shared" si="311"/>
        <v>4861</v>
      </c>
      <c r="E4157" s="1"/>
      <c r="F4157" s="39">
        <f t="shared" si="308"/>
        <v>192</v>
      </c>
      <c r="G4157" s="395"/>
      <c r="H4157" s="395"/>
      <c r="J4157" s="42"/>
    </row>
    <row r="4158" spans="1:10" s="393" customFormat="1" x14ac:dyDescent="0.25">
      <c r="A4158" s="19" t="s">
        <v>29</v>
      </c>
      <c r="B4158" s="2">
        <v>44066</v>
      </c>
      <c r="C4158" s="1">
        <v>24</v>
      </c>
      <c r="D4158" s="39">
        <f t="shared" si="311"/>
        <v>534</v>
      </c>
      <c r="E4158" s="1"/>
      <c r="F4158" s="39">
        <f t="shared" si="308"/>
        <v>7</v>
      </c>
      <c r="G4158" s="395"/>
      <c r="H4158" s="395"/>
      <c r="J4158" s="42"/>
    </row>
    <row r="4159" spans="1:10" s="393" customFormat="1" x14ac:dyDescent="0.25">
      <c r="A4159" s="19" t="s">
        <v>20</v>
      </c>
      <c r="B4159" s="2">
        <v>44066</v>
      </c>
      <c r="C4159" s="1">
        <v>233</v>
      </c>
      <c r="D4159" s="39">
        <f t="shared" si="311"/>
        <v>5906</v>
      </c>
      <c r="E4159" s="1">
        <f>2</f>
        <v>2</v>
      </c>
      <c r="F4159" s="39">
        <f t="shared" si="308"/>
        <v>97</v>
      </c>
      <c r="G4159" s="395"/>
      <c r="H4159" s="395"/>
      <c r="J4159" s="42"/>
    </row>
    <row r="4160" spans="1:10" s="393" customFormat="1" x14ac:dyDescent="0.25">
      <c r="A4160" s="19" t="s">
        <v>30</v>
      </c>
      <c r="B4160" s="2">
        <v>44066</v>
      </c>
      <c r="C4160" s="1">
        <v>5</v>
      </c>
      <c r="D4160" s="39">
        <f t="shared" si="311"/>
        <v>252</v>
      </c>
      <c r="E4160" s="1">
        <f>1</f>
        <v>1</v>
      </c>
      <c r="F4160" s="39">
        <f>E4160+F4136</f>
        <v>4</v>
      </c>
      <c r="G4160" s="395"/>
      <c r="H4160" s="395"/>
      <c r="J4160" s="42"/>
    </row>
    <row r="4161" spans="1:10" x14ac:dyDescent="0.25">
      <c r="A4161" s="19" t="s">
        <v>31</v>
      </c>
      <c r="B4161" s="2">
        <v>44066</v>
      </c>
      <c r="C4161" s="1">
        <v>126</v>
      </c>
      <c r="D4161" s="39">
        <f t="shared" si="311"/>
        <v>2258</v>
      </c>
      <c r="F4161" s="39">
        <f t="shared" si="308"/>
        <v>29</v>
      </c>
    </row>
    <row r="4162" spans="1:10" s="393" customFormat="1" x14ac:dyDescent="0.25">
      <c r="A4162" s="19" t="s">
        <v>41</v>
      </c>
      <c r="B4162" s="2">
        <v>44066</v>
      </c>
      <c r="C4162" s="1">
        <v>2</v>
      </c>
      <c r="D4162" s="39">
        <f t="shared" si="311"/>
        <v>82</v>
      </c>
      <c r="E4162" s="1"/>
      <c r="F4162" s="39">
        <f>E4162+F4138</f>
        <v>1</v>
      </c>
      <c r="G4162" s="395"/>
      <c r="H4162" s="395"/>
      <c r="J4162" s="42"/>
    </row>
    <row r="4163" spans="1:10" s="393" customFormat="1" x14ac:dyDescent="0.25">
      <c r="A4163" s="19" t="s">
        <v>32</v>
      </c>
      <c r="B4163" s="2">
        <v>44066</v>
      </c>
      <c r="C4163" s="1">
        <v>185</v>
      </c>
      <c r="D4163" s="39">
        <f t="shared" si="311"/>
        <v>6271</v>
      </c>
      <c r="E4163" s="1"/>
      <c r="F4163" s="39">
        <f t="shared" si="308"/>
        <v>141</v>
      </c>
      <c r="G4163" s="395"/>
      <c r="H4163" s="395"/>
      <c r="J4163" s="42"/>
    </row>
    <row r="4164" spans="1:10" s="393" customFormat="1" x14ac:dyDescent="0.25">
      <c r="A4164" s="19" t="s">
        <v>33</v>
      </c>
      <c r="B4164" s="2">
        <v>44066</v>
      </c>
      <c r="C4164" s="1">
        <v>4</v>
      </c>
      <c r="D4164" s="39">
        <f t="shared" si="311"/>
        <v>195</v>
      </c>
      <c r="E4164" s="1"/>
      <c r="F4164" s="39">
        <f t="shared" si="308"/>
        <v>1</v>
      </c>
      <c r="G4164" s="395"/>
      <c r="H4164" s="395"/>
      <c r="J4164" s="42"/>
    </row>
    <row r="4165" spans="1:10" s="393" customFormat="1" x14ac:dyDescent="0.25">
      <c r="A4165" s="19" t="s">
        <v>21</v>
      </c>
      <c r="B4165" s="2">
        <v>44066</v>
      </c>
      <c r="C4165" s="1">
        <v>34</v>
      </c>
      <c r="D4165" s="39">
        <f t="shared" si="311"/>
        <v>1040</v>
      </c>
      <c r="E4165" s="1">
        <f>9+1</f>
        <v>10</v>
      </c>
      <c r="F4165" s="39">
        <f t="shared" si="308"/>
        <v>11</v>
      </c>
      <c r="G4165" s="395"/>
      <c r="H4165" s="395"/>
      <c r="J4165" s="42"/>
    </row>
    <row r="4166" spans="1:10" s="393" customFormat="1" x14ac:dyDescent="0.25">
      <c r="A4166" s="19" t="s">
        <v>17</v>
      </c>
      <c r="B4166" s="2">
        <v>44066</v>
      </c>
      <c r="C4166" s="1">
        <v>140</v>
      </c>
      <c r="D4166" s="39">
        <f t="shared" si="311"/>
        <v>4637</v>
      </c>
      <c r="E4166" s="1">
        <f>1+2</f>
        <v>3</v>
      </c>
      <c r="F4166" s="39">
        <f t="shared" si="308"/>
        <v>55</v>
      </c>
      <c r="G4166" s="395"/>
      <c r="H4166" s="395"/>
      <c r="J4166" s="42"/>
    </row>
    <row r="4167" spans="1:10" s="393" customFormat="1" x14ac:dyDescent="0.25">
      <c r="A4167" s="19" t="s">
        <v>23</v>
      </c>
      <c r="B4167" s="2">
        <v>44066</v>
      </c>
      <c r="C4167" s="1">
        <v>-3</v>
      </c>
      <c r="D4167" s="39">
        <f t="shared" si="311"/>
        <v>56</v>
      </c>
      <c r="E4167" s="1"/>
      <c r="F4167" s="39">
        <f t="shared" si="308"/>
        <v>2</v>
      </c>
      <c r="G4167" s="395"/>
      <c r="H4167" s="395"/>
      <c r="J4167" s="42"/>
    </row>
    <row r="4168" spans="1:10" s="393" customFormat="1" x14ac:dyDescent="0.25">
      <c r="A4168" s="19" t="s">
        <v>19</v>
      </c>
      <c r="B4168" s="2">
        <v>44066</v>
      </c>
      <c r="C4168" s="10">
        <v>108</v>
      </c>
      <c r="D4168" s="39">
        <f>C4168+D4144</f>
        <v>2278</v>
      </c>
      <c r="E4168" s="1"/>
      <c r="F4168" s="39">
        <f t="shared" si="308"/>
        <v>11</v>
      </c>
      <c r="G4168" s="395"/>
      <c r="H4168" s="395"/>
      <c r="J4168" s="42"/>
    </row>
    <row r="4169" spans="1:10" s="393" customFormat="1" x14ac:dyDescent="0.25">
      <c r="A4169" s="19" t="s">
        <v>18</v>
      </c>
      <c r="B4169" s="2">
        <v>44066</v>
      </c>
      <c r="C4169" s="1">
        <v>119</v>
      </c>
      <c r="D4169" s="39">
        <f>C4169+D4145</f>
        <v>4703</v>
      </c>
      <c r="E4169" s="1">
        <f>4</f>
        <v>4</v>
      </c>
      <c r="F4169" s="39">
        <f t="shared" si="308"/>
        <v>48</v>
      </c>
      <c r="G4169" s="395"/>
      <c r="H4169" s="395"/>
      <c r="J4169" s="42"/>
    </row>
    <row r="4170" spans="1:10" s="393" customFormat="1" x14ac:dyDescent="0.25">
      <c r="A4170" s="19" t="s">
        <v>34</v>
      </c>
      <c r="B4170" s="2">
        <v>44066</v>
      </c>
      <c r="C4170" s="1">
        <v>97</v>
      </c>
      <c r="D4170" s="39">
        <f>C4170+D4146</f>
        <v>1837</v>
      </c>
      <c r="E4170" s="1">
        <f>1</f>
        <v>1</v>
      </c>
      <c r="F4170" s="39">
        <f>E4170+F4146</f>
        <v>29</v>
      </c>
      <c r="G4170" s="395"/>
      <c r="H4170" s="395"/>
      <c r="J4170" s="42"/>
    </row>
    <row r="4171" spans="1:10" s="393" customFormat="1" x14ac:dyDescent="0.25">
      <c r="A4171" s="19" t="s">
        <v>35</v>
      </c>
      <c r="B4171" s="2">
        <v>44066</v>
      </c>
      <c r="C4171" s="1">
        <v>19</v>
      </c>
      <c r="D4171" s="39">
        <f t="shared" ref="D4171:D4177" si="312">C4171+D4147</f>
        <v>58</v>
      </c>
      <c r="E4171" s="1"/>
      <c r="F4171" s="39">
        <f>E4171+F4147</f>
        <v>0</v>
      </c>
      <c r="G4171" s="395"/>
      <c r="H4171" s="395"/>
      <c r="J4171" s="42"/>
    </row>
    <row r="4172" spans="1:10" s="393" customFormat="1" x14ac:dyDescent="0.25">
      <c r="A4172" s="19" t="s">
        <v>36</v>
      </c>
      <c r="B4172" s="2">
        <v>44066</v>
      </c>
      <c r="C4172" s="1">
        <v>2</v>
      </c>
      <c r="D4172" s="39">
        <f t="shared" si="312"/>
        <v>43</v>
      </c>
      <c r="E4172" s="1"/>
      <c r="F4172" s="39">
        <f>E4172+F4148</f>
        <v>0</v>
      </c>
      <c r="G4172" s="395"/>
      <c r="H4172" s="395"/>
      <c r="J4172" s="42"/>
    </row>
    <row r="4173" spans="1:10" s="393" customFormat="1" x14ac:dyDescent="0.25">
      <c r="A4173" s="19" t="s">
        <v>37</v>
      </c>
      <c r="B4173" s="2">
        <v>44066</v>
      </c>
      <c r="C4173" s="1">
        <v>41</v>
      </c>
      <c r="D4173" s="39">
        <f t="shared" si="312"/>
        <v>1334</v>
      </c>
      <c r="E4173" s="1"/>
      <c r="F4173" s="39">
        <f t="shared" ref="F4173:F4178" si="313">E4173+F4149</f>
        <v>9</v>
      </c>
      <c r="G4173" s="395"/>
      <c r="H4173" s="395"/>
      <c r="J4173" s="42"/>
    </row>
    <row r="4174" spans="1:10" s="393" customFormat="1" x14ac:dyDescent="0.25">
      <c r="A4174" s="19" t="s">
        <v>22</v>
      </c>
      <c r="B4174" s="2">
        <v>44066</v>
      </c>
      <c r="C4174" s="1">
        <v>208</v>
      </c>
      <c r="D4174" s="39">
        <f t="shared" si="312"/>
        <v>4817</v>
      </c>
      <c r="E4174" s="1">
        <f>2+1</f>
        <v>3</v>
      </c>
      <c r="F4174" s="39">
        <f t="shared" si="313"/>
        <v>52</v>
      </c>
      <c r="G4174" s="395"/>
      <c r="H4174" s="395"/>
      <c r="J4174" s="42"/>
    </row>
    <row r="4175" spans="1:10" s="393" customFormat="1" x14ac:dyDescent="0.25">
      <c r="A4175" s="19" t="s">
        <v>38</v>
      </c>
      <c r="B4175" s="2">
        <v>44066</v>
      </c>
      <c r="C4175" s="1">
        <v>28</v>
      </c>
      <c r="D4175" s="39">
        <f t="shared" si="312"/>
        <v>517</v>
      </c>
      <c r="E4175" s="1"/>
      <c r="F4175" s="39">
        <f t="shared" si="313"/>
        <v>2</v>
      </c>
      <c r="G4175" s="395"/>
      <c r="H4175" s="395"/>
      <c r="J4175" s="42"/>
    </row>
    <row r="4176" spans="1:10" s="393" customFormat="1" x14ac:dyDescent="0.25">
      <c r="A4176" s="19" t="s">
        <v>39</v>
      </c>
      <c r="B4176" s="2">
        <v>44066</v>
      </c>
      <c r="C4176" s="1">
        <v>28</v>
      </c>
      <c r="D4176" s="39">
        <f t="shared" si="312"/>
        <v>1698</v>
      </c>
      <c r="E4176" s="1">
        <f>1</f>
        <v>1</v>
      </c>
      <c r="F4176" s="39">
        <f t="shared" si="313"/>
        <v>20</v>
      </c>
      <c r="G4176" s="395"/>
      <c r="H4176" s="395"/>
      <c r="J4176" s="42"/>
    </row>
    <row r="4177" spans="1:10" s="393" customFormat="1" x14ac:dyDescent="0.25">
      <c r="A4177" s="19" t="s">
        <v>40</v>
      </c>
      <c r="B4177" s="2">
        <v>44066</v>
      </c>
      <c r="C4177" s="1">
        <v>77</v>
      </c>
      <c r="D4177" s="39">
        <f t="shared" si="312"/>
        <v>1053</v>
      </c>
      <c r="E4177" s="1"/>
      <c r="F4177" s="39">
        <f t="shared" si="313"/>
        <v>6</v>
      </c>
      <c r="G4177" s="395"/>
      <c r="H4177" s="395"/>
      <c r="J4177" s="42"/>
    </row>
    <row r="4178" spans="1:10" s="393" customFormat="1" x14ac:dyDescent="0.25">
      <c r="A4178" s="394" t="s">
        <v>16</v>
      </c>
      <c r="B4178" s="2">
        <v>44067</v>
      </c>
      <c r="C4178" s="1">
        <v>5656</v>
      </c>
      <c r="D4178" s="39">
        <f>C4178+D4154</f>
        <v>218392</v>
      </c>
      <c r="E4178" s="1">
        <v>270</v>
      </c>
      <c r="F4178" s="39">
        <f t="shared" si="313"/>
        <v>4362</v>
      </c>
      <c r="G4178" s="395"/>
      <c r="H4178" s="395"/>
      <c r="J4178" s="42"/>
    </row>
    <row r="4179" spans="1:10" s="393" customFormat="1" x14ac:dyDescent="0.25">
      <c r="A4179" s="19" t="s">
        <v>43</v>
      </c>
      <c r="B4179" s="2">
        <v>44067</v>
      </c>
      <c r="C4179" s="1">
        <v>1333</v>
      </c>
      <c r="D4179" s="39">
        <f t="shared" ref="D4179:D4191" si="314">C4179+D4155</f>
        <v>86258</v>
      </c>
      <c r="E4179" s="1">
        <f>3+5+22+22</f>
        <v>52</v>
      </c>
      <c r="F4179" s="39">
        <f t="shared" ref="F4179:F4217" si="315">E4179+F4155</f>
        <v>1999</v>
      </c>
      <c r="G4179" s="395"/>
      <c r="H4179" s="395"/>
      <c r="J4179" s="42"/>
    </row>
    <row r="4180" spans="1:10" s="393" customFormat="1" x14ac:dyDescent="0.25">
      <c r="A4180" s="19" t="s">
        <v>28</v>
      </c>
      <c r="B4180" s="2">
        <v>44067</v>
      </c>
      <c r="C4180" s="1">
        <v>1</v>
      </c>
      <c r="D4180" s="39">
        <f t="shared" si="314"/>
        <v>64</v>
      </c>
      <c r="E4180" s="1"/>
      <c r="F4180" s="39">
        <f t="shared" si="315"/>
        <v>0</v>
      </c>
      <c r="G4180" s="395"/>
      <c r="H4180" s="395"/>
      <c r="J4180" s="42"/>
    </row>
    <row r="4181" spans="1:10" s="393" customFormat="1" x14ac:dyDescent="0.25">
      <c r="A4181" s="19" t="s">
        <v>15</v>
      </c>
      <c r="B4181" s="2">
        <v>44067</v>
      </c>
      <c r="C4181" s="1">
        <v>53</v>
      </c>
      <c r="D4181" s="39">
        <f t="shared" si="314"/>
        <v>4914</v>
      </c>
      <c r="E4181" s="1">
        <f>1+2+1</f>
        <v>4</v>
      </c>
      <c r="F4181" s="39">
        <f t="shared" si="315"/>
        <v>196</v>
      </c>
      <c r="G4181" s="395"/>
      <c r="H4181" s="395"/>
      <c r="J4181" s="42"/>
    </row>
    <row r="4182" spans="1:10" s="393" customFormat="1" x14ac:dyDescent="0.25">
      <c r="A4182" s="19" t="s">
        <v>29</v>
      </c>
      <c r="B4182" s="2">
        <v>44067</v>
      </c>
      <c r="C4182" s="1">
        <v>12</v>
      </c>
      <c r="D4182" s="39">
        <f t="shared" si="314"/>
        <v>546</v>
      </c>
      <c r="E4182" s="1"/>
      <c r="F4182" s="39">
        <f t="shared" si="315"/>
        <v>7</v>
      </c>
      <c r="G4182" s="395"/>
      <c r="H4182" s="395"/>
      <c r="J4182" s="42"/>
    </row>
    <row r="4183" spans="1:10" s="393" customFormat="1" x14ac:dyDescent="0.25">
      <c r="A4183" s="19" t="s">
        <v>20</v>
      </c>
      <c r="B4183" s="2">
        <v>44067</v>
      </c>
      <c r="C4183" s="1">
        <v>208</v>
      </c>
      <c r="D4183" s="39">
        <f t="shared" si="314"/>
        <v>6114</v>
      </c>
      <c r="E4183" s="1">
        <f>3+1</f>
        <v>4</v>
      </c>
      <c r="F4183" s="39">
        <f t="shared" si="315"/>
        <v>101</v>
      </c>
      <c r="G4183" s="395"/>
      <c r="H4183" s="395"/>
      <c r="J4183" s="42"/>
    </row>
    <row r="4184" spans="1:10" s="393" customFormat="1" x14ac:dyDescent="0.25">
      <c r="A4184" s="19" t="s">
        <v>30</v>
      </c>
      <c r="B4184" s="2">
        <v>44067</v>
      </c>
      <c r="C4184" s="1">
        <v>7</v>
      </c>
      <c r="D4184" s="39">
        <f t="shared" si="314"/>
        <v>259</v>
      </c>
      <c r="E4184" s="1">
        <f>1</f>
        <v>1</v>
      </c>
      <c r="F4184" s="39">
        <f t="shared" si="315"/>
        <v>5</v>
      </c>
      <c r="G4184" s="395"/>
      <c r="H4184" s="395"/>
      <c r="J4184" s="42"/>
    </row>
    <row r="4185" spans="1:10" x14ac:dyDescent="0.25">
      <c r="A4185" s="19" t="s">
        <v>31</v>
      </c>
      <c r="B4185" s="2">
        <v>44067</v>
      </c>
      <c r="C4185" s="1">
        <v>124</v>
      </c>
      <c r="D4185" s="39">
        <f t="shared" si="314"/>
        <v>2382</v>
      </c>
      <c r="F4185" s="39">
        <f t="shared" si="315"/>
        <v>29</v>
      </c>
    </row>
    <row r="4186" spans="1:10" s="393" customFormat="1" x14ac:dyDescent="0.25">
      <c r="A4186" s="19" t="s">
        <v>41</v>
      </c>
      <c r="B4186" s="2">
        <v>44067</v>
      </c>
      <c r="C4186" s="1">
        <v>2</v>
      </c>
      <c r="D4186" s="39">
        <f t="shared" si="314"/>
        <v>84</v>
      </c>
      <c r="E4186" s="1"/>
      <c r="F4186" s="39">
        <f>E4186+F4162</f>
        <v>1</v>
      </c>
      <c r="G4186" s="395"/>
      <c r="H4186" s="395"/>
      <c r="J4186" s="42"/>
    </row>
    <row r="4187" spans="1:10" s="393" customFormat="1" x14ac:dyDescent="0.25">
      <c r="A4187" s="19" t="s">
        <v>32</v>
      </c>
      <c r="B4187" s="2">
        <v>44067</v>
      </c>
      <c r="C4187" s="1">
        <v>352</v>
      </c>
      <c r="D4187" s="39">
        <f t="shared" si="314"/>
        <v>6623</v>
      </c>
      <c r="E4187" s="1">
        <f>1+2+4+5</f>
        <v>12</v>
      </c>
      <c r="F4187" s="39">
        <f t="shared" si="315"/>
        <v>153</v>
      </c>
      <c r="G4187" s="395"/>
      <c r="H4187" s="395"/>
      <c r="J4187" s="42"/>
    </row>
    <row r="4188" spans="1:10" s="393" customFormat="1" x14ac:dyDescent="0.25">
      <c r="A4188" s="19" t="s">
        <v>33</v>
      </c>
      <c r="B4188" s="2">
        <v>44067</v>
      </c>
      <c r="C4188" s="1">
        <v>-2</v>
      </c>
      <c r="D4188" s="39">
        <f t="shared" si="314"/>
        <v>193</v>
      </c>
      <c r="E4188" s="1"/>
      <c r="F4188" s="39">
        <f t="shared" si="315"/>
        <v>1</v>
      </c>
      <c r="G4188" s="395"/>
      <c r="H4188" s="395"/>
      <c r="J4188" s="42"/>
    </row>
    <row r="4189" spans="1:10" s="393" customFormat="1" x14ac:dyDescent="0.25">
      <c r="A4189" s="19" t="s">
        <v>21</v>
      </c>
      <c r="B4189" s="2">
        <v>44067</v>
      </c>
      <c r="C4189" s="1">
        <v>98</v>
      </c>
      <c r="D4189" s="39">
        <f t="shared" si="314"/>
        <v>1138</v>
      </c>
      <c r="E4189" s="1">
        <f>6+4</f>
        <v>10</v>
      </c>
      <c r="F4189" s="39">
        <f t="shared" si="315"/>
        <v>21</v>
      </c>
      <c r="G4189" s="395"/>
      <c r="H4189" s="395"/>
      <c r="J4189" s="42"/>
    </row>
    <row r="4190" spans="1:10" s="393" customFormat="1" x14ac:dyDescent="0.25">
      <c r="A4190" s="19" t="s">
        <v>17</v>
      </c>
      <c r="B4190" s="2">
        <v>44067</v>
      </c>
      <c r="C4190" s="1">
        <v>172</v>
      </c>
      <c r="D4190" s="39">
        <f t="shared" si="314"/>
        <v>4809</v>
      </c>
      <c r="E4190" s="1">
        <f>1+1+1</f>
        <v>3</v>
      </c>
      <c r="F4190" s="39">
        <f t="shared" si="315"/>
        <v>58</v>
      </c>
      <c r="G4190" s="395"/>
      <c r="H4190" s="395"/>
      <c r="J4190" s="42"/>
    </row>
    <row r="4191" spans="1:10" s="393" customFormat="1" x14ac:dyDescent="0.25">
      <c r="A4191" s="19" t="s">
        <v>23</v>
      </c>
      <c r="B4191" s="2">
        <v>44067</v>
      </c>
      <c r="C4191" s="1">
        <v>2</v>
      </c>
      <c r="D4191" s="39">
        <f t="shared" si="314"/>
        <v>58</v>
      </c>
      <c r="E4191" s="1"/>
      <c r="F4191" s="39">
        <f t="shared" si="315"/>
        <v>2</v>
      </c>
      <c r="G4191" s="395"/>
      <c r="H4191" s="395"/>
      <c r="J4191" s="42"/>
    </row>
    <row r="4192" spans="1:10" s="393" customFormat="1" x14ac:dyDescent="0.25">
      <c r="A4192" s="19" t="s">
        <v>19</v>
      </c>
      <c r="B4192" s="2">
        <v>44067</v>
      </c>
      <c r="C4192" s="1">
        <v>15</v>
      </c>
      <c r="D4192" s="39">
        <f>C4192+D4168</f>
        <v>2293</v>
      </c>
      <c r="E4192" s="1">
        <f>2</f>
        <v>2</v>
      </c>
      <c r="F4192" s="39">
        <f t="shared" si="315"/>
        <v>13</v>
      </c>
      <c r="G4192" s="395"/>
      <c r="H4192" s="395"/>
      <c r="J4192" s="42"/>
    </row>
    <row r="4193" spans="1:10" s="393" customFormat="1" x14ac:dyDescent="0.25">
      <c r="A4193" s="19" t="s">
        <v>18</v>
      </c>
      <c r="B4193" s="2">
        <v>44067</v>
      </c>
      <c r="C4193" s="1">
        <v>61</v>
      </c>
      <c r="D4193" s="39">
        <f>C4193+D4169</f>
        <v>4764</v>
      </c>
      <c r="E4193" s="1">
        <f>3+1</f>
        <v>4</v>
      </c>
      <c r="F4193" s="39">
        <f t="shared" si="315"/>
        <v>52</v>
      </c>
      <c r="G4193" s="395"/>
      <c r="H4193" s="395"/>
      <c r="J4193" s="42"/>
    </row>
    <row r="4194" spans="1:10" s="393" customFormat="1" x14ac:dyDescent="0.25">
      <c r="A4194" s="19" t="s">
        <v>34</v>
      </c>
      <c r="B4194" s="2">
        <v>44067</v>
      </c>
      <c r="C4194" s="1">
        <v>95</v>
      </c>
      <c r="D4194" s="39">
        <f>C4194+D4170</f>
        <v>1932</v>
      </c>
      <c r="E4194" s="1">
        <f>1</f>
        <v>1</v>
      </c>
      <c r="F4194" s="39">
        <f>E4194+F4170</f>
        <v>30</v>
      </c>
      <c r="G4194" s="395"/>
      <c r="H4194" s="395"/>
      <c r="J4194" s="42"/>
    </row>
    <row r="4195" spans="1:10" s="393" customFormat="1" x14ac:dyDescent="0.25">
      <c r="A4195" s="19" t="s">
        <v>35</v>
      </c>
      <c r="B4195" s="2">
        <v>44067</v>
      </c>
      <c r="C4195" s="1">
        <v>38</v>
      </c>
      <c r="D4195" s="39">
        <f t="shared" ref="D4195:D4201" si="316">C4195+D4171</f>
        <v>96</v>
      </c>
      <c r="E4195" s="1"/>
      <c r="F4195" s="39">
        <f>E4195+F4171</f>
        <v>0</v>
      </c>
      <c r="G4195" s="395"/>
      <c r="H4195" s="395"/>
      <c r="J4195" s="42"/>
    </row>
    <row r="4196" spans="1:10" s="393" customFormat="1" x14ac:dyDescent="0.25">
      <c r="A4196" s="19" t="s">
        <v>36</v>
      </c>
      <c r="B4196" s="2">
        <v>44067</v>
      </c>
      <c r="C4196" s="1">
        <v>-2</v>
      </c>
      <c r="D4196" s="39">
        <f t="shared" si="316"/>
        <v>41</v>
      </c>
      <c r="E4196" s="1"/>
      <c r="F4196" s="39">
        <f t="shared" si="315"/>
        <v>0</v>
      </c>
      <c r="G4196" s="395"/>
      <c r="H4196" s="395"/>
      <c r="J4196" s="42"/>
    </row>
    <row r="4197" spans="1:10" s="393" customFormat="1" x14ac:dyDescent="0.25">
      <c r="A4197" s="19" t="s">
        <v>37</v>
      </c>
      <c r="B4197" s="2">
        <v>44067</v>
      </c>
      <c r="C4197" s="1">
        <v>44</v>
      </c>
      <c r="D4197" s="39">
        <f t="shared" si="316"/>
        <v>1378</v>
      </c>
      <c r="E4197" s="1">
        <f>2</f>
        <v>2</v>
      </c>
      <c r="F4197" s="39">
        <f t="shared" ref="F4197:F4203" si="317">E4197+F4173</f>
        <v>11</v>
      </c>
      <c r="G4197" s="395"/>
      <c r="H4197" s="395"/>
      <c r="J4197" s="42"/>
    </row>
    <row r="4198" spans="1:10" s="393" customFormat="1" x14ac:dyDescent="0.25">
      <c r="A4198" s="19" t="s">
        <v>22</v>
      </c>
      <c r="B4198" s="2">
        <v>44067</v>
      </c>
      <c r="C4198" s="1">
        <v>209</v>
      </c>
      <c r="D4198" s="39">
        <f t="shared" si="316"/>
        <v>5026</v>
      </c>
      <c r="E4198" s="1">
        <f>5+2</f>
        <v>7</v>
      </c>
      <c r="F4198" s="39">
        <f t="shared" si="317"/>
        <v>59</v>
      </c>
      <c r="G4198" s="395"/>
      <c r="H4198" s="395"/>
      <c r="J4198" s="42"/>
    </row>
    <row r="4199" spans="1:10" s="393" customFormat="1" x14ac:dyDescent="0.25">
      <c r="A4199" s="19" t="s">
        <v>38</v>
      </c>
      <c r="B4199" s="2">
        <v>44067</v>
      </c>
      <c r="C4199" s="1">
        <v>66</v>
      </c>
      <c r="D4199" s="39">
        <f t="shared" si="316"/>
        <v>583</v>
      </c>
      <c r="E4199" s="1">
        <f>2</f>
        <v>2</v>
      </c>
      <c r="F4199" s="39">
        <f t="shared" si="317"/>
        <v>4</v>
      </c>
      <c r="G4199" s="395"/>
      <c r="H4199" s="395"/>
      <c r="J4199" s="42"/>
    </row>
    <row r="4200" spans="1:10" s="393" customFormat="1" x14ac:dyDescent="0.25">
      <c r="A4200" s="19" t="s">
        <v>39</v>
      </c>
      <c r="B4200" s="2">
        <v>44067</v>
      </c>
      <c r="C4200" s="1">
        <v>54</v>
      </c>
      <c r="D4200" s="39">
        <f t="shared" si="316"/>
        <v>1752</v>
      </c>
      <c r="E4200" s="1">
        <f>1</f>
        <v>1</v>
      </c>
      <c r="F4200" s="39">
        <f t="shared" si="317"/>
        <v>21</v>
      </c>
      <c r="G4200" s="395"/>
      <c r="H4200" s="395"/>
      <c r="J4200" s="42"/>
    </row>
    <row r="4201" spans="1:10" s="393" customFormat="1" x14ac:dyDescent="0.25">
      <c r="A4201" s="19" t="s">
        <v>40</v>
      </c>
      <c r="B4201" s="2">
        <v>44067</v>
      </c>
      <c r="C4201" s="1">
        <v>115</v>
      </c>
      <c r="D4201" s="39">
        <f t="shared" si="316"/>
        <v>1168</v>
      </c>
      <c r="E4201" s="1"/>
      <c r="F4201" s="39">
        <f t="shared" si="317"/>
        <v>6</v>
      </c>
      <c r="G4201" s="395"/>
      <c r="H4201" s="395"/>
      <c r="J4201" s="42"/>
    </row>
    <row r="4202" spans="1:10" s="393" customFormat="1" x14ac:dyDescent="0.25">
      <c r="A4202" s="394" t="s">
        <v>16</v>
      </c>
      <c r="B4202" s="2">
        <v>44068</v>
      </c>
      <c r="C4202" s="1">
        <v>5312</v>
      </c>
      <c r="D4202" s="39">
        <f>C4202+D4178</f>
        <v>223704</v>
      </c>
      <c r="E4202" s="1">
        <f>14+11+55+41</f>
        <v>121</v>
      </c>
      <c r="F4202" s="39">
        <f t="shared" si="317"/>
        <v>4483</v>
      </c>
      <c r="G4202" s="395"/>
      <c r="H4202" s="395"/>
      <c r="J4202" s="42"/>
    </row>
    <row r="4203" spans="1:10" s="393" customFormat="1" x14ac:dyDescent="0.25">
      <c r="A4203" s="19" t="s">
        <v>43</v>
      </c>
      <c r="B4203" s="2">
        <v>44068</v>
      </c>
      <c r="C4203" s="1">
        <v>1311</v>
      </c>
      <c r="D4203" s="39">
        <f t="shared" ref="D4203:D4215" si="318">C4203+D4179</f>
        <v>87569</v>
      </c>
      <c r="E4203" s="1">
        <f>3+14+16</f>
        <v>33</v>
      </c>
      <c r="F4203" s="39">
        <f t="shared" si="317"/>
        <v>2032</v>
      </c>
      <c r="G4203" s="395"/>
      <c r="H4203" s="395"/>
      <c r="J4203" s="42"/>
    </row>
    <row r="4204" spans="1:10" s="393" customFormat="1" x14ac:dyDescent="0.25">
      <c r="A4204" s="19" t="s">
        <v>28</v>
      </c>
      <c r="B4204" s="2">
        <v>44068</v>
      </c>
      <c r="C4204" s="1">
        <v>0</v>
      </c>
      <c r="D4204" s="39">
        <f t="shared" si="318"/>
        <v>64</v>
      </c>
      <c r="E4204" s="1"/>
      <c r="F4204" s="39">
        <f t="shared" si="315"/>
        <v>0</v>
      </c>
      <c r="G4204" s="395"/>
      <c r="H4204" s="395"/>
      <c r="J4204" s="42"/>
    </row>
    <row r="4205" spans="1:10" s="393" customFormat="1" x14ac:dyDescent="0.25">
      <c r="A4205" s="19" t="s">
        <v>15</v>
      </c>
      <c r="B4205" s="2">
        <v>44068</v>
      </c>
      <c r="C4205" s="1">
        <v>53</v>
      </c>
      <c r="D4205" s="39">
        <f t="shared" si="318"/>
        <v>4967</v>
      </c>
      <c r="E4205" s="1">
        <v>2</v>
      </c>
      <c r="F4205" s="39">
        <f t="shared" si="315"/>
        <v>198</v>
      </c>
      <c r="G4205" s="395"/>
      <c r="H4205" s="395"/>
      <c r="J4205" s="42"/>
    </row>
    <row r="4206" spans="1:10" s="393" customFormat="1" x14ac:dyDescent="0.25">
      <c r="A4206" s="19" t="s">
        <v>29</v>
      </c>
      <c r="B4206" s="2">
        <v>44068</v>
      </c>
      <c r="C4206" s="1">
        <v>35</v>
      </c>
      <c r="D4206" s="39">
        <f t="shared" si="318"/>
        <v>581</v>
      </c>
      <c r="E4206" s="1"/>
      <c r="F4206" s="39">
        <f t="shared" si="315"/>
        <v>7</v>
      </c>
      <c r="G4206" s="395"/>
      <c r="H4206" s="395"/>
      <c r="J4206" s="42"/>
    </row>
    <row r="4207" spans="1:10" s="393" customFormat="1" x14ac:dyDescent="0.25">
      <c r="A4207" s="19" t="s">
        <v>20</v>
      </c>
      <c r="B4207" s="2">
        <v>44068</v>
      </c>
      <c r="C4207" s="1">
        <v>298</v>
      </c>
      <c r="D4207" s="39">
        <f t="shared" si="318"/>
        <v>6412</v>
      </c>
      <c r="E4207" s="1">
        <v>3</v>
      </c>
      <c r="F4207" s="39">
        <f t="shared" si="315"/>
        <v>104</v>
      </c>
      <c r="G4207" s="395"/>
      <c r="H4207" s="395"/>
      <c r="J4207" s="42"/>
    </row>
    <row r="4208" spans="1:10" s="393" customFormat="1" x14ac:dyDescent="0.25">
      <c r="A4208" s="19" t="s">
        <v>30</v>
      </c>
      <c r="B4208" s="2">
        <v>44068</v>
      </c>
      <c r="C4208" s="1">
        <v>1</v>
      </c>
      <c r="D4208" s="39">
        <f t="shared" si="318"/>
        <v>260</v>
      </c>
      <c r="E4208" s="1"/>
      <c r="F4208" s="39">
        <f t="shared" si="315"/>
        <v>5</v>
      </c>
      <c r="G4208" s="395"/>
      <c r="H4208" s="395"/>
      <c r="J4208" s="42"/>
    </row>
    <row r="4209" spans="1:10" x14ac:dyDescent="0.25">
      <c r="A4209" s="19" t="s">
        <v>31</v>
      </c>
      <c r="B4209" s="2">
        <v>44068</v>
      </c>
      <c r="C4209" s="1">
        <v>127</v>
      </c>
      <c r="D4209" s="39">
        <f t="shared" si="318"/>
        <v>2509</v>
      </c>
      <c r="E4209" s="1">
        <v>3</v>
      </c>
      <c r="F4209" s="39">
        <f t="shared" si="315"/>
        <v>32</v>
      </c>
    </row>
    <row r="4210" spans="1:10" s="393" customFormat="1" x14ac:dyDescent="0.25">
      <c r="A4210" s="19" t="s">
        <v>41</v>
      </c>
      <c r="B4210" s="2">
        <v>44068</v>
      </c>
      <c r="C4210" s="1">
        <v>-1</v>
      </c>
      <c r="D4210" s="39">
        <f t="shared" si="318"/>
        <v>83</v>
      </c>
      <c r="E4210" s="1"/>
      <c r="F4210" s="39">
        <f>E4210+F4186</f>
        <v>1</v>
      </c>
      <c r="G4210" s="395"/>
      <c r="H4210" s="395"/>
      <c r="J4210" s="42"/>
    </row>
    <row r="4211" spans="1:10" s="393" customFormat="1" x14ac:dyDescent="0.25">
      <c r="A4211" s="19" t="s">
        <v>32</v>
      </c>
      <c r="B4211" s="2">
        <v>44068</v>
      </c>
      <c r="C4211" s="1">
        <v>215</v>
      </c>
      <c r="D4211" s="39">
        <f t="shared" si="318"/>
        <v>6838</v>
      </c>
      <c r="E4211" s="1">
        <v>10</v>
      </c>
      <c r="F4211" s="39">
        <f t="shared" si="315"/>
        <v>163</v>
      </c>
      <c r="G4211" s="395"/>
      <c r="H4211" s="395"/>
      <c r="J4211" s="42"/>
    </row>
    <row r="4212" spans="1:10" s="393" customFormat="1" x14ac:dyDescent="0.25">
      <c r="A4212" s="19" t="s">
        <v>33</v>
      </c>
      <c r="B4212" s="2">
        <v>44068</v>
      </c>
      <c r="C4212" s="1">
        <v>1</v>
      </c>
      <c r="D4212" s="39">
        <f t="shared" si="318"/>
        <v>194</v>
      </c>
      <c r="E4212" s="1">
        <v>1</v>
      </c>
      <c r="F4212" s="39">
        <f t="shared" si="315"/>
        <v>2</v>
      </c>
      <c r="G4212" s="395"/>
      <c r="H4212" s="395"/>
      <c r="J4212" s="42"/>
    </row>
    <row r="4213" spans="1:10" s="393" customFormat="1" x14ac:dyDescent="0.25">
      <c r="A4213" s="19" t="s">
        <v>21</v>
      </c>
      <c r="B4213" s="2">
        <v>44068</v>
      </c>
      <c r="C4213" s="1">
        <v>39</v>
      </c>
      <c r="D4213" s="39">
        <f t="shared" si="318"/>
        <v>1177</v>
      </c>
      <c r="E4213" s="1">
        <v>6</v>
      </c>
      <c r="F4213" s="39">
        <f t="shared" si="315"/>
        <v>27</v>
      </c>
      <c r="G4213" s="395"/>
      <c r="H4213" s="395"/>
      <c r="J4213" s="42"/>
    </row>
    <row r="4214" spans="1:10" s="393" customFormat="1" x14ac:dyDescent="0.25">
      <c r="A4214" s="19" t="s">
        <v>17</v>
      </c>
      <c r="B4214" s="2">
        <v>44068</v>
      </c>
      <c r="C4214" s="1">
        <v>264</v>
      </c>
      <c r="D4214" s="39">
        <f t="shared" si="318"/>
        <v>5073</v>
      </c>
      <c r="E4214" s="1">
        <f>3+1</f>
        <v>4</v>
      </c>
      <c r="F4214" s="39">
        <f t="shared" si="315"/>
        <v>62</v>
      </c>
      <c r="G4214" s="395"/>
      <c r="H4214" s="395"/>
      <c r="J4214" s="42"/>
    </row>
    <row r="4215" spans="1:10" s="393" customFormat="1" x14ac:dyDescent="0.25">
      <c r="A4215" s="19" t="s">
        <v>23</v>
      </c>
      <c r="B4215" s="2">
        <v>44068</v>
      </c>
      <c r="C4215" s="1">
        <v>1</v>
      </c>
      <c r="D4215" s="39">
        <f t="shared" si="318"/>
        <v>59</v>
      </c>
      <c r="E4215" s="1"/>
      <c r="F4215" s="39">
        <f t="shared" si="315"/>
        <v>2</v>
      </c>
      <c r="G4215" s="395"/>
      <c r="H4215" s="395"/>
      <c r="J4215" s="42"/>
    </row>
    <row r="4216" spans="1:10" s="393" customFormat="1" x14ac:dyDescent="0.25">
      <c r="A4216" s="19" t="s">
        <v>19</v>
      </c>
      <c r="B4216" s="2">
        <v>44068</v>
      </c>
      <c r="C4216" s="1">
        <v>122</v>
      </c>
      <c r="D4216" s="39">
        <f>C4216+D4192</f>
        <v>2415</v>
      </c>
      <c r="E4216" s="1">
        <f>1</f>
        <v>1</v>
      </c>
      <c r="F4216" s="39">
        <f t="shared" si="315"/>
        <v>14</v>
      </c>
      <c r="G4216" s="395"/>
      <c r="H4216" s="395"/>
      <c r="J4216" s="42"/>
    </row>
    <row r="4217" spans="1:10" s="393" customFormat="1" x14ac:dyDescent="0.25">
      <c r="A4217" s="19" t="s">
        <v>18</v>
      </c>
      <c r="B4217" s="2">
        <v>44068</v>
      </c>
      <c r="C4217" s="1">
        <v>174</v>
      </c>
      <c r="D4217" s="39">
        <f>C4217+D4193</f>
        <v>4938</v>
      </c>
      <c r="E4217" s="1">
        <f>1+2+1</f>
        <v>4</v>
      </c>
      <c r="F4217" s="39">
        <f t="shared" si="315"/>
        <v>56</v>
      </c>
      <c r="G4217" s="395"/>
      <c r="H4217" s="395"/>
      <c r="J4217" s="42"/>
    </row>
    <row r="4218" spans="1:10" s="393" customFormat="1" x14ac:dyDescent="0.25">
      <c r="A4218" s="19" t="s">
        <v>34</v>
      </c>
      <c r="B4218" s="2">
        <v>44068</v>
      </c>
      <c r="C4218" s="1">
        <v>177</v>
      </c>
      <c r="D4218" s="39">
        <f>C4218+D4194</f>
        <v>2109</v>
      </c>
      <c r="E4218" s="1">
        <f>2</f>
        <v>2</v>
      </c>
      <c r="F4218" s="39">
        <f>E4218+F4194</f>
        <v>32</v>
      </c>
      <c r="G4218" s="395"/>
      <c r="H4218" s="395"/>
      <c r="J4218" s="42"/>
    </row>
    <row r="4219" spans="1:10" s="393" customFormat="1" x14ac:dyDescent="0.25">
      <c r="A4219" s="19" t="s">
        <v>35</v>
      </c>
      <c r="B4219" s="2">
        <v>44068</v>
      </c>
      <c r="C4219" s="1">
        <v>14</v>
      </c>
      <c r="D4219" s="39">
        <f t="shared" ref="D4219:D4225" si="319">C4219+D4195</f>
        <v>110</v>
      </c>
      <c r="E4219" s="1"/>
      <c r="F4219" s="39">
        <f>E4219+F4195</f>
        <v>0</v>
      </c>
      <c r="G4219" s="395"/>
      <c r="H4219" s="395"/>
      <c r="J4219" s="42"/>
    </row>
    <row r="4220" spans="1:10" s="393" customFormat="1" x14ac:dyDescent="0.25">
      <c r="A4220" s="19" t="s">
        <v>36</v>
      </c>
      <c r="B4220" s="2">
        <v>44068</v>
      </c>
      <c r="C4220" s="1">
        <v>-1</v>
      </c>
      <c r="D4220" s="39">
        <f t="shared" si="319"/>
        <v>40</v>
      </c>
      <c r="E4220" s="1"/>
      <c r="F4220" s="39">
        <f>E4220+F4196</f>
        <v>0</v>
      </c>
      <c r="G4220" s="395"/>
      <c r="H4220" s="395"/>
      <c r="J4220" s="42"/>
    </row>
    <row r="4221" spans="1:10" s="393" customFormat="1" x14ac:dyDescent="0.25">
      <c r="A4221" s="19" t="s">
        <v>37</v>
      </c>
      <c r="B4221" s="2">
        <v>44068</v>
      </c>
      <c r="C4221" s="1">
        <v>38</v>
      </c>
      <c r="D4221" s="39">
        <f t="shared" si="319"/>
        <v>1416</v>
      </c>
      <c r="E4221" s="1"/>
      <c r="F4221" s="39">
        <f t="shared" ref="F4221:F4226" si="320">E4221+F4197</f>
        <v>11</v>
      </c>
      <c r="G4221" s="395"/>
      <c r="H4221" s="395"/>
      <c r="J4221" s="42"/>
    </row>
    <row r="4222" spans="1:10" s="393" customFormat="1" x14ac:dyDescent="0.25">
      <c r="A4222" s="19" t="s">
        <v>22</v>
      </c>
      <c r="B4222" s="2">
        <v>44068</v>
      </c>
      <c r="C4222" s="1">
        <v>356</v>
      </c>
      <c r="D4222" s="39">
        <f t="shared" si="319"/>
        <v>5382</v>
      </c>
      <c r="E4222" s="1">
        <f>2+3</f>
        <v>5</v>
      </c>
      <c r="F4222" s="39">
        <f t="shared" si="320"/>
        <v>64</v>
      </c>
      <c r="G4222" s="395"/>
      <c r="H4222" s="395"/>
      <c r="J4222" s="42"/>
    </row>
    <row r="4223" spans="1:10" s="393" customFormat="1" x14ac:dyDescent="0.25">
      <c r="A4223" s="19" t="s">
        <v>38</v>
      </c>
      <c r="B4223" s="2">
        <v>44068</v>
      </c>
      <c r="C4223" s="1">
        <v>71</v>
      </c>
      <c r="D4223" s="39">
        <f t="shared" si="319"/>
        <v>654</v>
      </c>
      <c r="E4223" s="1">
        <f>1+1</f>
        <v>2</v>
      </c>
      <c r="F4223" s="39">
        <f t="shared" si="320"/>
        <v>6</v>
      </c>
      <c r="G4223" s="395"/>
      <c r="H4223" s="395"/>
      <c r="J4223" s="42"/>
    </row>
    <row r="4224" spans="1:10" s="393" customFormat="1" x14ac:dyDescent="0.25">
      <c r="A4224" s="19" t="s">
        <v>39</v>
      </c>
      <c r="B4224" s="2">
        <v>44068</v>
      </c>
      <c r="C4224" s="1">
        <v>51</v>
      </c>
      <c r="D4224" s="39">
        <f t="shared" si="319"/>
        <v>1803</v>
      </c>
      <c r="E4224" s="1">
        <f>1</f>
        <v>1</v>
      </c>
      <c r="F4224" s="39">
        <f t="shared" si="320"/>
        <v>22</v>
      </c>
      <c r="G4224" s="395"/>
      <c r="H4224" s="395"/>
      <c r="J4224" s="42"/>
    </row>
    <row r="4225" spans="1:10" s="393" customFormat="1" x14ac:dyDescent="0.25">
      <c r="A4225" s="19" t="s">
        <v>40</v>
      </c>
      <c r="B4225" s="2">
        <v>44068</v>
      </c>
      <c r="C4225" s="1">
        <v>113</v>
      </c>
      <c r="D4225" s="39">
        <f t="shared" si="319"/>
        <v>1281</v>
      </c>
      <c r="E4225" s="1">
        <f>1</f>
        <v>1</v>
      </c>
      <c r="F4225" s="39">
        <f t="shared" si="320"/>
        <v>7</v>
      </c>
      <c r="G4225" s="395"/>
      <c r="H4225" s="395"/>
      <c r="J4225" s="42"/>
    </row>
    <row r="4226" spans="1:10" s="393" customFormat="1" x14ac:dyDescent="0.25">
      <c r="A4226" s="394" t="s">
        <v>16</v>
      </c>
      <c r="B4226" s="2">
        <v>44069</v>
      </c>
      <c r="C4226" s="1">
        <v>6628</v>
      </c>
      <c r="D4226" s="39">
        <f>C4226+D4202</f>
        <v>230332</v>
      </c>
      <c r="E4226" s="1">
        <f>41+27+77+42</f>
        <v>187</v>
      </c>
      <c r="F4226" s="39">
        <f t="shared" si="320"/>
        <v>4670</v>
      </c>
      <c r="G4226" s="395"/>
      <c r="H4226" s="395"/>
      <c r="J4226" s="42"/>
    </row>
    <row r="4227" spans="1:10" s="393" customFormat="1" x14ac:dyDescent="0.25">
      <c r="A4227" s="19" t="s">
        <v>43</v>
      </c>
      <c r="B4227" s="2">
        <v>44069</v>
      </c>
      <c r="C4227" s="1">
        <v>1568</v>
      </c>
      <c r="D4227" s="39">
        <f t="shared" ref="D4227:D4239" si="321">C4227+D4203</f>
        <v>89137</v>
      </c>
      <c r="E4227" s="1">
        <f>1+6+15+18</f>
        <v>40</v>
      </c>
      <c r="F4227" s="39">
        <f t="shared" ref="F4227:F4265" si="322">E4227+F4203</f>
        <v>2072</v>
      </c>
      <c r="G4227" s="395"/>
      <c r="H4227" s="395"/>
      <c r="J4227" s="42"/>
    </row>
    <row r="4228" spans="1:10" s="393" customFormat="1" x14ac:dyDescent="0.25">
      <c r="A4228" s="19" t="s">
        <v>28</v>
      </c>
      <c r="B4228" s="2">
        <v>44069</v>
      </c>
      <c r="C4228" s="1">
        <v>-1</v>
      </c>
      <c r="D4228" s="39">
        <f t="shared" si="321"/>
        <v>63</v>
      </c>
      <c r="E4228" s="1"/>
      <c r="F4228" s="39">
        <f t="shared" si="322"/>
        <v>0</v>
      </c>
      <c r="G4228" s="395"/>
      <c r="H4228" s="395"/>
      <c r="J4228" s="42"/>
    </row>
    <row r="4229" spans="1:10" s="393" customFormat="1" x14ac:dyDescent="0.25">
      <c r="A4229" s="19" t="s">
        <v>15</v>
      </c>
      <c r="B4229" s="2">
        <v>44069</v>
      </c>
      <c r="C4229" s="1">
        <v>74</v>
      </c>
      <c r="D4229" s="39">
        <f t="shared" si="321"/>
        <v>5041</v>
      </c>
      <c r="E4229" s="1">
        <f>1+2+1</f>
        <v>4</v>
      </c>
      <c r="F4229" s="39">
        <f t="shared" si="322"/>
        <v>202</v>
      </c>
      <c r="G4229" s="395"/>
      <c r="H4229" s="395"/>
      <c r="J4229" s="42"/>
    </row>
    <row r="4230" spans="1:10" s="393" customFormat="1" x14ac:dyDescent="0.25">
      <c r="A4230" s="19" t="s">
        <v>29</v>
      </c>
      <c r="B4230" s="2">
        <v>44069</v>
      </c>
      <c r="C4230" s="1">
        <v>69</v>
      </c>
      <c r="D4230" s="39">
        <f t="shared" si="321"/>
        <v>650</v>
      </c>
      <c r="E4230" s="1"/>
      <c r="F4230" s="39">
        <f t="shared" si="322"/>
        <v>7</v>
      </c>
      <c r="G4230" s="395"/>
      <c r="H4230" s="395"/>
      <c r="J4230" s="42"/>
    </row>
    <row r="4231" spans="1:10" s="393" customFormat="1" x14ac:dyDescent="0.25">
      <c r="A4231" s="19" t="s">
        <v>20</v>
      </c>
      <c r="B4231" s="2">
        <v>44069</v>
      </c>
      <c r="C4231" s="1">
        <v>355</v>
      </c>
      <c r="D4231" s="39">
        <f t="shared" si="321"/>
        <v>6767</v>
      </c>
      <c r="E4231" s="1">
        <f>4</f>
        <v>4</v>
      </c>
      <c r="F4231" s="39">
        <f t="shared" si="322"/>
        <v>108</v>
      </c>
      <c r="G4231" s="395"/>
      <c r="H4231" s="395"/>
      <c r="J4231" s="42"/>
    </row>
    <row r="4232" spans="1:10" s="393" customFormat="1" x14ac:dyDescent="0.25">
      <c r="A4232" s="19" t="s">
        <v>30</v>
      </c>
      <c r="B4232" s="2">
        <v>44069</v>
      </c>
      <c r="C4232" s="1">
        <v>12</v>
      </c>
      <c r="D4232" s="39">
        <f t="shared" si="321"/>
        <v>272</v>
      </c>
      <c r="E4232" s="1"/>
      <c r="F4232" s="39">
        <f t="shared" si="322"/>
        <v>5</v>
      </c>
      <c r="G4232" s="395"/>
      <c r="H4232" s="395"/>
      <c r="J4232" s="42"/>
    </row>
    <row r="4233" spans="1:10" x14ac:dyDescent="0.25">
      <c r="A4233" s="19" t="s">
        <v>31</v>
      </c>
      <c r="B4233" s="2">
        <v>44069</v>
      </c>
      <c r="C4233" s="1">
        <v>112</v>
      </c>
      <c r="D4233" s="39">
        <f t="shared" si="321"/>
        <v>2621</v>
      </c>
      <c r="E4233" s="1">
        <f>1</f>
        <v>1</v>
      </c>
      <c r="F4233" s="39">
        <f t="shared" si="322"/>
        <v>33</v>
      </c>
    </row>
    <row r="4234" spans="1:10" s="393" customFormat="1" x14ac:dyDescent="0.25">
      <c r="A4234" s="19" t="s">
        <v>41</v>
      </c>
      <c r="B4234" s="2">
        <v>44069</v>
      </c>
      <c r="C4234" s="1">
        <v>-1</v>
      </c>
      <c r="D4234" s="39">
        <f t="shared" si="321"/>
        <v>82</v>
      </c>
      <c r="E4234" s="1"/>
      <c r="F4234" s="39">
        <f>E4234+F4210</f>
        <v>1</v>
      </c>
      <c r="G4234" s="395"/>
      <c r="H4234" s="395"/>
      <c r="J4234" s="42"/>
    </row>
    <row r="4235" spans="1:10" s="393" customFormat="1" x14ac:dyDescent="0.25">
      <c r="A4235" s="19" t="s">
        <v>32</v>
      </c>
      <c r="B4235" s="2">
        <v>44069</v>
      </c>
      <c r="C4235" s="1">
        <v>236</v>
      </c>
      <c r="D4235" s="39">
        <f t="shared" si="321"/>
        <v>7074</v>
      </c>
      <c r="E4235" s="1">
        <f>9+4</f>
        <v>13</v>
      </c>
      <c r="F4235" s="39">
        <f t="shared" si="322"/>
        <v>176</v>
      </c>
      <c r="G4235" s="395"/>
      <c r="H4235" s="395"/>
      <c r="J4235" s="42"/>
    </row>
    <row r="4236" spans="1:10" s="393" customFormat="1" x14ac:dyDescent="0.25">
      <c r="A4236" s="19" t="s">
        <v>33</v>
      </c>
      <c r="B4236" s="2">
        <v>44069</v>
      </c>
      <c r="C4236" s="1">
        <v>1</v>
      </c>
      <c r="D4236" s="39">
        <f t="shared" si="321"/>
        <v>195</v>
      </c>
      <c r="E4236" s="1"/>
      <c r="F4236" s="39">
        <f t="shared" si="322"/>
        <v>2</v>
      </c>
      <c r="G4236" s="395"/>
      <c r="H4236" s="395"/>
      <c r="J4236" s="42"/>
    </row>
    <row r="4237" spans="1:10" s="393" customFormat="1" x14ac:dyDescent="0.25">
      <c r="A4237" s="19" t="s">
        <v>21</v>
      </c>
      <c r="B4237" s="2">
        <v>44069</v>
      </c>
      <c r="C4237" s="1">
        <v>37</v>
      </c>
      <c r="D4237" s="39">
        <f t="shared" si="321"/>
        <v>1214</v>
      </c>
      <c r="E4237" s="1">
        <f>1</f>
        <v>1</v>
      </c>
      <c r="F4237" s="39">
        <f t="shared" si="322"/>
        <v>28</v>
      </c>
      <c r="G4237" s="395"/>
      <c r="H4237" s="395"/>
      <c r="J4237" s="42"/>
    </row>
    <row r="4238" spans="1:10" s="393" customFormat="1" x14ac:dyDescent="0.25">
      <c r="A4238" s="19" t="s">
        <v>17</v>
      </c>
      <c r="B4238" s="2">
        <v>44069</v>
      </c>
      <c r="C4238" s="1">
        <v>276</v>
      </c>
      <c r="D4238" s="39">
        <f t="shared" si="321"/>
        <v>5349</v>
      </c>
      <c r="E4238" s="1">
        <f>3+1</f>
        <v>4</v>
      </c>
      <c r="F4238" s="39">
        <f t="shared" si="322"/>
        <v>66</v>
      </c>
      <c r="G4238" s="395"/>
      <c r="H4238" s="395"/>
      <c r="J4238" s="42"/>
    </row>
    <row r="4239" spans="1:10" s="393" customFormat="1" x14ac:dyDescent="0.25">
      <c r="A4239" s="19" t="s">
        <v>23</v>
      </c>
      <c r="B4239" s="2">
        <v>44069</v>
      </c>
      <c r="C4239" s="1">
        <v>0</v>
      </c>
      <c r="D4239" s="39">
        <f t="shared" si="321"/>
        <v>59</v>
      </c>
      <c r="E4239" s="1"/>
      <c r="F4239" s="39">
        <f t="shared" si="322"/>
        <v>2</v>
      </c>
      <c r="G4239" s="395"/>
      <c r="H4239" s="395"/>
      <c r="J4239" s="42"/>
    </row>
    <row r="4240" spans="1:10" s="393" customFormat="1" x14ac:dyDescent="0.25">
      <c r="A4240" s="19" t="s">
        <v>19</v>
      </c>
      <c r="B4240" s="2">
        <v>44069</v>
      </c>
      <c r="C4240" s="1">
        <v>132</v>
      </c>
      <c r="D4240" s="39">
        <f>C4240+D4216</f>
        <v>2547</v>
      </c>
      <c r="E4240" s="1"/>
      <c r="F4240" s="39">
        <f t="shared" si="322"/>
        <v>14</v>
      </c>
      <c r="G4240" s="395"/>
      <c r="H4240" s="395"/>
      <c r="J4240" s="42"/>
    </row>
    <row r="4241" spans="1:10" s="393" customFormat="1" x14ac:dyDescent="0.25">
      <c r="A4241" s="19" t="s">
        <v>18</v>
      </c>
      <c r="B4241" s="2">
        <v>44069</v>
      </c>
      <c r="C4241" s="1">
        <v>235</v>
      </c>
      <c r="D4241" s="39">
        <f>C4241+D4217</f>
        <v>5173</v>
      </c>
      <c r="E4241" s="1">
        <f>3+1+2+5</f>
        <v>11</v>
      </c>
      <c r="F4241" s="39">
        <f t="shared" si="322"/>
        <v>67</v>
      </c>
      <c r="G4241" s="395"/>
      <c r="H4241" s="395"/>
      <c r="J4241" s="42"/>
    </row>
    <row r="4242" spans="1:10" s="393" customFormat="1" x14ac:dyDescent="0.25">
      <c r="A4242" s="19" t="s">
        <v>34</v>
      </c>
      <c r="B4242" s="2">
        <v>44069</v>
      </c>
      <c r="C4242" s="1">
        <v>176</v>
      </c>
      <c r="D4242" s="39">
        <f>C4242+D4218</f>
        <v>2285</v>
      </c>
      <c r="E4242" s="1">
        <f>4+1</f>
        <v>5</v>
      </c>
      <c r="F4242" s="39">
        <f>E4242+F4218</f>
        <v>37</v>
      </c>
      <c r="G4242" s="395"/>
      <c r="H4242" s="395"/>
      <c r="J4242" s="42"/>
    </row>
    <row r="4243" spans="1:10" s="393" customFormat="1" x14ac:dyDescent="0.25">
      <c r="A4243" s="19" t="s">
        <v>35</v>
      </c>
      <c r="B4243" s="2">
        <v>44069</v>
      </c>
      <c r="C4243" s="1">
        <v>36</v>
      </c>
      <c r="D4243" s="39">
        <f t="shared" ref="D4243:D4249" si="323">C4243+D4219</f>
        <v>146</v>
      </c>
      <c r="E4243" s="1"/>
      <c r="F4243" s="39">
        <f>E4243+F4219</f>
        <v>0</v>
      </c>
      <c r="G4243" s="395"/>
      <c r="H4243" s="395"/>
      <c r="J4243" s="42"/>
    </row>
    <row r="4244" spans="1:10" s="393" customFormat="1" x14ac:dyDescent="0.25">
      <c r="A4244" s="19" t="s">
        <v>36</v>
      </c>
      <c r="B4244" s="2">
        <v>44069</v>
      </c>
      <c r="C4244" s="1">
        <v>4</v>
      </c>
      <c r="D4244" s="39">
        <f t="shared" si="323"/>
        <v>44</v>
      </c>
      <c r="E4244" s="1"/>
      <c r="F4244" s="39">
        <f t="shared" si="322"/>
        <v>0</v>
      </c>
      <c r="G4244" s="395"/>
      <c r="H4244" s="395"/>
      <c r="J4244" s="42"/>
    </row>
    <row r="4245" spans="1:10" s="393" customFormat="1" x14ac:dyDescent="0.25">
      <c r="A4245" s="19" t="s">
        <v>37</v>
      </c>
      <c r="B4245" s="2">
        <v>44069</v>
      </c>
      <c r="C4245" s="1">
        <v>63</v>
      </c>
      <c r="D4245" s="39">
        <f t="shared" si="323"/>
        <v>1479</v>
      </c>
      <c r="E4245" s="1"/>
      <c r="F4245" s="39">
        <f t="shared" ref="F4245:F4250" si="324">E4245+F4221</f>
        <v>11</v>
      </c>
      <c r="G4245" s="395"/>
      <c r="H4245" s="395"/>
      <c r="J4245" s="42"/>
    </row>
    <row r="4246" spans="1:10" s="393" customFormat="1" x14ac:dyDescent="0.25">
      <c r="A4246" s="19" t="s">
        <v>22</v>
      </c>
      <c r="B4246" s="2">
        <v>44069</v>
      </c>
      <c r="C4246" s="1">
        <v>381</v>
      </c>
      <c r="D4246" s="39">
        <f t="shared" si="323"/>
        <v>5763</v>
      </c>
      <c r="E4246" s="1">
        <f>2+2</f>
        <v>4</v>
      </c>
      <c r="F4246" s="39">
        <f t="shared" si="324"/>
        <v>68</v>
      </c>
      <c r="G4246" s="395"/>
      <c r="H4246" s="395"/>
      <c r="J4246" s="42"/>
    </row>
    <row r="4247" spans="1:10" s="393" customFormat="1" x14ac:dyDescent="0.25">
      <c r="A4247" s="19" t="s">
        <v>38</v>
      </c>
      <c r="B4247" s="2">
        <v>44069</v>
      </c>
      <c r="C4247" s="1">
        <v>38</v>
      </c>
      <c r="D4247" s="39">
        <f t="shared" si="323"/>
        <v>692</v>
      </c>
      <c r="E4247" s="1"/>
      <c r="F4247" s="39">
        <f t="shared" si="324"/>
        <v>6</v>
      </c>
      <c r="G4247" s="395"/>
      <c r="H4247" s="395"/>
      <c r="J4247" s="42"/>
    </row>
    <row r="4248" spans="1:10" s="393" customFormat="1" x14ac:dyDescent="0.25">
      <c r="A4248" s="19" t="s">
        <v>39</v>
      </c>
      <c r="B4248" s="2">
        <v>44069</v>
      </c>
      <c r="C4248" s="1">
        <v>51</v>
      </c>
      <c r="D4248" s="39">
        <f t="shared" si="323"/>
        <v>1854</v>
      </c>
      <c r="E4248" s="1">
        <f>1+1</f>
        <v>2</v>
      </c>
      <c r="F4248" s="39">
        <f t="shared" si="324"/>
        <v>24</v>
      </c>
      <c r="G4248" s="395"/>
      <c r="H4248" s="395"/>
      <c r="J4248" s="42"/>
    </row>
    <row r="4249" spans="1:10" s="393" customFormat="1" x14ac:dyDescent="0.25">
      <c r="A4249" s="19" t="s">
        <v>40</v>
      </c>
      <c r="B4249" s="2">
        <v>44069</v>
      </c>
      <c r="C4249" s="1">
        <v>68</v>
      </c>
      <c r="D4249" s="39">
        <f t="shared" si="323"/>
        <v>1349</v>
      </c>
      <c r="E4249" s="1"/>
      <c r="F4249" s="39">
        <f t="shared" si="324"/>
        <v>7</v>
      </c>
      <c r="G4249" s="395"/>
      <c r="H4249" s="395"/>
      <c r="J4249" s="42"/>
    </row>
    <row r="4250" spans="1:10" s="393" customFormat="1" x14ac:dyDescent="0.25">
      <c r="A4250" s="394" t="s">
        <v>16</v>
      </c>
      <c r="B4250" s="2">
        <v>44070</v>
      </c>
      <c r="C4250" s="1">
        <v>6402</v>
      </c>
      <c r="D4250" s="39">
        <f>C4250+D4226</f>
        <v>236734</v>
      </c>
      <c r="E4250" s="1">
        <v>141</v>
      </c>
      <c r="F4250" s="39">
        <f t="shared" si="324"/>
        <v>4811</v>
      </c>
      <c r="G4250" s="395"/>
      <c r="H4250" s="395"/>
      <c r="J4250" s="42"/>
    </row>
    <row r="4251" spans="1:10" s="393" customFormat="1" x14ac:dyDescent="0.25">
      <c r="A4251" s="19" t="s">
        <v>43</v>
      </c>
      <c r="B4251" s="2">
        <v>44070</v>
      </c>
      <c r="C4251" s="1">
        <v>1220</v>
      </c>
      <c r="D4251" s="39">
        <f t="shared" ref="D4251:D4263" si="325">C4251+D4227</f>
        <v>90357</v>
      </c>
      <c r="E4251" s="1">
        <v>35</v>
      </c>
      <c r="F4251" s="39">
        <f t="shared" si="322"/>
        <v>2107</v>
      </c>
      <c r="G4251" s="395"/>
      <c r="H4251" s="395"/>
      <c r="J4251" s="42"/>
    </row>
    <row r="4252" spans="1:10" s="393" customFormat="1" x14ac:dyDescent="0.25">
      <c r="A4252" s="19" t="s">
        <v>28</v>
      </c>
      <c r="B4252" s="2">
        <v>44070</v>
      </c>
      <c r="C4252" s="1">
        <v>1</v>
      </c>
      <c r="D4252" s="39">
        <f t="shared" si="325"/>
        <v>64</v>
      </c>
      <c r="E4252" s="1"/>
      <c r="F4252" s="39">
        <f t="shared" si="322"/>
        <v>0</v>
      </c>
      <c r="G4252" s="395"/>
      <c r="H4252" s="395"/>
      <c r="J4252" s="42"/>
    </row>
    <row r="4253" spans="1:10" s="393" customFormat="1" x14ac:dyDescent="0.25">
      <c r="A4253" s="19" t="s">
        <v>15</v>
      </c>
      <c r="B4253" s="2">
        <v>44070</v>
      </c>
      <c r="C4253" s="1">
        <v>63</v>
      </c>
      <c r="D4253" s="39">
        <f t="shared" si="325"/>
        <v>5104</v>
      </c>
      <c r="E4253" s="1">
        <f>1</f>
        <v>1</v>
      </c>
      <c r="F4253" s="39">
        <f t="shared" si="322"/>
        <v>203</v>
      </c>
      <c r="G4253" s="395"/>
      <c r="H4253" s="395"/>
      <c r="J4253" s="42"/>
    </row>
    <row r="4254" spans="1:10" s="393" customFormat="1" x14ac:dyDescent="0.25">
      <c r="A4254" s="19" t="s">
        <v>29</v>
      </c>
      <c r="B4254" s="2">
        <v>44070</v>
      </c>
      <c r="C4254" s="1">
        <v>49</v>
      </c>
      <c r="D4254" s="39">
        <f t="shared" si="325"/>
        <v>699</v>
      </c>
      <c r="E4254" s="1"/>
      <c r="F4254" s="39">
        <f t="shared" si="322"/>
        <v>7</v>
      </c>
      <c r="G4254" s="395"/>
      <c r="H4254" s="395"/>
      <c r="J4254" s="42"/>
    </row>
    <row r="4255" spans="1:10" s="393" customFormat="1" x14ac:dyDescent="0.25">
      <c r="A4255" s="19" t="s">
        <v>20</v>
      </c>
      <c r="B4255" s="2">
        <v>44070</v>
      </c>
      <c r="C4255" s="1">
        <v>363</v>
      </c>
      <c r="D4255" s="39">
        <f t="shared" si="325"/>
        <v>7130</v>
      </c>
      <c r="E4255" s="1">
        <v>1</v>
      </c>
      <c r="F4255" s="39">
        <f t="shared" si="322"/>
        <v>109</v>
      </c>
      <c r="G4255" s="395"/>
      <c r="H4255" s="395"/>
      <c r="J4255" s="42"/>
    </row>
    <row r="4256" spans="1:10" s="393" customFormat="1" x14ac:dyDescent="0.25">
      <c r="A4256" s="19" t="s">
        <v>30</v>
      </c>
      <c r="B4256" s="2">
        <v>44070</v>
      </c>
      <c r="C4256" s="1">
        <v>6</v>
      </c>
      <c r="D4256" s="39">
        <f t="shared" si="325"/>
        <v>278</v>
      </c>
      <c r="E4256" s="1"/>
      <c r="F4256" s="39">
        <f t="shared" si="322"/>
        <v>5</v>
      </c>
      <c r="G4256" s="395"/>
      <c r="H4256" s="395"/>
      <c r="J4256" s="42"/>
    </row>
    <row r="4257" spans="1:10" x14ac:dyDescent="0.25">
      <c r="A4257" s="19" t="s">
        <v>31</v>
      </c>
      <c r="B4257" s="2">
        <v>44070</v>
      </c>
      <c r="C4257" s="1">
        <v>160</v>
      </c>
      <c r="D4257" s="39">
        <f t="shared" si="325"/>
        <v>2781</v>
      </c>
      <c r="E4257" s="1">
        <f>1</f>
        <v>1</v>
      </c>
      <c r="F4257" s="39">
        <f t="shared" si="322"/>
        <v>34</v>
      </c>
    </row>
    <row r="4258" spans="1:10" s="393" customFormat="1" x14ac:dyDescent="0.25">
      <c r="A4258" s="19" t="s">
        <v>41</v>
      </c>
      <c r="B4258" s="2">
        <v>44070</v>
      </c>
      <c r="C4258" s="1">
        <v>0</v>
      </c>
      <c r="D4258" s="39">
        <f t="shared" si="325"/>
        <v>82</v>
      </c>
      <c r="E4258" s="1"/>
      <c r="F4258" s="39">
        <f>E4258+F4234</f>
        <v>1</v>
      </c>
      <c r="G4258" s="395"/>
      <c r="H4258" s="395"/>
      <c r="J4258" s="42"/>
    </row>
    <row r="4259" spans="1:10" s="393" customFormat="1" x14ac:dyDescent="0.25">
      <c r="A4259" s="19" t="s">
        <v>32</v>
      </c>
      <c r="B4259" s="2">
        <v>44070</v>
      </c>
      <c r="C4259" s="1">
        <v>200</v>
      </c>
      <c r="D4259" s="39">
        <f t="shared" si="325"/>
        <v>7274</v>
      </c>
      <c r="E4259" s="1">
        <f>4+2+3</f>
        <v>9</v>
      </c>
      <c r="F4259" s="39">
        <f t="shared" si="322"/>
        <v>185</v>
      </c>
      <c r="G4259" s="395"/>
      <c r="H4259" s="395"/>
      <c r="J4259" s="42"/>
    </row>
    <row r="4260" spans="1:10" s="393" customFormat="1" x14ac:dyDescent="0.25">
      <c r="A4260" s="19" t="s">
        <v>33</v>
      </c>
      <c r="B4260" s="2">
        <v>44070</v>
      </c>
      <c r="C4260" s="1">
        <v>-1</v>
      </c>
      <c r="D4260" s="39">
        <f t="shared" si="325"/>
        <v>194</v>
      </c>
      <c r="E4260" s="1"/>
      <c r="F4260" s="39">
        <f t="shared" si="322"/>
        <v>2</v>
      </c>
      <c r="G4260" s="395"/>
      <c r="H4260" s="395"/>
      <c r="J4260" s="42"/>
    </row>
    <row r="4261" spans="1:10" s="393" customFormat="1" x14ac:dyDescent="0.25">
      <c r="A4261" s="19" t="s">
        <v>21</v>
      </c>
      <c r="B4261" s="2">
        <v>44070</v>
      </c>
      <c r="C4261" s="1">
        <v>58</v>
      </c>
      <c r="D4261" s="39">
        <f t="shared" si="325"/>
        <v>1272</v>
      </c>
      <c r="E4261" s="1">
        <v>3</v>
      </c>
      <c r="F4261" s="39">
        <f t="shared" si="322"/>
        <v>31</v>
      </c>
      <c r="G4261" s="395"/>
      <c r="H4261" s="395"/>
      <c r="J4261" s="42"/>
    </row>
    <row r="4262" spans="1:10" s="393" customFormat="1" x14ac:dyDescent="0.25">
      <c r="A4262" s="19" t="s">
        <v>17</v>
      </c>
      <c r="B4262" s="2">
        <v>44070</v>
      </c>
      <c r="C4262" s="1">
        <v>252</v>
      </c>
      <c r="D4262" s="39">
        <f t="shared" si="325"/>
        <v>5601</v>
      </c>
      <c r="E4262" s="1">
        <f>2</f>
        <v>2</v>
      </c>
      <c r="F4262" s="39">
        <f t="shared" si="322"/>
        <v>68</v>
      </c>
      <c r="G4262" s="395"/>
      <c r="H4262" s="395"/>
      <c r="J4262" s="42"/>
    </row>
    <row r="4263" spans="1:10" s="393" customFormat="1" x14ac:dyDescent="0.25">
      <c r="A4263" s="19" t="s">
        <v>23</v>
      </c>
      <c r="B4263" s="2">
        <v>44070</v>
      </c>
      <c r="C4263" s="1">
        <v>-1</v>
      </c>
      <c r="D4263" s="39">
        <f t="shared" si="325"/>
        <v>58</v>
      </c>
      <c r="E4263" s="1"/>
      <c r="F4263" s="39">
        <f t="shared" si="322"/>
        <v>2</v>
      </c>
      <c r="G4263" s="395"/>
      <c r="H4263" s="395"/>
      <c r="J4263" s="42"/>
    </row>
    <row r="4264" spans="1:10" s="393" customFormat="1" x14ac:dyDescent="0.25">
      <c r="A4264" s="19" t="s">
        <v>19</v>
      </c>
      <c r="B4264" s="2">
        <v>44070</v>
      </c>
      <c r="C4264" s="1">
        <v>122</v>
      </c>
      <c r="D4264" s="39">
        <f>C4264+D4240</f>
        <v>2669</v>
      </c>
      <c r="E4264" s="1">
        <f>1+2</f>
        <v>3</v>
      </c>
      <c r="F4264" s="39">
        <f t="shared" si="322"/>
        <v>17</v>
      </c>
      <c r="G4264" s="395"/>
      <c r="H4264" s="395"/>
      <c r="J4264" s="42"/>
    </row>
    <row r="4265" spans="1:10" s="393" customFormat="1" x14ac:dyDescent="0.25">
      <c r="A4265" s="19" t="s">
        <v>18</v>
      </c>
      <c r="B4265" s="2">
        <v>44070</v>
      </c>
      <c r="C4265" s="1">
        <v>268</v>
      </c>
      <c r="D4265" s="39">
        <f>C4265+D4241</f>
        <v>5441</v>
      </c>
      <c r="E4265" s="1">
        <f>1+1+2+4</f>
        <v>8</v>
      </c>
      <c r="F4265" s="39">
        <f t="shared" si="322"/>
        <v>75</v>
      </c>
      <c r="G4265" s="395"/>
      <c r="H4265" s="395"/>
      <c r="J4265" s="42"/>
    </row>
    <row r="4266" spans="1:10" s="393" customFormat="1" x14ac:dyDescent="0.25">
      <c r="A4266" s="19" t="s">
        <v>34</v>
      </c>
      <c r="B4266" s="2">
        <v>44070</v>
      </c>
      <c r="C4266" s="1">
        <v>179</v>
      </c>
      <c r="D4266" s="39">
        <f>C4266+D4242</f>
        <v>2464</v>
      </c>
      <c r="E4266" s="1">
        <f>1</f>
        <v>1</v>
      </c>
      <c r="F4266" s="39">
        <f>E4266+F4242</f>
        <v>38</v>
      </c>
      <c r="G4266" s="395"/>
      <c r="H4266" s="395"/>
      <c r="J4266" s="42"/>
    </row>
    <row r="4267" spans="1:10" s="393" customFormat="1" x14ac:dyDescent="0.25">
      <c r="A4267" s="19" t="s">
        <v>35</v>
      </c>
      <c r="B4267" s="2">
        <v>44070</v>
      </c>
      <c r="C4267" s="1">
        <v>36</v>
      </c>
      <c r="D4267" s="39">
        <f t="shared" ref="D4267:D4273" si="326">C4267+D4243</f>
        <v>182</v>
      </c>
      <c r="E4267" s="1"/>
      <c r="F4267" s="39">
        <f>E4267+F4243</f>
        <v>0</v>
      </c>
      <c r="G4267" s="395"/>
      <c r="H4267" s="395"/>
      <c r="J4267" s="42"/>
    </row>
    <row r="4268" spans="1:10" s="393" customFormat="1" x14ac:dyDescent="0.25">
      <c r="A4268" s="19" t="s">
        <v>36</v>
      </c>
      <c r="B4268" s="2">
        <v>44070</v>
      </c>
      <c r="C4268" s="1">
        <v>7</v>
      </c>
      <c r="D4268" s="39">
        <f t="shared" si="326"/>
        <v>51</v>
      </c>
      <c r="E4268" s="1"/>
      <c r="F4268" s="39">
        <f>E4268+F4244</f>
        <v>0</v>
      </c>
      <c r="G4268" s="395"/>
      <c r="H4268" s="395"/>
      <c r="J4268" s="42"/>
    </row>
    <row r="4269" spans="1:10" s="393" customFormat="1" x14ac:dyDescent="0.25">
      <c r="A4269" s="19" t="s">
        <v>37</v>
      </c>
      <c r="B4269" s="2">
        <v>44070</v>
      </c>
      <c r="C4269" s="1">
        <v>51</v>
      </c>
      <c r="D4269" s="39">
        <f t="shared" si="326"/>
        <v>1530</v>
      </c>
      <c r="E4269" s="1"/>
      <c r="F4269" s="39">
        <f t="shared" ref="F4269:F4274" si="327">E4269+F4245</f>
        <v>11</v>
      </c>
      <c r="G4269" s="395"/>
      <c r="H4269" s="395"/>
      <c r="J4269" s="42"/>
    </row>
    <row r="4270" spans="1:10" s="393" customFormat="1" x14ac:dyDescent="0.25">
      <c r="A4270" s="19" t="s">
        <v>22</v>
      </c>
      <c r="B4270" s="2">
        <v>44070</v>
      </c>
      <c r="C4270" s="1">
        <v>471</v>
      </c>
      <c r="D4270" s="39">
        <f t="shared" si="326"/>
        <v>6234</v>
      </c>
      <c r="E4270" s="1">
        <f>3+1</f>
        <v>4</v>
      </c>
      <c r="F4270" s="39">
        <f t="shared" si="327"/>
        <v>72</v>
      </c>
      <c r="G4270" s="395"/>
      <c r="H4270" s="395"/>
      <c r="J4270" s="42"/>
    </row>
    <row r="4271" spans="1:10" s="393" customFormat="1" x14ac:dyDescent="0.25">
      <c r="A4271" s="19" t="s">
        <v>38</v>
      </c>
      <c r="B4271" s="2">
        <v>44070</v>
      </c>
      <c r="C4271" s="1">
        <v>53</v>
      </c>
      <c r="D4271" s="39">
        <f t="shared" si="326"/>
        <v>745</v>
      </c>
      <c r="E4271" s="1"/>
      <c r="F4271" s="39">
        <f t="shared" si="327"/>
        <v>6</v>
      </c>
      <c r="G4271" s="395"/>
      <c r="H4271" s="395"/>
      <c r="J4271" s="42"/>
    </row>
    <row r="4272" spans="1:10" s="393" customFormat="1" x14ac:dyDescent="0.25">
      <c r="A4272" s="19" t="s">
        <v>39</v>
      </c>
      <c r="B4272" s="2">
        <v>44070</v>
      </c>
      <c r="C4272" s="1">
        <v>25</v>
      </c>
      <c r="D4272" s="39">
        <f t="shared" si="326"/>
        <v>1879</v>
      </c>
      <c r="E4272" s="1"/>
      <c r="F4272" s="39">
        <f t="shared" si="327"/>
        <v>24</v>
      </c>
      <c r="G4272" s="395"/>
      <c r="H4272" s="395"/>
      <c r="J4272" s="42"/>
    </row>
    <row r="4273" spans="1:10" s="393" customFormat="1" x14ac:dyDescent="0.25">
      <c r="A4273" s="19" t="s">
        <v>40</v>
      </c>
      <c r="B4273" s="2">
        <v>44070</v>
      </c>
      <c r="C4273" s="1">
        <v>120</v>
      </c>
      <c r="D4273" s="39">
        <f t="shared" si="326"/>
        <v>1469</v>
      </c>
      <c r="E4273" s="1">
        <f>1</f>
        <v>1</v>
      </c>
      <c r="F4273" s="39">
        <f t="shared" si="327"/>
        <v>8</v>
      </c>
      <c r="G4273" s="395"/>
      <c r="H4273" s="395"/>
      <c r="J4273" s="42"/>
    </row>
    <row r="4274" spans="1:10" s="393" customFormat="1" x14ac:dyDescent="0.25">
      <c r="A4274" s="394" t="s">
        <v>16</v>
      </c>
      <c r="B4274" s="2">
        <v>44071</v>
      </c>
      <c r="C4274" s="1">
        <v>7486</v>
      </c>
      <c r="D4274" s="39">
        <f>C4274+D4250</f>
        <v>244220</v>
      </c>
      <c r="E4274" s="1">
        <f>26+24+54+39+1</f>
        <v>144</v>
      </c>
      <c r="F4274" s="39">
        <f t="shared" si="327"/>
        <v>4955</v>
      </c>
      <c r="G4274" s="395"/>
      <c r="H4274" s="395"/>
      <c r="J4274" s="42"/>
    </row>
    <row r="4275" spans="1:10" s="393" customFormat="1" x14ac:dyDescent="0.25">
      <c r="A4275" s="19" t="s">
        <v>43</v>
      </c>
      <c r="B4275" s="2">
        <v>44071</v>
      </c>
      <c r="C4275" s="1">
        <v>1430</v>
      </c>
      <c r="D4275" s="39">
        <f t="shared" ref="D4275:D4287" si="328">C4275+D4251</f>
        <v>91787</v>
      </c>
      <c r="E4275" s="1">
        <f>8+5+14+7+1</f>
        <v>35</v>
      </c>
      <c r="F4275" s="39">
        <f t="shared" ref="F4275:F4313" si="329">E4275+F4251</f>
        <v>2142</v>
      </c>
      <c r="G4275" s="395"/>
      <c r="H4275" s="395"/>
      <c r="J4275" s="42"/>
    </row>
    <row r="4276" spans="1:10" s="393" customFormat="1" x14ac:dyDescent="0.25">
      <c r="A4276" s="19" t="s">
        <v>28</v>
      </c>
      <c r="B4276" s="2">
        <v>44071</v>
      </c>
      <c r="C4276" s="1">
        <v>1</v>
      </c>
      <c r="D4276" s="39">
        <f t="shared" si="328"/>
        <v>65</v>
      </c>
      <c r="E4276" s="1"/>
      <c r="F4276" s="39">
        <f t="shared" si="329"/>
        <v>0</v>
      </c>
      <c r="G4276" s="395"/>
      <c r="H4276" s="395"/>
      <c r="J4276" s="42"/>
    </row>
    <row r="4277" spans="1:10" s="393" customFormat="1" x14ac:dyDescent="0.25">
      <c r="A4277" s="19" t="s">
        <v>15</v>
      </c>
      <c r="B4277" s="2">
        <v>44071</v>
      </c>
      <c r="C4277" s="1">
        <v>79</v>
      </c>
      <c r="D4277" s="39">
        <f t="shared" si="328"/>
        <v>5183</v>
      </c>
      <c r="E4277" s="1">
        <f>2</f>
        <v>2</v>
      </c>
      <c r="F4277" s="39">
        <f t="shared" si="329"/>
        <v>205</v>
      </c>
      <c r="G4277" s="395"/>
      <c r="H4277" s="395"/>
      <c r="J4277" s="42"/>
    </row>
    <row r="4278" spans="1:10" s="393" customFormat="1" x14ac:dyDescent="0.25">
      <c r="A4278" s="19" t="s">
        <v>29</v>
      </c>
      <c r="B4278" s="2">
        <v>44071</v>
      </c>
      <c r="C4278" s="1">
        <v>66</v>
      </c>
      <c r="D4278" s="39">
        <f t="shared" si="328"/>
        <v>765</v>
      </c>
      <c r="E4278" s="1"/>
      <c r="F4278" s="39">
        <f t="shared" si="329"/>
        <v>7</v>
      </c>
      <c r="G4278" s="395"/>
      <c r="H4278" s="395"/>
      <c r="J4278" s="42"/>
    </row>
    <row r="4279" spans="1:10" s="393" customFormat="1" x14ac:dyDescent="0.25">
      <c r="A4279" s="19" t="s">
        <v>20</v>
      </c>
      <c r="B4279" s="2">
        <v>44071</v>
      </c>
      <c r="C4279" s="1">
        <v>375</v>
      </c>
      <c r="D4279" s="39">
        <f t="shared" si="328"/>
        <v>7505</v>
      </c>
      <c r="E4279" s="1">
        <f>2</f>
        <v>2</v>
      </c>
      <c r="F4279" s="39">
        <f t="shared" si="329"/>
        <v>111</v>
      </c>
      <c r="G4279" s="395"/>
      <c r="H4279" s="395"/>
      <c r="J4279" s="42"/>
    </row>
    <row r="4280" spans="1:10" s="393" customFormat="1" x14ac:dyDescent="0.25">
      <c r="A4280" s="19" t="s">
        <v>30</v>
      </c>
      <c r="B4280" s="2">
        <v>44071</v>
      </c>
      <c r="C4280" s="1">
        <v>35</v>
      </c>
      <c r="D4280" s="39">
        <f t="shared" si="328"/>
        <v>313</v>
      </c>
      <c r="E4280" s="1"/>
      <c r="F4280" s="39">
        <f t="shared" si="329"/>
        <v>5</v>
      </c>
      <c r="G4280" s="395"/>
      <c r="H4280" s="395"/>
      <c r="J4280" s="42"/>
    </row>
    <row r="4281" spans="1:10" x14ac:dyDescent="0.25">
      <c r="A4281" s="19" t="s">
        <v>31</v>
      </c>
      <c r="B4281" s="2">
        <v>44071</v>
      </c>
      <c r="C4281" s="1">
        <v>155</v>
      </c>
      <c r="D4281" s="39">
        <f t="shared" si="328"/>
        <v>2936</v>
      </c>
      <c r="E4281" s="1">
        <f>1+3</f>
        <v>4</v>
      </c>
      <c r="F4281" s="39">
        <f t="shared" si="329"/>
        <v>38</v>
      </c>
    </row>
    <row r="4282" spans="1:10" s="393" customFormat="1" x14ac:dyDescent="0.25">
      <c r="A4282" s="19" t="s">
        <v>41</v>
      </c>
      <c r="B4282" s="2">
        <v>44071</v>
      </c>
      <c r="C4282" s="1">
        <v>2</v>
      </c>
      <c r="D4282" s="39">
        <f t="shared" si="328"/>
        <v>84</v>
      </c>
      <c r="E4282" s="1"/>
      <c r="F4282" s="39">
        <f>E4282+F4258</f>
        <v>1</v>
      </c>
      <c r="G4282" s="395"/>
      <c r="H4282" s="395"/>
      <c r="J4282" s="42"/>
    </row>
    <row r="4283" spans="1:10" s="393" customFormat="1" x14ac:dyDescent="0.25">
      <c r="A4283" s="19" t="s">
        <v>32</v>
      </c>
      <c r="B4283" s="2">
        <v>44071</v>
      </c>
      <c r="C4283" s="1">
        <v>347</v>
      </c>
      <c r="D4283" s="39">
        <f t="shared" si="328"/>
        <v>7621</v>
      </c>
      <c r="E4283" s="1">
        <f>3+3+2+3</f>
        <v>11</v>
      </c>
      <c r="F4283" s="39">
        <f t="shared" si="329"/>
        <v>196</v>
      </c>
      <c r="G4283" s="395"/>
      <c r="H4283" s="395"/>
      <c r="J4283" s="42"/>
    </row>
    <row r="4284" spans="1:10" s="393" customFormat="1" x14ac:dyDescent="0.25">
      <c r="A4284" s="19" t="s">
        <v>33</v>
      </c>
      <c r="B4284" s="2">
        <v>44071</v>
      </c>
      <c r="C4284" s="1">
        <v>0</v>
      </c>
      <c r="D4284" s="39">
        <f t="shared" si="328"/>
        <v>194</v>
      </c>
      <c r="E4284" s="1"/>
      <c r="F4284" s="39">
        <f t="shared" si="329"/>
        <v>2</v>
      </c>
      <c r="G4284" s="395"/>
      <c r="H4284" s="395"/>
      <c r="J4284" s="42"/>
    </row>
    <row r="4285" spans="1:10" s="393" customFormat="1" x14ac:dyDescent="0.25">
      <c r="A4285" s="19" t="s">
        <v>21</v>
      </c>
      <c r="B4285" s="2">
        <v>44071</v>
      </c>
      <c r="C4285" s="1">
        <v>60</v>
      </c>
      <c r="D4285" s="39">
        <f t="shared" si="328"/>
        <v>1332</v>
      </c>
      <c r="E4285" s="1"/>
      <c r="F4285" s="39">
        <f t="shared" si="329"/>
        <v>31</v>
      </c>
      <c r="G4285" s="395"/>
      <c r="H4285" s="395"/>
      <c r="J4285" s="42"/>
    </row>
    <row r="4286" spans="1:10" s="393" customFormat="1" x14ac:dyDescent="0.25">
      <c r="A4286" s="19" t="s">
        <v>17</v>
      </c>
      <c r="B4286" s="2">
        <v>44071</v>
      </c>
      <c r="C4286" s="1">
        <v>342</v>
      </c>
      <c r="D4286" s="39">
        <f t="shared" si="328"/>
        <v>5943</v>
      </c>
      <c r="E4286" s="1">
        <f>2+1</f>
        <v>3</v>
      </c>
      <c r="F4286" s="39">
        <f t="shared" si="329"/>
        <v>71</v>
      </c>
      <c r="G4286" s="395"/>
      <c r="H4286" s="395"/>
      <c r="J4286" s="42"/>
    </row>
    <row r="4287" spans="1:10" s="393" customFormat="1" x14ac:dyDescent="0.25">
      <c r="A4287" s="19" t="s">
        <v>23</v>
      </c>
      <c r="B4287" s="2">
        <v>44071</v>
      </c>
      <c r="C4287" s="1">
        <v>1</v>
      </c>
      <c r="D4287" s="39">
        <f t="shared" si="328"/>
        <v>59</v>
      </c>
      <c r="E4287" s="1"/>
      <c r="F4287" s="39">
        <f t="shared" si="329"/>
        <v>2</v>
      </c>
      <c r="G4287" s="395"/>
      <c r="H4287" s="395"/>
      <c r="J4287" s="42"/>
    </row>
    <row r="4288" spans="1:10" s="393" customFormat="1" x14ac:dyDescent="0.25">
      <c r="A4288" s="19" t="s">
        <v>19</v>
      </c>
      <c r="B4288" s="2">
        <v>44071</v>
      </c>
      <c r="C4288" s="1">
        <v>99</v>
      </c>
      <c r="D4288" s="39">
        <f>C4288+D4264</f>
        <v>2768</v>
      </c>
      <c r="E4288" s="1">
        <f>3</f>
        <v>3</v>
      </c>
      <c r="F4288" s="39">
        <f t="shared" si="329"/>
        <v>20</v>
      </c>
      <c r="G4288" s="395"/>
      <c r="H4288" s="395"/>
      <c r="J4288" s="42"/>
    </row>
    <row r="4289" spans="1:10" s="393" customFormat="1" x14ac:dyDescent="0.25">
      <c r="A4289" s="19" t="s">
        <v>18</v>
      </c>
      <c r="B4289" s="2">
        <v>44071</v>
      </c>
      <c r="C4289" s="1">
        <v>150</v>
      </c>
      <c r="D4289" s="39">
        <f>C4289+D4265</f>
        <v>5591</v>
      </c>
      <c r="E4289" s="1">
        <f>1+2+1</f>
        <v>4</v>
      </c>
      <c r="F4289" s="39">
        <f t="shared" si="329"/>
        <v>79</v>
      </c>
      <c r="G4289" s="395"/>
      <c r="H4289" s="395"/>
      <c r="J4289" s="42"/>
    </row>
    <row r="4290" spans="1:10" s="393" customFormat="1" x14ac:dyDescent="0.25">
      <c r="A4290" s="19" t="s">
        <v>34</v>
      </c>
      <c r="B4290" s="2">
        <v>44071</v>
      </c>
      <c r="C4290" s="1">
        <v>265</v>
      </c>
      <c r="D4290" s="39">
        <f>C4290+D4266</f>
        <v>2729</v>
      </c>
      <c r="E4290" s="1">
        <f>1</f>
        <v>1</v>
      </c>
      <c r="F4290" s="39">
        <f>E4290+F4266</f>
        <v>39</v>
      </c>
      <c r="G4290" s="395"/>
      <c r="H4290" s="395"/>
      <c r="J4290" s="42"/>
    </row>
    <row r="4291" spans="1:10" s="393" customFormat="1" x14ac:dyDescent="0.25">
      <c r="A4291" s="19" t="s">
        <v>35</v>
      </c>
      <c r="B4291" s="2">
        <v>44071</v>
      </c>
      <c r="C4291" s="1">
        <v>11</v>
      </c>
      <c r="D4291" s="39">
        <f t="shared" ref="D4291:D4297" si="330">C4291+D4267</f>
        <v>193</v>
      </c>
      <c r="E4291" s="1"/>
      <c r="F4291" s="39">
        <f>E4291+F4267</f>
        <v>0</v>
      </c>
      <c r="G4291" s="395"/>
      <c r="H4291" s="395"/>
      <c r="J4291" s="42"/>
    </row>
    <row r="4292" spans="1:10" s="393" customFormat="1" x14ac:dyDescent="0.25">
      <c r="A4292" s="19" t="s">
        <v>36</v>
      </c>
      <c r="B4292" s="2">
        <v>44071</v>
      </c>
      <c r="C4292" s="1">
        <v>10</v>
      </c>
      <c r="D4292" s="39">
        <f t="shared" si="330"/>
        <v>61</v>
      </c>
      <c r="E4292" s="1"/>
      <c r="F4292" s="39">
        <f t="shared" si="329"/>
        <v>0</v>
      </c>
      <c r="G4292" s="395"/>
      <c r="H4292" s="395"/>
      <c r="J4292" s="42"/>
    </row>
    <row r="4293" spans="1:10" s="393" customFormat="1" x14ac:dyDescent="0.25">
      <c r="A4293" s="19" t="s">
        <v>37</v>
      </c>
      <c r="B4293" s="2">
        <v>44071</v>
      </c>
      <c r="C4293" s="1">
        <v>88</v>
      </c>
      <c r="D4293" s="39">
        <f t="shared" si="330"/>
        <v>1618</v>
      </c>
      <c r="E4293" s="1">
        <f>2</f>
        <v>2</v>
      </c>
      <c r="F4293" s="39">
        <f t="shared" ref="F4293:F4298" si="331">E4293+F4269</f>
        <v>13</v>
      </c>
      <c r="G4293" s="395"/>
      <c r="H4293" s="395"/>
      <c r="J4293" s="42"/>
    </row>
    <row r="4294" spans="1:10" s="393" customFormat="1" x14ac:dyDescent="0.25">
      <c r="A4294" s="19" t="s">
        <v>22</v>
      </c>
      <c r="B4294" s="2">
        <v>44071</v>
      </c>
      <c r="C4294" s="1">
        <v>507</v>
      </c>
      <c r="D4294" s="39">
        <f t="shared" si="330"/>
        <v>6741</v>
      </c>
      <c r="E4294" s="1">
        <f>2+2</f>
        <v>4</v>
      </c>
      <c r="F4294" s="39">
        <f t="shared" si="331"/>
        <v>76</v>
      </c>
      <c r="G4294" s="395"/>
      <c r="H4294" s="395"/>
      <c r="J4294" s="42"/>
    </row>
    <row r="4295" spans="1:10" s="393" customFormat="1" x14ac:dyDescent="0.25">
      <c r="A4295" s="19" t="s">
        <v>38</v>
      </c>
      <c r="B4295" s="2">
        <v>44071</v>
      </c>
      <c r="C4295" s="1">
        <v>44</v>
      </c>
      <c r="D4295" s="39">
        <f t="shared" si="330"/>
        <v>789</v>
      </c>
      <c r="E4295" s="1"/>
      <c r="F4295" s="39">
        <f t="shared" si="331"/>
        <v>6</v>
      </c>
      <c r="G4295" s="395"/>
      <c r="H4295" s="395"/>
      <c r="J4295" s="42"/>
    </row>
    <row r="4296" spans="1:10" s="393" customFormat="1" x14ac:dyDescent="0.25">
      <c r="A4296" s="19" t="s">
        <v>39</v>
      </c>
      <c r="B4296" s="2">
        <v>44071</v>
      </c>
      <c r="C4296" s="1">
        <v>29</v>
      </c>
      <c r="D4296" s="39">
        <f t="shared" si="330"/>
        <v>1908</v>
      </c>
      <c r="E4296" s="1">
        <f>1+1</f>
        <v>2</v>
      </c>
      <c r="F4296" s="39">
        <f t="shared" si="331"/>
        <v>26</v>
      </c>
      <c r="G4296" s="395"/>
      <c r="H4296" s="395"/>
      <c r="J4296" s="42"/>
    </row>
    <row r="4297" spans="1:10" s="393" customFormat="1" x14ac:dyDescent="0.25">
      <c r="A4297" s="19" t="s">
        <v>40</v>
      </c>
      <c r="B4297" s="2">
        <v>44071</v>
      </c>
      <c r="C4297" s="1">
        <v>135</v>
      </c>
      <c r="D4297" s="39">
        <f t="shared" si="330"/>
        <v>1604</v>
      </c>
      <c r="E4297" s="1">
        <f>4+1</f>
        <v>5</v>
      </c>
      <c r="F4297" s="39">
        <f t="shared" si="331"/>
        <v>13</v>
      </c>
      <c r="G4297" s="395"/>
      <c r="H4297" s="395"/>
      <c r="J4297" s="42"/>
    </row>
    <row r="4298" spans="1:10" s="393" customFormat="1" x14ac:dyDescent="0.25">
      <c r="A4298" s="394" t="s">
        <v>16</v>
      </c>
      <c r="B4298" s="2">
        <v>44072</v>
      </c>
      <c r="C4298" s="1">
        <v>5545</v>
      </c>
      <c r="D4298" s="39">
        <f>C4298+D4274</f>
        <v>249765</v>
      </c>
      <c r="E4298" s="1">
        <v>41</v>
      </c>
      <c r="F4298" s="39">
        <f t="shared" si="331"/>
        <v>4996</v>
      </c>
      <c r="G4298" s="395"/>
      <c r="H4298" s="395"/>
      <c r="J4298" s="42"/>
    </row>
    <row r="4299" spans="1:10" s="393" customFormat="1" x14ac:dyDescent="0.25">
      <c r="A4299" s="19" t="s">
        <v>43</v>
      </c>
      <c r="B4299" s="2">
        <v>44072</v>
      </c>
      <c r="C4299" s="1">
        <v>1195</v>
      </c>
      <c r="D4299" s="39">
        <f t="shared" ref="D4299:D4311" si="332">C4299+D4275</f>
        <v>92982</v>
      </c>
      <c r="E4299" s="1">
        <f>7+5+10+3</f>
        <v>25</v>
      </c>
      <c r="F4299" s="39">
        <f t="shared" si="329"/>
        <v>2167</v>
      </c>
      <c r="G4299" s="395"/>
      <c r="H4299" s="395"/>
      <c r="J4299" s="42"/>
    </row>
    <row r="4300" spans="1:10" s="393" customFormat="1" x14ac:dyDescent="0.25">
      <c r="A4300" s="19" t="s">
        <v>28</v>
      </c>
      <c r="B4300" s="2">
        <v>44072</v>
      </c>
      <c r="C4300" s="1">
        <v>0</v>
      </c>
      <c r="D4300" s="39">
        <f t="shared" si="332"/>
        <v>65</v>
      </c>
      <c r="E4300" s="1"/>
      <c r="F4300" s="39">
        <f t="shared" si="329"/>
        <v>0</v>
      </c>
      <c r="G4300" s="395"/>
      <c r="H4300" s="395"/>
      <c r="J4300" s="42"/>
    </row>
    <row r="4301" spans="1:10" s="393" customFormat="1" x14ac:dyDescent="0.25">
      <c r="A4301" s="19" t="s">
        <v>15</v>
      </c>
      <c r="B4301" s="2">
        <v>44072</v>
      </c>
      <c r="C4301" s="1">
        <v>98</v>
      </c>
      <c r="D4301" s="39">
        <f t="shared" si="332"/>
        <v>5281</v>
      </c>
      <c r="E4301" s="1">
        <f>1+1</f>
        <v>2</v>
      </c>
      <c r="F4301" s="39">
        <f t="shared" si="329"/>
        <v>207</v>
      </c>
      <c r="G4301" s="395"/>
      <c r="H4301" s="395"/>
      <c r="J4301" s="42"/>
    </row>
    <row r="4302" spans="1:10" s="393" customFormat="1" x14ac:dyDescent="0.25">
      <c r="A4302" s="19" t="s">
        <v>29</v>
      </c>
      <c r="B4302" s="2">
        <v>44072</v>
      </c>
      <c r="C4302" s="1">
        <v>43</v>
      </c>
      <c r="D4302" s="39">
        <f t="shared" si="332"/>
        <v>808</v>
      </c>
      <c r="E4302" s="1"/>
      <c r="F4302" s="39">
        <f t="shared" si="329"/>
        <v>7</v>
      </c>
      <c r="G4302" s="395"/>
      <c r="H4302" s="395"/>
      <c r="J4302" s="42"/>
    </row>
    <row r="4303" spans="1:10" s="393" customFormat="1" x14ac:dyDescent="0.25">
      <c r="A4303" s="19" t="s">
        <v>20</v>
      </c>
      <c r="B4303" s="2">
        <v>44072</v>
      </c>
      <c r="C4303" s="1">
        <v>337</v>
      </c>
      <c r="D4303" s="39">
        <f t="shared" si="332"/>
        <v>7842</v>
      </c>
      <c r="E4303" s="1">
        <f>4+2</f>
        <v>6</v>
      </c>
      <c r="F4303" s="39">
        <f t="shared" si="329"/>
        <v>117</v>
      </c>
      <c r="G4303" s="395"/>
      <c r="H4303" s="395"/>
      <c r="J4303" s="42"/>
    </row>
    <row r="4304" spans="1:10" s="393" customFormat="1" x14ac:dyDescent="0.25">
      <c r="A4304" s="19" t="s">
        <v>30</v>
      </c>
      <c r="B4304" s="2">
        <v>44072</v>
      </c>
      <c r="C4304" s="1">
        <v>8</v>
      </c>
      <c r="D4304" s="39">
        <f t="shared" si="332"/>
        <v>321</v>
      </c>
      <c r="E4304" s="1"/>
      <c r="F4304" s="39">
        <f t="shared" si="329"/>
        <v>5</v>
      </c>
      <c r="G4304" s="395"/>
      <c r="H4304" s="395"/>
      <c r="J4304" s="42"/>
    </row>
    <row r="4305" spans="1:10" x14ac:dyDescent="0.25">
      <c r="A4305" s="19" t="s">
        <v>31</v>
      </c>
      <c r="B4305" s="2">
        <v>44072</v>
      </c>
      <c r="C4305" s="1">
        <v>125</v>
      </c>
      <c r="D4305" s="39">
        <f t="shared" si="332"/>
        <v>3061</v>
      </c>
      <c r="F4305" s="39">
        <f t="shared" si="329"/>
        <v>38</v>
      </c>
    </row>
    <row r="4306" spans="1:10" s="393" customFormat="1" x14ac:dyDescent="0.25">
      <c r="A4306" s="19" t="s">
        <v>41</v>
      </c>
      <c r="B4306" s="2">
        <v>44072</v>
      </c>
      <c r="C4306" s="1">
        <v>0</v>
      </c>
      <c r="D4306" s="39">
        <f t="shared" si="332"/>
        <v>84</v>
      </c>
      <c r="E4306" s="1"/>
      <c r="F4306" s="39">
        <f>E4306+F4282</f>
        <v>1</v>
      </c>
      <c r="G4306" s="395"/>
      <c r="H4306" s="395"/>
      <c r="J4306" s="42"/>
    </row>
    <row r="4307" spans="1:10" s="393" customFormat="1" x14ac:dyDescent="0.25">
      <c r="A4307" s="19" t="s">
        <v>32</v>
      </c>
      <c r="B4307" s="2">
        <v>44072</v>
      </c>
      <c r="C4307" s="1">
        <v>321</v>
      </c>
      <c r="D4307" s="39">
        <f t="shared" si="332"/>
        <v>7942</v>
      </c>
      <c r="E4307" s="1"/>
      <c r="F4307" s="39">
        <f t="shared" si="329"/>
        <v>196</v>
      </c>
      <c r="G4307" s="395"/>
      <c r="H4307" s="395"/>
      <c r="J4307" s="42"/>
    </row>
    <row r="4308" spans="1:10" s="393" customFormat="1" x14ac:dyDescent="0.25">
      <c r="A4308" s="19" t="s">
        <v>33</v>
      </c>
      <c r="B4308" s="2">
        <v>44072</v>
      </c>
      <c r="C4308" s="1">
        <v>6</v>
      </c>
      <c r="D4308" s="39">
        <f t="shared" si="332"/>
        <v>200</v>
      </c>
      <c r="E4308" s="1"/>
      <c r="F4308" s="39">
        <f t="shared" si="329"/>
        <v>2</v>
      </c>
      <c r="G4308" s="395"/>
      <c r="H4308" s="395"/>
      <c r="J4308" s="42"/>
    </row>
    <row r="4309" spans="1:10" s="393" customFormat="1" x14ac:dyDescent="0.25">
      <c r="A4309" s="19" t="s">
        <v>21</v>
      </c>
      <c r="B4309" s="2">
        <v>44072</v>
      </c>
      <c r="C4309" s="1">
        <v>28</v>
      </c>
      <c r="D4309" s="39">
        <f t="shared" si="332"/>
        <v>1360</v>
      </c>
      <c r="E4309" s="1"/>
      <c r="F4309" s="39">
        <f t="shared" si="329"/>
        <v>31</v>
      </c>
      <c r="G4309" s="395"/>
      <c r="H4309" s="395"/>
      <c r="J4309" s="42"/>
    </row>
    <row r="4310" spans="1:10" s="393" customFormat="1" x14ac:dyDescent="0.25">
      <c r="A4310" s="19" t="s">
        <v>17</v>
      </c>
      <c r="B4310" s="2">
        <v>44072</v>
      </c>
      <c r="C4310" s="1">
        <v>290</v>
      </c>
      <c r="D4310" s="39">
        <f t="shared" si="332"/>
        <v>6233</v>
      </c>
      <c r="E4310" s="1"/>
      <c r="F4310" s="39">
        <f t="shared" si="329"/>
        <v>71</v>
      </c>
      <c r="G4310" s="395"/>
      <c r="H4310" s="395"/>
      <c r="J4310" s="42"/>
    </row>
    <row r="4311" spans="1:10" s="393" customFormat="1" x14ac:dyDescent="0.25">
      <c r="A4311" s="19" t="s">
        <v>23</v>
      </c>
      <c r="B4311" s="2">
        <v>44072</v>
      </c>
      <c r="C4311" s="1">
        <v>1</v>
      </c>
      <c r="D4311" s="39">
        <f t="shared" si="332"/>
        <v>60</v>
      </c>
      <c r="E4311" s="1"/>
      <c r="F4311" s="39">
        <f t="shared" si="329"/>
        <v>2</v>
      </c>
      <c r="G4311" s="395"/>
      <c r="H4311" s="395"/>
      <c r="J4311" s="42"/>
    </row>
    <row r="4312" spans="1:10" s="393" customFormat="1" x14ac:dyDescent="0.25">
      <c r="A4312" s="19" t="s">
        <v>19</v>
      </c>
      <c r="B4312" s="2">
        <v>44072</v>
      </c>
      <c r="C4312" s="1">
        <v>77</v>
      </c>
      <c r="D4312" s="39">
        <f>C4312+D4288</f>
        <v>2845</v>
      </c>
      <c r="E4312" s="1"/>
      <c r="F4312" s="39">
        <f t="shared" si="329"/>
        <v>20</v>
      </c>
      <c r="G4312" s="395"/>
      <c r="H4312" s="395"/>
      <c r="J4312" s="42"/>
    </row>
    <row r="4313" spans="1:10" s="393" customFormat="1" x14ac:dyDescent="0.25">
      <c r="A4313" s="19" t="s">
        <v>18</v>
      </c>
      <c r="B4313" s="2">
        <v>44072</v>
      </c>
      <c r="C4313" s="1">
        <v>188</v>
      </c>
      <c r="D4313" s="39">
        <f>C4313+D4289</f>
        <v>5779</v>
      </c>
      <c r="E4313" s="1">
        <f>2</f>
        <v>2</v>
      </c>
      <c r="F4313" s="39">
        <f t="shared" si="329"/>
        <v>81</v>
      </c>
      <c r="G4313" s="395"/>
      <c r="H4313" s="395"/>
      <c r="J4313" s="42"/>
    </row>
    <row r="4314" spans="1:10" s="393" customFormat="1" x14ac:dyDescent="0.25">
      <c r="A4314" s="19" t="s">
        <v>34</v>
      </c>
      <c r="B4314" s="2">
        <v>44072</v>
      </c>
      <c r="C4314" s="1">
        <v>182</v>
      </c>
      <c r="D4314" s="39">
        <f>C4314+D4290</f>
        <v>2911</v>
      </c>
      <c r="E4314" s="1"/>
      <c r="F4314" s="39">
        <f>E4314+F4290</f>
        <v>39</v>
      </c>
      <c r="G4314" s="395"/>
      <c r="H4314" s="395"/>
      <c r="J4314" s="42"/>
    </row>
    <row r="4315" spans="1:10" s="393" customFormat="1" x14ac:dyDescent="0.25">
      <c r="A4315" s="19" t="s">
        <v>35</v>
      </c>
      <c r="B4315" s="2">
        <v>44072</v>
      </c>
      <c r="C4315" s="1">
        <v>13</v>
      </c>
      <c r="D4315" s="39">
        <f t="shared" ref="D4315:D4321" si="333">C4315+D4291</f>
        <v>206</v>
      </c>
      <c r="E4315" s="1"/>
      <c r="F4315" s="39">
        <f>E4315+F4291</f>
        <v>0</v>
      </c>
      <c r="G4315" s="395"/>
      <c r="H4315" s="395"/>
      <c r="J4315" s="42"/>
    </row>
    <row r="4316" spans="1:10" s="393" customFormat="1" x14ac:dyDescent="0.25">
      <c r="A4316" s="19" t="s">
        <v>36</v>
      </c>
      <c r="B4316" s="2">
        <v>44072</v>
      </c>
      <c r="C4316" s="1">
        <v>25</v>
      </c>
      <c r="D4316" s="39">
        <f t="shared" si="333"/>
        <v>86</v>
      </c>
      <c r="E4316" s="1"/>
      <c r="F4316" s="39">
        <f>E4316+F4292</f>
        <v>0</v>
      </c>
      <c r="G4316" s="395"/>
      <c r="H4316" s="395"/>
      <c r="J4316" s="42"/>
    </row>
    <row r="4317" spans="1:10" s="393" customFormat="1" x14ac:dyDescent="0.25">
      <c r="A4317" s="19" t="s">
        <v>37</v>
      </c>
      <c r="B4317" s="2">
        <v>44072</v>
      </c>
      <c r="C4317" s="1">
        <v>32</v>
      </c>
      <c r="D4317" s="39">
        <f t="shared" si="333"/>
        <v>1650</v>
      </c>
      <c r="E4317" s="1"/>
      <c r="F4317" s="39">
        <f t="shared" ref="F4317:F4322" si="334">E4317+F4293</f>
        <v>13</v>
      </c>
      <c r="G4317" s="395"/>
      <c r="H4317" s="395"/>
      <c r="J4317" s="42"/>
    </row>
    <row r="4318" spans="1:10" s="393" customFormat="1" x14ac:dyDescent="0.25">
      <c r="A4318" s="19" t="s">
        <v>22</v>
      </c>
      <c r="B4318" s="2">
        <v>44072</v>
      </c>
      <c r="C4318" s="1">
        <v>406</v>
      </c>
      <c r="D4318" s="39">
        <f t="shared" si="333"/>
        <v>7147</v>
      </c>
      <c r="E4318" s="1">
        <f>1</f>
        <v>1</v>
      </c>
      <c r="F4318" s="39">
        <f t="shared" si="334"/>
        <v>77</v>
      </c>
      <c r="G4318" s="395"/>
      <c r="H4318" s="395"/>
      <c r="J4318" s="42"/>
    </row>
    <row r="4319" spans="1:10" s="393" customFormat="1" x14ac:dyDescent="0.25">
      <c r="A4319" s="19" t="s">
        <v>38</v>
      </c>
      <c r="B4319" s="2">
        <v>44072</v>
      </c>
      <c r="C4319" s="1">
        <v>52</v>
      </c>
      <c r="D4319" s="39">
        <f t="shared" si="333"/>
        <v>841</v>
      </c>
      <c r="E4319" s="1">
        <f>1+2</f>
        <v>3</v>
      </c>
      <c r="F4319" s="39">
        <f t="shared" si="334"/>
        <v>9</v>
      </c>
      <c r="G4319" s="395"/>
      <c r="H4319" s="395"/>
      <c r="J4319" s="42"/>
    </row>
    <row r="4320" spans="1:10" s="393" customFormat="1" x14ac:dyDescent="0.25">
      <c r="A4320" s="19" t="s">
        <v>39</v>
      </c>
      <c r="B4320" s="2">
        <v>44072</v>
      </c>
      <c r="C4320" s="1">
        <v>35</v>
      </c>
      <c r="D4320" s="39">
        <f t="shared" si="333"/>
        <v>1943</v>
      </c>
      <c r="E4320" s="1">
        <f>2</f>
        <v>2</v>
      </c>
      <c r="F4320" s="39">
        <f t="shared" si="334"/>
        <v>28</v>
      </c>
      <c r="G4320" s="395"/>
      <c r="H4320" s="395"/>
      <c r="J4320" s="42"/>
    </row>
    <row r="4321" spans="1:10" s="393" customFormat="1" x14ac:dyDescent="0.25">
      <c r="A4321" s="19" t="s">
        <v>40</v>
      </c>
      <c r="B4321" s="2">
        <v>44072</v>
      </c>
      <c r="C4321" s="1">
        <v>223</v>
      </c>
      <c r="D4321" s="39">
        <f t="shared" si="333"/>
        <v>1827</v>
      </c>
      <c r="E4321" s="1"/>
      <c r="F4321" s="39">
        <f t="shared" si="334"/>
        <v>13</v>
      </c>
      <c r="G4321" s="395"/>
      <c r="H4321" s="395"/>
      <c r="J4321" s="42"/>
    </row>
    <row r="4322" spans="1:10" s="393" customFormat="1" x14ac:dyDescent="0.25">
      <c r="A4322" s="394" t="s">
        <v>16</v>
      </c>
      <c r="B4322" s="2">
        <v>44073</v>
      </c>
      <c r="C4322" s="1">
        <v>3887</v>
      </c>
      <c r="D4322" s="39">
        <f>C4322+D4298</f>
        <v>253652</v>
      </c>
      <c r="E4322" s="1">
        <v>37</v>
      </c>
      <c r="F4322" s="39">
        <f t="shared" si="334"/>
        <v>5033</v>
      </c>
      <c r="G4322" s="395"/>
      <c r="H4322" s="395"/>
      <c r="J4322" s="42"/>
    </row>
    <row r="4323" spans="1:10" s="393" customFormat="1" x14ac:dyDescent="0.25">
      <c r="A4323" s="19" t="s">
        <v>43</v>
      </c>
      <c r="B4323" s="2">
        <v>44073</v>
      </c>
      <c r="C4323" s="1">
        <v>1235</v>
      </c>
      <c r="D4323" s="39">
        <f t="shared" ref="D4323:D4335" si="335">C4323+D4299</f>
        <v>94217</v>
      </c>
      <c r="E4323" s="1">
        <v>27</v>
      </c>
      <c r="F4323" s="39">
        <f t="shared" ref="F4323:F4361" si="336">E4323+F4299</f>
        <v>2194</v>
      </c>
      <c r="G4323" s="395"/>
      <c r="H4323" s="395"/>
      <c r="J4323" s="42"/>
    </row>
    <row r="4324" spans="1:10" s="393" customFormat="1" x14ac:dyDescent="0.25">
      <c r="A4324" s="19" t="s">
        <v>28</v>
      </c>
      <c r="B4324" s="2">
        <v>44073</v>
      </c>
      <c r="C4324" s="1">
        <v>0</v>
      </c>
      <c r="D4324" s="39">
        <f t="shared" si="335"/>
        <v>65</v>
      </c>
      <c r="E4324" s="1"/>
      <c r="F4324" s="39">
        <f t="shared" si="336"/>
        <v>0</v>
      </c>
      <c r="G4324" s="395"/>
      <c r="H4324" s="395"/>
      <c r="J4324" s="42"/>
    </row>
    <row r="4325" spans="1:10" s="393" customFormat="1" x14ac:dyDescent="0.25">
      <c r="A4325" s="19" t="s">
        <v>15</v>
      </c>
      <c r="B4325" s="2">
        <v>44073</v>
      </c>
      <c r="C4325" s="1">
        <v>61</v>
      </c>
      <c r="D4325" s="39">
        <f t="shared" si="335"/>
        <v>5342</v>
      </c>
      <c r="E4325" s="1">
        <f>1+2</f>
        <v>3</v>
      </c>
      <c r="F4325" s="39">
        <f t="shared" si="336"/>
        <v>210</v>
      </c>
      <c r="G4325" s="395"/>
      <c r="H4325" s="395"/>
      <c r="J4325" s="42"/>
    </row>
    <row r="4326" spans="1:10" s="393" customFormat="1" x14ac:dyDescent="0.25">
      <c r="A4326" s="19" t="s">
        <v>29</v>
      </c>
      <c r="B4326" s="2">
        <v>44073</v>
      </c>
      <c r="C4326" s="1">
        <v>12</v>
      </c>
      <c r="D4326" s="39">
        <f t="shared" si="335"/>
        <v>820</v>
      </c>
      <c r="E4326" s="1"/>
      <c r="F4326" s="39">
        <f t="shared" si="336"/>
        <v>7</v>
      </c>
      <c r="G4326" s="395"/>
      <c r="H4326" s="395"/>
      <c r="J4326" s="42"/>
    </row>
    <row r="4327" spans="1:10" s="393" customFormat="1" x14ac:dyDescent="0.25">
      <c r="A4327" s="19" t="s">
        <v>20</v>
      </c>
      <c r="B4327" s="2">
        <v>44073</v>
      </c>
      <c r="C4327" s="1">
        <v>292</v>
      </c>
      <c r="D4327" s="39">
        <f t="shared" si="335"/>
        <v>8134</v>
      </c>
      <c r="E4327" s="1">
        <f>1+3+2</f>
        <v>6</v>
      </c>
      <c r="F4327" s="39">
        <f t="shared" si="336"/>
        <v>123</v>
      </c>
      <c r="G4327" s="395"/>
      <c r="H4327" s="395"/>
      <c r="J4327" s="42"/>
    </row>
    <row r="4328" spans="1:10" s="393" customFormat="1" x14ac:dyDescent="0.25">
      <c r="A4328" s="19" t="s">
        <v>30</v>
      </c>
      <c r="B4328" s="2">
        <v>44073</v>
      </c>
      <c r="C4328" s="1">
        <v>-4</v>
      </c>
      <c r="D4328" s="39">
        <f t="shared" si="335"/>
        <v>317</v>
      </c>
      <c r="E4328" s="1"/>
      <c r="F4328" s="39">
        <f t="shared" si="336"/>
        <v>5</v>
      </c>
      <c r="G4328" s="395"/>
      <c r="H4328" s="395"/>
      <c r="J4328" s="42"/>
    </row>
    <row r="4329" spans="1:10" x14ac:dyDescent="0.25">
      <c r="A4329" s="19" t="s">
        <v>31</v>
      </c>
      <c r="B4329" s="2">
        <v>44073</v>
      </c>
      <c r="C4329" s="1">
        <v>110</v>
      </c>
      <c r="D4329" s="39">
        <f t="shared" si="335"/>
        <v>3171</v>
      </c>
      <c r="E4329" s="1">
        <f>1+5+1</f>
        <v>7</v>
      </c>
      <c r="F4329" s="39">
        <f t="shared" si="336"/>
        <v>45</v>
      </c>
    </row>
    <row r="4330" spans="1:10" s="393" customFormat="1" x14ac:dyDescent="0.25">
      <c r="A4330" s="19" t="s">
        <v>41</v>
      </c>
      <c r="B4330" s="2">
        <v>44073</v>
      </c>
      <c r="C4330" s="1">
        <v>-1</v>
      </c>
      <c r="D4330" s="39">
        <f t="shared" si="335"/>
        <v>83</v>
      </c>
      <c r="E4330" s="1"/>
      <c r="F4330" s="39">
        <f>E4330+F4306</f>
        <v>1</v>
      </c>
      <c r="G4330" s="395"/>
      <c r="H4330" s="395"/>
      <c r="J4330" s="42"/>
    </row>
    <row r="4331" spans="1:10" s="393" customFormat="1" x14ac:dyDescent="0.25">
      <c r="A4331" s="19" t="s">
        <v>32</v>
      </c>
      <c r="B4331" s="2">
        <v>44073</v>
      </c>
      <c r="C4331" s="1">
        <v>149</v>
      </c>
      <c r="D4331" s="39">
        <f t="shared" si="335"/>
        <v>8091</v>
      </c>
      <c r="E4331" s="1"/>
      <c r="F4331" s="39">
        <f t="shared" si="336"/>
        <v>196</v>
      </c>
      <c r="G4331" s="395"/>
      <c r="H4331" s="395"/>
      <c r="J4331" s="42"/>
    </row>
    <row r="4332" spans="1:10" s="393" customFormat="1" x14ac:dyDescent="0.25">
      <c r="A4332" s="19" t="s">
        <v>33</v>
      </c>
      <c r="B4332" s="2">
        <v>44073</v>
      </c>
      <c r="C4332" s="1">
        <v>0</v>
      </c>
      <c r="D4332" s="39">
        <f t="shared" si="335"/>
        <v>200</v>
      </c>
      <c r="E4332" s="1"/>
      <c r="F4332" s="39">
        <f t="shared" si="336"/>
        <v>2</v>
      </c>
      <c r="G4332" s="395"/>
      <c r="H4332" s="395"/>
      <c r="J4332" s="42"/>
    </row>
    <row r="4333" spans="1:10" s="393" customFormat="1" x14ac:dyDescent="0.25">
      <c r="A4333" s="19" t="s">
        <v>21</v>
      </c>
      <c r="B4333" s="2">
        <v>44073</v>
      </c>
      <c r="C4333" s="1">
        <v>57</v>
      </c>
      <c r="D4333" s="39">
        <f t="shared" si="335"/>
        <v>1417</v>
      </c>
      <c r="E4333" s="1"/>
      <c r="F4333" s="39">
        <f t="shared" si="336"/>
        <v>31</v>
      </c>
      <c r="G4333" s="395"/>
      <c r="H4333" s="395"/>
      <c r="J4333" s="42"/>
    </row>
    <row r="4334" spans="1:10" s="393" customFormat="1" x14ac:dyDescent="0.25">
      <c r="A4334" s="19" t="s">
        <v>17</v>
      </c>
      <c r="B4334" s="2">
        <v>44073</v>
      </c>
      <c r="C4334" s="1">
        <v>316</v>
      </c>
      <c r="D4334" s="39">
        <f t="shared" si="335"/>
        <v>6549</v>
      </c>
      <c r="E4334" s="1">
        <f>1+3</f>
        <v>4</v>
      </c>
      <c r="F4334" s="39">
        <f t="shared" si="336"/>
        <v>75</v>
      </c>
      <c r="G4334" s="395"/>
      <c r="H4334" s="395"/>
      <c r="J4334" s="42"/>
    </row>
    <row r="4335" spans="1:10" s="393" customFormat="1" x14ac:dyDescent="0.25">
      <c r="A4335" s="19" t="s">
        <v>23</v>
      </c>
      <c r="B4335" s="2">
        <v>44073</v>
      </c>
      <c r="C4335" s="1">
        <v>2</v>
      </c>
      <c r="D4335" s="39">
        <f t="shared" si="335"/>
        <v>62</v>
      </c>
      <c r="E4335" s="1"/>
      <c r="F4335" s="39">
        <f t="shared" si="336"/>
        <v>2</v>
      </c>
      <c r="G4335" s="395"/>
      <c r="H4335" s="395"/>
      <c r="J4335" s="42"/>
    </row>
    <row r="4336" spans="1:10" s="393" customFormat="1" x14ac:dyDescent="0.25">
      <c r="A4336" s="19" t="s">
        <v>19</v>
      </c>
      <c r="B4336" s="2">
        <v>44073</v>
      </c>
      <c r="C4336" s="1">
        <v>87</v>
      </c>
      <c r="D4336" s="39">
        <f>C4336+D4312</f>
        <v>2932</v>
      </c>
      <c r="E4336" s="1">
        <f>1</f>
        <v>1</v>
      </c>
      <c r="F4336" s="39">
        <f t="shared" si="336"/>
        <v>21</v>
      </c>
      <c r="G4336" s="395"/>
      <c r="H4336" s="395"/>
      <c r="J4336" s="42"/>
    </row>
    <row r="4337" spans="1:10" s="393" customFormat="1" x14ac:dyDescent="0.25">
      <c r="A4337" s="19" t="s">
        <v>18</v>
      </c>
      <c r="B4337" s="2">
        <v>44073</v>
      </c>
      <c r="C4337" s="1">
        <v>91</v>
      </c>
      <c r="D4337" s="39">
        <f>C4337+D4313</f>
        <v>5870</v>
      </c>
      <c r="E4337" s="1">
        <f>2+4+4+2</f>
        <v>12</v>
      </c>
      <c r="F4337" s="39">
        <f t="shared" si="336"/>
        <v>93</v>
      </c>
      <c r="G4337" s="395"/>
      <c r="H4337" s="395"/>
      <c r="J4337" s="42"/>
    </row>
    <row r="4338" spans="1:10" s="393" customFormat="1" x14ac:dyDescent="0.25">
      <c r="A4338" s="19" t="s">
        <v>34</v>
      </c>
      <c r="B4338" s="2">
        <v>44073</v>
      </c>
      <c r="C4338" s="1">
        <v>250</v>
      </c>
      <c r="D4338" s="39">
        <f>C4338+D4314</f>
        <v>3161</v>
      </c>
      <c r="E4338" s="1">
        <f>2</f>
        <v>2</v>
      </c>
      <c r="F4338" s="39">
        <f>E4338+F4314</f>
        <v>41</v>
      </c>
      <c r="G4338" s="395"/>
      <c r="H4338" s="395"/>
      <c r="J4338" s="42"/>
    </row>
    <row r="4339" spans="1:10" s="393" customFormat="1" x14ac:dyDescent="0.25">
      <c r="A4339" s="19" t="s">
        <v>35</v>
      </c>
      <c r="B4339" s="2">
        <v>44073</v>
      </c>
      <c r="C4339" s="1">
        <v>15</v>
      </c>
      <c r="D4339" s="39">
        <f t="shared" ref="D4339:D4345" si="337">C4339+D4315</f>
        <v>221</v>
      </c>
      <c r="E4339" s="1"/>
      <c r="F4339" s="39">
        <f>E4339+F4315</f>
        <v>0</v>
      </c>
      <c r="G4339" s="395"/>
      <c r="H4339" s="395"/>
      <c r="J4339" s="42"/>
    </row>
    <row r="4340" spans="1:10" s="393" customFormat="1" x14ac:dyDescent="0.25">
      <c r="A4340" s="19" t="s">
        <v>36</v>
      </c>
      <c r="B4340" s="2">
        <v>44073</v>
      </c>
      <c r="C4340" s="1">
        <v>-1</v>
      </c>
      <c r="D4340" s="39">
        <f t="shared" si="337"/>
        <v>85</v>
      </c>
      <c r="E4340" s="1"/>
      <c r="F4340" s="39">
        <f t="shared" si="336"/>
        <v>0</v>
      </c>
      <c r="G4340" s="395"/>
      <c r="H4340" s="395"/>
      <c r="J4340" s="42"/>
    </row>
    <row r="4341" spans="1:10" s="393" customFormat="1" x14ac:dyDescent="0.25">
      <c r="A4341" s="19" t="s">
        <v>37</v>
      </c>
      <c r="B4341" s="2">
        <v>44073</v>
      </c>
      <c r="C4341" s="1">
        <v>84</v>
      </c>
      <c r="D4341" s="39">
        <f t="shared" si="337"/>
        <v>1734</v>
      </c>
      <c r="E4341" s="1"/>
      <c r="F4341" s="39">
        <f t="shared" ref="F4341:F4346" si="338">E4341+F4317</f>
        <v>13</v>
      </c>
      <c r="G4341" s="395"/>
      <c r="H4341" s="395"/>
      <c r="J4341" s="42"/>
    </row>
    <row r="4342" spans="1:10" s="393" customFormat="1" x14ac:dyDescent="0.25">
      <c r="A4342" s="19" t="s">
        <v>22</v>
      </c>
      <c r="B4342" s="2">
        <v>44073</v>
      </c>
      <c r="C4342" s="1">
        <v>283</v>
      </c>
      <c r="D4342" s="39">
        <f t="shared" si="337"/>
        <v>7430</v>
      </c>
      <c r="E4342" s="1">
        <f>1+2</f>
        <v>3</v>
      </c>
      <c r="F4342" s="39">
        <f t="shared" si="338"/>
        <v>80</v>
      </c>
      <c r="G4342" s="395"/>
      <c r="H4342" s="395"/>
      <c r="J4342" s="42"/>
    </row>
    <row r="4343" spans="1:10" s="393" customFormat="1" x14ac:dyDescent="0.25">
      <c r="A4343" s="19" t="s">
        <v>38</v>
      </c>
      <c r="B4343" s="2">
        <v>44073</v>
      </c>
      <c r="C4343" s="1">
        <v>57</v>
      </c>
      <c r="D4343" s="39">
        <f t="shared" si="337"/>
        <v>898</v>
      </c>
      <c r="E4343" s="1">
        <f>1</f>
        <v>1</v>
      </c>
      <c r="F4343" s="39">
        <f t="shared" si="338"/>
        <v>10</v>
      </c>
      <c r="G4343" s="395"/>
      <c r="H4343" s="395"/>
      <c r="J4343" s="42"/>
    </row>
    <row r="4344" spans="1:10" s="393" customFormat="1" x14ac:dyDescent="0.25">
      <c r="A4344" s="19" t="s">
        <v>39</v>
      </c>
      <c r="B4344" s="2">
        <v>44073</v>
      </c>
      <c r="C4344" s="1">
        <v>39</v>
      </c>
      <c r="D4344" s="39">
        <f t="shared" si="337"/>
        <v>1982</v>
      </c>
      <c r="E4344" s="1"/>
      <c r="F4344" s="39">
        <f t="shared" si="338"/>
        <v>28</v>
      </c>
      <c r="G4344" s="395"/>
      <c r="H4344" s="395"/>
      <c r="J4344" s="42"/>
    </row>
    <row r="4345" spans="1:10" s="393" customFormat="1" x14ac:dyDescent="0.25">
      <c r="A4345" s="19" t="s">
        <v>40</v>
      </c>
      <c r="B4345" s="2">
        <v>44073</v>
      </c>
      <c r="C4345" s="1">
        <v>166</v>
      </c>
      <c r="D4345" s="39">
        <f t="shared" si="337"/>
        <v>1993</v>
      </c>
      <c r="E4345" s="1"/>
      <c r="F4345" s="39">
        <f t="shared" si="338"/>
        <v>13</v>
      </c>
      <c r="G4345" s="395"/>
      <c r="H4345" s="395"/>
      <c r="J4345" s="42"/>
    </row>
    <row r="4346" spans="1:10" s="393" customFormat="1" x14ac:dyDescent="0.25">
      <c r="A4346" s="394" t="s">
        <v>16</v>
      </c>
      <c r="B4346" s="2">
        <v>44074</v>
      </c>
      <c r="C4346" s="1">
        <v>5141</v>
      </c>
      <c r="D4346" s="39">
        <f>C4346+D4322</f>
        <v>258793</v>
      </c>
      <c r="E4346" s="1">
        <f>14+12+1+55+40+2</f>
        <v>124</v>
      </c>
      <c r="F4346" s="39">
        <f t="shared" si="338"/>
        <v>5157</v>
      </c>
      <c r="G4346" s="395"/>
      <c r="H4346" s="395"/>
      <c r="J4346" s="42"/>
    </row>
    <row r="4347" spans="1:10" s="393" customFormat="1" x14ac:dyDescent="0.25">
      <c r="A4347" s="19" t="s">
        <v>43</v>
      </c>
      <c r="B4347" s="2">
        <v>44074</v>
      </c>
      <c r="C4347" s="1">
        <v>1387</v>
      </c>
      <c r="D4347" s="39">
        <f t="shared" ref="D4347:D4359" si="339">C4347+D4323</f>
        <v>95604</v>
      </c>
      <c r="E4347" s="1">
        <f>2+2+1+18+21+1</f>
        <v>45</v>
      </c>
      <c r="F4347" s="39">
        <f t="shared" si="336"/>
        <v>2239</v>
      </c>
      <c r="G4347" s="395"/>
      <c r="H4347" s="395"/>
      <c r="J4347" s="42"/>
    </row>
    <row r="4348" spans="1:10" s="393" customFormat="1" x14ac:dyDescent="0.25">
      <c r="A4348" s="19" t="s">
        <v>28</v>
      </c>
      <c r="B4348" s="2">
        <v>44074</v>
      </c>
      <c r="C4348" s="1">
        <v>1</v>
      </c>
      <c r="D4348" s="39">
        <f t="shared" si="339"/>
        <v>66</v>
      </c>
      <c r="E4348" s="1"/>
      <c r="F4348" s="39">
        <f t="shared" si="336"/>
        <v>0</v>
      </c>
      <c r="G4348" s="395"/>
      <c r="H4348" s="395"/>
      <c r="J4348" s="42"/>
    </row>
    <row r="4349" spans="1:10" s="393" customFormat="1" x14ac:dyDescent="0.25">
      <c r="A4349" s="19" t="s">
        <v>15</v>
      </c>
      <c r="B4349" s="2">
        <v>44074</v>
      </c>
      <c r="C4349" s="1">
        <v>75</v>
      </c>
      <c r="D4349" s="39">
        <f t="shared" si="339"/>
        <v>5417</v>
      </c>
      <c r="E4349" s="1">
        <f>2+1+2+1</f>
        <v>6</v>
      </c>
      <c r="F4349" s="39">
        <f t="shared" si="336"/>
        <v>216</v>
      </c>
      <c r="G4349" s="395"/>
      <c r="H4349" s="395"/>
      <c r="J4349" s="42"/>
    </row>
    <row r="4350" spans="1:10" s="393" customFormat="1" x14ac:dyDescent="0.25">
      <c r="A4350" s="19" t="s">
        <v>29</v>
      </c>
      <c r="B4350" s="2">
        <v>44074</v>
      </c>
      <c r="C4350" s="1">
        <v>79</v>
      </c>
      <c r="D4350" s="39">
        <f t="shared" si="339"/>
        <v>899</v>
      </c>
      <c r="E4350" s="1"/>
      <c r="F4350" s="39">
        <f t="shared" si="336"/>
        <v>7</v>
      </c>
      <c r="G4350" s="395"/>
      <c r="H4350" s="395"/>
      <c r="J4350" s="42"/>
    </row>
    <row r="4351" spans="1:10" s="393" customFormat="1" x14ac:dyDescent="0.25">
      <c r="A4351" s="19" t="s">
        <v>20</v>
      </c>
      <c r="B4351" s="2">
        <v>44074</v>
      </c>
      <c r="C4351" s="1">
        <v>388</v>
      </c>
      <c r="D4351" s="39">
        <f t="shared" si="339"/>
        <v>8522</v>
      </c>
      <c r="E4351" s="1">
        <f>1+1</f>
        <v>2</v>
      </c>
      <c r="F4351" s="39">
        <f>E4351+F4327</f>
        <v>125</v>
      </c>
      <c r="G4351" s="395"/>
      <c r="H4351" s="395"/>
      <c r="J4351" s="42"/>
    </row>
    <row r="4352" spans="1:10" s="393" customFormat="1" x14ac:dyDescent="0.25">
      <c r="A4352" s="19" t="s">
        <v>30</v>
      </c>
      <c r="B4352" s="2">
        <v>44074</v>
      </c>
      <c r="C4352" s="1">
        <v>-6</v>
      </c>
      <c r="D4352" s="39">
        <f t="shared" si="339"/>
        <v>311</v>
      </c>
      <c r="E4352" s="1"/>
      <c r="F4352" s="39">
        <f t="shared" si="336"/>
        <v>5</v>
      </c>
      <c r="G4352" s="395"/>
      <c r="H4352" s="395"/>
      <c r="J4352" s="42"/>
    </row>
    <row r="4353" spans="1:10" x14ac:dyDescent="0.25">
      <c r="A4353" s="19" t="s">
        <v>31</v>
      </c>
      <c r="B4353" s="2">
        <v>44074</v>
      </c>
      <c r="C4353" s="1">
        <v>167</v>
      </c>
      <c r="D4353" s="39">
        <f t="shared" si="339"/>
        <v>3338</v>
      </c>
      <c r="E4353" s="1">
        <f>1+1</f>
        <v>2</v>
      </c>
      <c r="F4353" s="39">
        <f t="shared" si="336"/>
        <v>47</v>
      </c>
    </row>
    <row r="4354" spans="1:10" s="393" customFormat="1" x14ac:dyDescent="0.25">
      <c r="A4354" s="19" t="s">
        <v>41</v>
      </c>
      <c r="B4354" s="2">
        <v>44074</v>
      </c>
      <c r="C4354" s="1">
        <v>1</v>
      </c>
      <c r="D4354" s="39">
        <f t="shared" si="339"/>
        <v>84</v>
      </c>
      <c r="E4354" s="1"/>
      <c r="F4354" s="39">
        <f>E4354+F4330</f>
        <v>1</v>
      </c>
      <c r="G4354" s="395"/>
      <c r="H4354" s="395"/>
      <c r="J4354" s="42"/>
    </row>
    <row r="4355" spans="1:10" s="393" customFormat="1" x14ac:dyDescent="0.25">
      <c r="A4355" s="19" t="s">
        <v>32</v>
      </c>
      <c r="B4355" s="2">
        <v>44074</v>
      </c>
      <c r="C4355" s="1">
        <v>327</v>
      </c>
      <c r="D4355" s="39">
        <f t="shared" si="339"/>
        <v>8418</v>
      </c>
      <c r="E4355" s="1"/>
      <c r="F4355" s="39">
        <f t="shared" si="336"/>
        <v>196</v>
      </c>
      <c r="G4355" s="395"/>
      <c r="H4355" s="395"/>
      <c r="J4355" s="42"/>
    </row>
    <row r="4356" spans="1:10" s="393" customFormat="1" x14ac:dyDescent="0.25">
      <c r="A4356" s="19" t="s">
        <v>33</v>
      </c>
      <c r="B4356" s="2">
        <v>44074</v>
      </c>
      <c r="C4356" s="1">
        <v>4</v>
      </c>
      <c r="D4356" s="39">
        <f t="shared" si="339"/>
        <v>204</v>
      </c>
      <c r="E4356" s="1"/>
      <c r="F4356" s="39">
        <f t="shared" si="336"/>
        <v>2</v>
      </c>
      <c r="G4356" s="395"/>
      <c r="H4356" s="395"/>
      <c r="J4356" s="42"/>
    </row>
    <row r="4357" spans="1:10" s="393" customFormat="1" x14ac:dyDescent="0.25">
      <c r="A4357" s="19" t="s">
        <v>21</v>
      </c>
      <c r="B4357" s="2">
        <v>44074</v>
      </c>
      <c r="C4357" s="1">
        <v>171</v>
      </c>
      <c r="D4357" s="39">
        <f t="shared" si="339"/>
        <v>1588</v>
      </c>
      <c r="E4357" s="1"/>
      <c r="F4357" s="39">
        <f t="shared" si="336"/>
        <v>31</v>
      </c>
      <c r="G4357" s="395"/>
      <c r="H4357" s="395"/>
      <c r="J4357" s="42"/>
    </row>
    <row r="4358" spans="1:10" s="393" customFormat="1" x14ac:dyDescent="0.25">
      <c r="A4358" s="19" t="s">
        <v>17</v>
      </c>
      <c r="B4358" s="2">
        <v>44074</v>
      </c>
      <c r="C4358" s="1">
        <v>281</v>
      </c>
      <c r="D4358" s="39">
        <f t="shared" si="339"/>
        <v>6830</v>
      </c>
      <c r="E4358" s="1">
        <f>1+1+1</f>
        <v>3</v>
      </c>
      <c r="F4358" s="39">
        <f t="shared" si="336"/>
        <v>78</v>
      </c>
      <c r="G4358" s="395"/>
      <c r="H4358" s="395"/>
      <c r="J4358" s="42"/>
    </row>
    <row r="4359" spans="1:10" s="393" customFormat="1" x14ac:dyDescent="0.25">
      <c r="A4359" s="19" t="s">
        <v>23</v>
      </c>
      <c r="B4359" s="2">
        <v>44074</v>
      </c>
      <c r="C4359" s="1">
        <v>0</v>
      </c>
      <c r="D4359" s="39">
        <f t="shared" si="339"/>
        <v>62</v>
      </c>
      <c r="E4359" s="1"/>
      <c r="F4359" s="39">
        <f t="shared" si="336"/>
        <v>2</v>
      </c>
      <c r="G4359" s="395"/>
      <c r="H4359" s="395"/>
      <c r="J4359" s="42"/>
    </row>
    <row r="4360" spans="1:10" s="393" customFormat="1" x14ac:dyDescent="0.25">
      <c r="A4360" s="19" t="s">
        <v>19</v>
      </c>
      <c r="B4360" s="2">
        <v>44074</v>
      </c>
      <c r="C4360" s="1">
        <v>104</v>
      </c>
      <c r="D4360" s="39">
        <f>C4360+D4336</f>
        <v>3036</v>
      </c>
      <c r="E4360" s="1">
        <f>2</f>
        <v>2</v>
      </c>
      <c r="F4360" s="39">
        <f t="shared" si="336"/>
        <v>23</v>
      </c>
      <c r="G4360" s="395"/>
      <c r="H4360" s="395"/>
      <c r="J4360" s="42"/>
    </row>
    <row r="4361" spans="1:10" s="393" customFormat="1" x14ac:dyDescent="0.25">
      <c r="A4361" s="19" t="s">
        <v>18</v>
      </c>
      <c r="B4361" s="2">
        <v>44074</v>
      </c>
      <c r="C4361" s="1">
        <v>126</v>
      </c>
      <c r="D4361" s="39">
        <f>C4361+D4337</f>
        <v>5996</v>
      </c>
      <c r="E4361" s="1">
        <f>2</f>
        <v>2</v>
      </c>
      <c r="F4361" s="39">
        <f t="shared" si="336"/>
        <v>95</v>
      </c>
      <c r="G4361" s="395"/>
      <c r="H4361" s="395"/>
      <c r="J4361" s="42"/>
    </row>
    <row r="4362" spans="1:10" s="393" customFormat="1" x14ac:dyDescent="0.25">
      <c r="A4362" s="19" t="s">
        <v>34</v>
      </c>
      <c r="B4362" s="2">
        <v>44074</v>
      </c>
      <c r="C4362" s="1">
        <v>159</v>
      </c>
      <c r="D4362" s="39">
        <f>C4362+D4338</f>
        <v>3320</v>
      </c>
      <c r="E4362" s="1">
        <f>1+2+1</f>
        <v>4</v>
      </c>
      <c r="F4362" s="39">
        <f>E4362+F4338</f>
        <v>45</v>
      </c>
      <c r="G4362" s="395"/>
      <c r="H4362" s="395"/>
      <c r="J4362" s="42"/>
    </row>
    <row r="4363" spans="1:10" s="393" customFormat="1" x14ac:dyDescent="0.25">
      <c r="A4363" s="19" t="s">
        <v>35</v>
      </c>
      <c r="B4363" s="2">
        <v>44074</v>
      </c>
      <c r="C4363" s="1">
        <v>2</v>
      </c>
      <c r="D4363" s="39">
        <f t="shared" ref="D4363:D4369" si="340">C4363+D4339</f>
        <v>223</v>
      </c>
      <c r="E4363" s="1"/>
      <c r="F4363" s="39">
        <f>E4363+F4339</f>
        <v>0</v>
      </c>
      <c r="G4363" s="395"/>
      <c r="H4363" s="395"/>
      <c r="J4363" s="42"/>
    </row>
    <row r="4364" spans="1:10" s="393" customFormat="1" x14ac:dyDescent="0.25">
      <c r="A4364" s="19" t="s">
        <v>36</v>
      </c>
      <c r="B4364" s="2">
        <v>44074</v>
      </c>
      <c r="C4364" s="1">
        <v>62</v>
      </c>
      <c r="D4364" s="39">
        <f t="shared" si="340"/>
        <v>147</v>
      </c>
      <c r="E4364" s="1"/>
      <c r="F4364" s="39">
        <f>E4364+F4340</f>
        <v>0</v>
      </c>
      <c r="G4364" s="395"/>
      <c r="H4364" s="395"/>
      <c r="J4364" s="42"/>
    </row>
    <row r="4365" spans="1:10" s="393" customFormat="1" x14ac:dyDescent="0.25">
      <c r="A4365" s="19" t="s">
        <v>37</v>
      </c>
      <c r="B4365" s="2">
        <v>44074</v>
      </c>
      <c r="C4365" s="1">
        <v>37</v>
      </c>
      <c r="D4365" s="39">
        <f t="shared" si="340"/>
        <v>1771</v>
      </c>
      <c r="E4365" s="1"/>
      <c r="F4365" s="39">
        <f t="shared" ref="F4365:F4370" si="341">E4365+F4341</f>
        <v>13</v>
      </c>
      <c r="G4365" s="395"/>
      <c r="H4365" s="395"/>
      <c r="J4365" s="42"/>
    </row>
    <row r="4366" spans="1:10" s="393" customFormat="1" x14ac:dyDescent="0.25">
      <c r="A4366" s="19" t="s">
        <v>22</v>
      </c>
      <c r="B4366" s="2">
        <v>44074</v>
      </c>
      <c r="C4366" s="1">
        <v>475</v>
      </c>
      <c r="D4366" s="39">
        <f t="shared" si="340"/>
        <v>7905</v>
      </c>
      <c r="E4366" s="1">
        <f>1+6+3</f>
        <v>10</v>
      </c>
      <c r="F4366" s="39">
        <f t="shared" si="341"/>
        <v>90</v>
      </c>
      <c r="G4366" s="395"/>
      <c r="H4366" s="395"/>
      <c r="J4366" s="42"/>
    </row>
    <row r="4367" spans="1:10" s="393" customFormat="1" x14ac:dyDescent="0.25">
      <c r="A4367" s="19" t="s">
        <v>38</v>
      </c>
      <c r="B4367" s="2">
        <v>44074</v>
      </c>
      <c r="C4367" s="1">
        <v>40</v>
      </c>
      <c r="D4367" s="39">
        <f t="shared" si="340"/>
        <v>938</v>
      </c>
      <c r="E4367" s="1">
        <f>1</f>
        <v>1</v>
      </c>
      <c r="F4367" s="39">
        <f t="shared" si="341"/>
        <v>11</v>
      </c>
      <c r="G4367" s="395"/>
      <c r="H4367" s="395"/>
      <c r="J4367" s="42"/>
    </row>
    <row r="4368" spans="1:10" s="393" customFormat="1" x14ac:dyDescent="0.25">
      <c r="A4368" s="19" t="s">
        <v>39</v>
      </c>
      <c r="B4368" s="2">
        <v>44074</v>
      </c>
      <c r="C4368" s="1">
        <v>38</v>
      </c>
      <c r="D4368" s="39">
        <f t="shared" si="340"/>
        <v>2020</v>
      </c>
      <c r="E4368" s="1">
        <f>1</f>
        <v>1</v>
      </c>
      <c r="F4368" s="39">
        <f t="shared" si="341"/>
        <v>29</v>
      </c>
      <c r="G4368" s="395"/>
      <c r="H4368" s="395"/>
      <c r="J4368" s="42"/>
    </row>
    <row r="4369" spans="1:10" s="393" customFormat="1" x14ac:dyDescent="0.25">
      <c r="A4369" s="19" t="s">
        <v>40</v>
      </c>
      <c r="B4369" s="2">
        <v>44074</v>
      </c>
      <c r="C4369" s="1">
        <v>250</v>
      </c>
      <c r="D4369" s="39">
        <f t="shared" si="340"/>
        <v>2243</v>
      </c>
      <c r="E4369" s="1">
        <f>1</f>
        <v>1</v>
      </c>
      <c r="F4369" s="39">
        <f t="shared" si="341"/>
        <v>14</v>
      </c>
      <c r="G4369" s="395"/>
      <c r="H4369" s="395"/>
      <c r="J4369" s="42"/>
    </row>
    <row r="4370" spans="1:10" s="393" customFormat="1" x14ac:dyDescent="0.25">
      <c r="A4370" s="394" t="s">
        <v>16</v>
      </c>
      <c r="B4370" s="2">
        <v>44075</v>
      </c>
      <c r="C4370" s="1">
        <v>6157</v>
      </c>
      <c r="D4370" s="39">
        <f>C4370+D4346</f>
        <v>264950</v>
      </c>
      <c r="E4370" s="1">
        <v>176</v>
      </c>
      <c r="F4370" s="39">
        <f t="shared" si="341"/>
        <v>5333</v>
      </c>
      <c r="G4370" s="395"/>
      <c r="H4370" s="395"/>
      <c r="J4370" s="42"/>
    </row>
    <row r="4371" spans="1:10" s="393" customFormat="1" x14ac:dyDescent="0.25">
      <c r="A4371" s="19" t="s">
        <v>43</v>
      </c>
      <c r="B4371" s="2">
        <v>44075</v>
      </c>
      <c r="C4371" s="1">
        <v>1395</v>
      </c>
      <c r="D4371" s="39">
        <f t="shared" ref="D4371:D4383" si="342">C4371+D4347</f>
        <v>96999</v>
      </c>
      <c r="E4371" s="1">
        <v>53</v>
      </c>
      <c r="F4371" s="39">
        <f t="shared" ref="F4371:F4409" si="343">E4371+F4347</f>
        <v>2292</v>
      </c>
      <c r="G4371" s="395"/>
      <c r="H4371" s="395"/>
      <c r="J4371" s="42"/>
    </row>
    <row r="4372" spans="1:10" s="393" customFormat="1" x14ac:dyDescent="0.25">
      <c r="A4372" s="19" t="s">
        <v>28</v>
      </c>
      <c r="B4372" s="2">
        <v>44075</v>
      </c>
      <c r="C4372" s="1">
        <v>1</v>
      </c>
      <c r="D4372" s="39">
        <f t="shared" si="342"/>
        <v>67</v>
      </c>
      <c r="E4372" s="1"/>
      <c r="F4372" s="39">
        <f t="shared" si="343"/>
        <v>0</v>
      </c>
      <c r="G4372" s="395"/>
      <c r="H4372" s="395"/>
      <c r="J4372" s="42"/>
    </row>
    <row r="4373" spans="1:10" s="393" customFormat="1" x14ac:dyDescent="0.25">
      <c r="A4373" s="19" t="s">
        <v>15</v>
      </c>
      <c r="B4373" s="2">
        <v>44075</v>
      </c>
      <c r="C4373" s="1">
        <v>75</v>
      </c>
      <c r="D4373" s="39">
        <f t="shared" si="342"/>
        <v>5492</v>
      </c>
      <c r="E4373" s="1"/>
      <c r="F4373" s="39">
        <f t="shared" si="343"/>
        <v>216</v>
      </c>
      <c r="G4373" s="395"/>
      <c r="H4373" s="395"/>
      <c r="J4373" s="42"/>
    </row>
    <row r="4374" spans="1:10" s="393" customFormat="1" x14ac:dyDescent="0.25">
      <c r="A4374" s="19" t="s">
        <v>29</v>
      </c>
      <c r="B4374" s="2">
        <v>44075</v>
      </c>
      <c r="C4374" s="1">
        <v>56</v>
      </c>
      <c r="D4374" s="39">
        <f t="shared" si="342"/>
        <v>955</v>
      </c>
      <c r="E4374" s="1"/>
      <c r="F4374" s="39">
        <f t="shared" si="343"/>
        <v>7</v>
      </c>
      <c r="G4374" s="395"/>
      <c r="H4374" s="395"/>
      <c r="J4374" s="42"/>
    </row>
    <row r="4375" spans="1:10" s="393" customFormat="1" x14ac:dyDescent="0.25">
      <c r="A4375" s="19" t="s">
        <v>20</v>
      </c>
      <c r="B4375" s="2">
        <v>44075</v>
      </c>
      <c r="C4375" s="1">
        <v>392</v>
      </c>
      <c r="D4375" s="39">
        <f t="shared" si="342"/>
        <v>8914</v>
      </c>
      <c r="E4375" s="1">
        <f>1+1</f>
        <v>2</v>
      </c>
      <c r="F4375" s="39">
        <f t="shared" si="343"/>
        <v>127</v>
      </c>
      <c r="G4375" s="395"/>
      <c r="H4375" s="395"/>
      <c r="J4375" s="42"/>
    </row>
    <row r="4376" spans="1:10" s="393" customFormat="1" x14ac:dyDescent="0.25">
      <c r="A4376" s="19" t="s">
        <v>30</v>
      </c>
      <c r="B4376" s="2">
        <v>44075</v>
      </c>
      <c r="C4376" s="1">
        <v>3</v>
      </c>
      <c r="D4376" s="39">
        <f t="shared" si="342"/>
        <v>314</v>
      </c>
      <c r="E4376" s="1"/>
      <c r="F4376" s="39">
        <f t="shared" si="343"/>
        <v>5</v>
      </c>
      <c r="G4376" s="395"/>
      <c r="H4376" s="395"/>
      <c r="J4376" s="42"/>
    </row>
    <row r="4377" spans="1:10" x14ac:dyDescent="0.25">
      <c r="A4377" s="19" t="s">
        <v>31</v>
      </c>
      <c r="B4377" s="2">
        <v>44075</v>
      </c>
      <c r="C4377" s="1">
        <v>312</v>
      </c>
      <c r="D4377" s="39">
        <f t="shared" si="342"/>
        <v>3650</v>
      </c>
      <c r="E4377" s="1">
        <f>1+1</f>
        <v>2</v>
      </c>
      <c r="F4377" s="39">
        <f t="shared" si="343"/>
        <v>49</v>
      </c>
    </row>
    <row r="4378" spans="1:10" s="393" customFormat="1" x14ac:dyDescent="0.25">
      <c r="A4378" s="19" t="s">
        <v>41</v>
      </c>
      <c r="B4378" s="2">
        <v>44075</v>
      </c>
      <c r="C4378" s="1">
        <v>-1</v>
      </c>
      <c r="D4378" s="39">
        <f t="shared" si="342"/>
        <v>83</v>
      </c>
      <c r="E4378" s="1"/>
      <c r="F4378" s="39">
        <f>E4378+F4354</f>
        <v>1</v>
      </c>
      <c r="G4378" s="395"/>
      <c r="H4378" s="395"/>
      <c r="J4378" s="42"/>
    </row>
    <row r="4379" spans="1:10" s="393" customFormat="1" x14ac:dyDescent="0.25">
      <c r="A4379" s="19" t="s">
        <v>32</v>
      </c>
      <c r="B4379" s="2">
        <v>44075</v>
      </c>
      <c r="C4379" s="1">
        <v>124</v>
      </c>
      <c r="D4379" s="39">
        <f t="shared" si="342"/>
        <v>8542</v>
      </c>
      <c r="E4379" s="1"/>
      <c r="F4379" s="39">
        <f t="shared" si="343"/>
        <v>196</v>
      </c>
      <c r="G4379" s="395"/>
      <c r="H4379" s="395"/>
      <c r="J4379" s="42"/>
    </row>
    <row r="4380" spans="1:10" s="393" customFormat="1" x14ac:dyDescent="0.25">
      <c r="A4380" s="19" t="s">
        <v>33</v>
      </c>
      <c r="B4380" s="2">
        <v>44075</v>
      </c>
      <c r="C4380" s="1">
        <v>8</v>
      </c>
      <c r="D4380" s="39">
        <f t="shared" si="342"/>
        <v>212</v>
      </c>
      <c r="E4380" s="1">
        <f>1</f>
        <v>1</v>
      </c>
      <c r="F4380" s="39">
        <f t="shared" si="343"/>
        <v>3</v>
      </c>
      <c r="G4380" s="395"/>
      <c r="H4380" s="395"/>
      <c r="J4380" s="42"/>
    </row>
    <row r="4381" spans="1:10" s="393" customFormat="1" x14ac:dyDescent="0.25">
      <c r="A4381" s="19" t="s">
        <v>21</v>
      </c>
      <c r="B4381" s="2">
        <v>44075</v>
      </c>
      <c r="C4381" s="1">
        <v>40</v>
      </c>
      <c r="D4381" s="39">
        <f t="shared" si="342"/>
        <v>1628</v>
      </c>
      <c r="E4381" s="1">
        <f>2+6</f>
        <v>8</v>
      </c>
      <c r="F4381" s="39">
        <f t="shared" si="343"/>
        <v>39</v>
      </c>
      <c r="G4381" s="395"/>
      <c r="H4381" s="395"/>
      <c r="J4381" s="42"/>
    </row>
    <row r="4382" spans="1:10" s="393" customFormat="1" x14ac:dyDescent="0.25">
      <c r="A4382" s="19" t="s">
        <v>17</v>
      </c>
      <c r="B4382" s="2">
        <v>44075</v>
      </c>
      <c r="C4382" s="1">
        <v>361</v>
      </c>
      <c r="D4382" s="39">
        <f t="shared" si="342"/>
        <v>7191</v>
      </c>
      <c r="E4382" s="1">
        <f>2+1</f>
        <v>3</v>
      </c>
      <c r="F4382" s="39">
        <f t="shared" si="343"/>
        <v>81</v>
      </c>
      <c r="G4382" s="395"/>
      <c r="H4382" s="395"/>
      <c r="J4382" s="42"/>
    </row>
    <row r="4383" spans="1:10" s="393" customFormat="1" x14ac:dyDescent="0.25">
      <c r="A4383" s="19" t="s">
        <v>23</v>
      </c>
      <c r="B4383" s="2">
        <v>44075</v>
      </c>
      <c r="C4383" s="1">
        <v>4</v>
      </c>
      <c r="D4383" s="39">
        <f t="shared" si="342"/>
        <v>66</v>
      </c>
      <c r="E4383" s="1"/>
      <c r="F4383" s="39">
        <f t="shared" si="343"/>
        <v>2</v>
      </c>
      <c r="G4383" s="395"/>
      <c r="H4383" s="395"/>
      <c r="J4383" s="42"/>
    </row>
    <row r="4384" spans="1:10" s="393" customFormat="1" x14ac:dyDescent="0.25">
      <c r="A4384" s="19" t="s">
        <v>19</v>
      </c>
      <c r="B4384" s="2">
        <v>44075</v>
      </c>
      <c r="C4384" s="1">
        <v>136</v>
      </c>
      <c r="D4384" s="39">
        <f>C4384+D4360</f>
        <v>3172</v>
      </c>
      <c r="E4384" s="1">
        <f>1+1+1</f>
        <v>3</v>
      </c>
      <c r="F4384" s="39">
        <f t="shared" si="343"/>
        <v>26</v>
      </c>
      <c r="G4384" s="395"/>
      <c r="H4384" s="395"/>
      <c r="J4384" s="42"/>
    </row>
    <row r="4385" spans="1:10" s="393" customFormat="1" x14ac:dyDescent="0.25">
      <c r="A4385" s="19" t="s">
        <v>18</v>
      </c>
      <c r="B4385" s="2">
        <v>44075</v>
      </c>
      <c r="C4385" s="1">
        <v>179</v>
      </c>
      <c r="D4385" s="39">
        <f>C4385+D4361</f>
        <v>6175</v>
      </c>
      <c r="E4385" s="1">
        <f>2+1</f>
        <v>3</v>
      </c>
      <c r="F4385" s="39">
        <f t="shared" si="343"/>
        <v>98</v>
      </c>
      <c r="G4385" s="395"/>
      <c r="H4385" s="395"/>
      <c r="J4385" s="42"/>
    </row>
    <row r="4386" spans="1:10" s="393" customFormat="1" x14ac:dyDescent="0.25">
      <c r="A4386" s="19" t="s">
        <v>34</v>
      </c>
      <c r="B4386" s="2">
        <v>44075</v>
      </c>
      <c r="C4386" s="1">
        <v>183</v>
      </c>
      <c r="D4386" s="39">
        <f>C4386+D4362</f>
        <v>3503</v>
      </c>
      <c r="E4386" s="1"/>
      <c r="F4386" s="39">
        <f>E4386+F4362</f>
        <v>45</v>
      </c>
      <c r="G4386" s="395"/>
      <c r="H4386" s="395"/>
      <c r="J4386" s="42"/>
    </row>
    <row r="4387" spans="1:10" s="393" customFormat="1" x14ac:dyDescent="0.25">
      <c r="A4387" s="19" t="s">
        <v>35</v>
      </c>
      <c r="B4387" s="2">
        <v>44075</v>
      </c>
      <c r="C4387" s="1">
        <v>0</v>
      </c>
      <c r="D4387" s="39">
        <f t="shared" ref="D4387:D4393" si="344">C4387+D4363</f>
        <v>223</v>
      </c>
      <c r="E4387" s="1"/>
      <c r="F4387" s="39">
        <f>E4387+F4363</f>
        <v>0</v>
      </c>
      <c r="G4387" s="395"/>
      <c r="H4387" s="395"/>
      <c r="J4387" s="42"/>
    </row>
    <row r="4388" spans="1:10" s="393" customFormat="1" x14ac:dyDescent="0.25">
      <c r="A4388" s="19" t="s">
        <v>36</v>
      </c>
      <c r="B4388" s="2">
        <v>44075</v>
      </c>
      <c r="C4388" s="1">
        <v>9</v>
      </c>
      <c r="D4388" s="39">
        <f t="shared" si="344"/>
        <v>156</v>
      </c>
      <c r="E4388" s="1"/>
      <c r="F4388" s="39">
        <f t="shared" si="343"/>
        <v>0</v>
      </c>
      <c r="G4388" s="395"/>
      <c r="H4388" s="395"/>
      <c r="J4388" s="42"/>
    </row>
    <row r="4389" spans="1:10" s="393" customFormat="1" x14ac:dyDescent="0.25">
      <c r="A4389" s="19" t="s">
        <v>37</v>
      </c>
      <c r="B4389" s="2">
        <v>44075</v>
      </c>
      <c r="C4389" s="1">
        <v>37</v>
      </c>
      <c r="D4389" s="39">
        <f t="shared" si="344"/>
        <v>1808</v>
      </c>
      <c r="E4389" s="1">
        <f>1</f>
        <v>1</v>
      </c>
      <c r="F4389" s="39">
        <f t="shared" ref="F4389:F4395" si="345">E4389+F4365</f>
        <v>14</v>
      </c>
      <c r="G4389" s="395"/>
      <c r="H4389" s="395"/>
      <c r="J4389" s="42"/>
    </row>
    <row r="4390" spans="1:10" s="393" customFormat="1" x14ac:dyDescent="0.25">
      <c r="A4390" s="19" t="s">
        <v>22</v>
      </c>
      <c r="B4390" s="2">
        <v>44075</v>
      </c>
      <c r="C4390" s="1">
        <v>677</v>
      </c>
      <c r="D4390" s="39">
        <f t="shared" si="344"/>
        <v>8582</v>
      </c>
      <c r="E4390" s="1">
        <f>1+1+1+2</f>
        <v>5</v>
      </c>
      <c r="F4390" s="39">
        <f t="shared" si="345"/>
        <v>95</v>
      </c>
      <c r="G4390" s="395"/>
      <c r="H4390" s="395"/>
      <c r="J4390" s="42"/>
    </row>
    <row r="4391" spans="1:10" s="393" customFormat="1" x14ac:dyDescent="0.25">
      <c r="A4391" s="19" t="s">
        <v>38</v>
      </c>
      <c r="B4391" s="2">
        <v>44075</v>
      </c>
      <c r="C4391" s="1">
        <v>38</v>
      </c>
      <c r="D4391" s="39">
        <f t="shared" si="344"/>
        <v>976</v>
      </c>
      <c r="E4391" s="1">
        <f>1+1</f>
        <v>2</v>
      </c>
      <c r="F4391" s="39">
        <f t="shared" si="345"/>
        <v>13</v>
      </c>
      <c r="G4391" s="395"/>
      <c r="H4391" s="395"/>
      <c r="J4391" s="42"/>
    </row>
    <row r="4392" spans="1:10" s="393" customFormat="1" x14ac:dyDescent="0.25">
      <c r="A4392" s="19" t="s">
        <v>39</v>
      </c>
      <c r="B4392" s="2">
        <v>44075</v>
      </c>
      <c r="C4392" s="1">
        <v>82</v>
      </c>
      <c r="D4392" s="39">
        <f t="shared" si="344"/>
        <v>2102</v>
      </c>
      <c r="E4392" s="1"/>
      <c r="F4392" s="39">
        <f t="shared" si="345"/>
        <v>29</v>
      </c>
      <c r="G4392" s="395"/>
      <c r="H4392" s="395"/>
      <c r="J4392" s="42"/>
    </row>
    <row r="4393" spans="1:10" s="393" customFormat="1" x14ac:dyDescent="0.25">
      <c r="A4393" s="19" t="s">
        <v>40</v>
      </c>
      <c r="B4393" s="2">
        <v>44075</v>
      </c>
      <c r="C4393" s="1">
        <v>236</v>
      </c>
      <c r="D4393" s="39">
        <f t="shared" si="344"/>
        <v>2479</v>
      </c>
      <c r="E4393" s="1"/>
      <c r="F4393" s="39">
        <f t="shared" si="345"/>
        <v>14</v>
      </c>
      <c r="G4393" s="395"/>
      <c r="H4393" s="395"/>
      <c r="J4393" s="42"/>
    </row>
    <row r="4394" spans="1:10" s="393" customFormat="1" x14ac:dyDescent="0.25">
      <c r="A4394" s="394" t="s">
        <v>16</v>
      </c>
      <c r="B4394" s="2">
        <v>44076</v>
      </c>
      <c r="C4394" s="1">
        <v>6235</v>
      </c>
      <c r="D4394" s="39">
        <f>C4394+D4370</f>
        <v>271185</v>
      </c>
      <c r="E4394" s="1">
        <f>22+12+45+30</f>
        <v>109</v>
      </c>
      <c r="F4394" s="39">
        <f t="shared" si="345"/>
        <v>5442</v>
      </c>
      <c r="G4394" s="395"/>
      <c r="H4394" s="395"/>
      <c r="J4394" s="42"/>
    </row>
    <row r="4395" spans="1:10" s="393" customFormat="1" x14ac:dyDescent="0.25">
      <c r="A4395" s="19" t="s">
        <v>43</v>
      </c>
      <c r="B4395" s="2">
        <v>44076</v>
      </c>
      <c r="C4395" s="1">
        <v>1346</v>
      </c>
      <c r="D4395" s="39">
        <f t="shared" ref="D4395:D4407" si="346">C4395+D4371</f>
        <v>98345</v>
      </c>
      <c r="E4395" s="1">
        <v>47</v>
      </c>
      <c r="F4395" s="39">
        <f t="shared" si="345"/>
        <v>2339</v>
      </c>
      <c r="G4395" s="395"/>
      <c r="H4395" s="395"/>
      <c r="J4395" s="42"/>
    </row>
    <row r="4396" spans="1:10" s="393" customFormat="1" x14ac:dyDescent="0.25">
      <c r="A4396" s="19" t="s">
        <v>28</v>
      </c>
      <c r="B4396" s="2">
        <v>44076</v>
      </c>
      <c r="C4396" s="1">
        <v>0</v>
      </c>
      <c r="D4396" s="39">
        <f t="shared" si="346"/>
        <v>67</v>
      </c>
      <c r="E4396" s="1"/>
      <c r="F4396" s="39">
        <f t="shared" si="343"/>
        <v>0</v>
      </c>
      <c r="G4396" s="395"/>
      <c r="H4396" s="395"/>
      <c r="J4396" s="42"/>
    </row>
    <row r="4397" spans="1:10" s="393" customFormat="1" x14ac:dyDescent="0.25">
      <c r="A4397" s="19" t="s">
        <v>15</v>
      </c>
      <c r="B4397" s="2">
        <v>44076</v>
      </c>
      <c r="C4397" s="1">
        <v>84</v>
      </c>
      <c r="D4397" s="39">
        <f t="shared" si="346"/>
        <v>5576</v>
      </c>
      <c r="E4397" s="1"/>
      <c r="F4397" s="39">
        <f t="shared" si="343"/>
        <v>216</v>
      </c>
      <c r="G4397" s="395"/>
      <c r="H4397" s="395"/>
      <c r="J4397" s="42"/>
    </row>
    <row r="4398" spans="1:10" s="393" customFormat="1" x14ac:dyDescent="0.25">
      <c r="A4398" s="19" t="s">
        <v>29</v>
      </c>
      <c r="B4398" s="2">
        <v>44076</v>
      </c>
      <c r="C4398" s="1">
        <v>28</v>
      </c>
      <c r="D4398" s="39">
        <f t="shared" si="346"/>
        <v>983</v>
      </c>
      <c r="E4398" s="1"/>
      <c r="F4398" s="39">
        <f t="shared" si="343"/>
        <v>7</v>
      </c>
      <c r="G4398" s="395"/>
      <c r="H4398" s="395"/>
      <c r="J4398" s="42"/>
    </row>
    <row r="4399" spans="1:10" s="393" customFormat="1" x14ac:dyDescent="0.25">
      <c r="A4399" s="19" t="s">
        <v>20</v>
      </c>
      <c r="B4399" s="2">
        <v>44076</v>
      </c>
      <c r="C4399" s="1">
        <v>480</v>
      </c>
      <c r="D4399" s="39">
        <f t="shared" si="346"/>
        <v>9394</v>
      </c>
      <c r="E4399" s="1">
        <f>1+1+3</f>
        <v>5</v>
      </c>
      <c r="F4399" s="39">
        <f t="shared" si="343"/>
        <v>132</v>
      </c>
      <c r="G4399" s="395"/>
      <c r="H4399" s="395"/>
      <c r="J4399" s="42"/>
    </row>
    <row r="4400" spans="1:10" s="393" customFormat="1" x14ac:dyDescent="0.25">
      <c r="A4400" s="19" t="s">
        <v>30</v>
      </c>
      <c r="B4400" s="2">
        <v>44076</v>
      </c>
      <c r="C4400" s="1">
        <v>7</v>
      </c>
      <c r="D4400" s="39">
        <f t="shared" si="346"/>
        <v>321</v>
      </c>
      <c r="E4400" s="1"/>
      <c r="F4400" s="39">
        <f t="shared" si="343"/>
        <v>5</v>
      </c>
      <c r="G4400" s="395"/>
      <c r="H4400" s="395"/>
      <c r="J4400" s="42"/>
    </row>
    <row r="4401" spans="1:10" x14ac:dyDescent="0.25">
      <c r="A4401" s="19" t="s">
        <v>31</v>
      </c>
      <c r="B4401" s="2">
        <v>44076</v>
      </c>
      <c r="C4401" s="1">
        <v>188</v>
      </c>
      <c r="D4401" s="39">
        <f t="shared" si="346"/>
        <v>3838</v>
      </c>
      <c r="E4401" s="1">
        <f>4+1</f>
        <v>5</v>
      </c>
      <c r="F4401" s="39">
        <f t="shared" si="343"/>
        <v>54</v>
      </c>
    </row>
    <row r="4402" spans="1:10" s="393" customFormat="1" x14ac:dyDescent="0.25">
      <c r="A4402" s="19" t="s">
        <v>41</v>
      </c>
      <c r="B4402" s="2">
        <v>44076</v>
      </c>
      <c r="C4402" s="1">
        <v>1</v>
      </c>
      <c r="D4402" s="39">
        <f t="shared" si="346"/>
        <v>84</v>
      </c>
      <c r="E4402" s="1"/>
      <c r="F4402" s="39">
        <f>E4402+F4378</f>
        <v>1</v>
      </c>
      <c r="G4402" s="395"/>
      <c r="H4402" s="395"/>
      <c r="J4402" s="42"/>
    </row>
    <row r="4403" spans="1:10" s="393" customFormat="1" x14ac:dyDescent="0.25">
      <c r="A4403" s="19" t="s">
        <v>32</v>
      </c>
      <c r="B4403" s="2">
        <v>44076</v>
      </c>
      <c r="C4403" s="1">
        <v>318</v>
      </c>
      <c r="D4403" s="39">
        <f t="shared" si="346"/>
        <v>8860</v>
      </c>
      <c r="E4403" s="1">
        <f>2+3+6</f>
        <v>11</v>
      </c>
      <c r="F4403" s="39">
        <f t="shared" si="343"/>
        <v>207</v>
      </c>
      <c r="G4403" s="395"/>
      <c r="H4403" s="395"/>
      <c r="J4403" s="42"/>
    </row>
    <row r="4404" spans="1:10" s="393" customFormat="1" x14ac:dyDescent="0.25">
      <c r="A4404" s="19" t="s">
        <v>33</v>
      </c>
      <c r="B4404" s="2">
        <v>44076</v>
      </c>
      <c r="C4404" s="1">
        <v>1</v>
      </c>
      <c r="D4404" s="39">
        <f t="shared" si="346"/>
        <v>213</v>
      </c>
      <c r="E4404" s="1"/>
      <c r="F4404" s="39">
        <f t="shared" si="343"/>
        <v>3</v>
      </c>
      <c r="G4404" s="395"/>
      <c r="H4404" s="395"/>
      <c r="J4404" s="42"/>
    </row>
    <row r="4405" spans="1:10" s="393" customFormat="1" x14ac:dyDescent="0.25">
      <c r="A4405" s="19" t="s">
        <v>21</v>
      </c>
      <c r="B4405" s="2">
        <v>44076</v>
      </c>
      <c r="C4405" s="1">
        <v>67</v>
      </c>
      <c r="D4405" s="39">
        <f t="shared" si="346"/>
        <v>1695</v>
      </c>
      <c r="E4405" s="1"/>
      <c r="F4405" s="39">
        <f t="shared" si="343"/>
        <v>39</v>
      </c>
      <c r="G4405" s="395"/>
      <c r="H4405" s="395"/>
      <c r="J4405" s="42"/>
    </row>
    <row r="4406" spans="1:10" s="393" customFormat="1" x14ac:dyDescent="0.25">
      <c r="A4406" s="19" t="s">
        <v>17</v>
      </c>
      <c r="B4406" s="2">
        <v>44076</v>
      </c>
      <c r="C4406" s="1">
        <v>413</v>
      </c>
      <c r="D4406" s="39">
        <f t="shared" si="346"/>
        <v>7604</v>
      </c>
      <c r="E4406" s="1">
        <f>1+2+1</f>
        <v>4</v>
      </c>
      <c r="F4406" s="39">
        <f t="shared" si="343"/>
        <v>85</v>
      </c>
      <c r="G4406" s="395"/>
      <c r="H4406" s="395"/>
      <c r="J4406" s="42"/>
    </row>
    <row r="4407" spans="1:10" s="393" customFormat="1" x14ac:dyDescent="0.25">
      <c r="A4407" s="19" t="s">
        <v>23</v>
      </c>
      <c r="B4407" s="2">
        <v>44076</v>
      </c>
      <c r="C4407" s="1">
        <v>-2</v>
      </c>
      <c r="D4407" s="39">
        <f t="shared" si="346"/>
        <v>64</v>
      </c>
      <c r="E4407" s="1"/>
      <c r="F4407" s="39">
        <f t="shared" si="343"/>
        <v>2</v>
      </c>
      <c r="G4407" s="395"/>
      <c r="H4407" s="395"/>
      <c r="J4407" s="42"/>
    </row>
    <row r="4408" spans="1:10" s="393" customFormat="1" x14ac:dyDescent="0.25">
      <c r="A4408" s="19" t="s">
        <v>19</v>
      </c>
      <c r="B4408" s="2">
        <v>44076</v>
      </c>
      <c r="C4408" s="1">
        <v>91</v>
      </c>
      <c r="D4408" s="39">
        <f>C4408+D4384</f>
        <v>3263</v>
      </c>
      <c r="E4408" s="1"/>
      <c r="F4408" s="39">
        <f t="shared" si="343"/>
        <v>26</v>
      </c>
      <c r="G4408" s="395"/>
      <c r="H4408" s="395"/>
      <c r="J4408" s="42"/>
    </row>
    <row r="4409" spans="1:10" s="393" customFormat="1" x14ac:dyDescent="0.25">
      <c r="A4409" s="19" t="s">
        <v>18</v>
      </c>
      <c r="B4409" s="2">
        <v>44076</v>
      </c>
      <c r="C4409" s="1">
        <v>173</v>
      </c>
      <c r="D4409" s="39">
        <f>C4409+D4385</f>
        <v>6348</v>
      </c>
      <c r="E4409" s="1">
        <f>1+6</f>
        <v>7</v>
      </c>
      <c r="F4409" s="39">
        <f t="shared" si="343"/>
        <v>105</v>
      </c>
      <c r="G4409" s="395"/>
      <c r="H4409" s="395"/>
      <c r="J4409" s="42"/>
    </row>
    <row r="4410" spans="1:10" s="393" customFormat="1" x14ac:dyDescent="0.25">
      <c r="A4410" s="19" t="s">
        <v>34</v>
      </c>
      <c r="B4410" s="2">
        <v>44076</v>
      </c>
      <c r="C4410" s="1">
        <v>184</v>
      </c>
      <c r="D4410" s="39">
        <f>C4410+D4386</f>
        <v>3687</v>
      </c>
      <c r="E4410" s="1">
        <f>1</f>
        <v>1</v>
      </c>
      <c r="F4410" s="39">
        <f>E4410+F4386</f>
        <v>46</v>
      </c>
      <c r="G4410" s="395"/>
      <c r="H4410" s="395"/>
      <c r="J4410" s="42"/>
    </row>
    <row r="4411" spans="1:10" s="393" customFormat="1" x14ac:dyDescent="0.25">
      <c r="A4411" s="19" t="s">
        <v>35</v>
      </c>
      <c r="B4411" s="2">
        <v>44076</v>
      </c>
      <c r="C4411" s="1">
        <v>32</v>
      </c>
      <c r="D4411" s="39">
        <f t="shared" ref="D4411:D4417" si="347">C4411+D4387</f>
        <v>255</v>
      </c>
      <c r="E4411" s="1"/>
      <c r="F4411" s="39">
        <f>E4411+F4387</f>
        <v>0</v>
      </c>
      <c r="G4411" s="395"/>
      <c r="H4411" s="395"/>
      <c r="J4411" s="42"/>
    </row>
    <row r="4412" spans="1:10" s="393" customFormat="1" x14ac:dyDescent="0.25">
      <c r="A4412" s="19" t="s">
        <v>36</v>
      </c>
      <c r="B4412" s="2">
        <v>44076</v>
      </c>
      <c r="C4412" s="1">
        <v>21</v>
      </c>
      <c r="D4412" s="39">
        <f t="shared" si="347"/>
        <v>177</v>
      </c>
      <c r="E4412" s="1"/>
      <c r="F4412" s="39">
        <f>E4412+F4388</f>
        <v>0</v>
      </c>
      <c r="G4412" s="395"/>
      <c r="H4412" s="395"/>
      <c r="J4412" s="42"/>
    </row>
    <row r="4413" spans="1:10" s="393" customFormat="1" x14ac:dyDescent="0.25">
      <c r="A4413" s="19" t="s">
        <v>37</v>
      </c>
      <c r="B4413" s="2">
        <v>44076</v>
      </c>
      <c r="C4413" s="1">
        <v>107</v>
      </c>
      <c r="D4413" s="39">
        <f t="shared" si="347"/>
        <v>1915</v>
      </c>
      <c r="E4413" s="1">
        <f>1</f>
        <v>1</v>
      </c>
      <c r="F4413" s="39">
        <f t="shared" ref="F4413:F4418" si="348">E4413+F4389</f>
        <v>15</v>
      </c>
      <c r="G4413" s="395"/>
      <c r="H4413" s="395"/>
      <c r="J4413" s="42"/>
    </row>
    <row r="4414" spans="1:10" s="393" customFormat="1" x14ac:dyDescent="0.25">
      <c r="A4414" s="19" t="s">
        <v>22</v>
      </c>
      <c r="B4414" s="2">
        <v>44076</v>
      </c>
      <c r="C4414" s="1">
        <v>747</v>
      </c>
      <c r="D4414" s="39">
        <f t="shared" si="347"/>
        <v>9329</v>
      </c>
      <c r="E4414" s="1">
        <f>1+3+2</f>
        <v>6</v>
      </c>
      <c r="F4414" s="39">
        <f t="shared" si="348"/>
        <v>101</v>
      </c>
      <c r="G4414" s="395"/>
      <c r="H4414" s="395"/>
      <c r="J4414" s="42"/>
    </row>
    <row r="4415" spans="1:10" s="393" customFormat="1" x14ac:dyDescent="0.25">
      <c r="A4415" s="19" t="s">
        <v>38</v>
      </c>
      <c r="B4415" s="2">
        <v>44076</v>
      </c>
      <c r="C4415" s="1">
        <v>55</v>
      </c>
      <c r="D4415" s="39">
        <f t="shared" si="347"/>
        <v>1031</v>
      </c>
      <c r="E4415" s="1"/>
      <c r="F4415" s="39">
        <f t="shared" si="348"/>
        <v>13</v>
      </c>
      <c r="G4415" s="395"/>
      <c r="H4415" s="395"/>
      <c r="J4415" s="42"/>
    </row>
    <row r="4416" spans="1:10" s="393" customFormat="1" x14ac:dyDescent="0.25">
      <c r="A4416" s="19" t="s">
        <v>39</v>
      </c>
      <c r="B4416" s="2">
        <v>44076</v>
      </c>
      <c r="C4416" s="1">
        <v>33</v>
      </c>
      <c r="D4416" s="39">
        <f t="shared" si="347"/>
        <v>2135</v>
      </c>
      <c r="E4416" s="1">
        <f>2</f>
        <v>2</v>
      </c>
      <c r="F4416" s="39">
        <f t="shared" si="348"/>
        <v>31</v>
      </c>
      <c r="G4416" s="395"/>
      <c r="H4416" s="395"/>
      <c r="J4416" s="42"/>
    </row>
    <row r="4417" spans="1:10" s="393" customFormat="1" x14ac:dyDescent="0.25">
      <c r="A4417" s="19" t="s">
        <v>40</v>
      </c>
      <c r="B4417" s="2">
        <v>44076</v>
      </c>
      <c r="C4417" s="1">
        <v>324</v>
      </c>
      <c r="D4417" s="39">
        <f t="shared" si="347"/>
        <v>2803</v>
      </c>
      <c r="E4417" s="1"/>
      <c r="F4417" s="39">
        <f t="shared" si="348"/>
        <v>14</v>
      </c>
      <c r="G4417" s="395"/>
      <c r="H4417" s="395"/>
      <c r="J4417" s="42"/>
    </row>
    <row r="4418" spans="1:10" s="393" customFormat="1" x14ac:dyDescent="0.25">
      <c r="A4418" s="394" t="s">
        <v>16</v>
      </c>
      <c r="B4418" s="2">
        <v>44077</v>
      </c>
      <c r="C4418" s="1">
        <v>6990</v>
      </c>
      <c r="D4418" s="39">
        <f>C4418+D4394</f>
        <v>278175</v>
      </c>
      <c r="E4418" s="1">
        <v>182</v>
      </c>
      <c r="F4418" s="39">
        <f t="shared" si="348"/>
        <v>5624</v>
      </c>
      <c r="G4418" s="395"/>
      <c r="H4418" s="395"/>
      <c r="J4418" s="42"/>
    </row>
    <row r="4419" spans="1:10" s="393" customFormat="1" x14ac:dyDescent="0.25">
      <c r="A4419" s="19" t="s">
        <v>43</v>
      </c>
      <c r="B4419" s="2">
        <v>44077</v>
      </c>
      <c r="C4419" s="1">
        <v>1411</v>
      </c>
      <c r="D4419" s="39">
        <f t="shared" ref="D4419:D4431" si="349">C4419+D4395</f>
        <v>99756</v>
      </c>
      <c r="E4419" s="1">
        <f>4+10+17</f>
        <v>31</v>
      </c>
      <c r="F4419" s="39">
        <f t="shared" ref="F4419:F4457" si="350">E4419+F4395</f>
        <v>2370</v>
      </c>
      <c r="G4419" s="395"/>
      <c r="H4419" s="395"/>
      <c r="J4419" s="42"/>
    </row>
    <row r="4420" spans="1:10" s="393" customFormat="1" x14ac:dyDescent="0.25">
      <c r="A4420" s="19" t="s">
        <v>28</v>
      </c>
      <c r="B4420" s="2">
        <v>44077</v>
      </c>
      <c r="C4420" s="1">
        <v>3</v>
      </c>
      <c r="D4420" s="39">
        <f t="shared" si="349"/>
        <v>70</v>
      </c>
      <c r="E4420" s="1"/>
      <c r="F4420" s="39">
        <f t="shared" si="350"/>
        <v>0</v>
      </c>
      <c r="G4420" s="395"/>
      <c r="H4420" s="395"/>
      <c r="J4420" s="42"/>
    </row>
    <row r="4421" spans="1:10" s="393" customFormat="1" x14ac:dyDescent="0.25">
      <c r="A4421" s="19" t="s">
        <v>15</v>
      </c>
      <c r="B4421" s="2">
        <v>44077</v>
      </c>
      <c r="C4421" s="1">
        <v>106</v>
      </c>
      <c r="D4421" s="39">
        <f t="shared" si="349"/>
        <v>5682</v>
      </c>
      <c r="E4421" s="1">
        <v>3</v>
      </c>
      <c r="F4421" s="39">
        <f t="shared" si="350"/>
        <v>219</v>
      </c>
      <c r="G4421" s="395"/>
      <c r="H4421" s="395"/>
      <c r="J4421" s="42"/>
    </row>
    <row r="4422" spans="1:10" s="393" customFormat="1" x14ac:dyDescent="0.25">
      <c r="A4422" s="19" t="s">
        <v>29</v>
      </c>
      <c r="B4422" s="2">
        <v>44077</v>
      </c>
      <c r="C4422" s="1">
        <v>79</v>
      </c>
      <c r="D4422" s="39">
        <f t="shared" si="349"/>
        <v>1062</v>
      </c>
      <c r="E4422" s="1"/>
      <c r="F4422" s="39">
        <f t="shared" si="350"/>
        <v>7</v>
      </c>
      <c r="G4422" s="395"/>
      <c r="H4422" s="395"/>
      <c r="J4422" s="42"/>
    </row>
    <row r="4423" spans="1:10" s="393" customFormat="1" x14ac:dyDescent="0.25">
      <c r="A4423" s="19" t="s">
        <v>20</v>
      </c>
      <c r="B4423" s="2">
        <v>44077</v>
      </c>
      <c r="C4423" s="1">
        <v>449</v>
      </c>
      <c r="D4423" s="39">
        <f t="shared" si="349"/>
        <v>9843</v>
      </c>
      <c r="E4423" s="1">
        <f>1+5+1</f>
        <v>7</v>
      </c>
      <c r="F4423" s="39">
        <f t="shared" si="350"/>
        <v>139</v>
      </c>
      <c r="G4423" s="395"/>
      <c r="H4423" s="395"/>
      <c r="J4423" s="42"/>
    </row>
    <row r="4424" spans="1:10" s="393" customFormat="1" x14ac:dyDescent="0.25">
      <c r="A4424" s="19" t="s">
        <v>30</v>
      </c>
      <c r="B4424" s="2">
        <v>44077</v>
      </c>
      <c r="C4424" s="1">
        <v>9</v>
      </c>
      <c r="D4424" s="39">
        <f t="shared" si="349"/>
        <v>330</v>
      </c>
      <c r="E4424" s="1"/>
      <c r="F4424" s="39">
        <f t="shared" si="350"/>
        <v>5</v>
      </c>
      <c r="G4424" s="395"/>
      <c r="H4424" s="395"/>
      <c r="J4424" s="42"/>
    </row>
    <row r="4425" spans="1:10" x14ac:dyDescent="0.25">
      <c r="A4425" s="19" t="s">
        <v>31</v>
      </c>
      <c r="B4425" s="2">
        <v>44077</v>
      </c>
      <c r="C4425" s="1">
        <v>109</v>
      </c>
      <c r="D4425" s="39">
        <f t="shared" si="349"/>
        <v>3947</v>
      </c>
      <c r="F4425" s="39">
        <f t="shared" si="350"/>
        <v>54</v>
      </c>
    </row>
    <row r="4426" spans="1:10" s="393" customFormat="1" x14ac:dyDescent="0.25">
      <c r="A4426" s="19" t="s">
        <v>41</v>
      </c>
      <c r="B4426" s="2">
        <v>44077</v>
      </c>
      <c r="C4426" s="1">
        <v>4</v>
      </c>
      <c r="D4426" s="39">
        <f t="shared" si="349"/>
        <v>88</v>
      </c>
      <c r="E4426" s="1"/>
      <c r="F4426" s="39">
        <f>E4426+F4402</f>
        <v>1</v>
      </c>
      <c r="G4426" s="395"/>
      <c r="H4426" s="395"/>
      <c r="J4426" s="42"/>
    </row>
    <row r="4427" spans="1:10" s="393" customFormat="1" x14ac:dyDescent="0.25">
      <c r="A4427" s="19" t="s">
        <v>32</v>
      </c>
      <c r="B4427" s="2">
        <v>44077</v>
      </c>
      <c r="C4427" s="1">
        <v>357</v>
      </c>
      <c r="D4427" s="39">
        <f t="shared" si="349"/>
        <v>9217</v>
      </c>
      <c r="E4427" s="1">
        <f>2+1</f>
        <v>3</v>
      </c>
      <c r="F4427" s="39">
        <f t="shared" si="350"/>
        <v>210</v>
      </c>
      <c r="G4427" s="395"/>
      <c r="H4427" s="395"/>
      <c r="J4427" s="42"/>
    </row>
    <row r="4428" spans="1:10" s="393" customFormat="1" x14ac:dyDescent="0.25">
      <c r="A4428" s="19" t="s">
        <v>33</v>
      </c>
      <c r="B4428" s="2">
        <v>44077</v>
      </c>
      <c r="C4428" s="1">
        <v>1</v>
      </c>
      <c r="D4428" s="39">
        <f t="shared" si="349"/>
        <v>214</v>
      </c>
      <c r="E4428" s="1">
        <f>1</f>
        <v>1</v>
      </c>
      <c r="F4428" s="39">
        <f t="shared" si="350"/>
        <v>4</v>
      </c>
      <c r="G4428" s="395"/>
      <c r="H4428" s="395"/>
      <c r="J4428" s="42"/>
    </row>
    <row r="4429" spans="1:10" s="393" customFormat="1" x14ac:dyDescent="0.25">
      <c r="A4429" s="19" t="s">
        <v>21</v>
      </c>
      <c r="B4429" s="2">
        <v>44077</v>
      </c>
      <c r="C4429" s="1">
        <v>93</v>
      </c>
      <c r="D4429" s="39">
        <f t="shared" si="349"/>
        <v>1788</v>
      </c>
      <c r="E4429" s="1"/>
      <c r="F4429" s="39">
        <f t="shared" si="350"/>
        <v>39</v>
      </c>
      <c r="G4429" s="395"/>
      <c r="H4429" s="395"/>
      <c r="J4429" s="42"/>
    </row>
    <row r="4430" spans="1:10" s="393" customFormat="1" x14ac:dyDescent="0.25">
      <c r="A4430" s="19" t="s">
        <v>17</v>
      </c>
      <c r="B4430" s="2">
        <v>44077</v>
      </c>
      <c r="C4430" s="1">
        <v>544</v>
      </c>
      <c r="D4430" s="39">
        <f t="shared" si="349"/>
        <v>8148</v>
      </c>
      <c r="E4430" s="1">
        <f>1</f>
        <v>1</v>
      </c>
      <c r="F4430" s="39">
        <f t="shared" si="350"/>
        <v>86</v>
      </c>
      <c r="G4430" s="395"/>
      <c r="H4430" s="395"/>
      <c r="J4430" s="42"/>
    </row>
    <row r="4431" spans="1:10" s="393" customFormat="1" x14ac:dyDescent="0.25">
      <c r="A4431" s="19" t="s">
        <v>23</v>
      </c>
      <c r="B4431" s="2">
        <v>44077</v>
      </c>
      <c r="C4431" s="1">
        <v>0</v>
      </c>
      <c r="D4431" s="39">
        <f t="shared" si="349"/>
        <v>64</v>
      </c>
      <c r="E4431" s="1"/>
      <c r="F4431" s="39">
        <f t="shared" si="350"/>
        <v>2</v>
      </c>
      <c r="G4431" s="395"/>
      <c r="H4431" s="395"/>
      <c r="J4431" s="42"/>
    </row>
    <row r="4432" spans="1:10" s="393" customFormat="1" x14ac:dyDescent="0.25">
      <c r="A4432" s="19" t="s">
        <v>19</v>
      </c>
      <c r="B4432" s="2">
        <v>44077</v>
      </c>
      <c r="C4432" s="1">
        <v>135</v>
      </c>
      <c r="D4432" s="39">
        <f>C4432+D4408</f>
        <v>3398</v>
      </c>
      <c r="E4432" s="1">
        <f>1+1+1</f>
        <v>3</v>
      </c>
      <c r="F4432" s="39">
        <f t="shared" si="350"/>
        <v>29</v>
      </c>
      <c r="G4432" s="395"/>
      <c r="H4432" s="395"/>
      <c r="J4432" s="42"/>
    </row>
    <row r="4433" spans="1:10" s="393" customFormat="1" x14ac:dyDescent="0.25">
      <c r="A4433" s="19" t="s">
        <v>18</v>
      </c>
      <c r="B4433" s="2">
        <v>44077</v>
      </c>
      <c r="C4433" s="1">
        <v>158</v>
      </c>
      <c r="D4433" s="39">
        <f>C4433+D4409</f>
        <v>6506</v>
      </c>
      <c r="E4433" s="1">
        <f>2+4</f>
        <v>6</v>
      </c>
      <c r="F4433" s="39">
        <f t="shared" si="350"/>
        <v>111</v>
      </c>
      <c r="G4433" s="395"/>
      <c r="H4433" s="395"/>
      <c r="J4433" s="42"/>
    </row>
    <row r="4434" spans="1:10" s="393" customFormat="1" x14ac:dyDescent="0.25">
      <c r="A4434" s="19" t="s">
        <v>34</v>
      </c>
      <c r="B4434" s="2">
        <v>44077</v>
      </c>
      <c r="C4434" s="1">
        <v>241</v>
      </c>
      <c r="D4434" s="39">
        <f>C4434+D4410</f>
        <v>3928</v>
      </c>
      <c r="E4434" s="1">
        <f>1</f>
        <v>1</v>
      </c>
      <c r="F4434" s="39">
        <f>E4434+F4410</f>
        <v>47</v>
      </c>
      <c r="G4434" s="395"/>
      <c r="H4434" s="395"/>
      <c r="J4434" s="42"/>
    </row>
    <row r="4435" spans="1:10" s="393" customFormat="1" x14ac:dyDescent="0.25">
      <c r="A4435" s="19" t="s">
        <v>35</v>
      </c>
      <c r="B4435" s="2">
        <v>44077</v>
      </c>
      <c r="C4435" s="1">
        <v>74</v>
      </c>
      <c r="D4435" s="39">
        <f t="shared" ref="D4435:D4441" si="351">C4435+D4411</f>
        <v>329</v>
      </c>
      <c r="E4435" s="1"/>
      <c r="F4435" s="39">
        <f>E4435+F4411</f>
        <v>0</v>
      </c>
      <c r="G4435" s="395"/>
      <c r="H4435" s="395"/>
      <c r="J4435" s="42"/>
    </row>
    <row r="4436" spans="1:10" s="393" customFormat="1" x14ac:dyDescent="0.25">
      <c r="A4436" s="19" t="s">
        <v>36</v>
      </c>
      <c r="B4436" s="2">
        <v>44077</v>
      </c>
      <c r="C4436" s="1">
        <v>18</v>
      </c>
      <c r="D4436" s="39">
        <f t="shared" si="351"/>
        <v>195</v>
      </c>
      <c r="E4436" s="1"/>
      <c r="F4436" s="39">
        <f t="shared" si="350"/>
        <v>0</v>
      </c>
      <c r="G4436" s="395"/>
      <c r="H4436" s="395"/>
      <c r="J4436" s="42"/>
    </row>
    <row r="4437" spans="1:10" s="393" customFormat="1" x14ac:dyDescent="0.25">
      <c r="A4437" s="19" t="s">
        <v>37</v>
      </c>
      <c r="B4437" s="2">
        <v>44077</v>
      </c>
      <c r="C4437" s="1">
        <v>47</v>
      </c>
      <c r="D4437" s="39">
        <f t="shared" si="351"/>
        <v>1962</v>
      </c>
      <c r="E4437" s="1"/>
      <c r="F4437" s="39">
        <f t="shared" ref="F4437:F4442" si="352">E4437+F4413</f>
        <v>15</v>
      </c>
      <c r="G4437" s="395"/>
      <c r="H4437" s="395"/>
      <c r="J4437" s="42"/>
    </row>
    <row r="4438" spans="1:10" s="393" customFormat="1" x14ac:dyDescent="0.25">
      <c r="A4438" s="19" t="s">
        <v>22</v>
      </c>
      <c r="B4438" s="2">
        <v>44077</v>
      </c>
      <c r="C4438" s="1">
        <v>764</v>
      </c>
      <c r="D4438" s="39">
        <f t="shared" si="351"/>
        <v>10093</v>
      </c>
      <c r="E4438" s="1">
        <f>3+2</f>
        <v>5</v>
      </c>
      <c r="F4438" s="39">
        <f t="shared" si="352"/>
        <v>106</v>
      </c>
      <c r="G4438" s="395"/>
      <c r="H4438" s="395"/>
      <c r="J4438" s="42"/>
    </row>
    <row r="4439" spans="1:10" s="393" customFormat="1" x14ac:dyDescent="0.25">
      <c r="A4439" s="19" t="s">
        <v>38</v>
      </c>
      <c r="B4439" s="2">
        <v>44077</v>
      </c>
      <c r="C4439" s="1">
        <v>64</v>
      </c>
      <c r="D4439" s="39">
        <f t="shared" si="351"/>
        <v>1095</v>
      </c>
      <c r="E4439" s="1"/>
      <c r="F4439" s="39">
        <f t="shared" si="352"/>
        <v>13</v>
      </c>
      <c r="G4439" s="395"/>
      <c r="H4439" s="395"/>
      <c r="J4439" s="42"/>
    </row>
    <row r="4440" spans="1:10" s="393" customFormat="1" x14ac:dyDescent="0.25">
      <c r="A4440" s="19" t="s">
        <v>39</v>
      </c>
      <c r="B4440" s="2">
        <v>44077</v>
      </c>
      <c r="C4440" s="1">
        <v>98</v>
      </c>
      <c r="D4440" s="39">
        <f t="shared" si="351"/>
        <v>2233</v>
      </c>
      <c r="E4440" s="1">
        <f>1</f>
        <v>1</v>
      </c>
      <c r="F4440" s="39">
        <f t="shared" si="352"/>
        <v>32</v>
      </c>
      <c r="G4440" s="395"/>
      <c r="H4440" s="395"/>
      <c r="J4440" s="42"/>
    </row>
    <row r="4441" spans="1:10" s="393" customFormat="1" x14ac:dyDescent="0.25">
      <c r="A4441" s="19" t="s">
        <v>40</v>
      </c>
      <c r="B4441" s="2">
        <v>44077</v>
      </c>
      <c r="C4441" s="1">
        <v>272</v>
      </c>
      <c r="D4441" s="39">
        <f t="shared" si="351"/>
        <v>3075</v>
      </c>
      <c r="E4441" s="1"/>
      <c r="F4441" s="39">
        <f t="shared" si="352"/>
        <v>14</v>
      </c>
      <c r="G4441" s="395"/>
      <c r="H4441" s="395"/>
      <c r="J4441" s="42"/>
    </row>
    <row r="4442" spans="1:10" s="393" customFormat="1" x14ac:dyDescent="0.25">
      <c r="A4442" s="394" t="s">
        <v>16</v>
      </c>
      <c r="B4442" s="2">
        <v>44078</v>
      </c>
      <c r="C4442" s="1">
        <v>5682</v>
      </c>
      <c r="D4442" s="39">
        <f>C4442+D4418</f>
        <v>283857</v>
      </c>
      <c r="E4442" s="1">
        <v>175</v>
      </c>
      <c r="F4442" s="39">
        <f t="shared" si="352"/>
        <v>5799</v>
      </c>
      <c r="G4442" s="395"/>
      <c r="H4442" s="395"/>
      <c r="J4442" s="42"/>
    </row>
    <row r="4443" spans="1:10" s="393" customFormat="1" x14ac:dyDescent="0.25">
      <c r="A4443" s="19" t="s">
        <v>43</v>
      </c>
      <c r="B4443" s="2">
        <v>44078</v>
      </c>
      <c r="C4443" s="1">
        <v>1278</v>
      </c>
      <c r="D4443" s="39">
        <f t="shared" ref="D4443:D4455" si="353">C4443+D4419</f>
        <v>101034</v>
      </c>
      <c r="E4443" s="1">
        <v>43</v>
      </c>
      <c r="F4443" s="39">
        <f t="shared" si="350"/>
        <v>2413</v>
      </c>
      <c r="G4443" s="395"/>
      <c r="H4443" s="395"/>
      <c r="J4443" s="42"/>
    </row>
    <row r="4444" spans="1:10" s="393" customFormat="1" x14ac:dyDescent="0.25">
      <c r="A4444" s="19" t="s">
        <v>28</v>
      </c>
      <c r="B4444" s="2">
        <v>44078</v>
      </c>
      <c r="C4444" s="1">
        <v>1</v>
      </c>
      <c r="D4444" s="39">
        <f t="shared" si="353"/>
        <v>71</v>
      </c>
      <c r="E4444" s="1"/>
      <c r="F4444" s="39">
        <f t="shared" si="350"/>
        <v>0</v>
      </c>
      <c r="G4444" s="395"/>
      <c r="H4444" s="395"/>
      <c r="J4444" s="42"/>
    </row>
    <row r="4445" spans="1:10" s="393" customFormat="1" x14ac:dyDescent="0.25">
      <c r="A4445" s="19" t="s">
        <v>15</v>
      </c>
      <c r="B4445" s="2">
        <v>44078</v>
      </c>
      <c r="C4445" s="1">
        <v>89</v>
      </c>
      <c r="D4445" s="39">
        <f t="shared" si="353"/>
        <v>5771</v>
      </c>
      <c r="E4445" s="1">
        <f>1+1</f>
        <v>2</v>
      </c>
      <c r="F4445" s="39">
        <f t="shared" si="350"/>
        <v>221</v>
      </c>
      <c r="G4445" s="395"/>
      <c r="H4445" s="395"/>
      <c r="J4445" s="42"/>
    </row>
    <row r="4446" spans="1:10" s="393" customFormat="1" x14ac:dyDescent="0.25">
      <c r="A4446" s="19" t="s">
        <v>29</v>
      </c>
      <c r="B4446" s="2">
        <v>44078</v>
      </c>
      <c r="C4446" s="1">
        <v>39</v>
      </c>
      <c r="D4446" s="39">
        <f t="shared" si="353"/>
        <v>1101</v>
      </c>
      <c r="E4446" s="1"/>
      <c r="F4446" s="39">
        <f t="shared" si="350"/>
        <v>7</v>
      </c>
      <c r="G4446" s="395"/>
      <c r="H4446" s="395"/>
      <c r="J4446" s="42"/>
    </row>
    <row r="4447" spans="1:10" s="393" customFormat="1" x14ac:dyDescent="0.25">
      <c r="A4447" s="19" t="s">
        <v>20</v>
      </c>
      <c r="B4447" s="2">
        <v>44078</v>
      </c>
      <c r="C4447" s="1">
        <v>498</v>
      </c>
      <c r="D4447" s="39">
        <f t="shared" si="353"/>
        <v>10341</v>
      </c>
      <c r="E4447" s="1">
        <f>1+4+2</f>
        <v>7</v>
      </c>
      <c r="F4447" s="39">
        <f t="shared" si="350"/>
        <v>146</v>
      </c>
      <c r="G4447" s="395"/>
      <c r="H4447" s="395"/>
      <c r="J4447" s="42"/>
    </row>
    <row r="4448" spans="1:10" s="393" customFormat="1" x14ac:dyDescent="0.25">
      <c r="A4448" s="19" t="s">
        <v>30</v>
      </c>
      <c r="B4448" s="2">
        <v>44078</v>
      </c>
      <c r="C4448" s="1">
        <v>3</v>
      </c>
      <c r="D4448" s="39">
        <f t="shared" si="353"/>
        <v>333</v>
      </c>
      <c r="E4448" s="1"/>
      <c r="F4448" s="39">
        <f t="shared" si="350"/>
        <v>5</v>
      </c>
      <c r="G4448" s="395"/>
      <c r="H4448" s="395"/>
      <c r="J4448" s="42"/>
    </row>
    <row r="4449" spans="1:10" x14ac:dyDescent="0.25">
      <c r="A4449" s="19" t="s">
        <v>31</v>
      </c>
      <c r="B4449" s="2">
        <v>44078</v>
      </c>
      <c r="C4449" s="1">
        <v>166</v>
      </c>
      <c r="D4449" s="39">
        <f t="shared" si="353"/>
        <v>4113</v>
      </c>
      <c r="E4449" s="1">
        <v>1</v>
      </c>
      <c r="F4449" s="39">
        <f t="shared" si="350"/>
        <v>55</v>
      </c>
    </row>
    <row r="4450" spans="1:10" s="393" customFormat="1" x14ac:dyDescent="0.25">
      <c r="A4450" s="19" t="s">
        <v>41</v>
      </c>
      <c r="B4450" s="2">
        <v>44078</v>
      </c>
      <c r="C4450" s="1">
        <v>2</v>
      </c>
      <c r="D4450" s="39">
        <f t="shared" si="353"/>
        <v>90</v>
      </c>
      <c r="E4450" s="1"/>
      <c r="F4450" s="39">
        <f>E4450+F4426</f>
        <v>1</v>
      </c>
      <c r="G4450" s="395"/>
      <c r="H4450" s="395"/>
      <c r="J4450" s="42"/>
    </row>
    <row r="4451" spans="1:10" s="393" customFormat="1" x14ac:dyDescent="0.25">
      <c r="A4451" s="19" t="s">
        <v>32</v>
      </c>
      <c r="B4451" s="2">
        <v>44078</v>
      </c>
      <c r="C4451" s="1">
        <v>332</v>
      </c>
      <c r="D4451" s="39">
        <f t="shared" si="353"/>
        <v>9549</v>
      </c>
      <c r="E4451" s="1">
        <f>4+1</f>
        <v>5</v>
      </c>
      <c r="F4451" s="39">
        <f t="shared" si="350"/>
        <v>215</v>
      </c>
      <c r="G4451" s="395"/>
      <c r="H4451" s="395"/>
      <c r="J4451" s="42"/>
    </row>
    <row r="4452" spans="1:10" s="393" customFormat="1" x14ac:dyDescent="0.25">
      <c r="A4452" s="19" t="s">
        <v>33</v>
      </c>
      <c r="B4452" s="2">
        <v>44078</v>
      </c>
      <c r="C4452" s="1">
        <v>7</v>
      </c>
      <c r="D4452" s="39">
        <f t="shared" si="353"/>
        <v>221</v>
      </c>
      <c r="E4452" s="1"/>
      <c r="F4452" s="39">
        <f t="shared" si="350"/>
        <v>4</v>
      </c>
      <c r="G4452" s="395"/>
      <c r="H4452" s="395"/>
      <c r="J4452" s="42"/>
    </row>
    <row r="4453" spans="1:10" s="393" customFormat="1" x14ac:dyDescent="0.25">
      <c r="A4453" s="19" t="s">
        <v>21</v>
      </c>
      <c r="B4453" s="2">
        <v>44078</v>
      </c>
      <c r="C4453" s="1">
        <v>99</v>
      </c>
      <c r="D4453" s="39">
        <f t="shared" si="353"/>
        <v>1887</v>
      </c>
      <c r="E4453" s="1"/>
      <c r="F4453" s="39">
        <f t="shared" si="350"/>
        <v>39</v>
      </c>
      <c r="G4453" s="395"/>
      <c r="H4453" s="395"/>
      <c r="J4453" s="42"/>
    </row>
    <row r="4454" spans="1:10" s="393" customFormat="1" x14ac:dyDescent="0.25">
      <c r="A4454" s="19" t="s">
        <v>17</v>
      </c>
      <c r="B4454" s="2">
        <v>44078</v>
      </c>
      <c r="C4454" s="1">
        <v>653</v>
      </c>
      <c r="D4454" s="39">
        <f t="shared" si="353"/>
        <v>8801</v>
      </c>
      <c r="E4454" s="1">
        <f>1+1</f>
        <v>2</v>
      </c>
      <c r="F4454" s="39">
        <f t="shared" si="350"/>
        <v>88</v>
      </c>
      <c r="G4454" s="395"/>
      <c r="H4454" s="395"/>
      <c r="J4454" s="42"/>
    </row>
    <row r="4455" spans="1:10" s="393" customFormat="1" x14ac:dyDescent="0.25">
      <c r="A4455" s="19" t="s">
        <v>23</v>
      </c>
      <c r="B4455" s="2">
        <v>44078</v>
      </c>
      <c r="C4455" s="1">
        <v>1</v>
      </c>
      <c r="D4455" s="39">
        <f t="shared" si="353"/>
        <v>65</v>
      </c>
      <c r="E4455" s="1"/>
      <c r="F4455" s="39">
        <f t="shared" si="350"/>
        <v>2</v>
      </c>
      <c r="G4455" s="395"/>
      <c r="H4455" s="395"/>
      <c r="J4455" s="42"/>
    </row>
    <row r="4456" spans="1:10" s="393" customFormat="1" x14ac:dyDescent="0.25">
      <c r="A4456" s="19" t="s">
        <v>19</v>
      </c>
      <c r="B4456" s="2">
        <v>44078</v>
      </c>
      <c r="C4456" s="1">
        <v>73</v>
      </c>
      <c r="D4456" s="39">
        <f>C4456+D4432</f>
        <v>3471</v>
      </c>
      <c r="E4456" s="1"/>
      <c r="F4456" s="39">
        <f t="shared" si="350"/>
        <v>29</v>
      </c>
      <c r="G4456" s="395"/>
      <c r="H4456" s="395"/>
      <c r="J4456" s="42"/>
    </row>
    <row r="4457" spans="1:10" s="393" customFormat="1" x14ac:dyDescent="0.25">
      <c r="A4457" s="19" t="s">
        <v>18</v>
      </c>
      <c r="B4457" s="2">
        <v>44078</v>
      </c>
      <c r="C4457" s="1">
        <v>262</v>
      </c>
      <c r="D4457" s="39">
        <f>C4457+D4433</f>
        <v>6768</v>
      </c>
      <c r="E4457" s="1">
        <f>1+1+3+2</f>
        <v>7</v>
      </c>
      <c r="F4457" s="39">
        <f t="shared" si="350"/>
        <v>118</v>
      </c>
      <c r="G4457" s="395"/>
      <c r="H4457" s="395"/>
      <c r="J4457" s="42"/>
    </row>
    <row r="4458" spans="1:10" s="393" customFormat="1" x14ac:dyDescent="0.25">
      <c r="A4458" s="19" t="s">
        <v>34</v>
      </c>
      <c r="B4458" s="2">
        <v>44078</v>
      </c>
      <c r="C4458" s="1">
        <v>269</v>
      </c>
      <c r="D4458" s="39">
        <f>C4458+D4434</f>
        <v>4197</v>
      </c>
      <c r="E4458" s="1">
        <f>5+3</f>
        <v>8</v>
      </c>
      <c r="F4458" s="39">
        <f>E4458+F4434</f>
        <v>55</v>
      </c>
      <c r="G4458" s="395"/>
      <c r="H4458" s="395"/>
      <c r="J4458" s="42"/>
    </row>
    <row r="4459" spans="1:10" s="393" customFormat="1" x14ac:dyDescent="0.25">
      <c r="A4459" s="19" t="s">
        <v>35</v>
      </c>
      <c r="B4459" s="2">
        <v>44078</v>
      </c>
      <c r="C4459" s="1">
        <v>29</v>
      </c>
      <c r="D4459" s="39">
        <f t="shared" ref="D4459:D4465" si="354">C4459+D4435</f>
        <v>358</v>
      </c>
      <c r="E4459" s="1"/>
      <c r="F4459" s="39">
        <f>E4459+F4435</f>
        <v>0</v>
      </c>
      <c r="G4459" s="395"/>
      <c r="H4459" s="395"/>
      <c r="J4459" s="42"/>
    </row>
    <row r="4460" spans="1:10" s="393" customFormat="1" x14ac:dyDescent="0.25">
      <c r="A4460" s="19" t="s">
        <v>36</v>
      </c>
      <c r="B4460" s="2">
        <v>44078</v>
      </c>
      <c r="C4460" s="1">
        <v>15</v>
      </c>
      <c r="D4460" s="39">
        <f t="shared" si="354"/>
        <v>210</v>
      </c>
      <c r="E4460" s="1"/>
      <c r="F4460" s="39">
        <f>E4460+F4436</f>
        <v>0</v>
      </c>
      <c r="G4460" s="395"/>
      <c r="H4460" s="395"/>
      <c r="J4460" s="42"/>
    </row>
    <row r="4461" spans="1:10" s="393" customFormat="1" x14ac:dyDescent="0.25">
      <c r="A4461" s="19" t="s">
        <v>37</v>
      </c>
      <c r="B4461" s="2">
        <v>44078</v>
      </c>
      <c r="C4461" s="1">
        <v>67</v>
      </c>
      <c r="D4461" s="39">
        <f t="shared" si="354"/>
        <v>2029</v>
      </c>
      <c r="E4461" s="1">
        <v>1</v>
      </c>
      <c r="F4461" s="39">
        <f t="shared" ref="F4461:F4466" si="355">E4461+F4437</f>
        <v>16</v>
      </c>
      <c r="G4461" s="395"/>
      <c r="H4461" s="395"/>
      <c r="J4461" s="42"/>
    </row>
    <row r="4462" spans="1:10" s="393" customFormat="1" x14ac:dyDescent="0.25">
      <c r="A4462" s="19" t="s">
        <v>22</v>
      </c>
      <c r="B4462" s="2">
        <v>44078</v>
      </c>
      <c r="C4462" s="1">
        <v>713</v>
      </c>
      <c r="D4462" s="39">
        <f t="shared" si="354"/>
        <v>10806</v>
      </c>
      <c r="E4462" s="1">
        <f>2+2+2+1</f>
        <v>7</v>
      </c>
      <c r="F4462" s="39">
        <f t="shared" si="355"/>
        <v>113</v>
      </c>
      <c r="G4462" s="395"/>
      <c r="H4462" s="395"/>
      <c r="J4462" s="42"/>
    </row>
    <row r="4463" spans="1:10" s="393" customFormat="1" x14ac:dyDescent="0.25">
      <c r="A4463" s="19" t="s">
        <v>38</v>
      </c>
      <c r="B4463" s="2">
        <v>44078</v>
      </c>
      <c r="C4463" s="1">
        <v>57</v>
      </c>
      <c r="D4463" s="39">
        <f t="shared" si="354"/>
        <v>1152</v>
      </c>
      <c r="E4463" s="1"/>
      <c r="F4463" s="39">
        <f t="shared" si="355"/>
        <v>13</v>
      </c>
      <c r="G4463" s="395"/>
      <c r="H4463" s="395"/>
      <c r="J4463" s="42"/>
    </row>
    <row r="4464" spans="1:10" s="393" customFormat="1" x14ac:dyDescent="0.25">
      <c r="A4464" s="19" t="s">
        <v>39</v>
      </c>
      <c r="B4464" s="2">
        <v>44078</v>
      </c>
      <c r="C4464" s="1">
        <v>39</v>
      </c>
      <c r="D4464" s="39">
        <f t="shared" si="354"/>
        <v>2272</v>
      </c>
      <c r="E4464" s="1">
        <f>1+1+1</f>
        <v>3</v>
      </c>
      <c r="F4464" s="39">
        <f t="shared" si="355"/>
        <v>35</v>
      </c>
      <c r="G4464" s="395"/>
      <c r="H4464" s="395"/>
      <c r="J4464" s="42"/>
    </row>
    <row r="4465" spans="1:10" s="393" customFormat="1" x14ac:dyDescent="0.25">
      <c r="A4465" s="19" t="s">
        <v>40</v>
      </c>
      <c r="B4465" s="2">
        <v>44078</v>
      </c>
      <c r="C4465" s="1">
        <v>310</v>
      </c>
      <c r="D4465" s="39">
        <f t="shared" si="354"/>
        <v>3385</v>
      </c>
      <c r="E4465" s="1"/>
      <c r="F4465" s="39">
        <f t="shared" si="355"/>
        <v>14</v>
      </c>
      <c r="G4465" s="395"/>
      <c r="H4465" s="395"/>
      <c r="J4465" s="42"/>
    </row>
    <row r="4466" spans="1:10" s="393" customFormat="1" x14ac:dyDescent="0.25">
      <c r="A4466" s="394" t="s">
        <v>16</v>
      </c>
      <c r="B4466" s="2">
        <v>44079</v>
      </c>
      <c r="C4466" s="1">
        <v>5320</v>
      </c>
      <c r="D4466" s="39">
        <f>C4466+D4442</f>
        <v>289177</v>
      </c>
      <c r="E4466" s="1">
        <f>24+17+1+14+15</f>
        <v>71</v>
      </c>
      <c r="F4466" s="39">
        <f t="shared" si="355"/>
        <v>5870</v>
      </c>
      <c r="G4466" s="395"/>
      <c r="H4466" s="395"/>
      <c r="J4466" s="42"/>
    </row>
    <row r="4467" spans="1:10" s="393" customFormat="1" x14ac:dyDescent="0.25">
      <c r="A4467" s="19" t="s">
        <v>43</v>
      </c>
      <c r="B4467" s="2">
        <v>44079</v>
      </c>
      <c r="C4467" s="1">
        <v>1084</v>
      </c>
      <c r="D4467" s="39">
        <f t="shared" ref="D4467:D4479" si="356">C4467+D4443</f>
        <v>102118</v>
      </c>
      <c r="E4467" s="1">
        <f>6+4+3</f>
        <v>13</v>
      </c>
      <c r="F4467" s="39">
        <f t="shared" ref="F4467:F4505" si="357">E4467+F4443</f>
        <v>2426</v>
      </c>
      <c r="G4467" s="395"/>
      <c r="H4467" s="395"/>
      <c r="J4467" s="42"/>
    </row>
    <row r="4468" spans="1:10" s="393" customFormat="1" x14ac:dyDescent="0.25">
      <c r="A4468" s="19" t="s">
        <v>28</v>
      </c>
      <c r="B4468" s="2">
        <v>44079</v>
      </c>
      <c r="C4468" s="1">
        <v>10</v>
      </c>
      <c r="D4468" s="39">
        <f t="shared" si="356"/>
        <v>81</v>
      </c>
      <c r="E4468" s="1"/>
      <c r="F4468" s="39">
        <f t="shared" si="357"/>
        <v>0</v>
      </c>
      <c r="G4468" s="395"/>
      <c r="H4468" s="395"/>
      <c r="J4468" s="42"/>
    </row>
    <row r="4469" spans="1:10" s="393" customFormat="1" x14ac:dyDescent="0.25">
      <c r="A4469" s="19" t="s">
        <v>15</v>
      </c>
      <c r="B4469" s="2">
        <v>44079</v>
      </c>
      <c r="C4469" s="1">
        <v>141</v>
      </c>
      <c r="D4469" s="39">
        <f t="shared" si="356"/>
        <v>5912</v>
      </c>
      <c r="E4469" s="1">
        <f>1</f>
        <v>1</v>
      </c>
      <c r="F4469" s="39">
        <f t="shared" si="357"/>
        <v>222</v>
      </c>
      <c r="G4469" s="395"/>
      <c r="H4469" s="395"/>
      <c r="J4469" s="42"/>
    </row>
    <row r="4470" spans="1:10" s="393" customFormat="1" x14ac:dyDescent="0.25">
      <c r="A4470" s="19" t="s">
        <v>29</v>
      </c>
      <c r="B4470" s="2">
        <v>44079</v>
      </c>
      <c r="C4470" s="1">
        <v>77</v>
      </c>
      <c r="D4470" s="39">
        <f t="shared" si="356"/>
        <v>1178</v>
      </c>
      <c r="E4470" s="1"/>
      <c r="F4470" s="39">
        <f t="shared" si="357"/>
        <v>7</v>
      </c>
      <c r="G4470" s="395"/>
      <c r="H4470" s="395"/>
      <c r="J4470" s="42"/>
    </row>
    <row r="4471" spans="1:10" s="393" customFormat="1" x14ac:dyDescent="0.25">
      <c r="A4471" s="19" t="s">
        <v>20</v>
      </c>
      <c r="B4471" s="2">
        <v>44079</v>
      </c>
      <c r="C4471" s="1">
        <v>424</v>
      </c>
      <c r="D4471" s="39">
        <f t="shared" si="356"/>
        <v>10765</v>
      </c>
      <c r="E4471" s="1">
        <f>1+4+3</f>
        <v>8</v>
      </c>
      <c r="F4471" s="39">
        <f t="shared" si="357"/>
        <v>154</v>
      </c>
      <c r="G4471" s="395"/>
      <c r="H4471" s="395"/>
      <c r="J4471" s="42"/>
    </row>
    <row r="4472" spans="1:10" s="393" customFormat="1" x14ac:dyDescent="0.25">
      <c r="A4472" s="19" t="s">
        <v>30</v>
      </c>
      <c r="B4472" s="2">
        <v>44079</v>
      </c>
      <c r="C4472" s="1">
        <v>2</v>
      </c>
      <c r="D4472" s="39">
        <f t="shared" si="356"/>
        <v>335</v>
      </c>
      <c r="E4472" s="1"/>
      <c r="F4472" s="39">
        <f t="shared" si="357"/>
        <v>5</v>
      </c>
      <c r="G4472" s="395"/>
      <c r="H4472" s="395"/>
      <c r="J4472" s="42"/>
    </row>
    <row r="4473" spans="1:10" x14ac:dyDescent="0.25">
      <c r="A4473" s="19" t="s">
        <v>31</v>
      </c>
      <c r="B4473" s="2">
        <v>44079</v>
      </c>
      <c r="C4473" s="1">
        <v>88</v>
      </c>
      <c r="D4473" s="39">
        <f t="shared" si="356"/>
        <v>4201</v>
      </c>
      <c r="E4473" s="1">
        <f>2+1+1</f>
        <v>4</v>
      </c>
      <c r="F4473" s="39">
        <f t="shared" si="357"/>
        <v>59</v>
      </c>
    </row>
    <row r="4474" spans="1:10" s="393" customFormat="1" x14ac:dyDescent="0.25">
      <c r="A4474" s="19" t="s">
        <v>41</v>
      </c>
      <c r="B4474" s="2">
        <v>44079</v>
      </c>
      <c r="C4474" s="1">
        <v>-1</v>
      </c>
      <c r="D4474" s="39">
        <f t="shared" si="356"/>
        <v>89</v>
      </c>
      <c r="E4474" s="1"/>
      <c r="F4474" s="39">
        <f>E4474+F4450</f>
        <v>1</v>
      </c>
      <c r="G4474" s="395"/>
      <c r="H4474" s="395"/>
      <c r="J4474" s="42"/>
    </row>
    <row r="4475" spans="1:10" s="393" customFormat="1" x14ac:dyDescent="0.25">
      <c r="A4475" s="19" t="s">
        <v>32</v>
      </c>
      <c r="B4475" s="2">
        <v>44079</v>
      </c>
      <c r="C4475" s="1">
        <v>326</v>
      </c>
      <c r="D4475" s="39">
        <f t="shared" si="356"/>
        <v>9875</v>
      </c>
      <c r="E4475" s="1"/>
      <c r="F4475" s="39">
        <f t="shared" si="357"/>
        <v>215</v>
      </c>
      <c r="G4475" s="395"/>
      <c r="H4475" s="395"/>
      <c r="J4475" s="42"/>
    </row>
    <row r="4476" spans="1:10" s="393" customFormat="1" x14ac:dyDescent="0.25">
      <c r="A4476" s="19" t="s">
        <v>33</v>
      </c>
      <c r="B4476" s="2">
        <v>44079</v>
      </c>
      <c r="C4476" s="1">
        <v>9</v>
      </c>
      <c r="D4476" s="39">
        <f t="shared" si="356"/>
        <v>230</v>
      </c>
      <c r="E4476" s="1"/>
      <c r="F4476" s="39">
        <f t="shared" si="357"/>
        <v>4</v>
      </c>
      <c r="G4476" s="395"/>
      <c r="H4476" s="395"/>
      <c r="J4476" s="42"/>
    </row>
    <row r="4477" spans="1:10" s="393" customFormat="1" x14ac:dyDescent="0.25">
      <c r="A4477" s="19" t="s">
        <v>21</v>
      </c>
      <c r="B4477" s="2">
        <v>44079</v>
      </c>
      <c r="C4477" s="1">
        <v>58</v>
      </c>
      <c r="D4477" s="39">
        <f t="shared" si="356"/>
        <v>1945</v>
      </c>
      <c r="E4477" s="1"/>
      <c r="F4477" s="39">
        <f t="shared" si="357"/>
        <v>39</v>
      </c>
      <c r="G4477" s="395"/>
      <c r="H4477" s="395"/>
      <c r="J4477" s="42"/>
    </row>
    <row r="4478" spans="1:10" s="393" customFormat="1" x14ac:dyDescent="0.25">
      <c r="A4478" s="19" t="s">
        <v>17</v>
      </c>
      <c r="B4478" s="2">
        <v>44079</v>
      </c>
      <c r="C4478" s="1">
        <v>483</v>
      </c>
      <c r="D4478" s="39">
        <f t="shared" si="356"/>
        <v>9284</v>
      </c>
      <c r="E4478" s="1">
        <f>1</f>
        <v>1</v>
      </c>
      <c r="F4478" s="39">
        <f t="shared" si="357"/>
        <v>89</v>
      </c>
      <c r="G4478" s="395"/>
      <c r="H4478" s="395"/>
      <c r="J4478" s="42"/>
    </row>
    <row r="4479" spans="1:10" s="393" customFormat="1" x14ac:dyDescent="0.25">
      <c r="A4479" s="19" t="s">
        <v>23</v>
      </c>
      <c r="B4479" s="2">
        <v>44079</v>
      </c>
      <c r="C4479" s="1">
        <v>0</v>
      </c>
      <c r="D4479" s="39">
        <f t="shared" si="356"/>
        <v>65</v>
      </c>
      <c r="E4479" s="1"/>
      <c r="F4479" s="39">
        <f t="shared" si="357"/>
        <v>2</v>
      </c>
      <c r="G4479" s="395"/>
      <c r="H4479" s="395"/>
      <c r="J4479" s="42"/>
    </row>
    <row r="4480" spans="1:10" s="393" customFormat="1" x14ac:dyDescent="0.25">
      <c r="A4480" s="19" t="s">
        <v>19</v>
      </c>
      <c r="B4480" s="2">
        <v>44079</v>
      </c>
      <c r="C4480" s="1">
        <v>171</v>
      </c>
      <c r="D4480" s="39">
        <f>C4480+D4456</f>
        <v>3642</v>
      </c>
      <c r="E4480" s="1">
        <f>1</f>
        <v>1</v>
      </c>
      <c r="F4480" s="39">
        <f t="shared" si="357"/>
        <v>30</v>
      </c>
      <c r="G4480" s="395"/>
      <c r="H4480" s="395"/>
      <c r="J4480" s="42"/>
    </row>
    <row r="4481" spans="1:10" s="393" customFormat="1" x14ac:dyDescent="0.25">
      <c r="A4481" s="19" t="s">
        <v>18</v>
      </c>
      <c r="B4481" s="2">
        <v>44079</v>
      </c>
      <c r="C4481" s="1">
        <v>169</v>
      </c>
      <c r="D4481" s="39">
        <f>C4481+D4457</f>
        <v>6937</v>
      </c>
      <c r="E4481" s="1">
        <f>2+2+1</f>
        <v>5</v>
      </c>
      <c r="F4481" s="39">
        <f t="shared" si="357"/>
        <v>123</v>
      </c>
      <c r="G4481" s="395"/>
      <c r="H4481" s="395"/>
      <c r="J4481" s="42"/>
    </row>
    <row r="4482" spans="1:10" s="393" customFormat="1" x14ac:dyDescent="0.25">
      <c r="A4482" s="19" t="s">
        <v>34</v>
      </c>
      <c r="B4482" s="2">
        <v>44079</v>
      </c>
      <c r="C4482" s="1">
        <v>279</v>
      </c>
      <c r="D4482" s="39">
        <f>C4482+D4458</f>
        <v>4476</v>
      </c>
      <c r="E4482" s="1">
        <f>1</f>
        <v>1</v>
      </c>
      <c r="F4482" s="39">
        <f>E4482+F4458</f>
        <v>56</v>
      </c>
      <c r="G4482" s="395"/>
      <c r="H4482" s="395"/>
      <c r="J4482" s="42"/>
    </row>
    <row r="4483" spans="1:10" s="393" customFormat="1" x14ac:dyDescent="0.25">
      <c r="A4483" s="19" t="s">
        <v>35</v>
      </c>
      <c r="B4483" s="2">
        <v>44079</v>
      </c>
      <c r="C4483" s="1">
        <v>15</v>
      </c>
      <c r="D4483" s="39">
        <f t="shared" ref="D4483:D4489" si="358">C4483+D4459</f>
        <v>373</v>
      </c>
      <c r="E4483" s="1"/>
      <c r="F4483" s="39">
        <f>E4483+F4459</f>
        <v>0</v>
      </c>
      <c r="G4483" s="395"/>
      <c r="H4483" s="395"/>
      <c r="J4483" s="42"/>
    </row>
    <row r="4484" spans="1:10" s="393" customFormat="1" x14ac:dyDescent="0.25">
      <c r="A4484" s="19" t="s">
        <v>36</v>
      </c>
      <c r="B4484" s="2">
        <v>44079</v>
      </c>
      <c r="C4484" s="1">
        <v>35</v>
      </c>
      <c r="D4484" s="39">
        <f t="shared" si="358"/>
        <v>245</v>
      </c>
      <c r="E4484" s="1"/>
      <c r="F4484" s="39">
        <f t="shared" si="357"/>
        <v>0</v>
      </c>
      <c r="G4484" s="395"/>
      <c r="H4484" s="395"/>
      <c r="J4484" s="42"/>
    </row>
    <row r="4485" spans="1:10" s="393" customFormat="1" x14ac:dyDescent="0.25">
      <c r="A4485" s="19" t="s">
        <v>37</v>
      </c>
      <c r="B4485" s="2">
        <v>44079</v>
      </c>
      <c r="C4485" s="1">
        <v>138</v>
      </c>
      <c r="D4485" s="39">
        <f t="shared" si="358"/>
        <v>2167</v>
      </c>
      <c r="E4485" s="1"/>
      <c r="F4485" s="39">
        <f t="shared" ref="F4485:F4490" si="359">E4485+F4461</f>
        <v>16</v>
      </c>
      <c r="G4485" s="395"/>
      <c r="H4485" s="395"/>
      <c r="J4485" s="42"/>
    </row>
    <row r="4486" spans="1:10" s="393" customFormat="1" x14ac:dyDescent="0.25">
      <c r="A4486" s="19" t="s">
        <v>22</v>
      </c>
      <c r="B4486" s="2">
        <v>44079</v>
      </c>
      <c r="C4486" s="1">
        <v>698</v>
      </c>
      <c r="D4486" s="39">
        <f t="shared" si="358"/>
        <v>11504</v>
      </c>
      <c r="E4486" s="1">
        <v>6</v>
      </c>
      <c r="F4486" s="39">
        <f t="shared" si="359"/>
        <v>119</v>
      </c>
      <c r="G4486" s="395"/>
      <c r="H4486" s="395"/>
      <c r="J4486" s="42"/>
    </row>
    <row r="4487" spans="1:10" s="393" customFormat="1" x14ac:dyDescent="0.25">
      <c r="A4487" s="19" t="s">
        <v>38</v>
      </c>
      <c r="B4487" s="2">
        <v>44079</v>
      </c>
      <c r="C4487" s="1">
        <v>67</v>
      </c>
      <c r="D4487" s="39">
        <f t="shared" si="358"/>
        <v>1219</v>
      </c>
      <c r="E4487" s="1">
        <f>3</f>
        <v>3</v>
      </c>
      <c r="F4487" s="39">
        <f t="shared" si="359"/>
        <v>16</v>
      </c>
      <c r="G4487" s="395"/>
      <c r="H4487" s="395"/>
      <c r="J4487" s="42"/>
    </row>
    <row r="4488" spans="1:10" s="393" customFormat="1" x14ac:dyDescent="0.25">
      <c r="A4488" s="19" t="s">
        <v>39</v>
      </c>
      <c r="B4488" s="2">
        <v>44079</v>
      </c>
      <c r="C4488" s="1">
        <v>24</v>
      </c>
      <c r="D4488" s="39">
        <f t="shared" si="358"/>
        <v>2296</v>
      </c>
      <c r="E4488" s="1">
        <f>1+1</f>
        <v>2</v>
      </c>
      <c r="F4488" s="39">
        <f t="shared" si="359"/>
        <v>37</v>
      </c>
      <c r="G4488" s="395"/>
      <c r="H4488" s="395"/>
      <c r="J4488" s="42"/>
    </row>
    <row r="4489" spans="1:10" s="393" customFormat="1" x14ac:dyDescent="0.25">
      <c r="A4489" s="19" t="s">
        <v>40</v>
      </c>
      <c r="B4489" s="2">
        <v>44079</v>
      </c>
      <c r="C4489" s="1">
        <v>307</v>
      </c>
      <c r="D4489" s="39">
        <f t="shared" si="358"/>
        <v>3692</v>
      </c>
      <c r="E4489" s="1">
        <f>1</f>
        <v>1</v>
      </c>
      <c r="F4489" s="39">
        <f t="shared" si="359"/>
        <v>15</v>
      </c>
      <c r="G4489" s="395"/>
      <c r="H4489" s="395"/>
      <c r="J4489" s="42"/>
    </row>
    <row r="4490" spans="1:10" s="393" customFormat="1" x14ac:dyDescent="0.25">
      <c r="A4490" s="394" t="s">
        <v>16</v>
      </c>
      <c r="B4490" s="2">
        <v>44080</v>
      </c>
      <c r="C4490" s="1">
        <v>3269</v>
      </c>
      <c r="D4490" s="39">
        <f>C4490+D4466</f>
        <v>292446</v>
      </c>
      <c r="E4490" s="1">
        <v>68</v>
      </c>
      <c r="F4490" s="39">
        <f t="shared" si="359"/>
        <v>5938</v>
      </c>
      <c r="G4490" s="395"/>
      <c r="H4490" s="395"/>
      <c r="J4490" s="42"/>
    </row>
    <row r="4491" spans="1:10" s="393" customFormat="1" x14ac:dyDescent="0.25">
      <c r="A4491" s="19" t="s">
        <v>43</v>
      </c>
      <c r="B4491" s="2">
        <v>44080</v>
      </c>
      <c r="C4491" s="1">
        <v>802</v>
      </c>
      <c r="D4491" s="39">
        <f t="shared" ref="D4491:D4503" si="360">C4491+D4467</f>
        <v>102920</v>
      </c>
      <c r="E4491" s="1">
        <f>7+3+1</f>
        <v>11</v>
      </c>
      <c r="F4491" s="39">
        <f t="shared" si="357"/>
        <v>2437</v>
      </c>
      <c r="G4491" s="395"/>
      <c r="H4491" s="395"/>
      <c r="J4491" s="42"/>
    </row>
    <row r="4492" spans="1:10" s="393" customFormat="1" x14ac:dyDescent="0.25">
      <c r="A4492" s="19" t="s">
        <v>28</v>
      </c>
      <c r="B4492" s="2">
        <v>44080</v>
      </c>
      <c r="C4492" s="1">
        <v>5</v>
      </c>
      <c r="D4492" s="39">
        <f t="shared" si="360"/>
        <v>86</v>
      </c>
      <c r="E4492" s="1"/>
      <c r="F4492" s="39">
        <f t="shared" si="357"/>
        <v>0</v>
      </c>
      <c r="G4492" s="395"/>
      <c r="H4492" s="395"/>
      <c r="J4492" s="42"/>
    </row>
    <row r="4493" spans="1:10" s="393" customFormat="1" x14ac:dyDescent="0.25">
      <c r="A4493" s="19" t="s">
        <v>15</v>
      </c>
      <c r="B4493" s="2">
        <v>44080</v>
      </c>
      <c r="C4493" s="1">
        <v>102</v>
      </c>
      <c r="D4493" s="39">
        <f t="shared" si="360"/>
        <v>6014</v>
      </c>
      <c r="E4493" s="1">
        <f>2+1</f>
        <v>3</v>
      </c>
      <c r="F4493" s="39">
        <f t="shared" si="357"/>
        <v>225</v>
      </c>
      <c r="G4493" s="395"/>
      <c r="H4493" s="395"/>
      <c r="J4493" s="42"/>
    </row>
    <row r="4494" spans="1:10" s="393" customFormat="1" x14ac:dyDescent="0.25">
      <c r="A4494" s="19" t="s">
        <v>29</v>
      </c>
      <c r="B4494" s="2">
        <v>44080</v>
      </c>
      <c r="C4494" s="1">
        <v>39</v>
      </c>
      <c r="D4494" s="39">
        <f t="shared" si="360"/>
        <v>1217</v>
      </c>
      <c r="E4494" s="1"/>
      <c r="F4494" s="39">
        <f t="shared" si="357"/>
        <v>7</v>
      </c>
      <c r="G4494" s="395"/>
      <c r="H4494" s="395"/>
      <c r="J4494" s="42"/>
    </row>
    <row r="4495" spans="1:10" s="393" customFormat="1" x14ac:dyDescent="0.25">
      <c r="A4495" s="19" t="s">
        <v>20</v>
      </c>
      <c r="B4495" s="2">
        <v>44080</v>
      </c>
      <c r="C4495" s="1">
        <v>387</v>
      </c>
      <c r="D4495" s="39">
        <f t="shared" si="360"/>
        <v>11152</v>
      </c>
      <c r="E4495" s="1">
        <f>1+4</f>
        <v>5</v>
      </c>
      <c r="F4495" s="39">
        <f t="shared" si="357"/>
        <v>159</v>
      </c>
      <c r="G4495" s="395"/>
      <c r="H4495" s="395"/>
      <c r="J4495" s="42"/>
    </row>
    <row r="4496" spans="1:10" s="393" customFormat="1" x14ac:dyDescent="0.25">
      <c r="A4496" s="19" t="s">
        <v>30</v>
      </c>
      <c r="B4496" s="2">
        <v>44080</v>
      </c>
      <c r="C4496" s="1">
        <v>10</v>
      </c>
      <c r="D4496" s="39">
        <f t="shared" si="360"/>
        <v>345</v>
      </c>
      <c r="E4496" s="1"/>
      <c r="F4496" s="39">
        <f t="shared" si="357"/>
        <v>5</v>
      </c>
      <c r="G4496" s="395"/>
      <c r="H4496" s="395"/>
      <c r="J4496" s="42"/>
    </row>
    <row r="4497" spans="1:10" x14ac:dyDescent="0.25">
      <c r="A4497" s="19" t="s">
        <v>31</v>
      </c>
      <c r="B4497" s="2">
        <v>44080</v>
      </c>
      <c r="C4497" s="1">
        <v>92</v>
      </c>
      <c r="D4497" s="39">
        <f t="shared" si="360"/>
        <v>4293</v>
      </c>
      <c r="E4497" s="1">
        <f>1</f>
        <v>1</v>
      </c>
      <c r="F4497" s="39">
        <f t="shared" si="357"/>
        <v>60</v>
      </c>
    </row>
    <row r="4498" spans="1:10" s="393" customFormat="1" x14ac:dyDescent="0.25">
      <c r="A4498" s="19" t="s">
        <v>41</v>
      </c>
      <c r="B4498" s="2">
        <v>44080</v>
      </c>
      <c r="C4498" s="1">
        <v>1</v>
      </c>
      <c r="D4498" s="39">
        <f t="shared" si="360"/>
        <v>90</v>
      </c>
      <c r="E4498" s="1"/>
      <c r="F4498" s="39">
        <f>E4498+F4474</f>
        <v>1</v>
      </c>
      <c r="G4498" s="395"/>
      <c r="H4498" s="395"/>
      <c r="J4498" s="42"/>
    </row>
    <row r="4499" spans="1:10" s="393" customFormat="1" x14ac:dyDescent="0.25">
      <c r="A4499" s="19" t="s">
        <v>32</v>
      </c>
      <c r="B4499" s="2">
        <v>44080</v>
      </c>
      <c r="C4499" s="1">
        <v>250</v>
      </c>
      <c r="D4499" s="39">
        <f t="shared" si="360"/>
        <v>10125</v>
      </c>
      <c r="E4499" s="1">
        <f>3+1</f>
        <v>4</v>
      </c>
      <c r="F4499" s="39">
        <f t="shared" si="357"/>
        <v>219</v>
      </c>
      <c r="G4499" s="395"/>
      <c r="H4499" s="395"/>
      <c r="J4499" s="42"/>
    </row>
    <row r="4500" spans="1:10" s="393" customFormat="1" x14ac:dyDescent="0.25">
      <c r="A4500" s="19" t="s">
        <v>33</v>
      </c>
      <c r="B4500" s="2">
        <v>44080</v>
      </c>
      <c r="C4500" s="1">
        <v>4</v>
      </c>
      <c r="D4500" s="39">
        <f t="shared" si="360"/>
        <v>234</v>
      </c>
      <c r="E4500" s="1"/>
      <c r="F4500" s="39">
        <f t="shared" si="357"/>
        <v>4</v>
      </c>
      <c r="G4500" s="395"/>
      <c r="H4500" s="395"/>
      <c r="J4500" s="42"/>
    </row>
    <row r="4501" spans="1:10" s="393" customFormat="1" x14ac:dyDescent="0.25">
      <c r="A4501" s="19" t="s">
        <v>21</v>
      </c>
      <c r="B4501" s="2">
        <v>44080</v>
      </c>
      <c r="C4501" s="1">
        <v>94</v>
      </c>
      <c r="D4501" s="39">
        <f t="shared" si="360"/>
        <v>2039</v>
      </c>
      <c r="E4501" s="1">
        <f>2+1</f>
        <v>3</v>
      </c>
      <c r="F4501" s="39">
        <f t="shared" si="357"/>
        <v>42</v>
      </c>
      <c r="G4501" s="395"/>
      <c r="H4501" s="395"/>
      <c r="J4501" s="42"/>
    </row>
    <row r="4502" spans="1:10" s="393" customFormat="1" x14ac:dyDescent="0.25">
      <c r="A4502" s="19" t="s">
        <v>17</v>
      </c>
      <c r="B4502" s="2">
        <v>44080</v>
      </c>
      <c r="C4502" s="1">
        <v>413</v>
      </c>
      <c r="D4502" s="39">
        <f t="shared" si="360"/>
        <v>9697</v>
      </c>
      <c r="E4502" s="1">
        <f>1</f>
        <v>1</v>
      </c>
      <c r="F4502" s="39">
        <f t="shared" si="357"/>
        <v>90</v>
      </c>
      <c r="G4502" s="395"/>
      <c r="H4502" s="395"/>
      <c r="J4502" s="42"/>
    </row>
    <row r="4503" spans="1:10" s="393" customFormat="1" x14ac:dyDescent="0.25">
      <c r="A4503" s="19" t="s">
        <v>23</v>
      </c>
      <c r="B4503" s="2">
        <v>44080</v>
      </c>
      <c r="C4503" s="1">
        <v>2</v>
      </c>
      <c r="D4503" s="39">
        <f t="shared" si="360"/>
        <v>67</v>
      </c>
      <c r="E4503" s="1"/>
      <c r="F4503" s="39">
        <f t="shared" si="357"/>
        <v>2</v>
      </c>
      <c r="G4503" s="395"/>
      <c r="H4503" s="395"/>
      <c r="J4503" s="42"/>
    </row>
    <row r="4504" spans="1:10" s="393" customFormat="1" x14ac:dyDescent="0.25">
      <c r="A4504" s="19" t="s">
        <v>19</v>
      </c>
      <c r="B4504" s="2">
        <v>44080</v>
      </c>
      <c r="C4504" s="1">
        <v>177</v>
      </c>
      <c r="D4504" s="39">
        <f>C4504+D4480</f>
        <v>3819</v>
      </c>
      <c r="E4504" s="1">
        <f>2+2</f>
        <v>4</v>
      </c>
      <c r="F4504" s="39">
        <f t="shared" si="357"/>
        <v>34</v>
      </c>
      <c r="G4504" s="395"/>
      <c r="H4504" s="395"/>
      <c r="J4504" s="42"/>
    </row>
    <row r="4505" spans="1:10" s="393" customFormat="1" x14ac:dyDescent="0.25">
      <c r="A4505" s="19" t="s">
        <v>18</v>
      </c>
      <c r="B4505" s="2">
        <v>44080</v>
      </c>
      <c r="C4505" s="1">
        <v>54</v>
      </c>
      <c r="D4505" s="39">
        <f>C4505+D4481</f>
        <v>6991</v>
      </c>
      <c r="E4505" s="1">
        <f>1+1</f>
        <v>2</v>
      </c>
      <c r="F4505" s="39">
        <f t="shared" si="357"/>
        <v>125</v>
      </c>
      <c r="G4505" s="395"/>
      <c r="H4505" s="395"/>
      <c r="J4505" s="42"/>
    </row>
    <row r="4506" spans="1:10" s="393" customFormat="1" x14ac:dyDescent="0.25">
      <c r="A4506" s="19" t="s">
        <v>34</v>
      </c>
      <c r="B4506" s="2">
        <v>44080</v>
      </c>
      <c r="C4506" s="1">
        <v>156</v>
      </c>
      <c r="D4506" s="39">
        <f>C4506+D4482</f>
        <v>4632</v>
      </c>
      <c r="E4506" s="1">
        <f>1+2</f>
        <v>3</v>
      </c>
      <c r="F4506" s="39">
        <f>E4506+F4482</f>
        <v>59</v>
      </c>
      <c r="G4506" s="395"/>
      <c r="H4506" s="395"/>
      <c r="J4506" s="42"/>
    </row>
    <row r="4507" spans="1:10" s="393" customFormat="1" x14ac:dyDescent="0.25">
      <c r="A4507" s="19" t="s">
        <v>35</v>
      </c>
      <c r="B4507" s="2">
        <v>44080</v>
      </c>
      <c r="C4507" s="1">
        <v>4</v>
      </c>
      <c r="D4507" s="39">
        <f t="shared" ref="D4507:D4513" si="361">C4507+D4483</f>
        <v>377</v>
      </c>
      <c r="E4507" s="1"/>
      <c r="F4507" s="39">
        <f>E4507+F4483</f>
        <v>0</v>
      </c>
      <c r="G4507" s="395"/>
      <c r="H4507" s="395"/>
      <c r="J4507" s="42"/>
    </row>
    <row r="4508" spans="1:10" s="393" customFormat="1" x14ac:dyDescent="0.25">
      <c r="A4508" s="19" t="s">
        <v>36</v>
      </c>
      <c r="B4508" s="2">
        <v>44080</v>
      </c>
      <c r="C4508" s="1">
        <v>2</v>
      </c>
      <c r="D4508" s="39">
        <f t="shared" si="361"/>
        <v>247</v>
      </c>
      <c r="E4508" s="1"/>
      <c r="F4508" s="39">
        <f>E4508+F4484</f>
        <v>0</v>
      </c>
      <c r="G4508" s="395"/>
      <c r="H4508" s="395"/>
      <c r="J4508" s="42"/>
    </row>
    <row r="4509" spans="1:10" s="393" customFormat="1" x14ac:dyDescent="0.25">
      <c r="A4509" s="19" t="s">
        <v>37</v>
      </c>
      <c r="B4509" s="2">
        <v>44080</v>
      </c>
      <c r="C4509" s="1">
        <v>121</v>
      </c>
      <c r="D4509" s="39">
        <f t="shared" si="361"/>
        <v>2288</v>
      </c>
      <c r="E4509" s="1"/>
      <c r="F4509" s="39">
        <f t="shared" ref="F4509:F4515" si="362">E4509+F4485</f>
        <v>16</v>
      </c>
      <c r="G4509" s="395"/>
      <c r="H4509" s="395"/>
      <c r="J4509" s="42"/>
    </row>
    <row r="4510" spans="1:10" s="393" customFormat="1" x14ac:dyDescent="0.25">
      <c r="A4510" s="19" t="s">
        <v>22</v>
      </c>
      <c r="B4510" s="2">
        <v>44080</v>
      </c>
      <c r="C4510" s="1">
        <v>615</v>
      </c>
      <c r="D4510" s="39">
        <f t="shared" si="361"/>
        <v>12119</v>
      </c>
      <c r="E4510" s="1">
        <f>1+4+6</f>
        <v>11</v>
      </c>
      <c r="F4510" s="39">
        <f t="shared" si="362"/>
        <v>130</v>
      </c>
      <c r="G4510" s="395"/>
      <c r="H4510" s="395"/>
      <c r="J4510" s="42"/>
    </row>
    <row r="4511" spans="1:10" s="393" customFormat="1" x14ac:dyDescent="0.25">
      <c r="A4511" s="19" t="s">
        <v>38</v>
      </c>
      <c r="B4511" s="2">
        <v>44080</v>
      </c>
      <c r="C4511" s="1">
        <v>76</v>
      </c>
      <c r="D4511" s="39">
        <f t="shared" si="361"/>
        <v>1295</v>
      </c>
      <c r="E4511" s="1">
        <f>1</f>
        <v>1</v>
      </c>
      <c r="F4511" s="39">
        <f t="shared" si="362"/>
        <v>17</v>
      </c>
      <c r="G4511" s="395"/>
      <c r="H4511" s="395"/>
      <c r="J4511" s="42"/>
    </row>
    <row r="4512" spans="1:10" s="393" customFormat="1" x14ac:dyDescent="0.25">
      <c r="A4512" s="19" t="s">
        <v>39</v>
      </c>
      <c r="B4512" s="2">
        <v>44080</v>
      </c>
      <c r="C4512" s="1">
        <v>49</v>
      </c>
      <c r="D4512" s="39">
        <f t="shared" si="361"/>
        <v>2345</v>
      </c>
      <c r="E4512" s="1">
        <f>1</f>
        <v>1</v>
      </c>
      <c r="F4512" s="39">
        <f t="shared" si="362"/>
        <v>38</v>
      </c>
      <c r="G4512" s="395"/>
      <c r="H4512" s="395"/>
      <c r="J4512" s="42"/>
    </row>
    <row r="4513" spans="1:10" s="393" customFormat="1" x14ac:dyDescent="0.25">
      <c r="A4513" s="19" t="s">
        <v>40</v>
      </c>
      <c r="B4513" s="2">
        <v>44080</v>
      </c>
      <c r="C4513" s="1">
        <v>262</v>
      </c>
      <c r="D4513" s="39">
        <f t="shared" si="361"/>
        <v>3954</v>
      </c>
      <c r="E4513" s="1"/>
      <c r="F4513" s="39">
        <f t="shared" si="362"/>
        <v>15</v>
      </c>
      <c r="G4513" s="395"/>
      <c r="H4513" s="395"/>
      <c r="J4513" s="42"/>
    </row>
    <row r="4514" spans="1:10" s="393" customFormat="1" x14ac:dyDescent="0.25">
      <c r="A4514" s="394" t="s">
        <v>16</v>
      </c>
      <c r="B4514" s="2">
        <v>44081</v>
      </c>
      <c r="C4514" s="1">
        <v>4633</v>
      </c>
      <c r="D4514" s="39">
        <f>C4514+D4490</f>
        <v>297079</v>
      </c>
      <c r="E4514" s="1">
        <f>7+9+64+60</f>
        <v>140</v>
      </c>
      <c r="F4514" s="39">
        <f t="shared" si="362"/>
        <v>6078</v>
      </c>
      <c r="G4514" s="395"/>
      <c r="H4514" s="395"/>
      <c r="J4514" s="42"/>
    </row>
    <row r="4515" spans="1:10" s="393" customFormat="1" x14ac:dyDescent="0.25">
      <c r="A4515" s="19" t="s">
        <v>43</v>
      </c>
      <c r="B4515" s="2">
        <v>44081</v>
      </c>
      <c r="C4515" s="1">
        <v>1089</v>
      </c>
      <c r="D4515" s="39">
        <f t="shared" ref="D4515:D4527" si="363">C4515+D4491</f>
        <v>104009</v>
      </c>
      <c r="E4515" s="1">
        <v>64</v>
      </c>
      <c r="F4515" s="39">
        <f t="shared" si="362"/>
        <v>2501</v>
      </c>
      <c r="G4515" s="395"/>
      <c r="H4515" s="395"/>
      <c r="J4515" s="42"/>
    </row>
    <row r="4516" spans="1:10" s="393" customFormat="1" x14ac:dyDescent="0.25">
      <c r="A4516" s="19" t="s">
        <v>28</v>
      </c>
      <c r="B4516" s="2">
        <v>44081</v>
      </c>
      <c r="C4516" s="1">
        <v>2</v>
      </c>
      <c r="D4516" s="39">
        <f t="shared" si="363"/>
        <v>88</v>
      </c>
      <c r="E4516" s="1"/>
      <c r="F4516" s="39">
        <f t="shared" ref="F4516:F4553" si="364">E4516+F4492</f>
        <v>0</v>
      </c>
      <c r="G4516" s="395"/>
      <c r="H4516" s="395"/>
      <c r="J4516" s="42"/>
    </row>
    <row r="4517" spans="1:10" s="393" customFormat="1" x14ac:dyDescent="0.25">
      <c r="A4517" s="19" t="s">
        <v>15</v>
      </c>
      <c r="B4517" s="2">
        <v>44081</v>
      </c>
      <c r="C4517" s="1">
        <v>42</v>
      </c>
      <c r="D4517" s="39">
        <f t="shared" si="363"/>
        <v>6056</v>
      </c>
      <c r="E4517" s="1">
        <v>1</v>
      </c>
      <c r="F4517" s="39">
        <f t="shared" si="364"/>
        <v>226</v>
      </c>
      <c r="G4517" s="395"/>
      <c r="H4517" s="395"/>
      <c r="J4517" s="42"/>
    </row>
    <row r="4518" spans="1:10" s="393" customFormat="1" x14ac:dyDescent="0.25">
      <c r="A4518" s="19" t="s">
        <v>29</v>
      </c>
      <c r="B4518" s="2">
        <v>44081</v>
      </c>
      <c r="C4518" s="1">
        <v>57</v>
      </c>
      <c r="D4518" s="39">
        <f t="shared" si="363"/>
        <v>1274</v>
      </c>
      <c r="E4518" s="1">
        <v>1</v>
      </c>
      <c r="F4518" s="39">
        <f t="shared" si="364"/>
        <v>8</v>
      </c>
      <c r="G4518" s="395"/>
      <c r="H4518" s="395"/>
      <c r="J4518" s="42"/>
    </row>
    <row r="4519" spans="1:10" s="393" customFormat="1" x14ac:dyDescent="0.25">
      <c r="A4519" s="19" t="s">
        <v>20</v>
      </c>
      <c r="B4519" s="2">
        <v>44081</v>
      </c>
      <c r="C4519" s="1">
        <v>456</v>
      </c>
      <c r="D4519" s="39">
        <f t="shared" si="363"/>
        <v>11608</v>
      </c>
      <c r="E4519" s="1">
        <f>4+1</f>
        <v>5</v>
      </c>
      <c r="F4519" s="39">
        <f t="shared" si="364"/>
        <v>164</v>
      </c>
      <c r="G4519" s="395"/>
      <c r="H4519" s="395"/>
      <c r="J4519" s="42"/>
    </row>
    <row r="4520" spans="1:10" s="393" customFormat="1" x14ac:dyDescent="0.25">
      <c r="A4520" s="19" t="s">
        <v>30</v>
      </c>
      <c r="B4520" s="2">
        <v>44081</v>
      </c>
      <c r="C4520" s="1">
        <v>41</v>
      </c>
      <c r="D4520" s="39">
        <f t="shared" si="363"/>
        <v>386</v>
      </c>
      <c r="E4520" s="1"/>
      <c r="F4520" s="39">
        <f t="shared" si="364"/>
        <v>5</v>
      </c>
      <c r="G4520" s="395"/>
      <c r="H4520" s="395"/>
      <c r="J4520" s="42"/>
    </row>
    <row r="4521" spans="1:10" x14ac:dyDescent="0.25">
      <c r="A4521" s="19" t="s">
        <v>31</v>
      </c>
      <c r="B4521" s="2">
        <v>44081</v>
      </c>
      <c r="C4521" s="1">
        <v>60</v>
      </c>
      <c r="D4521" s="39">
        <f t="shared" si="363"/>
        <v>4353</v>
      </c>
      <c r="E4521" s="1">
        <f>1+2</f>
        <v>3</v>
      </c>
      <c r="F4521" s="39">
        <f t="shared" si="364"/>
        <v>63</v>
      </c>
    </row>
    <row r="4522" spans="1:10" s="393" customFormat="1" x14ac:dyDescent="0.25">
      <c r="A4522" s="19" t="s">
        <v>41</v>
      </c>
      <c r="B4522" s="2">
        <v>44081</v>
      </c>
      <c r="C4522" s="1">
        <v>0</v>
      </c>
      <c r="D4522" s="39">
        <f t="shared" si="363"/>
        <v>90</v>
      </c>
      <c r="E4522" s="1"/>
      <c r="F4522" s="39">
        <f>E4522+F4498</f>
        <v>1</v>
      </c>
      <c r="G4522" s="395"/>
      <c r="H4522" s="395"/>
      <c r="J4522" s="42"/>
    </row>
    <row r="4523" spans="1:10" s="393" customFormat="1" x14ac:dyDescent="0.25">
      <c r="A4523" s="19" t="s">
        <v>32</v>
      </c>
      <c r="B4523" s="2">
        <v>44081</v>
      </c>
      <c r="C4523" s="1">
        <v>355</v>
      </c>
      <c r="D4523" s="39">
        <f t="shared" si="363"/>
        <v>10480</v>
      </c>
      <c r="E4523" s="1">
        <f>3+3</f>
        <v>6</v>
      </c>
      <c r="F4523" s="39">
        <f t="shared" si="364"/>
        <v>225</v>
      </c>
      <c r="G4523" s="395"/>
      <c r="H4523" s="395"/>
      <c r="J4523" s="42"/>
    </row>
    <row r="4524" spans="1:10" s="393" customFormat="1" x14ac:dyDescent="0.25">
      <c r="A4524" s="19" t="s">
        <v>33</v>
      </c>
      <c r="B4524" s="2">
        <v>44081</v>
      </c>
      <c r="C4524" s="1">
        <v>9</v>
      </c>
      <c r="D4524" s="39">
        <f t="shared" si="363"/>
        <v>243</v>
      </c>
      <c r="E4524" s="1"/>
      <c r="F4524" s="39">
        <f t="shared" si="364"/>
        <v>4</v>
      </c>
      <c r="G4524" s="395"/>
      <c r="H4524" s="395"/>
      <c r="J4524" s="42"/>
    </row>
    <row r="4525" spans="1:10" s="393" customFormat="1" x14ac:dyDescent="0.25">
      <c r="A4525" s="19" t="s">
        <v>21</v>
      </c>
      <c r="B4525" s="2">
        <v>44081</v>
      </c>
      <c r="C4525" s="1">
        <v>92</v>
      </c>
      <c r="D4525" s="39">
        <f t="shared" si="363"/>
        <v>2131</v>
      </c>
      <c r="E4525" s="1">
        <f>6+3</f>
        <v>9</v>
      </c>
      <c r="F4525" s="39">
        <f t="shared" si="364"/>
        <v>51</v>
      </c>
      <c r="G4525" s="395"/>
      <c r="H4525" s="395"/>
      <c r="J4525" s="42"/>
    </row>
    <row r="4526" spans="1:10" s="393" customFormat="1" x14ac:dyDescent="0.25">
      <c r="A4526" s="19" t="s">
        <v>17</v>
      </c>
      <c r="B4526" s="2">
        <v>44081</v>
      </c>
      <c r="C4526" s="1">
        <v>623</v>
      </c>
      <c r="D4526" s="39">
        <f t="shared" si="363"/>
        <v>10320</v>
      </c>
      <c r="E4526" s="1">
        <f>1+1+3+2</f>
        <v>7</v>
      </c>
      <c r="F4526" s="39">
        <f t="shared" si="364"/>
        <v>97</v>
      </c>
      <c r="G4526" s="395"/>
      <c r="H4526" s="395"/>
      <c r="J4526" s="42"/>
    </row>
    <row r="4527" spans="1:10" s="393" customFormat="1" x14ac:dyDescent="0.25">
      <c r="A4527" s="19" t="s">
        <v>23</v>
      </c>
      <c r="B4527" s="2">
        <v>44081</v>
      </c>
      <c r="C4527" s="1">
        <v>4</v>
      </c>
      <c r="D4527" s="39">
        <f t="shared" si="363"/>
        <v>71</v>
      </c>
      <c r="E4527" s="1"/>
      <c r="F4527" s="39">
        <f t="shared" si="364"/>
        <v>2</v>
      </c>
      <c r="G4527" s="395"/>
      <c r="H4527" s="395"/>
      <c r="J4527" s="42"/>
    </row>
    <row r="4528" spans="1:10" s="393" customFormat="1" x14ac:dyDescent="0.25">
      <c r="A4528" s="19" t="s">
        <v>19</v>
      </c>
      <c r="B4528" s="2">
        <v>44081</v>
      </c>
      <c r="C4528" s="1">
        <v>140</v>
      </c>
      <c r="D4528" s="39">
        <f>C4528+D4504</f>
        <v>3959</v>
      </c>
      <c r="E4528" s="1">
        <f>2+2</f>
        <v>4</v>
      </c>
      <c r="F4528" s="39">
        <f t="shared" si="364"/>
        <v>38</v>
      </c>
      <c r="G4528" s="395"/>
      <c r="H4528" s="395"/>
      <c r="J4528" s="42"/>
    </row>
    <row r="4529" spans="1:10" s="393" customFormat="1" x14ac:dyDescent="0.25">
      <c r="A4529" s="19" t="s">
        <v>18</v>
      </c>
      <c r="B4529" s="2">
        <v>44081</v>
      </c>
      <c r="C4529" s="1">
        <v>207</v>
      </c>
      <c r="D4529" s="39">
        <f>C4529+D4505</f>
        <v>7198</v>
      </c>
      <c r="E4529" s="1">
        <f>3+2</f>
        <v>5</v>
      </c>
      <c r="F4529" s="39">
        <f t="shared" si="364"/>
        <v>130</v>
      </c>
      <c r="G4529" s="395"/>
      <c r="H4529" s="395"/>
      <c r="J4529" s="42"/>
    </row>
    <row r="4530" spans="1:10" s="393" customFormat="1" x14ac:dyDescent="0.25">
      <c r="A4530" s="19" t="s">
        <v>34</v>
      </c>
      <c r="B4530" s="2">
        <v>44081</v>
      </c>
      <c r="C4530" s="1">
        <v>195</v>
      </c>
      <c r="D4530" s="39">
        <f>C4530+D4506</f>
        <v>4827</v>
      </c>
      <c r="E4530" s="1">
        <f>2+2</f>
        <v>4</v>
      </c>
      <c r="F4530" s="39">
        <f>E4530+F4506</f>
        <v>63</v>
      </c>
      <c r="G4530" s="395"/>
      <c r="H4530" s="395"/>
      <c r="J4530" s="42"/>
    </row>
    <row r="4531" spans="1:10" s="393" customFormat="1" x14ac:dyDescent="0.25">
      <c r="A4531" s="19" t="s">
        <v>35</v>
      </c>
      <c r="B4531" s="2">
        <v>44081</v>
      </c>
      <c r="C4531" s="1">
        <v>-13</v>
      </c>
      <c r="D4531" s="39">
        <f t="shared" ref="D4531:D4537" si="365">C4531+D4507</f>
        <v>364</v>
      </c>
      <c r="E4531" s="1"/>
      <c r="F4531" s="39">
        <f>E4531+F4507</f>
        <v>0</v>
      </c>
      <c r="G4531" s="395"/>
      <c r="H4531" s="395"/>
      <c r="J4531" s="42"/>
    </row>
    <row r="4532" spans="1:10" s="393" customFormat="1" x14ac:dyDescent="0.25">
      <c r="A4532" s="19" t="s">
        <v>36</v>
      </c>
      <c r="B4532" s="2">
        <v>44081</v>
      </c>
      <c r="C4532" s="1">
        <v>60</v>
      </c>
      <c r="D4532" s="39">
        <f t="shared" si="365"/>
        <v>307</v>
      </c>
      <c r="E4532" s="1"/>
      <c r="F4532" s="39">
        <f t="shared" si="364"/>
        <v>0</v>
      </c>
      <c r="G4532" s="395"/>
      <c r="H4532" s="395"/>
      <c r="J4532" s="42"/>
    </row>
    <row r="4533" spans="1:10" s="393" customFormat="1" x14ac:dyDescent="0.25">
      <c r="A4533" s="19" t="s">
        <v>37</v>
      </c>
      <c r="B4533" s="2">
        <v>44081</v>
      </c>
      <c r="C4533" s="1">
        <v>34</v>
      </c>
      <c r="D4533" s="39">
        <f t="shared" si="365"/>
        <v>2322</v>
      </c>
      <c r="E4533" s="1">
        <f>1+1+2</f>
        <v>4</v>
      </c>
      <c r="F4533" s="39">
        <f t="shared" ref="F4533:F4538" si="366">E4533+F4509</f>
        <v>20</v>
      </c>
      <c r="G4533" s="395"/>
      <c r="H4533" s="395"/>
      <c r="J4533" s="42"/>
    </row>
    <row r="4534" spans="1:10" s="393" customFormat="1" x14ac:dyDescent="0.25">
      <c r="A4534" s="19" t="s">
        <v>22</v>
      </c>
      <c r="B4534" s="2">
        <v>44081</v>
      </c>
      <c r="C4534" s="1">
        <v>517</v>
      </c>
      <c r="D4534" s="39">
        <f t="shared" si="365"/>
        <v>12636</v>
      </c>
      <c r="E4534" s="1">
        <f>2+1+5+4</f>
        <v>12</v>
      </c>
      <c r="F4534" s="39">
        <f t="shared" si="366"/>
        <v>142</v>
      </c>
      <c r="G4534" s="395"/>
      <c r="H4534" s="395"/>
      <c r="J4534" s="42"/>
    </row>
    <row r="4535" spans="1:10" s="393" customFormat="1" x14ac:dyDescent="0.25">
      <c r="A4535" s="19" t="s">
        <v>38</v>
      </c>
      <c r="B4535" s="2">
        <v>44081</v>
      </c>
      <c r="C4535" s="1">
        <v>48</v>
      </c>
      <c r="D4535" s="39">
        <f t="shared" si="365"/>
        <v>1343</v>
      </c>
      <c r="E4535" s="1">
        <f>1+1+1</f>
        <v>3</v>
      </c>
      <c r="F4535" s="39">
        <f t="shared" si="366"/>
        <v>20</v>
      </c>
      <c r="G4535" s="395"/>
      <c r="H4535" s="395"/>
      <c r="J4535" s="42"/>
    </row>
    <row r="4536" spans="1:10" s="393" customFormat="1" x14ac:dyDescent="0.25">
      <c r="A4536" s="19" t="s">
        <v>39</v>
      </c>
      <c r="B4536" s="2">
        <v>44081</v>
      </c>
      <c r="C4536" s="1">
        <v>55</v>
      </c>
      <c r="D4536" s="39">
        <f t="shared" si="365"/>
        <v>2400</v>
      </c>
      <c r="E4536" s="1"/>
      <c r="F4536" s="39">
        <f t="shared" si="366"/>
        <v>38</v>
      </c>
      <c r="G4536" s="395"/>
      <c r="H4536" s="395"/>
      <c r="J4536" s="42"/>
    </row>
    <row r="4537" spans="1:10" s="393" customFormat="1" x14ac:dyDescent="0.25">
      <c r="A4537" s="19" t="s">
        <v>40</v>
      </c>
      <c r="B4537" s="2">
        <v>44081</v>
      </c>
      <c r="C4537" s="1">
        <v>509</v>
      </c>
      <c r="D4537" s="39">
        <f t="shared" si="365"/>
        <v>4463</v>
      </c>
      <c r="E4537" s="1">
        <f>1</f>
        <v>1</v>
      </c>
      <c r="F4537" s="39">
        <f t="shared" si="366"/>
        <v>16</v>
      </c>
      <c r="G4537" s="395"/>
      <c r="H4537" s="395"/>
      <c r="J4537" s="42"/>
    </row>
    <row r="4538" spans="1:10" s="393" customFormat="1" x14ac:dyDescent="0.25">
      <c r="A4538" s="394" t="s">
        <v>16</v>
      </c>
      <c r="B4538" s="2">
        <v>44082</v>
      </c>
      <c r="C4538" s="1">
        <v>6909</v>
      </c>
      <c r="D4538" s="39">
        <f>C4538+D4514</f>
        <v>303988</v>
      </c>
      <c r="E4538" s="1">
        <v>185</v>
      </c>
      <c r="F4538" s="39">
        <f t="shared" si="366"/>
        <v>6263</v>
      </c>
      <c r="G4538" s="395"/>
      <c r="H4538" s="395"/>
      <c r="J4538" s="42"/>
    </row>
    <row r="4539" spans="1:10" s="393" customFormat="1" x14ac:dyDescent="0.25">
      <c r="A4539" s="19" t="s">
        <v>43</v>
      </c>
      <c r="B4539" s="2">
        <v>44082</v>
      </c>
      <c r="C4539" s="1">
        <v>1300</v>
      </c>
      <c r="D4539" s="39">
        <f t="shared" ref="D4539:D4551" si="367">C4539+D4515</f>
        <v>105309</v>
      </c>
      <c r="E4539" s="1">
        <v>29</v>
      </c>
      <c r="F4539" s="39">
        <f t="shared" si="364"/>
        <v>2530</v>
      </c>
      <c r="G4539" s="395"/>
      <c r="H4539" s="395"/>
      <c r="J4539" s="42"/>
    </row>
    <row r="4540" spans="1:10" s="393" customFormat="1" x14ac:dyDescent="0.25">
      <c r="A4540" s="19" t="s">
        <v>28</v>
      </c>
      <c r="B4540" s="2">
        <v>44082</v>
      </c>
      <c r="C4540" s="1">
        <v>8</v>
      </c>
      <c r="D4540" s="39">
        <f t="shared" si="367"/>
        <v>96</v>
      </c>
      <c r="E4540" s="1"/>
      <c r="F4540" s="39">
        <f t="shared" si="364"/>
        <v>0</v>
      </c>
      <c r="G4540" s="395"/>
      <c r="H4540" s="395"/>
      <c r="J4540" s="42"/>
    </row>
    <row r="4541" spans="1:10" s="393" customFormat="1" x14ac:dyDescent="0.25">
      <c r="A4541" s="19" t="s">
        <v>15</v>
      </c>
      <c r="B4541" s="2">
        <v>44082</v>
      </c>
      <c r="C4541" s="1">
        <v>94</v>
      </c>
      <c r="D4541" s="39">
        <f t="shared" si="367"/>
        <v>6150</v>
      </c>
      <c r="E4541" s="1">
        <f>1+1+1</f>
        <v>3</v>
      </c>
      <c r="F4541" s="39">
        <f>E4541+F4517</f>
        <v>229</v>
      </c>
      <c r="G4541" s="395"/>
      <c r="H4541" s="395"/>
      <c r="J4541" s="42"/>
    </row>
    <row r="4542" spans="1:10" s="393" customFormat="1" x14ac:dyDescent="0.25">
      <c r="A4542" s="19" t="s">
        <v>29</v>
      </c>
      <c r="B4542" s="2">
        <v>44082</v>
      </c>
      <c r="C4542" s="1">
        <v>48</v>
      </c>
      <c r="D4542" s="39">
        <f t="shared" si="367"/>
        <v>1322</v>
      </c>
      <c r="E4542" s="1"/>
      <c r="F4542" s="39">
        <f t="shared" si="364"/>
        <v>8</v>
      </c>
      <c r="G4542" s="395"/>
      <c r="H4542" s="395"/>
      <c r="J4542" s="42"/>
    </row>
    <row r="4543" spans="1:10" s="393" customFormat="1" x14ac:dyDescent="0.25">
      <c r="A4543" s="19" t="s">
        <v>20</v>
      </c>
      <c r="B4543" s="2">
        <v>44082</v>
      </c>
      <c r="C4543" s="1">
        <v>381</v>
      </c>
      <c r="D4543" s="39">
        <f t="shared" si="367"/>
        <v>11989</v>
      </c>
      <c r="E4543" s="1">
        <f>3+3</f>
        <v>6</v>
      </c>
      <c r="F4543" s="39">
        <f t="shared" si="364"/>
        <v>170</v>
      </c>
      <c r="G4543" s="395"/>
      <c r="H4543" s="395"/>
      <c r="J4543" s="42"/>
    </row>
    <row r="4544" spans="1:10" s="393" customFormat="1" x14ac:dyDescent="0.25">
      <c r="A4544" s="19" t="s">
        <v>30</v>
      </c>
      <c r="B4544" s="2">
        <v>44082</v>
      </c>
      <c r="C4544" s="1">
        <v>20</v>
      </c>
      <c r="D4544" s="39">
        <f t="shared" si="367"/>
        <v>406</v>
      </c>
      <c r="E4544" s="1"/>
      <c r="F4544" s="39">
        <f t="shared" si="364"/>
        <v>5</v>
      </c>
      <c r="G4544" s="395"/>
      <c r="H4544" s="395"/>
      <c r="J4544" s="42"/>
    </row>
    <row r="4545" spans="1:10" x14ac:dyDescent="0.25">
      <c r="A4545" s="19" t="s">
        <v>31</v>
      </c>
      <c r="B4545" s="2">
        <v>44082</v>
      </c>
      <c r="C4545" s="1">
        <v>224</v>
      </c>
      <c r="D4545" s="39">
        <f t="shared" si="367"/>
        <v>4577</v>
      </c>
      <c r="E4545" s="1">
        <f>1+1+3</f>
        <v>5</v>
      </c>
      <c r="F4545" s="39">
        <f t="shared" si="364"/>
        <v>68</v>
      </c>
    </row>
    <row r="4546" spans="1:10" s="393" customFormat="1" x14ac:dyDescent="0.25">
      <c r="A4546" s="19" t="s">
        <v>41</v>
      </c>
      <c r="B4546" s="2">
        <v>44082</v>
      </c>
      <c r="C4546" s="1">
        <v>0</v>
      </c>
      <c r="D4546" s="39">
        <f t="shared" si="367"/>
        <v>90</v>
      </c>
      <c r="E4546" s="1"/>
      <c r="F4546" s="39">
        <f>E4546+F4522</f>
        <v>1</v>
      </c>
      <c r="G4546" s="395"/>
      <c r="H4546" s="395"/>
      <c r="J4546" s="42"/>
    </row>
    <row r="4547" spans="1:10" s="393" customFormat="1" x14ac:dyDescent="0.25">
      <c r="A4547" s="19" t="s">
        <v>32</v>
      </c>
      <c r="B4547" s="2">
        <v>44082</v>
      </c>
      <c r="C4547" s="1">
        <v>294</v>
      </c>
      <c r="D4547" s="39">
        <f t="shared" si="367"/>
        <v>10774</v>
      </c>
      <c r="E4547" s="1">
        <f>4+2</f>
        <v>6</v>
      </c>
      <c r="F4547" s="39">
        <f t="shared" si="364"/>
        <v>231</v>
      </c>
      <c r="G4547" s="395"/>
      <c r="H4547" s="395"/>
      <c r="J4547" s="42"/>
    </row>
    <row r="4548" spans="1:10" s="393" customFormat="1" x14ac:dyDescent="0.25">
      <c r="A4548" s="19" t="s">
        <v>33</v>
      </c>
      <c r="B4548" s="2">
        <v>44082</v>
      </c>
      <c r="C4548" s="1">
        <v>4</v>
      </c>
      <c r="D4548" s="39">
        <f t="shared" si="367"/>
        <v>247</v>
      </c>
      <c r="E4548" s="1"/>
      <c r="F4548" s="39">
        <f t="shared" si="364"/>
        <v>4</v>
      </c>
      <c r="G4548" s="395"/>
      <c r="H4548" s="395"/>
      <c r="J4548" s="42"/>
    </row>
    <row r="4549" spans="1:10" s="393" customFormat="1" x14ac:dyDescent="0.25">
      <c r="A4549" s="19" t="s">
        <v>21</v>
      </c>
      <c r="B4549" s="2">
        <v>44082</v>
      </c>
      <c r="C4549" s="1">
        <v>84</v>
      </c>
      <c r="D4549" s="39">
        <f t="shared" si="367"/>
        <v>2215</v>
      </c>
      <c r="E4549" s="1"/>
      <c r="F4549" s="39">
        <f t="shared" si="364"/>
        <v>51</v>
      </c>
      <c r="G4549" s="395"/>
      <c r="H4549" s="395"/>
      <c r="J4549" s="42"/>
    </row>
    <row r="4550" spans="1:10" s="393" customFormat="1" x14ac:dyDescent="0.25">
      <c r="A4550" s="19" t="s">
        <v>17</v>
      </c>
      <c r="B4550" s="2">
        <v>44082</v>
      </c>
      <c r="C4550" s="1">
        <v>516</v>
      </c>
      <c r="D4550" s="39">
        <f t="shared" si="367"/>
        <v>10836</v>
      </c>
      <c r="E4550" s="1">
        <f>6+5+1+5</f>
        <v>17</v>
      </c>
      <c r="F4550" s="39">
        <f t="shared" si="364"/>
        <v>114</v>
      </c>
      <c r="G4550" s="395"/>
      <c r="H4550" s="395"/>
      <c r="J4550" s="42"/>
    </row>
    <row r="4551" spans="1:10" s="393" customFormat="1" x14ac:dyDescent="0.25">
      <c r="A4551" s="19" t="s">
        <v>23</v>
      </c>
      <c r="B4551" s="2">
        <v>44082</v>
      </c>
      <c r="C4551" s="1">
        <v>-2</v>
      </c>
      <c r="D4551" s="39">
        <f t="shared" si="367"/>
        <v>69</v>
      </c>
      <c r="E4551" s="1"/>
      <c r="F4551" s="39">
        <f t="shared" si="364"/>
        <v>2</v>
      </c>
      <c r="G4551" s="395"/>
      <c r="H4551" s="395"/>
      <c r="J4551" s="42"/>
    </row>
    <row r="4552" spans="1:10" s="393" customFormat="1" x14ac:dyDescent="0.25">
      <c r="A4552" s="19" t="s">
        <v>19</v>
      </c>
      <c r="B4552" s="2">
        <v>44082</v>
      </c>
      <c r="C4552" s="1">
        <v>90</v>
      </c>
      <c r="D4552" s="39">
        <f>C4552+D4528</f>
        <v>4049</v>
      </c>
      <c r="E4552" s="1">
        <f>1+2</f>
        <v>3</v>
      </c>
      <c r="F4552" s="39">
        <f t="shared" si="364"/>
        <v>41</v>
      </c>
      <c r="G4552" s="395"/>
      <c r="H4552" s="395"/>
      <c r="J4552" s="42"/>
    </row>
    <row r="4553" spans="1:10" s="393" customFormat="1" x14ac:dyDescent="0.25">
      <c r="A4553" s="19" t="s">
        <v>18</v>
      </c>
      <c r="B4553" s="2">
        <v>44082</v>
      </c>
      <c r="C4553" s="1">
        <v>299</v>
      </c>
      <c r="D4553" s="39">
        <f>C4553+D4529</f>
        <v>7497</v>
      </c>
      <c r="E4553" s="1">
        <f>4+4</f>
        <v>8</v>
      </c>
      <c r="F4553" s="39">
        <f t="shared" si="364"/>
        <v>138</v>
      </c>
      <c r="G4553" s="395"/>
      <c r="H4553" s="395"/>
      <c r="J4553" s="42"/>
    </row>
    <row r="4554" spans="1:10" s="393" customFormat="1" x14ac:dyDescent="0.25">
      <c r="A4554" s="19" t="s">
        <v>34</v>
      </c>
      <c r="B4554" s="2">
        <v>44082</v>
      </c>
      <c r="C4554" s="1">
        <v>282</v>
      </c>
      <c r="D4554" s="39">
        <f>C4554+D4530</f>
        <v>5109</v>
      </c>
      <c r="E4554" s="1"/>
      <c r="F4554" s="39">
        <f>E4554+F4530</f>
        <v>63</v>
      </c>
      <c r="G4554" s="395"/>
      <c r="H4554" s="395"/>
      <c r="J4554" s="42"/>
    </row>
    <row r="4555" spans="1:10" s="393" customFormat="1" x14ac:dyDescent="0.25">
      <c r="A4555" s="19" t="s">
        <v>35</v>
      </c>
      <c r="B4555" s="2">
        <v>44082</v>
      </c>
      <c r="C4555" s="1">
        <v>16</v>
      </c>
      <c r="D4555" s="39">
        <f t="shared" ref="D4555:D4561" si="368">C4555+D4531</f>
        <v>380</v>
      </c>
      <c r="E4555" s="1">
        <f>5+2</f>
        <v>7</v>
      </c>
      <c r="F4555" s="39">
        <f>E4555+F4531</f>
        <v>7</v>
      </c>
      <c r="G4555" s="395"/>
      <c r="H4555" s="395"/>
      <c r="J4555" s="42"/>
    </row>
    <row r="4556" spans="1:10" s="393" customFormat="1" x14ac:dyDescent="0.25">
      <c r="A4556" s="19" t="s">
        <v>36</v>
      </c>
      <c r="B4556" s="2">
        <v>44082</v>
      </c>
      <c r="C4556" s="1">
        <v>18</v>
      </c>
      <c r="D4556" s="39">
        <f t="shared" si="368"/>
        <v>325</v>
      </c>
      <c r="E4556" s="1"/>
      <c r="F4556" s="39">
        <f>E4556+F4532</f>
        <v>0</v>
      </c>
      <c r="G4556" s="395"/>
      <c r="H4556" s="395"/>
      <c r="J4556" s="42"/>
    </row>
    <row r="4557" spans="1:10" s="393" customFormat="1" x14ac:dyDescent="0.25">
      <c r="A4557" s="19" t="s">
        <v>37</v>
      </c>
      <c r="B4557" s="2">
        <v>44082</v>
      </c>
      <c r="C4557" s="1">
        <v>76</v>
      </c>
      <c r="D4557" s="39">
        <f t="shared" si="368"/>
        <v>2398</v>
      </c>
      <c r="E4557" s="1"/>
      <c r="F4557" s="39">
        <f t="shared" ref="F4557:F4562" si="369">E4557+F4533</f>
        <v>20</v>
      </c>
      <c r="G4557" s="395"/>
      <c r="H4557" s="395"/>
      <c r="J4557" s="42"/>
    </row>
    <row r="4558" spans="1:10" s="393" customFormat="1" x14ac:dyDescent="0.25">
      <c r="A4558" s="19" t="s">
        <v>22</v>
      </c>
      <c r="B4558" s="2">
        <v>44082</v>
      </c>
      <c r="C4558" s="1">
        <v>976</v>
      </c>
      <c r="D4558" s="39">
        <f t="shared" si="368"/>
        <v>13612</v>
      </c>
      <c r="E4558" s="1">
        <f>1+2+4</f>
        <v>7</v>
      </c>
      <c r="F4558" s="39">
        <f t="shared" si="369"/>
        <v>149</v>
      </c>
      <c r="G4558" s="395"/>
      <c r="H4558" s="395"/>
      <c r="J4558" s="42"/>
    </row>
    <row r="4559" spans="1:10" s="393" customFormat="1" x14ac:dyDescent="0.25">
      <c r="A4559" s="19" t="s">
        <v>38</v>
      </c>
      <c r="B4559" s="2">
        <v>44082</v>
      </c>
      <c r="C4559" s="1">
        <v>46</v>
      </c>
      <c r="D4559" s="39">
        <f t="shared" si="368"/>
        <v>1389</v>
      </c>
      <c r="E4559" s="1">
        <f>1</f>
        <v>1</v>
      </c>
      <c r="F4559" s="39">
        <f t="shared" si="369"/>
        <v>21</v>
      </c>
      <c r="G4559" s="395"/>
      <c r="H4559" s="395"/>
      <c r="J4559" s="42"/>
    </row>
    <row r="4560" spans="1:10" s="393" customFormat="1" x14ac:dyDescent="0.25">
      <c r="A4560" s="19" t="s">
        <v>39</v>
      </c>
      <c r="B4560" s="2">
        <v>44082</v>
      </c>
      <c r="C4560" s="1">
        <v>61</v>
      </c>
      <c r="D4560" s="39">
        <f t="shared" si="368"/>
        <v>2461</v>
      </c>
      <c r="E4560" s="1"/>
      <c r="F4560" s="39">
        <f t="shared" si="369"/>
        <v>38</v>
      </c>
      <c r="G4560" s="395"/>
      <c r="H4560" s="395"/>
      <c r="J4560" s="42"/>
    </row>
    <row r="4561" spans="1:10" s="393" customFormat="1" ht="15.75" thickBot="1" x14ac:dyDescent="0.3">
      <c r="A4561" s="396" t="s">
        <v>40</v>
      </c>
      <c r="B4561" s="34">
        <v>44082</v>
      </c>
      <c r="C4561" s="234">
        <v>283</v>
      </c>
      <c r="D4561" s="67">
        <f t="shared" si="368"/>
        <v>4746</v>
      </c>
      <c r="E4561" s="234">
        <f>1</f>
        <v>1</v>
      </c>
      <c r="F4561" s="39">
        <f t="shared" si="369"/>
        <v>17</v>
      </c>
      <c r="G4561" s="395"/>
      <c r="H4561" s="395"/>
      <c r="J4561" s="42"/>
    </row>
    <row r="4562" spans="1:10" s="393" customFormat="1" x14ac:dyDescent="0.25">
      <c r="A4562" s="397" t="s">
        <v>16</v>
      </c>
      <c r="B4562" s="267">
        <v>44083</v>
      </c>
      <c r="C4562" s="43">
        <v>6266</v>
      </c>
      <c r="D4562" s="175">
        <f>C4562+D4538</f>
        <v>310254</v>
      </c>
      <c r="E4562" s="43">
        <v>152</v>
      </c>
      <c r="F4562" s="39">
        <f t="shared" si="369"/>
        <v>6415</v>
      </c>
      <c r="G4562" s="395"/>
      <c r="H4562" s="395"/>
      <c r="J4562" s="42"/>
    </row>
    <row r="4563" spans="1:10" s="393" customFormat="1" x14ac:dyDescent="0.25">
      <c r="A4563" s="398" t="s">
        <v>43</v>
      </c>
      <c r="B4563" s="2">
        <v>44083</v>
      </c>
      <c r="C4563" s="1">
        <v>1264</v>
      </c>
      <c r="D4563" s="39">
        <f t="shared" ref="D4563:D4575" si="370">C4563+D4539</f>
        <v>106573</v>
      </c>
      <c r="E4563" s="1">
        <v>47</v>
      </c>
      <c r="F4563" s="522">
        <f t="shared" ref="F4563:F4604" si="371">E4563+F4539</f>
        <v>2577</v>
      </c>
      <c r="G4563" s="395"/>
      <c r="H4563" s="395"/>
      <c r="J4563" s="42"/>
    </row>
    <row r="4564" spans="1:10" s="393" customFormat="1" x14ac:dyDescent="0.25">
      <c r="A4564" s="398" t="s">
        <v>28</v>
      </c>
      <c r="B4564" s="2">
        <v>44083</v>
      </c>
      <c r="C4564" s="1">
        <v>3</v>
      </c>
      <c r="D4564" s="39">
        <f t="shared" si="370"/>
        <v>99</v>
      </c>
      <c r="E4564" s="1"/>
      <c r="F4564" s="522">
        <f t="shared" si="371"/>
        <v>0</v>
      </c>
      <c r="G4564" s="395"/>
      <c r="H4564" s="395"/>
      <c r="J4564" s="42"/>
    </row>
    <row r="4565" spans="1:10" s="393" customFormat="1" x14ac:dyDescent="0.25">
      <c r="A4565" s="398" t="s">
        <v>15</v>
      </c>
      <c r="B4565" s="2">
        <v>44083</v>
      </c>
      <c r="C4565" s="1">
        <v>140</v>
      </c>
      <c r="D4565" s="39">
        <f t="shared" si="370"/>
        <v>6290</v>
      </c>
      <c r="E4565" s="1">
        <v>2</v>
      </c>
      <c r="F4565" s="522">
        <f>E4565+F4541</f>
        <v>231</v>
      </c>
      <c r="G4565" s="395"/>
      <c r="H4565" s="395"/>
      <c r="J4565" s="42"/>
    </row>
    <row r="4566" spans="1:10" s="393" customFormat="1" x14ac:dyDescent="0.25">
      <c r="A4566" s="398" t="s">
        <v>29</v>
      </c>
      <c r="B4566" s="2">
        <v>44083</v>
      </c>
      <c r="C4566" s="1">
        <v>39</v>
      </c>
      <c r="D4566" s="39">
        <f t="shared" si="370"/>
        <v>1361</v>
      </c>
      <c r="E4566" s="1"/>
      <c r="F4566" s="522">
        <f t="shared" si="371"/>
        <v>8</v>
      </c>
      <c r="G4566" s="395"/>
      <c r="H4566" s="395"/>
      <c r="J4566" s="42"/>
    </row>
    <row r="4567" spans="1:10" s="393" customFormat="1" x14ac:dyDescent="0.25">
      <c r="A4567" s="398" t="s">
        <v>20</v>
      </c>
      <c r="B4567" s="2">
        <v>44083</v>
      </c>
      <c r="C4567" s="1">
        <v>577</v>
      </c>
      <c r="D4567" s="39">
        <f t="shared" si="370"/>
        <v>12566</v>
      </c>
      <c r="E4567" s="1">
        <f>5+3</f>
        <v>8</v>
      </c>
      <c r="F4567" s="522">
        <f t="shared" si="371"/>
        <v>178</v>
      </c>
      <c r="G4567" s="395"/>
      <c r="H4567" s="395"/>
      <c r="J4567" s="42"/>
    </row>
    <row r="4568" spans="1:10" s="393" customFormat="1" x14ac:dyDescent="0.25">
      <c r="A4568" s="398" t="s">
        <v>30</v>
      </c>
      <c r="B4568" s="2">
        <v>44083</v>
      </c>
      <c r="C4568" s="1">
        <v>25</v>
      </c>
      <c r="D4568" s="39">
        <f t="shared" si="370"/>
        <v>431</v>
      </c>
      <c r="E4568" s="1"/>
      <c r="F4568" s="522">
        <f t="shared" si="371"/>
        <v>5</v>
      </c>
      <c r="G4568" s="395"/>
      <c r="H4568" s="395"/>
      <c r="J4568" s="42"/>
    </row>
    <row r="4569" spans="1:10" x14ac:dyDescent="0.25">
      <c r="A4569" s="398" t="s">
        <v>31</v>
      </c>
      <c r="B4569" s="2">
        <v>44083</v>
      </c>
      <c r="C4569" s="1">
        <v>130</v>
      </c>
      <c r="D4569" s="39">
        <f t="shared" si="370"/>
        <v>4707</v>
      </c>
      <c r="E4569" s="1">
        <v>1</v>
      </c>
      <c r="F4569" s="522">
        <f t="shared" si="371"/>
        <v>69</v>
      </c>
    </row>
    <row r="4570" spans="1:10" s="393" customFormat="1" x14ac:dyDescent="0.25">
      <c r="A4570" s="398" t="s">
        <v>41</v>
      </c>
      <c r="B4570" s="2">
        <v>44083</v>
      </c>
      <c r="C4570" s="1">
        <v>1</v>
      </c>
      <c r="D4570" s="39">
        <f t="shared" si="370"/>
        <v>91</v>
      </c>
      <c r="E4570" s="1"/>
      <c r="F4570" s="39">
        <f>E4570+F4546</f>
        <v>1</v>
      </c>
      <c r="G4570" s="395"/>
      <c r="H4570" s="395"/>
      <c r="J4570" s="42"/>
    </row>
    <row r="4571" spans="1:10" s="393" customFormat="1" x14ac:dyDescent="0.25">
      <c r="A4571" s="398" t="s">
        <v>32</v>
      </c>
      <c r="B4571" s="2">
        <v>44083</v>
      </c>
      <c r="C4571" s="1">
        <v>343</v>
      </c>
      <c r="D4571" s="39">
        <f t="shared" si="370"/>
        <v>11117</v>
      </c>
      <c r="E4571" s="1">
        <f>3+3</f>
        <v>6</v>
      </c>
      <c r="F4571" s="522">
        <f t="shared" si="371"/>
        <v>237</v>
      </c>
      <c r="G4571" s="395"/>
      <c r="H4571" s="395"/>
      <c r="J4571" s="42"/>
    </row>
    <row r="4572" spans="1:10" s="393" customFormat="1" x14ac:dyDescent="0.25">
      <c r="A4572" s="398" t="s">
        <v>33</v>
      </c>
      <c r="B4572" s="2">
        <v>44083</v>
      </c>
      <c r="C4572" s="1">
        <v>20</v>
      </c>
      <c r="D4572" s="39">
        <f t="shared" si="370"/>
        <v>267</v>
      </c>
      <c r="E4572" s="1"/>
      <c r="F4572" s="522">
        <f t="shared" si="371"/>
        <v>4</v>
      </c>
      <c r="G4572" s="395"/>
      <c r="H4572" s="395"/>
      <c r="J4572" s="42"/>
    </row>
    <row r="4573" spans="1:10" s="393" customFormat="1" x14ac:dyDescent="0.25">
      <c r="A4573" s="398" t="s">
        <v>21</v>
      </c>
      <c r="B4573" s="2">
        <v>44083</v>
      </c>
      <c r="C4573" s="1">
        <v>145</v>
      </c>
      <c r="D4573" s="39">
        <f t="shared" si="370"/>
        <v>2360</v>
      </c>
      <c r="E4573" s="1">
        <v>1</v>
      </c>
      <c r="F4573" s="522">
        <f t="shared" si="371"/>
        <v>52</v>
      </c>
      <c r="G4573" s="395"/>
      <c r="H4573" s="395"/>
      <c r="J4573" s="42"/>
    </row>
    <row r="4574" spans="1:10" s="393" customFormat="1" x14ac:dyDescent="0.25">
      <c r="A4574" s="398" t="s">
        <v>17</v>
      </c>
      <c r="B4574" s="2">
        <v>44083</v>
      </c>
      <c r="C4574" s="1">
        <v>798</v>
      </c>
      <c r="D4574" s="39">
        <f t="shared" si="370"/>
        <v>11634</v>
      </c>
      <c r="E4574" s="1">
        <f>5+4+2</f>
        <v>11</v>
      </c>
      <c r="F4574" s="522">
        <f t="shared" si="371"/>
        <v>125</v>
      </c>
      <c r="G4574" s="395"/>
      <c r="H4574" s="395"/>
      <c r="J4574" s="42"/>
    </row>
    <row r="4575" spans="1:10" s="393" customFormat="1" x14ac:dyDescent="0.25">
      <c r="A4575" s="398" t="s">
        <v>23</v>
      </c>
      <c r="B4575" s="2">
        <v>44083</v>
      </c>
      <c r="C4575" s="1">
        <v>2</v>
      </c>
      <c r="D4575" s="39">
        <f t="shared" si="370"/>
        <v>71</v>
      </c>
      <c r="E4575" s="1"/>
      <c r="F4575" s="522">
        <f t="shared" si="371"/>
        <v>2</v>
      </c>
      <c r="G4575" s="395"/>
      <c r="H4575" s="395"/>
      <c r="J4575" s="42"/>
    </row>
    <row r="4576" spans="1:10" s="393" customFormat="1" x14ac:dyDescent="0.25">
      <c r="A4576" s="398" t="s">
        <v>19</v>
      </c>
      <c r="B4576" s="2">
        <v>44083</v>
      </c>
      <c r="C4576" s="1">
        <v>69</v>
      </c>
      <c r="D4576" s="39">
        <f>C4576+D4552</f>
        <v>4118</v>
      </c>
      <c r="E4576" s="1">
        <f>1+1</f>
        <v>2</v>
      </c>
      <c r="F4576" s="522">
        <f t="shared" si="371"/>
        <v>43</v>
      </c>
      <c r="G4576" s="395"/>
      <c r="H4576" s="395"/>
      <c r="J4576" s="42"/>
    </row>
    <row r="4577" spans="1:10" s="393" customFormat="1" x14ac:dyDescent="0.25">
      <c r="A4577" s="398" t="s">
        <v>18</v>
      </c>
      <c r="B4577" s="2">
        <v>44083</v>
      </c>
      <c r="C4577" s="1">
        <v>280</v>
      </c>
      <c r="D4577" s="39">
        <f>C4577+D4553</f>
        <v>7777</v>
      </c>
      <c r="E4577" s="1">
        <f>2</f>
        <v>2</v>
      </c>
      <c r="F4577" s="522">
        <f t="shared" si="371"/>
        <v>140</v>
      </c>
      <c r="G4577" s="395"/>
      <c r="H4577" s="395"/>
      <c r="J4577" s="42"/>
    </row>
    <row r="4578" spans="1:10" s="393" customFormat="1" x14ac:dyDescent="0.25">
      <c r="A4578" s="398" t="s">
        <v>34</v>
      </c>
      <c r="B4578" s="2">
        <v>44083</v>
      </c>
      <c r="C4578" s="1">
        <v>361</v>
      </c>
      <c r="D4578" s="39">
        <f>C4578+D4554</f>
        <v>5470</v>
      </c>
      <c r="E4578" s="1">
        <f>7+1</f>
        <v>8</v>
      </c>
      <c r="F4578" s="522">
        <f>E4578+F4554</f>
        <v>71</v>
      </c>
      <c r="G4578" s="395"/>
      <c r="H4578" s="395"/>
      <c r="J4578" s="42"/>
    </row>
    <row r="4579" spans="1:10" s="393" customFormat="1" x14ac:dyDescent="0.25">
      <c r="A4579" s="398" t="s">
        <v>35</v>
      </c>
      <c r="B4579" s="2">
        <v>44083</v>
      </c>
      <c r="C4579" s="1">
        <v>4</v>
      </c>
      <c r="D4579" s="39">
        <f t="shared" ref="D4579:D4585" si="372">C4579+D4555</f>
        <v>384</v>
      </c>
      <c r="E4579" s="1"/>
      <c r="F4579" s="39">
        <f>E4579+F4555</f>
        <v>7</v>
      </c>
      <c r="G4579" s="395"/>
      <c r="H4579" s="395"/>
      <c r="J4579" s="42"/>
    </row>
    <row r="4580" spans="1:10" s="393" customFormat="1" x14ac:dyDescent="0.25">
      <c r="A4580" s="398" t="s">
        <v>36</v>
      </c>
      <c r="B4580" s="2">
        <v>44083</v>
      </c>
      <c r="C4580" s="1">
        <v>21</v>
      </c>
      <c r="D4580" s="39">
        <f t="shared" si="372"/>
        <v>346</v>
      </c>
      <c r="E4580" s="1"/>
      <c r="F4580" s="522">
        <f t="shared" si="371"/>
        <v>0</v>
      </c>
      <c r="G4580" s="395"/>
      <c r="H4580" s="395"/>
      <c r="J4580" s="42"/>
    </row>
    <row r="4581" spans="1:10" s="393" customFormat="1" x14ac:dyDescent="0.25">
      <c r="A4581" s="398" t="s">
        <v>37</v>
      </c>
      <c r="B4581" s="2">
        <v>44083</v>
      </c>
      <c r="C4581" s="1">
        <v>142</v>
      </c>
      <c r="D4581" s="39">
        <f t="shared" si="372"/>
        <v>2540</v>
      </c>
      <c r="E4581" s="1">
        <f>1</f>
        <v>1</v>
      </c>
      <c r="F4581" s="39">
        <f t="shared" ref="F4581:F4588" si="373">E4581+F4557</f>
        <v>21</v>
      </c>
      <c r="G4581" s="395"/>
      <c r="H4581" s="395"/>
      <c r="J4581" s="42"/>
    </row>
    <row r="4582" spans="1:10" s="393" customFormat="1" x14ac:dyDescent="0.25">
      <c r="A4582" s="398" t="s">
        <v>22</v>
      </c>
      <c r="B4582" s="2">
        <v>44083</v>
      </c>
      <c r="C4582" s="1">
        <v>1089</v>
      </c>
      <c r="D4582" s="39">
        <f t="shared" si="372"/>
        <v>14701</v>
      </c>
      <c r="E4582" s="1">
        <f>1+2+4</f>
        <v>7</v>
      </c>
      <c r="F4582" s="39">
        <f t="shared" si="373"/>
        <v>156</v>
      </c>
      <c r="G4582" s="395"/>
      <c r="H4582" s="395"/>
      <c r="J4582" s="42"/>
    </row>
    <row r="4583" spans="1:10" s="393" customFormat="1" x14ac:dyDescent="0.25">
      <c r="A4583" s="398" t="s">
        <v>38</v>
      </c>
      <c r="B4583" s="2">
        <v>44083</v>
      </c>
      <c r="C4583" s="1">
        <v>81</v>
      </c>
      <c r="D4583" s="39">
        <f t="shared" si="372"/>
        <v>1470</v>
      </c>
      <c r="E4583" s="1">
        <f>1</f>
        <v>1</v>
      </c>
      <c r="F4583" s="39">
        <f t="shared" si="373"/>
        <v>22</v>
      </c>
      <c r="G4583" s="395"/>
      <c r="H4583" s="395"/>
      <c r="J4583" s="42"/>
    </row>
    <row r="4584" spans="1:10" s="393" customFormat="1" x14ac:dyDescent="0.25">
      <c r="A4584" s="398" t="s">
        <v>39</v>
      </c>
      <c r="B4584" s="2">
        <v>44083</v>
      </c>
      <c r="C4584" s="1">
        <v>69</v>
      </c>
      <c r="D4584" s="39">
        <f t="shared" si="372"/>
        <v>2530</v>
      </c>
      <c r="E4584" s="1">
        <f>1</f>
        <v>1</v>
      </c>
      <c r="F4584" s="39">
        <f t="shared" si="373"/>
        <v>39</v>
      </c>
      <c r="G4584" s="395"/>
      <c r="H4584" s="395"/>
      <c r="J4584" s="42"/>
    </row>
    <row r="4585" spans="1:10" s="393" customFormat="1" ht="15.75" thickBot="1" x14ac:dyDescent="0.3">
      <c r="A4585" s="399" t="s">
        <v>40</v>
      </c>
      <c r="B4585" s="34">
        <v>44083</v>
      </c>
      <c r="C4585" s="234">
        <v>390</v>
      </c>
      <c r="D4585" s="67">
        <f t="shared" si="372"/>
        <v>5136</v>
      </c>
      <c r="E4585" s="234"/>
      <c r="F4585" s="39">
        <f t="shared" si="373"/>
        <v>17</v>
      </c>
      <c r="G4585" s="395"/>
      <c r="H4585" s="395"/>
      <c r="J4585" s="42"/>
    </row>
    <row r="4586" spans="1:10" s="393" customFormat="1" x14ac:dyDescent="0.25">
      <c r="A4586" s="397" t="s">
        <v>16</v>
      </c>
      <c r="B4586" s="267">
        <v>44084</v>
      </c>
      <c r="C4586" s="43">
        <v>6252</v>
      </c>
      <c r="D4586" s="175">
        <f>C4586+D4562</f>
        <v>316506</v>
      </c>
      <c r="E4586" s="43">
        <f>29+9+62+41</f>
        <v>141</v>
      </c>
      <c r="F4586" s="39">
        <f t="shared" si="373"/>
        <v>6556</v>
      </c>
      <c r="G4586" s="395"/>
      <c r="H4586" s="395"/>
      <c r="J4586" s="42"/>
    </row>
    <row r="4587" spans="1:10" s="393" customFormat="1" x14ac:dyDescent="0.25">
      <c r="A4587" s="398" t="s">
        <v>43</v>
      </c>
      <c r="B4587" s="2">
        <v>44084</v>
      </c>
      <c r="C4587" s="1">
        <v>1284</v>
      </c>
      <c r="D4587" s="39">
        <f t="shared" ref="D4587:D4599" si="374">C4587+D4563</f>
        <v>107857</v>
      </c>
      <c r="E4587" s="1">
        <v>34</v>
      </c>
      <c r="F4587" s="522">
        <f t="shared" si="373"/>
        <v>2611</v>
      </c>
      <c r="G4587" s="395"/>
      <c r="H4587" s="395"/>
      <c r="J4587" s="42"/>
    </row>
    <row r="4588" spans="1:10" s="393" customFormat="1" x14ac:dyDescent="0.25">
      <c r="A4588" s="398" t="s">
        <v>28</v>
      </c>
      <c r="B4588" s="2">
        <v>44084</v>
      </c>
      <c r="C4588" s="1">
        <v>12</v>
      </c>
      <c r="D4588" s="39">
        <f t="shared" si="374"/>
        <v>111</v>
      </c>
      <c r="E4588" s="1"/>
      <c r="F4588" s="522">
        <f t="shared" si="373"/>
        <v>0</v>
      </c>
      <c r="G4588" s="395"/>
      <c r="H4588" s="395"/>
      <c r="J4588" s="42"/>
    </row>
    <row r="4589" spans="1:10" s="393" customFormat="1" x14ac:dyDescent="0.25">
      <c r="A4589" s="398" t="s">
        <v>15</v>
      </c>
      <c r="B4589" s="2">
        <v>44084</v>
      </c>
      <c r="C4589" s="1">
        <v>128</v>
      </c>
      <c r="D4589" s="39">
        <f t="shared" si="374"/>
        <v>6418</v>
      </c>
      <c r="E4589" s="1">
        <f>1</f>
        <v>1</v>
      </c>
      <c r="F4589" s="522">
        <f t="shared" si="371"/>
        <v>232</v>
      </c>
      <c r="G4589" s="395"/>
      <c r="H4589" s="395"/>
      <c r="J4589" s="42"/>
    </row>
    <row r="4590" spans="1:10" s="393" customFormat="1" x14ac:dyDescent="0.25">
      <c r="A4590" s="398" t="s">
        <v>29</v>
      </c>
      <c r="B4590" s="2">
        <v>44084</v>
      </c>
      <c r="C4590" s="1">
        <v>29</v>
      </c>
      <c r="D4590" s="39">
        <f t="shared" si="374"/>
        <v>1390</v>
      </c>
      <c r="E4590" s="1"/>
      <c r="F4590" s="522">
        <f t="shared" si="371"/>
        <v>8</v>
      </c>
      <c r="G4590" s="395"/>
      <c r="H4590" s="395"/>
      <c r="J4590" s="42"/>
    </row>
    <row r="4591" spans="1:10" s="393" customFormat="1" x14ac:dyDescent="0.25">
      <c r="A4591" s="398" t="s">
        <v>20</v>
      </c>
      <c r="B4591" s="2">
        <v>44084</v>
      </c>
      <c r="C4591" s="1">
        <v>443</v>
      </c>
      <c r="D4591" s="39">
        <f t="shared" si="374"/>
        <v>13009</v>
      </c>
      <c r="E4591" s="1">
        <f>3+2</f>
        <v>5</v>
      </c>
      <c r="F4591" s="522">
        <f t="shared" si="371"/>
        <v>183</v>
      </c>
      <c r="G4591" s="395"/>
      <c r="H4591" s="395"/>
      <c r="J4591" s="42"/>
    </row>
    <row r="4592" spans="1:10" s="393" customFormat="1" x14ac:dyDescent="0.25">
      <c r="A4592" s="398" t="s">
        <v>30</v>
      </c>
      <c r="B4592" s="2">
        <v>44084</v>
      </c>
      <c r="C4592" s="1">
        <v>60</v>
      </c>
      <c r="D4592" s="39">
        <f t="shared" si="374"/>
        <v>491</v>
      </c>
      <c r="E4592" s="1"/>
      <c r="F4592" s="522">
        <f t="shared" si="371"/>
        <v>5</v>
      </c>
      <c r="G4592" s="395"/>
      <c r="H4592" s="395"/>
      <c r="J4592" s="42"/>
    </row>
    <row r="4593" spans="1:10" x14ac:dyDescent="0.25">
      <c r="A4593" s="398" t="s">
        <v>31</v>
      </c>
      <c r="B4593" s="2">
        <v>44084</v>
      </c>
      <c r="C4593" s="1">
        <v>137</v>
      </c>
      <c r="D4593" s="39">
        <f t="shared" si="374"/>
        <v>4844</v>
      </c>
      <c r="E4593" s="1">
        <f>4+4</f>
        <v>8</v>
      </c>
      <c r="F4593" s="522">
        <f t="shared" si="371"/>
        <v>77</v>
      </c>
    </row>
    <row r="4594" spans="1:10" s="393" customFormat="1" x14ac:dyDescent="0.25">
      <c r="A4594" s="398" t="s">
        <v>41</v>
      </c>
      <c r="B4594" s="2">
        <v>44084</v>
      </c>
      <c r="C4594" s="1">
        <v>1</v>
      </c>
      <c r="D4594" s="39">
        <f t="shared" si="374"/>
        <v>92</v>
      </c>
      <c r="E4594" s="1"/>
      <c r="F4594" s="39">
        <f>E4594+F4570</f>
        <v>1</v>
      </c>
      <c r="G4594" s="395"/>
      <c r="H4594" s="395"/>
      <c r="J4594" s="42"/>
    </row>
    <row r="4595" spans="1:10" s="393" customFormat="1" x14ac:dyDescent="0.25">
      <c r="A4595" s="398" t="s">
        <v>32</v>
      </c>
      <c r="B4595" s="2">
        <v>44084</v>
      </c>
      <c r="C4595" s="1">
        <v>280</v>
      </c>
      <c r="D4595" s="39">
        <f t="shared" si="374"/>
        <v>11397</v>
      </c>
      <c r="E4595" s="1">
        <f>4+2</f>
        <v>6</v>
      </c>
      <c r="F4595" s="522">
        <f t="shared" si="371"/>
        <v>243</v>
      </c>
      <c r="G4595" s="395"/>
      <c r="H4595" s="395"/>
      <c r="J4595" s="42"/>
    </row>
    <row r="4596" spans="1:10" s="393" customFormat="1" x14ac:dyDescent="0.25">
      <c r="A4596" s="398" t="s">
        <v>33</v>
      </c>
      <c r="B4596" s="2">
        <v>44084</v>
      </c>
      <c r="C4596" s="1">
        <v>27</v>
      </c>
      <c r="D4596" s="39">
        <f t="shared" si="374"/>
        <v>294</v>
      </c>
      <c r="E4596" s="1"/>
      <c r="F4596" s="522">
        <f t="shared" si="371"/>
        <v>4</v>
      </c>
      <c r="G4596" s="395"/>
      <c r="H4596" s="395"/>
      <c r="J4596" s="42"/>
    </row>
    <row r="4597" spans="1:10" s="393" customFormat="1" x14ac:dyDescent="0.25">
      <c r="A4597" s="398" t="s">
        <v>21</v>
      </c>
      <c r="B4597" s="2">
        <v>44084</v>
      </c>
      <c r="C4597" s="1">
        <v>143</v>
      </c>
      <c r="D4597" s="39">
        <f t="shared" si="374"/>
        <v>2503</v>
      </c>
      <c r="E4597" s="1">
        <f>1+1</f>
        <v>2</v>
      </c>
      <c r="F4597" s="522">
        <f t="shared" si="371"/>
        <v>54</v>
      </c>
      <c r="G4597" s="395"/>
      <c r="H4597" s="395"/>
      <c r="J4597" s="42"/>
    </row>
    <row r="4598" spans="1:10" s="393" customFormat="1" x14ac:dyDescent="0.25">
      <c r="A4598" s="398" t="s">
        <v>17</v>
      </c>
      <c r="B4598" s="2">
        <v>44084</v>
      </c>
      <c r="C4598" s="1">
        <v>731</v>
      </c>
      <c r="D4598" s="39">
        <f t="shared" si="374"/>
        <v>12365</v>
      </c>
      <c r="E4598" s="1">
        <f>5+3+5</f>
        <v>13</v>
      </c>
      <c r="F4598" s="522">
        <f t="shared" si="371"/>
        <v>138</v>
      </c>
      <c r="G4598" s="395"/>
      <c r="H4598" s="395"/>
      <c r="J4598" s="42"/>
    </row>
    <row r="4599" spans="1:10" s="393" customFormat="1" x14ac:dyDescent="0.25">
      <c r="A4599" s="398" t="s">
        <v>23</v>
      </c>
      <c r="B4599" s="2">
        <v>44084</v>
      </c>
      <c r="C4599" s="1">
        <v>-6</v>
      </c>
      <c r="D4599" s="39">
        <f t="shared" si="374"/>
        <v>65</v>
      </c>
      <c r="E4599" s="1"/>
      <c r="F4599" s="522">
        <f t="shared" si="371"/>
        <v>2</v>
      </c>
      <c r="G4599" s="395"/>
      <c r="H4599" s="395"/>
      <c r="J4599" s="42"/>
    </row>
    <row r="4600" spans="1:10" s="393" customFormat="1" x14ac:dyDescent="0.25">
      <c r="A4600" s="398" t="s">
        <v>19</v>
      </c>
      <c r="B4600" s="2">
        <v>44084</v>
      </c>
      <c r="C4600" s="1">
        <v>180</v>
      </c>
      <c r="D4600" s="39">
        <f>C4600+D4576</f>
        <v>4298</v>
      </c>
      <c r="E4600" s="1">
        <f>1+1</f>
        <v>2</v>
      </c>
      <c r="F4600" s="522">
        <f t="shared" si="371"/>
        <v>45</v>
      </c>
      <c r="G4600" s="395"/>
      <c r="H4600" s="395"/>
      <c r="J4600" s="42"/>
    </row>
    <row r="4601" spans="1:10" s="393" customFormat="1" x14ac:dyDescent="0.25">
      <c r="A4601" s="398" t="s">
        <v>18</v>
      </c>
      <c r="B4601" s="2">
        <v>44084</v>
      </c>
      <c r="C4601" s="1">
        <v>265</v>
      </c>
      <c r="D4601" s="39">
        <f>C4601+D4577</f>
        <v>8042</v>
      </c>
      <c r="E4601" s="1">
        <f>3+1</f>
        <v>4</v>
      </c>
      <c r="F4601" s="522">
        <f t="shared" si="371"/>
        <v>144</v>
      </c>
      <c r="G4601" s="395"/>
      <c r="H4601" s="395"/>
      <c r="J4601" s="42"/>
    </row>
    <row r="4602" spans="1:10" s="393" customFormat="1" x14ac:dyDescent="0.25">
      <c r="A4602" s="398" t="s">
        <v>34</v>
      </c>
      <c r="B4602" s="2">
        <v>44084</v>
      </c>
      <c r="C4602" s="1">
        <v>367</v>
      </c>
      <c r="D4602" s="39">
        <f>C4602+D4578</f>
        <v>5837</v>
      </c>
      <c r="E4602" s="1">
        <f>3+6</f>
        <v>9</v>
      </c>
      <c r="F4602" s="522">
        <f>E4602+F4578</f>
        <v>80</v>
      </c>
      <c r="G4602" s="395"/>
      <c r="H4602" s="395"/>
      <c r="J4602" s="42"/>
    </row>
    <row r="4603" spans="1:10" s="393" customFormat="1" x14ac:dyDescent="0.25">
      <c r="A4603" s="398" t="s">
        <v>35</v>
      </c>
      <c r="B4603" s="2">
        <v>44084</v>
      </c>
      <c r="C4603" s="1">
        <v>1</v>
      </c>
      <c r="D4603" s="39">
        <f t="shared" ref="D4603:D4609" si="375">C4603+D4579</f>
        <v>385</v>
      </c>
      <c r="E4603" s="1"/>
      <c r="F4603" s="39">
        <f>E4603+F4579</f>
        <v>7</v>
      </c>
      <c r="G4603" s="395"/>
      <c r="H4603" s="395"/>
      <c r="J4603" s="42"/>
    </row>
    <row r="4604" spans="1:10" s="393" customFormat="1" x14ac:dyDescent="0.25">
      <c r="A4604" s="398" t="s">
        <v>36</v>
      </c>
      <c r="B4604" s="2">
        <v>44084</v>
      </c>
      <c r="C4604" s="1">
        <v>10</v>
      </c>
      <c r="D4604" s="39">
        <f t="shared" si="375"/>
        <v>356</v>
      </c>
      <c r="E4604" s="1"/>
      <c r="F4604" s="522">
        <f t="shared" si="371"/>
        <v>0</v>
      </c>
      <c r="G4604" s="395"/>
      <c r="H4604" s="395"/>
      <c r="J4604" s="42"/>
    </row>
    <row r="4605" spans="1:10" s="393" customFormat="1" x14ac:dyDescent="0.25">
      <c r="A4605" s="398" t="s">
        <v>37</v>
      </c>
      <c r="B4605" s="2">
        <v>44084</v>
      </c>
      <c r="C4605" s="1">
        <v>86</v>
      </c>
      <c r="D4605" s="39">
        <f t="shared" si="375"/>
        <v>2626</v>
      </c>
      <c r="E4605" s="1"/>
      <c r="F4605" s="39">
        <f t="shared" ref="F4605:F4612" si="376">E4605+F4581</f>
        <v>21</v>
      </c>
      <c r="G4605" s="395"/>
      <c r="H4605" s="395"/>
      <c r="J4605" s="42"/>
    </row>
    <row r="4606" spans="1:10" s="393" customFormat="1" x14ac:dyDescent="0.25">
      <c r="A4606" s="398" t="s">
        <v>22</v>
      </c>
      <c r="B4606" s="2">
        <v>44084</v>
      </c>
      <c r="C4606" s="1">
        <v>1042</v>
      </c>
      <c r="D4606" s="39">
        <f t="shared" si="375"/>
        <v>15743</v>
      </c>
      <c r="E4606" s="1">
        <f>5+2+7+7</f>
        <v>21</v>
      </c>
      <c r="F4606" s="39">
        <f t="shared" si="376"/>
        <v>177</v>
      </c>
      <c r="G4606" s="395"/>
      <c r="H4606" s="395"/>
      <c r="J4606" s="42"/>
    </row>
    <row r="4607" spans="1:10" s="393" customFormat="1" x14ac:dyDescent="0.25">
      <c r="A4607" s="398" t="s">
        <v>38</v>
      </c>
      <c r="B4607" s="2">
        <v>44084</v>
      </c>
      <c r="C4607" s="1">
        <v>88</v>
      </c>
      <c r="D4607" s="39">
        <f t="shared" si="375"/>
        <v>1558</v>
      </c>
      <c r="E4607" s="1">
        <f>1+2</f>
        <v>3</v>
      </c>
      <c r="F4607" s="39">
        <f t="shared" si="376"/>
        <v>25</v>
      </c>
      <c r="G4607" s="395"/>
      <c r="H4607" s="395"/>
      <c r="J4607" s="42"/>
    </row>
    <row r="4608" spans="1:10" s="393" customFormat="1" x14ac:dyDescent="0.25">
      <c r="A4608" s="398" t="s">
        <v>39</v>
      </c>
      <c r="B4608" s="2">
        <v>44084</v>
      </c>
      <c r="C4608" s="1">
        <v>62</v>
      </c>
      <c r="D4608" s="39">
        <f t="shared" si="375"/>
        <v>2592</v>
      </c>
      <c r="E4608" s="1">
        <f>1</f>
        <v>1</v>
      </c>
      <c r="F4608" s="39">
        <f t="shared" si="376"/>
        <v>40</v>
      </c>
      <c r="G4608" s="395"/>
      <c r="H4608" s="395"/>
      <c r="J4608" s="42"/>
    </row>
    <row r="4609" spans="1:10" s="393" customFormat="1" ht="15.75" thickBot="1" x14ac:dyDescent="0.3">
      <c r="A4609" s="400" t="s">
        <v>40</v>
      </c>
      <c r="B4609" s="268">
        <v>44084</v>
      </c>
      <c r="C4609" s="44">
        <v>283</v>
      </c>
      <c r="D4609" s="177">
        <f t="shared" si="375"/>
        <v>5419</v>
      </c>
      <c r="E4609" s="44"/>
      <c r="F4609" s="39">
        <f t="shared" si="376"/>
        <v>17</v>
      </c>
      <c r="G4609" s="395"/>
      <c r="H4609" s="395"/>
      <c r="J4609" s="42"/>
    </row>
    <row r="4610" spans="1:10" s="393" customFormat="1" ht="15.75" thickBot="1" x14ac:dyDescent="0.3">
      <c r="A4610" s="397" t="s">
        <v>16</v>
      </c>
      <c r="B4610" s="268">
        <v>44085</v>
      </c>
      <c r="C4610" s="227">
        <v>5732</v>
      </c>
      <c r="D4610" s="175">
        <f>C4610+D4586</f>
        <v>322238</v>
      </c>
      <c r="E4610" s="227">
        <v>127</v>
      </c>
      <c r="F4610" s="39">
        <f t="shared" si="376"/>
        <v>6683</v>
      </c>
      <c r="G4610" s="401"/>
      <c r="H4610" s="395"/>
      <c r="J4610" s="42"/>
    </row>
    <row r="4611" spans="1:10" s="393" customFormat="1" ht="15.75" thickBot="1" x14ac:dyDescent="0.3">
      <c r="A4611" s="398" t="s">
        <v>43</v>
      </c>
      <c r="B4611" s="268">
        <v>44085</v>
      </c>
      <c r="C4611" s="1">
        <v>1215</v>
      </c>
      <c r="D4611" s="39">
        <f t="shared" ref="D4611:D4623" si="377">C4611+D4587</f>
        <v>109072</v>
      </c>
      <c r="E4611" s="1">
        <f>19+18+9+13</f>
        <v>59</v>
      </c>
      <c r="F4611" s="522">
        <f t="shared" si="376"/>
        <v>2670</v>
      </c>
      <c r="G4611" s="395"/>
      <c r="H4611" s="395"/>
      <c r="J4611" s="42"/>
    </row>
    <row r="4612" spans="1:10" s="393" customFormat="1" ht="15.75" thickBot="1" x14ac:dyDescent="0.3">
      <c r="A4612" s="398" t="s">
        <v>28</v>
      </c>
      <c r="B4612" s="268">
        <v>44085</v>
      </c>
      <c r="C4612" s="1">
        <v>3</v>
      </c>
      <c r="D4612" s="39">
        <f t="shared" si="377"/>
        <v>114</v>
      </c>
      <c r="E4612" s="1"/>
      <c r="F4612" s="522">
        <f t="shared" si="376"/>
        <v>0</v>
      </c>
      <c r="G4612" s="395"/>
      <c r="H4612" s="395"/>
      <c r="J4612" s="42"/>
    </row>
    <row r="4613" spans="1:10" s="393" customFormat="1" ht="15.75" thickBot="1" x14ac:dyDescent="0.3">
      <c r="A4613" s="398" t="s">
        <v>15</v>
      </c>
      <c r="B4613" s="268">
        <v>44085</v>
      </c>
      <c r="C4613" s="1">
        <v>125</v>
      </c>
      <c r="D4613" s="39">
        <f t="shared" si="377"/>
        <v>6543</v>
      </c>
      <c r="E4613" s="1">
        <f>1+1</f>
        <v>2</v>
      </c>
      <c r="F4613" s="522">
        <f t="shared" ref="F4613:F4631" si="378">E4613+F4589</f>
        <v>234</v>
      </c>
      <c r="G4613" s="395"/>
      <c r="H4613" s="395"/>
      <c r="J4613" s="42"/>
    </row>
    <row r="4614" spans="1:10" s="393" customFormat="1" ht="15.75" thickBot="1" x14ac:dyDescent="0.3">
      <c r="A4614" s="398" t="s">
        <v>29</v>
      </c>
      <c r="B4614" s="268">
        <v>44085</v>
      </c>
      <c r="C4614" s="1">
        <v>90</v>
      </c>
      <c r="D4614" s="39">
        <f t="shared" si="377"/>
        <v>1480</v>
      </c>
      <c r="E4614" s="1">
        <v>2</v>
      </c>
      <c r="F4614" s="522">
        <f t="shared" si="378"/>
        <v>10</v>
      </c>
      <c r="G4614" s="395"/>
      <c r="H4614" s="395"/>
      <c r="J4614" s="42"/>
    </row>
    <row r="4615" spans="1:10" s="393" customFormat="1" ht="15.75" thickBot="1" x14ac:dyDescent="0.3">
      <c r="A4615" s="398" t="s">
        <v>20</v>
      </c>
      <c r="B4615" s="268">
        <v>44085</v>
      </c>
      <c r="C4615" s="1">
        <v>387</v>
      </c>
      <c r="D4615" s="39">
        <f t="shared" si="377"/>
        <v>13396</v>
      </c>
      <c r="E4615" s="1">
        <f>3+3</f>
        <v>6</v>
      </c>
      <c r="F4615" s="522">
        <f t="shared" si="378"/>
        <v>189</v>
      </c>
      <c r="G4615" s="395"/>
      <c r="H4615" s="395"/>
      <c r="J4615" s="42"/>
    </row>
    <row r="4616" spans="1:10" s="393" customFormat="1" ht="15.75" thickBot="1" x14ac:dyDescent="0.3">
      <c r="A4616" s="398" t="s">
        <v>30</v>
      </c>
      <c r="B4616" s="268">
        <v>44085</v>
      </c>
      <c r="C4616" s="1">
        <v>112</v>
      </c>
      <c r="D4616" s="39">
        <f t="shared" si="377"/>
        <v>603</v>
      </c>
      <c r="E4616" s="1">
        <f>1</f>
        <v>1</v>
      </c>
      <c r="F4616" s="522">
        <f t="shared" si="378"/>
        <v>6</v>
      </c>
      <c r="G4616" s="395"/>
      <c r="H4616" s="395"/>
      <c r="J4616" s="42"/>
    </row>
    <row r="4617" spans="1:10" ht="15.75" thickBot="1" x14ac:dyDescent="0.3">
      <c r="A4617" s="398" t="s">
        <v>31</v>
      </c>
      <c r="B4617" s="268">
        <v>44085</v>
      </c>
      <c r="C4617" s="1">
        <v>151</v>
      </c>
      <c r="D4617" s="39">
        <f t="shared" si="377"/>
        <v>4995</v>
      </c>
      <c r="E4617" s="1">
        <v>11</v>
      </c>
      <c r="F4617" s="522">
        <f t="shared" si="378"/>
        <v>88</v>
      </c>
    </row>
    <row r="4618" spans="1:10" s="393" customFormat="1" ht="15.75" thickBot="1" x14ac:dyDescent="0.3">
      <c r="A4618" s="398" t="s">
        <v>41</v>
      </c>
      <c r="B4618" s="268">
        <v>44085</v>
      </c>
      <c r="C4618" s="1">
        <v>4</v>
      </c>
      <c r="D4618" s="39">
        <f t="shared" si="377"/>
        <v>96</v>
      </c>
      <c r="E4618" s="1"/>
      <c r="F4618" s="39">
        <f>E4618+F4594</f>
        <v>1</v>
      </c>
      <c r="G4618" s="395"/>
      <c r="H4618" s="395"/>
      <c r="J4618" s="42"/>
    </row>
    <row r="4619" spans="1:10" s="393" customFormat="1" ht="15.75" thickBot="1" x14ac:dyDescent="0.3">
      <c r="A4619" s="398" t="s">
        <v>32</v>
      </c>
      <c r="B4619" s="268">
        <v>44085</v>
      </c>
      <c r="C4619" s="1">
        <v>302</v>
      </c>
      <c r="D4619" s="39">
        <f t="shared" si="377"/>
        <v>11699</v>
      </c>
      <c r="E4619" s="1">
        <f>1</f>
        <v>1</v>
      </c>
      <c r="F4619" s="522">
        <f t="shared" si="378"/>
        <v>244</v>
      </c>
      <c r="G4619" s="395"/>
      <c r="H4619" s="395"/>
      <c r="J4619" s="42"/>
    </row>
    <row r="4620" spans="1:10" s="393" customFormat="1" ht="15.75" thickBot="1" x14ac:dyDescent="0.3">
      <c r="A4620" s="398" t="s">
        <v>33</v>
      </c>
      <c r="B4620" s="268">
        <v>44085</v>
      </c>
      <c r="C4620" s="1">
        <v>27</v>
      </c>
      <c r="D4620" s="39">
        <f t="shared" si="377"/>
        <v>321</v>
      </c>
      <c r="E4620" s="1"/>
      <c r="F4620" s="522">
        <f t="shared" si="378"/>
        <v>4</v>
      </c>
      <c r="G4620" s="395"/>
      <c r="H4620" s="395"/>
      <c r="J4620" s="42"/>
    </row>
    <row r="4621" spans="1:10" s="393" customFormat="1" ht="15.75" thickBot="1" x14ac:dyDescent="0.3">
      <c r="A4621" s="398" t="s">
        <v>21</v>
      </c>
      <c r="B4621" s="268">
        <v>44085</v>
      </c>
      <c r="C4621" s="1">
        <v>162</v>
      </c>
      <c r="D4621" s="39">
        <f t="shared" si="377"/>
        <v>2665</v>
      </c>
      <c r="E4621" s="1"/>
      <c r="F4621" s="522">
        <f t="shared" si="378"/>
        <v>54</v>
      </c>
      <c r="G4621" s="395"/>
      <c r="H4621" s="395"/>
      <c r="J4621" s="42"/>
    </row>
    <row r="4622" spans="1:10" s="393" customFormat="1" ht="15.75" thickBot="1" x14ac:dyDescent="0.3">
      <c r="A4622" s="398" t="s">
        <v>17</v>
      </c>
      <c r="B4622" s="268">
        <v>44085</v>
      </c>
      <c r="C4622" s="1">
        <v>695</v>
      </c>
      <c r="D4622" s="39">
        <f t="shared" si="377"/>
        <v>13060</v>
      </c>
      <c r="E4622" s="1">
        <f>1+2+3+2</f>
        <v>8</v>
      </c>
      <c r="F4622" s="522">
        <f t="shared" si="378"/>
        <v>146</v>
      </c>
      <c r="G4622" s="395"/>
      <c r="H4622" s="395"/>
      <c r="J4622" s="42"/>
    </row>
    <row r="4623" spans="1:10" s="393" customFormat="1" ht="15.75" thickBot="1" x14ac:dyDescent="0.3">
      <c r="A4623" s="398" t="s">
        <v>23</v>
      </c>
      <c r="B4623" s="268">
        <v>44085</v>
      </c>
      <c r="C4623" s="1">
        <v>0</v>
      </c>
      <c r="D4623" s="39">
        <f t="shared" si="377"/>
        <v>65</v>
      </c>
      <c r="E4623" s="1"/>
      <c r="F4623" s="522">
        <f t="shared" si="378"/>
        <v>2</v>
      </c>
      <c r="G4623" s="395"/>
      <c r="H4623" s="395"/>
      <c r="J4623" s="42"/>
    </row>
    <row r="4624" spans="1:10" s="393" customFormat="1" ht="15.75" thickBot="1" x14ac:dyDescent="0.3">
      <c r="A4624" s="398" t="s">
        <v>19</v>
      </c>
      <c r="B4624" s="268">
        <v>44085</v>
      </c>
      <c r="C4624" s="1">
        <v>161</v>
      </c>
      <c r="D4624" s="39">
        <f>C4624+D4600</f>
        <v>4459</v>
      </c>
      <c r="E4624" s="1">
        <f>1</f>
        <v>1</v>
      </c>
      <c r="F4624" s="522">
        <f t="shared" si="378"/>
        <v>46</v>
      </c>
      <c r="G4624" s="395"/>
      <c r="H4624" s="395"/>
      <c r="J4624" s="42"/>
    </row>
    <row r="4625" spans="1:10" s="393" customFormat="1" ht="15.75" thickBot="1" x14ac:dyDescent="0.3">
      <c r="A4625" s="398" t="s">
        <v>18</v>
      </c>
      <c r="B4625" s="268">
        <v>44085</v>
      </c>
      <c r="C4625" s="1">
        <v>318</v>
      </c>
      <c r="D4625" s="39">
        <f>C4625+D4601</f>
        <v>8360</v>
      </c>
      <c r="E4625" s="1">
        <f>1+2+4</f>
        <v>7</v>
      </c>
      <c r="F4625" s="522">
        <f t="shared" si="378"/>
        <v>151</v>
      </c>
      <c r="G4625" s="395"/>
      <c r="H4625" s="395"/>
      <c r="J4625" s="42"/>
    </row>
    <row r="4626" spans="1:10" s="393" customFormat="1" ht="15.75" thickBot="1" x14ac:dyDescent="0.3">
      <c r="A4626" s="398" t="s">
        <v>34</v>
      </c>
      <c r="B4626" s="268">
        <v>44085</v>
      </c>
      <c r="C4626" s="1">
        <v>322</v>
      </c>
      <c r="D4626" s="39">
        <f>C4626+D4602</f>
        <v>6159</v>
      </c>
      <c r="E4626" s="1">
        <f>1+2+2</f>
        <v>5</v>
      </c>
      <c r="F4626" s="522">
        <f>E4626+F4602</f>
        <v>85</v>
      </c>
      <c r="G4626" s="395"/>
      <c r="H4626" s="395"/>
      <c r="J4626" s="42"/>
    </row>
    <row r="4627" spans="1:10" s="393" customFormat="1" ht="15.75" thickBot="1" x14ac:dyDescent="0.3">
      <c r="A4627" s="398" t="s">
        <v>35</v>
      </c>
      <c r="B4627" s="268">
        <v>44085</v>
      </c>
      <c r="C4627" s="1">
        <v>14</v>
      </c>
      <c r="D4627" s="39">
        <f t="shared" ref="D4627:D4633" si="379">C4627+D4603</f>
        <v>399</v>
      </c>
      <c r="E4627" s="1"/>
      <c r="F4627" s="39">
        <f>E4627+F4603</f>
        <v>7</v>
      </c>
      <c r="G4627" s="395"/>
      <c r="H4627" s="395"/>
      <c r="J4627" s="42"/>
    </row>
    <row r="4628" spans="1:10" s="393" customFormat="1" ht="15.75" thickBot="1" x14ac:dyDescent="0.3">
      <c r="A4628" s="398" t="s">
        <v>36</v>
      </c>
      <c r="B4628" s="268">
        <v>44085</v>
      </c>
      <c r="C4628" s="1">
        <v>23</v>
      </c>
      <c r="D4628" s="39">
        <f t="shared" si="379"/>
        <v>379</v>
      </c>
      <c r="E4628" s="1"/>
      <c r="F4628" s="522">
        <f t="shared" si="378"/>
        <v>0</v>
      </c>
      <c r="G4628" s="395"/>
      <c r="H4628" s="395"/>
      <c r="J4628" s="42"/>
    </row>
    <row r="4629" spans="1:10" s="393" customFormat="1" ht="15.75" thickBot="1" x14ac:dyDescent="0.3">
      <c r="A4629" s="398" t="s">
        <v>37</v>
      </c>
      <c r="B4629" s="268">
        <v>44085</v>
      </c>
      <c r="C4629" s="1">
        <v>136</v>
      </c>
      <c r="D4629" s="39">
        <f t="shared" si="379"/>
        <v>2762</v>
      </c>
      <c r="E4629" s="1"/>
      <c r="F4629" s="39">
        <f>E4629+F4605</f>
        <v>21</v>
      </c>
      <c r="G4629" s="395"/>
      <c r="H4629" s="395"/>
      <c r="J4629" s="42"/>
    </row>
    <row r="4630" spans="1:10" s="393" customFormat="1" ht="15.75" thickBot="1" x14ac:dyDescent="0.3">
      <c r="A4630" s="398" t="s">
        <v>22</v>
      </c>
      <c r="B4630" s="268">
        <v>44085</v>
      </c>
      <c r="C4630" s="1">
        <v>930</v>
      </c>
      <c r="D4630" s="39">
        <f t="shared" si="379"/>
        <v>16673</v>
      </c>
      <c r="E4630" s="1">
        <f>2+4+4</f>
        <v>10</v>
      </c>
      <c r="F4630" s="39">
        <f>E4630+F4606</f>
        <v>187</v>
      </c>
      <c r="G4630" s="395"/>
      <c r="H4630" s="395"/>
      <c r="J4630" s="42"/>
    </row>
    <row r="4631" spans="1:10" s="393" customFormat="1" ht="15.75" thickBot="1" x14ac:dyDescent="0.3">
      <c r="A4631" s="398" t="s">
        <v>38</v>
      </c>
      <c r="B4631" s="268">
        <v>44085</v>
      </c>
      <c r="C4631" s="1">
        <v>83</v>
      </c>
      <c r="D4631" s="39">
        <f t="shared" si="379"/>
        <v>1641</v>
      </c>
      <c r="E4631" s="1"/>
      <c r="F4631" s="522">
        <f t="shared" si="378"/>
        <v>25</v>
      </c>
      <c r="G4631" s="395"/>
      <c r="H4631" s="395"/>
      <c r="J4631" s="42"/>
    </row>
    <row r="4632" spans="1:10" s="393" customFormat="1" ht="15.75" thickBot="1" x14ac:dyDescent="0.3">
      <c r="A4632" s="398" t="s">
        <v>39</v>
      </c>
      <c r="B4632" s="268">
        <v>44085</v>
      </c>
      <c r="C4632" s="1">
        <v>43</v>
      </c>
      <c r="D4632" s="39">
        <f t="shared" si="379"/>
        <v>2635</v>
      </c>
      <c r="E4632" s="1">
        <f>1</f>
        <v>1</v>
      </c>
      <c r="F4632" s="522">
        <f>E4632+F4608</f>
        <v>41</v>
      </c>
      <c r="G4632" s="395"/>
      <c r="H4632" s="395"/>
      <c r="J4632" s="42"/>
    </row>
    <row r="4633" spans="1:10" s="393" customFormat="1" ht="15.75" thickBot="1" x14ac:dyDescent="0.3">
      <c r="A4633" s="399" t="s">
        <v>40</v>
      </c>
      <c r="B4633" s="34">
        <v>44085</v>
      </c>
      <c r="C4633" s="234">
        <v>472</v>
      </c>
      <c r="D4633" s="67">
        <f t="shared" si="379"/>
        <v>5891</v>
      </c>
      <c r="E4633" s="234">
        <f>1</f>
        <v>1</v>
      </c>
      <c r="F4633" s="67">
        <f>E4633+F4609</f>
        <v>18</v>
      </c>
      <c r="G4633" s="395"/>
      <c r="H4633" s="395"/>
      <c r="J4633" s="42"/>
    </row>
    <row r="4634" spans="1:10" s="393" customFormat="1" x14ac:dyDescent="0.25">
      <c r="A4634" s="397" t="s">
        <v>16</v>
      </c>
      <c r="B4634" s="267">
        <v>44086</v>
      </c>
      <c r="C4634" s="43">
        <v>5862</v>
      </c>
      <c r="D4634" s="175">
        <f>C4634+D4610</f>
        <v>328100</v>
      </c>
      <c r="E4634" s="43">
        <f>15+15+18+6</f>
        <v>54</v>
      </c>
      <c r="F4634" s="630">
        <f>E4634+F4610</f>
        <v>6737</v>
      </c>
      <c r="G4634" s="395"/>
      <c r="H4634" s="395"/>
      <c r="J4634" s="42"/>
    </row>
    <row r="4635" spans="1:10" s="393" customFormat="1" x14ac:dyDescent="0.25">
      <c r="A4635" s="398" t="s">
        <v>43</v>
      </c>
      <c r="B4635" s="2">
        <v>44086</v>
      </c>
      <c r="C4635" s="1">
        <v>985</v>
      </c>
      <c r="D4635" s="39">
        <f t="shared" ref="D4635:D4647" si="380">C4635+D4611</f>
        <v>110057</v>
      </c>
      <c r="E4635" s="1">
        <f>9+5+5+4</f>
        <v>23</v>
      </c>
      <c r="F4635" s="522">
        <f>E4635+F4611</f>
        <v>2693</v>
      </c>
      <c r="G4635" s="395"/>
      <c r="H4635" s="395"/>
      <c r="J4635" s="42"/>
    </row>
    <row r="4636" spans="1:10" s="393" customFormat="1" x14ac:dyDescent="0.25">
      <c r="A4636" s="398" t="s">
        <v>28</v>
      </c>
      <c r="B4636" s="2">
        <v>44086</v>
      </c>
      <c r="C4636" s="1">
        <v>6</v>
      </c>
      <c r="D4636" s="39">
        <f t="shared" si="380"/>
        <v>120</v>
      </c>
      <c r="E4636" s="1"/>
      <c r="F4636" s="522">
        <f>E4636+F4612</f>
        <v>0</v>
      </c>
      <c r="G4636" s="395"/>
      <c r="H4636" s="395"/>
      <c r="J4636" s="42"/>
    </row>
    <row r="4637" spans="1:10" s="393" customFormat="1" x14ac:dyDescent="0.25">
      <c r="A4637" s="398" t="s">
        <v>15</v>
      </c>
      <c r="B4637" s="2">
        <v>44086</v>
      </c>
      <c r="C4637" s="1">
        <v>117</v>
      </c>
      <c r="D4637" s="39">
        <f t="shared" si="380"/>
        <v>6660</v>
      </c>
      <c r="E4637" s="1">
        <f>2+1</f>
        <v>3</v>
      </c>
      <c r="F4637" s="522">
        <f t="shared" ref="F4637:F4655" si="381">E4637+F4613</f>
        <v>237</v>
      </c>
      <c r="G4637" s="395"/>
      <c r="H4637" s="395"/>
      <c r="J4637" s="42"/>
    </row>
    <row r="4638" spans="1:10" s="393" customFormat="1" x14ac:dyDescent="0.25">
      <c r="A4638" s="398" t="s">
        <v>29</v>
      </c>
      <c r="B4638" s="2">
        <v>44086</v>
      </c>
      <c r="C4638" s="1">
        <v>165</v>
      </c>
      <c r="D4638" s="39">
        <f t="shared" si="380"/>
        <v>1645</v>
      </c>
      <c r="E4638" s="1">
        <f>2+2</f>
        <v>4</v>
      </c>
      <c r="F4638" s="522">
        <f t="shared" si="381"/>
        <v>14</v>
      </c>
      <c r="G4638" s="395"/>
      <c r="H4638" s="395"/>
      <c r="J4638" s="42"/>
    </row>
    <row r="4639" spans="1:10" s="393" customFormat="1" x14ac:dyDescent="0.25">
      <c r="A4639" s="398" t="s">
        <v>20</v>
      </c>
      <c r="B4639" s="2">
        <v>44086</v>
      </c>
      <c r="C4639" s="1">
        <v>491</v>
      </c>
      <c r="D4639" s="39">
        <f t="shared" si="380"/>
        <v>13887</v>
      </c>
      <c r="E4639" s="1">
        <f>4</f>
        <v>4</v>
      </c>
      <c r="F4639" s="522">
        <f t="shared" si="381"/>
        <v>193</v>
      </c>
      <c r="G4639" s="395"/>
      <c r="H4639" s="395"/>
      <c r="J4639" s="42"/>
    </row>
    <row r="4640" spans="1:10" s="393" customFormat="1" x14ac:dyDescent="0.25">
      <c r="A4640" s="398" t="s">
        <v>30</v>
      </c>
      <c r="B4640" s="2">
        <v>44086</v>
      </c>
      <c r="C4640" s="1">
        <v>56</v>
      </c>
      <c r="D4640" s="39">
        <f t="shared" si="380"/>
        <v>659</v>
      </c>
      <c r="E4640" s="1"/>
      <c r="F4640" s="522">
        <f t="shared" si="381"/>
        <v>6</v>
      </c>
      <c r="G4640" s="395"/>
      <c r="H4640" s="395"/>
      <c r="J4640" s="42"/>
    </row>
    <row r="4641" spans="1:10" x14ac:dyDescent="0.25">
      <c r="A4641" s="398" t="s">
        <v>31</v>
      </c>
      <c r="B4641" s="2">
        <v>44086</v>
      </c>
      <c r="C4641" s="1">
        <v>138</v>
      </c>
      <c r="D4641" s="39">
        <f t="shared" si="380"/>
        <v>5133</v>
      </c>
      <c r="F4641" s="522">
        <f t="shared" si="381"/>
        <v>88</v>
      </c>
    </row>
    <row r="4642" spans="1:10" s="393" customFormat="1" x14ac:dyDescent="0.25">
      <c r="A4642" s="398" t="s">
        <v>41</v>
      </c>
      <c r="B4642" s="2">
        <v>44086</v>
      </c>
      <c r="C4642" s="1">
        <v>-1</v>
      </c>
      <c r="D4642" s="39">
        <f t="shared" si="380"/>
        <v>95</v>
      </c>
      <c r="E4642" s="1"/>
      <c r="F4642" s="522">
        <f>E4642+F4618</f>
        <v>1</v>
      </c>
      <c r="G4642" s="395"/>
      <c r="H4642" s="395"/>
      <c r="J4642" s="42"/>
    </row>
    <row r="4643" spans="1:10" s="393" customFormat="1" x14ac:dyDescent="0.25">
      <c r="A4643" s="398" t="s">
        <v>32</v>
      </c>
      <c r="B4643" s="2">
        <v>44086</v>
      </c>
      <c r="C4643" s="1">
        <v>254</v>
      </c>
      <c r="D4643" s="39">
        <f t="shared" si="380"/>
        <v>11953</v>
      </c>
      <c r="E4643" s="1">
        <f>4+2</f>
        <v>6</v>
      </c>
      <c r="F4643" s="522">
        <f t="shared" si="381"/>
        <v>250</v>
      </c>
      <c r="G4643" s="395"/>
      <c r="H4643" s="395"/>
      <c r="J4643" s="42"/>
    </row>
    <row r="4644" spans="1:10" s="393" customFormat="1" x14ac:dyDescent="0.25">
      <c r="A4644" s="398" t="s">
        <v>33</v>
      </c>
      <c r="B4644" s="2">
        <v>44086</v>
      </c>
      <c r="C4644" s="1">
        <v>30</v>
      </c>
      <c r="D4644" s="39">
        <f t="shared" si="380"/>
        <v>351</v>
      </c>
      <c r="E4644" s="1"/>
      <c r="F4644" s="522">
        <f t="shared" si="381"/>
        <v>4</v>
      </c>
      <c r="G4644" s="395"/>
      <c r="H4644" s="395"/>
      <c r="J4644" s="42"/>
    </row>
    <row r="4645" spans="1:10" s="393" customFormat="1" x14ac:dyDescent="0.25">
      <c r="A4645" s="398" t="s">
        <v>21</v>
      </c>
      <c r="B4645" s="2">
        <v>44086</v>
      </c>
      <c r="C4645" s="1">
        <v>47</v>
      </c>
      <c r="D4645" s="39">
        <f t="shared" si="380"/>
        <v>2712</v>
      </c>
      <c r="E4645" s="1"/>
      <c r="F4645" s="522">
        <f t="shared" si="381"/>
        <v>54</v>
      </c>
      <c r="G4645" s="395"/>
      <c r="H4645" s="395"/>
      <c r="J4645" s="42"/>
    </row>
    <row r="4646" spans="1:10" s="393" customFormat="1" x14ac:dyDescent="0.25">
      <c r="A4646" s="398" t="s">
        <v>17</v>
      </c>
      <c r="B4646" s="2">
        <v>44086</v>
      </c>
      <c r="C4646" s="1">
        <v>718</v>
      </c>
      <c r="D4646" s="39">
        <f t="shared" si="380"/>
        <v>13778</v>
      </c>
      <c r="E4646" s="1">
        <f>2</f>
        <v>2</v>
      </c>
      <c r="F4646" s="522">
        <f t="shared" si="381"/>
        <v>148</v>
      </c>
      <c r="G4646" s="395"/>
      <c r="H4646" s="395"/>
      <c r="J4646" s="42"/>
    </row>
    <row r="4647" spans="1:10" s="393" customFormat="1" x14ac:dyDescent="0.25">
      <c r="A4647" s="398" t="s">
        <v>23</v>
      </c>
      <c r="B4647" s="2">
        <v>44086</v>
      </c>
      <c r="C4647" s="1">
        <v>3</v>
      </c>
      <c r="D4647" s="39">
        <f t="shared" si="380"/>
        <v>68</v>
      </c>
      <c r="E4647" s="1"/>
      <c r="F4647" s="522">
        <f t="shared" si="381"/>
        <v>2</v>
      </c>
      <c r="G4647" s="395"/>
      <c r="H4647" s="395"/>
      <c r="J4647" s="42"/>
    </row>
    <row r="4648" spans="1:10" s="393" customFormat="1" x14ac:dyDescent="0.25">
      <c r="A4648" s="398" t="s">
        <v>19</v>
      </c>
      <c r="B4648" s="2">
        <v>44086</v>
      </c>
      <c r="C4648" s="1">
        <v>67</v>
      </c>
      <c r="D4648" s="39">
        <f>C4648+D4624</f>
        <v>4526</v>
      </c>
      <c r="E4648" s="1"/>
      <c r="F4648" s="522">
        <f t="shared" si="381"/>
        <v>46</v>
      </c>
      <c r="G4648" s="395"/>
      <c r="H4648" s="395"/>
      <c r="J4648" s="42"/>
    </row>
    <row r="4649" spans="1:10" s="393" customFormat="1" x14ac:dyDescent="0.25">
      <c r="A4649" s="398" t="s">
        <v>18</v>
      </c>
      <c r="B4649" s="2">
        <v>44086</v>
      </c>
      <c r="C4649" s="1">
        <v>229</v>
      </c>
      <c r="D4649" s="39">
        <f>C4649+D4625</f>
        <v>8589</v>
      </c>
      <c r="E4649" s="1"/>
      <c r="F4649" s="522">
        <f t="shared" si="381"/>
        <v>151</v>
      </c>
      <c r="G4649" s="395"/>
      <c r="H4649" s="395"/>
      <c r="J4649" s="42"/>
    </row>
    <row r="4650" spans="1:10" s="393" customFormat="1" x14ac:dyDescent="0.25">
      <c r="A4650" s="398" t="s">
        <v>34</v>
      </c>
      <c r="B4650" s="2">
        <v>44086</v>
      </c>
      <c r="C4650" s="1">
        <v>266</v>
      </c>
      <c r="D4650" s="39">
        <f>C4650+D4626</f>
        <v>6425</v>
      </c>
      <c r="E4650" s="1">
        <f>2</f>
        <v>2</v>
      </c>
      <c r="F4650" s="522">
        <f>E4650+F4626</f>
        <v>87</v>
      </c>
      <c r="G4650" s="395"/>
      <c r="H4650" s="395"/>
      <c r="J4650" s="42"/>
    </row>
    <row r="4651" spans="1:10" s="393" customFormat="1" x14ac:dyDescent="0.25">
      <c r="A4651" s="398" t="s">
        <v>35</v>
      </c>
      <c r="B4651" s="2">
        <v>44086</v>
      </c>
      <c r="C4651" s="1">
        <v>23</v>
      </c>
      <c r="D4651" s="39">
        <f t="shared" ref="D4651:D4657" si="382">C4651+D4627</f>
        <v>422</v>
      </c>
      <c r="E4651" s="1">
        <f>2+3</f>
        <v>5</v>
      </c>
      <c r="F4651" s="522">
        <f>E4651+F4627</f>
        <v>12</v>
      </c>
      <c r="G4651" s="395"/>
      <c r="H4651" s="395"/>
      <c r="J4651" s="42"/>
    </row>
    <row r="4652" spans="1:10" s="393" customFormat="1" x14ac:dyDescent="0.25">
      <c r="A4652" s="398" t="s">
        <v>36</v>
      </c>
      <c r="B4652" s="2">
        <v>44086</v>
      </c>
      <c r="C4652" s="1">
        <v>3</v>
      </c>
      <c r="D4652" s="39">
        <f t="shared" si="382"/>
        <v>382</v>
      </c>
      <c r="E4652" s="1"/>
      <c r="F4652" s="522">
        <f t="shared" si="381"/>
        <v>0</v>
      </c>
      <c r="G4652" s="395"/>
      <c r="H4652" s="395"/>
      <c r="J4652" s="42"/>
    </row>
    <row r="4653" spans="1:10" s="393" customFormat="1" x14ac:dyDescent="0.25">
      <c r="A4653" s="398" t="s">
        <v>37</v>
      </c>
      <c r="B4653" s="2">
        <v>44086</v>
      </c>
      <c r="C4653" s="1">
        <v>114</v>
      </c>
      <c r="D4653" s="39">
        <f t="shared" si="382"/>
        <v>2876</v>
      </c>
      <c r="E4653" s="1"/>
      <c r="F4653" s="522">
        <f>E4653+F4629</f>
        <v>21</v>
      </c>
      <c r="G4653" s="395"/>
      <c r="H4653" s="395"/>
      <c r="J4653" s="42"/>
    </row>
    <row r="4654" spans="1:10" s="393" customFormat="1" x14ac:dyDescent="0.25">
      <c r="A4654" s="398" t="s">
        <v>22</v>
      </c>
      <c r="B4654" s="2">
        <v>44086</v>
      </c>
      <c r="C4654" s="1">
        <v>889</v>
      </c>
      <c r="D4654" s="39">
        <f t="shared" si="382"/>
        <v>17562</v>
      </c>
      <c r="E4654" s="1">
        <f>2+3+2</f>
        <v>7</v>
      </c>
      <c r="F4654" s="522">
        <f>E4654+F4630</f>
        <v>194</v>
      </c>
      <c r="G4654" s="395"/>
      <c r="H4654" s="395"/>
      <c r="J4654" s="42"/>
    </row>
    <row r="4655" spans="1:10" s="393" customFormat="1" x14ac:dyDescent="0.25">
      <c r="A4655" s="398" t="s">
        <v>38</v>
      </c>
      <c r="B4655" s="2">
        <v>44086</v>
      </c>
      <c r="C4655" s="1">
        <v>112</v>
      </c>
      <c r="D4655" s="39">
        <f t="shared" si="382"/>
        <v>1753</v>
      </c>
      <c r="E4655" s="1"/>
      <c r="F4655" s="522">
        <f t="shared" si="381"/>
        <v>25</v>
      </c>
      <c r="G4655" s="395"/>
      <c r="H4655" s="395"/>
      <c r="J4655" s="42"/>
    </row>
    <row r="4656" spans="1:10" s="393" customFormat="1" x14ac:dyDescent="0.25">
      <c r="A4656" s="398" t="s">
        <v>39</v>
      </c>
      <c r="B4656" s="2">
        <v>44086</v>
      </c>
      <c r="C4656" s="1">
        <v>48</v>
      </c>
      <c r="D4656" s="39">
        <f t="shared" si="382"/>
        <v>2683</v>
      </c>
      <c r="E4656" s="1">
        <f>1+1+1</f>
        <v>3</v>
      </c>
      <c r="F4656" s="522">
        <f>E4656+F4632</f>
        <v>44</v>
      </c>
      <c r="G4656" s="395"/>
      <c r="H4656" s="395"/>
      <c r="J4656" s="42"/>
    </row>
    <row r="4657" spans="1:10" s="393" customFormat="1" ht="15.75" thickBot="1" x14ac:dyDescent="0.3">
      <c r="A4657" s="400" t="s">
        <v>40</v>
      </c>
      <c r="B4657" s="268">
        <v>44086</v>
      </c>
      <c r="C4657" s="44">
        <v>154</v>
      </c>
      <c r="D4657" s="177">
        <f t="shared" si="382"/>
        <v>6045</v>
      </c>
      <c r="E4657" s="44">
        <f>1</f>
        <v>1</v>
      </c>
      <c r="F4657" s="631">
        <f>E4657+F4633</f>
        <v>19</v>
      </c>
      <c r="G4657" s="395"/>
      <c r="H4657" s="395"/>
      <c r="J4657" s="42"/>
    </row>
    <row r="4658" spans="1:10" s="393" customFormat="1" x14ac:dyDescent="0.25">
      <c r="A4658" s="397" t="s">
        <v>16</v>
      </c>
      <c r="B4658" s="269">
        <v>44087</v>
      </c>
      <c r="C4658" s="227">
        <v>3689</v>
      </c>
      <c r="D4658" s="175">
        <f>C4658+D4634</f>
        <v>331789</v>
      </c>
      <c r="E4658" s="227">
        <f>11+3+11+13</f>
        <v>38</v>
      </c>
      <c r="F4658" s="630">
        <f>E4658+F4634</f>
        <v>6775</v>
      </c>
      <c r="G4658" s="395"/>
      <c r="H4658" s="395"/>
      <c r="J4658" s="42"/>
    </row>
    <row r="4659" spans="1:10" s="393" customFormat="1" x14ac:dyDescent="0.25">
      <c r="A4659" s="398" t="s">
        <v>43</v>
      </c>
      <c r="B4659" s="269">
        <v>44087</v>
      </c>
      <c r="C4659" s="1">
        <v>843</v>
      </c>
      <c r="D4659" s="39">
        <f t="shared" ref="D4659:D4671" si="383">C4659+D4635</f>
        <v>110900</v>
      </c>
      <c r="E4659" s="1">
        <f>6+7+4+2</f>
        <v>19</v>
      </c>
      <c r="F4659" s="522">
        <f>E4659+F4635</f>
        <v>2712</v>
      </c>
      <c r="G4659" s="395"/>
      <c r="H4659" s="395"/>
      <c r="J4659" s="42"/>
    </row>
    <row r="4660" spans="1:10" s="393" customFormat="1" x14ac:dyDescent="0.25">
      <c r="A4660" s="398" t="s">
        <v>28</v>
      </c>
      <c r="B4660" s="269">
        <v>44087</v>
      </c>
      <c r="C4660" s="1">
        <v>4</v>
      </c>
      <c r="D4660" s="39">
        <f t="shared" si="383"/>
        <v>124</v>
      </c>
      <c r="E4660" s="1"/>
      <c r="F4660" s="522">
        <f>E4660+F4636</f>
        <v>0</v>
      </c>
      <c r="G4660" s="395"/>
      <c r="H4660" s="395"/>
      <c r="J4660" s="42"/>
    </row>
    <row r="4661" spans="1:10" s="393" customFormat="1" x14ac:dyDescent="0.25">
      <c r="A4661" s="398" t="s">
        <v>15</v>
      </c>
      <c r="B4661" s="269">
        <v>44087</v>
      </c>
      <c r="C4661" s="1">
        <v>91</v>
      </c>
      <c r="D4661" s="39">
        <f t="shared" si="383"/>
        <v>6751</v>
      </c>
      <c r="E4661" s="1">
        <f>2</f>
        <v>2</v>
      </c>
      <c r="F4661" s="522">
        <f t="shared" ref="F4661:F4679" si="384">E4661+F4637</f>
        <v>239</v>
      </c>
      <c r="G4661" s="395"/>
      <c r="H4661" s="395"/>
      <c r="J4661" s="42"/>
    </row>
    <row r="4662" spans="1:10" s="393" customFormat="1" x14ac:dyDescent="0.25">
      <c r="A4662" s="398" t="s">
        <v>29</v>
      </c>
      <c r="B4662" s="269">
        <v>44087</v>
      </c>
      <c r="C4662" s="1">
        <v>73</v>
      </c>
      <c r="D4662" s="39">
        <f t="shared" si="383"/>
        <v>1718</v>
      </c>
      <c r="E4662" s="1"/>
      <c r="F4662" s="522">
        <f t="shared" si="384"/>
        <v>14</v>
      </c>
      <c r="G4662" s="395"/>
      <c r="H4662" s="395"/>
      <c r="J4662" s="42"/>
    </row>
    <row r="4663" spans="1:10" s="393" customFormat="1" x14ac:dyDescent="0.25">
      <c r="A4663" s="398" t="s">
        <v>20</v>
      </c>
      <c r="B4663" s="269">
        <v>44087</v>
      </c>
      <c r="C4663" s="1">
        <v>552</v>
      </c>
      <c r="D4663" s="39">
        <f t="shared" si="383"/>
        <v>14439</v>
      </c>
      <c r="E4663" s="1">
        <f>3+1</f>
        <v>4</v>
      </c>
      <c r="F4663" s="522">
        <f t="shared" si="384"/>
        <v>197</v>
      </c>
      <c r="G4663" s="395"/>
      <c r="H4663" s="395"/>
      <c r="J4663" s="42"/>
    </row>
    <row r="4664" spans="1:10" s="393" customFormat="1" x14ac:dyDescent="0.25">
      <c r="A4664" s="398" t="s">
        <v>30</v>
      </c>
      <c r="B4664" s="269">
        <v>44087</v>
      </c>
      <c r="C4664" s="1">
        <v>1</v>
      </c>
      <c r="D4664" s="39">
        <f t="shared" si="383"/>
        <v>660</v>
      </c>
      <c r="E4664" s="1"/>
      <c r="F4664" s="522">
        <f t="shared" si="384"/>
        <v>6</v>
      </c>
      <c r="G4664" s="395"/>
      <c r="H4664" s="395"/>
      <c r="J4664" s="42"/>
    </row>
    <row r="4665" spans="1:10" x14ac:dyDescent="0.25">
      <c r="A4665" s="398" t="s">
        <v>31</v>
      </c>
      <c r="B4665" s="269">
        <v>44087</v>
      </c>
      <c r="C4665" s="1">
        <v>105</v>
      </c>
      <c r="D4665" s="39">
        <f t="shared" si="383"/>
        <v>5238</v>
      </c>
      <c r="E4665" s="1">
        <f>1</f>
        <v>1</v>
      </c>
      <c r="F4665" s="522">
        <f t="shared" si="384"/>
        <v>89</v>
      </c>
    </row>
    <row r="4666" spans="1:10" s="393" customFormat="1" x14ac:dyDescent="0.25">
      <c r="A4666" s="398" t="s">
        <v>41</v>
      </c>
      <c r="B4666" s="269">
        <v>44087</v>
      </c>
      <c r="C4666" s="1">
        <v>-1</v>
      </c>
      <c r="D4666" s="39">
        <f t="shared" si="383"/>
        <v>94</v>
      </c>
      <c r="E4666" s="1"/>
      <c r="F4666" s="522">
        <f>E4666+F4642</f>
        <v>1</v>
      </c>
      <c r="G4666" s="395"/>
      <c r="H4666" s="395"/>
      <c r="J4666" s="42"/>
    </row>
    <row r="4667" spans="1:10" s="393" customFormat="1" x14ac:dyDescent="0.25">
      <c r="A4667" s="398" t="s">
        <v>32</v>
      </c>
      <c r="B4667" s="269">
        <v>44087</v>
      </c>
      <c r="C4667" s="1">
        <v>169</v>
      </c>
      <c r="D4667" s="39">
        <f t="shared" si="383"/>
        <v>12122</v>
      </c>
      <c r="E4667" s="1">
        <f>3+2+1</f>
        <v>6</v>
      </c>
      <c r="F4667" s="522">
        <f t="shared" si="384"/>
        <v>256</v>
      </c>
      <c r="G4667" s="395"/>
      <c r="H4667" s="395"/>
      <c r="J4667" s="42"/>
    </row>
    <row r="4668" spans="1:10" s="393" customFormat="1" x14ac:dyDescent="0.25">
      <c r="A4668" s="398" t="s">
        <v>33</v>
      </c>
      <c r="B4668" s="269">
        <v>44087</v>
      </c>
      <c r="C4668" s="1">
        <v>46</v>
      </c>
      <c r="D4668" s="39">
        <f t="shared" si="383"/>
        <v>397</v>
      </c>
      <c r="E4668" s="1"/>
      <c r="F4668" s="522">
        <f t="shared" si="384"/>
        <v>4</v>
      </c>
      <c r="G4668" s="395"/>
      <c r="H4668" s="395"/>
      <c r="J4668" s="42"/>
    </row>
    <row r="4669" spans="1:10" s="393" customFormat="1" x14ac:dyDescent="0.25">
      <c r="A4669" s="398" t="s">
        <v>21</v>
      </c>
      <c r="B4669" s="269">
        <v>44087</v>
      </c>
      <c r="C4669" s="1">
        <v>96</v>
      </c>
      <c r="D4669" s="39">
        <f t="shared" si="383"/>
        <v>2808</v>
      </c>
      <c r="E4669" s="1">
        <f>1+3</f>
        <v>4</v>
      </c>
      <c r="F4669" s="522">
        <f t="shared" si="384"/>
        <v>58</v>
      </c>
      <c r="G4669" s="395"/>
      <c r="H4669" s="395"/>
      <c r="J4669" s="42"/>
    </row>
    <row r="4670" spans="1:10" s="393" customFormat="1" x14ac:dyDescent="0.25">
      <c r="A4670" s="398" t="s">
        <v>17</v>
      </c>
      <c r="B4670" s="269">
        <v>44087</v>
      </c>
      <c r="C4670" s="1">
        <v>704</v>
      </c>
      <c r="D4670" s="39">
        <f t="shared" si="383"/>
        <v>14482</v>
      </c>
      <c r="E4670" s="1">
        <f>2</f>
        <v>2</v>
      </c>
      <c r="F4670" s="522">
        <f t="shared" si="384"/>
        <v>150</v>
      </c>
      <c r="G4670" s="395"/>
      <c r="H4670" s="395"/>
      <c r="J4670" s="42"/>
    </row>
    <row r="4671" spans="1:10" s="393" customFormat="1" x14ac:dyDescent="0.25">
      <c r="A4671" s="398" t="s">
        <v>23</v>
      </c>
      <c r="B4671" s="269">
        <v>44087</v>
      </c>
      <c r="C4671" s="1">
        <v>0</v>
      </c>
      <c r="D4671" s="39">
        <f t="shared" si="383"/>
        <v>68</v>
      </c>
      <c r="E4671" s="1"/>
      <c r="F4671" s="522">
        <f t="shared" si="384"/>
        <v>2</v>
      </c>
      <c r="G4671" s="395"/>
      <c r="H4671" s="395"/>
      <c r="J4671" s="42"/>
    </row>
    <row r="4672" spans="1:10" s="393" customFormat="1" x14ac:dyDescent="0.25">
      <c r="A4672" s="398" t="s">
        <v>19</v>
      </c>
      <c r="B4672" s="269">
        <v>44087</v>
      </c>
      <c r="C4672" s="1">
        <v>286</v>
      </c>
      <c r="D4672" s="39">
        <f>C4672+D4648</f>
        <v>4812</v>
      </c>
      <c r="E4672" s="1">
        <f>2+1+1</f>
        <v>4</v>
      </c>
      <c r="F4672" s="522">
        <f t="shared" si="384"/>
        <v>50</v>
      </c>
      <c r="G4672" s="395"/>
      <c r="H4672" s="395"/>
      <c r="J4672" s="42"/>
    </row>
    <row r="4673" spans="1:10" s="393" customFormat="1" x14ac:dyDescent="0.25">
      <c r="A4673" s="398" t="s">
        <v>18</v>
      </c>
      <c r="B4673" s="269">
        <v>44087</v>
      </c>
      <c r="C4673" s="1">
        <v>130</v>
      </c>
      <c r="D4673" s="39">
        <f>C4673+D4649</f>
        <v>8719</v>
      </c>
      <c r="E4673" s="1">
        <f>2</f>
        <v>2</v>
      </c>
      <c r="F4673" s="522">
        <f t="shared" si="384"/>
        <v>153</v>
      </c>
      <c r="G4673" s="395"/>
      <c r="H4673" s="395"/>
      <c r="J4673" s="42"/>
    </row>
    <row r="4674" spans="1:10" s="393" customFormat="1" x14ac:dyDescent="0.25">
      <c r="A4674" s="398" t="s">
        <v>34</v>
      </c>
      <c r="B4674" s="269">
        <v>44087</v>
      </c>
      <c r="C4674" s="1">
        <v>340</v>
      </c>
      <c r="D4674" s="39">
        <f>C4674+D4650</f>
        <v>6765</v>
      </c>
      <c r="E4674" s="1">
        <f>1+1</f>
        <v>2</v>
      </c>
      <c r="F4674" s="522">
        <f>E4674+F4650</f>
        <v>89</v>
      </c>
      <c r="G4674" s="395"/>
      <c r="H4674" s="395"/>
      <c r="J4674" s="42"/>
    </row>
    <row r="4675" spans="1:10" s="393" customFormat="1" x14ac:dyDescent="0.25">
      <c r="A4675" s="398" t="s">
        <v>35</v>
      </c>
      <c r="B4675" s="269">
        <v>44087</v>
      </c>
      <c r="C4675" s="1">
        <v>-5</v>
      </c>
      <c r="D4675" s="39">
        <f t="shared" ref="D4675:D4681" si="385">C4675+D4651</f>
        <v>417</v>
      </c>
      <c r="E4675" s="1"/>
      <c r="F4675" s="522">
        <f>E4675+F4651</f>
        <v>12</v>
      </c>
      <c r="G4675" s="395"/>
      <c r="H4675" s="395"/>
      <c r="J4675" s="42"/>
    </row>
    <row r="4676" spans="1:10" s="393" customFormat="1" x14ac:dyDescent="0.25">
      <c r="A4676" s="398" t="s">
        <v>36</v>
      </c>
      <c r="B4676" s="269">
        <v>44087</v>
      </c>
      <c r="C4676" s="1">
        <v>1</v>
      </c>
      <c r="D4676" s="39">
        <f t="shared" si="385"/>
        <v>383</v>
      </c>
      <c r="E4676" s="1"/>
      <c r="F4676" s="522">
        <f t="shared" si="384"/>
        <v>0</v>
      </c>
      <c r="G4676" s="395"/>
      <c r="H4676" s="395"/>
      <c r="J4676" s="42"/>
    </row>
    <row r="4677" spans="1:10" s="393" customFormat="1" x14ac:dyDescent="0.25">
      <c r="A4677" s="398" t="s">
        <v>37</v>
      </c>
      <c r="B4677" s="269">
        <v>44087</v>
      </c>
      <c r="C4677" s="1">
        <v>193</v>
      </c>
      <c r="D4677" s="39">
        <f t="shared" si="385"/>
        <v>3069</v>
      </c>
      <c r="E4677" s="1"/>
      <c r="F4677" s="522">
        <f>E4677+F4653</f>
        <v>21</v>
      </c>
      <c r="G4677" s="395"/>
      <c r="H4677" s="395"/>
      <c r="J4677" s="42"/>
    </row>
    <row r="4678" spans="1:10" s="393" customFormat="1" x14ac:dyDescent="0.25">
      <c r="A4678" s="398" t="s">
        <v>22</v>
      </c>
      <c r="B4678" s="269">
        <v>44087</v>
      </c>
      <c r="C4678" s="1">
        <v>1055</v>
      </c>
      <c r="D4678" s="39">
        <f t="shared" si="385"/>
        <v>18617</v>
      </c>
      <c r="E4678" s="1">
        <f>1+1</f>
        <v>2</v>
      </c>
      <c r="F4678" s="522">
        <f>E4678+F4654</f>
        <v>196</v>
      </c>
      <c r="G4678" s="395"/>
      <c r="H4678" s="395"/>
      <c r="J4678" s="42"/>
    </row>
    <row r="4679" spans="1:10" s="393" customFormat="1" x14ac:dyDescent="0.25">
      <c r="A4679" s="398" t="s">
        <v>38</v>
      </c>
      <c r="B4679" s="269">
        <v>44087</v>
      </c>
      <c r="C4679" s="1">
        <v>79</v>
      </c>
      <c r="D4679" s="39">
        <f t="shared" si="385"/>
        <v>1832</v>
      </c>
      <c r="E4679" s="1">
        <f>1</f>
        <v>1</v>
      </c>
      <c r="F4679" s="522">
        <f t="shared" si="384"/>
        <v>26</v>
      </c>
      <c r="G4679" s="395"/>
      <c r="H4679" s="395"/>
      <c r="J4679" s="42"/>
    </row>
    <row r="4680" spans="1:10" s="393" customFormat="1" x14ac:dyDescent="0.25">
      <c r="A4680" s="398" t="s">
        <v>39</v>
      </c>
      <c r="B4680" s="269">
        <v>44087</v>
      </c>
      <c r="C4680" s="1">
        <v>22</v>
      </c>
      <c r="D4680" s="39">
        <f t="shared" si="385"/>
        <v>2705</v>
      </c>
      <c r="E4680" s="1">
        <f>1</f>
        <v>1</v>
      </c>
      <c r="F4680" s="522">
        <f>E4680+F4656</f>
        <v>45</v>
      </c>
      <c r="G4680" s="395"/>
      <c r="H4680" s="395"/>
      <c r="J4680" s="42"/>
    </row>
    <row r="4681" spans="1:10" s="393" customFormat="1" ht="15.75" thickBot="1" x14ac:dyDescent="0.3">
      <c r="A4681" s="400" t="s">
        <v>40</v>
      </c>
      <c r="B4681" s="269">
        <v>44087</v>
      </c>
      <c r="C4681" s="1">
        <v>583</v>
      </c>
      <c r="D4681" s="177">
        <f t="shared" si="385"/>
        <v>6628</v>
      </c>
      <c r="E4681" s="1"/>
      <c r="F4681" s="631">
        <f>E4681+F4657</f>
        <v>19</v>
      </c>
      <c r="G4681" s="395"/>
      <c r="H4681" s="395"/>
      <c r="J4681" s="42"/>
    </row>
    <row r="4682" spans="1:10" s="393" customFormat="1" x14ac:dyDescent="0.25">
      <c r="A4682" s="397" t="s">
        <v>16</v>
      </c>
      <c r="B4682" s="269">
        <v>44088</v>
      </c>
      <c r="C4682" s="1">
        <v>4863</v>
      </c>
      <c r="D4682" s="175">
        <f>C4682+D4658</f>
        <v>336652</v>
      </c>
      <c r="E4682" s="1">
        <f>7+4+96+51</f>
        <v>158</v>
      </c>
      <c r="F4682" s="630">
        <f>E4682+F4658</f>
        <v>6933</v>
      </c>
      <c r="G4682" s="395"/>
      <c r="H4682" s="395"/>
      <c r="J4682" s="42"/>
    </row>
    <row r="4683" spans="1:10" s="393" customFormat="1" x14ac:dyDescent="0.25">
      <c r="A4683" s="398" t="s">
        <v>43</v>
      </c>
      <c r="B4683" s="269">
        <v>44088</v>
      </c>
      <c r="C4683" s="1">
        <v>946</v>
      </c>
      <c r="D4683" s="39">
        <f t="shared" ref="D4683:D4695" si="386">C4683+D4659</f>
        <v>111846</v>
      </c>
      <c r="E4683" s="1">
        <f>5+9+25+14</f>
        <v>53</v>
      </c>
      <c r="F4683" s="522">
        <f>E4683+F4659</f>
        <v>2765</v>
      </c>
      <c r="G4683" s="395"/>
      <c r="H4683" s="395"/>
      <c r="J4683" s="42"/>
    </row>
    <row r="4684" spans="1:10" s="393" customFormat="1" x14ac:dyDescent="0.25">
      <c r="A4684" s="398" t="s">
        <v>28</v>
      </c>
      <c r="B4684" s="269">
        <v>44088</v>
      </c>
      <c r="C4684" s="1">
        <v>5</v>
      </c>
      <c r="D4684" s="39">
        <f t="shared" si="386"/>
        <v>129</v>
      </c>
      <c r="E4684" s="1"/>
      <c r="F4684" s="522">
        <f>E4684+F4660</f>
        <v>0</v>
      </c>
      <c r="G4684" s="395"/>
      <c r="H4684" s="395"/>
      <c r="J4684" s="42"/>
    </row>
    <row r="4685" spans="1:10" s="393" customFormat="1" x14ac:dyDescent="0.25">
      <c r="A4685" s="398" t="s">
        <v>15</v>
      </c>
      <c r="B4685" s="269">
        <v>44088</v>
      </c>
      <c r="C4685" s="1">
        <v>41</v>
      </c>
      <c r="D4685" s="39">
        <f t="shared" si="386"/>
        <v>6792</v>
      </c>
      <c r="E4685" s="1">
        <f>1+2</f>
        <v>3</v>
      </c>
      <c r="F4685" s="522">
        <f t="shared" ref="F4685:F4703" si="387">E4685+F4661</f>
        <v>242</v>
      </c>
      <c r="G4685" s="395"/>
      <c r="H4685" s="395"/>
      <c r="J4685" s="42"/>
    </row>
    <row r="4686" spans="1:10" s="393" customFormat="1" x14ac:dyDescent="0.25">
      <c r="A4686" s="398" t="s">
        <v>29</v>
      </c>
      <c r="B4686" s="269">
        <v>44088</v>
      </c>
      <c r="C4686" s="1">
        <v>39</v>
      </c>
      <c r="D4686" s="39">
        <f t="shared" si="386"/>
        <v>1757</v>
      </c>
      <c r="E4686" s="1">
        <f>4+2</f>
        <v>6</v>
      </c>
      <c r="F4686" s="522">
        <f t="shared" si="387"/>
        <v>20</v>
      </c>
      <c r="G4686" s="395"/>
      <c r="H4686" s="395"/>
      <c r="J4686" s="42"/>
    </row>
    <row r="4687" spans="1:10" s="393" customFormat="1" x14ac:dyDescent="0.25">
      <c r="A4687" s="398" t="s">
        <v>20</v>
      </c>
      <c r="B4687" s="269">
        <v>44088</v>
      </c>
      <c r="C4687" s="1">
        <v>535</v>
      </c>
      <c r="D4687" s="39">
        <f t="shared" si="386"/>
        <v>14974</v>
      </c>
      <c r="E4687" s="1">
        <f>4+3</f>
        <v>7</v>
      </c>
      <c r="F4687" s="522">
        <f t="shared" si="387"/>
        <v>204</v>
      </c>
      <c r="G4687" s="395"/>
      <c r="H4687" s="395"/>
      <c r="J4687" s="42"/>
    </row>
    <row r="4688" spans="1:10" s="393" customFormat="1" x14ac:dyDescent="0.25">
      <c r="A4688" s="398" t="s">
        <v>30</v>
      </c>
      <c r="B4688" s="269">
        <v>44088</v>
      </c>
      <c r="C4688" s="1">
        <v>58</v>
      </c>
      <c r="D4688" s="39">
        <f t="shared" si="386"/>
        <v>718</v>
      </c>
      <c r="E4688" s="1"/>
      <c r="F4688" s="522">
        <f t="shared" si="387"/>
        <v>6</v>
      </c>
      <c r="G4688" s="395"/>
      <c r="H4688" s="395"/>
      <c r="J4688" s="42"/>
    </row>
    <row r="4689" spans="1:10" x14ac:dyDescent="0.25">
      <c r="A4689" s="398" t="s">
        <v>31</v>
      </c>
      <c r="B4689" s="269">
        <v>44088</v>
      </c>
      <c r="C4689" s="1">
        <v>72</v>
      </c>
      <c r="D4689" s="39">
        <f t="shared" si="386"/>
        <v>5310</v>
      </c>
      <c r="F4689" s="522">
        <f t="shared" si="387"/>
        <v>89</v>
      </c>
    </row>
    <row r="4690" spans="1:10" s="393" customFormat="1" x14ac:dyDescent="0.25">
      <c r="A4690" s="398" t="s">
        <v>41</v>
      </c>
      <c r="B4690" s="269">
        <v>44088</v>
      </c>
      <c r="C4690" s="1">
        <v>1</v>
      </c>
      <c r="D4690" s="39">
        <f t="shared" si="386"/>
        <v>95</v>
      </c>
      <c r="E4690" s="1"/>
      <c r="F4690" s="522">
        <f>E4690+F4666</f>
        <v>1</v>
      </c>
      <c r="G4690" s="395"/>
      <c r="H4690" s="395"/>
      <c r="J4690" s="42"/>
    </row>
    <row r="4691" spans="1:10" s="393" customFormat="1" x14ac:dyDescent="0.25">
      <c r="A4691" s="398" t="s">
        <v>32</v>
      </c>
      <c r="B4691" s="269">
        <v>44088</v>
      </c>
      <c r="C4691" s="1">
        <v>277</v>
      </c>
      <c r="D4691" s="39">
        <f t="shared" si="386"/>
        <v>12399</v>
      </c>
      <c r="E4691" s="1">
        <f>3+1+5+1</f>
        <v>10</v>
      </c>
      <c r="F4691" s="522">
        <f t="shared" si="387"/>
        <v>266</v>
      </c>
      <c r="G4691" s="395"/>
      <c r="H4691" s="395"/>
      <c r="J4691" s="42"/>
    </row>
    <row r="4692" spans="1:10" s="393" customFormat="1" x14ac:dyDescent="0.25">
      <c r="A4692" s="398" t="s">
        <v>33</v>
      </c>
      <c r="B4692" s="269">
        <v>44088</v>
      </c>
      <c r="C4692" s="1">
        <v>45</v>
      </c>
      <c r="D4692" s="39">
        <f t="shared" si="386"/>
        <v>442</v>
      </c>
      <c r="E4692" s="1"/>
      <c r="F4692" s="522">
        <f t="shared" si="387"/>
        <v>4</v>
      </c>
      <c r="G4692" s="395"/>
      <c r="H4692" s="395"/>
      <c r="J4692" s="42"/>
    </row>
    <row r="4693" spans="1:10" s="393" customFormat="1" x14ac:dyDescent="0.25">
      <c r="A4693" s="398" t="s">
        <v>21</v>
      </c>
      <c r="B4693" s="269">
        <v>44088</v>
      </c>
      <c r="C4693" s="1">
        <v>74</v>
      </c>
      <c r="D4693" s="39">
        <f t="shared" si="386"/>
        <v>2882</v>
      </c>
      <c r="E4693" s="1">
        <f>13+11</f>
        <v>24</v>
      </c>
      <c r="F4693" s="522">
        <f t="shared" si="387"/>
        <v>82</v>
      </c>
      <c r="G4693" s="395"/>
      <c r="H4693" s="395"/>
      <c r="J4693" s="42"/>
    </row>
    <row r="4694" spans="1:10" s="393" customFormat="1" x14ac:dyDescent="0.25">
      <c r="A4694" s="398" t="s">
        <v>17</v>
      </c>
      <c r="B4694" s="269">
        <v>44088</v>
      </c>
      <c r="C4694" s="1">
        <v>650</v>
      </c>
      <c r="D4694" s="39">
        <f t="shared" si="386"/>
        <v>15132</v>
      </c>
      <c r="E4694" s="1">
        <f>2+1</f>
        <v>3</v>
      </c>
      <c r="F4694" s="522">
        <f t="shared" si="387"/>
        <v>153</v>
      </c>
      <c r="G4694" s="395"/>
      <c r="H4694" s="395"/>
      <c r="J4694" s="42"/>
    </row>
    <row r="4695" spans="1:10" s="393" customFormat="1" x14ac:dyDescent="0.25">
      <c r="A4695" s="398" t="s">
        <v>23</v>
      </c>
      <c r="B4695" s="269">
        <v>44088</v>
      </c>
      <c r="C4695" s="1">
        <v>0</v>
      </c>
      <c r="D4695" s="39">
        <f t="shared" si="386"/>
        <v>68</v>
      </c>
      <c r="E4695" s="1"/>
      <c r="F4695" s="522">
        <f t="shared" si="387"/>
        <v>2</v>
      </c>
      <c r="G4695" s="395"/>
      <c r="H4695" s="395"/>
      <c r="J4695" s="42"/>
    </row>
    <row r="4696" spans="1:10" s="393" customFormat="1" x14ac:dyDescent="0.25">
      <c r="A4696" s="398" t="s">
        <v>19</v>
      </c>
      <c r="B4696" s="269">
        <v>44088</v>
      </c>
      <c r="C4696" s="1">
        <v>227</v>
      </c>
      <c r="D4696" s="39">
        <f>C4696+D4672</f>
        <v>5039</v>
      </c>
      <c r="E4696" s="1">
        <f>1+1</f>
        <v>2</v>
      </c>
      <c r="F4696" s="522">
        <f t="shared" si="387"/>
        <v>52</v>
      </c>
      <c r="G4696" s="395"/>
      <c r="H4696" s="395"/>
      <c r="J4696" s="42"/>
    </row>
    <row r="4697" spans="1:10" s="393" customFormat="1" x14ac:dyDescent="0.25">
      <c r="A4697" s="398" t="s">
        <v>18</v>
      </c>
      <c r="B4697" s="269">
        <v>44088</v>
      </c>
      <c r="C4697" s="1">
        <v>135</v>
      </c>
      <c r="D4697" s="39">
        <f>C4697+D4673</f>
        <v>8854</v>
      </c>
      <c r="E4697" s="1">
        <f>4+4</f>
        <v>8</v>
      </c>
      <c r="F4697" s="522">
        <f t="shared" si="387"/>
        <v>161</v>
      </c>
      <c r="G4697" s="395"/>
      <c r="H4697" s="395"/>
      <c r="J4697" s="42"/>
    </row>
    <row r="4698" spans="1:10" s="393" customFormat="1" x14ac:dyDescent="0.25">
      <c r="A4698" s="398" t="s">
        <v>34</v>
      </c>
      <c r="B4698" s="269">
        <v>44088</v>
      </c>
      <c r="C4698" s="1">
        <v>229</v>
      </c>
      <c r="D4698" s="39">
        <f>C4698+D4674</f>
        <v>6994</v>
      </c>
      <c r="E4698" s="1">
        <f>4+1</f>
        <v>5</v>
      </c>
      <c r="F4698" s="522">
        <f>E4698+F4674</f>
        <v>94</v>
      </c>
      <c r="G4698" s="395"/>
      <c r="H4698" s="395"/>
      <c r="J4698" s="42"/>
    </row>
    <row r="4699" spans="1:10" s="393" customFormat="1" x14ac:dyDescent="0.25">
      <c r="A4699" s="398" t="s">
        <v>35</v>
      </c>
      <c r="B4699" s="269">
        <v>44088</v>
      </c>
      <c r="C4699" s="1">
        <v>0</v>
      </c>
      <c r="D4699" s="39">
        <f t="shared" ref="D4699:D4705" si="388">C4699+D4675</f>
        <v>417</v>
      </c>
      <c r="E4699" s="1"/>
      <c r="F4699" s="522">
        <f>E4699+F4675</f>
        <v>12</v>
      </c>
      <c r="G4699" s="395"/>
      <c r="H4699" s="395"/>
      <c r="J4699" s="42"/>
    </row>
    <row r="4700" spans="1:10" s="393" customFormat="1" x14ac:dyDescent="0.25">
      <c r="A4700" s="398" t="s">
        <v>36</v>
      </c>
      <c r="B4700" s="269">
        <v>44088</v>
      </c>
      <c r="C4700" s="1">
        <v>49</v>
      </c>
      <c r="D4700" s="39">
        <f t="shared" si="388"/>
        <v>432</v>
      </c>
      <c r="E4700" s="1"/>
      <c r="F4700" s="522">
        <f t="shared" si="387"/>
        <v>0</v>
      </c>
      <c r="G4700" s="395"/>
      <c r="H4700" s="395"/>
      <c r="J4700" s="42"/>
    </row>
    <row r="4701" spans="1:10" s="393" customFormat="1" x14ac:dyDescent="0.25">
      <c r="A4701" s="398" t="s">
        <v>37</v>
      </c>
      <c r="B4701" s="269">
        <v>44088</v>
      </c>
      <c r="C4701" s="1">
        <v>39</v>
      </c>
      <c r="D4701" s="39">
        <f t="shared" si="388"/>
        <v>3108</v>
      </c>
      <c r="E4701" s="1">
        <f>1+11+3</f>
        <v>15</v>
      </c>
      <c r="F4701" s="522">
        <f>E4701+F4677</f>
        <v>36</v>
      </c>
      <c r="G4701" s="395"/>
      <c r="H4701" s="395"/>
      <c r="J4701" s="42"/>
    </row>
    <row r="4702" spans="1:10" s="393" customFormat="1" x14ac:dyDescent="0.25">
      <c r="A4702" s="398" t="s">
        <v>22</v>
      </c>
      <c r="B4702" s="269">
        <v>44088</v>
      </c>
      <c r="C4702" s="1">
        <v>850</v>
      </c>
      <c r="D4702" s="39">
        <f t="shared" si="388"/>
        <v>19467</v>
      </c>
      <c r="E4702" s="1">
        <f>1+10+5</f>
        <v>16</v>
      </c>
      <c r="F4702" s="522">
        <f>E4702+F4678</f>
        <v>212</v>
      </c>
      <c r="G4702" s="395"/>
      <c r="H4702" s="395"/>
      <c r="J4702" s="42"/>
    </row>
    <row r="4703" spans="1:10" s="393" customFormat="1" x14ac:dyDescent="0.25">
      <c r="A4703" s="398" t="s">
        <v>38</v>
      </c>
      <c r="B4703" s="269">
        <v>44088</v>
      </c>
      <c r="C4703" s="1">
        <v>81</v>
      </c>
      <c r="D4703" s="39">
        <f t="shared" si="388"/>
        <v>1913</v>
      </c>
      <c r="E4703" s="1">
        <f>2</f>
        <v>2</v>
      </c>
      <c r="F4703" s="522">
        <f t="shared" si="387"/>
        <v>28</v>
      </c>
      <c r="G4703" s="395"/>
      <c r="H4703" s="395"/>
      <c r="J4703" s="42"/>
    </row>
    <row r="4704" spans="1:10" s="393" customFormat="1" x14ac:dyDescent="0.25">
      <c r="A4704" s="398" t="s">
        <v>39</v>
      </c>
      <c r="B4704" s="269">
        <v>44088</v>
      </c>
      <c r="C4704" s="1">
        <v>72</v>
      </c>
      <c r="D4704" s="39">
        <f t="shared" si="388"/>
        <v>2777</v>
      </c>
      <c r="E4704" s="1">
        <f>1+1</f>
        <v>2</v>
      </c>
      <c r="F4704" s="522">
        <f>E4704+F4680</f>
        <v>47</v>
      </c>
      <c r="G4704" s="395"/>
      <c r="H4704" s="395"/>
      <c r="J4704" s="42"/>
    </row>
    <row r="4705" spans="1:10" s="393" customFormat="1" ht="15.75" thickBot="1" x14ac:dyDescent="0.3">
      <c r="A4705" s="399" t="s">
        <v>40</v>
      </c>
      <c r="B4705" s="270">
        <v>44088</v>
      </c>
      <c r="C4705" s="234">
        <v>621</v>
      </c>
      <c r="D4705" s="67">
        <f t="shared" si="388"/>
        <v>7249</v>
      </c>
      <c r="E4705" s="234"/>
      <c r="F4705" s="632">
        <f>E4705+F4681</f>
        <v>19</v>
      </c>
      <c r="G4705" s="395"/>
      <c r="H4705" s="395"/>
      <c r="J4705" s="42"/>
    </row>
    <row r="4706" spans="1:10" s="393" customFormat="1" x14ac:dyDescent="0.25">
      <c r="A4706" s="397" t="s">
        <v>16</v>
      </c>
      <c r="B4706" s="267">
        <v>44089</v>
      </c>
      <c r="C4706" s="43">
        <v>6001</v>
      </c>
      <c r="D4706" s="175">
        <f>C4706+D4682</f>
        <v>342653</v>
      </c>
      <c r="E4706" s="43">
        <f>16+11+32+41</f>
        <v>100</v>
      </c>
      <c r="F4706" s="630">
        <f>E4706+F4682</f>
        <v>7033</v>
      </c>
      <c r="G4706" s="395"/>
      <c r="H4706" s="395"/>
      <c r="J4706" s="42"/>
    </row>
    <row r="4707" spans="1:10" s="393" customFormat="1" x14ac:dyDescent="0.25">
      <c r="A4707" s="402" t="s">
        <v>43</v>
      </c>
      <c r="B4707" s="269">
        <v>44089</v>
      </c>
      <c r="C4707" s="1">
        <v>1010</v>
      </c>
      <c r="D4707" s="39">
        <f t="shared" ref="D4707:D4719" si="389">C4707+D4683</f>
        <v>112856</v>
      </c>
      <c r="E4707" s="1">
        <f>6+2+12+6</f>
        <v>26</v>
      </c>
      <c r="F4707" s="522">
        <f>E4707+F4683</f>
        <v>2791</v>
      </c>
      <c r="G4707" s="395"/>
      <c r="H4707" s="395"/>
      <c r="J4707" s="42"/>
    </row>
    <row r="4708" spans="1:10" s="393" customFormat="1" x14ac:dyDescent="0.25">
      <c r="A4708" s="402" t="s">
        <v>28</v>
      </c>
      <c r="B4708" s="269">
        <v>44089</v>
      </c>
      <c r="C4708" s="1">
        <v>4</v>
      </c>
      <c r="D4708" s="39">
        <f t="shared" si="389"/>
        <v>133</v>
      </c>
      <c r="E4708" s="1"/>
      <c r="F4708" s="522">
        <f>E4708+F4684</f>
        <v>0</v>
      </c>
      <c r="G4708" s="395"/>
      <c r="H4708" s="395"/>
      <c r="J4708" s="42"/>
    </row>
    <row r="4709" spans="1:10" s="393" customFormat="1" x14ac:dyDescent="0.25">
      <c r="A4709" s="402" t="s">
        <v>15</v>
      </c>
      <c r="B4709" s="269">
        <v>44089</v>
      </c>
      <c r="C4709" s="1">
        <v>87</v>
      </c>
      <c r="D4709" s="39">
        <f t="shared" si="389"/>
        <v>6879</v>
      </c>
      <c r="E4709" s="1">
        <f>1+1</f>
        <v>2</v>
      </c>
      <c r="F4709" s="522">
        <f t="shared" ref="F4709:F4727" si="390">E4709+F4685</f>
        <v>244</v>
      </c>
      <c r="G4709" s="395"/>
      <c r="H4709" s="395"/>
      <c r="J4709" s="42"/>
    </row>
    <row r="4710" spans="1:10" s="393" customFormat="1" x14ac:dyDescent="0.25">
      <c r="A4710" s="402" t="s">
        <v>29</v>
      </c>
      <c r="B4710" s="269">
        <v>44089</v>
      </c>
      <c r="C4710" s="1">
        <v>98</v>
      </c>
      <c r="D4710" s="39">
        <f t="shared" si="389"/>
        <v>1855</v>
      </c>
      <c r="E4710" s="1">
        <f>1+2</f>
        <v>3</v>
      </c>
      <c r="F4710" s="522">
        <f t="shared" si="390"/>
        <v>23</v>
      </c>
      <c r="G4710" s="395"/>
      <c r="H4710" s="395"/>
      <c r="J4710" s="42"/>
    </row>
    <row r="4711" spans="1:10" s="393" customFormat="1" x14ac:dyDescent="0.25">
      <c r="A4711" s="402" t="s">
        <v>20</v>
      </c>
      <c r="B4711" s="269">
        <v>44089</v>
      </c>
      <c r="C4711" s="1">
        <v>719</v>
      </c>
      <c r="D4711" s="39">
        <f t="shared" si="389"/>
        <v>15693</v>
      </c>
      <c r="E4711" s="1">
        <f>4+4</f>
        <v>8</v>
      </c>
      <c r="F4711" s="522">
        <f t="shared" si="390"/>
        <v>212</v>
      </c>
      <c r="G4711" s="395"/>
      <c r="H4711" s="395"/>
      <c r="J4711" s="42"/>
    </row>
    <row r="4712" spans="1:10" s="393" customFormat="1" x14ac:dyDescent="0.25">
      <c r="A4712" s="402" t="s">
        <v>30</v>
      </c>
      <c r="B4712" s="269">
        <v>44089</v>
      </c>
      <c r="C4712" s="1">
        <v>60</v>
      </c>
      <c r="D4712" s="39">
        <f t="shared" si="389"/>
        <v>778</v>
      </c>
      <c r="E4712" s="1"/>
      <c r="F4712" s="522">
        <f t="shared" si="390"/>
        <v>6</v>
      </c>
      <c r="G4712" s="395"/>
      <c r="H4712" s="395"/>
      <c r="J4712" s="42"/>
    </row>
    <row r="4713" spans="1:10" x14ac:dyDescent="0.25">
      <c r="A4713" s="402" t="s">
        <v>31</v>
      </c>
      <c r="B4713" s="269">
        <v>44089</v>
      </c>
      <c r="C4713" s="1">
        <v>189</v>
      </c>
      <c r="D4713" s="39">
        <f t="shared" si="389"/>
        <v>5499</v>
      </c>
      <c r="E4713" s="1">
        <f>3+2</f>
        <v>5</v>
      </c>
      <c r="F4713" s="522">
        <f t="shared" si="390"/>
        <v>94</v>
      </c>
    </row>
    <row r="4714" spans="1:10" s="393" customFormat="1" x14ac:dyDescent="0.25">
      <c r="A4714" s="402" t="s">
        <v>41</v>
      </c>
      <c r="B4714" s="269">
        <v>44089</v>
      </c>
      <c r="C4714" s="1">
        <v>3</v>
      </c>
      <c r="D4714" s="39">
        <f t="shared" si="389"/>
        <v>98</v>
      </c>
      <c r="E4714" s="1"/>
      <c r="F4714" s="522">
        <f>E4714+F4690</f>
        <v>1</v>
      </c>
      <c r="G4714" s="395"/>
      <c r="H4714" s="395"/>
      <c r="J4714" s="42"/>
    </row>
    <row r="4715" spans="1:10" s="393" customFormat="1" x14ac:dyDescent="0.25">
      <c r="A4715" s="402" t="s">
        <v>32</v>
      </c>
      <c r="B4715" s="269">
        <v>44089</v>
      </c>
      <c r="C4715" s="1">
        <v>331</v>
      </c>
      <c r="D4715" s="39">
        <f t="shared" si="389"/>
        <v>12730</v>
      </c>
      <c r="E4715" s="1">
        <f>5+5</f>
        <v>10</v>
      </c>
      <c r="F4715" s="522">
        <f t="shared" si="390"/>
        <v>276</v>
      </c>
      <c r="G4715" s="395"/>
      <c r="H4715" s="395"/>
      <c r="J4715" s="42"/>
    </row>
    <row r="4716" spans="1:10" s="393" customFormat="1" x14ac:dyDescent="0.25">
      <c r="A4716" s="402" t="s">
        <v>33</v>
      </c>
      <c r="B4716" s="269">
        <v>44089</v>
      </c>
      <c r="C4716" s="1">
        <v>24</v>
      </c>
      <c r="D4716" s="39">
        <f t="shared" si="389"/>
        <v>466</v>
      </c>
      <c r="E4716" s="1"/>
      <c r="F4716" s="522">
        <f t="shared" si="390"/>
        <v>4</v>
      </c>
      <c r="G4716" s="395"/>
      <c r="H4716" s="395"/>
      <c r="J4716" s="42"/>
    </row>
    <row r="4717" spans="1:10" s="393" customFormat="1" x14ac:dyDescent="0.25">
      <c r="A4717" s="402" t="s">
        <v>21</v>
      </c>
      <c r="B4717" s="269">
        <v>44089</v>
      </c>
      <c r="C4717" s="1">
        <v>124</v>
      </c>
      <c r="D4717" s="39">
        <f t="shared" si="389"/>
        <v>3006</v>
      </c>
      <c r="E4717" s="1">
        <f>2+3</f>
        <v>5</v>
      </c>
      <c r="F4717" s="522">
        <f t="shared" si="390"/>
        <v>87</v>
      </c>
      <c r="G4717" s="395"/>
      <c r="H4717" s="395"/>
      <c r="J4717" s="42"/>
    </row>
    <row r="4718" spans="1:10" s="393" customFormat="1" x14ac:dyDescent="0.25">
      <c r="A4718" s="402" t="s">
        <v>17</v>
      </c>
      <c r="B4718" s="269">
        <v>44089</v>
      </c>
      <c r="C4718" s="1">
        <v>629</v>
      </c>
      <c r="D4718" s="39">
        <f t="shared" si="389"/>
        <v>15761</v>
      </c>
      <c r="E4718" s="1">
        <f>2+1</f>
        <v>3</v>
      </c>
      <c r="F4718" s="522">
        <f t="shared" si="390"/>
        <v>156</v>
      </c>
      <c r="G4718" s="395"/>
      <c r="H4718" s="395"/>
      <c r="J4718" s="42"/>
    </row>
    <row r="4719" spans="1:10" s="393" customFormat="1" x14ac:dyDescent="0.25">
      <c r="A4719" s="402" t="s">
        <v>23</v>
      </c>
      <c r="B4719" s="269">
        <v>44089</v>
      </c>
      <c r="C4719" s="1">
        <v>-8</v>
      </c>
      <c r="D4719" s="39">
        <f t="shared" si="389"/>
        <v>60</v>
      </c>
      <c r="E4719" s="1"/>
      <c r="F4719" s="522">
        <f t="shared" si="390"/>
        <v>2</v>
      </c>
      <c r="G4719" s="395"/>
      <c r="H4719" s="395"/>
      <c r="J4719" s="42"/>
    </row>
    <row r="4720" spans="1:10" s="393" customFormat="1" x14ac:dyDescent="0.25">
      <c r="A4720" s="402" t="s">
        <v>19</v>
      </c>
      <c r="B4720" s="269">
        <v>44089</v>
      </c>
      <c r="C4720" s="1">
        <v>120</v>
      </c>
      <c r="D4720" s="39">
        <f>C4720+D4696</f>
        <v>5159</v>
      </c>
      <c r="E4720" s="1">
        <f>1</f>
        <v>1</v>
      </c>
      <c r="F4720" s="522">
        <f t="shared" si="390"/>
        <v>53</v>
      </c>
      <c r="G4720" s="395"/>
      <c r="H4720" s="395"/>
      <c r="J4720" s="42"/>
    </row>
    <row r="4721" spans="1:10" s="393" customFormat="1" x14ac:dyDescent="0.25">
      <c r="A4721" s="402" t="s">
        <v>18</v>
      </c>
      <c r="B4721" s="269">
        <v>44089</v>
      </c>
      <c r="C4721" s="1">
        <v>375</v>
      </c>
      <c r="D4721" s="39">
        <f>C4721+D4697</f>
        <v>9229</v>
      </c>
      <c r="E4721" s="1">
        <f>3+4</f>
        <v>7</v>
      </c>
      <c r="F4721" s="522">
        <f t="shared" si="390"/>
        <v>168</v>
      </c>
      <c r="G4721" s="395"/>
      <c r="H4721" s="395"/>
      <c r="J4721" s="42"/>
    </row>
    <row r="4722" spans="1:10" s="393" customFormat="1" x14ac:dyDescent="0.25">
      <c r="A4722" s="402" t="s">
        <v>34</v>
      </c>
      <c r="B4722" s="269">
        <v>44089</v>
      </c>
      <c r="C4722" s="1">
        <v>309</v>
      </c>
      <c r="D4722" s="39">
        <f>C4722+D4698</f>
        <v>7303</v>
      </c>
      <c r="E4722" s="1">
        <f>1+1+3</f>
        <v>5</v>
      </c>
      <c r="F4722" s="522">
        <f>E4722+F4698</f>
        <v>99</v>
      </c>
      <c r="G4722" s="395"/>
      <c r="H4722" s="395"/>
      <c r="J4722" s="42"/>
    </row>
    <row r="4723" spans="1:10" s="393" customFormat="1" x14ac:dyDescent="0.25">
      <c r="A4723" s="402" t="s">
        <v>35</v>
      </c>
      <c r="B4723" s="269">
        <v>44089</v>
      </c>
      <c r="C4723" s="1">
        <v>11</v>
      </c>
      <c r="D4723" s="39">
        <f t="shared" ref="D4723:D4729" si="391">C4723+D4699</f>
        <v>428</v>
      </c>
      <c r="E4723" s="1"/>
      <c r="F4723" s="522">
        <f>E4723+F4699</f>
        <v>12</v>
      </c>
      <c r="G4723" s="395"/>
      <c r="H4723" s="395"/>
      <c r="J4723" s="42"/>
    </row>
    <row r="4724" spans="1:10" s="393" customFormat="1" x14ac:dyDescent="0.25">
      <c r="A4724" s="402" t="s">
        <v>36</v>
      </c>
      <c r="B4724" s="269">
        <v>44089</v>
      </c>
      <c r="C4724" s="1">
        <v>51</v>
      </c>
      <c r="D4724" s="39">
        <f t="shared" si="391"/>
        <v>483</v>
      </c>
      <c r="E4724" s="1"/>
      <c r="F4724" s="522">
        <f t="shared" si="390"/>
        <v>0</v>
      </c>
      <c r="G4724" s="395"/>
      <c r="H4724" s="395"/>
      <c r="J4724" s="42"/>
    </row>
    <row r="4725" spans="1:10" s="393" customFormat="1" x14ac:dyDescent="0.25">
      <c r="A4725" s="402" t="s">
        <v>37</v>
      </c>
      <c r="B4725" s="269">
        <v>44089</v>
      </c>
      <c r="C4725" s="1">
        <v>84</v>
      </c>
      <c r="D4725" s="39">
        <f t="shared" si="391"/>
        <v>3192</v>
      </c>
      <c r="E4725" s="1"/>
      <c r="F4725" s="522">
        <f>E4725+F4701</f>
        <v>36</v>
      </c>
      <c r="G4725" s="395"/>
      <c r="H4725" s="395"/>
      <c r="J4725" s="42"/>
    </row>
    <row r="4726" spans="1:10" s="393" customFormat="1" x14ac:dyDescent="0.25">
      <c r="A4726" s="402" t="s">
        <v>22</v>
      </c>
      <c r="B4726" s="269">
        <v>44089</v>
      </c>
      <c r="C4726" s="1">
        <v>1056</v>
      </c>
      <c r="D4726" s="39">
        <f t="shared" si="391"/>
        <v>20523</v>
      </c>
      <c r="E4726" s="1">
        <f>3+4</f>
        <v>7</v>
      </c>
      <c r="F4726" s="522">
        <f>E4726+F4702</f>
        <v>219</v>
      </c>
      <c r="G4726" s="395"/>
      <c r="H4726" s="395"/>
      <c r="J4726" s="42"/>
    </row>
    <row r="4727" spans="1:10" s="393" customFormat="1" x14ac:dyDescent="0.25">
      <c r="A4727" s="402" t="s">
        <v>38</v>
      </c>
      <c r="B4727" s="269">
        <v>44089</v>
      </c>
      <c r="C4727" s="1">
        <v>69</v>
      </c>
      <c r="D4727" s="39">
        <f t="shared" si="391"/>
        <v>1982</v>
      </c>
      <c r="E4727" s="1"/>
      <c r="F4727" s="522">
        <f t="shared" si="390"/>
        <v>28</v>
      </c>
      <c r="G4727" s="395"/>
      <c r="H4727" s="395"/>
      <c r="J4727" s="42"/>
    </row>
    <row r="4728" spans="1:10" s="393" customFormat="1" x14ac:dyDescent="0.25">
      <c r="A4728" s="402" t="s">
        <v>39</v>
      </c>
      <c r="B4728" s="269">
        <v>44089</v>
      </c>
      <c r="C4728" s="1">
        <v>78</v>
      </c>
      <c r="D4728" s="39">
        <f t="shared" si="391"/>
        <v>2855</v>
      </c>
      <c r="E4728" s="1"/>
      <c r="F4728" s="522">
        <f>E4728+F4704</f>
        <v>47</v>
      </c>
      <c r="G4728" s="395"/>
      <c r="H4728" s="395"/>
      <c r="J4728" s="42"/>
    </row>
    <row r="4729" spans="1:10" s="393" customFormat="1" ht="15.75" thickBot="1" x14ac:dyDescent="0.3">
      <c r="A4729" s="403" t="s">
        <v>40</v>
      </c>
      <c r="B4729" s="270">
        <v>44089</v>
      </c>
      <c r="C4729" s="234">
        <v>468</v>
      </c>
      <c r="D4729" s="67">
        <f t="shared" si="391"/>
        <v>7717</v>
      </c>
      <c r="E4729" s="234">
        <f>2+1</f>
        <v>3</v>
      </c>
      <c r="F4729" s="632">
        <f>E4729+F4705</f>
        <v>22</v>
      </c>
      <c r="G4729" s="395"/>
      <c r="H4729" s="395"/>
      <c r="J4729" s="42"/>
    </row>
    <row r="4730" spans="1:10" s="393" customFormat="1" x14ac:dyDescent="0.25">
      <c r="A4730" s="397" t="s">
        <v>16</v>
      </c>
      <c r="B4730" s="267">
        <v>44090</v>
      </c>
      <c r="C4730" s="43">
        <v>6078</v>
      </c>
      <c r="D4730" s="175">
        <f>C4730+D4706</f>
        <v>348731</v>
      </c>
      <c r="E4730" s="43">
        <f>26+23+68+48</f>
        <v>165</v>
      </c>
      <c r="F4730" s="630">
        <f>E4730+F4706</f>
        <v>7198</v>
      </c>
      <c r="G4730" s="395"/>
      <c r="H4730" s="395"/>
      <c r="J4730" s="42"/>
    </row>
    <row r="4731" spans="1:10" s="393" customFormat="1" x14ac:dyDescent="0.25">
      <c r="A4731" s="402" t="s">
        <v>43</v>
      </c>
      <c r="B4731" s="2">
        <v>44090</v>
      </c>
      <c r="C4731" s="1">
        <v>813</v>
      </c>
      <c r="D4731" s="39">
        <f t="shared" ref="D4731:D4743" si="392">C4731+D4707</f>
        <v>113669</v>
      </c>
      <c r="E4731" s="1">
        <f>2+21+17</f>
        <v>40</v>
      </c>
      <c r="F4731" s="522">
        <f>E4731+F4707</f>
        <v>2831</v>
      </c>
      <c r="G4731" s="395"/>
      <c r="H4731" s="395"/>
      <c r="J4731" s="42"/>
    </row>
    <row r="4732" spans="1:10" s="393" customFormat="1" x14ac:dyDescent="0.25">
      <c r="A4732" s="402" t="s">
        <v>28</v>
      </c>
      <c r="B4732" s="2">
        <v>44090</v>
      </c>
      <c r="C4732" s="1">
        <v>21</v>
      </c>
      <c r="D4732" s="39">
        <f t="shared" si="392"/>
        <v>154</v>
      </c>
      <c r="E4732" s="1"/>
      <c r="F4732" s="522">
        <f>E4732+F4708</f>
        <v>0</v>
      </c>
      <c r="G4732" s="395"/>
      <c r="H4732" s="395"/>
      <c r="J4732" s="42"/>
    </row>
    <row r="4733" spans="1:10" s="393" customFormat="1" x14ac:dyDescent="0.25">
      <c r="A4733" s="402" t="s">
        <v>15</v>
      </c>
      <c r="B4733" s="2">
        <v>44090</v>
      </c>
      <c r="C4733" s="1">
        <v>122</v>
      </c>
      <c r="D4733" s="39">
        <f t="shared" si="392"/>
        <v>7001</v>
      </c>
      <c r="E4733" s="1"/>
      <c r="F4733" s="522">
        <f t="shared" ref="F4733:F4751" si="393">E4733+F4709</f>
        <v>244</v>
      </c>
      <c r="G4733" s="395"/>
      <c r="H4733" s="395"/>
      <c r="J4733" s="42"/>
    </row>
    <row r="4734" spans="1:10" s="393" customFormat="1" x14ac:dyDescent="0.25">
      <c r="A4734" s="402" t="s">
        <v>29</v>
      </c>
      <c r="B4734" s="2">
        <v>44090</v>
      </c>
      <c r="C4734" s="1">
        <v>94</v>
      </c>
      <c r="D4734" s="39">
        <f t="shared" si="392"/>
        <v>1949</v>
      </c>
      <c r="E4734" s="1"/>
      <c r="F4734" s="522">
        <f t="shared" si="393"/>
        <v>23</v>
      </c>
      <c r="G4734" s="395"/>
      <c r="H4734" s="395"/>
      <c r="J4734" s="42"/>
    </row>
    <row r="4735" spans="1:10" s="393" customFormat="1" x14ac:dyDescent="0.25">
      <c r="A4735" s="402" t="s">
        <v>20</v>
      </c>
      <c r="B4735" s="2">
        <v>44090</v>
      </c>
      <c r="C4735" s="1">
        <v>691</v>
      </c>
      <c r="D4735" s="39">
        <f t="shared" si="392"/>
        <v>16384</v>
      </c>
      <c r="E4735" s="1">
        <f>5+4</f>
        <v>9</v>
      </c>
      <c r="F4735" s="522">
        <f t="shared" si="393"/>
        <v>221</v>
      </c>
      <c r="G4735" s="395"/>
      <c r="H4735" s="395"/>
      <c r="J4735" s="42"/>
    </row>
    <row r="4736" spans="1:10" s="393" customFormat="1" x14ac:dyDescent="0.25">
      <c r="A4736" s="402" t="s">
        <v>30</v>
      </c>
      <c r="B4736" s="2">
        <v>44090</v>
      </c>
      <c r="C4736" s="1">
        <v>17</v>
      </c>
      <c r="D4736" s="39">
        <f t="shared" si="392"/>
        <v>795</v>
      </c>
      <c r="E4736" s="1"/>
      <c r="F4736" s="522">
        <f>E4736+F4712</f>
        <v>6</v>
      </c>
      <c r="G4736" s="395"/>
      <c r="H4736" s="395"/>
      <c r="J4736" s="42"/>
    </row>
    <row r="4737" spans="1:10" x14ac:dyDescent="0.25">
      <c r="A4737" s="402" t="s">
        <v>31</v>
      </c>
      <c r="B4737" s="2">
        <v>44090</v>
      </c>
      <c r="C4737" s="1">
        <v>125</v>
      </c>
      <c r="D4737" s="39">
        <f t="shared" si="392"/>
        <v>5624</v>
      </c>
      <c r="E4737" s="1">
        <f>1+2</f>
        <v>3</v>
      </c>
      <c r="F4737" s="522">
        <f>E4737+F4713</f>
        <v>97</v>
      </c>
    </row>
    <row r="4738" spans="1:10" s="393" customFormat="1" x14ac:dyDescent="0.25">
      <c r="A4738" s="402" t="s">
        <v>41</v>
      </c>
      <c r="B4738" s="2">
        <v>44090</v>
      </c>
      <c r="C4738" s="1">
        <v>-2</v>
      </c>
      <c r="D4738" s="39">
        <f t="shared" si="392"/>
        <v>96</v>
      </c>
      <c r="E4738" s="1"/>
      <c r="F4738" s="522">
        <f>E4738+F4714</f>
        <v>1</v>
      </c>
      <c r="G4738" s="395"/>
      <c r="H4738" s="395"/>
      <c r="J4738" s="42"/>
    </row>
    <row r="4739" spans="1:10" s="393" customFormat="1" x14ac:dyDescent="0.25">
      <c r="A4739" s="402" t="s">
        <v>32</v>
      </c>
      <c r="B4739" s="2">
        <v>44090</v>
      </c>
      <c r="C4739" s="1">
        <v>305</v>
      </c>
      <c r="D4739" s="39">
        <f t="shared" si="392"/>
        <v>13035</v>
      </c>
      <c r="E4739" s="1"/>
      <c r="F4739" s="522">
        <f t="shared" si="393"/>
        <v>276</v>
      </c>
      <c r="G4739" s="395"/>
      <c r="H4739" s="395"/>
      <c r="J4739" s="42"/>
    </row>
    <row r="4740" spans="1:10" s="393" customFormat="1" x14ac:dyDescent="0.25">
      <c r="A4740" s="402" t="s">
        <v>33</v>
      </c>
      <c r="B4740" s="2">
        <v>44090</v>
      </c>
      <c r="C4740" s="1">
        <v>39</v>
      </c>
      <c r="D4740" s="39">
        <f t="shared" si="392"/>
        <v>505</v>
      </c>
      <c r="E4740" s="1"/>
      <c r="F4740" s="522">
        <f t="shared" si="393"/>
        <v>4</v>
      </c>
      <c r="G4740" s="395"/>
      <c r="H4740" s="395"/>
      <c r="J4740" s="42"/>
    </row>
    <row r="4741" spans="1:10" s="393" customFormat="1" x14ac:dyDescent="0.25">
      <c r="A4741" s="402" t="s">
        <v>21</v>
      </c>
      <c r="B4741" s="2">
        <v>44090</v>
      </c>
      <c r="C4741" s="1">
        <v>125</v>
      </c>
      <c r="D4741" s="39">
        <f t="shared" si="392"/>
        <v>3131</v>
      </c>
      <c r="E4741" s="1"/>
      <c r="F4741" s="522">
        <f t="shared" si="393"/>
        <v>87</v>
      </c>
      <c r="G4741" s="395"/>
      <c r="H4741" s="395"/>
      <c r="J4741" s="42"/>
    </row>
    <row r="4742" spans="1:10" s="393" customFormat="1" x14ac:dyDescent="0.25">
      <c r="A4742" s="402" t="s">
        <v>17</v>
      </c>
      <c r="B4742" s="2">
        <v>44090</v>
      </c>
      <c r="C4742" s="1">
        <v>682</v>
      </c>
      <c r="D4742" s="39">
        <f t="shared" si="392"/>
        <v>16443</v>
      </c>
      <c r="E4742" s="1">
        <f>1+1+1</f>
        <v>3</v>
      </c>
      <c r="F4742" s="522">
        <f t="shared" si="393"/>
        <v>159</v>
      </c>
      <c r="G4742" s="395"/>
      <c r="H4742" s="395"/>
      <c r="J4742" s="42"/>
    </row>
    <row r="4743" spans="1:10" s="393" customFormat="1" x14ac:dyDescent="0.25">
      <c r="A4743" s="402" t="s">
        <v>23</v>
      </c>
      <c r="B4743" s="2">
        <v>44090</v>
      </c>
      <c r="C4743" s="1">
        <v>3</v>
      </c>
      <c r="D4743" s="39">
        <f t="shared" si="392"/>
        <v>63</v>
      </c>
      <c r="E4743" s="1"/>
      <c r="F4743" s="522">
        <f t="shared" si="393"/>
        <v>2</v>
      </c>
      <c r="G4743" s="395"/>
      <c r="H4743" s="395"/>
      <c r="J4743" s="42"/>
    </row>
    <row r="4744" spans="1:10" s="393" customFormat="1" x14ac:dyDescent="0.25">
      <c r="A4744" s="402" t="s">
        <v>19</v>
      </c>
      <c r="B4744" s="2">
        <v>44090</v>
      </c>
      <c r="C4744" s="1">
        <v>189</v>
      </c>
      <c r="D4744" s="39">
        <f>C4744+D4720</f>
        <v>5348</v>
      </c>
      <c r="E4744" s="1">
        <f>1</f>
        <v>1</v>
      </c>
      <c r="F4744" s="522">
        <f t="shared" si="393"/>
        <v>54</v>
      </c>
      <c r="G4744" s="395"/>
      <c r="H4744" s="395"/>
      <c r="J4744" s="42"/>
    </row>
    <row r="4745" spans="1:10" s="393" customFormat="1" x14ac:dyDescent="0.25">
      <c r="A4745" s="402" t="s">
        <v>18</v>
      </c>
      <c r="B4745" s="2">
        <v>44090</v>
      </c>
      <c r="C4745" s="1">
        <v>232</v>
      </c>
      <c r="D4745" s="39">
        <f>C4745+D4721</f>
        <v>9461</v>
      </c>
      <c r="E4745" s="1">
        <f>3+5</f>
        <v>8</v>
      </c>
      <c r="F4745" s="522">
        <f t="shared" si="393"/>
        <v>176</v>
      </c>
      <c r="G4745" s="395"/>
      <c r="H4745" s="395"/>
      <c r="J4745" s="42"/>
    </row>
    <row r="4746" spans="1:10" s="393" customFormat="1" x14ac:dyDescent="0.25">
      <c r="A4746" s="402" t="s">
        <v>34</v>
      </c>
      <c r="B4746" s="2">
        <v>44090</v>
      </c>
      <c r="C4746" s="1">
        <v>319</v>
      </c>
      <c r="D4746" s="39">
        <f>C4746+D4722</f>
        <v>7622</v>
      </c>
      <c r="E4746" s="1">
        <f>1+1</f>
        <v>2</v>
      </c>
      <c r="F4746" s="522">
        <f>E4746+F4722</f>
        <v>101</v>
      </c>
      <c r="G4746" s="395"/>
      <c r="H4746" s="395"/>
      <c r="J4746" s="42"/>
    </row>
    <row r="4747" spans="1:10" s="393" customFormat="1" x14ac:dyDescent="0.25">
      <c r="A4747" s="402" t="s">
        <v>35</v>
      </c>
      <c r="B4747" s="2">
        <v>44090</v>
      </c>
      <c r="C4747" s="1">
        <v>0</v>
      </c>
      <c r="D4747" s="39">
        <f t="shared" ref="D4747:D4753" si="394">C4747+D4723</f>
        <v>428</v>
      </c>
      <c r="E4747" s="1">
        <f>2</f>
        <v>2</v>
      </c>
      <c r="F4747" s="522">
        <f>E4747+F4723</f>
        <v>14</v>
      </c>
      <c r="G4747" s="395"/>
      <c r="H4747" s="395"/>
      <c r="J4747" s="42"/>
    </row>
    <row r="4748" spans="1:10" s="393" customFormat="1" x14ac:dyDescent="0.25">
      <c r="A4748" s="402" t="s">
        <v>36</v>
      </c>
      <c r="B4748" s="2">
        <v>44090</v>
      </c>
      <c r="C4748" s="1">
        <v>25</v>
      </c>
      <c r="D4748" s="39">
        <f t="shared" si="394"/>
        <v>508</v>
      </c>
      <c r="E4748" s="1"/>
      <c r="F4748" s="522">
        <f t="shared" si="393"/>
        <v>0</v>
      </c>
      <c r="G4748" s="395"/>
      <c r="H4748" s="395"/>
      <c r="J4748" s="42"/>
    </row>
    <row r="4749" spans="1:10" s="393" customFormat="1" x14ac:dyDescent="0.25">
      <c r="A4749" s="402" t="s">
        <v>37</v>
      </c>
      <c r="B4749" s="2">
        <v>44090</v>
      </c>
      <c r="C4749" s="1">
        <v>84</v>
      </c>
      <c r="D4749" s="39">
        <f t="shared" si="394"/>
        <v>3276</v>
      </c>
      <c r="E4749" s="1">
        <f>3</f>
        <v>3</v>
      </c>
      <c r="F4749" s="522">
        <f>E4749+F4725</f>
        <v>39</v>
      </c>
      <c r="G4749" s="395"/>
      <c r="H4749" s="395"/>
      <c r="J4749" s="42"/>
    </row>
    <row r="4750" spans="1:10" s="393" customFormat="1" x14ac:dyDescent="0.25">
      <c r="A4750" s="402" t="s">
        <v>22</v>
      </c>
      <c r="B4750" s="2">
        <v>44090</v>
      </c>
      <c r="C4750" s="1">
        <v>1149</v>
      </c>
      <c r="D4750" s="39">
        <f t="shared" si="394"/>
        <v>21672</v>
      </c>
      <c r="E4750" s="1">
        <f>2+1+7+7</f>
        <v>17</v>
      </c>
      <c r="F4750" s="522">
        <f>E4750+F4726</f>
        <v>236</v>
      </c>
      <c r="G4750" s="395"/>
      <c r="H4750" s="395"/>
      <c r="J4750" s="42"/>
    </row>
    <row r="4751" spans="1:10" s="393" customFormat="1" x14ac:dyDescent="0.25">
      <c r="A4751" s="402" t="s">
        <v>38</v>
      </c>
      <c r="B4751" s="2">
        <v>44090</v>
      </c>
      <c r="C4751" s="1">
        <v>59</v>
      </c>
      <c r="D4751" s="39">
        <f t="shared" si="394"/>
        <v>2041</v>
      </c>
      <c r="E4751" s="1"/>
      <c r="F4751" s="522">
        <f t="shared" si="393"/>
        <v>28</v>
      </c>
      <c r="G4751" s="395"/>
      <c r="H4751" s="395"/>
      <c r="J4751" s="42"/>
    </row>
    <row r="4752" spans="1:10" s="393" customFormat="1" x14ac:dyDescent="0.25">
      <c r="A4752" s="402" t="s">
        <v>39</v>
      </c>
      <c r="B4752" s="2">
        <v>44090</v>
      </c>
      <c r="C4752" s="1">
        <v>46</v>
      </c>
      <c r="D4752" s="39">
        <f t="shared" si="394"/>
        <v>2901</v>
      </c>
      <c r="E4752" s="1">
        <f>1+2</f>
        <v>3</v>
      </c>
      <c r="F4752" s="522">
        <f>E4752+F4728</f>
        <v>50</v>
      </c>
      <c r="G4752" s="395"/>
      <c r="H4752" s="395"/>
      <c r="J4752" s="42"/>
    </row>
    <row r="4753" spans="1:10" s="393" customFormat="1" ht="15.75" thickBot="1" x14ac:dyDescent="0.3">
      <c r="A4753" s="404" t="s">
        <v>40</v>
      </c>
      <c r="B4753" s="268">
        <v>44090</v>
      </c>
      <c r="C4753" s="44">
        <v>458</v>
      </c>
      <c r="D4753" s="177">
        <f t="shared" si="394"/>
        <v>8175</v>
      </c>
      <c r="E4753" s="44">
        <f>8</f>
        <v>8</v>
      </c>
      <c r="F4753" s="631">
        <f>E4753+F4729</f>
        <v>30</v>
      </c>
      <c r="G4753" s="395"/>
      <c r="H4753" s="395"/>
      <c r="J4753" s="42"/>
    </row>
    <row r="4754" spans="1:10" s="393" customFormat="1" ht="15.75" thickBot="1" x14ac:dyDescent="0.3">
      <c r="A4754" s="397" t="s">
        <v>16</v>
      </c>
      <c r="B4754" s="268">
        <v>44091</v>
      </c>
      <c r="C4754" s="227">
        <v>6319</v>
      </c>
      <c r="D4754" s="175">
        <f>C4754+D4730</f>
        <v>355050</v>
      </c>
      <c r="E4754" s="227">
        <v>213</v>
      </c>
      <c r="F4754" s="630">
        <f>E4754+F4730</f>
        <v>7411</v>
      </c>
      <c r="G4754" s="395"/>
      <c r="H4754" s="395"/>
      <c r="J4754" s="42"/>
    </row>
    <row r="4755" spans="1:10" s="393" customFormat="1" ht="15.75" thickBot="1" x14ac:dyDescent="0.3">
      <c r="A4755" s="402" t="s">
        <v>43</v>
      </c>
      <c r="B4755" s="268">
        <v>44091</v>
      </c>
      <c r="C4755" s="1">
        <v>1156</v>
      </c>
      <c r="D4755" s="39">
        <f t="shared" ref="D4755:D4767" si="395">C4755+D4731</f>
        <v>114825</v>
      </c>
      <c r="E4755" s="1">
        <f>6+1+10+7</f>
        <v>24</v>
      </c>
      <c r="F4755" s="522">
        <f>E4755+F4731</f>
        <v>2855</v>
      </c>
      <c r="G4755" s="395"/>
      <c r="H4755" s="395"/>
      <c r="J4755" s="42"/>
    </row>
    <row r="4756" spans="1:10" s="393" customFormat="1" ht="15.75" thickBot="1" x14ac:dyDescent="0.3">
      <c r="A4756" s="402" t="s">
        <v>28</v>
      </c>
      <c r="B4756" s="268">
        <v>44091</v>
      </c>
      <c r="C4756" s="1">
        <v>23</v>
      </c>
      <c r="D4756" s="39">
        <f t="shared" si="395"/>
        <v>177</v>
      </c>
      <c r="E4756" s="1"/>
      <c r="F4756" s="522">
        <f>E4756+F4732</f>
        <v>0</v>
      </c>
      <c r="G4756" s="395"/>
      <c r="H4756" s="395"/>
      <c r="J4756" s="42"/>
    </row>
    <row r="4757" spans="1:10" s="393" customFormat="1" ht="15.75" thickBot="1" x14ac:dyDescent="0.3">
      <c r="A4757" s="402" t="s">
        <v>15</v>
      </c>
      <c r="B4757" s="268">
        <v>44091</v>
      </c>
      <c r="C4757" s="1">
        <v>108</v>
      </c>
      <c r="D4757" s="39">
        <f t="shared" si="395"/>
        <v>7109</v>
      </c>
      <c r="E4757" s="1">
        <f>1+2</f>
        <v>3</v>
      </c>
      <c r="F4757" s="522">
        <f t="shared" ref="F4757:F4775" si="396">E4757+F4733</f>
        <v>247</v>
      </c>
      <c r="G4757" s="395"/>
      <c r="H4757" s="395"/>
      <c r="J4757" s="42"/>
    </row>
    <row r="4758" spans="1:10" s="393" customFormat="1" ht="15.75" thickBot="1" x14ac:dyDescent="0.3">
      <c r="A4758" s="402" t="s">
        <v>29</v>
      </c>
      <c r="B4758" s="268">
        <v>44091</v>
      </c>
      <c r="C4758" s="1">
        <v>95</v>
      </c>
      <c r="D4758" s="39">
        <f t="shared" si="395"/>
        <v>2044</v>
      </c>
      <c r="E4758" s="1">
        <f>1</f>
        <v>1</v>
      </c>
      <c r="F4758" s="522">
        <f t="shared" si="396"/>
        <v>24</v>
      </c>
      <c r="G4758" s="395"/>
      <c r="H4758" s="395"/>
      <c r="J4758" s="42"/>
    </row>
    <row r="4759" spans="1:10" s="393" customFormat="1" ht="15.75" thickBot="1" x14ac:dyDescent="0.3">
      <c r="A4759" s="402" t="s">
        <v>20</v>
      </c>
      <c r="B4759" s="268">
        <v>44091</v>
      </c>
      <c r="C4759" s="1">
        <v>757</v>
      </c>
      <c r="D4759" s="39">
        <f t="shared" si="395"/>
        <v>17141</v>
      </c>
      <c r="E4759" s="1">
        <f>1+4+2</f>
        <v>7</v>
      </c>
      <c r="F4759" s="522">
        <f t="shared" si="396"/>
        <v>228</v>
      </c>
      <c r="G4759" s="395"/>
      <c r="H4759" s="395"/>
      <c r="J4759" s="42"/>
    </row>
    <row r="4760" spans="1:10" s="393" customFormat="1" ht="15.75" thickBot="1" x14ac:dyDescent="0.3">
      <c r="A4760" s="402" t="s">
        <v>30</v>
      </c>
      <c r="B4760" s="268">
        <v>44091</v>
      </c>
      <c r="C4760" s="1">
        <v>73</v>
      </c>
      <c r="D4760" s="39">
        <f t="shared" si="395"/>
        <v>868</v>
      </c>
      <c r="E4760" s="1"/>
      <c r="F4760" s="522">
        <f>E4760+F4736</f>
        <v>6</v>
      </c>
      <c r="G4760" s="395"/>
      <c r="H4760" s="395"/>
      <c r="J4760" s="42"/>
    </row>
    <row r="4761" spans="1:10" ht="15.75" thickBot="1" x14ac:dyDescent="0.3">
      <c r="A4761" s="402" t="s">
        <v>31</v>
      </c>
      <c r="B4761" s="268">
        <v>44091</v>
      </c>
      <c r="C4761" s="1">
        <v>150</v>
      </c>
      <c r="D4761" s="39">
        <f t="shared" si="395"/>
        <v>5774</v>
      </c>
      <c r="E4761" s="1">
        <f>4+1</f>
        <v>5</v>
      </c>
      <c r="F4761" s="522">
        <f>E4761+F4737</f>
        <v>102</v>
      </c>
    </row>
    <row r="4762" spans="1:10" s="393" customFormat="1" ht="15.75" thickBot="1" x14ac:dyDescent="0.3">
      <c r="A4762" s="402" t="s">
        <v>41</v>
      </c>
      <c r="B4762" s="268">
        <v>44091</v>
      </c>
      <c r="C4762" s="1">
        <v>-3</v>
      </c>
      <c r="D4762" s="39">
        <f t="shared" si="395"/>
        <v>93</v>
      </c>
      <c r="E4762" s="1"/>
      <c r="F4762" s="522">
        <f>E4762+F4738</f>
        <v>1</v>
      </c>
      <c r="G4762" s="395"/>
      <c r="H4762" s="395"/>
      <c r="J4762" s="42"/>
    </row>
    <row r="4763" spans="1:10" s="393" customFormat="1" ht="15.75" thickBot="1" x14ac:dyDescent="0.3">
      <c r="A4763" s="402" t="s">
        <v>32</v>
      </c>
      <c r="B4763" s="268">
        <v>44091</v>
      </c>
      <c r="C4763" s="1">
        <v>309</v>
      </c>
      <c r="D4763" s="39">
        <f t="shared" si="395"/>
        <v>13344</v>
      </c>
      <c r="E4763" s="1">
        <f>8+3+4+7</f>
        <v>22</v>
      </c>
      <c r="F4763" s="522">
        <f t="shared" si="396"/>
        <v>298</v>
      </c>
      <c r="G4763" s="395"/>
      <c r="H4763" s="395"/>
      <c r="J4763" s="42"/>
    </row>
    <row r="4764" spans="1:10" s="393" customFormat="1" ht="15.75" thickBot="1" x14ac:dyDescent="0.3">
      <c r="A4764" s="402" t="s">
        <v>33</v>
      </c>
      <c r="B4764" s="268">
        <v>44091</v>
      </c>
      <c r="C4764" s="1">
        <v>15</v>
      </c>
      <c r="D4764" s="39">
        <f t="shared" si="395"/>
        <v>520</v>
      </c>
      <c r="E4764" s="1"/>
      <c r="F4764" s="522">
        <f t="shared" si="396"/>
        <v>4</v>
      </c>
      <c r="G4764" s="395"/>
      <c r="H4764" s="395"/>
      <c r="J4764" s="42"/>
    </row>
    <row r="4765" spans="1:10" s="393" customFormat="1" ht="15.75" thickBot="1" x14ac:dyDescent="0.3">
      <c r="A4765" s="402" t="s">
        <v>21</v>
      </c>
      <c r="B4765" s="268">
        <v>44091</v>
      </c>
      <c r="C4765" s="1">
        <v>121</v>
      </c>
      <c r="D4765" s="39">
        <f t="shared" si="395"/>
        <v>3252</v>
      </c>
      <c r="E4765" s="1">
        <f>5+1</f>
        <v>6</v>
      </c>
      <c r="F4765" s="522">
        <f t="shared" si="396"/>
        <v>93</v>
      </c>
      <c r="G4765" s="395"/>
      <c r="H4765" s="395"/>
      <c r="J4765" s="42"/>
    </row>
    <row r="4766" spans="1:10" s="393" customFormat="1" ht="15.75" thickBot="1" x14ac:dyDescent="0.3">
      <c r="A4766" s="402" t="s">
        <v>17</v>
      </c>
      <c r="B4766" s="268">
        <v>44091</v>
      </c>
      <c r="C4766" s="1">
        <v>566</v>
      </c>
      <c r="D4766" s="39">
        <f t="shared" si="395"/>
        <v>17009</v>
      </c>
      <c r="E4766" s="1">
        <f>1+1+3</f>
        <v>5</v>
      </c>
      <c r="F4766" s="522">
        <f t="shared" si="396"/>
        <v>164</v>
      </c>
      <c r="G4766" s="395"/>
      <c r="H4766" s="395"/>
      <c r="J4766" s="42"/>
    </row>
    <row r="4767" spans="1:10" s="393" customFormat="1" ht="15.75" thickBot="1" x14ac:dyDescent="0.3">
      <c r="A4767" s="402" t="s">
        <v>23</v>
      </c>
      <c r="B4767" s="268">
        <v>44091</v>
      </c>
      <c r="C4767" s="1">
        <v>2</v>
      </c>
      <c r="D4767" s="39">
        <f t="shared" si="395"/>
        <v>65</v>
      </c>
      <c r="E4767" s="1"/>
      <c r="F4767" s="522">
        <f t="shared" si="396"/>
        <v>2</v>
      </c>
      <c r="G4767" s="395"/>
      <c r="H4767" s="395"/>
      <c r="J4767" s="42"/>
    </row>
    <row r="4768" spans="1:10" s="393" customFormat="1" ht="15.75" thickBot="1" x14ac:dyDescent="0.3">
      <c r="A4768" s="402" t="s">
        <v>19</v>
      </c>
      <c r="B4768" s="268">
        <v>44091</v>
      </c>
      <c r="C4768" s="1">
        <v>218</v>
      </c>
      <c r="D4768" s="39">
        <f>C4768+D4744</f>
        <v>5566</v>
      </c>
      <c r="E4768" s="1">
        <f>5+2</f>
        <v>7</v>
      </c>
      <c r="F4768" s="522">
        <f t="shared" si="396"/>
        <v>61</v>
      </c>
      <c r="G4768" s="395"/>
      <c r="H4768" s="395"/>
      <c r="J4768" s="42"/>
    </row>
    <row r="4769" spans="1:10" s="393" customFormat="1" ht="15.75" thickBot="1" x14ac:dyDescent="0.3">
      <c r="A4769" s="402" t="s">
        <v>18</v>
      </c>
      <c r="B4769" s="268">
        <v>44091</v>
      </c>
      <c r="C4769" s="1">
        <v>291</v>
      </c>
      <c r="D4769" s="39">
        <f>C4769+D4745</f>
        <v>9752</v>
      </c>
      <c r="E4769" s="1">
        <f>2+2+2</f>
        <v>6</v>
      </c>
      <c r="F4769" s="522">
        <f t="shared" si="396"/>
        <v>182</v>
      </c>
      <c r="G4769" s="395"/>
      <c r="H4769" s="395"/>
      <c r="J4769" s="42"/>
    </row>
    <row r="4770" spans="1:10" s="393" customFormat="1" ht="15.75" thickBot="1" x14ac:dyDescent="0.3">
      <c r="A4770" s="402" t="s">
        <v>34</v>
      </c>
      <c r="B4770" s="268">
        <v>44091</v>
      </c>
      <c r="C4770" s="1">
        <v>419</v>
      </c>
      <c r="D4770" s="39">
        <f>C4770+D4746</f>
        <v>8041</v>
      </c>
      <c r="E4770" s="1">
        <f>2+5+8</f>
        <v>15</v>
      </c>
      <c r="F4770" s="522">
        <f>E4770+F4746</f>
        <v>116</v>
      </c>
      <c r="G4770" s="395"/>
      <c r="H4770" s="395"/>
      <c r="J4770" s="42"/>
    </row>
    <row r="4771" spans="1:10" s="393" customFormat="1" ht="15.75" thickBot="1" x14ac:dyDescent="0.3">
      <c r="A4771" s="402" t="s">
        <v>35</v>
      </c>
      <c r="B4771" s="268">
        <v>44091</v>
      </c>
      <c r="C4771" s="1">
        <v>20</v>
      </c>
      <c r="D4771" s="39">
        <f t="shared" ref="D4771:D4777" si="397">C4771+D4747</f>
        <v>448</v>
      </c>
      <c r="E4771" s="1"/>
      <c r="F4771" s="522">
        <f>E4771+F4747</f>
        <v>14</v>
      </c>
      <c r="G4771" s="395"/>
      <c r="H4771" s="395"/>
      <c r="J4771" s="42"/>
    </row>
    <row r="4772" spans="1:10" s="393" customFormat="1" ht="15.75" thickBot="1" x14ac:dyDescent="0.3">
      <c r="A4772" s="402" t="s">
        <v>36</v>
      </c>
      <c r="B4772" s="268">
        <v>44091</v>
      </c>
      <c r="C4772" s="1">
        <v>62</v>
      </c>
      <c r="D4772" s="39">
        <f t="shared" si="397"/>
        <v>570</v>
      </c>
      <c r="E4772" s="1"/>
      <c r="F4772" s="522">
        <f t="shared" si="396"/>
        <v>0</v>
      </c>
      <c r="G4772" s="395"/>
      <c r="H4772" s="395"/>
      <c r="J4772" s="42"/>
    </row>
    <row r="4773" spans="1:10" s="393" customFormat="1" ht="15.75" thickBot="1" x14ac:dyDescent="0.3">
      <c r="A4773" s="402" t="s">
        <v>37</v>
      </c>
      <c r="B4773" s="268">
        <v>44091</v>
      </c>
      <c r="C4773" s="1">
        <v>86</v>
      </c>
      <c r="D4773" s="39">
        <f t="shared" si="397"/>
        <v>3362</v>
      </c>
      <c r="E4773" s="1">
        <f>3</f>
        <v>3</v>
      </c>
      <c r="F4773" s="522">
        <f>E4773+F4749</f>
        <v>42</v>
      </c>
      <c r="G4773" s="395"/>
      <c r="H4773" s="395"/>
      <c r="J4773" s="42"/>
    </row>
    <row r="4774" spans="1:10" s="393" customFormat="1" ht="15.75" thickBot="1" x14ac:dyDescent="0.3">
      <c r="A4774" s="402" t="s">
        <v>22</v>
      </c>
      <c r="B4774" s="268">
        <v>44091</v>
      </c>
      <c r="C4774" s="1">
        <v>1362</v>
      </c>
      <c r="D4774" s="39">
        <f t="shared" si="397"/>
        <v>23034</v>
      </c>
      <c r="E4774" s="1">
        <f>3+2+8+3</f>
        <v>16</v>
      </c>
      <c r="F4774" s="522">
        <f>E4774+F4750</f>
        <v>252</v>
      </c>
      <c r="G4774" s="395"/>
      <c r="H4774" s="395"/>
      <c r="J4774" s="42"/>
    </row>
    <row r="4775" spans="1:10" s="393" customFormat="1" ht="15.75" thickBot="1" x14ac:dyDescent="0.3">
      <c r="A4775" s="402" t="s">
        <v>38</v>
      </c>
      <c r="B4775" s="268">
        <v>44091</v>
      </c>
      <c r="C4775" s="1">
        <v>68</v>
      </c>
      <c r="D4775" s="39">
        <f t="shared" si="397"/>
        <v>2109</v>
      </c>
      <c r="E4775" s="1">
        <f>1+1</f>
        <v>2</v>
      </c>
      <c r="F4775" s="522">
        <f t="shared" si="396"/>
        <v>30</v>
      </c>
      <c r="G4775" s="395"/>
      <c r="H4775" s="395"/>
      <c r="J4775" s="42"/>
    </row>
    <row r="4776" spans="1:10" s="393" customFormat="1" ht="15.75" thickBot="1" x14ac:dyDescent="0.3">
      <c r="A4776" s="402" t="s">
        <v>39</v>
      </c>
      <c r="B4776" s="268">
        <v>44091</v>
      </c>
      <c r="C4776" s="1">
        <v>49</v>
      </c>
      <c r="D4776" s="39">
        <f t="shared" si="397"/>
        <v>2950</v>
      </c>
      <c r="E4776" s="1">
        <f>1+1</f>
        <v>2</v>
      </c>
      <c r="F4776" s="522">
        <f>E4776+F4752</f>
        <v>52</v>
      </c>
      <c r="G4776" s="395"/>
      <c r="H4776" s="395"/>
      <c r="J4776" s="42"/>
    </row>
    <row r="4777" spans="1:10" s="393" customFormat="1" ht="15.75" thickBot="1" x14ac:dyDescent="0.3">
      <c r="A4777" s="403" t="s">
        <v>40</v>
      </c>
      <c r="B4777" s="34">
        <v>44091</v>
      </c>
      <c r="C4777" s="234">
        <v>435</v>
      </c>
      <c r="D4777" s="67">
        <f t="shared" si="397"/>
        <v>8610</v>
      </c>
      <c r="E4777" s="234">
        <f>3+2+2</f>
        <v>7</v>
      </c>
      <c r="F4777" s="632">
        <f>E4777+F4753</f>
        <v>37</v>
      </c>
      <c r="G4777" s="395"/>
      <c r="H4777" s="395"/>
      <c r="J4777" s="42"/>
    </row>
    <row r="4778" spans="1:10" s="393" customFormat="1" x14ac:dyDescent="0.25">
      <c r="A4778" s="397" t="s">
        <v>16</v>
      </c>
      <c r="B4778" s="267">
        <v>44092</v>
      </c>
      <c r="C4778" s="43">
        <v>5708</v>
      </c>
      <c r="D4778" s="175">
        <f>C4778+D4754</f>
        <v>360758</v>
      </c>
      <c r="E4778" s="43">
        <f>5+5+45+37</f>
        <v>92</v>
      </c>
      <c r="F4778" s="630">
        <f>E4778+F4754</f>
        <v>7503</v>
      </c>
      <c r="G4778" s="395"/>
      <c r="H4778" s="395"/>
      <c r="J4778" s="42"/>
    </row>
    <row r="4779" spans="1:10" s="393" customFormat="1" x14ac:dyDescent="0.25">
      <c r="A4779" s="402" t="s">
        <v>43</v>
      </c>
      <c r="B4779" s="2">
        <v>44092</v>
      </c>
      <c r="C4779" s="1">
        <v>1070</v>
      </c>
      <c r="D4779" s="39">
        <f t="shared" ref="D4779:D4791" si="398">C4779+D4755</f>
        <v>115895</v>
      </c>
      <c r="E4779" s="1">
        <f>1+14+14</f>
        <v>29</v>
      </c>
      <c r="F4779" s="522">
        <f>E4779+F4755</f>
        <v>2884</v>
      </c>
      <c r="G4779" s="395"/>
      <c r="H4779" s="395"/>
      <c r="J4779" s="42"/>
    </row>
    <row r="4780" spans="1:10" s="393" customFormat="1" x14ac:dyDescent="0.25">
      <c r="A4780" s="402" t="s">
        <v>28</v>
      </c>
      <c r="B4780" s="2">
        <v>44092</v>
      </c>
      <c r="C4780" s="1">
        <v>6</v>
      </c>
      <c r="D4780" s="39">
        <f t="shared" si="398"/>
        <v>183</v>
      </c>
      <c r="E4780" s="1"/>
      <c r="F4780" s="522">
        <f>E4780+F4756</f>
        <v>0</v>
      </c>
      <c r="G4780" s="395"/>
      <c r="H4780" s="395"/>
      <c r="J4780" s="42"/>
    </row>
    <row r="4781" spans="1:10" s="393" customFormat="1" x14ac:dyDescent="0.25">
      <c r="A4781" s="402" t="s">
        <v>15</v>
      </c>
      <c r="B4781" s="2">
        <v>44092</v>
      </c>
      <c r="C4781" s="1">
        <v>104</v>
      </c>
      <c r="D4781" s="39">
        <f t="shared" si="398"/>
        <v>7213</v>
      </c>
      <c r="E4781" s="1">
        <f>1+2+1</f>
        <v>4</v>
      </c>
      <c r="F4781" s="522">
        <f t="shared" ref="F4781:F4799" si="399">E4781+F4757</f>
        <v>251</v>
      </c>
      <c r="G4781" s="395"/>
      <c r="H4781" s="395"/>
      <c r="J4781" s="42"/>
    </row>
    <row r="4782" spans="1:10" s="393" customFormat="1" x14ac:dyDescent="0.25">
      <c r="A4782" s="402" t="s">
        <v>29</v>
      </c>
      <c r="B4782" s="2">
        <v>44092</v>
      </c>
      <c r="C4782" s="1">
        <v>56</v>
      </c>
      <c r="D4782" s="39">
        <f t="shared" si="398"/>
        <v>2100</v>
      </c>
      <c r="E4782" s="1">
        <f>1</f>
        <v>1</v>
      </c>
      <c r="F4782" s="522">
        <f t="shared" si="399"/>
        <v>25</v>
      </c>
      <c r="G4782" s="395"/>
      <c r="H4782" s="395"/>
      <c r="J4782" s="42"/>
    </row>
    <row r="4783" spans="1:10" s="393" customFormat="1" x14ac:dyDescent="0.25">
      <c r="A4783" s="402" t="s">
        <v>20</v>
      </c>
      <c r="B4783" s="2">
        <v>44092</v>
      </c>
      <c r="C4783" s="1">
        <v>716</v>
      </c>
      <c r="D4783" s="39">
        <f t="shared" si="398"/>
        <v>17857</v>
      </c>
      <c r="E4783" s="1">
        <f>1+1+5+3</f>
        <v>10</v>
      </c>
      <c r="F4783" s="522">
        <f t="shared" si="399"/>
        <v>238</v>
      </c>
      <c r="G4783" s="395"/>
      <c r="H4783" s="395"/>
      <c r="J4783" s="42"/>
    </row>
    <row r="4784" spans="1:10" s="393" customFormat="1" x14ac:dyDescent="0.25">
      <c r="A4784" s="402" t="s">
        <v>30</v>
      </c>
      <c r="B4784" s="2">
        <v>44092</v>
      </c>
      <c r="C4784" s="1">
        <v>35</v>
      </c>
      <c r="D4784" s="39">
        <f t="shared" si="398"/>
        <v>903</v>
      </c>
      <c r="E4784" s="1"/>
      <c r="F4784" s="522">
        <f>E4784+F4760</f>
        <v>6</v>
      </c>
      <c r="G4784" s="395"/>
      <c r="H4784" s="395"/>
      <c r="J4784" s="42"/>
    </row>
    <row r="4785" spans="1:10" x14ac:dyDescent="0.25">
      <c r="A4785" s="402" t="s">
        <v>31</v>
      </c>
      <c r="B4785" s="2">
        <v>44092</v>
      </c>
      <c r="C4785" s="1">
        <v>181</v>
      </c>
      <c r="D4785" s="39">
        <f t="shared" si="398"/>
        <v>5955</v>
      </c>
      <c r="E4785" s="1">
        <f>1+1</f>
        <v>2</v>
      </c>
      <c r="F4785" s="522">
        <f>E4785+F4761</f>
        <v>104</v>
      </c>
    </row>
    <row r="4786" spans="1:10" s="393" customFormat="1" x14ac:dyDescent="0.25">
      <c r="A4786" s="402" t="s">
        <v>41</v>
      </c>
      <c r="B4786" s="2">
        <v>44092</v>
      </c>
      <c r="C4786" s="1">
        <v>-1</v>
      </c>
      <c r="D4786" s="39">
        <f t="shared" si="398"/>
        <v>92</v>
      </c>
      <c r="E4786" s="1"/>
      <c r="F4786" s="522">
        <f>E4786+F4762</f>
        <v>1</v>
      </c>
      <c r="G4786" s="395"/>
      <c r="H4786" s="395"/>
      <c r="J4786" s="42"/>
    </row>
    <row r="4787" spans="1:10" s="393" customFormat="1" x14ac:dyDescent="0.25">
      <c r="A4787" s="402" t="s">
        <v>32</v>
      </c>
      <c r="B4787" s="2">
        <v>44092</v>
      </c>
      <c r="C4787" s="1">
        <v>256</v>
      </c>
      <c r="D4787" s="39">
        <f t="shared" si="398"/>
        <v>13600</v>
      </c>
      <c r="E4787" s="1"/>
      <c r="F4787" s="522">
        <f t="shared" si="399"/>
        <v>298</v>
      </c>
      <c r="G4787" s="395"/>
      <c r="H4787" s="395"/>
      <c r="J4787" s="42"/>
    </row>
    <row r="4788" spans="1:10" s="393" customFormat="1" x14ac:dyDescent="0.25">
      <c r="A4788" s="402" t="s">
        <v>33</v>
      </c>
      <c r="B4788" s="2">
        <v>44092</v>
      </c>
      <c r="C4788" s="1">
        <v>14</v>
      </c>
      <c r="D4788" s="39">
        <f t="shared" si="398"/>
        <v>534</v>
      </c>
      <c r="E4788" s="1"/>
      <c r="F4788" s="522">
        <f t="shared" si="399"/>
        <v>4</v>
      </c>
      <c r="G4788" s="395"/>
      <c r="H4788" s="395"/>
      <c r="J4788" s="42"/>
    </row>
    <row r="4789" spans="1:10" s="393" customFormat="1" x14ac:dyDescent="0.25">
      <c r="A4789" s="402" t="s">
        <v>21</v>
      </c>
      <c r="B4789" s="2">
        <v>44092</v>
      </c>
      <c r="C4789" s="1">
        <v>152</v>
      </c>
      <c r="D4789" s="39">
        <f t="shared" si="398"/>
        <v>3404</v>
      </c>
      <c r="E4789" s="1">
        <f>5</f>
        <v>5</v>
      </c>
      <c r="F4789" s="522">
        <f t="shared" si="399"/>
        <v>98</v>
      </c>
      <c r="G4789" s="395"/>
      <c r="H4789" s="395"/>
      <c r="J4789" s="42"/>
    </row>
    <row r="4790" spans="1:10" s="393" customFormat="1" x14ac:dyDescent="0.25">
      <c r="A4790" s="402" t="s">
        <v>17</v>
      </c>
      <c r="B4790" s="2">
        <v>44092</v>
      </c>
      <c r="C4790" s="1">
        <v>578</v>
      </c>
      <c r="D4790" s="39">
        <f t="shared" si="398"/>
        <v>17587</v>
      </c>
      <c r="E4790" s="1">
        <f>3+2</f>
        <v>5</v>
      </c>
      <c r="F4790" s="522">
        <f t="shared" si="399"/>
        <v>169</v>
      </c>
      <c r="G4790" s="395"/>
      <c r="H4790" s="395"/>
      <c r="J4790" s="42"/>
    </row>
    <row r="4791" spans="1:10" s="393" customFormat="1" x14ac:dyDescent="0.25">
      <c r="A4791" s="402" t="s">
        <v>23</v>
      </c>
      <c r="B4791" s="2">
        <v>44092</v>
      </c>
      <c r="C4791" s="1">
        <v>3</v>
      </c>
      <c r="D4791" s="39">
        <f t="shared" si="398"/>
        <v>68</v>
      </c>
      <c r="E4791" s="1"/>
      <c r="F4791" s="522">
        <f t="shared" si="399"/>
        <v>2</v>
      </c>
      <c r="G4791" s="395"/>
      <c r="H4791" s="395"/>
      <c r="J4791" s="42"/>
    </row>
    <row r="4792" spans="1:10" s="393" customFormat="1" x14ac:dyDescent="0.25">
      <c r="A4792" s="402" t="s">
        <v>19</v>
      </c>
      <c r="B4792" s="2">
        <v>44092</v>
      </c>
      <c r="C4792" s="1">
        <v>150</v>
      </c>
      <c r="D4792" s="39">
        <f>C4792+D4768</f>
        <v>5716</v>
      </c>
      <c r="E4792" s="1">
        <f>4+2</f>
        <v>6</v>
      </c>
      <c r="F4792" s="522">
        <f t="shared" si="399"/>
        <v>67</v>
      </c>
      <c r="G4792" s="395"/>
      <c r="H4792" s="395"/>
      <c r="J4792" s="42"/>
    </row>
    <row r="4793" spans="1:10" s="393" customFormat="1" x14ac:dyDescent="0.25">
      <c r="A4793" s="402" t="s">
        <v>18</v>
      </c>
      <c r="B4793" s="2">
        <v>44092</v>
      </c>
      <c r="C4793" s="1">
        <v>217</v>
      </c>
      <c r="D4793" s="39">
        <f>C4793+D4769</f>
        <v>9969</v>
      </c>
      <c r="E4793" s="1">
        <f>3+3</f>
        <v>6</v>
      </c>
      <c r="F4793" s="522">
        <f t="shared" si="399"/>
        <v>188</v>
      </c>
      <c r="G4793" s="395"/>
      <c r="H4793" s="395"/>
      <c r="J4793" s="42"/>
    </row>
    <row r="4794" spans="1:10" s="393" customFormat="1" x14ac:dyDescent="0.25">
      <c r="A4794" s="402" t="s">
        <v>34</v>
      </c>
      <c r="B4794" s="2">
        <v>44092</v>
      </c>
      <c r="C4794" s="1">
        <v>450</v>
      </c>
      <c r="D4794" s="39">
        <f>C4794+D4770</f>
        <v>8491</v>
      </c>
      <c r="E4794" s="1">
        <f>2+4+8+4</f>
        <v>18</v>
      </c>
      <c r="F4794" s="522">
        <f>E4794+F4770</f>
        <v>134</v>
      </c>
      <c r="G4794" s="395"/>
      <c r="H4794" s="395"/>
      <c r="J4794" s="42"/>
    </row>
    <row r="4795" spans="1:10" s="393" customFormat="1" x14ac:dyDescent="0.25">
      <c r="A4795" s="402" t="s">
        <v>35</v>
      </c>
      <c r="B4795" s="2">
        <v>44092</v>
      </c>
      <c r="C4795" s="1">
        <v>15</v>
      </c>
      <c r="D4795" s="39">
        <f t="shared" ref="D4795:D4801" si="400">C4795+D4771</f>
        <v>463</v>
      </c>
      <c r="E4795" s="1">
        <f>4+2</f>
        <v>6</v>
      </c>
      <c r="F4795" s="522">
        <f>E4795+F4771</f>
        <v>20</v>
      </c>
      <c r="G4795" s="395"/>
      <c r="H4795" s="395"/>
      <c r="J4795" s="42"/>
    </row>
    <row r="4796" spans="1:10" s="393" customFormat="1" x14ac:dyDescent="0.25">
      <c r="A4796" s="402" t="s">
        <v>36</v>
      </c>
      <c r="B4796" s="2">
        <v>44092</v>
      </c>
      <c r="C4796" s="1">
        <v>78</v>
      </c>
      <c r="D4796" s="39">
        <f t="shared" si="400"/>
        <v>648</v>
      </c>
      <c r="E4796" s="1"/>
      <c r="F4796" s="522">
        <f t="shared" si="399"/>
        <v>0</v>
      </c>
      <c r="G4796" s="395"/>
      <c r="H4796" s="395"/>
      <c r="J4796" s="42"/>
    </row>
    <row r="4797" spans="1:10" s="393" customFormat="1" x14ac:dyDescent="0.25">
      <c r="A4797" s="402" t="s">
        <v>37</v>
      </c>
      <c r="B4797" s="2">
        <v>44092</v>
      </c>
      <c r="C4797" s="1">
        <v>107</v>
      </c>
      <c r="D4797" s="39">
        <f t="shared" si="400"/>
        <v>3469</v>
      </c>
      <c r="E4797" s="1">
        <f>1+1</f>
        <v>2</v>
      </c>
      <c r="F4797" s="522">
        <f>E4797+F4773</f>
        <v>44</v>
      </c>
      <c r="G4797" s="395"/>
      <c r="H4797" s="395"/>
      <c r="J4797" s="42"/>
    </row>
    <row r="4798" spans="1:10" s="393" customFormat="1" x14ac:dyDescent="0.25">
      <c r="A4798" s="402" t="s">
        <v>22</v>
      </c>
      <c r="B4798" s="2">
        <v>44092</v>
      </c>
      <c r="C4798" s="1">
        <v>1347</v>
      </c>
      <c r="D4798" s="39">
        <f t="shared" si="400"/>
        <v>24381</v>
      </c>
      <c r="E4798" s="1">
        <f>1+1+2+6</f>
        <v>10</v>
      </c>
      <c r="F4798" s="522">
        <f>E4798+F4774</f>
        <v>262</v>
      </c>
      <c r="G4798" s="395"/>
      <c r="H4798" s="395"/>
      <c r="J4798" s="42"/>
    </row>
    <row r="4799" spans="1:10" s="393" customFormat="1" x14ac:dyDescent="0.25">
      <c r="A4799" s="402" t="s">
        <v>38</v>
      </c>
      <c r="B4799" s="2">
        <v>44092</v>
      </c>
      <c r="C4799" s="1">
        <v>137</v>
      </c>
      <c r="D4799" s="39">
        <f t="shared" si="400"/>
        <v>2246</v>
      </c>
      <c r="E4799" s="1"/>
      <c r="F4799" s="522">
        <f t="shared" si="399"/>
        <v>30</v>
      </c>
      <c r="G4799" s="395"/>
      <c r="H4799" s="395"/>
      <c r="J4799" s="42"/>
    </row>
    <row r="4800" spans="1:10" s="393" customFormat="1" x14ac:dyDescent="0.25">
      <c r="A4800" s="402" t="s">
        <v>39</v>
      </c>
      <c r="B4800" s="2">
        <v>44092</v>
      </c>
      <c r="C4800" s="1">
        <v>70</v>
      </c>
      <c r="D4800" s="39">
        <f t="shared" si="400"/>
        <v>3020</v>
      </c>
      <c r="E4800" s="1">
        <f>1</f>
        <v>1</v>
      </c>
      <c r="F4800" s="522">
        <f>E4800+F4776</f>
        <v>53</v>
      </c>
      <c r="G4800" s="395"/>
      <c r="H4800" s="395"/>
      <c r="J4800" s="42"/>
    </row>
    <row r="4801" spans="1:10" s="393" customFormat="1" ht="15.75" thickBot="1" x14ac:dyDescent="0.3">
      <c r="A4801" s="404" t="s">
        <v>40</v>
      </c>
      <c r="B4801" s="268">
        <v>44092</v>
      </c>
      <c r="C4801" s="44">
        <v>496</v>
      </c>
      <c r="D4801" s="177">
        <f t="shared" si="400"/>
        <v>9106</v>
      </c>
      <c r="E4801" s="44"/>
      <c r="F4801" s="631">
        <f>E4801+F4777</f>
        <v>37</v>
      </c>
      <c r="G4801" s="395"/>
      <c r="H4801" s="395"/>
      <c r="J4801" s="42"/>
    </row>
    <row r="4802" spans="1:10" s="393" customFormat="1" ht="15.75" thickBot="1" x14ac:dyDescent="0.3">
      <c r="A4802" s="397" t="s">
        <v>16</v>
      </c>
      <c r="B4802" s="268">
        <v>44093</v>
      </c>
      <c r="C4802" s="227">
        <v>3877</v>
      </c>
      <c r="D4802" s="175">
        <f>C4802+D4778</f>
        <v>364635</v>
      </c>
      <c r="E4802" s="227">
        <f>10+14+13+19</f>
        <v>56</v>
      </c>
      <c r="F4802" s="630">
        <f>E4802+F4778</f>
        <v>7559</v>
      </c>
      <c r="G4802" s="395"/>
      <c r="H4802" s="395"/>
      <c r="J4802" s="42"/>
    </row>
    <row r="4803" spans="1:10" s="393" customFormat="1" ht="15.75" thickBot="1" x14ac:dyDescent="0.3">
      <c r="A4803" s="402" t="s">
        <v>43</v>
      </c>
      <c r="B4803" s="268">
        <v>44093</v>
      </c>
      <c r="C4803" s="1">
        <v>683</v>
      </c>
      <c r="D4803" s="39">
        <f t="shared" ref="D4803:D4815" si="401">C4803+D4779</f>
        <v>116578</v>
      </c>
      <c r="E4803" s="1">
        <f>4+4+2</f>
        <v>10</v>
      </c>
      <c r="F4803" s="522">
        <f>E4803+F4779</f>
        <v>2894</v>
      </c>
      <c r="G4803" s="395"/>
      <c r="H4803" s="395"/>
      <c r="J4803" s="42"/>
    </row>
    <row r="4804" spans="1:10" s="393" customFormat="1" ht="15.75" thickBot="1" x14ac:dyDescent="0.3">
      <c r="A4804" s="402" t="s">
        <v>28</v>
      </c>
      <c r="B4804" s="268">
        <v>44093</v>
      </c>
      <c r="C4804" s="1">
        <v>7</v>
      </c>
      <c r="D4804" s="39">
        <f t="shared" si="401"/>
        <v>190</v>
      </c>
      <c r="E4804" s="1"/>
      <c r="F4804" s="522">
        <f>E4804+F4780</f>
        <v>0</v>
      </c>
      <c r="G4804" s="395"/>
      <c r="H4804" s="395"/>
      <c r="J4804" s="42"/>
    </row>
    <row r="4805" spans="1:10" s="393" customFormat="1" ht="15.75" thickBot="1" x14ac:dyDescent="0.3">
      <c r="A4805" s="402" t="s">
        <v>15</v>
      </c>
      <c r="B4805" s="268">
        <v>44093</v>
      </c>
      <c r="C4805" s="1">
        <v>132</v>
      </c>
      <c r="D4805" s="39">
        <f t="shared" si="401"/>
        <v>7345</v>
      </c>
      <c r="E4805" s="1">
        <f>1</f>
        <v>1</v>
      </c>
      <c r="F4805" s="522">
        <f t="shared" ref="F4805:F4823" si="402">E4805+F4781</f>
        <v>252</v>
      </c>
      <c r="G4805" s="395"/>
      <c r="H4805" s="395"/>
      <c r="J4805" s="42"/>
    </row>
    <row r="4806" spans="1:10" s="393" customFormat="1" ht="15.75" thickBot="1" x14ac:dyDescent="0.3">
      <c r="A4806" s="402" t="s">
        <v>29</v>
      </c>
      <c r="B4806" s="268">
        <v>44093</v>
      </c>
      <c r="C4806" s="1">
        <v>81</v>
      </c>
      <c r="D4806" s="39">
        <f t="shared" si="401"/>
        <v>2181</v>
      </c>
      <c r="E4806" s="1"/>
      <c r="F4806" s="522">
        <f t="shared" si="402"/>
        <v>25</v>
      </c>
      <c r="G4806" s="395"/>
      <c r="H4806" s="395"/>
      <c r="J4806" s="42"/>
    </row>
    <row r="4807" spans="1:10" s="393" customFormat="1" ht="15.75" thickBot="1" x14ac:dyDescent="0.3">
      <c r="A4807" s="402" t="s">
        <v>20</v>
      </c>
      <c r="B4807" s="268">
        <v>44093</v>
      </c>
      <c r="C4807" s="1">
        <v>751</v>
      </c>
      <c r="D4807" s="39">
        <f t="shared" si="401"/>
        <v>18608</v>
      </c>
      <c r="E4807" s="1">
        <f>1+1+7</f>
        <v>9</v>
      </c>
      <c r="F4807" s="522">
        <f t="shared" si="402"/>
        <v>247</v>
      </c>
      <c r="G4807" s="395"/>
      <c r="H4807" s="395"/>
      <c r="J4807" s="42"/>
    </row>
    <row r="4808" spans="1:10" s="393" customFormat="1" ht="15.75" thickBot="1" x14ac:dyDescent="0.3">
      <c r="A4808" s="402" t="s">
        <v>30</v>
      </c>
      <c r="B4808" s="268">
        <v>44093</v>
      </c>
      <c r="C4808" s="1">
        <v>37</v>
      </c>
      <c r="D4808" s="39">
        <f t="shared" si="401"/>
        <v>940</v>
      </c>
      <c r="E4808" s="1">
        <f>5</f>
        <v>5</v>
      </c>
      <c r="F4808" s="522">
        <f>E4808+F4784</f>
        <v>11</v>
      </c>
      <c r="G4808" s="395"/>
      <c r="H4808" s="395"/>
      <c r="J4808" s="42"/>
    </row>
    <row r="4809" spans="1:10" ht="15.75" thickBot="1" x14ac:dyDescent="0.3">
      <c r="A4809" s="402" t="s">
        <v>31</v>
      </c>
      <c r="B4809" s="268">
        <v>44093</v>
      </c>
      <c r="C4809" s="1">
        <v>149</v>
      </c>
      <c r="D4809" s="39">
        <f t="shared" si="401"/>
        <v>6104</v>
      </c>
      <c r="E4809" s="1">
        <f>1+1</f>
        <v>2</v>
      </c>
      <c r="F4809" s="522">
        <f>E4809+F4785</f>
        <v>106</v>
      </c>
    </row>
    <row r="4810" spans="1:10" s="393" customFormat="1" ht="15.75" thickBot="1" x14ac:dyDescent="0.3">
      <c r="A4810" s="402" t="s">
        <v>41</v>
      </c>
      <c r="B4810" s="268">
        <v>44093</v>
      </c>
      <c r="C4810" s="1">
        <v>9</v>
      </c>
      <c r="D4810" s="39">
        <f t="shared" si="401"/>
        <v>101</v>
      </c>
      <c r="E4810" s="1"/>
      <c r="F4810" s="522">
        <f>E4810+F4786</f>
        <v>1</v>
      </c>
      <c r="G4810" s="395"/>
      <c r="H4810" s="395"/>
      <c r="J4810" s="42"/>
    </row>
    <row r="4811" spans="1:10" s="393" customFormat="1" ht="15.75" thickBot="1" x14ac:dyDescent="0.3">
      <c r="A4811" s="402" t="s">
        <v>32</v>
      </c>
      <c r="B4811" s="268">
        <v>44093</v>
      </c>
      <c r="C4811" s="1">
        <v>295</v>
      </c>
      <c r="D4811" s="39">
        <f t="shared" si="401"/>
        <v>13895</v>
      </c>
      <c r="E4811" s="1">
        <f>5+3</f>
        <v>8</v>
      </c>
      <c r="F4811" s="522">
        <f t="shared" si="402"/>
        <v>306</v>
      </c>
      <c r="G4811" s="395"/>
      <c r="H4811" s="395"/>
      <c r="J4811" s="42"/>
    </row>
    <row r="4812" spans="1:10" s="393" customFormat="1" ht="15.75" thickBot="1" x14ac:dyDescent="0.3">
      <c r="A4812" s="402" t="s">
        <v>33</v>
      </c>
      <c r="B4812" s="268">
        <v>44093</v>
      </c>
      <c r="C4812" s="1">
        <v>13</v>
      </c>
      <c r="D4812" s="39">
        <f t="shared" si="401"/>
        <v>547</v>
      </c>
      <c r="E4812" s="1"/>
      <c r="F4812" s="522">
        <f t="shared" si="402"/>
        <v>4</v>
      </c>
      <c r="G4812" s="395"/>
      <c r="H4812" s="395"/>
      <c r="J4812" s="42"/>
    </row>
    <row r="4813" spans="1:10" s="393" customFormat="1" ht="15.75" thickBot="1" x14ac:dyDescent="0.3">
      <c r="A4813" s="402" t="s">
        <v>21</v>
      </c>
      <c r="B4813" s="268">
        <v>44093</v>
      </c>
      <c r="C4813" s="1">
        <v>86</v>
      </c>
      <c r="D4813" s="39">
        <f t="shared" si="401"/>
        <v>3490</v>
      </c>
      <c r="E4813" s="1"/>
      <c r="F4813" s="522">
        <f t="shared" si="402"/>
        <v>98</v>
      </c>
      <c r="G4813" s="395"/>
      <c r="H4813" s="395"/>
      <c r="J4813" s="42"/>
    </row>
    <row r="4814" spans="1:10" s="393" customFormat="1" ht="15.75" thickBot="1" x14ac:dyDescent="0.3">
      <c r="A4814" s="402" t="s">
        <v>17</v>
      </c>
      <c r="B4814" s="268">
        <v>44093</v>
      </c>
      <c r="C4814" s="1">
        <v>673</v>
      </c>
      <c r="D4814" s="39">
        <f t="shared" si="401"/>
        <v>18260</v>
      </c>
      <c r="E4814" s="1">
        <f>1+1</f>
        <v>2</v>
      </c>
      <c r="F4814" s="522">
        <f t="shared" si="402"/>
        <v>171</v>
      </c>
      <c r="G4814" s="395"/>
      <c r="H4814" s="395"/>
      <c r="J4814" s="42"/>
    </row>
    <row r="4815" spans="1:10" s="393" customFormat="1" ht="15.75" thickBot="1" x14ac:dyDescent="0.3">
      <c r="A4815" s="402" t="s">
        <v>23</v>
      </c>
      <c r="B4815" s="268">
        <v>44093</v>
      </c>
      <c r="C4815" s="1">
        <v>1</v>
      </c>
      <c r="D4815" s="39">
        <f t="shared" si="401"/>
        <v>69</v>
      </c>
      <c r="E4815" s="1"/>
      <c r="F4815" s="522">
        <f t="shared" si="402"/>
        <v>2</v>
      </c>
      <c r="G4815" s="395"/>
      <c r="H4815" s="395"/>
      <c r="J4815" s="42"/>
    </row>
    <row r="4816" spans="1:10" s="393" customFormat="1" ht="15.75" thickBot="1" x14ac:dyDescent="0.3">
      <c r="A4816" s="402" t="s">
        <v>19</v>
      </c>
      <c r="B4816" s="268">
        <v>44093</v>
      </c>
      <c r="C4816" s="1">
        <v>141</v>
      </c>
      <c r="D4816" s="39">
        <f>C4816+D4792</f>
        <v>5857</v>
      </c>
      <c r="E4816" s="1">
        <f>2+1</f>
        <v>3</v>
      </c>
      <c r="F4816" s="522">
        <f t="shared" si="402"/>
        <v>70</v>
      </c>
      <c r="G4816" s="395"/>
      <c r="H4816" s="395"/>
      <c r="J4816" s="42"/>
    </row>
    <row r="4817" spans="1:10" s="393" customFormat="1" ht="15.75" thickBot="1" x14ac:dyDescent="0.3">
      <c r="A4817" s="402" t="s">
        <v>18</v>
      </c>
      <c r="B4817" s="268">
        <v>44093</v>
      </c>
      <c r="C4817" s="1">
        <v>245</v>
      </c>
      <c r="D4817" s="39">
        <f>C4817+D4793</f>
        <v>10214</v>
      </c>
      <c r="E4817" s="1">
        <f>3+2+2</f>
        <v>7</v>
      </c>
      <c r="F4817" s="522">
        <f t="shared" si="402"/>
        <v>195</v>
      </c>
      <c r="G4817" s="395"/>
      <c r="H4817" s="395"/>
      <c r="J4817" s="42"/>
    </row>
    <row r="4818" spans="1:10" s="393" customFormat="1" ht="15.75" thickBot="1" x14ac:dyDescent="0.3">
      <c r="A4818" s="402" t="s">
        <v>34</v>
      </c>
      <c r="B4818" s="268">
        <v>44093</v>
      </c>
      <c r="C4818" s="1">
        <v>438</v>
      </c>
      <c r="D4818" s="39">
        <f>C4818+D4794</f>
        <v>8929</v>
      </c>
      <c r="E4818" s="1">
        <f>1+12+8</f>
        <v>21</v>
      </c>
      <c r="F4818" s="522">
        <f>E4818+F4794</f>
        <v>155</v>
      </c>
      <c r="G4818" s="395"/>
      <c r="H4818" s="395"/>
      <c r="J4818" s="42"/>
    </row>
    <row r="4819" spans="1:10" s="393" customFormat="1" ht="15.75" thickBot="1" x14ac:dyDescent="0.3">
      <c r="A4819" s="402" t="s">
        <v>35</v>
      </c>
      <c r="B4819" s="268">
        <v>44093</v>
      </c>
      <c r="C4819" s="1">
        <v>1</v>
      </c>
      <c r="D4819" s="39">
        <f t="shared" ref="D4819:D4825" si="403">C4819+D4795</f>
        <v>464</v>
      </c>
      <c r="E4819" s="1">
        <f>1</f>
        <v>1</v>
      </c>
      <c r="F4819" s="522">
        <f>E4819+F4795</f>
        <v>21</v>
      </c>
      <c r="G4819" s="395"/>
      <c r="H4819" s="395"/>
      <c r="J4819" s="42"/>
    </row>
    <row r="4820" spans="1:10" s="393" customFormat="1" ht="15.75" thickBot="1" x14ac:dyDescent="0.3">
      <c r="A4820" s="402" t="s">
        <v>36</v>
      </c>
      <c r="B4820" s="268">
        <v>44093</v>
      </c>
      <c r="C4820" s="1">
        <v>24</v>
      </c>
      <c r="D4820" s="39">
        <f t="shared" si="403"/>
        <v>672</v>
      </c>
      <c r="E4820" s="1"/>
      <c r="F4820" s="522">
        <f t="shared" si="402"/>
        <v>0</v>
      </c>
      <c r="G4820" s="395"/>
      <c r="H4820" s="395"/>
      <c r="J4820" s="42"/>
    </row>
    <row r="4821" spans="1:10" s="393" customFormat="1" ht="15.75" thickBot="1" x14ac:dyDescent="0.3">
      <c r="A4821" s="402" t="s">
        <v>37</v>
      </c>
      <c r="B4821" s="268">
        <v>44093</v>
      </c>
      <c r="C4821" s="1">
        <v>195</v>
      </c>
      <c r="D4821" s="39">
        <f t="shared" si="403"/>
        <v>3664</v>
      </c>
      <c r="E4821" s="1"/>
      <c r="F4821" s="522">
        <f>E4821+F4797</f>
        <v>44</v>
      </c>
      <c r="G4821" s="395"/>
      <c r="H4821" s="395"/>
      <c r="J4821" s="42"/>
    </row>
    <row r="4822" spans="1:10" s="393" customFormat="1" ht="15.75" thickBot="1" x14ac:dyDescent="0.3">
      <c r="A4822" s="402" t="s">
        <v>22</v>
      </c>
      <c r="B4822" s="268">
        <v>44093</v>
      </c>
      <c r="C4822" s="1">
        <v>1137</v>
      </c>
      <c r="D4822" s="39">
        <f t="shared" si="403"/>
        <v>25518</v>
      </c>
      <c r="E4822" s="1">
        <f>3+1</f>
        <v>4</v>
      </c>
      <c r="F4822" s="522">
        <f>E4822+F4798</f>
        <v>266</v>
      </c>
      <c r="G4822" s="395"/>
      <c r="H4822" s="395"/>
      <c r="J4822" s="42"/>
    </row>
    <row r="4823" spans="1:10" s="393" customFormat="1" ht="15.75" thickBot="1" x14ac:dyDescent="0.3">
      <c r="A4823" s="402" t="s">
        <v>38</v>
      </c>
      <c r="B4823" s="268">
        <v>44093</v>
      </c>
      <c r="C4823" s="1">
        <v>56</v>
      </c>
      <c r="D4823" s="39">
        <f t="shared" si="403"/>
        <v>2302</v>
      </c>
      <c r="E4823" s="1"/>
      <c r="F4823" s="522">
        <f t="shared" si="402"/>
        <v>30</v>
      </c>
      <c r="G4823" s="395"/>
      <c r="H4823" s="395"/>
      <c r="J4823" s="42"/>
    </row>
    <row r="4824" spans="1:10" s="393" customFormat="1" ht="15.75" thickBot="1" x14ac:dyDescent="0.3">
      <c r="A4824" s="402" t="s">
        <v>39</v>
      </c>
      <c r="B4824" s="268">
        <v>44093</v>
      </c>
      <c r="C4824" s="1">
        <v>98</v>
      </c>
      <c r="D4824" s="39">
        <f t="shared" si="403"/>
        <v>3118</v>
      </c>
      <c r="E4824" s="1"/>
      <c r="F4824" s="522">
        <f>E4824+F4800</f>
        <v>53</v>
      </c>
      <c r="G4824" s="395"/>
      <c r="H4824" s="395"/>
      <c r="J4824" s="42"/>
    </row>
    <row r="4825" spans="1:10" s="393" customFormat="1" ht="15.75" thickBot="1" x14ac:dyDescent="0.3">
      <c r="A4825" s="404" t="s">
        <v>40</v>
      </c>
      <c r="B4825" s="268">
        <v>44093</v>
      </c>
      <c r="C4825" s="1">
        <v>147</v>
      </c>
      <c r="D4825" s="177">
        <f t="shared" si="403"/>
        <v>9253</v>
      </c>
      <c r="E4825" s="1">
        <f>1+7+6</f>
        <v>14</v>
      </c>
      <c r="F4825" s="631">
        <f>E4825+F4801</f>
        <v>51</v>
      </c>
      <c r="G4825" s="395"/>
      <c r="H4825" s="395"/>
      <c r="J4825" s="42"/>
    </row>
    <row r="4826" spans="1:10" s="393" customFormat="1" ht="15.75" thickBot="1" x14ac:dyDescent="0.3">
      <c r="A4826" s="397" t="s">
        <v>16</v>
      </c>
      <c r="B4826" s="268">
        <v>44094</v>
      </c>
      <c r="C4826" s="1">
        <v>3645</v>
      </c>
      <c r="D4826" s="175">
        <f>C4826+D4802</f>
        <v>368280</v>
      </c>
      <c r="E4826" s="1">
        <f>16+19+47+35+1</f>
        <v>118</v>
      </c>
      <c r="F4826" s="630">
        <f>E4826+F4802</f>
        <v>7677</v>
      </c>
      <c r="G4826" s="395"/>
      <c r="H4826" s="395"/>
      <c r="J4826" s="42"/>
    </row>
    <row r="4827" spans="1:10" s="393" customFormat="1" ht="15.75" thickBot="1" x14ac:dyDescent="0.3">
      <c r="A4827" s="402" t="s">
        <v>43</v>
      </c>
      <c r="B4827" s="268">
        <v>44094</v>
      </c>
      <c r="C4827" s="1">
        <v>696</v>
      </c>
      <c r="D4827" s="39">
        <f t="shared" ref="D4827:D4839" si="404">C4827+D4803</f>
        <v>117274</v>
      </c>
      <c r="E4827" s="1">
        <f>1+3+3+2</f>
        <v>9</v>
      </c>
      <c r="F4827" s="522">
        <f>E4827+F4803</f>
        <v>2903</v>
      </c>
      <c r="G4827" s="395"/>
      <c r="H4827" s="395"/>
      <c r="J4827" s="42"/>
    </row>
    <row r="4828" spans="1:10" s="393" customFormat="1" ht="15.75" thickBot="1" x14ac:dyDescent="0.3">
      <c r="A4828" s="402" t="s">
        <v>28</v>
      </c>
      <c r="B4828" s="268">
        <v>44094</v>
      </c>
      <c r="C4828" s="1">
        <v>1</v>
      </c>
      <c r="D4828" s="39">
        <f t="shared" si="404"/>
        <v>191</v>
      </c>
      <c r="E4828" s="1"/>
      <c r="F4828" s="522">
        <f>E4828+F4804</f>
        <v>0</v>
      </c>
      <c r="G4828" s="395"/>
      <c r="H4828" s="395"/>
      <c r="J4828" s="42"/>
    </row>
    <row r="4829" spans="1:10" s="393" customFormat="1" ht="15.75" thickBot="1" x14ac:dyDescent="0.3">
      <c r="A4829" s="402" t="s">
        <v>15</v>
      </c>
      <c r="B4829" s="268">
        <v>44094</v>
      </c>
      <c r="C4829" s="1">
        <v>65</v>
      </c>
      <c r="D4829" s="39">
        <f t="shared" si="404"/>
        <v>7410</v>
      </c>
      <c r="E4829" s="1">
        <v>3</v>
      </c>
      <c r="F4829" s="522">
        <f t="shared" ref="F4829:F4847" si="405">E4829+F4805</f>
        <v>255</v>
      </c>
      <c r="G4829" s="395"/>
      <c r="H4829" s="395"/>
      <c r="J4829" s="42"/>
    </row>
    <row r="4830" spans="1:10" s="393" customFormat="1" ht="15.75" thickBot="1" x14ac:dyDescent="0.3">
      <c r="A4830" s="402" t="s">
        <v>29</v>
      </c>
      <c r="B4830" s="268">
        <v>44094</v>
      </c>
      <c r="C4830" s="1">
        <v>126</v>
      </c>
      <c r="D4830" s="39">
        <f t="shared" si="404"/>
        <v>2307</v>
      </c>
      <c r="E4830" s="1"/>
      <c r="F4830" s="522">
        <f t="shared" si="405"/>
        <v>25</v>
      </c>
      <c r="G4830" s="395"/>
      <c r="H4830" s="395"/>
      <c r="J4830" s="42"/>
    </row>
    <row r="4831" spans="1:10" s="393" customFormat="1" ht="15.75" thickBot="1" x14ac:dyDescent="0.3">
      <c r="A4831" s="402" t="s">
        <v>20</v>
      </c>
      <c r="B4831" s="268">
        <v>44094</v>
      </c>
      <c r="C4831" s="1">
        <v>600</v>
      </c>
      <c r="D4831" s="39">
        <f t="shared" si="404"/>
        <v>19208</v>
      </c>
      <c r="E4831" s="1">
        <f>5+3</f>
        <v>8</v>
      </c>
      <c r="F4831" s="522">
        <f t="shared" si="405"/>
        <v>255</v>
      </c>
      <c r="G4831" s="395"/>
      <c r="H4831" s="395"/>
      <c r="J4831" s="42"/>
    </row>
    <row r="4832" spans="1:10" s="393" customFormat="1" ht="15.75" thickBot="1" x14ac:dyDescent="0.3">
      <c r="A4832" s="402" t="s">
        <v>30</v>
      </c>
      <c r="B4832" s="268">
        <v>44094</v>
      </c>
      <c r="C4832" s="1">
        <v>28</v>
      </c>
      <c r="D4832" s="39">
        <f t="shared" si="404"/>
        <v>968</v>
      </c>
      <c r="E4832" s="1">
        <f>1+2</f>
        <v>3</v>
      </c>
      <c r="F4832" s="522">
        <f>E4832+F4808</f>
        <v>14</v>
      </c>
      <c r="G4832" s="395"/>
      <c r="H4832" s="395"/>
      <c r="J4832" s="42"/>
    </row>
    <row r="4833" spans="1:10" ht="15.75" thickBot="1" x14ac:dyDescent="0.3">
      <c r="A4833" s="402" t="s">
        <v>31</v>
      </c>
      <c r="B4833" s="268">
        <v>44094</v>
      </c>
      <c r="C4833" s="1">
        <v>102</v>
      </c>
      <c r="D4833" s="39">
        <f t="shared" si="404"/>
        <v>6206</v>
      </c>
      <c r="E4833" s="1">
        <f>2</f>
        <v>2</v>
      </c>
      <c r="F4833" s="522">
        <f>E4833+F4809</f>
        <v>108</v>
      </c>
    </row>
    <row r="4834" spans="1:10" s="393" customFormat="1" ht="15.75" thickBot="1" x14ac:dyDescent="0.3">
      <c r="A4834" s="402" t="s">
        <v>41</v>
      </c>
      <c r="B4834" s="268">
        <v>44094</v>
      </c>
      <c r="C4834" s="1">
        <v>0</v>
      </c>
      <c r="D4834" s="39">
        <f t="shared" si="404"/>
        <v>101</v>
      </c>
      <c r="E4834" s="1"/>
      <c r="F4834" s="522">
        <f>E4834+F4810</f>
        <v>1</v>
      </c>
      <c r="G4834" s="395"/>
      <c r="H4834" s="395"/>
      <c r="J4834" s="42"/>
    </row>
    <row r="4835" spans="1:10" s="393" customFormat="1" ht="15.75" thickBot="1" x14ac:dyDescent="0.3">
      <c r="A4835" s="402" t="s">
        <v>32</v>
      </c>
      <c r="B4835" s="268">
        <v>44094</v>
      </c>
      <c r="C4835" s="1">
        <v>255</v>
      </c>
      <c r="D4835" s="39">
        <f t="shared" si="404"/>
        <v>14150</v>
      </c>
      <c r="E4835" s="1">
        <f>7+7+5+1+1</f>
        <v>21</v>
      </c>
      <c r="F4835" s="522">
        <f t="shared" si="405"/>
        <v>327</v>
      </c>
      <c r="G4835" s="395"/>
      <c r="H4835" s="395"/>
      <c r="J4835" s="42"/>
    </row>
    <row r="4836" spans="1:10" s="393" customFormat="1" ht="15.75" thickBot="1" x14ac:dyDescent="0.3">
      <c r="A4836" s="402" t="s">
        <v>33</v>
      </c>
      <c r="B4836" s="268">
        <v>44094</v>
      </c>
      <c r="C4836" s="1">
        <v>21</v>
      </c>
      <c r="D4836" s="39">
        <f t="shared" si="404"/>
        <v>568</v>
      </c>
      <c r="E4836" s="1"/>
      <c r="F4836" s="522">
        <f t="shared" si="405"/>
        <v>4</v>
      </c>
      <c r="G4836" s="395"/>
      <c r="H4836" s="395"/>
      <c r="J4836" s="42"/>
    </row>
    <row r="4837" spans="1:10" s="393" customFormat="1" ht="15.75" thickBot="1" x14ac:dyDescent="0.3">
      <c r="A4837" s="402" t="s">
        <v>21</v>
      </c>
      <c r="B4837" s="268">
        <v>44094</v>
      </c>
      <c r="C4837" s="1">
        <v>260</v>
      </c>
      <c r="D4837" s="39">
        <f t="shared" si="404"/>
        <v>3750</v>
      </c>
      <c r="E4837" s="1">
        <f>1</f>
        <v>1</v>
      </c>
      <c r="F4837" s="522">
        <f t="shared" si="405"/>
        <v>99</v>
      </c>
      <c r="G4837" s="395"/>
      <c r="H4837" s="395"/>
      <c r="J4837" s="42"/>
    </row>
    <row r="4838" spans="1:10" s="393" customFormat="1" ht="15.75" thickBot="1" x14ac:dyDescent="0.3">
      <c r="A4838" s="402" t="s">
        <v>17</v>
      </c>
      <c r="B4838" s="268">
        <v>44094</v>
      </c>
      <c r="C4838" s="1">
        <v>590</v>
      </c>
      <c r="D4838" s="39">
        <f t="shared" si="404"/>
        <v>18850</v>
      </c>
      <c r="E4838" s="1">
        <f>2+2+2+2</f>
        <v>8</v>
      </c>
      <c r="F4838" s="522">
        <f t="shared" si="405"/>
        <v>179</v>
      </c>
      <c r="G4838" s="395"/>
      <c r="H4838" s="395"/>
      <c r="J4838" s="42"/>
    </row>
    <row r="4839" spans="1:10" s="393" customFormat="1" ht="15.75" thickBot="1" x14ac:dyDescent="0.3">
      <c r="A4839" s="402" t="s">
        <v>23</v>
      </c>
      <c r="B4839" s="268">
        <v>44094</v>
      </c>
      <c r="C4839" s="1">
        <v>1</v>
      </c>
      <c r="D4839" s="39">
        <f t="shared" si="404"/>
        <v>70</v>
      </c>
      <c r="E4839" s="1"/>
      <c r="F4839" s="522">
        <f t="shared" si="405"/>
        <v>2</v>
      </c>
      <c r="G4839" s="395"/>
      <c r="H4839" s="395"/>
      <c r="J4839" s="42"/>
    </row>
    <row r="4840" spans="1:10" s="393" customFormat="1" ht="15.75" thickBot="1" x14ac:dyDescent="0.3">
      <c r="A4840" s="402" t="s">
        <v>19</v>
      </c>
      <c r="B4840" s="268">
        <v>44094</v>
      </c>
      <c r="C4840" s="1">
        <v>155</v>
      </c>
      <c r="D4840" s="39">
        <f>C4840+D4816</f>
        <v>6012</v>
      </c>
      <c r="E4840" s="1">
        <f>2+1</f>
        <v>3</v>
      </c>
      <c r="F4840" s="522">
        <f t="shared" si="405"/>
        <v>73</v>
      </c>
      <c r="G4840" s="395"/>
      <c r="H4840" s="395"/>
      <c r="J4840" s="42"/>
    </row>
    <row r="4841" spans="1:10" s="393" customFormat="1" ht="15.75" thickBot="1" x14ac:dyDescent="0.3">
      <c r="A4841" s="402" t="s">
        <v>18</v>
      </c>
      <c r="B4841" s="268">
        <v>44094</v>
      </c>
      <c r="C4841" s="1">
        <v>132</v>
      </c>
      <c r="D4841" s="39">
        <f>C4841+D4817</f>
        <v>10346</v>
      </c>
      <c r="E4841" s="1"/>
      <c r="F4841" s="522">
        <f t="shared" si="405"/>
        <v>195</v>
      </c>
      <c r="G4841" s="395"/>
      <c r="H4841" s="395"/>
      <c r="J4841" s="42"/>
    </row>
    <row r="4842" spans="1:10" s="393" customFormat="1" ht="15.75" thickBot="1" x14ac:dyDescent="0.3">
      <c r="A4842" s="402" t="s">
        <v>34</v>
      </c>
      <c r="B4842" s="268">
        <v>44094</v>
      </c>
      <c r="C4842" s="1">
        <v>339</v>
      </c>
      <c r="D4842" s="39">
        <f>C4842+D4818</f>
        <v>9268</v>
      </c>
      <c r="E4842" s="1">
        <f>2+3+8+3</f>
        <v>16</v>
      </c>
      <c r="F4842" s="522">
        <f>E4842+F4818</f>
        <v>171</v>
      </c>
      <c r="G4842" s="395"/>
      <c r="H4842" s="395"/>
      <c r="J4842" s="42"/>
    </row>
    <row r="4843" spans="1:10" s="393" customFormat="1" ht="15.75" thickBot="1" x14ac:dyDescent="0.3">
      <c r="A4843" s="402" t="s">
        <v>35</v>
      </c>
      <c r="B4843" s="268">
        <v>44094</v>
      </c>
      <c r="C4843" s="1">
        <v>8</v>
      </c>
      <c r="D4843" s="39">
        <f t="shared" ref="D4843:D4849" si="406">C4843+D4819</f>
        <v>472</v>
      </c>
      <c r="E4843" s="1"/>
      <c r="F4843" s="522">
        <f>E4843+F4819</f>
        <v>21</v>
      </c>
      <c r="G4843" s="395"/>
      <c r="H4843" s="395"/>
      <c r="J4843" s="42"/>
    </row>
    <row r="4844" spans="1:10" s="393" customFormat="1" ht="15.75" thickBot="1" x14ac:dyDescent="0.3">
      <c r="A4844" s="402" t="s">
        <v>36</v>
      </c>
      <c r="B4844" s="268">
        <v>44094</v>
      </c>
      <c r="C4844" s="1">
        <v>26</v>
      </c>
      <c r="D4844" s="39">
        <f t="shared" si="406"/>
        <v>698</v>
      </c>
      <c r="E4844" s="1"/>
      <c r="F4844" s="522">
        <f t="shared" si="405"/>
        <v>0</v>
      </c>
      <c r="G4844" s="395"/>
      <c r="H4844" s="395"/>
      <c r="J4844" s="42"/>
    </row>
    <row r="4845" spans="1:10" s="393" customFormat="1" ht="15.75" thickBot="1" x14ac:dyDescent="0.3">
      <c r="A4845" s="402" t="s">
        <v>37</v>
      </c>
      <c r="B4845" s="268">
        <v>44094</v>
      </c>
      <c r="C4845" s="1">
        <v>83</v>
      </c>
      <c r="D4845" s="39">
        <f t="shared" si="406"/>
        <v>3747</v>
      </c>
      <c r="E4845" s="1"/>
      <c r="F4845" s="522">
        <f>E4845+F4821</f>
        <v>44</v>
      </c>
      <c r="G4845" s="395"/>
      <c r="H4845" s="395"/>
      <c r="J4845" s="42"/>
    </row>
    <row r="4846" spans="1:10" s="393" customFormat="1" ht="15.75" thickBot="1" x14ac:dyDescent="0.3">
      <c r="A4846" s="402" t="s">
        <v>22</v>
      </c>
      <c r="B4846" s="268">
        <v>44094</v>
      </c>
      <c r="C4846" s="1">
        <v>877</v>
      </c>
      <c r="D4846" s="39">
        <f t="shared" si="406"/>
        <v>26395</v>
      </c>
      <c r="E4846" s="1">
        <f>1+1+3</f>
        <v>5</v>
      </c>
      <c r="F4846" s="522">
        <f>E4846+F4822</f>
        <v>271</v>
      </c>
      <c r="G4846" s="395"/>
      <c r="H4846" s="395"/>
      <c r="J4846" s="42"/>
    </row>
    <row r="4847" spans="1:10" s="393" customFormat="1" ht="15.75" thickBot="1" x14ac:dyDescent="0.3">
      <c r="A4847" s="402" t="s">
        <v>38</v>
      </c>
      <c r="B4847" s="268">
        <v>44094</v>
      </c>
      <c r="C4847" s="1">
        <v>70</v>
      </c>
      <c r="D4847" s="39">
        <f t="shared" si="406"/>
        <v>2372</v>
      </c>
      <c r="E4847" s="1">
        <f>3+1+1</f>
        <v>5</v>
      </c>
      <c r="F4847" s="522">
        <f t="shared" si="405"/>
        <v>35</v>
      </c>
      <c r="G4847" s="395"/>
      <c r="H4847" s="395"/>
      <c r="J4847" s="42"/>
    </row>
    <row r="4848" spans="1:10" s="393" customFormat="1" ht="15.75" thickBot="1" x14ac:dyDescent="0.3">
      <c r="A4848" s="402" t="s">
        <v>39</v>
      </c>
      <c r="B4848" s="268">
        <v>44094</v>
      </c>
      <c r="C4848" s="1">
        <v>79</v>
      </c>
      <c r="D4848" s="39">
        <f t="shared" si="406"/>
        <v>3197</v>
      </c>
      <c r="E4848" s="1">
        <f>1</f>
        <v>1</v>
      </c>
      <c r="F4848" s="522">
        <f>E4848+F4824</f>
        <v>54</v>
      </c>
      <c r="G4848" s="395"/>
      <c r="H4848" s="395"/>
      <c r="J4848" s="42"/>
    </row>
    <row r="4849" spans="1:10" s="393" customFormat="1" ht="15.75" thickBot="1" x14ac:dyDescent="0.3">
      <c r="A4849" s="404" t="s">
        <v>40</v>
      </c>
      <c r="B4849" s="268">
        <v>44094</v>
      </c>
      <c r="C4849" s="1">
        <v>272</v>
      </c>
      <c r="D4849" s="177">
        <f t="shared" si="406"/>
        <v>9525</v>
      </c>
      <c r="E4849" s="1">
        <f>21+14+11+4</f>
        <v>50</v>
      </c>
      <c r="F4849" s="631">
        <f>E4849+F4825</f>
        <v>101</v>
      </c>
      <c r="G4849" s="395"/>
      <c r="H4849" s="395"/>
      <c r="J4849" s="42"/>
    </row>
    <row r="4850" spans="1:10" s="393" customFormat="1" ht="15.75" thickBot="1" x14ac:dyDescent="0.3">
      <c r="A4850" s="397" t="s">
        <v>16</v>
      </c>
      <c r="B4850" s="268">
        <v>44095</v>
      </c>
      <c r="C4850" s="1">
        <v>3700</v>
      </c>
      <c r="D4850" s="175">
        <f>C4850+D4826</f>
        <v>371980</v>
      </c>
      <c r="E4850" s="1">
        <v>276</v>
      </c>
      <c r="F4850" s="630">
        <f>E4850+F4826</f>
        <v>7953</v>
      </c>
      <c r="G4850" s="395"/>
      <c r="H4850" s="395"/>
      <c r="J4850" s="42"/>
    </row>
    <row r="4851" spans="1:10" s="393" customFormat="1" ht="15.75" thickBot="1" x14ac:dyDescent="0.3">
      <c r="A4851" s="402" t="s">
        <v>43</v>
      </c>
      <c r="B4851" s="268">
        <v>44095</v>
      </c>
      <c r="C4851" s="1">
        <v>678</v>
      </c>
      <c r="D4851" s="39">
        <f t="shared" ref="D4851:D4863" si="407">C4851+D4827</f>
        <v>117952</v>
      </c>
      <c r="E4851" s="1">
        <v>30</v>
      </c>
      <c r="F4851" s="522">
        <f>E4851+F4827</f>
        <v>2933</v>
      </c>
      <c r="G4851" s="395"/>
      <c r="H4851" s="395"/>
      <c r="J4851" s="42"/>
    </row>
    <row r="4852" spans="1:10" s="393" customFormat="1" ht="15.75" thickBot="1" x14ac:dyDescent="0.3">
      <c r="A4852" s="402" t="s">
        <v>28</v>
      </c>
      <c r="B4852" s="268">
        <v>44095</v>
      </c>
      <c r="C4852" s="1">
        <v>1</v>
      </c>
      <c r="D4852" s="39">
        <f t="shared" si="407"/>
        <v>192</v>
      </c>
      <c r="E4852" s="1"/>
      <c r="F4852" s="522">
        <f>E4852+F4828</f>
        <v>0</v>
      </c>
      <c r="G4852" s="395"/>
      <c r="H4852" s="395"/>
      <c r="J4852" s="42"/>
    </row>
    <row r="4853" spans="1:10" s="393" customFormat="1" ht="15.75" thickBot="1" x14ac:dyDescent="0.3">
      <c r="A4853" s="402" t="s">
        <v>15</v>
      </c>
      <c r="B4853" s="268">
        <v>44095</v>
      </c>
      <c r="C4853" s="1">
        <v>69</v>
      </c>
      <c r="D4853" s="39">
        <f t="shared" si="407"/>
        <v>7479</v>
      </c>
      <c r="E4853" s="1">
        <v>7</v>
      </c>
      <c r="F4853" s="522">
        <f t="shared" ref="F4853:F4871" si="408">E4853+F4829</f>
        <v>262</v>
      </c>
      <c r="G4853" s="395"/>
      <c r="H4853" s="395"/>
      <c r="J4853" s="42"/>
    </row>
    <row r="4854" spans="1:10" s="393" customFormat="1" ht="15.75" thickBot="1" x14ac:dyDescent="0.3">
      <c r="A4854" s="402" t="s">
        <v>29</v>
      </c>
      <c r="B4854" s="268">
        <v>44095</v>
      </c>
      <c r="C4854" s="1">
        <v>116</v>
      </c>
      <c r="D4854" s="39">
        <f t="shared" si="407"/>
        <v>2423</v>
      </c>
      <c r="E4854" s="1"/>
      <c r="F4854" s="522">
        <f t="shared" si="408"/>
        <v>25</v>
      </c>
      <c r="G4854" s="395"/>
      <c r="H4854" s="395"/>
      <c r="J4854" s="42"/>
    </row>
    <row r="4855" spans="1:10" s="393" customFormat="1" ht="15.75" thickBot="1" x14ac:dyDescent="0.3">
      <c r="A4855" s="402" t="s">
        <v>20</v>
      </c>
      <c r="B4855" s="268">
        <v>44095</v>
      </c>
      <c r="C4855" s="1">
        <v>770</v>
      </c>
      <c r="D4855" s="39">
        <f t="shared" si="407"/>
        <v>19978</v>
      </c>
      <c r="E4855" s="1">
        <v>5</v>
      </c>
      <c r="F4855" s="522">
        <f t="shared" si="408"/>
        <v>260</v>
      </c>
      <c r="G4855" s="395"/>
      <c r="H4855" s="395"/>
      <c r="J4855" s="42"/>
    </row>
    <row r="4856" spans="1:10" s="393" customFormat="1" ht="15.75" thickBot="1" x14ac:dyDescent="0.3">
      <c r="A4856" s="402" t="s">
        <v>30</v>
      </c>
      <c r="B4856" s="268">
        <v>44095</v>
      </c>
      <c r="C4856" s="1">
        <v>61</v>
      </c>
      <c r="D4856" s="39">
        <f t="shared" si="407"/>
        <v>1029</v>
      </c>
      <c r="E4856" s="1">
        <v>1</v>
      </c>
      <c r="F4856" s="522">
        <f>E4856+F4832</f>
        <v>15</v>
      </c>
      <c r="G4856" s="395"/>
      <c r="H4856" s="395"/>
      <c r="J4856" s="42"/>
    </row>
    <row r="4857" spans="1:10" ht="15.75" thickBot="1" x14ac:dyDescent="0.3">
      <c r="A4857" s="402" t="s">
        <v>31</v>
      </c>
      <c r="B4857" s="268">
        <v>44095</v>
      </c>
      <c r="C4857" s="1">
        <v>85</v>
      </c>
      <c r="D4857" s="39">
        <f t="shared" si="407"/>
        <v>6291</v>
      </c>
      <c r="E4857" s="1">
        <v>3</v>
      </c>
      <c r="F4857" s="522">
        <f>E4857+F4833</f>
        <v>111</v>
      </c>
    </row>
    <row r="4858" spans="1:10" s="393" customFormat="1" ht="15.75" thickBot="1" x14ac:dyDescent="0.3">
      <c r="A4858" s="402" t="s">
        <v>41</v>
      </c>
      <c r="B4858" s="268">
        <v>44095</v>
      </c>
      <c r="C4858" s="1">
        <v>0</v>
      </c>
      <c r="D4858" s="39">
        <f t="shared" si="407"/>
        <v>101</v>
      </c>
      <c r="E4858" s="1"/>
      <c r="F4858" s="522">
        <f>E4858+F4834</f>
        <v>1</v>
      </c>
      <c r="G4858" s="395"/>
      <c r="H4858" s="395"/>
      <c r="J4858" s="42"/>
    </row>
    <row r="4859" spans="1:10" s="393" customFormat="1" ht="15.75" thickBot="1" x14ac:dyDescent="0.3">
      <c r="A4859" s="402" t="s">
        <v>32</v>
      </c>
      <c r="B4859" s="268">
        <v>44095</v>
      </c>
      <c r="C4859" s="1">
        <v>101</v>
      </c>
      <c r="D4859" s="39">
        <f t="shared" si="407"/>
        <v>14251</v>
      </c>
      <c r="E4859" s="1">
        <v>11</v>
      </c>
      <c r="F4859" s="522">
        <f t="shared" si="408"/>
        <v>338</v>
      </c>
      <c r="G4859" s="395"/>
      <c r="H4859" s="395"/>
      <c r="J4859" s="42"/>
    </row>
    <row r="4860" spans="1:10" s="393" customFormat="1" ht="15.75" thickBot="1" x14ac:dyDescent="0.3">
      <c r="A4860" s="402" t="s">
        <v>33</v>
      </c>
      <c r="B4860" s="268">
        <v>44095</v>
      </c>
      <c r="C4860" s="1">
        <v>18</v>
      </c>
      <c r="D4860" s="39">
        <f t="shared" si="407"/>
        <v>586</v>
      </c>
      <c r="E4860" s="1"/>
      <c r="F4860" s="522">
        <f t="shared" si="408"/>
        <v>4</v>
      </c>
      <c r="G4860" s="395"/>
      <c r="H4860" s="395"/>
      <c r="J4860" s="42"/>
    </row>
    <row r="4861" spans="1:10" s="393" customFormat="1" ht="15.75" thickBot="1" x14ac:dyDescent="0.3">
      <c r="A4861" s="402" t="s">
        <v>21</v>
      </c>
      <c r="B4861" s="268">
        <v>44095</v>
      </c>
      <c r="C4861" s="1">
        <v>350</v>
      </c>
      <c r="D4861" s="39">
        <f t="shared" si="407"/>
        <v>4100</v>
      </c>
      <c r="E4861" s="1">
        <v>2</v>
      </c>
      <c r="F4861" s="522">
        <f t="shared" si="408"/>
        <v>101</v>
      </c>
      <c r="G4861" s="395"/>
      <c r="H4861" s="395"/>
      <c r="J4861" s="42"/>
    </row>
    <row r="4862" spans="1:10" s="393" customFormat="1" ht="15.75" thickBot="1" x14ac:dyDescent="0.3">
      <c r="A4862" s="402" t="s">
        <v>17</v>
      </c>
      <c r="B4862" s="268">
        <v>44095</v>
      </c>
      <c r="C4862" s="1">
        <v>599</v>
      </c>
      <c r="D4862" s="39">
        <f t="shared" si="407"/>
        <v>19449</v>
      </c>
      <c r="E4862" s="1">
        <v>6</v>
      </c>
      <c r="F4862" s="522">
        <f t="shared" si="408"/>
        <v>185</v>
      </c>
      <c r="G4862" s="395"/>
      <c r="H4862" s="395"/>
      <c r="J4862" s="42"/>
    </row>
    <row r="4863" spans="1:10" s="393" customFormat="1" ht="15.75" thickBot="1" x14ac:dyDescent="0.3">
      <c r="A4863" s="402" t="s">
        <v>23</v>
      </c>
      <c r="B4863" s="268">
        <v>44095</v>
      </c>
      <c r="C4863" s="1">
        <v>0</v>
      </c>
      <c r="D4863" s="39">
        <f t="shared" si="407"/>
        <v>70</v>
      </c>
      <c r="E4863" s="1"/>
      <c r="F4863" s="522">
        <f t="shared" si="408"/>
        <v>2</v>
      </c>
      <c r="G4863" s="395"/>
      <c r="H4863" s="395"/>
      <c r="J4863" s="42"/>
    </row>
    <row r="4864" spans="1:10" s="393" customFormat="1" ht="15.75" thickBot="1" x14ac:dyDescent="0.3">
      <c r="A4864" s="402" t="s">
        <v>19</v>
      </c>
      <c r="B4864" s="268">
        <v>44095</v>
      </c>
      <c r="C4864" s="1">
        <v>211</v>
      </c>
      <c r="D4864" s="39">
        <f>C4864+D4840</f>
        <v>6223</v>
      </c>
      <c r="E4864" s="1">
        <v>13</v>
      </c>
      <c r="F4864" s="522">
        <f t="shared" si="408"/>
        <v>86</v>
      </c>
      <c r="G4864" s="395"/>
      <c r="H4864" s="395"/>
      <c r="J4864" s="42"/>
    </row>
    <row r="4865" spans="1:10" s="393" customFormat="1" ht="15.75" thickBot="1" x14ac:dyDescent="0.3">
      <c r="A4865" s="402" t="s">
        <v>18</v>
      </c>
      <c r="B4865" s="268">
        <v>44095</v>
      </c>
      <c r="C4865" s="1">
        <v>132</v>
      </c>
      <c r="D4865" s="39">
        <f>C4865+D4841</f>
        <v>10478</v>
      </c>
      <c r="E4865" s="1">
        <v>21</v>
      </c>
      <c r="F4865" s="522">
        <f t="shared" si="408"/>
        <v>216</v>
      </c>
      <c r="G4865" s="395"/>
      <c r="H4865" s="395"/>
      <c r="J4865" s="42"/>
    </row>
    <row r="4866" spans="1:10" s="393" customFormat="1" ht="15.75" thickBot="1" x14ac:dyDescent="0.3">
      <c r="A4866" s="402" t="s">
        <v>34</v>
      </c>
      <c r="B4866" s="268">
        <v>44095</v>
      </c>
      <c r="C4866" s="1">
        <v>138</v>
      </c>
      <c r="D4866" s="39">
        <f>C4866+D4842</f>
        <v>9406</v>
      </c>
      <c r="E4866" s="1">
        <v>23</v>
      </c>
      <c r="F4866" s="522">
        <f>E4866+F4842</f>
        <v>194</v>
      </c>
      <c r="G4866" s="395"/>
      <c r="H4866" s="395"/>
      <c r="J4866" s="42"/>
    </row>
    <row r="4867" spans="1:10" s="393" customFormat="1" ht="15.75" thickBot="1" x14ac:dyDescent="0.3">
      <c r="A4867" s="402" t="s">
        <v>35</v>
      </c>
      <c r="B4867" s="268">
        <v>44095</v>
      </c>
      <c r="C4867" s="1">
        <v>18</v>
      </c>
      <c r="D4867" s="39">
        <f t="shared" ref="D4867:D4873" si="409">C4867+D4843</f>
        <v>490</v>
      </c>
      <c r="E4867" s="1"/>
      <c r="F4867" s="522">
        <f>E4867+F4843</f>
        <v>21</v>
      </c>
      <c r="G4867" s="395"/>
      <c r="H4867" s="395"/>
      <c r="J4867" s="42"/>
    </row>
    <row r="4868" spans="1:10" s="393" customFormat="1" ht="15.75" thickBot="1" x14ac:dyDescent="0.3">
      <c r="A4868" s="402" t="s">
        <v>36</v>
      </c>
      <c r="B4868" s="268">
        <v>44095</v>
      </c>
      <c r="C4868" s="1">
        <v>83</v>
      </c>
      <c r="D4868" s="39">
        <f t="shared" si="409"/>
        <v>781</v>
      </c>
      <c r="E4868" s="1"/>
      <c r="F4868" s="522">
        <f t="shared" si="408"/>
        <v>0</v>
      </c>
      <c r="G4868" s="395"/>
      <c r="H4868" s="395"/>
      <c r="J4868" s="42"/>
    </row>
    <row r="4869" spans="1:10" s="393" customFormat="1" ht="15.75" thickBot="1" x14ac:dyDescent="0.3">
      <c r="A4869" s="402" t="s">
        <v>37</v>
      </c>
      <c r="B4869" s="268">
        <v>44095</v>
      </c>
      <c r="C4869" s="1">
        <v>95</v>
      </c>
      <c r="D4869" s="39">
        <f t="shared" si="409"/>
        <v>3842</v>
      </c>
      <c r="E4869" s="1">
        <v>1</v>
      </c>
      <c r="F4869" s="522">
        <f>E4869+F4845</f>
        <v>45</v>
      </c>
      <c r="G4869" s="395"/>
      <c r="H4869" s="395"/>
      <c r="J4869" s="42"/>
    </row>
    <row r="4870" spans="1:10" s="393" customFormat="1" ht="15.75" thickBot="1" x14ac:dyDescent="0.3">
      <c r="A4870" s="402" t="s">
        <v>22</v>
      </c>
      <c r="B4870" s="268">
        <v>44095</v>
      </c>
      <c r="C4870" s="1">
        <v>1215</v>
      </c>
      <c r="D4870" s="39">
        <f t="shared" si="409"/>
        <v>27610</v>
      </c>
      <c r="E4870" s="1">
        <v>27</v>
      </c>
      <c r="F4870" s="522">
        <f>E4870+F4846</f>
        <v>298</v>
      </c>
      <c r="G4870" s="395"/>
      <c r="H4870" s="395"/>
      <c r="J4870" s="42"/>
    </row>
    <row r="4871" spans="1:10" s="393" customFormat="1" ht="15.75" thickBot="1" x14ac:dyDescent="0.3">
      <c r="A4871" s="402" t="s">
        <v>38</v>
      </c>
      <c r="B4871" s="268">
        <v>44095</v>
      </c>
      <c r="C4871" s="1">
        <v>53</v>
      </c>
      <c r="D4871" s="39">
        <f t="shared" si="409"/>
        <v>2425</v>
      </c>
      <c r="E4871" s="1">
        <v>2</v>
      </c>
      <c r="F4871" s="522">
        <f t="shared" si="408"/>
        <v>37</v>
      </c>
      <c r="G4871" s="395"/>
      <c r="H4871" s="395"/>
      <c r="J4871" s="42"/>
    </row>
    <row r="4872" spans="1:10" s="393" customFormat="1" ht="15.75" thickBot="1" x14ac:dyDescent="0.3">
      <c r="A4872" s="402" t="s">
        <v>39</v>
      </c>
      <c r="B4872" s="268">
        <v>44095</v>
      </c>
      <c r="C4872" s="1">
        <v>81</v>
      </c>
      <c r="D4872" s="39">
        <f t="shared" si="409"/>
        <v>3278</v>
      </c>
      <c r="E4872" s="1">
        <v>1</v>
      </c>
      <c r="F4872" s="522">
        <f>E4872+F4848</f>
        <v>55</v>
      </c>
      <c r="G4872" s="395"/>
      <c r="H4872" s="395"/>
      <c r="J4872" s="42"/>
    </row>
    <row r="4873" spans="1:10" s="393" customFormat="1" ht="15.75" thickBot="1" x14ac:dyDescent="0.3">
      <c r="A4873" s="404" t="s">
        <v>40</v>
      </c>
      <c r="B4873" s="268">
        <v>44095</v>
      </c>
      <c r="C4873" s="1">
        <v>208</v>
      </c>
      <c r="D4873" s="177">
        <f t="shared" si="409"/>
        <v>9733</v>
      </c>
      <c r="E4873" s="1"/>
      <c r="F4873" s="631">
        <f>E4873+F4849</f>
        <v>101</v>
      </c>
      <c r="G4873" s="395"/>
      <c r="H4873" s="395"/>
      <c r="J4873" s="42"/>
    </row>
    <row r="4874" spans="1:10" s="393" customFormat="1" ht="15.75" thickBot="1" x14ac:dyDescent="0.3">
      <c r="A4874" s="397" t="s">
        <v>16</v>
      </c>
      <c r="B4874" s="268">
        <v>44096</v>
      </c>
      <c r="C4874" s="1">
        <v>5344</v>
      </c>
      <c r="D4874" s="175">
        <f>C4874+D4850</f>
        <v>377324</v>
      </c>
      <c r="E4874" s="1">
        <f>179+158</f>
        <v>337</v>
      </c>
      <c r="F4874" s="630">
        <f>E4874+F4850</f>
        <v>8290</v>
      </c>
      <c r="G4874" s="395"/>
      <c r="H4874" s="395"/>
      <c r="J4874" s="42"/>
    </row>
    <row r="4875" spans="1:10" s="393" customFormat="1" ht="15.75" thickBot="1" x14ac:dyDescent="0.3">
      <c r="A4875" s="402" t="s">
        <v>43</v>
      </c>
      <c r="B4875" s="268">
        <v>44096</v>
      </c>
      <c r="C4875" s="1">
        <v>927</v>
      </c>
      <c r="D4875" s="39">
        <f t="shared" ref="D4875:D4887" si="410">C4875+D4851</f>
        <v>118879</v>
      </c>
      <c r="E4875" s="1">
        <f>24+20</f>
        <v>44</v>
      </c>
      <c r="F4875" s="522">
        <f>E4875+F4851</f>
        <v>2977</v>
      </c>
      <c r="G4875" s="395"/>
      <c r="H4875" s="395"/>
      <c r="J4875" s="42"/>
    </row>
    <row r="4876" spans="1:10" s="393" customFormat="1" ht="15.75" thickBot="1" x14ac:dyDescent="0.3">
      <c r="A4876" s="402" t="s">
        <v>28</v>
      </c>
      <c r="B4876" s="268">
        <v>44096</v>
      </c>
      <c r="C4876" s="1">
        <v>-5</v>
      </c>
      <c r="D4876" s="39">
        <f t="shared" si="410"/>
        <v>187</v>
      </c>
      <c r="E4876" s="1"/>
      <c r="F4876" s="522">
        <f>E4876+F4852</f>
        <v>0</v>
      </c>
      <c r="G4876" s="395"/>
      <c r="H4876" s="395"/>
      <c r="J4876" s="42"/>
    </row>
    <row r="4877" spans="1:10" s="393" customFormat="1" ht="15.75" thickBot="1" x14ac:dyDescent="0.3">
      <c r="A4877" s="402" t="s">
        <v>15</v>
      </c>
      <c r="B4877" s="268">
        <v>44096</v>
      </c>
      <c r="C4877" s="1">
        <v>94</v>
      </c>
      <c r="D4877" s="39">
        <f t="shared" si="410"/>
        <v>7573</v>
      </c>
      <c r="E4877" s="1"/>
      <c r="F4877" s="522">
        <f t="shared" ref="F4877:F4895" si="411">E4877+F4853</f>
        <v>262</v>
      </c>
      <c r="G4877" s="395"/>
      <c r="H4877" s="395"/>
      <c r="J4877" s="42"/>
    </row>
    <row r="4878" spans="1:10" s="393" customFormat="1" ht="15.75" thickBot="1" x14ac:dyDescent="0.3">
      <c r="A4878" s="402" t="s">
        <v>29</v>
      </c>
      <c r="B4878" s="268">
        <v>44096</v>
      </c>
      <c r="C4878" s="1">
        <v>132</v>
      </c>
      <c r="D4878" s="39">
        <f t="shared" si="410"/>
        <v>2555</v>
      </c>
      <c r="E4878" s="1">
        <f>1+1</f>
        <v>2</v>
      </c>
      <c r="F4878" s="522">
        <f t="shared" si="411"/>
        <v>27</v>
      </c>
      <c r="G4878" s="395"/>
      <c r="H4878" s="395"/>
      <c r="J4878" s="42"/>
    </row>
    <row r="4879" spans="1:10" s="393" customFormat="1" ht="15.75" thickBot="1" x14ac:dyDescent="0.3">
      <c r="A4879" s="402" t="s">
        <v>20</v>
      </c>
      <c r="B4879" s="268">
        <v>44096</v>
      </c>
      <c r="C4879" s="1">
        <v>1152</v>
      </c>
      <c r="D4879" s="39">
        <f t="shared" si="410"/>
        <v>21130</v>
      </c>
      <c r="E4879" s="1">
        <f>4+5</f>
        <v>9</v>
      </c>
      <c r="F4879" s="522">
        <f t="shared" si="411"/>
        <v>269</v>
      </c>
      <c r="G4879" s="395"/>
      <c r="H4879" s="395"/>
      <c r="J4879" s="42"/>
    </row>
    <row r="4880" spans="1:10" s="393" customFormat="1" ht="15.75" thickBot="1" x14ac:dyDescent="0.3">
      <c r="A4880" s="402" t="s">
        <v>30</v>
      </c>
      <c r="B4880" s="268">
        <v>44096</v>
      </c>
      <c r="C4880" s="1">
        <v>30</v>
      </c>
      <c r="D4880" s="39">
        <f t="shared" si="410"/>
        <v>1059</v>
      </c>
      <c r="E4880" s="1"/>
      <c r="F4880" s="522">
        <f>E4880+F4856</f>
        <v>15</v>
      </c>
      <c r="G4880" s="395"/>
      <c r="H4880" s="395"/>
      <c r="J4880" s="42"/>
    </row>
    <row r="4881" spans="1:10" ht="15.75" thickBot="1" x14ac:dyDescent="0.3">
      <c r="A4881" s="402" t="s">
        <v>31</v>
      </c>
      <c r="B4881" s="268">
        <v>44096</v>
      </c>
      <c r="C4881" s="1">
        <v>121</v>
      </c>
      <c r="D4881" s="39">
        <f t="shared" si="410"/>
        <v>6412</v>
      </c>
      <c r="E4881" s="1">
        <f>6+2</f>
        <v>8</v>
      </c>
      <c r="F4881" s="522">
        <f>E4881+F4857</f>
        <v>119</v>
      </c>
    </row>
    <row r="4882" spans="1:10" s="393" customFormat="1" ht="15.75" thickBot="1" x14ac:dyDescent="0.3">
      <c r="A4882" s="402" t="s">
        <v>41</v>
      </c>
      <c r="B4882" s="268">
        <v>44096</v>
      </c>
      <c r="C4882" s="1">
        <v>0</v>
      </c>
      <c r="D4882" s="39">
        <f t="shared" si="410"/>
        <v>101</v>
      </c>
      <c r="E4882" s="1"/>
      <c r="F4882" s="522">
        <f>E4882+F4858</f>
        <v>1</v>
      </c>
      <c r="G4882" s="395"/>
      <c r="H4882" s="395"/>
      <c r="J4882" s="42"/>
    </row>
    <row r="4883" spans="1:10" s="393" customFormat="1" ht="15.75" thickBot="1" x14ac:dyDescent="0.3">
      <c r="A4883" s="402" t="s">
        <v>32</v>
      </c>
      <c r="B4883" s="268">
        <v>44096</v>
      </c>
      <c r="C4883" s="1">
        <v>99</v>
      </c>
      <c r="D4883" s="39">
        <f t="shared" si="410"/>
        <v>14350</v>
      </c>
      <c r="E4883" s="1">
        <f>8+5</f>
        <v>13</v>
      </c>
      <c r="F4883" s="522">
        <f t="shared" si="411"/>
        <v>351</v>
      </c>
      <c r="G4883" s="395"/>
      <c r="H4883" s="395"/>
      <c r="J4883" s="42"/>
    </row>
    <row r="4884" spans="1:10" s="393" customFormat="1" ht="15.75" thickBot="1" x14ac:dyDescent="0.3">
      <c r="A4884" s="402" t="s">
        <v>33</v>
      </c>
      <c r="B4884" s="268">
        <v>44096</v>
      </c>
      <c r="C4884" s="1">
        <v>22</v>
      </c>
      <c r="D4884" s="39">
        <f t="shared" si="410"/>
        <v>608</v>
      </c>
      <c r="E4884" s="1"/>
      <c r="F4884" s="522">
        <f t="shared" si="411"/>
        <v>4</v>
      </c>
      <c r="G4884" s="395"/>
      <c r="H4884" s="395"/>
      <c r="J4884" s="42"/>
    </row>
    <row r="4885" spans="1:10" s="393" customFormat="1" ht="15.75" thickBot="1" x14ac:dyDescent="0.3">
      <c r="A4885" s="402" t="s">
        <v>21</v>
      </c>
      <c r="B4885" s="268">
        <v>44096</v>
      </c>
      <c r="C4885" s="1">
        <v>120</v>
      </c>
      <c r="D4885" s="39">
        <f t="shared" si="410"/>
        <v>4220</v>
      </c>
      <c r="E4885" s="1"/>
      <c r="F4885" s="522">
        <f t="shared" si="411"/>
        <v>101</v>
      </c>
      <c r="G4885" s="395"/>
      <c r="H4885" s="395"/>
      <c r="J4885" s="42"/>
    </row>
    <row r="4886" spans="1:10" s="393" customFormat="1" ht="15.75" thickBot="1" x14ac:dyDescent="0.3">
      <c r="A4886" s="402" t="s">
        <v>17</v>
      </c>
      <c r="B4886" s="268">
        <v>44096</v>
      </c>
      <c r="C4886" s="1">
        <v>426</v>
      </c>
      <c r="D4886" s="39">
        <f t="shared" si="410"/>
        <v>19875</v>
      </c>
      <c r="E4886" s="1">
        <f>5+5</f>
        <v>10</v>
      </c>
      <c r="F4886" s="522">
        <f t="shared" si="411"/>
        <v>195</v>
      </c>
      <c r="G4886" s="395"/>
      <c r="H4886" s="395"/>
      <c r="J4886" s="42"/>
    </row>
    <row r="4887" spans="1:10" s="393" customFormat="1" ht="15.75" thickBot="1" x14ac:dyDescent="0.3">
      <c r="A4887" s="402" t="s">
        <v>23</v>
      </c>
      <c r="B4887" s="268">
        <v>44096</v>
      </c>
      <c r="C4887" s="1">
        <v>8</v>
      </c>
      <c r="D4887" s="39">
        <f t="shared" si="410"/>
        <v>78</v>
      </c>
      <c r="E4887" s="1"/>
      <c r="F4887" s="522">
        <f t="shared" si="411"/>
        <v>2</v>
      </c>
      <c r="G4887" s="395"/>
      <c r="H4887" s="395"/>
      <c r="J4887" s="42"/>
    </row>
    <row r="4888" spans="1:10" s="393" customFormat="1" ht="15.75" thickBot="1" x14ac:dyDescent="0.3">
      <c r="A4888" s="402" t="s">
        <v>19</v>
      </c>
      <c r="B4888" s="268">
        <v>44096</v>
      </c>
      <c r="C4888" s="1">
        <v>218</v>
      </c>
      <c r="D4888" s="39">
        <f>C4888+D4864</f>
        <v>6441</v>
      </c>
      <c r="E4888" s="1">
        <f>4+2</f>
        <v>6</v>
      </c>
      <c r="F4888" s="522">
        <f t="shared" si="411"/>
        <v>92</v>
      </c>
      <c r="G4888" s="395"/>
      <c r="H4888" s="395"/>
      <c r="J4888" s="42"/>
    </row>
    <row r="4889" spans="1:10" s="393" customFormat="1" ht="15.75" thickBot="1" x14ac:dyDescent="0.3">
      <c r="A4889" s="402" t="s">
        <v>18</v>
      </c>
      <c r="B4889" s="268">
        <v>44096</v>
      </c>
      <c r="C4889" s="1">
        <v>251</v>
      </c>
      <c r="D4889" s="39">
        <f>C4889+D4865</f>
        <v>10729</v>
      </c>
      <c r="E4889" s="1">
        <f>8+4</f>
        <v>12</v>
      </c>
      <c r="F4889" s="522">
        <f t="shared" si="411"/>
        <v>228</v>
      </c>
      <c r="G4889" s="395"/>
      <c r="H4889" s="395"/>
      <c r="J4889" s="42"/>
    </row>
    <row r="4890" spans="1:10" s="393" customFormat="1" ht="15.75" thickBot="1" x14ac:dyDescent="0.3">
      <c r="A4890" s="402" t="s">
        <v>34</v>
      </c>
      <c r="B4890" s="268">
        <v>44096</v>
      </c>
      <c r="C4890" s="1">
        <v>444</v>
      </c>
      <c r="D4890" s="39">
        <f>C4890+D4866</f>
        <v>9850</v>
      </c>
      <c r="E4890" s="1">
        <f>6+6</f>
        <v>12</v>
      </c>
      <c r="F4890" s="522">
        <f>E4890+F4866</f>
        <v>206</v>
      </c>
      <c r="G4890" s="395"/>
      <c r="H4890" s="395"/>
      <c r="J4890" s="42"/>
    </row>
    <row r="4891" spans="1:10" s="393" customFormat="1" ht="15.75" thickBot="1" x14ac:dyDescent="0.3">
      <c r="A4891" s="402" t="s">
        <v>35</v>
      </c>
      <c r="B4891" s="268">
        <v>44096</v>
      </c>
      <c r="C4891" s="1">
        <v>27</v>
      </c>
      <c r="D4891" s="39">
        <f t="shared" ref="D4891:D4897" si="412">C4891+D4867</f>
        <v>517</v>
      </c>
      <c r="E4891" s="1"/>
      <c r="F4891" s="522">
        <f>E4891+F4867</f>
        <v>21</v>
      </c>
      <c r="G4891" s="395"/>
      <c r="H4891" s="395"/>
      <c r="J4891" s="42"/>
    </row>
    <row r="4892" spans="1:10" s="393" customFormat="1" ht="15.75" thickBot="1" x14ac:dyDescent="0.3">
      <c r="A4892" s="402" t="s">
        <v>36</v>
      </c>
      <c r="B4892" s="268">
        <v>44096</v>
      </c>
      <c r="C4892" s="1">
        <v>77</v>
      </c>
      <c r="D4892" s="39">
        <f t="shared" si="412"/>
        <v>858</v>
      </c>
      <c r="E4892" s="1">
        <f>1+2</f>
        <v>3</v>
      </c>
      <c r="F4892" s="522">
        <f t="shared" si="411"/>
        <v>3</v>
      </c>
      <c r="G4892" s="395"/>
      <c r="H4892" s="395"/>
      <c r="J4892" s="42"/>
    </row>
    <row r="4893" spans="1:10" s="393" customFormat="1" ht="15.75" thickBot="1" x14ac:dyDescent="0.3">
      <c r="A4893" s="402" t="s">
        <v>37</v>
      </c>
      <c r="B4893" s="268">
        <v>44096</v>
      </c>
      <c r="C4893" s="1">
        <v>74</v>
      </c>
      <c r="D4893" s="39">
        <f t="shared" si="412"/>
        <v>3916</v>
      </c>
      <c r="E4893" s="1">
        <f>1</f>
        <v>1</v>
      </c>
      <c r="F4893" s="522">
        <f>E4893+F4869</f>
        <v>46</v>
      </c>
      <c r="G4893" s="395"/>
      <c r="H4893" s="395"/>
      <c r="J4893" s="42"/>
    </row>
    <row r="4894" spans="1:10" s="393" customFormat="1" ht="15.75" thickBot="1" x14ac:dyDescent="0.3">
      <c r="A4894" s="402" t="s">
        <v>22</v>
      </c>
      <c r="B4894" s="268">
        <v>44096</v>
      </c>
      <c r="C4894" s="1">
        <v>1592</v>
      </c>
      <c r="D4894" s="39">
        <f t="shared" si="412"/>
        <v>29202</v>
      </c>
      <c r="E4894" s="1">
        <f>3+5</f>
        <v>8</v>
      </c>
      <c r="F4894" s="522">
        <f>E4894+F4870</f>
        <v>306</v>
      </c>
      <c r="G4894" s="395"/>
      <c r="H4894" s="395"/>
      <c r="J4894" s="42"/>
    </row>
    <row r="4895" spans="1:10" s="393" customFormat="1" ht="15.75" thickBot="1" x14ac:dyDescent="0.3">
      <c r="A4895" s="402" t="s">
        <v>38</v>
      </c>
      <c r="B4895" s="268">
        <v>44096</v>
      </c>
      <c r="C4895" s="1">
        <v>75</v>
      </c>
      <c r="D4895" s="39">
        <f t="shared" si="412"/>
        <v>2500</v>
      </c>
      <c r="E4895" s="1">
        <f>1+1</f>
        <v>2</v>
      </c>
      <c r="F4895" s="522">
        <f t="shared" si="411"/>
        <v>39</v>
      </c>
      <c r="G4895" s="395"/>
      <c r="H4895" s="395"/>
      <c r="J4895" s="42"/>
    </row>
    <row r="4896" spans="1:10" s="393" customFormat="1" ht="15.75" thickBot="1" x14ac:dyDescent="0.3">
      <c r="A4896" s="402" t="s">
        <v>39</v>
      </c>
      <c r="B4896" s="268">
        <v>44096</v>
      </c>
      <c r="C4896" s="1">
        <v>78</v>
      </c>
      <c r="D4896" s="39">
        <f t="shared" si="412"/>
        <v>3356</v>
      </c>
      <c r="E4896" s="1">
        <f>1+1</f>
        <v>2</v>
      </c>
      <c r="F4896" s="522">
        <f>E4896+F4872</f>
        <v>57</v>
      </c>
      <c r="G4896" s="395"/>
      <c r="H4896" s="395"/>
      <c r="J4896" s="42"/>
    </row>
    <row r="4897" spans="1:10" s="393" customFormat="1" ht="15.75" thickBot="1" x14ac:dyDescent="0.3">
      <c r="A4897" s="404" t="s">
        <v>40</v>
      </c>
      <c r="B4897" s="268">
        <v>44096</v>
      </c>
      <c r="C4897" s="1">
        <v>721</v>
      </c>
      <c r="D4897" s="177">
        <f t="shared" si="412"/>
        <v>10454</v>
      </c>
      <c r="E4897" s="1"/>
      <c r="F4897" s="631">
        <f>E4897+F4873</f>
        <v>101</v>
      </c>
      <c r="G4897" s="395"/>
      <c r="H4897" s="395"/>
      <c r="J4897" s="42"/>
    </row>
    <row r="4898" spans="1:10" s="393" customFormat="1" ht="15.75" thickBot="1" x14ac:dyDescent="0.3">
      <c r="A4898" s="397" t="s">
        <v>16</v>
      </c>
      <c r="B4898" s="268">
        <v>44097</v>
      </c>
      <c r="C4898" s="1">
        <v>5389</v>
      </c>
      <c r="D4898" s="175">
        <f>C4898+D4874</f>
        <v>382713</v>
      </c>
      <c r="E4898" s="1">
        <f>160+131</f>
        <v>291</v>
      </c>
      <c r="F4898" s="630">
        <f>E4898+F4874</f>
        <v>8581</v>
      </c>
      <c r="G4898" s="395"/>
      <c r="H4898" s="395"/>
      <c r="J4898" s="42"/>
    </row>
    <row r="4899" spans="1:10" s="393" customFormat="1" ht="15.75" thickBot="1" x14ac:dyDescent="0.3">
      <c r="A4899" s="402" t="s">
        <v>43</v>
      </c>
      <c r="B4899" s="268">
        <v>44097</v>
      </c>
      <c r="C4899" s="1">
        <v>929</v>
      </c>
      <c r="D4899" s="39">
        <f t="shared" ref="D4899:D4911" si="413">C4899+D4875</f>
        <v>119808</v>
      </c>
      <c r="E4899" s="1">
        <f>16+18</f>
        <v>34</v>
      </c>
      <c r="F4899" s="522">
        <f>E4899+F4875</f>
        <v>3011</v>
      </c>
      <c r="G4899" s="395"/>
      <c r="H4899" s="395"/>
      <c r="J4899" s="42"/>
    </row>
    <row r="4900" spans="1:10" s="393" customFormat="1" ht="15.75" thickBot="1" x14ac:dyDescent="0.3">
      <c r="A4900" s="402" t="s">
        <v>28</v>
      </c>
      <c r="B4900" s="268">
        <v>44097</v>
      </c>
      <c r="C4900" s="1">
        <v>6</v>
      </c>
      <c r="D4900" s="39">
        <f t="shared" si="413"/>
        <v>193</v>
      </c>
      <c r="E4900" s="1"/>
      <c r="F4900" s="522">
        <f>E4900+F4876</f>
        <v>0</v>
      </c>
      <c r="G4900" s="395"/>
      <c r="H4900" s="395"/>
      <c r="J4900" s="42"/>
    </row>
    <row r="4901" spans="1:10" s="393" customFormat="1" ht="15.75" thickBot="1" x14ac:dyDescent="0.3">
      <c r="A4901" s="402" t="s">
        <v>15</v>
      </c>
      <c r="B4901" s="268">
        <v>44097</v>
      </c>
      <c r="C4901" s="1">
        <v>86</v>
      </c>
      <c r="D4901" s="39">
        <f t="shared" si="413"/>
        <v>7659</v>
      </c>
      <c r="E4901" s="1">
        <f>2+1</f>
        <v>3</v>
      </c>
      <c r="F4901" s="522">
        <f t="shared" ref="F4901:F4919" si="414">E4901+F4877</f>
        <v>265</v>
      </c>
      <c r="G4901" s="395"/>
      <c r="H4901" s="395"/>
      <c r="J4901" s="42"/>
    </row>
    <row r="4902" spans="1:10" s="393" customFormat="1" ht="15.75" thickBot="1" x14ac:dyDescent="0.3">
      <c r="A4902" s="402" t="s">
        <v>29</v>
      </c>
      <c r="B4902" s="268">
        <v>44097</v>
      </c>
      <c r="C4902" s="1">
        <v>203</v>
      </c>
      <c r="D4902" s="39">
        <f t="shared" si="413"/>
        <v>2758</v>
      </c>
      <c r="E4902" s="1">
        <f>1</f>
        <v>1</v>
      </c>
      <c r="F4902" s="522">
        <f t="shared" si="414"/>
        <v>28</v>
      </c>
      <c r="G4902" s="395"/>
      <c r="H4902" s="395"/>
      <c r="J4902" s="42"/>
    </row>
    <row r="4903" spans="1:10" s="393" customFormat="1" ht="15.75" thickBot="1" x14ac:dyDescent="0.3">
      <c r="A4903" s="402" t="s">
        <v>20</v>
      </c>
      <c r="B4903" s="268">
        <v>44097</v>
      </c>
      <c r="C4903" s="1">
        <v>1435</v>
      </c>
      <c r="D4903" s="39">
        <f t="shared" si="413"/>
        <v>22565</v>
      </c>
      <c r="E4903" s="1">
        <f>8+3</f>
        <v>11</v>
      </c>
      <c r="F4903" s="522">
        <f t="shared" si="414"/>
        <v>280</v>
      </c>
      <c r="G4903" s="395"/>
      <c r="H4903" s="395"/>
      <c r="J4903" s="42"/>
    </row>
    <row r="4904" spans="1:10" s="393" customFormat="1" ht="15.75" thickBot="1" x14ac:dyDescent="0.3">
      <c r="A4904" s="402" t="s">
        <v>30</v>
      </c>
      <c r="B4904" s="268">
        <v>44097</v>
      </c>
      <c r="C4904" s="1">
        <v>-45</v>
      </c>
      <c r="D4904" s="39">
        <f t="shared" si="413"/>
        <v>1014</v>
      </c>
      <c r="E4904" s="1"/>
      <c r="F4904" s="522">
        <f>E4904+F4880</f>
        <v>15</v>
      </c>
      <c r="G4904" s="395"/>
      <c r="H4904" s="395"/>
      <c r="J4904" s="42"/>
    </row>
    <row r="4905" spans="1:10" ht="15.75" thickBot="1" x14ac:dyDescent="0.3">
      <c r="A4905" s="402" t="s">
        <v>31</v>
      </c>
      <c r="B4905" s="268">
        <v>44097</v>
      </c>
      <c r="C4905" s="1">
        <v>118</v>
      </c>
      <c r="D4905" s="39">
        <f t="shared" si="413"/>
        <v>6530</v>
      </c>
      <c r="E4905" s="1">
        <f>1+2</f>
        <v>3</v>
      </c>
      <c r="F4905" s="522">
        <f>E4905+F4881</f>
        <v>122</v>
      </c>
    </row>
    <row r="4906" spans="1:10" s="393" customFormat="1" ht="15.75" thickBot="1" x14ac:dyDescent="0.3">
      <c r="A4906" s="402" t="s">
        <v>41</v>
      </c>
      <c r="B4906" s="268">
        <v>44097</v>
      </c>
      <c r="C4906" s="1">
        <v>1</v>
      </c>
      <c r="D4906" s="39">
        <f t="shared" si="413"/>
        <v>102</v>
      </c>
      <c r="E4906" s="1"/>
      <c r="F4906" s="522">
        <f>E4906+F4882</f>
        <v>1</v>
      </c>
      <c r="G4906" s="395"/>
      <c r="H4906" s="395"/>
      <c r="J4906" s="42"/>
    </row>
    <row r="4907" spans="1:10" s="393" customFormat="1" ht="15.75" thickBot="1" x14ac:dyDescent="0.3">
      <c r="A4907" s="402" t="s">
        <v>32</v>
      </c>
      <c r="B4907" s="268">
        <v>44097</v>
      </c>
      <c r="C4907" s="1">
        <v>230</v>
      </c>
      <c r="D4907" s="39">
        <f t="shared" si="413"/>
        <v>14580</v>
      </c>
      <c r="E4907" s="1">
        <f>9+2</f>
        <v>11</v>
      </c>
      <c r="F4907" s="522">
        <f t="shared" si="414"/>
        <v>362</v>
      </c>
      <c r="G4907" s="395"/>
      <c r="H4907" s="395"/>
      <c r="J4907" s="42"/>
    </row>
    <row r="4908" spans="1:10" s="393" customFormat="1" ht="15.75" thickBot="1" x14ac:dyDescent="0.3">
      <c r="A4908" s="402" t="s">
        <v>33</v>
      </c>
      <c r="B4908" s="268">
        <v>44097</v>
      </c>
      <c r="C4908" s="1">
        <v>15</v>
      </c>
      <c r="D4908" s="39">
        <f t="shared" si="413"/>
        <v>623</v>
      </c>
      <c r="E4908" s="1"/>
      <c r="F4908" s="522">
        <f t="shared" si="414"/>
        <v>4</v>
      </c>
      <c r="G4908" s="395"/>
      <c r="H4908" s="395"/>
      <c r="J4908" s="42"/>
    </row>
    <row r="4909" spans="1:10" s="393" customFormat="1" ht="15.75" thickBot="1" x14ac:dyDescent="0.3">
      <c r="A4909" s="402" t="s">
        <v>21</v>
      </c>
      <c r="B4909" s="268">
        <v>44097</v>
      </c>
      <c r="C4909" s="1">
        <v>48</v>
      </c>
      <c r="D4909" s="39">
        <f t="shared" si="413"/>
        <v>4268</v>
      </c>
      <c r="E4909" s="1"/>
      <c r="F4909" s="522">
        <f t="shared" si="414"/>
        <v>101</v>
      </c>
      <c r="G4909" s="395"/>
      <c r="H4909" s="395"/>
      <c r="J4909" s="42"/>
    </row>
    <row r="4910" spans="1:10" s="393" customFormat="1" ht="15.75" thickBot="1" x14ac:dyDescent="0.3">
      <c r="A4910" s="402" t="s">
        <v>17</v>
      </c>
      <c r="B4910" s="268">
        <v>44097</v>
      </c>
      <c r="C4910" s="1">
        <v>528</v>
      </c>
      <c r="D4910" s="39">
        <f t="shared" si="413"/>
        <v>20403</v>
      </c>
      <c r="E4910" s="1">
        <f>7+5</f>
        <v>12</v>
      </c>
      <c r="F4910" s="522">
        <f t="shared" si="414"/>
        <v>207</v>
      </c>
      <c r="G4910" s="395"/>
      <c r="H4910" s="395"/>
      <c r="J4910" s="42"/>
    </row>
    <row r="4911" spans="1:10" s="393" customFormat="1" ht="15.75" thickBot="1" x14ac:dyDescent="0.3">
      <c r="A4911" s="402" t="s">
        <v>23</v>
      </c>
      <c r="B4911" s="268">
        <v>44097</v>
      </c>
      <c r="C4911" s="1">
        <v>4</v>
      </c>
      <c r="D4911" s="39">
        <f t="shared" si="413"/>
        <v>82</v>
      </c>
      <c r="E4911" s="1"/>
      <c r="F4911" s="522">
        <f t="shared" si="414"/>
        <v>2</v>
      </c>
      <c r="G4911" s="395"/>
      <c r="H4911" s="395"/>
      <c r="J4911" s="42"/>
    </row>
    <row r="4912" spans="1:10" s="393" customFormat="1" ht="15.75" thickBot="1" x14ac:dyDescent="0.3">
      <c r="A4912" s="402" t="s">
        <v>19</v>
      </c>
      <c r="B4912" s="268">
        <v>44097</v>
      </c>
      <c r="C4912" s="1">
        <v>176</v>
      </c>
      <c r="D4912" s="39">
        <f>C4912+D4888</f>
        <v>6617</v>
      </c>
      <c r="E4912" s="1">
        <f>4+3</f>
        <v>7</v>
      </c>
      <c r="F4912" s="522">
        <f t="shared" si="414"/>
        <v>99</v>
      </c>
      <c r="G4912" s="395"/>
      <c r="H4912" s="395"/>
      <c r="J4912" s="42"/>
    </row>
    <row r="4913" spans="1:10" s="393" customFormat="1" ht="15.75" thickBot="1" x14ac:dyDescent="0.3">
      <c r="A4913" s="402" t="s">
        <v>18</v>
      </c>
      <c r="B4913" s="268">
        <v>44097</v>
      </c>
      <c r="C4913" s="1">
        <v>272</v>
      </c>
      <c r="D4913" s="39">
        <f>C4913+D4889</f>
        <v>11001</v>
      </c>
      <c r="E4913" s="1">
        <f>5+3</f>
        <v>8</v>
      </c>
      <c r="F4913" s="522">
        <f t="shared" si="414"/>
        <v>236</v>
      </c>
      <c r="G4913" s="395"/>
      <c r="H4913" s="395"/>
      <c r="J4913" s="42"/>
    </row>
    <row r="4914" spans="1:10" s="393" customFormat="1" ht="15.75" thickBot="1" x14ac:dyDescent="0.3">
      <c r="A4914" s="402" t="s">
        <v>34</v>
      </c>
      <c r="B4914" s="268">
        <v>44097</v>
      </c>
      <c r="C4914" s="1">
        <v>347</v>
      </c>
      <c r="D4914" s="39">
        <f>C4914+D4890</f>
        <v>10197</v>
      </c>
      <c r="E4914" s="1">
        <f>12+3</f>
        <v>15</v>
      </c>
      <c r="F4914" s="522">
        <f>E4914+F4890</f>
        <v>221</v>
      </c>
      <c r="G4914" s="395"/>
      <c r="H4914" s="395"/>
      <c r="J4914" s="42"/>
    </row>
    <row r="4915" spans="1:10" s="393" customFormat="1" ht="15.75" thickBot="1" x14ac:dyDescent="0.3">
      <c r="A4915" s="402" t="s">
        <v>35</v>
      </c>
      <c r="B4915" s="268">
        <v>44097</v>
      </c>
      <c r="C4915" s="1">
        <v>19</v>
      </c>
      <c r="D4915" s="39">
        <f t="shared" ref="D4915:D4921" si="415">C4915+D4891</f>
        <v>536</v>
      </c>
      <c r="E4915" s="1">
        <f>1+3</f>
        <v>4</v>
      </c>
      <c r="F4915" s="522">
        <f>E4915+F4891</f>
        <v>25</v>
      </c>
      <c r="G4915" s="395"/>
      <c r="H4915" s="395"/>
      <c r="J4915" s="42"/>
    </row>
    <row r="4916" spans="1:10" s="393" customFormat="1" ht="15.75" thickBot="1" x14ac:dyDescent="0.3">
      <c r="A4916" s="402" t="s">
        <v>36</v>
      </c>
      <c r="B4916" s="268">
        <v>44097</v>
      </c>
      <c r="C4916" s="1">
        <v>62</v>
      </c>
      <c r="D4916" s="39">
        <f t="shared" si="415"/>
        <v>920</v>
      </c>
      <c r="E4916" s="1"/>
      <c r="F4916" s="522">
        <f t="shared" si="414"/>
        <v>3</v>
      </c>
      <c r="G4916" s="395"/>
      <c r="H4916" s="395"/>
      <c r="J4916" s="42"/>
    </row>
    <row r="4917" spans="1:10" s="393" customFormat="1" ht="15.75" thickBot="1" x14ac:dyDescent="0.3">
      <c r="A4917" s="402" t="s">
        <v>37</v>
      </c>
      <c r="B4917" s="268">
        <v>44097</v>
      </c>
      <c r="C4917" s="1">
        <v>114</v>
      </c>
      <c r="D4917" s="39">
        <f t="shared" si="415"/>
        <v>4030</v>
      </c>
      <c r="E4917" s="1">
        <f>1</f>
        <v>1</v>
      </c>
      <c r="F4917" s="522">
        <f>E4917+F4893</f>
        <v>47</v>
      </c>
      <c r="G4917" s="395"/>
      <c r="H4917" s="395"/>
      <c r="J4917" s="42"/>
    </row>
    <row r="4918" spans="1:10" s="393" customFormat="1" ht="15.75" thickBot="1" x14ac:dyDescent="0.3">
      <c r="A4918" s="402" t="s">
        <v>22</v>
      </c>
      <c r="B4918" s="268">
        <v>44097</v>
      </c>
      <c r="C4918" s="1">
        <v>1682</v>
      </c>
      <c r="D4918" s="39">
        <f t="shared" si="415"/>
        <v>30884</v>
      </c>
      <c r="E4918" s="1">
        <f>11+6</f>
        <v>17</v>
      </c>
      <c r="F4918" s="522">
        <f>E4918+F4894</f>
        <v>323</v>
      </c>
      <c r="G4918" s="395"/>
      <c r="H4918" s="395"/>
      <c r="J4918" s="42"/>
    </row>
    <row r="4919" spans="1:10" s="393" customFormat="1" ht="15.75" thickBot="1" x14ac:dyDescent="0.3">
      <c r="A4919" s="402" t="s">
        <v>38</v>
      </c>
      <c r="B4919" s="268">
        <v>44097</v>
      </c>
      <c r="C4919" s="1">
        <v>108</v>
      </c>
      <c r="D4919" s="39">
        <f t="shared" si="415"/>
        <v>2608</v>
      </c>
      <c r="E4919" s="1">
        <f>4</f>
        <v>4</v>
      </c>
      <c r="F4919" s="522">
        <f t="shared" si="414"/>
        <v>43</v>
      </c>
      <c r="G4919" s="395"/>
      <c r="H4919" s="395"/>
      <c r="J4919" s="42"/>
    </row>
    <row r="4920" spans="1:10" s="393" customFormat="1" ht="15.75" thickBot="1" x14ac:dyDescent="0.3">
      <c r="A4920" s="402" t="s">
        <v>39</v>
      </c>
      <c r="B4920" s="268">
        <v>44097</v>
      </c>
      <c r="C4920" s="1">
        <v>79</v>
      </c>
      <c r="D4920" s="39">
        <f t="shared" si="415"/>
        <v>3435</v>
      </c>
      <c r="E4920" s="1">
        <f>2</f>
        <v>2</v>
      </c>
      <c r="F4920" s="522">
        <f>E4920+F4896</f>
        <v>59</v>
      </c>
      <c r="G4920" s="395"/>
      <c r="H4920" s="395"/>
      <c r="J4920" s="42"/>
    </row>
    <row r="4921" spans="1:10" s="393" customFormat="1" ht="15.75" thickBot="1" x14ac:dyDescent="0.3">
      <c r="A4921" s="403" t="s">
        <v>40</v>
      </c>
      <c r="B4921" s="34">
        <v>44097</v>
      </c>
      <c r="C4921" s="234">
        <v>819</v>
      </c>
      <c r="D4921" s="67">
        <f t="shared" si="415"/>
        <v>11273</v>
      </c>
      <c r="E4921" s="234"/>
      <c r="F4921" s="632">
        <f>E4921+F4897</f>
        <v>101</v>
      </c>
      <c r="G4921" s="395"/>
      <c r="H4921" s="395"/>
      <c r="J4921" s="42"/>
    </row>
    <row r="4922" spans="1:10" s="393" customFormat="1" x14ac:dyDescent="0.25">
      <c r="A4922" s="397" t="s">
        <v>16</v>
      </c>
      <c r="B4922" s="267">
        <v>44098</v>
      </c>
      <c r="C4922" s="43">
        <v>6122</v>
      </c>
      <c r="D4922" s="175">
        <f>C4922+D4898</f>
        <v>388835</v>
      </c>
      <c r="E4922" s="43">
        <f>162+117+3</f>
        <v>282</v>
      </c>
      <c r="F4922" s="630">
        <f>E4922+F4898</f>
        <v>8863</v>
      </c>
      <c r="G4922" s="395"/>
      <c r="H4922" s="395"/>
      <c r="J4922" s="42"/>
    </row>
    <row r="4923" spans="1:10" s="393" customFormat="1" x14ac:dyDescent="0.25">
      <c r="A4923" s="402" t="s">
        <v>43</v>
      </c>
      <c r="B4923" s="2">
        <v>44098</v>
      </c>
      <c r="C4923" s="1">
        <v>1009</v>
      </c>
      <c r="D4923" s="39">
        <f t="shared" ref="D4923:D4935" si="416">C4923+D4899</f>
        <v>120817</v>
      </c>
      <c r="E4923" s="1">
        <f>9+10</f>
        <v>19</v>
      </c>
      <c r="F4923" s="522">
        <f>E4923+F4899</f>
        <v>3030</v>
      </c>
      <c r="G4923" s="395"/>
      <c r="H4923" s="395"/>
      <c r="J4923" s="42"/>
    </row>
    <row r="4924" spans="1:10" s="393" customFormat="1" x14ac:dyDescent="0.25">
      <c r="A4924" s="402" t="s">
        <v>28</v>
      </c>
      <c r="B4924" s="2">
        <v>44098</v>
      </c>
      <c r="C4924" s="1">
        <v>2</v>
      </c>
      <c r="D4924" s="39">
        <f t="shared" si="416"/>
        <v>195</v>
      </c>
      <c r="E4924" s="1"/>
      <c r="F4924" s="522">
        <f>E4924+F4900</f>
        <v>0</v>
      </c>
      <c r="G4924" s="395"/>
      <c r="H4924" s="395"/>
      <c r="J4924" s="42"/>
    </row>
    <row r="4925" spans="1:10" s="393" customFormat="1" x14ac:dyDescent="0.25">
      <c r="A4925" s="402" t="s">
        <v>15</v>
      </c>
      <c r="B4925" s="2">
        <v>44098</v>
      </c>
      <c r="C4925" s="1">
        <v>128</v>
      </c>
      <c r="D4925" s="39">
        <f t="shared" si="416"/>
        <v>7787</v>
      </c>
      <c r="E4925" s="1">
        <f>5</f>
        <v>5</v>
      </c>
      <c r="F4925" s="522">
        <f t="shared" ref="F4925:F4943" si="417">E4925+F4901</f>
        <v>270</v>
      </c>
      <c r="G4925" s="395"/>
      <c r="H4925" s="395"/>
      <c r="J4925" s="42"/>
    </row>
    <row r="4926" spans="1:10" s="393" customFormat="1" x14ac:dyDescent="0.25">
      <c r="A4926" s="402" t="s">
        <v>29</v>
      </c>
      <c r="B4926" s="2">
        <v>44098</v>
      </c>
      <c r="C4926" s="1">
        <v>162</v>
      </c>
      <c r="D4926" s="39">
        <f t="shared" si="416"/>
        <v>2920</v>
      </c>
      <c r="E4926" s="1"/>
      <c r="F4926" s="522">
        <f t="shared" si="417"/>
        <v>28</v>
      </c>
      <c r="G4926" s="395"/>
      <c r="H4926" s="395"/>
      <c r="J4926" s="42"/>
    </row>
    <row r="4927" spans="1:10" s="393" customFormat="1" x14ac:dyDescent="0.25">
      <c r="A4927" s="402" t="s">
        <v>20</v>
      </c>
      <c r="B4927" s="2">
        <v>44098</v>
      </c>
      <c r="C4927" s="1">
        <v>1626</v>
      </c>
      <c r="D4927" s="39">
        <f t="shared" si="416"/>
        <v>24191</v>
      </c>
      <c r="E4927" s="1">
        <f>6+7</f>
        <v>13</v>
      </c>
      <c r="F4927" s="522">
        <f t="shared" si="417"/>
        <v>293</v>
      </c>
      <c r="G4927" s="395"/>
      <c r="H4927" s="395"/>
      <c r="J4927" s="42"/>
    </row>
    <row r="4928" spans="1:10" s="393" customFormat="1" x14ac:dyDescent="0.25">
      <c r="A4928" s="402" t="s">
        <v>30</v>
      </c>
      <c r="B4928" s="2">
        <v>44098</v>
      </c>
      <c r="C4928" s="1">
        <v>-4</v>
      </c>
      <c r="D4928" s="39">
        <f t="shared" si="416"/>
        <v>1010</v>
      </c>
      <c r="E4928" s="1">
        <f>1</f>
        <v>1</v>
      </c>
      <c r="F4928" s="522">
        <f>E4928+F4904</f>
        <v>16</v>
      </c>
      <c r="G4928" s="395"/>
      <c r="H4928" s="395"/>
      <c r="J4928" s="42"/>
    </row>
    <row r="4929" spans="1:10" x14ac:dyDescent="0.25">
      <c r="A4929" s="402" t="s">
        <v>31</v>
      </c>
      <c r="B4929" s="2">
        <v>44098</v>
      </c>
      <c r="C4929" s="1">
        <v>115</v>
      </c>
      <c r="D4929" s="39">
        <f t="shared" si="416"/>
        <v>6645</v>
      </c>
      <c r="E4929" s="1">
        <f>2+1</f>
        <v>3</v>
      </c>
      <c r="F4929" s="522">
        <f>E4929+F4905</f>
        <v>125</v>
      </c>
    </row>
    <row r="4930" spans="1:10" s="393" customFormat="1" x14ac:dyDescent="0.25">
      <c r="A4930" s="402" t="s">
        <v>41</v>
      </c>
      <c r="B4930" s="2">
        <v>44098</v>
      </c>
      <c r="C4930" s="1">
        <v>0</v>
      </c>
      <c r="D4930" s="39">
        <f t="shared" si="416"/>
        <v>102</v>
      </c>
      <c r="E4930" s="1"/>
      <c r="F4930" s="522">
        <f>E4930+F4906</f>
        <v>1</v>
      </c>
      <c r="G4930" s="395"/>
      <c r="H4930" s="395"/>
      <c r="J4930" s="42"/>
    </row>
    <row r="4931" spans="1:10" s="393" customFormat="1" x14ac:dyDescent="0.25">
      <c r="A4931" s="402" t="s">
        <v>32</v>
      </c>
      <c r="B4931" s="2">
        <v>44098</v>
      </c>
      <c r="C4931" s="1">
        <v>223</v>
      </c>
      <c r="D4931" s="39">
        <f t="shared" si="416"/>
        <v>14803</v>
      </c>
      <c r="E4931" s="1">
        <f>9+2</f>
        <v>11</v>
      </c>
      <c r="F4931" s="522">
        <f>E4931+F4907</f>
        <v>373</v>
      </c>
      <c r="G4931" s="395"/>
      <c r="H4931" s="395"/>
      <c r="J4931" s="42"/>
    </row>
    <row r="4932" spans="1:10" s="393" customFormat="1" x14ac:dyDescent="0.25">
      <c r="A4932" s="402" t="s">
        <v>33</v>
      </c>
      <c r="B4932" s="2">
        <v>44098</v>
      </c>
      <c r="C4932" s="1">
        <v>34</v>
      </c>
      <c r="D4932" s="39">
        <f t="shared" si="416"/>
        <v>657</v>
      </c>
      <c r="E4932" s="1"/>
      <c r="F4932" s="522">
        <f t="shared" si="417"/>
        <v>4</v>
      </c>
      <c r="G4932" s="395"/>
      <c r="H4932" s="395"/>
      <c r="J4932" s="42"/>
    </row>
    <row r="4933" spans="1:10" s="393" customFormat="1" x14ac:dyDescent="0.25">
      <c r="A4933" s="402" t="s">
        <v>21</v>
      </c>
      <c r="B4933" s="2">
        <v>44098</v>
      </c>
      <c r="C4933" s="1">
        <v>100</v>
      </c>
      <c r="D4933" s="39">
        <f t="shared" si="416"/>
        <v>4368</v>
      </c>
      <c r="E4933" s="1"/>
      <c r="F4933" s="522">
        <f t="shared" si="417"/>
        <v>101</v>
      </c>
      <c r="G4933" s="395"/>
      <c r="H4933" s="395"/>
      <c r="J4933" s="42"/>
    </row>
    <row r="4934" spans="1:10" s="393" customFormat="1" x14ac:dyDescent="0.25">
      <c r="A4934" s="402" t="s">
        <v>17</v>
      </c>
      <c r="B4934" s="2">
        <v>44098</v>
      </c>
      <c r="C4934" s="1">
        <v>656</v>
      </c>
      <c r="D4934" s="39">
        <f t="shared" si="416"/>
        <v>21059</v>
      </c>
      <c r="E4934" s="1">
        <f>2+4</f>
        <v>6</v>
      </c>
      <c r="F4934" s="522">
        <f t="shared" si="417"/>
        <v>213</v>
      </c>
      <c r="G4934" s="395"/>
      <c r="H4934" s="395"/>
      <c r="J4934" s="42"/>
    </row>
    <row r="4935" spans="1:10" s="393" customFormat="1" x14ac:dyDescent="0.25">
      <c r="A4935" s="402" t="s">
        <v>23</v>
      </c>
      <c r="B4935" s="2">
        <v>44098</v>
      </c>
      <c r="C4935" s="1">
        <v>3</v>
      </c>
      <c r="D4935" s="39">
        <f t="shared" si="416"/>
        <v>85</v>
      </c>
      <c r="E4935" s="1"/>
      <c r="F4935" s="522">
        <f t="shared" si="417"/>
        <v>2</v>
      </c>
      <c r="G4935" s="395"/>
      <c r="H4935" s="395"/>
      <c r="J4935" s="42"/>
    </row>
    <row r="4936" spans="1:10" s="393" customFormat="1" x14ac:dyDescent="0.25">
      <c r="A4936" s="402" t="s">
        <v>19</v>
      </c>
      <c r="B4936" s="2">
        <v>44098</v>
      </c>
      <c r="C4936" s="1">
        <v>253</v>
      </c>
      <c r="D4936" s="39">
        <f>C4936+D4912</f>
        <v>6870</v>
      </c>
      <c r="E4936" s="1">
        <f>1+1</f>
        <v>2</v>
      </c>
      <c r="F4936" s="522">
        <f t="shared" si="417"/>
        <v>101</v>
      </c>
      <c r="G4936" s="395"/>
      <c r="H4936" s="395"/>
      <c r="J4936" s="42"/>
    </row>
    <row r="4937" spans="1:10" s="393" customFormat="1" x14ac:dyDescent="0.25">
      <c r="A4937" s="402" t="s">
        <v>18</v>
      </c>
      <c r="B4937" s="2">
        <v>44098</v>
      </c>
      <c r="C4937" s="1">
        <v>247</v>
      </c>
      <c r="D4937" s="39">
        <f>C4937+D4913</f>
        <v>11248</v>
      </c>
      <c r="E4937" s="1">
        <f>6+4</f>
        <v>10</v>
      </c>
      <c r="F4937" s="522">
        <f t="shared" si="417"/>
        <v>246</v>
      </c>
      <c r="G4937" s="395"/>
      <c r="H4937" s="395"/>
      <c r="J4937" s="42"/>
    </row>
    <row r="4938" spans="1:10" s="393" customFormat="1" x14ac:dyDescent="0.25">
      <c r="A4938" s="402" t="s">
        <v>34</v>
      </c>
      <c r="B4938" s="2">
        <v>44098</v>
      </c>
      <c r="C4938" s="1">
        <v>286</v>
      </c>
      <c r="D4938" s="39">
        <f>C4938+D4914</f>
        <v>10483</v>
      </c>
      <c r="E4938" s="1">
        <f>10+4</f>
        <v>14</v>
      </c>
      <c r="F4938" s="522">
        <f>E4938+F4914</f>
        <v>235</v>
      </c>
      <c r="G4938" s="395"/>
      <c r="H4938" s="395"/>
      <c r="J4938" s="42"/>
    </row>
    <row r="4939" spans="1:10" s="393" customFormat="1" x14ac:dyDescent="0.25">
      <c r="A4939" s="402" t="s">
        <v>35</v>
      </c>
      <c r="B4939" s="2">
        <v>44098</v>
      </c>
      <c r="C4939" s="1">
        <v>12</v>
      </c>
      <c r="D4939" s="39">
        <f t="shared" ref="D4939:D4945" si="418">C4939+D4915</f>
        <v>548</v>
      </c>
      <c r="E4939" s="1"/>
      <c r="F4939" s="522">
        <f>E4939+F4915</f>
        <v>25</v>
      </c>
      <c r="G4939" s="395"/>
      <c r="H4939" s="395"/>
      <c r="J4939" s="42"/>
    </row>
    <row r="4940" spans="1:10" s="393" customFormat="1" x14ac:dyDescent="0.25">
      <c r="A4940" s="402" t="s">
        <v>36</v>
      </c>
      <c r="B4940" s="2">
        <v>44098</v>
      </c>
      <c r="C4940" s="1">
        <v>71</v>
      </c>
      <c r="D4940" s="39">
        <f t="shared" si="418"/>
        <v>991</v>
      </c>
      <c r="E4940" s="1"/>
      <c r="F4940" s="522">
        <f t="shared" si="417"/>
        <v>3</v>
      </c>
      <c r="G4940" s="395"/>
      <c r="H4940" s="395"/>
      <c r="J4940" s="42"/>
    </row>
    <row r="4941" spans="1:10" s="393" customFormat="1" x14ac:dyDescent="0.25">
      <c r="A4941" s="402" t="s">
        <v>37</v>
      </c>
      <c r="B4941" s="2">
        <v>44098</v>
      </c>
      <c r="C4941" s="1">
        <v>86</v>
      </c>
      <c r="D4941" s="39">
        <f t="shared" si="418"/>
        <v>4116</v>
      </c>
      <c r="E4941" s="1">
        <f>2</f>
        <v>2</v>
      </c>
      <c r="F4941" s="522">
        <f>E4941+F4917</f>
        <v>49</v>
      </c>
      <c r="G4941" s="395"/>
      <c r="H4941" s="395"/>
      <c r="J4941" s="42"/>
    </row>
    <row r="4942" spans="1:10" s="393" customFormat="1" x14ac:dyDescent="0.25">
      <c r="A4942" s="402" t="s">
        <v>22</v>
      </c>
      <c r="B4942" s="2">
        <v>44098</v>
      </c>
      <c r="C4942" s="1">
        <v>1928</v>
      </c>
      <c r="D4942" s="39">
        <f t="shared" si="418"/>
        <v>32812</v>
      </c>
      <c r="E4942" s="1">
        <f>10+10</f>
        <v>20</v>
      </c>
      <c r="F4942" s="522">
        <f>E4942+F4918</f>
        <v>343</v>
      </c>
      <c r="G4942" s="395"/>
      <c r="H4942" s="395"/>
      <c r="J4942" s="42"/>
    </row>
    <row r="4943" spans="1:10" s="393" customFormat="1" x14ac:dyDescent="0.25">
      <c r="A4943" s="402" t="s">
        <v>38</v>
      </c>
      <c r="B4943" s="2">
        <v>44098</v>
      </c>
      <c r="C4943" s="1">
        <v>116</v>
      </c>
      <c r="D4943" s="39">
        <f t="shared" si="418"/>
        <v>2724</v>
      </c>
      <c r="E4943" s="1">
        <f>1</f>
        <v>1</v>
      </c>
      <c r="F4943" s="522">
        <f t="shared" si="417"/>
        <v>44</v>
      </c>
      <c r="G4943" s="395"/>
      <c r="H4943" s="395"/>
      <c r="J4943" s="42"/>
    </row>
    <row r="4944" spans="1:10" s="393" customFormat="1" x14ac:dyDescent="0.25">
      <c r="A4944" s="402" t="s">
        <v>39</v>
      </c>
      <c r="B4944" s="2">
        <v>44098</v>
      </c>
      <c r="C4944" s="1">
        <v>68</v>
      </c>
      <c r="D4944" s="39">
        <f t="shared" si="418"/>
        <v>3503</v>
      </c>
      <c r="E4944" s="1">
        <f>1</f>
        <v>1</v>
      </c>
      <c r="F4944" s="522">
        <f>E4944+F4920</f>
        <v>60</v>
      </c>
      <c r="G4944" s="395"/>
      <c r="H4944" s="395"/>
      <c r="J4944" s="42"/>
    </row>
    <row r="4945" spans="1:10" s="393" customFormat="1" ht="15.75" thickBot="1" x14ac:dyDescent="0.3">
      <c r="A4945" s="404" t="s">
        <v>40</v>
      </c>
      <c r="B4945" s="268">
        <v>44098</v>
      </c>
      <c r="C4945" s="44">
        <v>224</v>
      </c>
      <c r="D4945" s="177">
        <f t="shared" si="418"/>
        <v>11497</v>
      </c>
      <c r="E4945" s="44">
        <f>1</f>
        <v>1</v>
      </c>
      <c r="F4945" s="631">
        <f>E4945+F4921</f>
        <v>102</v>
      </c>
      <c r="G4945" s="395"/>
      <c r="H4945" s="395"/>
      <c r="J4945" s="42"/>
    </row>
    <row r="4946" spans="1:10" s="393" customFormat="1" x14ac:dyDescent="0.25">
      <c r="A4946" s="397" t="s">
        <v>16</v>
      </c>
      <c r="B4946" s="269">
        <v>44099</v>
      </c>
      <c r="C4946" s="227">
        <v>5600</v>
      </c>
      <c r="D4946" s="175">
        <f>C4946+D4922</f>
        <v>394435</v>
      </c>
      <c r="E4946" s="227">
        <f>122+118</f>
        <v>240</v>
      </c>
      <c r="F4946" s="630">
        <f>E4946+F4922</f>
        <v>9103</v>
      </c>
      <c r="G4946" s="395"/>
      <c r="H4946" s="395"/>
      <c r="J4946" s="42"/>
    </row>
    <row r="4947" spans="1:10" s="393" customFormat="1" x14ac:dyDescent="0.25">
      <c r="A4947" s="402" t="s">
        <v>43</v>
      </c>
      <c r="B4947" s="269">
        <v>44099</v>
      </c>
      <c r="C4947" s="1">
        <v>926</v>
      </c>
      <c r="D4947" s="39">
        <f t="shared" ref="D4947:D4959" si="419">C4947+D4923</f>
        <v>121743</v>
      </c>
      <c r="E4947" s="1">
        <f>27+20</f>
        <v>47</v>
      </c>
      <c r="F4947" s="522">
        <f>E4947+F4923</f>
        <v>3077</v>
      </c>
      <c r="G4947" s="395"/>
      <c r="H4947" s="395"/>
      <c r="J4947" s="42"/>
    </row>
    <row r="4948" spans="1:10" s="393" customFormat="1" x14ac:dyDescent="0.25">
      <c r="A4948" s="402" t="s">
        <v>28</v>
      </c>
      <c r="B4948" s="269">
        <v>44099</v>
      </c>
      <c r="C4948" s="1">
        <v>6</v>
      </c>
      <c r="D4948" s="39">
        <f t="shared" si="419"/>
        <v>201</v>
      </c>
      <c r="E4948" s="1"/>
      <c r="F4948" s="522">
        <f>E4948+F4924</f>
        <v>0</v>
      </c>
      <c r="G4948" s="395"/>
      <c r="H4948" s="395"/>
      <c r="J4948" s="42"/>
    </row>
    <row r="4949" spans="1:10" s="393" customFormat="1" x14ac:dyDescent="0.25">
      <c r="A4949" s="402" t="s">
        <v>15</v>
      </c>
      <c r="B4949" s="269">
        <v>44099</v>
      </c>
      <c r="C4949" s="1">
        <v>120</v>
      </c>
      <c r="D4949" s="39">
        <f t="shared" si="419"/>
        <v>7907</v>
      </c>
      <c r="E4949" s="1">
        <f>4+1</f>
        <v>5</v>
      </c>
      <c r="F4949" s="522">
        <f t="shared" ref="F4949:F4967" si="420">E4949+F4925</f>
        <v>275</v>
      </c>
      <c r="G4949" s="395"/>
      <c r="H4949" s="395"/>
      <c r="J4949" s="42"/>
    </row>
    <row r="4950" spans="1:10" s="393" customFormat="1" x14ac:dyDescent="0.25">
      <c r="A4950" s="402" t="s">
        <v>29</v>
      </c>
      <c r="B4950" s="269">
        <v>44099</v>
      </c>
      <c r="C4950" s="1">
        <v>207</v>
      </c>
      <c r="D4950" s="39">
        <f t="shared" si="419"/>
        <v>3127</v>
      </c>
      <c r="E4950" s="1">
        <f>1</f>
        <v>1</v>
      </c>
      <c r="F4950" s="522">
        <f t="shared" si="420"/>
        <v>29</v>
      </c>
      <c r="G4950" s="395"/>
      <c r="H4950" s="395"/>
      <c r="J4950" s="42"/>
    </row>
    <row r="4951" spans="1:10" s="393" customFormat="1" x14ac:dyDescent="0.25">
      <c r="A4951" s="402" t="s">
        <v>20</v>
      </c>
      <c r="B4951" s="269">
        <v>44099</v>
      </c>
      <c r="C4951" s="1">
        <v>1575</v>
      </c>
      <c r="D4951" s="39">
        <f t="shared" si="419"/>
        <v>25766</v>
      </c>
      <c r="E4951" s="1">
        <f>10+7</f>
        <v>17</v>
      </c>
      <c r="F4951" s="522">
        <f t="shared" si="420"/>
        <v>310</v>
      </c>
      <c r="G4951" s="395"/>
      <c r="H4951" s="395"/>
      <c r="J4951" s="42"/>
    </row>
    <row r="4952" spans="1:10" s="393" customFormat="1" x14ac:dyDescent="0.25">
      <c r="A4952" s="402" t="s">
        <v>30</v>
      </c>
      <c r="B4952" s="269">
        <v>44099</v>
      </c>
      <c r="C4952" s="1">
        <v>-8</v>
      </c>
      <c r="D4952" s="39">
        <f t="shared" si="419"/>
        <v>1002</v>
      </c>
      <c r="E4952" s="1"/>
      <c r="F4952" s="522">
        <f>E4952+F4928</f>
        <v>16</v>
      </c>
      <c r="G4952" s="395"/>
      <c r="H4952" s="395"/>
      <c r="J4952" s="42"/>
    </row>
    <row r="4953" spans="1:10" x14ac:dyDescent="0.25">
      <c r="A4953" s="402" t="s">
        <v>31</v>
      </c>
      <c r="B4953" s="269">
        <v>44099</v>
      </c>
      <c r="C4953" s="1">
        <v>165</v>
      </c>
      <c r="D4953" s="39">
        <f t="shared" si="419"/>
        <v>6810</v>
      </c>
      <c r="E4953" s="1">
        <f>2</f>
        <v>2</v>
      </c>
      <c r="F4953" s="522">
        <f>E4953+F4929</f>
        <v>127</v>
      </c>
    </row>
    <row r="4954" spans="1:10" s="393" customFormat="1" x14ac:dyDescent="0.25">
      <c r="A4954" s="402" t="s">
        <v>41</v>
      </c>
      <c r="B4954" s="269">
        <v>44099</v>
      </c>
      <c r="C4954" s="1">
        <v>0</v>
      </c>
      <c r="D4954" s="39">
        <f t="shared" si="419"/>
        <v>102</v>
      </c>
      <c r="E4954" s="1"/>
      <c r="F4954" s="522">
        <f>E4954+F4930</f>
        <v>1</v>
      </c>
      <c r="G4954" s="395"/>
      <c r="H4954" s="395"/>
      <c r="J4954" s="42"/>
    </row>
    <row r="4955" spans="1:10" s="393" customFormat="1" x14ac:dyDescent="0.25">
      <c r="A4955" s="402" t="s">
        <v>32</v>
      </c>
      <c r="B4955" s="269">
        <v>44099</v>
      </c>
      <c r="C4955" s="1">
        <v>193</v>
      </c>
      <c r="D4955" s="39">
        <f t="shared" si="419"/>
        <v>14996</v>
      </c>
      <c r="E4955" s="1">
        <f>16+5</f>
        <v>21</v>
      </c>
      <c r="F4955" s="522">
        <f>E4955+F4931</f>
        <v>394</v>
      </c>
      <c r="G4955" s="395"/>
      <c r="H4955" s="395"/>
      <c r="J4955" s="42"/>
    </row>
    <row r="4956" spans="1:10" s="393" customFormat="1" x14ac:dyDescent="0.25">
      <c r="A4956" s="402" t="s">
        <v>33</v>
      </c>
      <c r="B4956" s="269">
        <v>44099</v>
      </c>
      <c r="C4956" s="1">
        <v>25</v>
      </c>
      <c r="D4956" s="39">
        <f t="shared" si="419"/>
        <v>682</v>
      </c>
      <c r="E4956" s="1"/>
      <c r="F4956" s="522">
        <f t="shared" si="420"/>
        <v>4</v>
      </c>
      <c r="G4956" s="395"/>
      <c r="H4956" s="395"/>
      <c r="J4956" s="42"/>
    </row>
    <row r="4957" spans="1:10" s="393" customFormat="1" x14ac:dyDescent="0.25">
      <c r="A4957" s="402" t="s">
        <v>21</v>
      </c>
      <c r="B4957" s="269">
        <v>44099</v>
      </c>
      <c r="C4957" s="1">
        <v>106</v>
      </c>
      <c r="D4957" s="39">
        <f t="shared" si="419"/>
        <v>4474</v>
      </c>
      <c r="E4957" s="1"/>
      <c r="F4957" s="522">
        <f t="shared" si="420"/>
        <v>101</v>
      </c>
      <c r="G4957" s="395"/>
      <c r="H4957" s="395"/>
      <c r="J4957" s="42"/>
    </row>
    <row r="4958" spans="1:10" s="393" customFormat="1" x14ac:dyDescent="0.25">
      <c r="A4958" s="402" t="s">
        <v>17</v>
      </c>
      <c r="B4958" s="269">
        <v>44099</v>
      </c>
      <c r="C4958" s="1">
        <v>768</v>
      </c>
      <c r="D4958" s="39">
        <f t="shared" si="419"/>
        <v>21827</v>
      </c>
      <c r="E4958" s="1">
        <f>7+8</f>
        <v>15</v>
      </c>
      <c r="F4958" s="522">
        <f t="shared" si="420"/>
        <v>228</v>
      </c>
      <c r="G4958" s="395"/>
      <c r="H4958" s="395"/>
      <c r="J4958" s="42"/>
    </row>
    <row r="4959" spans="1:10" s="393" customFormat="1" x14ac:dyDescent="0.25">
      <c r="A4959" s="402" t="s">
        <v>23</v>
      </c>
      <c r="B4959" s="269">
        <v>44099</v>
      </c>
      <c r="C4959" s="1">
        <v>2</v>
      </c>
      <c r="D4959" s="39">
        <f t="shared" si="419"/>
        <v>87</v>
      </c>
      <c r="E4959" s="1"/>
      <c r="F4959" s="522">
        <f t="shared" si="420"/>
        <v>2</v>
      </c>
      <c r="G4959" s="395"/>
      <c r="H4959" s="395"/>
      <c r="J4959" s="42"/>
    </row>
    <row r="4960" spans="1:10" s="393" customFormat="1" x14ac:dyDescent="0.25">
      <c r="A4960" s="402" t="s">
        <v>19</v>
      </c>
      <c r="B4960" s="269">
        <v>44099</v>
      </c>
      <c r="C4960" s="1">
        <v>105</v>
      </c>
      <c r="D4960" s="39">
        <f>C4960+D4936</f>
        <v>6975</v>
      </c>
      <c r="E4960" s="1">
        <f>3</f>
        <v>3</v>
      </c>
      <c r="F4960" s="522">
        <f t="shared" si="420"/>
        <v>104</v>
      </c>
      <c r="G4960" s="395"/>
      <c r="H4960" s="395"/>
      <c r="J4960" s="42"/>
    </row>
    <row r="4961" spans="1:10" s="393" customFormat="1" x14ac:dyDescent="0.25">
      <c r="A4961" s="402" t="s">
        <v>18</v>
      </c>
      <c r="B4961" s="269">
        <v>44099</v>
      </c>
      <c r="C4961" s="1">
        <v>227</v>
      </c>
      <c r="D4961" s="39">
        <f>C4961+D4937</f>
        <v>11475</v>
      </c>
      <c r="E4961" s="1">
        <v>10</v>
      </c>
      <c r="F4961" s="522">
        <f t="shared" si="420"/>
        <v>256</v>
      </c>
      <c r="G4961" s="395"/>
      <c r="H4961" s="395"/>
      <c r="J4961" s="42"/>
    </row>
    <row r="4962" spans="1:10" s="393" customFormat="1" x14ac:dyDescent="0.25">
      <c r="A4962" s="402" t="s">
        <v>34</v>
      </c>
      <c r="B4962" s="269">
        <v>44099</v>
      </c>
      <c r="C4962" s="1">
        <v>469</v>
      </c>
      <c r="D4962" s="39">
        <f>C4962+D4938</f>
        <v>10952</v>
      </c>
      <c r="E4962" s="1">
        <f>24+19</f>
        <v>43</v>
      </c>
      <c r="F4962" s="522">
        <f>E4962+F4938</f>
        <v>278</v>
      </c>
      <c r="G4962" s="395"/>
      <c r="H4962" s="395"/>
      <c r="J4962" s="42"/>
    </row>
    <row r="4963" spans="1:10" s="393" customFormat="1" x14ac:dyDescent="0.25">
      <c r="A4963" s="402" t="s">
        <v>35</v>
      </c>
      <c r="B4963" s="269">
        <v>44099</v>
      </c>
      <c r="C4963" s="1">
        <v>8</v>
      </c>
      <c r="D4963" s="39">
        <f t="shared" ref="D4963:D4969" si="421">C4963+D4939</f>
        <v>556</v>
      </c>
      <c r="E4963" s="1"/>
      <c r="F4963" s="522">
        <f>E4963+F4939</f>
        <v>25</v>
      </c>
      <c r="G4963" s="395"/>
      <c r="H4963" s="395"/>
      <c r="J4963" s="42"/>
    </row>
    <row r="4964" spans="1:10" s="393" customFormat="1" x14ac:dyDescent="0.25">
      <c r="A4964" s="402" t="s">
        <v>36</v>
      </c>
      <c r="B4964" s="269">
        <v>44099</v>
      </c>
      <c r="C4964" s="1">
        <v>94</v>
      </c>
      <c r="D4964" s="39">
        <f t="shared" si="421"/>
        <v>1085</v>
      </c>
      <c r="E4964" s="1">
        <f>1</f>
        <v>1</v>
      </c>
      <c r="F4964" s="522">
        <f t="shared" si="420"/>
        <v>4</v>
      </c>
      <c r="G4964" s="395"/>
      <c r="H4964" s="395"/>
      <c r="J4964" s="42"/>
    </row>
    <row r="4965" spans="1:10" s="393" customFormat="1" x14ac:dyDescent="0.25">
      <c r="A4965" s="402" t="s">
        <v>37</v>
      </c>
      <c r="B4965" s="269">
        <v>44099</v>
      </c>
      <c r="C4965" s="1">
        <v>139</v>
      </c>
      <c r="D4965" s="39">
        <f t="shared" si="421"/>
        <v>4255</v>
      </c>
      <c r="E4965" s="1">
        <f>1</f>
        <v>1</v>
      </c>
      <c r="F4965" s="522">
        <f>E4965+F4941</f>
        <v>50</v>
      </c>
      <c r="G4965" s="395"/>
      <c r="H4965" s="395"/>
      <c r="J4965" s="42"/>
    </row>
    <row r="4966" spans="1:10" s="393" customFormat="1" x14ac:dyDescent="0.25">
      <c r="A4966" s="402" t="s">
        <v>22</v>
      </c>
      <c r="B4966" s="269">
        <v>44099</v>
      </c>
      <c r="C4966" s="1">
        <v>1728</v>
      </c>
      <c r="D4966" s="39">
        <f t="shared" si="421"/>
        <v>34540</v>
      </c>
      <c r="E4966" s="1">
        <f>13+13</f>
        <v>26</v>
      </c>
      <c r="F4966" s="522">
        <f>E4966+F4942</f>
        <v>369</v>
      </c>
      <c r="G4966" s="395"/>
      <c r="H4966" s="395"/>
      <c r="J4966" s="42"/>
    </row>
    <row r="4967" spans="1:10" s="393" customFormat="1" x14ac:dyDescent="0.25">
      <c r="A4967" s="402" t="s">
        <v>38</v>
      </c>
      <c r="B4967" s="269">
        <v>44099</v>
      </c>
      <c r="C4967" s="1">
        <v>94</v>
      </c>
      <c r="D4967" s="39">
        <f t="shared" si="421"/>
        <v>2818</v>
      </c>
      <c r="E4967" s="1">
        <f>1+2</f>
        <v>3</v>
      </c>
      <c r="F4967" s="522">
        <f t="shared" si="420"/>
        <v>47</v>
      </c>
      <c r="G4967" s="395"/>
      <c r="H4967" s="395"/>
      <c r="J4967" s="42"/>
    </row>
    <row r="4968" spans="1:10" s="393" customFormat="1" x14ac:dyDescent="0.25">
      <c r="A4968" s="402" t="s">
        <v>39</v>
      </c>
      <c r="B4968" s="269">
        <v>44099</v>
      </c>
      <c r="C4968" s="1">
        <v>37</v>
      </c>
      <c r="D4968" s="39">
        <f t="shared" si="421"/>
        <v>3540</v>
      </c>
      <c r="E4968" s="1">
        <f>1+1</f>
        <v>2</v>
      </c>
      <c r="F4968" s="522">
        <f>E4968+F4944</f>
        <v>62</v>
      </c>
      <c r="G4968" s="395"/>
      <c r="H4968" s="395"/>
      <c r="J4968" s="42"/>
    </row>
    <row r="4969" spans="1:10" s="393" customFormat="1" ht="15.75" thickBot="1" x14ac:dyDescent="0.3">
      <c r="A4969" s="404" t="s">
        <v>40</v>
      </c>
      <c r="B4969" s="269">
        <v>44099</v>
      </c>
      <c r="C4969" s="1">
        <v>383</v>
      </c>
      <c r="D4969" s="177">
        <f t="shared" si="421"/>
        <v>11880</v>
      </c>
      <c r="E4969" s="1">
        <f>4+1</f>
        <v>5</v>
      </c>
      <c r="F4969" s="631">
        <f>E4969+F4945</f>
        <v>107</v>
      </c>
      <c r="G4969" s="395"/>
      <c r="H4969" s="395"/>
      <c r="J4969" s="42"/>
    </row>
    <row r="4970" spans="1:10" s="393" customFormat="1" x14ac:dyDescent="0.25">
      <c r="A4970" s="397" t="s">
        <v>16</v>
      </c>
      <c r="B4970" s="269">
        <v>44100</v>
      </c>
      <c r="C4970" s="1">
        <v>4480</v>
      </c>
      <c r="D4970" s="175">
        <f>C4970+D4946</f>
        <v>398915</v>
      </c>
      <c r="E4970" s="1">
        <f>86+87</f>
        <v>173</v>
      </c>
      <c r="F4970" s="630">
        <f>E4970+F4946</f>
        <v>9276</v>
      </c>
      <c r="G4970" s="395"/>
      <c r="H4970" s="395"/>
      <c r="J4970" s="42"/>
    </row>
    <row r="4971" spans="1:10" s="393" customFormat="1" x14ac:dyDescent="0.25">
      <c r="A4971" s="402" t="s">
        <v>43</v>
      </c>
      <c r="B4971" s="269">
        <v>44100</v>
      </c>
      <c r="C4971" s="1">
        <v>917</v>
      </c>
      <c r="D4971" s="39">
        <f t="shared" ref="D4971:D4983" si="422">C4971+D4947</f>
        <v>122660</v>
      </c>
      <c r="E4971" s="1">
        <f>30+29</f>
        <v>59</v>
      </c>
      <c r="F4971" s="522">
        <f>E4971+F4947</f>
        <v>3136</v>
      </c>
      <c r="G4971" s="395"/>
      <c r="H4971" s="395"/>
      <c r="J4971" s="42"/>
    </row>
    <row r="4972" spans="1:10" s="393" customFormat="1" x14ac:dyDescent="0.25">
      <c r="A4972" s="402" t="s">
        <v>28</v>
      </c>
      <c r="B4972" s="269">
        <v>44100</v>
      </c>
      <c r="C4972" s="1">
        <v>4</v>
      </c>
      <c r="D4972" s="39">
        <f t="shared" si="422"/>
        <v>205</v>
      </c>
      <c r="E4972" s="1"/>
      <c r="F4972" s="522">
        <f>E4972+F4948</f>
        <v>0</v>
      </c>
      <c r="G4972" s="395"/>
      <c r="H4972" s="395"/>
      <c r="J4972" s="42"/>
    </row>
    <row r="4973" spans="1:10" s="393" customFormat="1" x14ac:dyDescent="0.25">
      <c r="A4973" s="402" t="s">
        <v>15</v>
      </c>
      <c r="B4973" s="269">
        <v>44100</v>
      </c>
      <c r="C4973" s="1">
        <v>160</v>
      </c>
      <c r="D4973" s="39">
        <f t="shared" si="422"/>
        <v>8067</v>
      </c>
      <c r="E4973" s="1">
        <f>1+1</f>
        <v>2</v>
      </c>
      <c r="F4973" s="522">
        <f t="shared" ref="F4973:F4991" si="423">E4973+F4949</f>
        <v>277</v>
      </c>
      <c r="G4973" s="395"/>
      <c r="H4973" s="395"/>
      <c r="J4973" s="42"/>
    </row>
    <row r="4974" spans="1:10" s="393" customFormat="1" x14ac:dyDescent="0.25">
      <c r="A4974" s="402" t="s">
        <v>29</v>
      </c>
      <c r="B4974" s="269">
        <v>44100</v>
      </c>
      <c r="C4974" s="1">
        <v>182</v>
      </c>
      <c r="D4974" s="39">
        <f t="shared" si="422"/>
        <v>3309</v>
      </c>
      <c r="E4974" s="1">
        <f>2+1</f>
        <v>3</v>
      </c>
      <c r="F4974" s="522">
        <f t="shared" si="423"/>
        <v>32</v>
      </c>
      <c r="G4974" s="395"/>
      <c r="H4974" s="395"/>
      <c r="J4974" s="42"/>
    </row>
    <row r="4975" spans="1:10" s="393" customFormat="1" x14ac:dyDescent="0.25">
      <c r="A4975" s="402" t="s">
        <v>20</v>
      </c>
      <c r="B4975" s="269">
        <v>44100</v>
      </c>
      <c r="C4975" s="1">
        <v>1867</v>
      </c>
      <c r="D4975" s="39">
        <f t="shared" si="422"/>
        <v>27633</v>
      </c>
      <c r="E4975" s="1">
        <f>12+6</f>
        <v>18</v>
      </c>
      <c r="F4975" s="522">
        <f t="shared" si="423"/>
        <v>328</v>
      </c>
      <c r="G4975" s="395"/>
      <c r="H4975" s="395"/>
      <c r="J4975" s="42"/>
    </row>
    <row r="4976" spans="1:10" s="393" customFormat="1" x14ac:dyDescent="0.25">
      <c r="A4976" s="402" t="s">
        <v>30</v>
      </c>
      <c r="B4976" s="269">
        <v>44100</v>
      </c>
      <c r="C4976" s="1">
        <v>12</v>
      </c>
      <c r="D4976" s="39">
        <f t="shared" si="422"/>
        <v>1014</v>
      </c>
      <c r="E4976" s="1"/>
      <c r="F4976" s="522">
        <f>E4976+F4952</f>
        <v>16</v>
      </c>
      <c r="G4976" s="395"/>
      <c r="H4976" s="395"/>
      <c r="J4976" s="42"/>
    </row>
    <row r="4977" spans="1:10" x14ac:dyDescent="0.25">
      <c r="A4977" s="402" t="s">
        <v>31</v>
      </c>
      <c r="B4977" s="269">
        <v>44100</v>
      </c>
      <c r="C4977" s="1">
        <v>146</v>
      </c>
      <c r="D4977" s="39">
        <f t="shared" si="422"/>
        <v>6956</v>
      </c>
      <c r="E4977" s="1">
        <f>1+1</f>
        <v>2</v>
      </c>
      <c r="F4977" s="522">
        <f>E4977+F4953</f>
        <v>129</v>
      </c>
    </row>
    <row r="4978" spans="1:10" s="393" customFormat="1" x14ac:dyDescent="0.25">
      <c r="A4978" s="402" t="s">
        <v>41</v>
      </c>
      <c r="B4978" s="269">
        <v>44100</v>
      </c>
      <c r="C4978" s="1">
        <v>2</v>
      </c>
      <c r="D4978" s="39">
        <f t="shared" si="422"/>
        <v>104</v>
      </c>
      <c r="E4978" s="1"/>
      <c r="F4978" s="522">
        <f>E4978+F4954</f>
        <v>1</v>
      </c>
      <c r="G4978" s="395"/>
      <c r="H4978" s="395"/>
      <c r="J4978" s="42"/>
    </row>
    <row r="4979" spans="1:10" s="393" customFormat="1" x14ac:dyDescent="0.25">
      <c r="A4979" s="402" t="s">
        <v>32</v>
      </c>
      <c r="B4979" s="269">
        <v>44100</v>
      </c>
      <c r="C4979" s="1">
        <v>209</v>
      </c>
      <c r="D4979" s="39">
        <f t="shared" si="422"/>
        <v>15205</v>
      </c>
      <c r="E4979" s="1">
        <f>11+8</f>
        <v>19</v>
      </c>
      <c r="F4979" s="522">
        <f>E4979+F4955</f>
        <v>413</v>
      </c>
      <c r="G4979" s="395"/>
      <c r="H4979" s="395"/>
      <c r="J4979" s="42"/>
    </row>
    <row r="4980" spans="1:10" s="393" customFormat="1" x14ac:dyDescent="0.25">
      <c r="A4980" s="402" t="s">
        <v>33</v>
      </c>
      <c r="B4980" s="269">
        <v>44100</v>
      </c>
      <c r="C4980" s="1">
        <v>2</v>
      </c>
      <c r="D4980" s="39">
        <f t="shared" si="422"/>
        <v>684</v>
      </c>
      <c r="E4980" s="1">
        <f>1</f>
        <v>1</v>
      </c>
      <c r="F4980" s="522">
        <f t="shared" si="423"/>
        <v>5</v>
      </c>
      <c r="G4980" s="395"/>
      <c r="H4980" s="395"/>
      <c r="J4980" s="42"/>
    </row>
    <row r="4981" spans="1:10" s="393" customFormat="1" x14ac:dyDescent="0.25">
      <c r="A4981" s="402" t="s">
        <v>21</v>
      </c>
      <c r="B4981" s="269">
        <v>44100</v>
      </c>
      <c r="C4981" s="1">
        <v>22</v>
      </c>
      <c r="D4981" s="39">
        <f t="shared" si="422"/>
        <v>4496</v>
      </c>
      <c r="E4981" s="1"/>
      <c r="F4981" s="522">
        <f t="shared" si="423"/>
        <v>101</v>
      </c>
      <c r="G4981" s="395"/>
      <c r="H4981" s="395"/>
      <c r="J4981" s="42"/>
    </row>
    <row r="4982" spans="1:10" s="393" customFormat="1" x14ac:dyDescent="0.25">
      <c r="A4982" s="402" t="s">
        <v>17</v>
      </c>
      <c r="B4982" s="269">
        <v>44100</v>
      </c>
      <c r="C4982" s="1">
        <v>656</v>
      </c>
      <c r="D4982" s="39">
        <f t="shared" si="422"/>
        <v>22483</v>
      </c>
      <c r="E4982" s="1">
        <f>9+5</f>
        <v>14</v>
      </c>
      <c r="F4982" s="522">
        <f t="shared" si="423"/>
        <v>242</v>
      </c>
      <c r="G4982" s="395"/>
      <c r="H4982" s="395"/>
      <c r="J4982" s="42"/>
    </row>
    <row r="4983" spans="1:10" s="393" customFormat="1" x14ac:dyDescent="0.25">
      <c r="A4983" s="402" t="s">
        <v>23</v>
      </c>
      <c r="B4983" s="269">
        <v>44100</v>
      </c>
      <c r="C4983" s="1">
        <v>-5</v>
      </c>
      <c r="D4983" s="39">
        <f t="shared" si="422"/>
        <v>82</v>
      </c>
      <c r="E4983" s="1"/>
      <c r="F4983" s="522">
        <f t="shared" si="423"/>
        <v>2</v>
      </c>
      <c r="G4983" s="395"/>
      <c r="H4983" s="395"/>
      <c r="J4983" s="42"/>
    </row>
    <row r="4984" spans="1:10" s="393" customFormat="1" x14ac:dyDescent="0.25">
      <c r="A4984" s="402" t="s">
        <v>19</v>
      </c>
      <c r="B4984" s="269">
        <v>44100</v>
      </c>
      <c r="C4984" s="1">
        <v>180</v>
      </c>
      <c r="D4984" s="39">
        <f>C4984+D4960</f>
        <v>7155</v>
      </c>
      <c r="E4984" s="1">
        <f>5</f>
        <v>5</v>
      </c>
      <c r="F4984" s="522">
        <f t="shared" si="423"/>
        <v>109</v>
      </c>
      <c r="G4984" s="395"/>
      <c r="H4984" s="395"/>
      <c r="J4984" s="42"/>
    </row>
    <row r="4985" spans="1:10" s="393" customFormat="1" x14ac:dyDescent="0.25">
      <c r="A4985" s="402" t="s">
        <v>18</v>
      </c>
      <c r="B4985" s="269">
        <v>44100</v>
      </c>
      <c r="C4985" s="1">
        <v>243</v>
      </c>
      <c r="D4985" s="39">
        <f>C4985+D4961</f>
        <v>11718</v>
      </c>
      <c r="E4985" s="1">
        <f>1</f>
        <v>1</v>
      </c>
      <c r="F4985" s="522">
        <f t="shared" si="423"/>
        <v>257</v>
      </c>
      <c r="G4985" s="395"/>
      <c r="H4985" s="395"/>
      <c r="J4985" s="42"/>
    </row>
    <row r="4986" spans="1:10" s="393" customFormat="1" x14ac:dyDescent="0.25">
      <c r="A4986" s="402" t="s">
        <v>34</v>
      </c>
      <c r="B4986" s="269">
        <v>44100</v>
      </c>
      <c r="C4986" s="1">
        <v>301</v>
      </c>
      <c r="D4986" s="39">
        <f>C4986+D4962</f>
        <v>11253</v>
      </c>
      <c r="E4986" s="1">
        <f>12+3</f>
        <v>15</v>
      </c>
      <c r="F4986" s="522">
        <f>E4986+F4962</f>
        <v>293</v>
      </c>
      <c r="G4986" s="395"/>
      <c r="H4986" s="395"/>
      <c r="J4986" s="42"/>
    </row>
    <row r="4987" spans="1:10" s="393" customFormat="1" x14ac:dyDescent="0.25">
      <c r="A4987" s="402" t="s">
        <v>35</v>
      </c>
      <c r="B4987" s="269">
        <v>44100</v>
      </c>
      <c r="C4987" s="1">
        <v>2</v>
      </c>
      <c r="D4987" s="39">
        <f t="shared" ref="D4987:D4993" si="424">C4987+D4963</f>
        <v>558</v>
      </c>
      <c r="E4987" s="1">
        <f>1+2</f>
        <v>3</v>
      </c>
      <c r="F4987" s="522">
        <f>E4987+F4963</f>
        <v>28</v>
      </c>
      <c r="G4987" s="395"/>
      <c r="H4987" s="395"/>
      <c r="J4987" s="42"/>
    </row>
    <row r="4988" spans="1:10" s="393" customFormat="1" x14ac:dyDescent="0.25">
      <c r="A4988" s="402" t="s">
        <v>36</v>
      </c>
      <c r="B4988" s="269">
        <v>44100</v>
      </c>
      <c r="C4988" s="1">
        <v>1</v>
      </c>
      <c r="D4988" s="39">
        <f t="shared" si="424"/>
        <v>1086</v>
      </c>
      <c r="E4988" s="1"/>
      <c r="F4988" s="522">
        <f t="shared" si="423"/>
        <v>4</v>
      </c>
      <c r="G4988" s="395"/>
      <c r="H4988" s="395"/>
      <c r="J4988" s="42"/>
    </row>
    <row r="4989" spans="1:10" s="393" customFormat="1" x14ac:dyDescent="0.25">
      <c r="A4989" s="402" t="s">
        <v>37</v>
      </c>
      <c r="B4989" s="269">
        <v>44100</v>
      </c>
      <c r="C4989" s="1">
        <v>125</v>
      </c>
      <c r="D4989" s="39">
        <f t="shared" si="424"/>
        <v>4380</v>
      </c>
      <c r="E4989" s="1">
        <f>3+2</f>
        <v>5</v>
      </c>
      <c r="F4989" s="522">
        <f>E4989+F4965</f>
        <v>55</v>
      </c>
      <c r="G4989" s="395"/>
      <c r="H4989" s="395"/>
      <c r="J4989" s="42"/>
    </row>
    <row r="4990" spans="1:10" s="393" customFormat="1" x14ac:dyDescent="0.25">
      <c r="A4990" s="402" t="s">
        <v>22</v>
      </c>
      <c r="B4990" s="269">
        <v>44100</v>
      </c>
      <c r="C4990" s="1">
        <v>1311</v>
      </c>
      <c r="D4990" s="39">
        <f t="shared" si="424"/>
        <v>35851</v>
      </c>
      <c r="E4990" s="1">
        <f>7+8</f>
        <v>15</v>
      </c>
      <c r="F4990" s="522">
        <f>E4990+F4966</f>
        <v>384</v>
      </c>
      <c r="G4990" s="395"/>
      <c r="H4990" s="395"/>
      <c r="J4990" s="42"/>
    </row>
    <row r="4991" spans="1:10" s="393" customFormat="1" x14ac:dyDescent="0.25">
      <c r="A4991" s="402" t="s">
        <v>38</v>
      </c>
      <c r="B4991" s="269">
        <v>44100</v>
      </c>
      <c r="C4991" s="1">
        <v>71</v>
      </c>
      <c r="D4991" s="39">
        <f t="shared" si="424"/>
        <v>2889</v>
      </c>
      <c r="E4991" s="1">
        <f>2</f>
        <v>2</v>
      </c>
      <c r="F4991" s="522">
        <f t="shared" si="423"/>
        <v>49</v>
      </c>
      <c r="G4991" s="395"/>
      <c r="H4991" s="395"/>
      <c r="J4991" s="42"/>
    </row>
    <row r="4992" spans="1:10" s="393" customFormat="1" x14ac:dyDescent="0.25">
      <c r="A4992" s="402" t="s">
        <v>39</v>
      </c>
      <c r="B4992" s="269">
        <v>44100</v>
      </c>
      <c r="C4992" s="1">
        <v>102</v>
      </c>
      <c r="D4992" s="39">
        <f t="shared" si="424"/>
        <v>3642</v>
      </c>
      <c r="E4992" s="1"/>
      <c r="F4992" s="522">
        <f>E4992+F4968</f>
        <v>62</v>
      </c>
      <c r="G4992" s="395"/>
      <c r="H4992" s="395"/>
      <c r="J4992" s="42"/>
    </row>
    <row r="4993" spans="1:10" s="393" customFormat="1" ht="15.75" thickBot="1" x14ac:dyDescent="0.3">
      <c r="A4993" s="404" t="s">
        <v>40</v>
      </c>
      <c r="B4993" s="269">
        <v>44100</v>
      </c>
      <c r="C4993" s="1">
        <v>249</v>
      </c>
      <c r="D4993" s="177">
        <f t="shared" si="424"/>
        <v>12129</v>
      </c>
      <c r="E4993" s="1"/>
      <c r="F4993" s="631">
        <f>E4993+F4969</f>
        <v>107</v>
      </c>
      <c r="G4993" s="395"/>
      <c r="H4993" s="395"/>
      <c r="J4993" s="42"/>
    </row>
    <row r="4994" spans="1:10" s="393" customFormat="1" x14ac:dyDescent="0.25">
      <c r="A4994" s="397" t="s">
        <v>16</v>
      </c>
      <c r="B4994" s="269">
        <v>44101</v>
      </c>
      <c r="C4994" s="1">
        <v>2947</v>
      </c>
      <c r="D4994" s="175">
        <f>C4994+D4970</f>
        <v>401862</v>
      </c>
      <c r="E4994" s="1">
        <f>35+33</f>
        <v>68</v>
      </c>
      <c r="F4994" s="630">
        <f>E4994+F4970</f>
        <v>9344</v>
      </c>
      <c r="G4994" s="395"/>
      <c r="H4994" s="395"/>
      <c r="J4994" s="42"/>
    </row>
    <row r="4995" spans="1:10" s="393" customFormat="1" x14ac:dyDescent="0.25">
      <c r="A4995" s="402" t="s">
        <v>43</v>
      </c>
      <c r="B4995" s="269">
        <v>44101</v>
      </c>
      <c r="C4995" s="1">
        <v>628</v>
      </c>
      <c r="D4995" s="39">
        <f t="shared" ref="D4995:D5007" si="425">C4995+D4971</f>
        <v>123288</v>
      </c>
      <c r="E4995" s="1">
        <f>30+32</f>
        <v>62</v>
      </c>
      <c r="F4995" s="522">
        <f>E4995+F4971</f>
        <v>3198</v>
      </c>
      <c r="G4995" s="395"/>
      <c r="H4995" s="395"/>
      <c r="J4995" s="42"/>
    </row>
    <row r="4996" spans="1:10" s="393" customFormat="1" x14ac:dyDescent="0.25">
      <c r="A4996" s="402" t="s">
        <v>28</v>
      </c>
      <c r="B4996" s="269">
        <v>44101</v>
      </c>
      <c r="C4996" s="1">
        <v>67</v>
      </c>
      <c r="D4996" s="39">
        <f t="shared" si="425"/>
        <v>272</v>
      </c>
      <c r="E4996" s="1"/>
      <c r="F4996" s="522">
        <f>E4996+F4972</f>
        <v>0</v>
      </c>
      <c r="G4996" s="395"/>
      <c r="H4996" s="395"/>
      <c r="J4996" s="42"/>
    </row>
    <row r="4997" spans="1:10" s="393" customFormat="1" x14ac:dyDescent="0.25">
      <c r="A4997" s="402" t="s">
        <v>15</v>
      </c>
      <c r="B4997" s="269">
        <v>44101</v>
      </c>
      <c r="C4997" s="1">
        <v>111</v>
      </c>
      <c r="D4997" s="39">
        <f t="shared" si="425"/>
        <v>8178</v>
      </c>
      <c r="E4997" s="1">
        <f>1</f>
        <v>1</v>
      </c>
      <c r="F4997" s="522">
        <f t="shared" ref="F4997:F5015" si="426">E4997+F4973</f>
        <v>278</v>
      </c>
      <c r="G4997" s="395"/>
      <c r="H4997" s="395"/>
      <c r="J4997" s="42"/>
    </row>
    <row r="4998" spans="1:10" s="393" customFormat="1" x14ac:dyDescent="0.25">
      <c r="A4998" s="402" t="s">
        <v>29</v>
      </c>
      <c r="B4998" s="269">
        <v>44101</v>
      </c>
      <c r="C4998" s="1">
        <v>100</v>
      </c>
      <c r="D4998" s="39">
        <f t="shared" si="425"/>
        <v>3409</v>
      </c>
      <c r="E4998" s="1"/>
      <c r="F4998" s="522">
        <f t="shared" si="426"/>
        <v>32</v>
      </c>
      <c r="G4998" s="395"/>
      <c r="H4998" s="395"/>
      <c r="J4998" s="42"/>
    </row>
    <row r="4999" spans="1:10" s="393" customFormat="1" x14ac:dyDescent="0.25">
      <c r="A4999" s="402" t="s">
        <v>20</v>
      </c>
      <c r="B4999" s="269">
        <v>44101</v>
      </c>
      <c r="C4999" s="1">
        <v>1577</v>
      </c>
      <c r="D4999" s="39">
        <f t="shared" si="425"/>
        <v>29210</v>
      </c>
      <c r="E4999" s="1">
        <f>7+10</f>
        <v>17</v>
      </c>
      <c r="F4999" s="522">
        <f t="shared" si="426"/>
        <v>345</v>
      </c>
      <c r="G4999" s="395"/>
      <c r="H4999" s="395"/>
      <c r="J4999" s="42"/>
    </row>
    <row r="5000" spans="1:10" s="393" customFormat="1" x14ac:dyDescent="0.25">
      <c r="A5000" s="402" t="s">
        <v>30</v>
      </c>
      <c r="B5000" s="269">
        <v>44101</v>
      </c>
      <c r="C5000" s="1">
        <v>49</v>
      </c>
      <c r="D5000" s="39">
        <f t="shared" si="425"/>
        <v>1063</v>
      </c>
      <c r="E5000" s="1">
        <f>3</f>
        <v>3</v>
      </c>
      <c r="F5000" s="522">
        <f>E5000+F4976</f>
        <v>19</v>
      </c>
      <c r="G5000" s="395"/>
      <c r="H5000" s="395"/>
      <c r="J5000" s="42"/>
    </row>
    <row r="5001" spans="1:10" x14ac:dyDescent="0.25">
      <c r="A5001" s="402" t="s">
        <v>31</v>
      </c>
      <c r="B5001" s="269">
        <v>44101</v>
      </c>
      <c r="C5001" s="1">
        <v>85</v>
      </c>
      <c r="D5001" s="39">
        <f t="shared" si="425"/>
        <v>7041</v>
      </c>
      <c r="E5001" s="1">
        <f>2</f>
        <v>2</v>
      </c>
      <c r="F5001" s="522">
        <f>E5001+F4977</f>
        <v>131</v>
      </c>
    </row>
    <row r="5002" spans="1:10" s="393" customFormat="1" x14ac:dyDescent="0.25">
      <c r="A5002" s="402" t="s">
        <v>41</v>
      </c>
      <c r="B5002" s="269">
        <v>44101</v>
      </c>
      <c r="C5002" s="1">
        <v>1</v>
      </c>
      <c r="D5002" s="39">
        <f t="shared" si="425"/>
        <v>105</v>
      </c>
      <c r="E5002" s="1"/>
      <c r="F5002" s="522">
        <f>E5002+F4978</f>
        <v>1</v>
      </c>
      <c r="G5002" s="395"/>
      <c r="H5002" s="395"/>
      <c r="J5002" s="42"/>
    </row>
    <row r="5003" spans="1:10" s="393" customFormat="1" x14ac:dyDescent="0.25">
      <c r="A5003" s="402" t="s">
        <v>32</v>
      </c>
      <c r="B5003" s="269">
        <v>44101</v>
      </c>
      <c r="C5003" s="1">
        <v>97</v>
      </c>
      <c r="D5003" s="39">
        <f t="shared" si="425"/>
        <v>15302</v>
      </c>
      <c r="E5003" s="1">
        <f>11+7</f>
        <v>18</v>
      </c>
      <c r="F5003" s="522">
        <f>E5003+F4979</f>
        <v>431</v>
      </c>
      <c r="G5003" s="395"/>
      <c r="H5003" s="395"/>
      <c r="J5003" s="42"/>
    </row>
    <row r="5004" spans="1:10" s="393" customFormat="1" x14ac:dyDescent="0.25">
      <c r="A5004" s="402" t="s">
        <v>33</v>
      </c>
      <c r="B5004" s="269">
        <v>44101</v>
      </c>
      <c r="C5004" s="1">
        <v>10</v>
      </c>
      <c r="D5004" s="39">
        <f t="shared" si="425"/>
        <v>694</v>
      </c>
      <c r="E5004" s="1">
        <f>2</f>
        <v>2</v>
      </c>
      <c r="F5004" s="522">
        <f t="shared" si="426"/>
        <v>7</v>
      </c>
      <c r="G5004" s="395"/>
      <c r="H5004" s="395"/>
      <c r="J5004" s="42"/>
    </row>
    <row r="5005" spans="1:10" s="393" customFormat="1" x14ac:dyDescent="0.25">
      <c r="A5005" s="402" t="s">
        <v>21</v>
      </c>
      <c r="B5005" s="269">
        <v>44101</v>
      </c>
      <c r="C5005" s="1">
        <v>86</v>
      </c>
      <c r="D5005" s="39">
        <f t="shared" si="425"/>
        <v>4582</v>
      </c>
      <c r="E5005" s="1"/>
      <c r="F5005" s="522">
        <f t="shared" si="426"/>
        <v>101</v>
      </c>
      <c r="G5005" s="395"/>
      <c r="H5005" s="395"/>
      <c r="J5005" s="42"/>
    </row>
    <row r="5006" spans="1:10" s="393" customFormat="1" x14ac:dyDescent="0.25">
      <c r="A5006" s="402" t="s">
        <v>17</v>
      </c>
      <c r="B5006" s="269">
        <v>44101</v>
      </c>
      <c r="C5006" s="1">
        <v>558</v>
      </c>
      <c r="D5006" s="39">
        <f t="shared" si="425"/>
        <v>23041</v>
      </c>
      <c r="E5006" s="1">
        <f>2</f>
        <v>2</v>
      </c>
      <c r="F5006" s="522">
        <f t="shared" si="426"/>
        <v>244</v>
      </c>
      <c r="G5006" s="395"/>
      <c r="H5006" s="395"/>
      <c r="J5006" s="42"/>
    </row>
    <row r="5007" spans="1:10" s="393" customFormat="1" x14ac:dyDescent="0.25">
      <c r="A5007" s="402" t="s">
        <v>23</v>
      </c>
      <c r="B5007" s="269">
        <v>44101</v>
      </c>
      <c r="C5007" s="1">
        <v>3</v>
      </c>
      <c r="D5007" s="39">
        <f t="shared" si="425"/>
        <v>85</v>
      </c>
      <c r="E5007" s="1"/>
      <c r="F5007" s="522">
        <f t="shared" si="426"/>
        <v>2</v>
      </c>
      <c r="G5007" s="395"/>
      <c r="H5007" s="395"/>
      <c r="J5007" s="42"/>
    </row>
    <row r="5008" spans="1:10" s="393" customFormat="1" x14ac:dyDescent="0.25">
      <c r="A5008" s="402" t="s">
        <v>19</v>
      </c>
      <c r="B5008" s="269">
        <v>44101</v>
      </c>
      <c r="C5008" s="1">
        <v>181</v>
      </c>
      <c r="D5008" s="39">
        <f>C5008+D4984</f>
        <v>7336</v>
      </c>
      <c r="E5008" s="1">
        <f>2</f>
        <v>2</v>
      </c>
      <c r="F5008" s="522">
        <f t="shared" si="426"/>
        <v>111</v>
      </c>
      <c r="G5008" s="395"/>
      <c r="H5008" s="395"/>
      <c r="J5008" s="42"/>
    </row>
    <row r="5009" spans="1:10" s="393" customFormat="1" x14ac:dyDescent="0.25">
      <c r="A5009" s="402" t="s">
        <v>18</v>
      </c>
      <c r="B5009" s="269">
        <v>44101</v>
      </c>
      <c r="C5009" s="1">
        <v>200</v>
      </c>
      <c r="D5009" s="39">
        <f>C5009+D4985</f>
        <v>11918</v>
      </c>
      <c r="E5009" s="1">
        <f>6+2</f>
        <v>8</v>
      </c>
      <c r="F5009" s="522">
        <f t="shared" si="426"/>
        <v>265</v>
      </c>
      <c r="G5009" s="395"/>
      <c r="H5009" s="395"/>
      <c r="J5009" s="42"/>
    </row>
    <row r="5010" spans="1:10" s="393" customFormat="1" x14ac:dyDescent="0.25">
      <c r="A5010" s="402" t="s">
        <v>34</v>
      </c>
      <c r="B5010" s="269">
        <v>44101</v>
      </c>
      <c r="C5010" s="1">
        <v>244</v>
      </c>
      <c r="D5010" s="39">
        <f>C5010+D4986</f>
        <v>11497</v>
      </c>
      <c r="E5010" s="1">
        <f>2+1</f>
        <v>3</v>
      </c>
      <c r="F5010" s="522">
        <f>E5010+F4986</f>
        <v>296</v>
      </c>
      <c r="G5010" s="395"/>
      <c r="H5010" s="395"/>
      <c r="J5010" s="42"/>
    </row>
    <row r="5011" spans="1:10" s="393" customFormat="1" x14ac:dyDescent="0.25">
      <c r="A5011" s="402" t="s">
        <v>35</v>
      </c>
      <c r="B5011" s="269">
        <v>44101</v>
      </c>
      <c r="C5011" s="1">
        <v>65</v>
      </c>
      <c r="D5011" s="39">
        <f t="shared" ref="D5011:D5017" si="427">C5011+D4987</f>
        <v>623</v>
      </c>
      <c r="E5011" s="1"/>
      <c r="F5011" s="522">
        <f>E5011+F4987</f>
        <v>28</v>
      </c>
      <c r="G5011" s="395"/>
      <c r="H5011" s="395"/>
      <c r="J5011" s="42"/>
    </row>
    <row r="5012" spans="1:10" s="393" customFormat="1" x14ac:dyDescent="0.25">
      <c r="A5012" s="402" t="s">
        <v>36</v>
      </c>
      <c r="B5012" s="269">
        <v>44101</v>
      </c>
      <c r="C5012" s="1">
        <v>5</v>
      </c>
      <c r="D5012" s="39">
        <f t="shared" si="427"/>
        <v>1091</v>
      </c>
      <c r="E5012" s="1"/>
      <c r="F5012" s="522">
        <f t="shared" si="426"/>
        <v>4</v>
      </c>
      <c r="G5012" s="395"/>
      <c r="H5012" s="395"/>
      <c r="J5012" s="42"/>
    </row>
    <row r="5013" spans="1:10" s="393" customFormat="1" x14ac:dyDescent="0.25">
      <c r="A5013" s="402" t="s">
        <v>37</v>
      </c>
      <c r="B5013" s="269">
        <v>44101</v>
      </c>
      <c r="C5013" s="1">
        <v>77</v>
      </c>
      <c r="D5013" s="39">
        <f t="shared" si="427"/>
        <v>4457</v>
      </c>
      <c r="E5013" s="1">
        <f>1+1</f>
        <v>2</v>
      </c>
      <c r="F5013" s="522">
        <f>E5013+F4989</f>
        <v>57</v>
      </c>
      <c r="G5013" s="395"/>
      <c r="H5013" s="395"/>
      <c r="J5013" s="42"/>
    </row>
    <row r="5014" spans="1:10" s="393" customFormat="1" x14ac:dyDescent="0.25">
      <c r="A5014" s="402" t="s">
        <v>22</v>
      </c>
      <c r="B5014" s="269">
        <v>44101</v>
      </c>
      <c r="C5014" s="1">
        <v>944</v>
      </c>
      <c r="D5014" s="39">
        <f t="shared" si="427"/>
        <v>36795</v>
      </c>
      <c r="E5014" s="1">
        <f>6+7</f>
        <v>13</v>
      </c>
      <c r="F5014" s="522">
        <f>E5014+F4990</f>
        <v>397</v>
      </c>
      <c r="G5014" s="395"/>
      <c r="H5014" s="395"/>
      <c r="J5014" s="42"/>
    </row>
    <row r="5015" spans="1:10" s="393" customFormat="1" x14ac:dyDescent="0.25">
      <c r="A5015" s="402" t="s">
        <v>38</v>
      </c>
      <c r="B5015" s="269">
        <v>44101</v>
      </c>
      <c r="C5015" s="1">
        <v>168</v>
      </c>
      <c r="D5015" s="39">
        <f t="shared" si="427"/>
        <v>3057</v>
      </c>
      <c r="E5015" s="1">
        <f>2+1</f>
        <v>3</v>
      </c>
      <c r="F5015" s="522">
        <f t="shared" si="426"/>
        <v>52</v>
      </c>
      <c r="G5015" s="395"/>
      <c r="H5015" s="395"/>
      <c r="J5015" s="42"/>
    </row>
    <row r="5016" spans="1:10" s="393" customFormat="1" x14ac:dyDescent="0.25">
      <c r="A5016" s="402" t="s">
        <v>39</v>
      </c>
      <c r="B5016" s="269">
        <v>44101</v>
      </c>
      <c r="C5016" s="1">
        <v>86</v>
      </c>
      <c r="D5016" s="39">
        <f t="shared" si="427"/>
        <v>3728</v>
      </c>
      <c r="E5016" s="1"/>
      <c r="F5016" s="522">
        <f>E5016+F4992</f>
        <v>62</v>
      </c>
      <c r="G5016" s="395"/>
      <c r="H5016" s="395"/>
      <c r="J5016" s="42"/>
    </row>
    <row r="5017" spans="1:10" s="393" customFormat="1" ht="15.75" thickBot="1" x14ac:dyDescent="0.3">
      <c r="A5017" s="403" t="s">
        <v>40</v>
      </c>
      <c r="B5017" s="270">
        <v>44101</v>
      </c>
      <c r="C5017" s="234">
        <v>552</v>
      </c>
      <c r="D5017" s="67">
        <f t="shared" si="427"/>
        <v>12681</v>
      </c>
      <c r="E5017" s="234"/>
      <c r="F5017" s="632">
        <f>E5017+F4993</f>
        <v>107</v>
      </c>
      <c r="G5017" s="395"/>
      <c r="H5017" s="395"/>
      <c r="J5017" s="42"/>
    </row>
    <row r="5018" spans="1:10" s="393" customFormat="1" x14ac:dyDescent="0.25">
      <c r="A5018" s="397" t="s">
        <v>16</v>
      </c>
      <c r="B5018" s="267">
        <v>44102</v>
      </c>
      <c r="C5018" s="43">
        <v>4544</v>
      </c>
      <c r="D5018" s="175">
        <f>C5018+D4994</f>
        <v>406406</v>
      </c>
      <c r="E5018" s="43">
        <v>192</v>
      </c>
      <c r="F5018" s="630">
        <f>E5018+F4994</f>
        <v>9536</v>
      </c>
      <c r="G5018" s="395"/>
      <c r="H5018" s="395"/>
      <c r="J5018" s="42"/>
    </row>
    <row r="5019" spans="1:10" s="393" customFormat="1" x14ac:dyDescent="0.25">
      <c r="A5019" s="402" t="s">
        <v>43</v>
      </c>
      <c r="B5019" s="269">
        <v>44102</v>
      </c>
      <c r="C5019" s="1">
        <v>787</v>
      </c>
      <c r="D5019" s="39">
        <f t="shared" ref="D5019:D5031" si="428">C5019+D4995</f>
        <v>124075</v>
      </c>
      <c r="E5019" s="1">
        <v>39</v>
      </c>
      <c r="F5019" s="522">
        <f>E5019+F4995</f>
        <v>3237</v>
      </c>
      <c r="G5019" s="395"/>
      <c r="H5019" s="395"/>
      <c r="J5019" s="42"/>
    </row>
    <row r="5020" spans="1:10" s="393" customFormat="1" x14ac:dyDescent="0.25">
      <c r="A5020" s="402" t="s">
        <v>28</v>
      </c>
      <c r="B5020" s="269">
        <v>44102</v>
      </c>
      <c r="C5020" s="1">
        <v>3</v>
      </c>
      <c r="D5020" s="39">
        <f t="shared" si="428"/>
        <v>275</v>
      </c>
      <c r="E5020" s="1"/>
      <c r="F5020" s="522">
        <f>E5020+F4996</f>
        <v>0</v>
      </c>
      <c r="G5020" s="395"/>
      <c r="H5020" s="395"/>
      <c r="J5020" s="42"/>
    </row>
    <row r="5021" spans="1:10" s="393" customFormat="1" x14ac:dyDescent="0.25">
      <c r="A5021" s="402" t="s">
        <v>15</v>
      </c>
      <c r="B5021" s="269">
        <v>44102</v>
      </c>
      <c r="C5021" s="1">
        <v>65</v>
      </c>
      <c r="D5021" s="39">
        <f t="shared" si="428"/>
        <v>8243</v>
      </c>
      <c r="E5021" s="1">
        <v>2</v>
      </c>
      <c r="F5021" s="522">
        <f t="shared" ref="F5021:F5039" si="429">E5021+F4997</f>
        <v>280</v>
      </c>
      <c r="G5021" s="395"/>
      <c r="H5021" s="395"/>
      <c r="J5021" s="42"/>
    </row>
    <row r="5022" spans="1:10" s="393" customFormat="1" x14ac:dyDescent="0.25">
      <c r="A5022" s="402" t="s">
        <v>29</v>
      </c>
      <c r="B5022" s="269">
        <v>44102</v>
      </c>
      <c r="C5022" s="1">
        <v>181</v>
      </c>
      <c r="D5022" s="39">
        <f t="shared" si="428"/>
        <v>3590</v>
      </c>
      <c r="E5022" s="1">
        <v>5</v>
      </c>
      <c r="F5022" s="522">
        <f t="shared" si="429"/>
        <v>37</v>
      </c>
      <c r="G5022" s="395"/>
      <c r="H5022" s="395"/>
      <c r="J5022" s="42"/>
    </row>
    <row r="5023" spans="1:10" s="393" customFormat="1" x14ac:dyDescent="0.25">
      <c r="A5023" s="402" t="s">
        <v>20</v>
      </c>
      <c r="B5023" s="269">
        <v>44102</v>
      </c>
      <c r="C5023" s="1">
        <v>1475</v>
      </c>
      <c r="D5023" s="39">
        <f t="shared" si="428"/>
        <v>30685</v>
      </c>
      <c r="E5023" s="1">
        <v>12</v>
      </c>
      <c r="F5023" s="522">
        <f t="shared" si="429"/>
        <v>357</v>
      </c>
      <c r="G5023" s="395"/>
      <c r="H5023" s="395"/>
      <c r="J5023" s="42"/>
    </row>
    <row r="5024" spans="1:10" s="393" customFormat="1" x14ac:dyDescent="0.25">
      <c r="A5024" s="402" t="s">
        <v>30</v>
      </c>
      <c r="B5024" s="269">
        <v>44102</v>
      </c>
      <c r="C5024" s="1">
        <v>22</v>
      </c>
      <c r="D5024" s="39">
        <f t="shared" si="428"/>
        <v>1085</v>
      </c>
      <c r="E5024" s="1">
        <v>4</v>
      </c>
      <c r="F5024" s="522">
        <f>E5024+F5000</f>
        <v>23</v>
      </c>
      <c r="G5024" s="395"/>
      <c r="H5024" s="395"/>
      <c r="J5024" s="42"/>
    </row>
    <row r="5025" spans="1:10" x14ac:dyDescent="0.25">
      <c r="A5025" s="402" t="s">
        <v>31</v>
      </c>
      <c r="B5025" s="269">
        <v>44102</v>
      </c>
      <c r="C5025" s="1">
        <v>103</v>
      </c>
      <c r="D5025" s="39">
        <f t="shared" si="428"/>
        <v>7144</v>
      </c>
      <c r="E5025" s="1">
        <v>1</v>
      </c>
      <c r="F5025" s="522">
        <f>E5025+F5001</f>
        <v>132</v>
      </c>
    </row>
    <row r="5026" spans="1:10" s="393" customFormat="1" x14ac:dyDescent="0.25">
      <c r="A5026" s="402" t="s">
        <v>41</v>
      </c>
      <c r="B5026" s="269">
        <v>44102</v>
      </c>
      <c r="C5026" s="1">
        <v>-1</v>
      </c>
      <c r="D5026" s="39">
        <f t="shared" si="428"/>
        <v>104</v>
      </c>
      <c r="E5026" s="1"/>
      <c r="F5026" s="522">
        <f>E5026+F5002</f>
        <v>1</v>
      </c>
      <c r="G5026" s="395"/>
      <c r="H5026" s="395"/>
      <c r="J5026" s="42"/>
    </row>
    <row r="5027" spans="1:10" s="393" customFormat="1" x14ac:dyDescent="0.25">
      <c r="A5027" s="402" t="s">
        <v>32</v>
      </c>
      <c r="B5027" s="269">
        <v>44102</v>
      </c>
      <c r="C5027" s="1">
        <v>109</v>
      </c>
      <c r="D5027" s="39">
        <f t="shared" si="428"/>
        <v>15411</v>
      </c>
      <c r="E5027" s="1">
        <v>33</v>
      </c>
      <c r="F5027" s="522">
        <f>E5027+F5003</f>
        <v>464</v>
      </c>
      <c r="G5027" s="395"/>
      <c r="H5027" s="395"/>
      <c r="J5027" s="42"/>
    </row>
    <row r="5028" spans="1:10" s="393" customFormat="1" x14ac:dyDescent="0.25">
      <c r="A5028" s="402" t="s">
        <v>33</v>
      </c>
      <c r="B5028" s="269">
        <v>44102</v>
      </c>
      <c r="C5028" s="1">
        <v>25</v>
      </c>
      <c r="D5028" s="39">
        <f t="shared" si="428"/>
        <v>719</v>
      </c>
      <c r="E5028" s="1"/>
      <c r="F5028" s="522">
        <f t="shared" si="429"/>
        <v>7</v>
      </c>
      <c r="G5028" s="395"/>
      <c r="H5028" s="395"/>
      <c r="J5028" s="42"/>
    </row>
    <row r="5029" spans="1:10" s="393" customFormat="1" x14ac:dyDescent="0.25">
      <c r="A5029" s="402" t="s">
        <v>21</v>
      </c>
      <c r="B5029" s="269">
        <v>44102</v>
      </c>
      <c r="C5029" s="1">
        <v>69</v>
      </c>
      <c r="D5029" s="39">
        <f t="shared" si="428"/>
        <v>4651</v>
      </c>
      <c r="E5029" s="1"/>
      <c r="F5029" s="522">
        <f t="shared" si="429"/>
        <v>101</v>
      </c>
      <c r="G5029" s="395"/>
      <c r="H5029" s="395"/>
      <c r="J5029" s="42"/>
    </row>
    <row r="5030" spans="1:10" s="393" customFormat="1" x14ac:dyDescent="0.25">
      <c r="A5030" s="402" t="s">
        <v>17</v>
      </c>
      <c r="B5030" s="269">
        <v>44102</v>
      </c>
      <c r="C5030" s="1">
        <v>649</v>
      </c>
      <c r="D5030" s="39">
        <f t="shared" si="428"/>
        <v>23690</v>
      </c>
      <c r="E5030" s="1">
        <v>2</v>
      </c>
      <c r="F5030" s="522">
        <f t="shared" si="429"/>
        <v>246</v>
      </c>
      <c r="G5030" s="395"/>
      <c r="H5030" s="395"/>
      <c r="J5030" s="42"/>
    </row>
    <row r="5031" spans="1:10" s="393" customFormat="1" x14ac:dyDescent="0.25">
      <c r="A5031" s="402" t="s">
        <v>23</v>
      </c>
      <c r="B5031" s="269">
        <v>44102</v>
      </c>
      <c r="C5031" s="1">
        <v>-6</v>
      </c>
      <c r="D5031" s="39">
        <f t="shared" si="428"/>
        <v>79</v>
      </c>
      <c r="E5031" s="1">
        <v>1</v>
      </c>
      <c r="F5031" s="522">
        <f t="shared" si="429"/>
        <v>3</v>
      </c>
      <c r="G5031" s="395"/>
      <c r="H5031" s="395"/>
      <c r="J5031" s="42"/>
    </row>
    <row r="5032" spans="1:10" s="393" customFormat="1" x14ac:dyDescent="0.25">
      <c r="A5032" s="402" t="s">
        <v>19</v>
      </c>
      <c r="B5032" s="269">
        <v>44102</v>
      </c>
      <c r="C5032" s="1">
        <v>288</v>
      </c>
      <c r="D5032" s="39">
        <f>C5032+D5008</f>
        <v>7624</v>
      </c>
      <c r="E5032" s="1">
        <v>3</v>
      </c>
      <c r="F5032" s="522">
        <f t="shared" si="429"/>
        <v>114</v>
      </c>
      <c r="G5032" s="395"/>
      <c r="H5032" s="395"/>
      <c r="J5032" s="42"/>
    </row>
    <row r="5033" spans="1:10" s="393" customFormat="1" x14ac:dyDescent="0.25">
      <c r="A5033" s="402" t="s">
        <v>18</v>
      </c>
      <c r="B5033" s="269">
        <v>44102</v>
      </c>
      <c r="C5033" s="1">
        <v>213</v>
      </c>
      <c r="D5033" s="39">
        <f>C5033+D5009</f>
        <v>12131</v>
      </c>
      <c r="E5033" s="1">
        <v>6</v>
      </c>
      <c r="F5033" s="522">
        <f t="shared" si="429"/>
        <v>271</v>
      </c>
      <c r="G5033" s="395"/>
      <c r="H5033" s="395"/>
      <c r="J5033" s="42"/>
    </row>
    <row r="5034" spans="1:10" s="393" customFormat="1" x14ac:dyDescent="0.25">
      <c r="A5034" s="402" t="s">
        <v>34</v>
      </c>
      <c r="B5034" s="269">
        <v>44102</v>
      </c>
      <c r="C5034" s="1">
        <v>234</v>
      </c>
      <c r="D5034" s="39">
        <f>C5034+D5010</f>
        <v>11731</v>
      </c>
      <c r="E5034" s="1">
        <v>19</v>
      </c>
      <c r="F5034" s="522">
        <f>E5034+F5010</f>
        <v>315</v>
      </c>
      <c r="G5034" s="395"/>
      <c r="H5034" s="395"/>
      <c r="J5034" s="42"/>
    </row>
    <row r="5035" spans="1:10" s="393" customFormat="1" x14ac:dyDescent="0.25">
      <c r="A5035" s="402" t="s">
        <v>35</v>
      </c>
      <c r="B5035" s="269">
        <v>44102</v>
      </c>
      <c r="C5035" s="1">
        <v>72</v>
      </c>
      <c r="D5035" s="39">
        <f t="shared" ref="D5035:D5041" si="430">C5035+D5011</f>
        <v>695</v>
      </c>
      <c r="E5035" s="1"/>
      <c r="F5035" s="522">
        <f>E5035+F5011</f>
        <v>28</v>
      </c>
      <c r="G5035" s="395"/>
      <c r="H5035" s="395"/>
      <c r="J5035" s="42"/>
    </row>
    <row r="5036" spans="1:10" s="393" customFormat="1" x14ac:dyDescent="0.25">
      <c r="A5036" s="402" t="s">
        <v>36</v>
      </c>
      <c r="B5036" s="269">
        <v>44102</v>
      </c>
      <c r="C5036" s="1">
        <v>100</v>
      </c>
      <c r="D5036" s="39">
        <f t="shared" si="430"/>
        <v>1191</v>
      </c>
      <c r="E5036" s="1">
        <v>1</v>
      </c>
      <c r="F5036" s="522">
        <f t="shared" si="429"/>
        <v>5</v>
      </c>
      <c r="G5036" s="395"/>
      <c r="H5036" s="395"/>
      <c r="J5036" s="42"/>
    </row>
    <row r="5037" spans="1:10" s="393" customFormat="1" x14ac:dyDescent="0.25">
      <c r="A5037" s="402" t="s">
        <v>37</v>
      </c>
      <c r="B5037" s="269">
        <v>44102</v>
      </c>
      <c r="C5037" s="1">
        <v>129</v>
      </c>
      <c r="D5037" s="39">
        <f t="shared" si="430"/>
        <v>4586</v>
      </c>
      <c r="E5037" s="1">
        <v>1</v>
      </c>
      <c r="F5037" s="522">
        <f>E5037+F5013</f>
        <v>58</v>
      </c>
      <c r="G5037" s="395"/>
      <c r="H5037" s="395"/>
      <c r="J5037" s="42"/>
    </row>
    <row r="5038" spans="1:10" s="393" customFormat="1" x14ac:dyDescent="0.25">
      <c r="A5038" s="402" t="s">
        <v>22</v>
      </c>
      <c r="B5038" s="269">
        <v>44102</v>
      </c>
      <c r="C5038" s="1">
        <v>1575</v>
      </c>
      <c r="D5038" s="39">
        <f t="shared" si="430"/>
        <v>38370</v>
      </c>
      <c r="E5038" s="1">
        <v>24</v>
      </c>
      <c r="F5038" s="522">
        <f>E5038+F5014</f>
        <v>421</v>
      </c>
      <c r="G5038" s="395"/>
      <c r="H5038" s="395"/>
      <c r="J5038" s="42"/>
    </row>
    <row r="5039" spans="1:10" s="393" customFormat="1" x14ac:dyDescent="0.25">
      <c r="A5039" s="402" t="s">
        <v>38</v>
      </c>
      <c r="B5039" s="269">
        <v>44102</v>
      </c>
      <c r="C5039" s="1">
        <v>124</v>
      </c>
      <c r="D5039" s="39">
        <f t="shared" si="430"/>
        <v>3181</v>
      </c>
      <c r="E5039" s="1">
        <v>5</v>
      </c>
      <c r="F5039" s="522">
        <f t="shared" si="429"/>
        <v>57</v>
      </c>
      <c r="G5039" s="395"/>
      <c r="H5039" s="395"/>
      <c r="J5039" s="42"/>
    </row>
    <row r="5040" spans="1:10" s="393" customFormat="1" x14ac:dyDescent="0.25">
      <c r="A5040" s="402" t="s">
        <v>39</v>
      </c>
      <c r="B5040" s="269">
        <v>44102</v>
      </c>
      <c r="C5040" s="1">
        <v>158</v>
      </c>
      <c r="D5040" s="39">
        <f t="shared" si="430"/>
        <v>3886</v>
      </c>
      <c r="E5040" s="1">
        <v>3</v>
      </c>
      <c r="F5040" s="522">
        <f>E5040+F5016</f>
        <v>65</v>
      </c>
      <c r="G5040" s="395"/>
      <c r="H5040" s="395"/>
      <c r="J5040" s="42"/>
    </row>
    <row r="5041" spans="1:10" s="393" customFormat="1" ht="15.75" thickBot="1" x14ac:dyDescent="0.3">
      <c r="A5041" s="404" t="s">
        <v>40</v>
      </c>
      <c r="B5041" s="271">
        <v>44102</v>
      </c>
      <c r="C5041" s="44">
        <v>889</v>
      </c>
      <c r="D5041" s="177">
        <f t="shared" si="430"/>
        <v>13570</v>
      </c>
      <c r="E5041" s="44">
        <v>12</v>
      </c>
      <c r="F5041" s="631">
        <f>E5041+F5017</f>
        <v>119</v>
      </c>
      <c r="G5041" s="395"/>
      <c r="H5041" s="395"/>
      <c r="J5041" s="42"/>
    </row>
    <row r="5042" spans="1:10" s="393" customFormat="1" x14ac:dyDescent="0.25">
      <c r="A5042" s="397" t="s">
        <v>16</v>
      </c>
      <c r="B5042" s="269">
        <v>44103</v>
      </c>
      <c r="C5042" s="227">
        <v>5328</v>
      </c>
      <c r="D5042" s="175">
        <f>C5042+D5018</f>
        <v>411734</v>
      </c>
      <c r="E5042" s="227">
        <v>249</v>
      </c>
      <c r="F5042" s="630">
        <f>E5042+F5018</f>
        <v>9785</v>
      </c>
      <c r="G5042" s="395"/>
      <c r="H5042" s="395"/>
      <c r="J5042" s="42"/>
    </row>
    <row r="5043" spans="1:10" s="393" customFormat="1" x14ac:dyDescent="0.25">
      <c r="A5043" s="402" t="s">
        <v>43</v>
      </c>
      <c r="B5043" s="269">
        <v>44103</v>
      </c>
      <c r="C5043" s="1">
        <v>993</v>
      </c>
      <c r="D5043" s="39">
        <f t="shared" ref="D5043:D5055" si="431">C5043+D5019</f>
        <v>125068</v>
      </c>
      <c r="E5043" s="1">
        <v>52</v>
      </c>
      <c r="F5043" s="522">
        <f>E5043+F5019</f>
        <v>3289</v>
      </c>
      <c r="G5043" s="395"/>
      <c r="H5043" s="395"/>
      <c r="J5043" s="42"/>
    </row>
    <row r="5044" spans="1:10" s="393" customFormat="1" x14ac:dyDescent="0.25">
      <c r="A5044" s="402" t="s">
        <v>28</v>
      </c>
      <c r="B5044" s="269">
        <v>44103</v>
      </c>
      <c r="C5044" s="1">
        <v>4</v>
      </c>
      <c r="D5044" s="39">
        <f t="shared" si="431"/>
        <v>279</v>
      </c>
      <c r="E5044" s="1"/>
      <c r="F5044" s="522">
        <f>E5044+F5020</f>
        <v>0</v>
      </c>
      <c r="G5044" s="395"/>
      <c r="H5044" s="395"/>
      <c r="J5044" s="42"/>
    </row>
    <row r="5045" spans="1:10" s="393" customFormat="1" x14ac:dyDescent="0.25">
      <c r="A5045" s="402" t="s">
        <v>15</v>
      </c>
      <c r="B5045" s="269">
        <v>44103</v>
      </c>
      <c r="C5045" s="1">
        <v>143</v>
      </c>
      <c r="D5045" s="39">
        <f t="shared" si="431"/>
        <v>8386</v>
      </c>
      <c r="E5045" s="1">
        <v>1</v>
      </c>
      <c r="F5045" s="522">
        <f t="shared" ref="F5045:F5063" si="432">E5045+F5021</f>
        <v>281</v>
      </c>
      <c r="G5045" s="395"/>
      <c r="H5045" s="395"/>
      <c r="J5045" s="42"/>
    </row>
    <row r="5046" spans="1:10" s="393" customFormat="1" x14ac:dyDescent="0.25">
      <c r="A5046" s="402" t="s">
        <v>29</v>
      </c>
      <c r="B5046" s="269">
        <v>44103</v>
      </c>
      <c r="C5046" s="1">
        <v>209</v>
      </c>
      <c r="D5046" s="39">
        <f t="shared" si="431"/>
        <v>3799</v>
      </c>
      <c r="E5046" s="1">
        <v>7</v>
      </c>
      <c r="F5046" s="522">
        <f t="shared" si="432"/>
        <v>44</v>
      </c>
      <c r="G5046" s="395"/>
      <c r="H5046" s="395"/>
      <c r="J5046" s="42"/>
    </row>
    <row r="5047" spans="1:10" s="393" customFormat="1" x14ac:dyDescent="0.25">
      <c r="A5047" s="402" t="s">
        <v>20</v>
      </c>
      <c r="B5047" s="269">
        <v>44103</v>
      </c>
      <c r="C5047" s="1">
        <v>1800</v>
      </c>
      <c r="D5047" s="39">
        <f t="shared" si="431"/>
        <v>32485</v>
      </c>
      <c r="E5047" s="1">
        <v>21</v>
      </c>
      <c r="F5047" s="522">
        <f t="shared" si="432"/>
        <v>378</v>
      </c>
      <c r="G5047" s="395"/>
      <c r="H5047" s="395"/>
      <c r="J5047" s="42"/>
    </row>
    <row r="5048" spans="1:10" s="393" customFormat="1" x14ac:dyDescent="0.25">
      <c r="A5048" s="402" t="s">
        <v>30</v>
      </c>
      <c r="B5048" s="269">
        <v>44103</v>
      </c>
      <c r="C5048" s="1">
        <v>-12</v>
      </c>
      <c r="D5048" s="39">
        <f t="shared" si="431"/>
        <v>1073</v>
      </c>
      <c r="E5048" s="1">
        <v>-1</v>
      </c>
      <c r="F5048" s="522">
        <f>E5048+F5024</f>
        <v>22</v>
      </c>
      <c r="G5048" s="395"/>
      <c r="H5048" s="395"/>
      <c r="J5048" s="42"/>
    </row>
    <row r="5049" spans="1:10" x14ac:dyDescent="0.25">
      <c r="A5049" s="402" t="s">
        <v>31</v>
      </c>
      <c r="B5049" s="269">
        <v>44103</v>
      </c>
      <c r="C5049" s="1">
        <v>162</v>
      </c>
      <c r="D5049" s="39">
        <f t="shared" si="431"/>
        <v>7306</v>
      </c>
      <c r="E5049" s="1">
        <v>6</v>
      </c>
      <c r="F5049" s="522">
        <f>E5049+F5025</f>
        <v>138</v>
      </c>
    </row>
    <row r="5050" spans="1:10" s="393" customFormat="1" x14ac:dyDescent="0.25">
      <c r="A5050" s="402" t="s">
        <v>41</v>
      </c>
      <c r="B5050" s="269">
        <v>44103</v>
      </c>
      <c r="C5050" s="1">
        <v>0</v>
      </c>
      <c r="D5050" s="39">
        <f t="shared" si="431"/>
        <v>104</v>
      </c>
      <c r="E5050" s="1"/>
      <c r="F5050" s="522">
        <f>E5050+F5026</f>
        <v>1</v>
      </c>
      <c r="G5050" s="395"/>
      <c r="H5050" s="395"/>
      <c r="J5050" s="42"/>
    </row>
    <row r="5051" spans="1:10" s="393" customFormat="1" x14ac:dyDescent="0.25">
      <c r="A5051" s="402" t="s">
        <v>32</v>
      </c>
      <c r="B5051" s="269">
        <v>44103</v>
      </c>
      <c r="C5051" s="1">
        <v>102</v>
      </c>
      <c r="D5051" s="39">
        <f t="shared" si="431"/>
        <v>15513</v>
      </c>
      <c r="E5051" s="1">
        <v>4</v>
      </c>
      <c r="F5051" s="522">
        <f>E5051+F5027</f>
        <v>468</v>
      </c>
      <c r="G5051" s="395"/>
      <c r="H5051" s="395"/>
      <c r="J5051" s="42"/>
    </row>
    <row r="5052" spans="1:10" s="393" customFormat="1" x14ac:dyDescent="0.25">
      <c r="A5052" s="402" t="s">
        <v>33</v>
      </c>
      <c r="B5052" s="269">
        <v>44103</v>
      </c>
      <c r="C5052" s="1">
        <v>19</v>
      </c>
      <c r="D5052" s="39">
        <f t="shared" si="431"/>
        <v>738</v>
      </c>
      <c r="E5052" s="1"/>
      <c r="F5052" s="522">
        <f t="shared" si="432"/>
        <v>7</v>
      </c>
      <c r="G5052" s="395"/>
      <c r="H5052" s="395"/>
      <c r="J5052" s="42"/>
    </row>
    <row r="5053" spans="1:10" s="393" customFormat="1" x14ac:dyDescent="0.25">
      <c r="A5053" s="402" t="s">
        <v>21</v>
      </c>
      <c r="B5053" s="269">
        <v>44103</v>
      </c>
      <c r="C5053" s="1">
        <v>51</v>
      </c>
      <c r="D5053" s="39">
        <f t="shared" si="431"/>
        <v>4702</v>
      </c>
      <c r="E5053" s="1"/>
      <c r="F5053" s="522">
        <f t="shared" si="432"/>
        <v>101</v>
      </c>
      <c r="G5053" s="395"/>
      <c r="H5053" s="395"/>
      <c r="J5053" s="42"/>
    </row>
    <row r="5054" spans="1:10" s="393" customFormat="1" x14ac:dyDescent="0.25">
      <c r="A5054" s="402" t="s">
        <v>17</v>
      </c>
      <c r="B5054" s="269">
        <v>44103</v>
      </c>
      <c r="C5054" s="1">
        <v>668</v>
      </c>
      <c r="D5054" s="39">
        <f t="shared" si="431"/>
        <v>24358</v>
      </c>
      <c r="E5054" s="1">
        <v>7</v>
      </c>
      <c r="F5054" s="522">
        <f t="shared" si="432"/>
        <v>253</v>
      </c>
      <c r="G5054" s="395"/>
      <c r="H5054" s="395"/>
      <c r="J5054" s="42"/>
    </row>
    <row r="5055" spans="1:10" s="393" customFormat="1" x14ac:dyDescent="0.25">
      <c r="A5055" s="402" t="s">
        <v>23</v>
      </c>
      <c r="B5055" s="269">
        <v>44103</v>
      </c>
      <c r="C5055" s="1">
        <v>8</v>
      </c>
      <c r="D5055" s="39">
        <f t="shared" si="431"/>
        <v>87</v>
      </c>
      <c r="E5055" s="1"/>
      <c r="F5055" s="522">
        <f t="shared" si="432"/>
        <v>3</v>
      </c>
      <c r="G5055" s="395"/>
      <c r="H5055" s="395"/>
      <c r="J5055" s="42"/>
    </row>
    <row r="5056" spans="1:10" s="393" customFormat="1" x14ac:dyDescent="0.25">
      <c r="A5056" s="402" t="s">
        <v>19</v>
      </c>
      <c r="B5056" s="269">
        <v>44103</v>
      </c>
      <c r="C5056" s="1">
        <v>77</v>
      </c>
      <c r="D5056" s="39">
        <f>C5056+D5032</f>
        <v>7701</v>
      </c>
      <c r="E5056" s="1">
        <v>2</v>
      </c>
      <c r="F5056" s="522">
        <f t="shared" si="432"/>
        <v>116</v>
      </c>
      <c r="G5056" s="395"/>
      <c r="H5056" s="395"/>
      <c r="J5056" s="42"/>
    </row>
    <row r="5057" spans="1:10" s="393" customFormat="1" x14ac:dyDescent="0.25">
      <c r="A5057" s="402" t="s">
        <v>18</v>
      </c>
      <c r="B5057" s="269">
        <v>44103</v>
      </c>
      <c r="C5057" s="1">
        <v>339</v>
      </c>
      <c r="D5057" s="39">
        <f>C5057+D5033</f>
        <v>12470</v>
      </c>
      <c r="E5057" s="1">
        <v>8</v>
      </c>
      <c r="F5057" s="522">
        <f t="shared" si="432"/>
        <v>279</v>
      </c>
      <c r="G5057" s="395"/>
      <c r="H5057" s="395"/>
      <c r="J5057" s="42"/>
    </row>
    <row r="5058" spans="1:10" s="393" customFormat="1" x14ac:dyDescent="0.25">
      <c r="A5058" s="402" t="s">
        <v>34</v>
      </c>
      <c r="B5058" s="269">
        <v>44103</v>
      </c>
      <c r="C5058" s="1">
        <v>324</v>
      </c>
      <c r="D5058" s="39">
        <f>C5058+D5034</f>
        <v>12055</v>
      </c>
      <c r="E5058" s="1">
        <v>11</v>
      </c>
      <c r="F5058" s="522">
        <f>E5058+F5034</f>
        <v>326</v>
      </c>
      <c r="G5058" s="395"/>
      <c r="H5058" s="395"/>
      <c r="J5058" s="42"/>
    </row>
    <row r="5059" spans="1:10" s="393" customFormat="1" x14ac:dyDescent="0.25">
      <c r="A5059" s="402" t="s">
        <v>35</v>
      </c>
      <c r="B5059" s="269">
        <v>44103</v>
      </c>
      <c r="C5059" s="1">
        <v>20</v>
      </c>
      <c r="D5059" s="39">
        <f t="shared" ref="D5059:D5065" si="433">C5059+D5035</f>
        <v>715</v>
      </c>
      <c r="E5059" s="1">
        <v>4</v>
      </c>
      <c r="F5059" s="522">
        <f>E5059+F5035</f>
        <v>32</v>
      </c>
      <c r="G5059" s="395"/>
      <c r="H5059" s="395"/>
      <c r="J5059" s="42"/>
    </row>
    <row r="5060" spans="1:10" s="393" customFormat="1" x14ac:dyDescent="0.25">
      <c r="A5060" s="402" t="s">
        <v>36</v>
      </c>
      <c r="B5060" s="269">
        <v>44103</v>
      </c>
      <c r="C5060" s="1">
        <v>150</v>
      </c>
      <c r="D5060" s="39">
        <f t="shared" si="433"/>
        <v>1341</v>
      </c>
      <c r="E5060" s="1"/>
      <c r="F5060" s="522">
        <f t="shared" si="432"/>
        <v>5</v>
      </c>
      <c r="G5060" s="395"/>
      <c r="H5060" s="395"/>
      <c r="J5060" s="42"/>
    </row>
    <row r="5061" spans="1:10" s="393" customFormat="1" x14ac:dyDescent="0.25">
      <c r="A5061" s="402" t="s">
        <v>37</v>
      </c>
      <c r="B5061" s="269">
        <v>44103</v>
      </c>
      <c r="C5061" s="1">
        <v>113</v>
      </c>
      <c r="D5061" s="39">
        <f t="shared" si="433"/>
        <v>4699</v>
      </c>
      <c r="E5061" s="1">
        <v>3</v>
      </c>
      <c r="F5061" s="522">
        <f>E5061+F5037</f>
        <v>61</v>
      </c>
      <c r="G5061" s="395"/>
      <c r="H5061" s="395"/>
      <c r="J5061" s="42"/>
    </row>
    <row r="5062" spans="1:10" s="393" customFormat="1" x14ac:dyDescent="0.25">
      <c r="A5062" s="402" t="s">
        <v>22</v>
      </c>
      <c r="B5062" s="269">
        <v>44103</v>
      </c>
      <c r="C5062" s="1">
        <v>2011</v>
      </c>
      <c r="D5062" s="39">
        <f t="shared" si="433"/>
        <v>40381</v>
      </c>
      <c r="E5062" s="1">
        <v>15</v>
      </c>
      <c r="F5062" s="522">
        <f>E5062+F5038</f>
        <v>436</v>
      </c>
      <c r="G5062" s="395"/>
      <c r="H5062" s="395"/>
      <c r="J5062" s="42"/>
    </row>
    <row r="5063" spans="1:10" s="393" customFormat="1" x14ac:dyDescent="0.25">
      <c r="A5063" s="402" t="s">
        <v>38</v>
      </c>
      <c r="B5063" s="269">
        <v>44103</v>
      </c>
      <c r="C5063" s="1">
        <v>142</v>
      </c>
      <c r="D5063" s="39">
        <f t="shared" si="433"/>
        <v>3323</v>
      </c>
      <c r="E5063" s="1">
        <v>1</v>
      </c>
      <c r="F5063" s="522">
        <f t="shared" si="432"/>
        <v>58</v>
      </c>
      <c r="G5063" s="395"/>
      <c r="H5063" s="395"/>
      <c r="J5063" s="42"/>
    </row>
    <row r="5064" spans="1:10" s="393" customFormat="1" x14ac:dyDescent="0.25">
      <c r="A5064" s="402" t="s">
        <v>39</v>
      </c>
      <c r="B5064" s="269">
        <v>44103</v>
      </c>
      <c r="C5064" s="1">
        <v>221</v>
      </c>
      <c r="D5064" s="39">
        <f t="shared" si="433"/>
        <v>4107</v>
      </c>
      <c r="E5064" s="1">
        <v>2</v>
      </c>
      <c r="F5064" s="522">
        <f>E5064+F5040</f>
        <v>67</v>
      </c>
      <c r="G5064" s="395"/>
      <c r="H5064" s="395"/>
      <c r="J5064" s="42"/>
    </row>
    <row r="5065" spans="1:10" s="393" customFormat="1" ht="15.75" thickBot="1" x14ac:dyDescent="0.3">
      <c r="A5065" s="404" t="s">
        <v>40</v>
      </c>
      <c r="B5065" s="269">
        <v>44103</v>
      </c>
      <c r="C5065" s="1">
        <v>605</v>
      </c>
      <c r="D5065" s="177">
        <f t="shared" si="433"/>
        <v>14175</v>
      </c>
      <c r="E5065" s="1">
        <v>13</v>
      </c>
      <c r="F5065" s="631">
        <f>E5065+F5041</f>
        <v>132</v>
      </c>
      <c r="G5065" s="395"/>
      <c r="H5065" s="395"/>
      <c r="J5065" s="42"/>
    </row>
    <row r="5066" spans="1:10" s="393" customFormat="1" x14ac:dyDescent="0.25">
      <c r="A5066" s="397" t="s">
        <v>16</v>
      </c>
      <c r="B5066" s="269">
        <v>44104</v>
      </c>
      <c r="C5066" s="1">
        <v>5943</v>
      </c>
      <c r="D5066" s="175">
        <f>C5066+D5042</f>
        <v>417677</v>
      </c>
      <c r="E5066" s="1">
        <f>92+84</f>
        <v>176</v>
      </c>
      <c r="F5066" s="630">
        <f>E5066+F5042</f>
        <v>9961</v>
      </c>
      <c r="G5066" s="395"/>
      <c r="H5066" s="395"/>
      <c r="J5066" s="42"/>
    </row>
    <row r="5067" spans="1:10" s="393" customFormat="1" x14ac:dyDescent="0.25">
      <c r="A5067" s="402" t="s">
        <v>43</v>
      </c>
      <c r="B5067" s="269">
        <v>44104</v>
      </c>
      <c r="C5067" s="1">
        <v>898</v>
      </c>
      <c r="D5067" s="39">
        <f t="shared" ref="D5067:D5079" si="434">C5067+D5043</f>
        <v>125966</v>
      </c>
      <c r="E5067" s="1">
        <f>55+63</f>
        <v>118</v>
      </c>
      <c r="F5067" s="522">
        <f>E5067+F5043</f>
        <v>3407</v>
      </c>
      <c r="G5067" s="395"/>
      <c r="H5067" s="395"/>
      <c r="J5067" s="42"/>
    </row>
    <row r="5068" spans="1:10" s="393" customFormat="1" x14ac:dyDescent="0.25">
      <c r="A5068" s="402" t="s">
        <v>28</v>
      </c>
      <c r="B5068" s="269">
        <v>44104</v>
      </c>
      <c r="C5068" s="1">
        <v>8</v>
      </c>
      <c r="D5068" s="39">
        <f t="shared" si="434"/>
        <v>287</v>
      </c>
      <c r="E5068" s="1"/>
      <c r="F5068" s="522">
        <f>E5068+F5044</f>
        <v>0</v>
      </c>
      <c r="G5068" s="395"/>
      <c r="H5068" s="395"/>
      <c r="J5068" s="42"/>
    </row>
    <row r="5069" spans="1:10" s="393" customFormat="1" x14ac:dyDescent="0.25">
      <c r="A5069" s="402" t="s">
        <v>15</v>
      </c>
      <c r="B5069" s="269">
        <v>44104</v>
      </c>
      <c r="C5069" s="1">
        <v>157</v>
      </c>
      <c r="D5069" s="39">
        <f t="shared" si="434"/>
        <v>8543</v>
      </c>
      <c r="E5069" s="1">
        <f>2+2</f>
        <v>4</v>
      </c>
      <c r="F5069" s="522">
        <f t="shared" ref="F5069:F5087" si="435">E5069+F5045</f>
        <v>285</v>
      </c>
      <c r="G5069" s="395"/>
      <c r="H5069" s="395"/>
      <c r="J5069" s="42"/>
    </row>
    <row r="5070" spans="1:10" s="393" customFormat="1" x14ac:dyDescent="0.25">
      <c r="A5070" s="402" t="s">
        <v>29</v>
      </c>
      <c r="B5070" s="269">
        <v>44104</v>
      </c>
      <c r="C5070" s="1">
        <v>156</v>
      </c>
      <c r="D5070" s="39">
        <f t="shared" si="434"/>
        <v>3955</v>
      </c>
      <c r="E5070" s="1">
        <f>3+3</f>
        <v>6</v>
      </c>
      <c r="F5070" s="522">
        <f t="shared" si="435"/>
        <v>50</v>
      </c>
      <c r="G5070" s="395"/>
      <c r="H5070" s="395"/>
      <c r="J5070" s="42"/>
    </row>
    <row r="5071" spans="1:10" s="393" customFormat="1" x14ac:dyDescent="0.25">
      <c r="A5071" s="402" t="s">
        <v>20</v>
      </c>
      <c r="B5071" s="269">
        <v>44104</v>
      </c>
      <c r="C5071" s="1">
        <v>1718</v>
      </c>
      <c r="D5071" s="39">
        <f t="shared" si="434"/>
        <v>34203</v>
      </c>
      <c r="E5071" s="1">
        <f>8+11</f>
        <v>19</v>
      </c>
      <c r="F5071" s="522">
        <f t="shared" si="435"/>
        <v>397</v>
      </c>
      <c r="G5071" s="395"/>
      <c r="H5071" s="395"/>
      <c r="J5071" s="42"/>
    </row>
    <row r="5072" spans="1:10" s="393" customFormat="1" x14ac:dyDescent="0.25">
      <c r="A5072" s="402" t="s">
        <v>30</v>
      </c>
      <c r="B5072" s="269">
        <v>44104</v>
      </c>
      <c r="C5072" s="1">
        <v>20</v>
      </c>
      <c r="D5072" s="39">
        <f t="shared" si="434"/>
        <v>1093</v>
      </c>
      <c r="E5072" s="1"/>
      <c r="F5072" s="522">
        <f>E5072+F5048</f>
        <v>22</v>
      </c>
      <c r="G5072" s="395"/>
      <c r="H5072" s="395"/>
      <c r="J5072" s="42"/>
    </row>
    <row r="5073" spans="1:10" x14ac:dyDescent="0.25">
      <c r="A5073" s="402" t="s">
        <v>31</v>
      </c>
      <c r="B5073" s="269">
        <v>44104</v>
      </c>
      <c r="C5073" s="1">
        <v>177</v>
      </c>
      <c r="D5073" s="39">
        <f t="shared" si="434"/>
        <v>7483</v>
      </c>
      <c r="E5073" s="1">
        <f>1+1</f>
        <v>2</v>
      </c>
      <c r="F5073" s="522">
        <f>E5073+F5049</f>
        <v>140</v>
      </c>
    </row>
    <row r="5074" spans="1:10" s="393" customFormat="1" x14ac:dyDescent="0.25">
      <c r="A5074" s="402" t="s">
        <v>41</v>
      </c>
      <c r="B5074" s="269">
        <v>44104</v>
      </c>
      <c r="C5074" s="1">
        <v>0</v>
      </c>
      <c r="D5074" s="39">
        <f t="shared" si="434"/>
        <v>104</v>
      </c>
      <c r="E5074" s="1"/>
      <c r="F5074" s="522">
        <f>E5074+F5050</f>
        <v>1</v>
      </c>
      <c r="G5074" s="395"/>
      <c r="H5074" s="395"/>
      <c r="J5074" s="42"/>
    </row>
    <row r="5075" spans="1:10" s="393" customFormat="1" x14ac:dyDescent="0.25">
      <c r="A5075" s="402" t="s">
        <v>32</v>
      </c>
      <c r="B5075" s="269">
        <v>44104</v>
      </c>
      <c r="C5075" s="1">
        <v>157</v>
      </c>
      <c r="D5075" s="39">
        <f t="shared" si="434"/>
        <v>15670</v>
      </c>
      <c r="E5075" s="1">
        <f>26+10</f>
        <v>36</v>
      </c>
      <c r="F5075" s="522">
        <f>E5075+F5051</f>
        <v>504</v>
      </c>
      <c r="G5075" s="395"/>
      <c r="H5075" s="395"/>
      <c r="J5075" s="42"/>
    </row>
    <row r="5076" spans="1:10" s="393" customFormat="1" x14ac:dyDescent="0.25">
      <c r="A5076" s="402" t="s">
        <v>33</v>
      </c>
      <c r="B5076" s="269">
        <v>44104</v>
      </c>
      <c r="C5076" s="1">
        <v>25</v>
      </c>
      <c r="D5076" s="39">
        <f t="shared" si="434"/>
        <v>763</v>
      </c>
      <c r="E5076" s="1"/>
      <c r="F5076" s="522">
        <f t="shared" si="435"/>
        <v>7</v>
      </c>
      <c r="G5076" s="395"/>
      <c r="H5076" s="395"/>
      <c r="J5076" s="42"/>
    </row>
    <row r="5077" spans="1:10" s="393" customFormat="1" x14ac:dyDescent="0.25">
      <c r="A5077" s="402" t="s">
        <v>21</v>
      </c>
      <c r="B5077" s="269">
        <v>44104</v>
      </c>
      <c r="C5077" s="1">
        <v>126</v>
      </c>
      <c r="D5077" s="39">
        <f t="shared" si="434"/>
        <v>4828</v>
      </c>
      <c r="E5077" s="1"/>
      <c r="F5077" s="522">
        <f t="shared" si="435"/>
        <v>101</v>
      </c>
      <c r="G5077" s="395"/>
      <c r="H5077" s="395"/>
      <c r="J5077" s="42"/>
    </row>
    <row r="5078" spans="1:10" s="393" customFormat="1" x14ac:dyDescent="0.25">
      <c r="A5078" s="402" t="s">
        <v>17</v>
      </c>
      <c r="B5078" s="269">
        <v>44104</v>
      </c>
      <c r="C5078" s="1">
        <v>691</v>
      </c>
      <c r="D5078" s="39">
        <f t="shared" si="434"/>
        <v>25049</v>
      </c>
      <c r="E5078" s="1">
        <f>10+4</f>
        <v>14</v>
      </c>
      <c r="F5078" s="522">
        <f t="shared" si="435"/>
        <v>267</v>
      </c>
      <c r="G5078" s="395"/>
      <c r="H5078" s="395"/>
      <c r="J5078" s="42"/>
    </row>
    <row r="5079" spans="1:10" s="393" customFormat="1" x14ac:dyDescent="0.25">
      <c r="A5079" s="402" t="s">
        <v>23</v>
      </c>
      <c r="B5079" s="269">
        <v>44104</v>
      </c>
      <c r="C5079" s="1">
        <v>9</v>
      </c>
      <c r="D5079" s="39">
        <f t="shared" si="434"/>
        <v>96</v>
      </c>
      <c r="E5079" s="1"/>
      <c r="F5079" s="522">
        <f t="shared" si="435"/>
        <v>3</v>
      </c>
      <c r="G5079" s="395"/>
      <c r="H5079" s="395"/>
      <c r="J5079" s="42"/>
    </row>
    <row r="5080" spans="1:10" s="393" customFormat="1" x14ac:dyDescent="0.25">
      <c r="A5080" s="402" t="s">
        <v>19</v>
      </c>
      <c r="B5080" s="269">
        <v>44104</v>
      </c>
      <c r="C5080" s="1">
        <v>192</v>
      </c>
      <c r="D5080" s="39">
        <f>C5080+D5056</f>
        <v>7893</v>
      </c>
      <c r="E5080" s="1">
        <f>1</f>
        <v>1</v>
      </c>
      <c r="F5080" s="522">
        <f t="shared" si="435"/>
        <v>117</v>
      </c>
      <c r="G5080" s="395"/>
      <c r="H5080" s="395"/>
      <c r="J5080" s="42"/>
    </row>
    <row r="5081" spans="1:10" s="393" customFormat="1" x14ac:dyDescent="0.25">
      <c r="A5081" s="402" t="s">
        <v>18</v>
      </c>
      <c r="B5081" s="269">
        <v>44104</v>
      </c>
      <c r="C5081" s="1">
        <v>369</v>
      </c>
      <c r="D5081" s="39">
        <f>C5081+D5057</f>
        <v>12839</v>
      </c>
      <c r="E5081" s="1">
        <f>5+6</f>
        <v>11</v>
      </c>
      <c r="F5081" s="522">
        <f t="shared" si="435"/>
        <v>290</v>
      </c>
      <c r="G5081" s="395"/>
      <c r="H5081" s="395"/>
      <c r="J5081" s="42"/>
    </row>
    <row r="5082" spans="1:10" s="393" customFormat="1" x14ac:dyDescent="0.25">
      <c r="A5082" s="402" t="s">
        <v>34</v>
      </c>
      <c r="B5082" s="269">
        <v>44104</v>
      </c>
      <c r="C5082" s="1">
        <v>360</v>
      </c>
      <c r="D5082" s="39">
        <f>C5082+D5058</f>
        <v>12415</v>
      </c>
      <c r="E5082" s="1">
        <f>5+7</f>
        <v>12</v>
      </c>
      <c r="F5082" s="522">
        <f>E5082+F5058</f>
        <v>338</v>
      </c>
      <c r="G5082" s="395"/>
      <c r="H5082" s="395"/>
      <c r="J5082" s="42"/>
    </row>
    <row r="5083" spans="1:10" s="393" customFormat="1" x14ac:dyDescent="0.25">
      <c r="A5083" s="402" t="s">
        <v>35</v>
      </c>
      <c r="B5083" s="269">
        <v>44104</v>
      </c>
      <c r="C5083" s="1">
        <v>2</v>
      </c>
      <c r="D5083" s="39">
        <f t="shared" ref="D5083:D5089" si="436">C5083+D5059</f>
        <v>717</v>
      </c>
      <c r="E5083" s="1">
        <f>1+2</f>
        <v>3</v>
      </c>
      <c r="F5083" s="522">
        <f>E5083+F5059</f>
        <v>35</v>
      </c>
      <c r="G5083" s="395"/>
      <c r="H5083" s="395"/>
      <c r="J5083" s="42"/>
    </row>
    <row r="5084" spans="1:10" s="393" customFormat="1" x14ac:dyDescent="0.25">
      <c r="A5084" s="402" t="s">
        <v>36</v>
      </c>
      <c r="B5084" s="269">
        <v>44104</v>
      </c>
      <c r="C5084" s="1">
        <v>131</v>
      </c>
      <c r="D5084" s="39">
        <f t="shared" si="436"/>
        <v>1472</v>
      </c>
      <c r="E5084" s="1">
        <f>1</f>
        <v>1</v>
      </c>
      <c r="F5084" s="522">
        <f t="shared" si="435"/>
        <v>6</v>
      </c>
      <c r="G5084" s="395"/>
      <c r="H5084" s="395"/>
      <c r="J5084" s="42"/>
    </row>
    <row r="5085" spans="1:10" s="393" customFormat="1" x14ac:dyDescent="0.25">
      <c r="A5085" s="402" t="s">
        <v>37</v>
      </c>
      <c r="B5085" s="269">
        <v>44104</v>
      </c>
      <c r="C5085" s="1">
        <v>145</v>
      </c>
      <c r="D5085" s="39">
        <f t="shared" si="436"/>
        <v>4844</v>
      </c>
      <c r="E5085" s="1">
        <f>1</f>
        <v>1</v>
      </c>
      <c r="F5085" s="522">
        <f>E5085+F5061</f>
        <v>62</v>
      </c>
      <c r="G5085" s="395"/>
      <c r="H5085" s="395"/>
      <c r="J5085" s="42"/>
    </row>
    <row r="5086" spans="1:10" s="393" customFormat="1" x14ac:dyDescent="0.25">
      <c r="A5086" s="402" t="s">
        <v>22</v>
      </c>
      <c r="B5086" s="269">
        <v>44104</v>
      </c>
      <c r="C5086" s="1">
        <v>2017</v>
      </c>
      <c r="D5086" s="39">
        <f t="shared" si="436"/>
        <v>42398</v>
      </c>
      <c r="E5086" s="1">
        <f>5+5</f>
        <v>10</v>
      </c>
      <c r="F5086" s="522">
        <f>E5086+F5062</f>
        <v>446</v>
      </c>
      <c r="G5086" s="395"/>
      <c r="H5086" s="395"/>
      <c r="J5086" s="42"/>
    </row>
    <row r="5087" spans="1:10" s="393" customFormat="1" x14ac:dyDescent="0.25">
      <c r="A5087" s="402" t="s">
        <v>38</v>
      </c>
      <c r="B5087" s="269">
        <v>44104</v>
      </c>
      <c r="C5087" s="1">
        <v>96</v>
      </c>
      <c r="D5087" s="39">
        <f t="shared" si="436"/>
        <v>3419</v>
      </c>
      <c r="E5087" s="1">
        <f>2+2</f>
        <v>4</v>
      </c>
      <c r="F5087" s="522">
        <f t="shared" si="435"/>
        <v>62</v>
      </c>
      <c r="G5087" s="395"/>
      <c r="H5087" s="395"/>
      <c r="J5087" s="42"/>
    </row>
    <row r="5088" spans="1:10" s="393" customFormat="1" x14ac:dyDescent="0.25">
      <c r="A5088" s="402" t="s">
        <v>39</v>
      </c>
      <c r="B5088" s="269">
        <v>44104</v>
      </c>
      <c r="C5088" s="1">
        <v>256</v>
      </c>
      <c r="D5088" s="39">
        <f t="shared" si="436"/>
        <v>4363</v>
      </c>
      <c r="E5088" s="1"/>
      <c r="F5088" s="522">
        <f t="shared" ref="F5088:F5099" si="437">E5088+F5064</f>
        <v>67</v>
      </c>
      <c r="G5088" s="395"/>
      <c r="H5088" s="395"/>
      <c r="J5088" s="42"/>
    </row>
    <row r="5089" spans="1:10" s="393" customFormat="1" ht="15.75" thickBot="1" x14ac:dyDescent="0.3">
      <c r="A5089" s="403" t="s">
        <v>40</v>
      </c>
      <c r="B5089" s="270">
        <v>44104</v>
      </c>
      <c r="C5089" s="234">
        <v>739</v>
      </c>
      <c r="D5089" s="67">
        <f t="shared" si="436"/>
        <v>14914</v>
      </c>
      <c r="E5089" s="234"/>
      <c r="F5089" s="632">
        <f t="shared" si="437"/>
        <v>132</v>
      </c>
      <c r="G5089" s="395"/>
      <c r="H5089" s="395"/>
      <c r="J5089" s="42"/>
    </row>
    <row r="5090" spans="1:10" s="393" customFormat="1" x14ac:dyDescent="0.25">
      <c r="A5090" s="397" t="s">
        <v>16</v>
      </c>
      <c r="B5090" s="267">
        <v>44105</v>
      </c>
      <c r="C5090" s="43">
        <v>5407</v>
      </c>
      <c r="D5090" s="175">
        <f>C5090+D5066</f>
        <v>423084</v>
      </c>
      <c r="E5090" s="43">
        <v>3153</v>
      </c>
      <c r="F5090" s="630">
        <f t="shared" si="437"/>
        <v>13114</v>
      </c>
      <c r="G5090" s="395"/>
      <c r="H5090" s="395"/>
      <c r="J5090" s="42"/>
    </row>
    <row r="5091" spans="1:10" s="393" customFormat="1" x14ac:dyDescent="0.25">
      <c r="A5091" s="402" t="s">
        <v>43</v>
      </c>
      <c r="B5091" s="269">
        <v>44105</v>
      </c>
      <c r="C5091" s="1">
        <v>924</v>
      </c>
      <c r="D5091" s="39">
        <f t="shared" ref="D5091:D5103" si="438">C5091+D5067</f>
        <v>126890</v>
      </c>
      <c r="E5091" s="1">
        <v>95</v>
      </c>
      <c r="F5091" s="522">
        <f t="shared" si="437"/>
        <v>3502</v>
      </c>
      <c r="G5091" s="395"/>
      <c r="H5091" s="395"/>
      <c r="J5091" s="42"/>
    </row>
    <row r="5092" spans="1:10" s="393" customFormat="1" x14ac:dyDescent="0.25">
      <c r="A5092" s="402" t="s">
        <v>28</v>
      </c>
      <c r="B5092" s="269">
        <v>44105</v>
      </c>
      <c r="C5092" s="1">
        <v>5</v>
      </c>
      <c r="D5092" s="39">
        <f t="shared" si="438"/>
        <v>292</v>
      </c>
      <c r="E5092" s="1"/>
      <c r="F5092" s="522">
        <f t="shared" si="437"/>
        <v>0</v>
      </c>
      <c r="G5092" s="395"/>
      <c r="H5092" s="395"/>
      <c r="J5092" s="42"/>
    </row>
    <row r="5093" spans="1:10" s="393" customFormat="1" x14ac:dyDescent="0.25">
      <c r="A5093" s="402" t="s">
        <v>15</v>
      </c>
      <c r="B5093" s="269">
        <v>44105</v>
      </c>
      <c r="C5093" s="1">
        <v>200</v>
      </c>
      <c r="D5093" s="39">
        <f t="shared" si="438"/>
        <v>8743</v>
      </c>
      <c r="E5093" s="1">
        <v>4</v>
      </c>
      <c r="F5093" s="522">
        <f t="shared" si="437"/>
        <v>289</v>
      </c>
      <c r="G5093" s="395"/>
      <c r="H5093" s="395"/>
      <c r="J5093" s="42"/>
    </row>
    <row r="5094" spans="1:10" s="393" customFormat="1" x14ac:dyDescent="0.25">
      <c r="A5094" s="402" t="s">
        <v>29</v>
      </c>
      <c r="B5094" s="269">
        <v>44105</v>
      </c>
      <c r="C5094" s="1">
        <v>188</v>
      </c>
      <c r="D5094" s="39">
        <f t="shared" si="438"/>
        <v>4143</v>
      </c>
      <c r="E5094" s="1">
        <v>6</v>
      </c>
      <c r="F5094" s="522">
        <f t="shared" si="437"/>
        <v>56</v>
      </c>
      <c r="G5094" s="395"/>
      <c r="H5094" s="395"/>
      <c r="J5094" s="42"/>
    </row>
    <row r="5095" spans="1:10" s="393" customFormat="1" x14ac:dyDescent="0.25">
      <c r="A5095" s="402" t="s">
        <v>20</v>
      </c>
      <c r="B5095" s="269">
        <v>44105</v>
      </c>
      <c r="C5095" s="1">
        <v>1966</v>
      </c>
      <c r="D5095" s="39">
        <f t="shared" si="438"/>
        <v>36169</v>
      </c>
      <c r="E5095" s="1">
        <v>17</v>
      </c>
      <c r="F5095" s="522">
        <f t="shared" si="437"/>
        <v>414</v>
      </c>
      <c r="G5095" s="395"/>
      <c r="H5095" s="395"/>
      <c r="J5095" s="42"/>
    </row>
    <row r="5096" spans="1:10" s="393" customFormat="1" x14ac:dyDescent="0.25">
      <c r="A5096" s="402" t="s">
        <v>30</v>
      </c>
      <c r="B5096" s="269">
        <v>44105</v>
      </c>
      <c r="C5096" s="1">
        <v>7</v>
      </c>
      <c r="D5096" s="39">
        <f t="shared" si="438"/>
        <v>1100</v>
      </c>
      <c r="E5096" s="1"/>
      <c r="F5096" s="522">
        <f t="shared" si="437"/>
        <v>22</v>
      </c>
      <c r="G5096" s="395"/>
      <c r="H5096" s="395"/>
      <c r="J5096" s="42"/>
    </row>
    <row r="5097" spans="1:10" x14ac:dyDescent="0.25">
      <c r="A5097" s="402" t="s">
        <v>31</v>
      </c>
      <c r="B5097" s="269">
        <v>44105</v>
      </c>
      <c r="C5097" s="1">
        <v>186</v>
      </c>
      <c r="D5097" s="39">
        <f t="shared" si="438"/>
        <v>7669</v>
      </c>
      <c r="F5097" s="522">
        <f t="shared" si="437"/>
        <v>140</v>
      </c>
    </row>
    <row r="5098" spans="1:10" s="393" customFormat="1" x14ac:dyDescent="0.25">
      <c r="A5098" s="402" t="s">
        <v>41</v>
      </c>
      <c r="B5098" s="269">
        <v>44105</v>
      </c>
      <c r="C5098" s="1">
        <v>0</v>
      </c>
      <c r="D5098" s="39">
        <f t="shared" si="438"/>
        <v>104</v>
      </c>
      <c r="E5098" s="1"/>
      <c r="F5098" s="522">
        <f t="shared" si="437"/>
        <v>1</v>
      </c>
      <c r="G5098" s="395"/>
      <c r="H5098" s="395"/>
      <c r="J5098" s="42"/>
    </row>
    <row r="5099" spans="1:10" s="393" customFormat="1" x14ac:dyDescent="0.25">
      <c r="A5099" s="402" t="s">
        <v>32</v>
      </c>
      <c r="B5099" s="269">
        <v>44105</v>
      </c>
      <c r="C5099" s="1">
        <v>175</v>
      </c>
      <c r="D5099" s="39">
        <f t="shared" si="438"/>
        <v>15845</v>
      </c>
      <c r="E5099" s="1">
        <v>16</v>
      </c>
      <c r="F5099" s="522">
        <f t="shared" si="437"/>
        <v>520</v>
      </c>
      <c r="G5099" s="395"/>
      <c r="H5099" s="395"/>
      <c r="J5099" s="42"/>
    </row>
    <row r="5100" spans="1:10" s="393" customFormat="1" x14ac:dyDescent="0.25">
      <c r="A5100" s="402" t="s">
        <v>33</v>
      </c>
      <c r="B5100" s="269">
        <v>44105</v>
      </c>
      <c r="C5100" s="1">
        <v>28</v>
      </c>
      <c r="D5100" s="39">
        <f t="shared" si="438"/>
        <v>791</v>
      </c>
      <c r="E5100" s="1"/>
      <c r="F5100" s="522">
        <f t="shared" ref="F5100:F5111" si="439">E5100+F5076</f>
        <v>7</v>
      </c>
      <c r="G5100" s="395"/>
      <c r="H5100" s="395"/>
      <c r="J5100" s="42"/>
    </row>
    <row r="5101" spans="1:10" s="393" customFormat="1" x14ac:dyDescent="0.25">
      <c r="A5101" s="402" t="s">
        <v>21</v>
      </c>
      <c r="B5101" s="269">
        <v>44105</v>
      </c>
      <c r="C5101" s="1">
        <v>22</v>
      </c>
      <c r="D5101" s="39">
        <f t="shared" si="438"/>
        <v>4850</v>
      </c>
      <c r="E5101" s="1">
        <v>4</v>
      </c>
      <c r="F5101" s="522">
        <f t="shared" si="439"/>
        <v>105</v>
      </c>
      <c r="G5101" s="395"/>
      <c r="H5101" s="395"/>
      <c r="J5101" s="42"/>
    </row>
    <row r="5102" spans="1:10" s="393" customFormat="1" x14ac:dyDescent="0.25">
      <c r="A5102" s="402" t="s">
        <v>17</v>
      </c>
      <c r="B5102" s="269">
        <v>44105</v>
      </c>
      <c r="C5102" s="1">
        <v>799</v>
      </c>
      <c r="D5102" s="39">
        <f t="shared" si="438"/>
        <v>25848</v>
      </c>
      <c r="E5102" s="1">
        <v>7</v>
      </c>
      <c r="F5102" s="522">
        <f t="shared" si="439"/>
        <v>274</v>
      </c>
      <c r="G5102" s="395"/>
      <c r="H5102" s="395"/>
      <c r="J5102" s="42"/>
    </row>
    <row r="5103" spans="1:10" s="393" customFormat="1" x14ac:dyDescent="0.25">
      <c r="A5103" s="402" t="s">
        <v>23</v>
      </c>
      <c r="B5103" s="269">
        <v>44105</v>
      </c>
      <c r="C5103" s="1">
        <v>-2</v>
      </c>
      <c r="D5103" s="39">
        <f t="shared" si="438"/>
        <v>94</v>
      </c>
      <c r="E5103" s="1"/>
      <c r="F5103" s="522">
        <f t="shared" si="439"/>
        <v>3</v>
      </c>
      <c r="G5103" s="395"/>
      <c r="H5103" s="395"/>
      <c r="J5103" s="42"/>
    </row>
    <row r="5104" spans="1:10" s="393" customFormat="1" x14ac:dyDescent="0.25">
      <c r="A5104" s="402" t="s">
        <v>19</v>
      </c>
      <c r="B5104" s="269">
        <v>44105</v>
      </c>
      <c r="C5104" s="1">
        <v>186</v>
      </c>
      <c r="D5104" s="39">
        <f>C5104+D5080</f>
        <v>8079</v>
      </c>
      <c r="E5104" s="1">
        <v>1</v>
      </c>
      <c r="F5104" s="522">
        <f t="shared" si="439"/>
        <v>118</v>
      </c>
      <c r="G5104" s="395"/>
      <c r="H5104" s="395"/>
      <c r="J5104" s="42"/>
    </row>
    <row r="5105" spans="1:10" s="393" customFormat="1" x14ac:dyDescent="0.25">
      <c r="A5105" s="402" t="s">
        <v>18</v>
      </c>
      <c r="B5105" s="269">
        <v>44105</v>
      </c>
      <c r="C5105" s="1">
        <v>287</v>
      </c>
      <c r="D5105" s="39">
        <f>C5105+D5081</f>
        <v>13126</v>
      </c>
      <c r="E5105" s="1">
        <v>9</v>
      </c>
      <c r="F5105" s="522">
        <f t="shared" si="439"/>
        <v>299</v>
      </c>
      <c r="G5105" s="395"/>
      <c r="H5105" s="395"/>
      <c r="J5105" s="42"/>
    </row>
    <row r="5106" spans="1:10" s="393" customFormat="1" x14ac:dyDescent="0.25">
      <c r="A5106" s="402" t="s">
        <v>34</v>
      </c>
      <c r="B5106" s="269">
        <v>44105</v>
      </c>
      <c r="C5106" s="1">
        <v>359</v>
      </c>
      <c r="D5106" s="39">
        <f>C5106+D5082</f>
        <v>12774</v>
      </c>
      <c r="E5106" s="1">
        <v>11</v>
      </c>
      <c r="F5106" s="522">
        <f>E5106+F5082</f>
        <v>349</v>
      </c>
      <c r="G5106" s="395"/>
      <c r="H5106" s="395"/>
      <c r="J5106" s="42"/>
    </row>
    <row r="5107" spans="1:10" s="393" customFormat="1" x14ac:dyDescent="0.25">
      <c r="A5107" s="402" t="s">
        <v>35</v>
      </c>
      <c r="B5107" s="269">
        <v>44105</v>
      </c>
      <c r="C5107" s="1">
        <v>34</v>
      </c>
      <c r="D5107" s="39">
        <f t="shared" ref="D5107:D5113" si="440">C5107+D5083</f>
        <v>751</v>
      </c>
      <c r="E5107" s="1">
        <v>1</v>
      </c>
      <c r="F5107" s="522">
        <f>E5107+F5083</f>
        <v>36</v>
      </c>
      <c r="G5107" s="395"/>
      <c r="H5107" s="395"/>
      <c r="J5107" s="42"/>
    </row>
    <row r="5108" spans="1:10" s="393" customFormat="1" x14ac:dyDescent="0.25">
      <c r="A5108" s="402" t="s">
        <v>36</v>
      </c>
      <c r="B5108" s="269">
        <v>44105</v>
      </c>
      <c r="C5108" s="1">
        <v>93</v>
      </c>
      <c r="D5108" s="39">
        <f t="shared" si="440"/>
        <v>1565</v>
      </c>
      <c r="E5108" s="1">
        <v>1</v>
      </c>
      <c r="F5108" s="522">
        <f t="shared" si="439"/>
        <v>7</v>
      </c>
      <c r="G5108" s="395"/>
      <c r="H5108" s="395"/>
      <c r="J5108" s="42"/>
    </row>
    <row r="5109" spans="1:10" s="393" customFormat="1" x14ac:dyDescent="0.25">
      <c r="A5109" s="402" t="s">
        <v>37</v>
      </c>
      <c r="B5109" s="269">
        <v>44105</v>
      </c>
      <c r="C5109" s="1">
        <v>142</v>
      </c>
      <c r="D5109" s="39">
        <f t="shared" si="440"/>
        <v>4986</v>
      </c>
      <c r="E5109" s="1">
        <v>3</v>
      </c>
      <c r="F5109" s="522">
        <f>E5109+F5085</f>
        <v>65</v>
      </c>
      <c r="G5109" s="395"/>
      <c r="H5109" s="395"/>
      <c r="J5109" s="42"/>
    </row>
    <row r="5110" spans="1:10" s="393" customFormat="1" x14ac:dyDescent="0.25">
      <c r="A5110" s="402" t="s">
        <v>22</v>
      </c>
      <c r="B5110" s="269">
        <v>44105</v>
      </c>
      <c r="C5110" s="1">
        <v>2073</v>
      </c>
      <c r="D5110" s="39">
        <f t="shared" si="440"/>
        <v>44471</v>
      </c>
      <c r="E5110" s="1">
        <v>21</v>
      </c>
      <c r="F5110" s="522">
        <f>E5110+F5086</f>
        <v>467</v>
      </c>
      <c r="G5110" s="395"/>
      <c r="H5110" s="395"/>
      <c r="J5110" s="42"/>
    </row>
    <row r="5111" spans="1:10" s="393" customFormat="1" x14ac:dyDescent="0.25">
      <c r="A5111" s="402" t="s">
        <v>38</v>
      </c>
      <c r="B5111" s="269">
        <v>44105</v>
      </c>
      <c r="C5111" s="1">
        <v>126</v>
      </c>
      <c r="D5111" s="39">
        <f t="shared" si="440"/>
        <v>3545</v>
      </c>
      <c r="E5111" s="1"/>
      <c r="F5111" s="522">
        <f t="shared" si="439"/>
        <v>62</v>
      </c>
      <c r="G5111" s="395"/>
      <c r="H5111" s="395"/>
      <c r="J5111" s="42"/>
    </row>
    <row r="5112" spans="1:10" s="393" customFormat="1" x14ac:dyDescent="0.25">
      <c r="A5112" s="402" t="s">
        <v>39</v>
      </c>
      <c r="B5112" s="269">
        <v>44105</v>
      </c>
      <c r="C5112" s="1">
        <v>164</v>
      </c>
      <c r="D5112" s="39">
        <f t="shared" si="440"/>
        <v>4527</v>
      </c>
      <c r="E5112" s="1"/>
      <c r="F5112" s="522">
        <f t="shared" ref="F5112:F5123" si="441">E5112+F5088</f>
        <v>67</v>
      </c>
      <c r="G5112" s="395"/>
      <c r="H5112" s="395"/>
      <c r="J5112" s="42"/>
    </row>
    <row r="5113" spans="1:10" s="393" customFormat="1" ht="15.75" thickBot="1" x14ac:dyDescent="0.3">
      <c r="A5113" s="404" t="s">
        <v>40</v>
      </c>
      <c r="B5113" s="271">
        <v>44105</v>
      </c>
      <c r="C5113" s="44">
        <v>632</v>
      </c>
      <c r="D5113" s="177">
        <f t="shared" si="440"/>
        <v>15546</v>
      </c>
      <c r="E5113" s="44"/>
      <c r="F5113" s="631">
        <f t="shared" si="441"/>
        <v>132</v>
      </c>
      <c r="G5113" s="395"/>
      <c r="H5113" s="395"/>
      <c r="J5113" s="42"/>
    </row>
    <row r="5114" spans="1:10" s="393" customFormat="1" ht="15.75" thickBot="1" x14ac:dyDescent="0.3">
      <c r="A5114" s="397" t="s">
        <v>16</v>
      </c>
      <c r="B5114" s="271">
        <v>44106</v>
      </c>
      <c r="C5114" s="227">
        <v>5695</v>
      </c>
      <c r="D5114" s="175">
        <f>C5114+D5090</f>
        <v>428779</v>
      </c>
      <c r="E5114" s="227">
        <v>149</v>
      </c>
      <c r="F5114" s="630">
        <f t="shared" si="441"/>
        <v>13263</v>
      </c>
      <c r="G5114" s="395"/>
      <c r="H5114" s="395"/>
      <c r="J5114" s="42"/>
    </row>
    <row r="5115" spans="1:10" s="393" customFormat="1" ht="15.75" thickBot="1" x14ac:dyDescent="0.3">
      <c r="A5115" s="402" t="s">
        <v>43</v>
      </c>
      <c r="B5115" s="271">
        <v>44106</v>
      </c>
      <c r="C5115" s="1">
        <v>1050</v>
      </c>
      <c r="D5115" s="39">
        <f t="shared" ref="D5115:D5127" si="442">C5115+D5091</f>
        <v>127940</v>
      </c>
      <c r="E5115" s="1">
        <v>44</v>
      </c>
      <c r="F5115" s="522">
        <f t="shared" si="441"/>
        <v>3546</v>
      </c>
      <c r="G5115" s="395"/>
      <c r="H5115" s="395"/>
      <c r="J5115" s="42"/>
    </row>
    <row r="5116" spans="1:10" s="393" customFormat="1" ht="15.75" thickBot="1" x14ac:dyDescent="0.3">
      <c r="A5116" s="402" t="s">
        <v>28</v>
      </c>
      <c r="B5116" s="271">
        <v>44106</v>
      </c>
      <c r="C5116" s="1">
        <v>7</v>
      </c>
      <c r="D5116" s="39">
        <f t="shared" si="442"/>
        <v>299</v>
      </c>
      <c r="E5116" s="1"/>
      <c r="F5116" s="522">
        <f t="shared" si="441"/>
        <v>0</v>
      </c>
      <c r="G5116" s="395"/>
      <c r="H5116" s="395"/>
      <c r="J5116" s="42"/>
    </row>
    <row r="5117" spans="1:10" s="393" customFormat="1" ht="15.75" thickBot="1" x14ac:dyDescent="0.3">
      <c r="A5117" s="402" t="s">
        <v>15</v>
      </c>
      <c r="B5117" s="271">
        <v>44106</v>
      </c>
      <c r="C5117" s="1">
        <v>200</v>
      </c>
      <c r="D5117" s="39">
        <f t="shared" si="442"/>
        <v>8943</v>
      </c>
      <c r="E5117" s="1">
        <v>8</v>
      </c>
      <c r="F5117" s="522">
        <f t="shared" si="441"/>
        <v>297</v>
      </c>
      <c r="G5117" s="395"/>
      <c r="H5117" s="395"/>
      <c r="J5117" s="42"/>
    </row>
    <row r="5118" spans="1:10" s="393" customFormat="1" ht="15.75" thickBot="1" x14ac:dyDescent="0.3">
      <c r="A5118" s="402" t="s">
        <v>29</v>
      </c>
      <c r="B5118" s="271">
        <v>44106</v>
      </c>
      <c r="C5118" s="1">
        <v>214</v>
      </c>
      <c r="D5118" s="39">
        <f t="shared" si="442"/>
        <v>4357</v>
      </c>
      <c r="E5118" s="1">
        <v>2</v>
      </c>
      <c r="F5118" s="522">
        <f t="shared" si="441"/>
        <v>58</v>
      </c>
      <c r="G5118" s="395"/>
      <c r="H5118" s="395"/>
      <c r="J5118" s="42"/>
    </row>
    <row r="5119" spans="1:10" s="393" customFormat="1" ht="15.75" thickBot="1" x14ac:dyDescent="0.3">
      <c r="A5119" s="402" t="s">
        <v>20</v>
      </c>
      <c r="B5119" s="271">
        <v>44106</v>
      </c>
      <c r="C5119" s="1">
        <v>1776</v>
      </c>
      <c r="D5119" s="39">
        <f t="shared" si="442"/>
        <v>37945</v>
      </c>
      <c r="E5119" s="1">
        <v>14</v>
      </c>
      <c r="F5119" s="522">
        <f t="shared" si="441"/>
        <v>428</v>
      </c>
      <c r="G5119" s="395"/>
      <c r="H5119" s="395"/>
      <c r="J5119" s="42"/>
    </row>
    <row r="5120" spans="1:10" s="393" customFormat="1" ht="15.75" thickBot="1" x14ac:dyDescent="0.3">
      <c r="A5120" s="402" t="s">
        <v>30</v>
      </c>
      <c r="B5120" s="271">
        <v>44106</v>
      </c>
      <c r="C5120" s="1">
        <v>67</v>
      </c>
      <c r="D5120" s="39">
        <f t="shared" si="442"/>
        <v>1167</v>
      </c>
      <c r="E5120" s="1">
        <v>4</v>
      </c>
      <c r="F5120" s="522">
        <f t="shared" si="441"/>
        <v>26</v>
      </c>
      <c r="G5120" s="395"/>
      <c r="H5120" s="395"/>
      <c r="J5120" s="42"/>
    </row>
    <row r="5121" spans="1:10" ht="15.75" thickBot="1" x14ac:dyDescent="0.3">
      <c r="A5121" s="402" t="s">
        <v>31</v>
      </c>
      <c r="B5121" s="271">
        <v>44106</v>
      </c>
      <c r="C5121" s="1">
        <v>173</v>
      </c>
      <c r="D5121" s="39">
        <f t="shared" si="442"/>
        <v>7842</v>
      </c>
      <c r="E5121" s="1">
        <v>2</v>
      </c>
      <c r="F5121" s="522">
        <f t="shared" si="441"/>
        <v>142</v>
      </c>
    </row>
    <row r="5122" spans="1:10" s="393" customFormat="1" ht="15.75" thickBot="1" x14ac:dyDescent="0.3">
      <c r="A5122" s="402" t="s">
        <v>41</v>
      </c>
      <c r="B5122" s="271">
        <v>44106</v>
      </c>
      <c r="C5122" s="1">
        <v>2</v>
      </c>
      <c r="D5122" s="39">
        <f t="shared" si="442"/>
        <v>106</v>
      </c>
      <c r="E5122" s="1"/>
      <c r="F5122" s="522">
        <f t="shared" si="441"/>
        <v>1</v>
      </c>
      <c r="G5122" s="395"/>
      <c r="H5122" s="395"/>
      <c r="J5122" s="42"/>
    </row>
    <row r="5123" spans="1:10" s="393" customFormat="1" ht="15.75" thickBot="1" x14ac:dyDescent="0.3">
      <c r="A5123" s="402" t="s">
        <v>32</v>
      </c>
      <c r="B5123" s="271">
        <v>44106</v>
      </c>
      <c r="C5123" s="1">
        <v>116</v>
      </c>
      <c r="D5123" s="39">
        <f t="shared" si="442"/>
        <v>15961</v>
      </c>
      <c r="E5123" s="1">
        <v>9</v>
      </c>
      <c r="F5123" s="522">
        <f t="shared" si="441"/>
        <v>529</v>
      </c>
      <c r="G5123" s="395"/>
      <c r="H5123" s="395"/>
      <c r="J5123" s="42"/>
    </row>
    <row r="5124" spans="1:10" s="393" customFormat="1" ht="15.75" thickBot="1" x14ac:dyDescent="0.3">
      <c r="A5124" s="402" t="s">
        <v>33</v>
      </c>
      <c r="B5124" s="271">
        <v>44106</v>
      </c>
      <c r="C5124" s="1">
        <v>13</v>
      </c>
      <c r="D5124" s="39">
        <f t="shared" si="442"/>
        <v>804</v>
      </c>
      <c r="E5124" s="1">
        <v>2</v>
      </c>
      <c r="F5124" s="522">
        <f t="shared" ref="F5124:F5135" si="443">E5124+F5100</f>
        <v>9</v>
      </c>
      <c r="G5124" s="395"/>
      <c r="H5124" s="395"/>
      <c r="J5124" s="42"/>
    </row>
    <row r="5125" spans="1:10" s="393" customFormat="1" ht="15.75" thickBot="1" x14ac:dyDescent="0.3">
      <c r="A5125" s="402" t="s">
        <v>21</v>
      </c>
      <c r="B5125" s="271">
        <v>44106</v>
      </c>
      <c r="C5125" s="1">
        <v>142</v>
      </c>
      <c r="D5125" s="39">
        <f t="shared" si="442"/>
        <v>4992</v>
      </c>
      <c r="E5125" s="1"/>
      <c r="F5125" s="522">
        <f t="shared" si="443"/>
        <v>105</v>
      </c>
      <c r="G5125" s="395"/>
      <c r="H5125" s="395"/>
      <c r="J5125" s="42"/>
    </row>
    <row r="5126" spans="1:10" s="393" customFormat="1" ht="15.75" thickBot="1" x14ac:dyDescent="0.3">
      <c r="A5126" s="402" t="s">
        <v>17</v>
      </c>
      <c r="B5126" s="271">
        <v>44106</v>
      </c>
      <c r="C5126" s="1">
        <v>759</v>
      </c>
      <c r="D5126" s="39">
        <f t="shared" si="442"/>
        <v>26607</v>
      </c>
      <c r="E5126" s="1">
        <v>14</v>
      </c>
      <c r="F5126" s="522">
        <f t="shared" si="443"/>
        <v>288</v>
      </c>
      <c r="G5126" s="395"/>
      <c r="H5126" s="395"/>
      <c r="J5126" s="42"/>
    </row>
    <row r="5127" spans="1:10" s="393" customFormat="1" ht="15.75" thickBot="1" x14ac:dyDescent="0.3">
      <c r="A5127" s="402" t="s">
        <v>23</v>
      </c>
      <c r="B5127" s="271">
        <v>44106</v>
      </c>
      <c r="C5127" s="1">
        <v>5</v>
      </c>
      <c r="D5127" s="39">
        <f t="shared" si="442"/>
        <v>99</v>
      </c>
      <c r="E5127" s="1">
        <v>1</v>
      </c>
      <c r="F5127" s="522">
        <f t="shared" si="443"/>
        <v>4</v>
      </c>
      <c r="G5127" s="395"/>
      <c r="H5127" s="395"/>
      <c r="J5127" s="42"/>
    </row>
    <row r="5128" spans="1:10" s="393" customFormat="1" ht="15.75" thickBot="1" x14ac:dyDescent="0.3">
      <c r="A5128" s="402" t="s">
        <v>19</v>
      </c>
      <c r="B5128" s="271">
        <v>44106</v>
      </c>
      <c r="C5128" s="1">
        <v>270</v>
      </c>
      <c r="D5128" s="39">
        <f>C5128+D5104</f>
        <v>8349</v>
      </c>
      <c r="E5128" s="1">
        <v>2</v>
      </c>
      <c r="F5128" s="522">
        <f t="shared" si="443"/>
        <v>120</v>
      </c>
      <c r="G5128" s="395"/>
      <c r="H5128" s="395"/>
      <c r="J5128" s="42"/>
    </row>
    <row r="5129" spans="1:10" s="393" customFormat="1" ht="15.75" thickBot="1" x14ac:dyDescent="0.3">
      <c r="A5129" s="402" t="s">
        <v>18</v>
      </c>
      <c r="B5129" s="271">
        <v>44106</v>
      </c>
      <c r="C5129" s="1">
        <v>371</v>
      </c>
      <c r="D5129" s="39">
        <f>C5129+D5105</f>
        <v>13497</v>
      </c>
      <c r="E5129" s="1">
        <v>4</v>
      </c>
      <c r="F5129" s="522">
        <f t="shared" si="443"/>
        <v>303</v>
      </c>
      <c r="G5129" s="395"/>
      <c r="H5129" s="395"/>
      <c r="J5129" s="42"/>
    </row>
    <row r="5130" spans="1:10" s="393" customFormat="1" ht="15.75" thickBot="1" x14ac:dyDescent="0.3">
      <c r="A5130" s="402" t="s">
        <v>34</v>
      </c>
      <c r="B5130" s="271">
        <v>44106</v>
      </c>
      <c r="C5130" s="1">
        <v>327</v>
      </c>
      <c r="D5130" s="39">
        <f>C5130+D5106</f>
        <v>13101</v>
      </c>
      <c r="E5130" s="1">
        <v>14</v>
      </c>
      <c r="F5130" s="522">
        <f>E5130+F5106</f>
        <v>363</v>
      </c>
      <c r="G5130" s="395"/>
      <c r="H5130" s="395"/>
      <c r="J5130" s="42"/>
    </row>
    <row r="5131" spans="1:10" s="393" customFormat="1" ht="15.75" thickBot="1" x14ac:dyDescent="0.3">
      <c r="A5131" s="402" t="s">
        <v>35</v>
      </c>
      <c r="B5131" s="271">
        <v>44106</v>
      </c>
      <c r="C5131" s="1">
        <v>3</v>
      </c>
      <c r="D5131" s="39">
        <f t="shared" ref="D5131:D5137" si="444">C5131+D5107</f>
        <v>754</v>
      </c>
      <c r="E5131" s="1">
        <v>4</v>
      </c>
      <c r="F5131" s="522">
        <f>E5131+F5107</f>
        <v>40</v>
      </c>
      <c r="G5131" s="395"/>
      <c r="H5131" s="395"/>
      <c r="J5131" s="42"/>
    </row>
    <row r="5132" spans="1:10" s="393" customFormat="1" ht="15.75" thickBot="1" x14ac:dyDescent="0.3">
      <c r="A5132" s="402" t="s">
        <v>36</v>
      </c>
      <c r="B5132" s="271">
        <v>44106</v>
      </c>
      <c r="C5132" s="1">
        <v>73</v>
      </c>
      <c r="D5132" s="39">
        <f t="shared" si="444"/>
        <v>1638</v>
      </c>
      <c r="E5132" s="1"/>
      <c r="F5132" s="522">
        <f t="shared" si="443"/>
        <v>7</v>
      </c>
      <c r="G5132" s="395"/>
      <c r="H5132" s="395"/>
      <c r="J5132" s="42"/>
    </row>
    <row r="5133" spans="1:10" s="393" customFormat="1" ht="15.75" thickBot="1" x14ac:dyDescent="0.3">
      <c r="A5133" s="402" t="s">
        <v>37</v>
      </c>
      <c r="B5133" s="271">
        <v>44106</v>
      </c>
      <c r="C5133" s="1">
        <v>137</v>
      </c>
      <c r="D5133" s="39">
        <f t="shared" si="444"/>
        <v>5123</v>
      </c>
      <c r="E5133" s="1">
        <v>2</v>
      </c>
      <c r="F5133" s="522">
        <f>E5133+F5109</f>
        <v>67</v>
      </c>
      <c r="G5133" s="395"/>
      <c r="H5133" s="395"/>
      <c r="J5133" s="42"/>
    </row>
    <row r="5134" spans="1:10" s="393" customFormat="1" ht="15.75" thickBot="1" x14ac:dyDescent="0.3">
      <c r="A5134" s="402" t="s">
        <v>22</v>
      </c>
      <c r="B5134" s="271">
        <v>44106</v>
      </c>
      <c r="C5134" s="1">
        <v>2244</v>
      </c>
      <c r="D5134" s="39">
        <f t="shared" si="444"/>
        <v>46715</v>
      </c>
      <c r="E5134" s="1">
        <v>24</v>
      </c>
      <c r="F5134" s="522">
        <f>E5134+F5110</f>
        <v>491</v>
      </c>
      <c r="G5134" s="395"/>
      <c r="H5134" s="395"/>
      <c r="J5134" s="42"/>
    </row>
    <row r="5135" spans="1:10" s="393" customFormat="1" ht="15.75" thickBot="1" x14ac:dyDescent="0.3">
      <c r="A5135" s="402" t="s">
        <v>38</v>
      </c>
      <c r="B5135" s="271">
        <v>44106</v>
      </c>
      <c r="C5135" s="1">
        <v>176</v>
      </c>
      <c r="D5135" s="39">
        <f t="shared" si="444"/>
        <v>3721</v>
      </c>
      <c r="E5135" s="1">
        <v>2</v>
      </c>
      <c r="F5135" s="522">
        <f t="shared" si="443"/>
        <v>64</v>
      </c>
      <c r="G5135" s="395"/>
      <c r="H5135" s="395"/>
      <c r="J5135" s="42"/>
    </row>
    <row r="5136" spans="1:10" s="393" customFormat="1" ht="15.75" thickBot="1" x14ac:dyDescent="0.3">
      <c r="A5136" s="402" t="s">
        <v>39</v>
      </c>
      <c r="B5136" s="271">
        <v>44106</v>
      </c>
      <c r="C5136" s="1">
        <v>193</v>
      </c>
      <c r="D5136" s="39">
        <f t="shared" si="444"/>
        <v>4720</v>
      </c>
      <c r="E5136" s="1">
        <v>3</v>
      </c>
      <c r="F5136" s="522">
        <f t="shared" ref="F5136:F5147" si="445">E5136+F5112</f>
        <v>70</v>
      </c>
      <c r="G5136" s="395"/>
      <c r="H5136" s="395"/>
      <c r="J5136" s="42"/>
    </row>
    <row r="5137" spans="1:10" s="393" customFormat="1" ht="15.75" thickBot="1" x14ac:dyDescent="0.3">
      <c r="A5137" s="404" t="s">
        <v>40</v>
      </c>
      <c r="B5137" s="271">
        <v>44106</v>
      </c>
      <c r="C5137" s="1">
        <v>674</v>
      </c>
      <c r="D5137" s="177">
        <f t="shared" si="444"/>
        <v>16220</v>
      </c>
      <c r="E5137" s="1">
        <v>8</v>
      </c>
      <c r="F5137" s="631">
        <f t="shared" si="445"/>
        <v>140</v>
      </c>
      <c r="G5137" s="395"/>
      <c r="H5137" s="395"/>
      <c r="J5137" s="42"/>
    </row>
    <row r="5138" spans="1:10" s="393" customFormat="1" ht="15.75" thickBot="1" x14ac:dyDescent="0.3">
      <c r="A5138" s="397" t="s">
        <v>16</v>
      </c>
      <c r="B5138" s="271">
        <v>44107</v>
      </c>
      <c r="C5138" s="1">
        <v>4507</v>
      </c>
      <c r="D5138" s="175">
        <f>C5138+D5114</f>
        <v>433286</v>
      </c>
      <c r="E5138" s="1">
        <v>92</v>
      </c>
      <c r="F5138" s="630">
        <f t="shared" si="445"/>
        <v>13355</v>
      </c>
      <c r="G5138" s="395"/>
      <c r="H5138" s="395"/>
      <c r="J5138" s="42"/>
    </row>
    <row r="5139" spans="1:10" s="393" customFormat="1" ht="15.75" thickBot="1" x14ac:dyDescent="0.3">
      <c r="A5139" s="402" t="s">
        <v>43</v>
      </c>
      <c r="B5139" s="271">
        <v>44107</v>
      </c>
      <c r="C5139" s="1">
        <v>801</v>
      </c>
      <c r="D5139" s="39">
        <f t="shared" ref="D5139:D5151" si="446">C5139+D5115</f>
        <v>128741</v>
      </c>
      <c r="E5139" s="1">
        <f>8+12</f>
        <v>20</v>
      </c>
      <c r="F5139" s="522">
        <f t="shared" si="445"/>
        <v>3566</v>
      </c>
      <c r="G5139" s="395"/>
      <c r="H5139" s="395"/>
      <c r="J5139" s="42"/>
    </row>
    <row r="5140" spans="1:10" s="393" customFormat="1" ht="15.75" thickBot="1" x14ac:dyDescent="0.3">
      <c r="A5140" s="402" t="s">
        <v>28</v>
      </c>
      <c r="B5140" s="271">
        <v>44107</v>
      </c>
      <c r="C5140" s="1">
        <v>6</v>
      </c>
      <c r="D5140" s="39">
        <f t="shared" si="446"/>
        <v>305</v>
      </c>
      <c r="E5140" s="1"/>
      <c r="F5140" s="522">
        <f t="shared" si="445"/>
        <v>0</v>
      </c>
      <c r="G5140" s="395"/>
      <c r="H5140" s="395"/>
      <c r="J5140" s="42"/>
    </row>
    <row r="5141" spans="1:10" s="393" customFormat="1" ht="15.75" thickBot="1" x14ac:dyDescent="0.3">
      <c r="A5141" s="402" t="s">
        <v>15</v>
      </c>
      <c r="B5141" s="271">
        <v>44107</v>
      </c>
      <c r="C5141" s="1">
        <v>120</v>
      </c>
      <c r="D5141" s="39">
        <f t="shared" si="446"/>
        <v>9063</v>
      </c>
      <c r="E5141" s="1">
        <f>1</f>
        <v>1</v>
      </c>
      <c r="F5141" s="522">
        <f t="shared" si="445"/>
        <v>298</v>
      </c>
      <c r="G5141" s="395"/>
      <c r="H5141" s="395"/>
      <c r="J5141" s="42"/>
    </row>
    <row r="5142" spans="1:10" s="393" customFormat="1" ht="15.75" thickBot="1" x14ac:dyDescent="0.3">
      <c r="A5142" s="402" t="s">
        <v>29</v>
      </c>
      <c r="B5142" s="271">
        <v>44107</v>
      </c>
      <c r="C5142" s="1">
        <v>149</v>
      </c>
      <c r="D5142" s="39">
        <f t="shared" si="446"/>
        <v>4506</v>
      </c>
      <c r="E5142" s="1"/>
      <c r="F5142" s="522">
        <f t="shared" si="445"/>
        <v>58</v>
      </c>
      <c r="G5142" s="395"/>
      <c r="H5142" s="395"/>
      <c r="J5142" s="42"/>
    </row>
    <row r="5143" spans="1:10" s="393" customFormat="1" ht="15.75" thickBot="1" x14ac:dyDescent="0.3">
      <c r="A5143" s="402" t="s">
        <v>20</v>
      </c>
      <c r="B5143" s="271">
        <v>44107</v>
      </c>
      <c r="C5143" s="1">
        <v>1451</v>
      </c>
      <c r="D5143" s="39">
        <f t="shared" si="446"/>
        <v>39396</v>
      </c>
      <c r="E5143" s="1">
        <f>12+7</f>
        <v>19</v>
      </c>
      <c r="F5143" s="522">
        <f t="shared" si="445"/>
        <v>447</v>
      </c>
      <c r="G5143" s="395"/>
      <c r="H5143" s="395"/>
      <c r="J5143" s="42"/>
    </row>
    <row r="5144" spans="1:10" s="393" customFormat="1" ht="15.75" thickBot="1" x14ac:dyDescent="0.3">
      <c r="A5144" s="402" t="s">
        <v>30</v>
      </c>
      <c r="B5144" s="271">
        <v>44107</v>
      </c>
      <c r="C5144" s="1">
        <v>3</v>
      </c>
      <c r="D5144" s="39">
        <f t="shared" si="446"/>
        <v>1170</v>
      </c>
      <c r="E5144" s="1">
        <f>1</f>
        <v>1</v>
      </c>
      <c r="F5144" s="522">
        <f t="shared" si="445"/>
        <v>27</v>
      </c>
      <c r="G5144" s="395"/>
      <c r="H5144" s="395"/>
      <c r="J5144" s="42"/>
    </row>
    <row r="5145" spans="1:10" ht="15.75" thickBot="1" x14ac:dyDescent="0.3">
      <c r="A5145" s="402" t="s">
        <v>31</v>
      </c>
      <c r="B5145" s="271">
        <v>44107</v>
      </c>
      <c r="C5145" s="1">
        <v>152</v>
      </c>
      <c r="D5145" s="39">
        <f t="shared" si="446"/>
        <v>7994</v>
      </c>
      <c r="E5145" s="1">
        <f>1</f>
        <v>1</v>
      </c>
      <c r="F5145" s="522">
        <f t="shared" si="445"/>
        <v>143</v>
      </c>
    </row>
    <row r="5146" spans="1:10" s="393" customFormat="1" ht="15.75" thickBot="1" x14ac:dyDescent="0.3">
      <c r="A5146" s="402" t="s">
        <v>41</v>
      </c>
      <c r="B5146" s="271">
        <v>44107</v>
      </c>
      <c r="C5146" s="1">
        <v>-1</v>
      </c>
      <c r="D5146" s="39">
        <f t="shared" si="446"/>
        <v>105</v>
      </c>
      <c r="E5146" s="1"/>
      <c r="F5146" s="522">
        <f t="shared" si="445"/>
        <v>1</v>
      </c>
      <c r="G5146" s="395"/>
      <c r="H5146" s="395"/>
      <c r="J5146" s="42"/>
    </row>
    <row r="5147" spans="1:10" s="393" customFormat="1" ht="15.75" thickBot="1" x14ac:dyDescent="0.3">
      <c r="A5147" s="402" t="s">
        <v>32</v>
      </c>
      <c r="B5147" s="271">
        <v>44107</v>
      </c>
      <c r="C5147" s="1">
        <v>122</v>
      </c>
      <c r="D5147" s="39">
        <f t="shared" si="446"/>
        <v>16083</v>
      </c>
      <c r="E5147" s="1">
        <f>8+2</f>
        <v>10</v>
      </c>
      <c r="F5147" s="522">
        <f t="shared" si="445"/>
        <v>539</v>
      </c>
      <c r="G5147" s="395"/>
      <c r="H5147" s="395"/>
      <c r="J5147" s="42"/>
    </row>
    <row r="5148" spans="1:10" s="393" customFormat="1" ht="15.75" thickBot="1" x14ac:dyDescent="0.3">
      <c r="A5148" s="402" t="s">
        <v>33</v>
      </c>
      <c r="B5148" s="271">
        <v>44107</v>
      </c>
      <c r="C5148" s="1">
        <v>27</v>
      </c>
      <c r="D5148" s="39">
        <f t="shared" si="446"/>
        <v>831</v>
      </c>
      <c r="E5148" s="1"/>
      <c r="F5148" s="522">
        <f t="shared" ref="F5148:F5159" si="447">E5148+F5124</f>
        <v>9</v>
      </c>
      <c r="G5148" s="395"/>
      <c r="H5148" s="395"/>
      <c r="J5148" s="42"/>
    </row>
    <row r="5149" spans="1:10" s="393" customFormat="1" ht="15.75" thickBot="1" x14ac:dyDescent="0.3">
      <c r="A5149" s="402" t="s">
        <v>21</v>
      </c>
      <c r="B5149" s="271">
        <v>44107</v>
      </c>
      <c r="C5149" s="1">
        <v>62</v>
      </c>
      <c r="D5149" s="39">
        <f t="shared" si="446"/>
        <v>5054</v>
      </c>
      <c r="E5149" s="1"/>
      <c r="F5149" s="522">
        <f t="shared" si="447"/>
        <v>105</v>
      </c>
      <c r="G5149" s="395"/>
      <c r="H5149" s="395"/>
      <c r="J5149" s="42"/>
    </row>
    <row r="5150" spans="1:10" s="393" customFormat="1" ht="15.75" thickBot="1" x14ac:dyDescent="0.3">
      <c r="A5150" s="402" t="s">
        <v>17</v>
      </c>
      <c r="B5150" s="271">
        <v>44107</v>
      </c>
      <c r="C5150" s="1">
        <v>517</v>
      </c>
      <c r="D5150" s="39">
        <f t="shared" si="446"/>
        <v>27124</v>
      </c>
      <c r="E5150" s="1">
        <f>12+4</f>
        <v>16</v>
      </c>
      <c r="F5150" s="522">
        <f t="shared" si="447"/>
        <v>304</v>
      </c>
      <c r="G5150" s="395"/>
      <c r="H5150" s="395"/>
      <c r="J5150" s="42"/>
    </row>
    <row r="5151" spans="1:10" s="393" customFormat="1" ht="15.75" thickBot="1" x14ac:dyDescent="0.3">
      <c r="A5151" s="402" t="s">
        <v>23</v>
      </c>
      <c r="B5151" s="271">
        <v>44107</v>
      </c>
      <c r="C5151" s="1">
        <v>5</v>
      </c>
      <c r="D5151" s="39">
        <f t="shared" si="446"/>
        <v>104</v>
      </c>
      <c r="E5151" s="1"/>
      <c r="F5151" s="522">
        <f t="shared" si="447"/>
        <v>4</v>
      </c>
      <c r="G5151" s="395"/>
      <c r="H5151" s="395"/>
      <c r="J5151" s="42"/>
    </row>
    <row r="5152" spans="1:10" s="393" customFormat="1" ht="15.75" thickBot="1" x14ac:dyDescent="0.3">
      <c r="A5152" s="402" t="s">
        <v>19</v>
      </c>
      <c r="B5152" s="271">
        <v>44107</v>
      </c>
      <c r="C5152" s="1">
        <v>264</v>
      </c>
      <c r="D5152" s="39">
        <f>C5152+D5128</f>
        <v>8613</v>
      </c>
      <c r="E5152" s="1">
        <f>1</f>
        <v>1</v>
      </c>
      <c r="F5152" s="522">
        <f t="shared" si="447"/>
        <v>121</v>
      </c>
      <c r="G5152" s="395"/>
      <c r="H5152" s="395"/>
      <c r="J5152" s="42"/>
    </row>
    <row r="5153" spans="1:10" s="393" customFormat="1" ht="15.75" thickBot="1" x14ac:dyDescent="0.3">
      <c r="A5153" s="402" t="s">
        <v>18</v>
      </c>
      <c r="B5153" s="271">
        <v>44107</v>
      </c>
      <c r="C5153" s="1">
        <v>330</v>
      </c>
      <c r="D5153" s="39">
        <f>C5153+D5129</f>
        <v>13827</v>
      </c>
      <c r="E5153" s="1">
        <f>2+2</f>
        <v>4</v>
      </c>
      <c r="F5153" s="522">
        <f t="shared" si="447"/>
        <v>307</v>
      </c>
      <c r="G5153" s="395"/>
      <c r="H5153" s="395"/>
      <c r="J5153" s="42"/>
    </row>
    <row r="5154" spans="1:10" s="393" customFormat="1" ht="15.75" thickBot="1" x14ac:dyDescent="0.3">
      <c r="A5154" s="402" t="s">
        <v>34</v>
      </c>
      <c r="B5154" s="271">
        <v>44107</v>
      </c>
      <c r="C5154" s="1">
        <v>134</v>
      </c>
      <c r="D5154" s="39">
        <f>C5154+D5130</f>
        <v>13235</v>
      </c>
      <c r="E5154" s="1">
        <f>2+1</f>
        <v>3</v>
      </c>
      <c r="F5154" s="522">
        <f>E5154+F5130</f>
        <v>366</v>
      </c>
      <c r="G5154" s="395"/>
      <c r="H5154" s="395"/>
      <c r="J5154" s="42"/>
    </row>
    <row r="5155" spans="1:10" s="393" customFormat="1" ht="15.75" thickBot="1" x14ac:dyDescent="0.3">
      <c r="A5155" s="402" t="s">
        <v>35</v>
      </c>
      <c r="B5155" s="271">
        <v>44107</v>
      </c>
      <c r="C5155" s="1">
        <v>75</v>
      </c>
      <c r="D5155" s="39">
        <f t="shared" ref="D5155:D5161" si="448">C5155+D5131</f>
        <v>829</v>
      </c>
      <c r="E5155" s="1"/>
      <c r="F5155" s="522">
        <f>E5155+F5131</f>
        <v>40</v>
      </c>
      <c r="G5155" s="395"/>
      <c r="H5155" s="395"/>
      <c r="J5155" s="42"/>
    </row>
    <row r="5156" spans="1:10" s="393" customFormat="1" ht="15.75" thickBot="1" x14ac:dyDescent="0.3">
      <c r="A5156" s="402" t="s">
        <v>36</v>
      </c>
      <c r="B5156" s="271">
        <v>44107</v>
      </c>
      <c r="C5156" s="1">
        <v>11</v>
      </c>
      <c r="D5156" s="39">
        <f t="shared" si="448"/>
        <v>1649</v>
      </c>
      <c r="E5156" s="1">
        <f>7+5</f>
        <v>12</v>
      </c>
      <c r="F5156" s="522">
        <f t="shared" si="447"/>
        <v>19</v>
      </c>
      <c r="G5156" s="395"/>
      <c r="H5156" s="395"/>
      <c r="J5156" s="42"/>
    </row>
    <row r="5157" spans="1:10" s="393" customFormat="1" ht="15.75" thickBot="1" x14ac:dyDescent="0.3">
      <c r="A5157" s="402" t="s">
        <v>37</v>
      </c>
      <c r="B5157" s="271">
        <v>44107</v>
      </c>
      <c r="C5157" s="1">
        <v>221</v>
      </c>
      <c r="D5157" s="39">
        <f t="shared" si="448"/>
        <v>5344</v>
      </c>
      <c r="E5157" s="1"/>
      <c r="F5157" s="522">
        <f>E5157+F5133</f>
        <v>67</v>
      </c>
      <c r="G5157" s="395"/>
      <c r="H5157" s="395"/>
      <c r="J5157" s="42"/>
    </row>
    <row r="5158" spans="1:10" s="393" customFormat="1" ht="15.75" thickBot="1" x14ac:dyDescent="0.3">
      <c r="A5158" s="402" t="s">
        <v>22</v>
      </c>
      <c r="B5158" s="271">
        <v>44107</v>
      </c>
      <c r="C5158" s="1">
        <v>1450</v>
      </c>
      <c r="D5158" s="39">
        <f t="shared" si="448"/>
        <v>48165</v>
      </c>
      <c r="E5158" s="1">
        <f>7+8</f>
        <v>15</v>
      </c>
      <c r="F5158" s="522">
        <f>E5158+F5134</f>
        <v>506</v>
      </c>
      <c r="G5158" s="395"/>
      <c r="H5158" s="395"/>
      <c r="J5158" s="42"/>
    </row>
    <row r="5159" spans="1:10" s="393" customFormat="1" ht="15.75" thickBot="1" x14ac:dyDescent="0.3">
      <c r="A5159" s="402" t="s">
        <v>38</v>
      </c>
      <c r="B5159" s="271">
        <v>44107</v>
      </c>
      <c r="C5159" s="1">
        <v>123</v>
      </c>
      <c r="D5159" s="39">
        <f t="shared" si="448"/>
        <v>3844</v>
      </c>
      <c r="E5159" s="1">
        <f>1</f>
        <v>1</v>
      </c>
      <c r="F5159" s="522">
        <f t="shared" si="447"/>
        <v>65</v>
      </c>
      <c r="G5159" s="395"/>
      <c r="H5159" s="395"/>
      <c r="J5159" s="42"/>
    </row>
    <row r="5160" spans="1:10" s="393" customFormat="1" ht="15.75" thickBot="1" x14ac:dyDescent="0.3">
      <c r="A5160" s="402" t="s">
        <v>39</v>
      </c>
      <c r="B5160" s="271">
        <v>44107</v>
      </c>
      <c r="C5160" s="1">
        <v>188</v>
      </c>
      <c r="D5160" s="39">
        <f t="shared" si="448"/>
        <v>4908</v>
      </c>
      <c r="E5160" s="1">
        <f>1</f>
        <v>1</v>
      </c>
      <c r="F5160" s="522">
        <f t="shared" ref="F5160:F5171" si="449">E5160+F5136</f>
        <v>71</v>
      </c>
      <c r="G5160" s="395"/>
      <c r="H5160" s="395"/>
      <c r="J5160" s="42"/>
    </row>
    <row r="5161" spans="1:10" s="393" customFormat="1" ht="15.75" thickBot="1" x14ac:dyDescent="0.3">
      <c r="A5161" s="404" t="s">
        <v>40</v>
      </c>
      <c r="B5161" s="271">
        <v>44107</v>
      </c>
      <c r="C5161" s="1">
        <v>412</v>
      </c>
      <c r="D5161" s="177">
        <f t="shared" si="448"/>
        <v>16632</v>
      </c>
      <c r="E5161" s="1"/>
      <c r="F5161" s="631">
        <f t="shared" si="449"/>
        <v>140</v>
      </c>
      <c r="G5161" s="395"/>
      <c r="H5161" s="395"/>
      <c r="J5161" s="42"/>
    </row>
    <row r="5162" spans="1:10" s="393" customFormat="1" ht="15.75" thickBot="1" x14ac:dyDescent="0.3">
      <c r="A5162" s="397" t="s">
        <v>16</v>
      </c>
      <c r="B5162" s="271">
        <v>44108</v>
      </c>
      <c r="C5162" s="1">
        <v>2648</v>
      </c>
      <c r="D5162" s="175">
        <f>C5162+D5138</f>
        <v>435934</v>
      </c>
      <c r="E5162" s="1">
        <v>59</v>
      </c>
      <c r="F5162" s="630">
        <f t="shared" si="449"/>
        <v>13414</v>
      </c>
      <c r="G5162" s="395"/>
      <c r="H5162" s="395"/>
      <c r="J5162" s="42"/>
    </row>
    <row r="5163" spans="1:10" s="393" customFormat="1" ht="15.75" thickBot="1" x14ac:dyDescent="0.3">
      <c r="A5163" s="402" t="s">
        <v>43</v>
      </c>
      <c r="B5163" s="271">
        <v>44108</v>
      </c>
      <c r="C5163" s="1">
        <v>533</v>
      </c>
      <c r="D5163" s="39">
        <f t="shared" ref="D5163:D5175" si="450">C5163+D5139</f>
        <v>129274</v>
      </c>
      <c r="E5163" s="1">
        <f>30+27</f>
        <v>57</v>
      </c>
      <c r="F5163" s="522">
        <f t="shared" si="449"/>
        <v>3623</v>
      </c>
      <c r="G5163" s="395"/>
      <c r="H5163" s="395"/>
      <c r="J5163" s="42"/>
    </row>
    <row r="5164" spans="1:10" s="393" customFormat="1" ht="15.75" thickBot="1" x14ac:dyDescent="0.3">
      <c r="A5164" s="402" t="s">
        <v>28</v>
      </c>
      <c r="B5164" s="271">
        <v>44108</v>
      </c>
      <c r="C5164" s="1">
        <v>13</v>
      </c>
      <c r="D5164" s="39">
        <f t="shared" si="450"/>
        <v>318</v>
      </c>
      <c r="E5164" s="1"/>
      <c r="F5164" s="522">
        <f t="shared" si="449"/>
        <v>0</v>
      </c>
      <c r="G5164" s="395"/>
      <c r="H5164" s="395"/>
      <c r="J5164" s="42"/>
    </row>
    <row r="5165" spans="1:10" s="393" customFormat="1" ht="15.75" thickBot="1" x14ac:dyDescent="0.3">
      <c r="A5165" s="402" t="s">
        <v>15</v>
      </c>
      <c r="B5165" s="271">
        <v>44108</v>
      </c>
      <c r="C5165" s="1">
        <v>177</v>
      </c>
      <c r="D5165" s="39">
        <f t="shared" si="450"/>
        <v>9240</v>
      </c>
      <c r="E5165" s="1">
        <f>2</f>
        <v>2</v>
      </c>
      <c r="F5165" s="522">
        <f t="shared" si="449"/>
        <v>300</v>
      </c>
      <c r="G5165" s="395"/>
      <c r="H5165" s="395"/>
      <c r="J5165" s="42"/>
    </row>
    <row r="5166" spans="1:10" s="393" customFormat="1" ht="15.75" thickBot="1" x14ac:dyDescent="0.3">
      <c r="A5166" s="402" t="s">
        <v>29</v>
      </c>
      <c r="B5166" s="271">
        <v>44108</v>
      </c>
      <c r="C5166" s="1">
        <v>181</v>
      </c>
      <c r="D5166" s="39">
        <f t="shared" si="450"/>
        <v>4687</v>
      </c>
      <c r="E5166" s="1"/>
      <c r="F5166" s="522">
        <f t="shared" si="449"/>
        <v>58</v>
      </c>
      <c r="G5166" s="395"/>
      <c r="H5166" s="395"/>
      <c r="J5166" s="42"/>
    </row>
    <row r="5167" spans="1:10" s="393" customFormat="1" ht="15.75" thickBot="1" x14ac:dyDescent="0.3">
      <c r="A5167" s="402" t="s">
        <v>20</v>
      </c>
      <c r="B5167" s="271">
        <v>44108</v>
      </c>
      <c r="C5167" s="1">
        <v>1154</v>
      </c>
      <c r="D5167" s="39">
        <f t="shared" si="450"/>
        <v>40550</v>
      </c>
      <c r="E5167" s="1">
        <f>9+16</f>
        <v>25</v>
      </c>
      <c r="F5167" s="522">
        <f t="shared" si="449"/>
        <v>472</v>
      </c>
      <c r="G5167" s="395"/>
      <c r="H5167" s="395"/>
      <c r="J5167" s="42"/>
    </row>
    <row r="5168" spans="1:10" s="393" customFormat="1" ht="15.75" thickBot="1" x14ac:dyDescent="0.3">
      <c r="A5168" s="402" t="s">
        <v>30</v>
      </c>
      <c r="B5168" s="271">
        <v>44108</v>
      </c>
      <c r="C5168" s="1">
        <v>4</v>
      </c>
      <c r="D5168" s="39">
        <f t="shared" si="450"/>
        <v>1174</v>
      </c>
      <c r="E5168" s="1"/>
      <c r="F5168" s="522">
        <f t="shared" si="449"/>
        <v>27</v>
      </c>
      <c r="G5168" s="395"/>
      <c r="H5168" s="395"/>
      <c r="J5168" s="42"/>
    </row>
    <row r="5169" spans="1:10" ht="15.75" thickBot="1" x14ac:dyDescent="0.3">
      <c r="A5169" s="402" t="s">
        <v>31</v>
      </c>
      <c r="B5169" s="271">
        <v>44108</v>
      </c>
      <c r="C5169" s="1">
        <v>125</v>
      </c>
      <c r="D5169" s="39">
        <f t="shared" si="450"/>
        <v>8119</v>
      </c>
      <c r="F5169" s="522">
        <f t="shared" si="449"/>
        <v>143</v>
      </c>
    </row>
    <row r="5170" spans="1:10" s="393" customFormat="1" ht="15.75" thickBot="1" x14ac:dyDescent="0.3">
      <c r="A5170" s="402" t="s">
        <v>41</v>
      </c>
      <c r="B5170" s="271">
        <v>44108</v>
      </c>
      <c r="C5170" s="1">
        <v>0</v>
      </c>
      <c r="D5170" s="39">
        <f t="shared" si="450"/>
        <v>105</v>
      </c>
      <c r="E5170" s="1"/>
      <c r="F5170" s="522">
        <f t="shared" si="449"/>
        <v>1</v>
      </c>
      <c r="G5170" s="395"/>
      <c r="H5170" s="395"/>
      <c r="J5170" s="42"/>
    </row>
    <row r="5171" spans="1:10" s="393" customFormat="1" ht="15.75" thickBot="1" x14ac:dyDescent="0.3">
      <c r="A5171" s="402" t="s">
        <v>32</v>
      </c>
      <c r="B5171" s="271">
        <v>44108</v>
      </c>
      <c r="C5171" s="1">
        <v>37</v>
      </c>
      <c r="D5171" s="39">
        <f t="shared" si="450"/>
        <v>16120</v>
      </c>
      <c r="E5171" s="1">
        <f>16+5</f>
        <v>21</v>
      </c>
      <c r="F5171" s="522">
        <f t="shared" si="449"/>
        <v>560</v>
      </c>
      <c r="G5171" s="395"/>
      <c r="H5171" s="395"/>
      <c r="J5171" s="42"/>
    </row>
    <row r="5172" spans="1:10" s="393" customFormat="1" ht="15.75" thickBot="1" x14ac:dyDescent="0.3">
      <c r="A5172" s="402" t="s">
        <v>33</v>
      </c>
      <c r="B5172" s="271">
        <v>44108</v>
      </c>
      <c r="C5172" s="1">
        <v>24</v>
      </c>
      <c r="D5172" s="39">
        <f t="shared" si="450"/>
        <v>855</v>
      </c>
      <c r="E5172" s="1">
        <f>2</f>
        <v>2</v>
      </c>
      <c r="F5172" s="522">
        <f t="shared" ref="F5172:F5183" si="451">E5172+F5148</f>
        <v>11</v>
      </c>
      <c r="G5172" s="395"/>
      <c r="H5172" s="395"/>
      <c r="J5172" s="42"/>
    </row>
    <row r="5173" spans="1:10" s="393" customFormat="1" ht="15.75" thickBot="1" x14ac:dyDescent="0.3">
      <c r="A5173" s="402" t="s">
        <v>21</v>
      </c>
      <c r="B5173" s="271">
        <v>44108</v>
      </c>
      <c r="C5173" s="1">
        <v>62</v>
      </c>
      <c r="D5173" s="39">
        <f t="shared" si="450"/>
        <v>5116</v>
      </c>
      <c r="E5173" s="1"/>
      <c r="F5173" s="522">
        <f t="shared" si="451"/>
        <v>105</v>
      </c>
      <c r="G5173" s="395"/>
      <c r="H5173" s="395"/>
      <c r="J5173" s="42"/>
    </row>
    <row r="5174" spans="1:10" s="393" customFormat="1" ht="15.75" thickBot="1" x14ac:dyDescent="0.3">
      <c r="A5174" s="402" t="s">
        <v>17</v>
      </c>
      <c r="B5174" s="271">
        <v>44108</v>
      </c>
      <c r="C5174" s="1">
        <v>377</v>
      </c>
      <c r="D5174" s="39">
        <f t="shared" si="450"/>
        <v>27501</v>
      </c>
      <c r="E5174" s="1">
        <f>2+4</f>
        <v>6</v>
      </c>
      <c r="F5174" s="522">
        <f t="shared" si="451"/>
        <v>310</v>
      </c>
      <c r="G5174" s="395"/>
      <c r="H5174" s="395"/>
      <c r="J5174" s="42"/>
    </row>
    <row r="5175" spans="1:10" s="393" customFormat="1" ht="15.75" thickBot="1" x14ac:dyDescent="0.3">
      <c r="A5175" s="402" t="s">
        <v>23</v>
      </c>
      <c r="B5175" s="271">
        <v>44108</v>
      </c>
      <c r="C5175" s="1">
        <v>-1</v>
      </c>
      <c r="D5175" s="39">
        <f t="shared" si="450"/>
        <v>103</v>
      </c>
      <c r="E5175" s="1"/>
      <c r="F5175" s="522">
        <f t="shared" si="451"/>
        <v>4</v>
      </c>
      <c r="G5175" s="395"/>
      <c r="H5175" s="395"/>
      <c r="J5175" s="42"/>
    </row>
    <row r="5176" spans="1:10" s="393" customFormat="1" ht="15.75" thickBot="1" x14ac:dyDescent="0.3">
      <c r="A5176" s="402" t="s">
        <v>19</v>
      </c>
      <c r="B5176" s="271">
        <v>44108</v>
      </c>
      <c r="C5176" s="1">
        <v>266</v>
      </c>
      <c r="D5176" s="39">
        <f>C5176+D5152</f>
        <v>8879</v>
      </c>
      <c r="E5176" s="1">
        <f>1</f>
        <v>1</v>
      </c>
      <c r="F5176" s="522">
        <f t="shared" si="451"/>
        <v>122</v>
      </c>
      <c r="G5176" s="395"/>
      <c r="H5176" s="395"/>
      <c r="J5176" s="42"/>
    </row>
    <row r="5177" spans="1:10" s="393" customFormat="1" ht="15.75" thickBot="1" x14ac:dyDescent="0.3">
      <c r="A5177" s="402" t="s">
        <v>18</v>
      </c>
      <c r="B5177" s="271">
        <v>44108</v>
      </c>
      <c r="C5177" s="1">
        <v>230</v>
      </c>
      <c r="D5177" s="39">
        <f>C5177+D5153</f>
        <v>14057</v>
      </c>
      <c r="E5177" s="1">
        <f>2+1</f>
        <v>3</v>
      </c>
      <c r="F5177" s="522">
        <f t="shared" si="451"/>
        <v>310</v>
      </c>
      <c r="G5177" s="395"/>
      <c r="H5177" s="395"/>
      <c r="J5177" s="42"/>
    </row>
    <row r="5178" spans="1:10" s="393" customFormat="1" ht="15.75" thickBot="1" x14ac:dyDescent="0.3">
      <c r="A5178" s="402" t="s">
        <v>34</v>
      </c>
      <c r="B5178" s="271">
        <v>44108</v>
      </c>
      <c r="C5178" s="1">
        <v>288</v>
      </c>
      <c r="D5178" s="39">
        <f>C5178+D5154</f>
        <v>13523</v>
      </c>
      <c r="E5178" s="1">
        <f>10+7</f>
        <v>17</v>
      </c>
      <c r="F5178" s="522">
        <f>E5178+F5154</f>
        <v>383</v>
      </c>
      <c r="G5178" s="395"/>
      <c r="H5178" s="395"/>
      <c r="J5178" s="42"/>
    </row>
    <row r="5179" spans="1:10" s="393" customFormat="1" ht="15.75" thickBot="1" x14ac:dyDescent="0.3">
      <c r="A5179" s="402" t="s">
        <v>35</v>
      </c>
      <c r="B5179" s="271">
        <v>44108</v>
      </c>
      <c r="C5179" s="1">
        <v>10</v>
      </c>
      <c r="D5179" s="39">
        <f t="shared" ref="D5179:D5185" si="452">C5179+D5155</f>
        <v>839</v>
      </c>
      <c r="E5179" s="1">
        <f>2</f>
        <v>2</v>
      </c>
      <c r="F5179" s="522">
        <f>E5179+F5155</f>
        <v>42</v>
      </c>
      <c r="G5179" s="395"/>
      <c r="H5179" s="395"/>
      <c r="J5179" s="42"/>
    </row>
    <row r="5180" spans="1:10" s="393" customFormat="1" ht="15.75" thickBot="1" x14ac:dyDescent="0.3">
      <c r="A5180" s="402" t="s">
        <v>36</v>
      </c>
      <c r="B5180" s="271">
        <v>44108</v>
      </c>
      <c r="C5180" s="1">
        <v>51</v>
      </c>
      <c r="D5180" s="39">
        <f t="shared" si="452"/>
        <v>1700</v>
      </c>
      <c r="E5180" s="1">
        <f>4+2</f>
        <v>6</v>
      </c>
      <c r="F5180" s="522">
        <f t="shared" si="451"/>
        <v>25</v>
      </c>
      <c r="G5180" s="395"/>
      <c r="H5180" s="395"/>
      <c r="J5180" s="42"/>
    </row>
    <row r="5181" spans="1:10" s="393" customFormat="1" ht="15.75" thickBot="1" x14ac:dyDescent="0.3">
      <c r="A5181" s="402" t="s">
        <v>37</v>
      </c>
      <c r="B5181" s="271">
        <v>44108</v>
      </c>
      <c r="C5181" s="1">
        <v>109</v>
      </c>
      <c r="D5181" s="39">
        <f t="shared" si="452"/>
        <v>5453</v>
      </c>
      <c r="E5181" s="1">
        <f>1</f>
        <v>1</v>
      </c>
      <c r="F5181" s="522">
        <f>E5181+F5157</f>
        <v>68</v>
      </c>
      <c r="G5181" s="395"/>
      <c r="H5181" s="395"/>
      <c r="J5181" s="42"/>
    </row>
    <row r="5182" spans="1:10" s="393" customFormat="1" ht="15.75" thickBot="1" x14ac:dyDescent="0.3">
      <c r="A5182" s="402" t="s">
        <v>22</v>
      </c>
      <c r="B5182" s="271">
        <v>44108</v>
      </c>
      <c r="C5182" s="1">
        <v>851</v>
      </c>
      <c r="D5182" s="39">
        <f t="shared" si="452"/>
        <v>49016</v>
      </c>
      <c r="E5182" s="1">
        <f>6+10</f>
        <v>16</v>
      </c>
      <c r="F5182" s="522">
        <f>E5182+F5158</f>
        <v>522</v>
      </c>
      <c r="G5182" s="395"/>
      <c r="H5182" s="395"/>
      <c r="J5182" s="42"/>
    </row>
    <row r="5183" spans="1:10" s="393" customFormat="1" ht="15.75" thickBot="1" x14ac:dyDescent="0.3">
      <c r="A5183" s="402" t="s">
        <v>38</v>
      </c>
      <c r="B5183" s="271">
        <v>44108</v>
      </c>
      <c r="C5183" s="1">
        <v>58</v>
      </c>
      <c r="D5183" s="39">
        <f t="shared" si="452"/>
        <v>3902</v>
      </c>
      <c r="E5183" s="1">
        <f>2</f>
        <v>2</v>
      </c>
      <c r="F5183" s="522">
        <f t="shared" si="451"/>
        <v>67</v>
      </c>
      <c r="G5183" s="395"/>
      <c r="H5183" s="395"/>
      <c r="J5183" s="42"/>
    </row>
    <row r="5184" spans="1:10" s="393" customFormat="1" ht="15.75" thickBot="1" x14ac:dyDescent="0.3">
      <c r="A5184" s="402" t="s">
        <v>39</v>
      </c>
      <c r="B5184" s="271">
        <v>44108</v>
      </c>
      <c r="C5184" s="1">
        <v>135</v>
      </c>
      <c r="D5184" s="39">
        <f t="shared" si="452"/>
        <v>5043</v>
      </c>
      <c r="E5184" s="1"/>
      <c r="F5184" s="522">
        <f t="shared" ref="F5184:F5195" si="453">E5184+F5160</f>
        <v>71</v>
      </c>
      <c r="G5184" s="395"/>
      <c r="H5184" s="395"/>
      <c r="J5184" s="42"/>
    </row>
    <row r="5185" spans="1:10" s="393" customFormat="1" ht="15.75" thickBot="1" x14ac:dyDescent="0.3">
      <c r="A5185" s="404" t="s">
        <v>40</v>
      </c>
      <c r="B5185" s="271">
        <v>44108</v>
      </c>
      <c r="C5185" s="1">
        <v>336</v>
      </c>
      <c r="D5185" s="177">
        <f t="shared" si="452"/>
        <v>16968</v>
      </c>
      <c r="E5185" s="1">
        <f>1+1</f>
        <v>2</v>
      </c>
      <c r="F5185" s="631">
        <f t="shared" si="453"/>
        <v>142</v>
      </c>
      <c r="G5185" s="395"/>
      <c r="H5185" s="395"/>
      <c r="J5185" s="42"/>
    </row>
    <row r="5186" spans="1:10" s="393" customFormat="1" ht="15.75" thickBot="1" x14ac:dyDescent="0.3">
      <c r="A5186" s="397" t="s">
        <v>16</v>
      </c>
      <c r="B5186" s="271">
        <v>44109</v>
      </c>
      <c r="C5186" s="1">
        <v>4471</v>
      </c>
      <c r="D5186" s="175">
        <f>C5186+D5162</f>
        <v>440405</v>
      </c>
      <c r="E5186" s="1">
        <v>207</v>
      </c>
      <c r="F5186" s="630">
        <f t="shared" si="453"/>
        <v>13621</v>
      </c>
      <c r="G5186" s="395"/>
      <c r="H5186" s="395"/>
      <c r="J5186" s="42"/>
    </row>
    <row r="5187" spans="1:10" s="393" customFormat="1" ht="15.75" thickBot="1" x14ac:dyDescent="0.3">
      <c r="A5187" s="402" t="s">
        <v>43</v>
      </c>
      <c r="B5187" s="271">
        <v>44109</v>
      </c>
      <c r="C5187" s="1">
        <v>684</v>
      </c>
      <c r="D5187" s="39">
        <f t="shared" ref="D5187:D5199" si="454">C5187+D5163</f>
        <v>129958</v>
      </c>
      <c r="E5187" s="1">
        <v>57</v>
      </c>
      <c r="F5187" s="522">
        <f t="shared" si="453"/>
        <v>3680</v>
      </c>
      <c r="G5187" s="395"/>
      <c r="H5187" s="395"/>
      <c r="J5187" s="42"/>
    </row>
    <row r="5188" spans="1:10" s="393" customFormat="1" ht="15.75" thickBot="1" x14ac:dyDescent="0.3">
      <c r="A5188" s="402" t="s">
        <v>28</v>
      </c>
      <c r="B5188" s="271">
        <v>44109</v>
      </c>
      <c r="C5188" s="1">
        <v>0</v>
      </c>
      <c r="D5188" s="39">
        <f t="shared" si="454"/>
        <v>318</v>
      </c>
      <c r="E5188" s="1"/>
      <c r="F5188" s="522">
        <f t="shared" si="453"/>
        <v>0</v>
      </c>
      <c r="G5188" s="395"/>
      <c r="H5188" s="395"/>
      <c r="J5188" s="42"/>
    </row>
    <row r="5189" spans="1:10" s="393" customFormat="1" ht="15.75" thickBot="1" x14ac:dyDescent="0.3">
      <c r="A5189" s="402" t="s">
        <v>15</v>
      </c>
      <c r="B5189" s="271">
        <v>44109</v>
      </c>
      <c r="C5189" s="1">
        <v>101</v>
      </c>
      <c r="D5189" s="39">
        <f t="shared" si="454"/>
        <v>9341</v>
      </c>
      <c r="E5189" s="1">
        <v>5</v>
      </c>
      <c r="F5189" s="522">
        <f t="shared" si="453"/>
        <v>305</v>
      </c>
      <c r="G5189" s="395"/>
      <c r="H5189" s="395"/>
      <c r="J5189" s="42"/>
    </row>
    <row r="5190" spans="1:10" s="393" customFormat="1" ht="15.75" thickBot="1" x14ac:dyDescent="0.3">
      <c r="A5190" s="402" t="s">
        <v>29</v>
      </c>
      <c r="B5190" s="271">
        <v>44109</v>
      </c>
      <c r="C5190" s="1">
        <v>234</v>
      </c>
      <c r="D5190" s="39">
        <f t="shared" si="454"/>
        <v>4921</v>
      </c>
      <c r="E5190" s="1">
        <v>11</v>
      </c>
      <c r="F5190" s="522">
        <f t="shared" si="453"/>
        <v>69</v>
      </c>
      <c r="G5190" s="395"/>
      <c r="H5190" s="395"/>
      <c r="J5190" s="42"/>
    </row>
    <row r="5191" spans="1:10" s="393" customFormat="1" ht="15.75" thickBot="1" x14ac:dyDescent="0.3">
      <c r="A5191" s="402" t="s">
        <v>20</v>
      </c>
      <c r="B5191" s="271">
        <v>44109</v>
      </c>
      <c r="C5191" s="1">
        <v>1188</v>
      </c>
      <c r="D5191" s="39">
        <f t="shared" si="454"/>
        <v>41738</v>
      </c>
      <c r="E5191" s="1">
        <v>21</v>
      </c>
      <c r="F5191" s="522">
        <f t="shared" si="453"/>
        <v>493</v>
      </c>
      <c r="G5191" s="395"/>
      <c r="H5191" s="395"/>
      <c r="J5191" s="42"/>
    </row>
    <row r="5192" spans="1:10" s="393" customFormat="1" ht="15.75" thickBot="1" x14ac:dyDescent="0.3">
      <c r="A5192" s="402" t="s">
        <v>30</v>
      </c>
      <c r="B5192" s="271">
        <v>44109</v>
      </c>
      <c r="C5192" s="1">
        <v>110</v>
      </c>
      <c r="D5192" s="39">
        <f t="shared" si="454"/>
        <v>1284</v>
      </c>
      <c r="E5192" s="1">
        <v>1</v>
      </c>
      <c r="F5192" s="522">
        <f t="shared" si="453"/>
        <v>28</v>
      </c>
      <c r="G5192" s="395"/>
      <c r="H5192" s="395"/>
      <c r="J5192" s="42"/>
    </row>
    <row r="5193" spans="1:10" ht="15.75" thickBot="1" x14ac:dyDescent="0.3">
      <c r="A5193" s="402" t="s">
        <v>31</v>
      </c>
      <c r="B5193" s="271">
        <v>44109</v>
      </c>
      <c r="C5193" s="1">
        <v>129</v>
      </c>
      <c r="D5193" s="39">
        <f t="shared" si="454"/>
        <v>8248</v>
      </c>
      <c r="E5193" s="1">
        <v>7</v>
      </c>
      <c r="F5193" s="522">
        <f t="shared" si="453"/>
        <v>150</v>
      </c>
    </row>
    <row r="5194" spans="1:10" s="393" customFormat="1" ht="15.75" thickBot="1" x14ac:dyDescent="0.3">
      <c r="A5194" s="402" t="s">
        <v>41</v>
      </c>
      <c r="B5194" s="271">
        <v>44109</v>
      </c>
      <c r="C5194" s="1">
        <v>1</v>
      </c>
      <c r="D5194" s="39">
        <f t="shared" si="454"/>
        <v>106</v>
      </c>
      <c r="E5194" s="1"/>
      <c r="F5194" s="522">
        <f t="shared" si="453"/>
        <v>1</v>
      </c>
      <c r="G5194" s="395"/>
      <c r="H5194" s="395"/>
      <c r="J5194" s="42"/>
    </row>
    <row r="5195" spans="1:10" s="393" customFormat="1" ht="15.75" thickBot="1" x14ac:dyDescent="0.3">
      <c r="A5195" s="402" t="s">
        <v>32</v>
      </c>
      <c r="B5195" s="271">
        <v>44109</v>
      </c>
      <c r="C5195" s="1">
        <v>61</v>
      </c>
      <c r="D5195" s="39">
        <f t="shared" si="454"/>
        <v>16181</v>
      </c>
      <c r="E5195" s="1">
        <v>29</v>
      </c>
      <c r="F5195" s="522">
        <f t="shared" si="453"/>
        <v>589</v>
      </c>
      <c r="G5195" s="395"/>
      <c r="H5195" s="395"/>
      <c r="J5195" s="42"/>
    </row>
    <row r="5196" spans="1:10" s="393" customFormat="1" ht="15.75" thickBot="1" x14ac:dyDescent="0.3">
      <c r="A5196" s="402" t="s">
        <v>33</v>
      </c>
      <c r="B5196" s="271">
        <v>44109</v>
      </c>
      <c r="C5196" s="1">
        <v>16</v>
      </c>
      <c r="D5196" s="39">
        <f t="shared" si="454"/>
        <v>871</v>
      </c>
      <c r="E5196" s="1"/>
      <c r="F5196" s="522">
        <f t="shared" ref="F5196:F5207" si="455">E5196+F5172</f>
        <v>11</v>
      </c>
      <c r="G5196" s="395"/>
      <c r="H5196" s="395"/>
      <c r="J5196" s="42"/>
    </row>
    <row r="5197" spans="1:10" s="393" customFormat="1" ht="15.75" thickBot="1" x14ac:dyDescent="0.3">
      <c r="A5197" s="402" t="s">
        <v>21</v>
      </c>
      <c r="B5197" s="271">
        <v>44109</v>
      </c>
      <c r="C5197" s="1">
        <v>85</v>
      </c>
      <c r="D5197" s="39">
        <f t="shared" si="454"/>
        <v>5201</v>
      </c>
      <c r="E5197" s="1"/>
      <c r="F5197" s="522">
        <f t="shared" si="455"/>
        <v>105</v>
      </c>
      <c r="G5197" s="395"/>
      <c r="H5197" s="395"/>
      <c r="J5197" s="42"/>
    </row>
    <row r="5198" spans="1:10" s="393" customFormat="1" ht="15.75" thickBot="1" x14ac:dyDescent="0.3">
      <c r="A5198" s="402" t="s">
        <v>17</v>
      </c>
      <c r="B5198" s="271">
        <v>44109</v>
      </c>
      <c r="C5198" s="1">
        <v>384</v>
      </c>
      <c r="D5198" s="39">
        <f t="shared" si="454"/>
        <v>27885</v>
      </c>
      <c r="E5198" s="1">
        <v>8</v>
      </c>
      <c r="F5198" s="522">
        <f t="shared" si="455"/>
        <v>318</v>
      </c>
      <c r="G5198" s="395"/>
      <c r="H5198" s="395"/>
      <c r="J5198" s="42"/>
    </row>
    <row r="5199" spans="1:10" s="393" customFormat="1" ht="15.75" thickBot="1" x14ac:dyDescent="0.3">
      <c r="A5199" s="402" t="s">
        <v>23</v>
      </c>
      <c r="B5199" s="271">
        <v>44109</v>
      </c>
      <c r="C5199" s="1">
        <v>4</v>
      </c>
      <c r="D5199" s="39">
        <f t="shared" si="454"/>
        <v>107</v>
      </c>
      <c r="E5199" s="1"/>
      <c r="F5199" s="522">
        <f t="shared" si="455"/>
        <v>4</v>
      </c>
      <c r="G5199" s="395"/>
      <c r="H5199" s="395"/>
      <c r="J5199" s="42"/>
    </row>
    <row r="5200" spans="1:10" s="393" customFormat="1" ht="15.75" thickBot="1" x14ac:dyDescent="0.3">
      <c r="A5200" s="402" t="s">
        <v>19</v>
      </c>
      <c r="B5200" s="271">
        <v>44109</v>
      </c>
      <c r="C5200" s="1">
        <v>251</v>
      </c>
      <c r="D5200" s="39">
        <f>C5200+D5176</f>
        <v>9130</v>
      </c>
      <c r="E5200" s="1"/>
      <c r="F5200" s="522">
        <f t="shared" si="455"/>
        <v>122</v>
      </c>
      <c r="G5200" s="395"/>
      <c r="H5200" s="395"/>
      <c r="J5200" s="42"/>
    </row>
    <row r="5201" spans="1:10" s="393" customFormat="1" ht="15.75" thickBot="1" x14ac:dyDescent="0.3">
      <c r="A5201" s="402" t="s">
        <v>18</v>
      </c>
      <c r="B5201" s="271">
        <v>44109</v>
      </c>
      <c r="C5201" s="1">
        <v>257</v>
      </c>
      <c r="D5201" s="39">
        <f>C5201+D5177</f>
        <v>14314</v>
      </c>
      <c r="E5201" s="1">
        <v>10</v>
      </c>
      <c r="F5201" s="522">
        <f t="shared" si="455"/>
        <v>320</v>
      </c>
      <c r="G5201" s="395"/>
      <c r="H5201" s="395"/>
      <c r="J5201" s="42"/>
    </row>
    <row r="5202" spans="1:10" s="393" customFormat="1" ht="15.75" thickBot="1" x14ac:dyDescent="0.3">
      <c r="A5202" s="402" t="s">
        <v>34</v>
      </c>
      <c r="B5202" s="271">
        <v>44109</v>
      </c>
      <c r="C5202" s="1">
        <v>217</v>
      </c>
      <c r="D5202" s="39">
        <f>C5202+D5178</f>
        <v>13740</v>
      </c>
      <c r="E5202" s="1">
        <v>40</v>
      </c>
      <c r="F5202" s="522">
        <f>E5202+F5178</f>
        <v>423</v>
      </c>
      <c r="G5202" s="395"/>
      <c r="H5202" s="395"/>
      <c r="J5202" s="42"/>
    </row>
    <row r="5203" spans="1:10" s="393" customFormat="1" ht="15.75" thickBot="1" x14ac:dyDescent="0.3">
      <c r="A5203" s="402" t="s">
        <v>35</v>
      </c>
      <c r="B5203" s="271">
        <v>44109</v>
      </c>
      <c r="C5203" s="1">
        <v>84</v>
      </c>
      <c r="D5203" s="39">
        <f t="shared" ref="D5203:D5209" si="456">C5203+D5179</f>
        <v>923</v>
      </c>
      <c r="E5203" s="1"/>
      <c r="F5203" s="522">
        <f>E5203+F5179</f>
        <v>42</v>
      </c>
      <c r="G5203" s="395"/>
      <c r="H5203" s="395"/>
      <c r="J5203" s="42"/>
    </row>
    <row r="5204" spans="1:10" s="393" customFormat="1" ht="15.75" thickBot="1" x14ac:dyDescent="0.3">
      <c r="A5204" s="402" t="s">
        <v>36</v>
      </c>
      <c r="B5204" s="271">
        <v>44109</v>
      </c>
      <c r="C5204" s="1">
        <v>104</v>
      </c>
      <c r="D5204" s="39">
        <f t="shared" si="456"/>
        <v>1804</v>
      </c>
      <c r="E5204" s="1">
        <v>3</v>
      </c>
      <c r="F5204" s="522">
        <f t="shared" si="455"/>
        <v>28</v>
      </c>
      <c r="G5204" s="395"/>
      <c r="H5204" s="395"/>
      <c r="J5204" s="42"/>
    </row>
    <row r="5205" spans="1:10" s="393" customFormat="1" ht="15.75" thickBot="1" x14ac:dyDescent="0.3">
      <c r="A5205" s="402" t="s">
        <v>37</v>
      </c>
      <c r="B5205" s="271">
        <v>44109</v>
      </c>
      <c r="C5205" s="1">
        <v>110</v>
      </c>
      <c r="D5205" s="39">
        <f t="shared" si="456"/>
        <v>5563</v>
      </c>
      <c r="E5205" s="1">
        <v>3</v>
      </c>
      <c r="F5205" s="522">
        <f>E5205+F5181</f>
        <v>71</v>
      </c>
      <c r="G5205" s="395"/>
      <c r="H5205" s="395"/>
      <c r="J5205" s="42"/>
    </row>
    <row r="5206" spans="1:10" s="393" customFormat="1" ht="15.75" thickBot="1" x14ac:dyDescent="0.3">
      <c r="A5206" s="402" t="s">
        <v>22</v>
      </c>
      <c r="B5206" s="271">
        <v>44109</v>
      </c>
      <c r="C5206" s="1">
        <v>1670</v>
      </c>
      <c r="D5206" s="39">
        <f t="shared" si="456"/>
        <v>50686</v>
      </c>
      <c r="E5206" s="1">
        <v>34</v>
      </c>
      <c r="F5206" s="522">
        <f>E5206+F5182</f>
        <v>556</v>
      </c>
      <c r="G5206" s="395"/>
      <c r="H5206" s="395"/>
      <c r="J5206" s="42"/>
    </row>
    <row r="5207" spans="1:10" s="393" customFormat="1" ht="15.75" thickBot="1" x14ac:dyDescent="0.3">
      <c r="A5207" s="402" t="s">
        <v>38</v>
      </c>
      <c r="B5207" s="271">
        <v>44109</v>
      </c>
      <c r="C5207" s="1">
        <v>112</v>
      </c>
      <c r="D5207" s="39">
        <f t="shared" si="456"/>
        <v>4014</v>
      </c>
      <c r="E5207" s="1">
        <v>2</v>
      </c>
      <c r="F5207" s="522">
        <f t="shared" si="455"/>
        <v>69</v>
      </c>
      <c r="G5207" s="395"/>
      <c r="H5207" s="395"/>
      <c r="J5207" s="42"/>
    </row>
    <row r="5208" spans="1:10" s="393" customFormat="1" ht="15.75" thickBot="1" x14ac:dyDescent="0.3">
      <c r="A5208" s="402" t="s">
        <v>39</v>
      </c>
      <c r="B5208" s="271">
        <v>44109</v>
      </c>
      <c r="C5208" s="1">
        <v>133</v>
      </c>
      <c r="D5208" s="39">
        <f t="shared" si="456"/>
        <v>5176</v>
      </c>
      <c r="E5208" s="1">
        <v>3</v>
      </c>
      <c r="F5208" s="522">
        <f t="shared" ref="F5208:F5219" si="457">E5208+F5184</f>
        <v>74</v>
      </c>
      <c r="G5208" s="395"/>
      <c r="H5208" s="395"/>
      <c r="J5208" s="42"/>
    </row>
    <row r="5209" spans="1:10" s="393" customFormat="1" ht="15.75" thickBot="1" x14ac:dyDescent="0.3">
      <c r="A5209" s="404" t="s">
        <v>40</v>
      </c>
      <c r="B5209" s="271">
        <v>44109</v>
      </c>
      <c r="C5209" s="1">
        <v>836</v>
      </c>
      <c r="D5209" s="177">
        <f t="shared" si="456"/>
        <v>17804</v>
      </c>
      <c r="E5209" s="1">
        <v>9</v>
      </c>
      <c r="F5209" s="631">
        <f t="shared" si="457"/>
        <v>151</v>
      </c>
      <c r="G5209" s="395"/>
      <c r="H5209" s="395"/>
      <c r="J5209" s="42"/>
    </row>
    <row r="5210" spans="1:10" s="393" customFormat="1" ht="15.75" thickBot="1" x14ac:dyDescent="0.3">
      <c r="A5210" s="397" t="s">
        <v>16</v>
      </c>
      <c r="B5210" s="271">
        <v>44110</v>
      </c>
      <c r="C5210" s="1">
        <v>5659</v>
      </c>
      <c r="D5210" s="175">
        <f>C5210+D5186</f>
        <v>446064</v>
      </c>
      <c r="E5210" s="1">
        <v>149</v>
      </c>
      <c r="F5210" s="630">
        <f t="shared" si="457"/>
        <v>13770</v>
      </c>
      <c r="G5210" s="395"/>
      <c r="H5210" s="395"/>
      <c r="J5210" s="42"/>
    </row>
    <row r="5211" spans="1:10" s="393" customFormat="1" ht="15.75" thickBot="1" x14ac:dyDescent="0.3">
      <c r="A5211" s="402" t="s">
        <v>43</v>
      </c>
      <c r="B5211" s="271">
        <v>44110</v>
      </c>
      <c r="C5211" s="1">
        <v>883</v>
      </c>
      <c r="D5211" s="39">
        <f t="shared" ref="D5211:D5223" si="458">C5211+D5187</f>
        <v>130841</v>
      </c>
      <c r="E5211" s="1">
        <v>51</v>
      </c>
      <c r="F5211" s="522">
        <f t="shared" si="457"/>
        <v>3731</v>
      </c>
      <c r="G5211" s="395"/>
      <c r="H5211" s="395"/>
      <c r="J5211" s="42"/>
    </row>
    <row r="5212" spans="1:10" s="393" customFormat="1" ht="15.75" thickBot="1" x14ac:dyDescent="0.3">
      <c r="A5212" s="402" t="s">
        <v>28</v>
      </c>
      <c r="B5212" s="271">
        <v>44110</v>
      </c>
      <c r="C5212" s="1">
        <v>9</v>
      </c>
      <c r="D5212" s="39">
        <f t="shared" si="458"/>
        <v>327</v>
      </c>
      <c r="E5212" s="1"/>
      <c r="F5212" s="522">
        <f t="shared" si="457"/>
        <v>0</v>
      </c>
      <c r="G5212" s="395"/>
      <c r="H5212" s="395"/>
      <c r="J5212" s="42"/>
    </row>
    <row r="5213" spans="1:10" s="393" customFormat="1" ht="15.75" thickBot="1" x14ac:dyDescent="0.3">
      <c r="A5213" s="402" t="s">
        <v>15</v>
      </c>
      <c r="B5213" s="271">
        <v>44110</v>
      </c>
      <c r="C5213" s="1">
        <v>145</v>
      </c>
      <c r="D5213" s="39">
        <f t="shared" si="458"/>
        <v>9486</v>
      </c>
      <c r="E5213" s="1">
        <v>4</v>
      </c>
      <c r="F5213" s="522">
        <f t="shared" si="457"/>
        <v>309</v>
      </c>
      <c r="G5213" s="395"/>
      <c r="H5213" s="395"/>
      <c r="J5213" s="42"/>
    </row>
    <row r="5214" spans="1:10" s="393" customFormat="1" ht="15.75" thickBot="1" x14ac:dyDescent="0.3">
      <c r="A5214" s="402" t="s">
        <v>29</v>
      </c>
      <c r="B5214" s="271">
        <v>44110</v>
      </c>
      <c r="C5214" s="1">
        <v>322</v>
      </c>
      <c r="D5214" s="39">
        <f t="shared" si="458"/>
        <v>5243</v>
      </c>
      <c r="E5214" s="1"/>
      <c r="F5214" s="522">
        <f t="shared" si="457"/>
        <v>69</v>
      </c>
      <c r="G5214" s="395"/>
      <c r="H5214" s="395"/>
      <c r="J5214" s="42"/>
    </row>
    <row r="5215" spans="1:10" s="393" customFormat="1" ht="15.75" thickBot="1" x14ac:dyDescent="0.3">
      <c r="A5215" s="402" t="s">
        <v>20</v>
      </c>
      <c r="B5215" s="271">
        <v>44110</v>
      </c>
      <c r="C5215" s="1">
        <v>1455</v>
      </c>
      <c r="D5215" s="39">
        <f t="shared" si="458"/>
        <v>43193</v>
      </c>
      <c r="E5215" s="1">
        <v>21</v>
      </c>
      <c r="F5215" s="522">
        <f t="shared" si="457"/>
        <v>514</v>
      </c>
      <c r="G5215" s="395"/>
      <c r="H5215" s="395"/>
      <c r="J5215" s="42"/>
    </row>
    <row r="5216" spans="1:10" s="393" customFormat="1" ht="15.75" thickBot="1" x14ac:dyDescent="0.3">
      <c r="A5216" s="402" t="s">
        <v>30</v>
      </c>
      <c r="B5216" s="271">
        <v>44110</v>
      </c>
      <c r="C5216" s="1">
        <v>72</v>
      </c>
      <c r="D5216" s="39">
        <f t="shared" si="458"/>
        <v>1356</v>
      </c>
      <c r="E5216" s="1">
        <v>3</v>
      </c>
      <c r="F5216" s="522">
        <f t="shared" si="457"/>
        <v>31</v>
      </c>
      <c r="G5216" s="395"/>
      <c r="H5216" s="395"/>
      <c r="J5216" s="42"/>
    </row>
    <row r="5217" spans="1:10" ht="15.75" thickBot="1" x14ac:dyDescent="0.3">
      <c r="A5217" s="402" t="s">
        <v>31</v>
      </c>
      <c r="B5217" s="271">
        <v>44110</v>
      </c>
      <c r="C5217" s="1">
        <v>201</v>
      </c>
      <c r="D5217" s="39">
        <f t="shared" si="458"/>
        <v>8449</v>
      </c>
      <c r="E5217" s="1">
        <v>3</v>
      </c>
      <c r="F5217" s="522">
        <f t="shared" si="457"/>
        <v>153</v>
      </c>
    </row>
    <row r="5218" spans="1:10" s="393" customFormat="1" ht="15.75" thickBot="1" x14ac:dyDescent="0.3">
      <c r="A5218" s="402" t="s">
        <v>41</v>
      </c>
      <c r="B5218" s="271">
        <v>44110</v>
      </c>
      <c r="C5218" s="1">
        <v>0</v>
      </c>
      <c r="D5218" s="39">
        <f t="shared" si="458"/>
        <v>106</v>
      </c>
      <c r="E5218" s="1"/>
      <c r="F5218" s="522">
        <f t="shared" si="457"/>
        <v>1</v>
      </c>
      <c r="G5218" s="395"/>
      <c r="H5218" s="395"/>
      <c r="J5218" s="42"/>
    </row>
    <row r="5219" spans="1:10" s="393" customFormat="1" ht="15.75" thickBot="1" x14ac:dyDescent="0.3">
      <c r="A5219" s="402" t="s">
        <v>32</v>
      </c>
      <c r="B5219" s="271">
        <v>44110</v>
      </c>
      <c r="C5219" s="1">
        <v>109</v>
      </c>
      <c r="D5219" s="39">
        <f t="shared" si="458"/>
        <v>16290</v>
      </c>
      <c r="E5219" s="1">
        <v>19</v>
      </c>
      <c r="F5219" s="522">
        <f t="shared" si="457"/>
        <v>608</v>
      </c>
      <c r="G5219" s="395"/>
      <c r="H5219" s="395"/>
      <c r="J5219" s="42"/>
    </row>
    <row r="5220" spans="1:10" s="393" customFormat="1" ht="15.75" thickBot="1" x14ac:dyDescent="0.3">
      <c r="A5220" s="402" t="s">
        <v>33</v>
      </c>
      <c r="B5220" s="271">
        <v>44110</v>
      </c>
      <c r="C5220" s="1">
        <v>26</v>
      </c>
      <c r="D5220" s="39">
        <f t="shared" si="458"/>
        <v>897</v>
      </c>
      <c r="E5220" s="1"/>
      <c r="F5220" s="522">
        <f t="shared" ref="F5220:F5231" si="459">E5220+F5196</f>
        <v>11</v>
      </c>
      <c r="G5220" s="395"/>
      <c r="H5220" s="395"/>
      <c r="J5220" s="42"/>
    </row>
    <row r="5221" spans="1:10" s="393" customFormat="1" ht="15.75" thickBot="1" x14ac:dyDescent="0.3">
      <c r="A5221" s="402" t="s">
        <v>21</v>
      </c>
      <c r="B5221" s="271">
        <v>44110</v>
      </c>
      <c r="C5221" s="1">
        <v>110</v>
      </c>
      <c r="D5221" s="39">
        <f t="shared" si="458"/>
        <v>5311</v>
      </c>
      <c r="E5221" s="1"/>
      <c r="F5221" s="522">
        <f t="shared" si="459"/>
        <v>105</v>
      </c>
      <c r="G5221" s="395"/>
      <c r="H5221" s="395"/>
      <c r="J5221" s="42"/>
    </row>
    <row r="5222" spans="1:10" s="393" customFormat="1" ht="15.75" thickBot="1" x14ac:dyDescent="0.3">
      <c r="A5222" s="402" t="s">
        <v>17</v>
      </c>
      <c r="B5222" s="271">
        <v>44110</v>
      </c>
      <c r="C5222" s="1">
        <v>680</v>
      </c>
      <c r="D5222" s="39">
        <f t="shared" si="458"/>
        <v>28565</v>
      </c>
      <c r="E5222" s="1">
        <v>44</v>
      </c>
      <c r="F5222" s="522">
        <f t="shared" si="459"/>
        <v>362</v>
      </c>
      <c r="G5222" s="395"/>
      <c r="H5222" s="395"/>
      <c r="J5222" s="42"/>
    </row>
    <row r="5223" spans="1:10" s="393" customFormat="1" ht="15.75" thickBot="1" x14ac:dyDescent="0.3">
      <c r="A5223" s="402" t="s">
        <v>23</v>
      </c>
      <c r="B5223" s="271">
        <v>44110</v>
      </c>
      <c r="C5223" s="1">
        <v>11</v>
      </c>
      <c r="D5223" s="39">
        <f t="shared" si="458"/>
        <v>118</v>
      </c>
      <c r="E5223" s="1"/>
      <c r="F5223" s="522">
        <f t="shared" si="459"/>
        <v>4</v>
      </c>
      <c r="G5223" s="395"/>
      <c r="H5223" s="395"/>
      <c r="J5223" s="42"/>
    </row>
    <row r="5224" spans="1:10" s="393" customFormat="1" ht="15.75" thickBot="1" x14ac:dyDescent="0.3">
      <c r="A5224" s="402" t="s">
        <v>19</v>
      </c>
      <c r="B5224" s="271">
        <v>44110</v>
      </c>
      <c r="C5224" s="1">
        <v>356</v>
      </c>
      <c r="D5224" s="39">
        <f>C5224+D5200</f>
        <v>9486</v>
      </c>
      <c r="E5224" s="1">
        <v>1</v>
      </c>
      <c r="F5224" s="522">
        <f t="shared" si="459"/>
        <v>123</v>
      </c>
      <c r="G5224" s="395"/>
      <c r="H5224" s="395"/>
      <c r="J5224" s="42"/>
    </row>
    <row r="5225" spans="1:10" s="393" customFormat="1" ht="15.75" thickBot="1" x14ac:dyDescent="0.3">
      <c r="A5225" s="402" t="s">
        <v>18</v>
      </c>
      <c r="B5225" s="271">
        <v>44110</v>
      </c>
      <c r="C5225" s="1">
        <v>338</v>
      </c>
      <c r="D5225" s="39">
        <f>C5225+D5201</f>
        <v>14652</v>
      </c>
      <c r="E5225" s="1">
        <v>11</v>
      </c>
      <c r="F5225" s="522">
        <f t="shared" si="459"/>
        <v>331</v>
      </c>
      <c r="G5225" s="395"/>
      <c r="H5225" s="395"/>
      <c r="J5225" s="42"/>
    </row>
    <row r="5226" spans="1:10" s="393" customFormat="1" ht="15.75" thickBot="1" x14ac:dyDescent="0.3">
      <c r="A5226" s="402" t="s">
        <v>34</v>
      </c>
      <c r="B5226" s="271">
        <v>44110</v>
      </c>
      <c r="C5226" s="1">
        <v>222</v>
      </c>
      <c r="D5226" s="39">
        <f>C5226+D5202</f>
        <v>13962</v>
      </c>
      <c r="E5226" s="1">
        <v>11</v>
      </c>
      <c r="F5226" s="522">
        <f>E5226+F5202</f>
        <v>434</v>
      </c>
      <c r="G5226" s="395"/>
      <c r="H5226" s="395"/>
      <c r="J5226" s="42"/>
    </row>
    <row r="5227" spans="1:10" s="393" customFormat="1" ht="15.75" thickBot="1" x14ac:dyDescent="0.3">
      <c r="A5227" s="402" t="s">
        <v>35</v>
      </c>
      <c r="B5227" s="271">
        <v>44110</v>
      </c>
      <c r="C5227" s="1">
        <v>64</v>
      </c>
      <c r="D5227" s="39">
        <f t="shared" ref="D5227:D5233" si="460">C5227+D5203</f>
        <v>987</v>
      </c>
      <c r="E5227" s="1"/>
      <c r="F5227" s="522">
        <f>E5227+F5203</f>
        <v>42</v>
      </c>
      <c r="G5227" s="395"/>
      <c r="H5227" s="395"/>
      <c r="J5227" s="42"/>
    </row>
    <row r="5228" spans="1:10" s="393" customFormat="1" ht="15.75" thickBot="1" x14ac:dyDescent="0.3">
      <c r="A5228" s="402" t="s">
        <v>36</v>
      </c>
      <c r="B5228" s="271">
        <v>44110</v>
      </c>
      <c r="C5228" s="1">
        <v>61</v>
      </c>
      <c r="D5228" s="39">
        <f t="shared" si="460"/>
        <v>1865</v>
      </c>
      <c r="E5228" s="1">
        <v>3</v>
      </c>
      <c r="F5228" s="522">
        <f t="shared" si="459"/>
        <v>31</v>
      </c>
      <c r="G5228" s="395"/>
      <c r="H5228" s="395"/>
      <c r="J5228" s="42"/>
    </row>
    <row r="5229" spans="1:10" s="393" customFormat="1" ht="15.75" thickBot="1" x14ac:dyDescent="0.3">
      <c r="A5229" s="402" t="s">
        <v>37</v>
      </c>
      <c r="B5229" s="271">
        <v>44110</v>
      </c>
      <c r="C5229" s="1">
        <v>55</v>
      </c>
      <c r="D5229" s="39">
        <f t="shared" si="460"/>
        <v>5618</v>
      </c>
      <c r="E5229" s="1">
        <v>1</v>
      </c>
      <c r="F5229" s="522">
        <f>E5229+F5205</f>
        <v>72</v>
      </c>
      <c r="G5229" s="395"/>
      <c r="H5229" s="395"/>
      <c r="J5229" s="42"/>
    </row>
    <row r="5230" spans="1:10" s="393" customFormat="1" ht="15.75" thickBot="1" x14ac:dyDescent="0.3">
      <c r="A5230" s="402" t="s">
        <v>22</v>
      </c>
      <c r="B5230" s="271">
        <v>44110</v>
      </c>
      <c r="C5230" s="1">
        <v>2209</v>
      </c>
      <c r="D5230" s="39">
        <f t="shared" si="460"/>
        <v>52895</v>
      </c>
      <c r="E5230" s="1">
        <v>16</v>
      </c>
      <c r="F5230" s="522">
        <f>E5230+F5206</f>
        <v>572</v>
      </c>
      <c r="G5230" s="395"/>
      <c r="H5230" s="395"/>
      <c r="J5230" s="42"/>
    </row>
    <row r="5231" spans="1:10" s="393" customFormat="1" ht="15.75" thickBot="1" x14ac:dyDescent="0.3">
      <c r="A5231" s="402" t="s">
        <v>38</v>
      </c>
      <c r="B5231" s="271">
        <v>44110</v>
      </c>
      <c r="C5231" s="1">
        <v>154</v>
      </c>
      <c r="D5231" s="39">
        <f t="shared" si="460"/>
        <v>4168</v>
      </c>
      <c r="E5231" s="1">
        <v>4</v>
      </c>
      <c r="F5231" s="522">
        <f t="shared" si="459"/>
        <v>73</v>
      </c>
      <c r="G5231" s="395"/>
      <c r="H5231" s="395"/>
      <c r="J5231" s="42"/>
    </row>
    <row r="5232" spans="1:10" s="393" customFormat="1" ht="15.75" thickBot="1" x14ac:dyDescent="0.3">
      <c r="A5232" s="402" t="s">
        <v>39</v>
      </c>
      <c r="B5232" s="271">
        <v>44110</v>
      </c>
      <c r="C5232" s="1">
        <v>244</v>
      </c>
      <c r="D5232" s="39">
        <f t="shared" si="460"/>
        <v>5420</v>
      </c>
      <c r="E5232" s="1">
        <v>1</v>
      </c>
      <c r="F5232" s="522">
        <f t="shared" ref="F5232:F5243" si="461">E5232+F5208</f>
        <v>75</v>
      </c>
      <c r="G5232" s="395"/>
      <c r="H5232" s="395"/>
      <c r="J5232" s="42"/>
    </row>
    <row r="5233" spans="1:10" s="393" customFormat="1" ht="15.75" thickBot="1" x14ac:dyDescent="0.3">
      <c r="A5233" s="404" t="s">
        <v>40</v>
      </c>
      <c r="B5233" s="271">
        <v>44110</v>
      </c>
      <c r="C5233" s="1">
        <v>1356</v>
      </c>
      <c r="D5233" s="177">
        <f t="shared" si="460"/>
        <v>19160</v>
      </c>
      <c r="E5233" s="1">
        <v>17</v>
      </c>
      <c r="F5233" s="631">
        <f t="shared" si="461"/>
        <v>168</v>
      </c>
      <c r="G5233" s="395"/>
      <c r="H5233" s="395"/>
      <c r="J5233" s="42"/>
    </row>
    <row r="5234" spans="1:10" s="393" customFormat="1" ht="15.75" thickBot="1" x14ac:dyDescent="0.3">
      <c r="A5234" s="397" t="s">
        <v>16</v>
      </c>
      <c r="B5234" s="271">
        <v>44111</v>
      </c>
      <c r="C5234" s="1">
        <v>5222</v>
      </c>
      <c r="D5234" s="175">
        <f>C5234+D5210</f>
        <v>451286</v>
      </c>
      <c r="E5234" s="1">
        <v>187</v>
      </c>
      <c r="F5234" s="630">
        <f t="shared" si="461"/>
        <v>13957</v>
      </c>
      <c r="G5234" s="395"/>
      <c r="H5234" s="395"/>
      <c r="J5234" s="42"/>
    </row>
    <row r="5235" spans="1:10" s="393" customFormat="1" ht="15.75" thickBot="1" x14ac:dyDescent="0.3">
      <c r="A5235" s="402" t="s">
        <v>43</v>
      </c>
      <c r="B5235" s="271">
        <v>44111</v>
      </c>
      <c r="C5235" s="1">
        <v>956</v>
      </c>
      <c r="D5235" s="39">
        <f t="shared" ref="D5235:D5247" si="462">C5235+D5211</f>
        <v>131797</v>
      </c>
      <c r="E5235" s="1">
        <v>63</v>
      </c>
      <c r="F5235" s="522">
        <f t="shared" si="461"/>
        <v>3794</v>
      </c>
      <c r="G5235" s="395"/>
      <c r="H5235" s="395"/>
      <c r="J5235" s="42"/>
    </row>
    <row r="5236" spans="1:10" s="393" customFormat="1" ht="15.75" thickBot="1" x14ac:dyDescent="0.3">
      <c r="A5236" s="402" t="s">
        <v>28</v>
      </c>
      <c r="B5236" s="271">
        <v>44111</v>
      </c>
      <c r="C5236" s="1">
        <v>8</v>
      </c>
      <c r="D5236" s="39">
        <f t="shared" si="462"/>
        <v>335</v>
      </c>
      <c r="E5236" s="1"/>
      <c r="F5236" s="522">
        <f t="shared" si="461"/>
        <v>0</v>
      </c>
      <c r="G5236" s="395"/>
      <c r="H5236" s="395"/>
      <c r="J5236" s="42"/>
    </row>
    <row r="5237" spans="1:10" s="393" customFormat="1" ht="15.75" thickBot="1" x14ac:dyDescent="0.3">
      <c r="A5237" s="402" t="s">
        <v>15</v>
      </c>
      <c r="B5237" s="271">
        <v>44111</v>
      </c>
      <c r="C5237" s="1">
        <v>207</v>
      </c>
      <c r="D5237" s="39">
        <f t="shared" si="462"/>
        <v>9693</v>
      </c>
      <c r="E5237" s="1">
        <v>5</v>
      </c>
      <c r="F5237" s="522">
        <f t="shared" si="461"/>
        <v>314</v>
      </c>
      <c r="G5237" s="395"/>
      <c r="H5237" s="395"/>
      <c r="J5237" s="42"/>
    </row>
    <row r="5238" spans="1:10" s="393" customFormat="1" ht="15.75" thickBot="1" x14ac:dyDescent="0.3">
      <c r="A5238" s="402" t="s">
        <v>29</v>
      </c>
      <c r="B5238" s="271">
        <v>44111</v>
      </c>
      <c r="C5238" s="1">
        <v>381</v>
      </c>
      <c r="D5238" s="39">
        <f t="shared" si="462"/>
        <v>5624</v>
      </c>
      <c r="E5238" s="1">
        <v>5</v>
      </c>
      <c r="F5238" s="522">
        <f t="shared" si="461"/>
        <v>74</v>
      </c>
      <c r="G5238" s="395"/>
      <c r="H5238" s="395"/>
      <c r="J5238" s="42"/>
    </row>
    <row r="5239" spans="1:10" s="393" customFormat="1" ht="15.75" thickBot="1" x14ac:dyDescent="0.3">
      <c r="A5239" s="402" t="s">
        <v>20</v>
      </c>
      <c r="B5239" s="271">
        <v>44111</v>
      </c>
      <c r="C5239" s="1">
        <v>1749</v>
      </c>
      <c r="D5239" s="39">
        <f t="shared" si="462"/>
        <v>44942</v>
      </c>
      <c r="E5239" s="1">
        <v>10</v>
      </c>
      <c r="F5239" s="522">
        <f t="shared" si="461"/>
        <v>524</v>
      </c>
      <c r="G5239" s="395"/>
      <c r="H5239" s="395"/>
      <c r="J5239" s="42"/>
    </row>
    <row r="5240" spans="1:10" s="393" customFormat="1" ht="15.75" thickBot="1" x14ac:dyDescent="0.3">
      <c r="A5240" s="402" t="s">
        <v>30</v>
      </c>
      <c r="B5240" s="271">
        <v>44111</v>
      </c>
      <c r="C5240" s="1">
        <v>5</v>
      </c>
      <c r="D5240" s="39">
        <f t="shared" si="462"/>
        <v>1361</v>
      </c>
      <c r="E5240" s="1"/>
      <c r="F5240" s="522">
        <f t="shared" si="461"/>
        <v>31</v>
      </c>
      <c r="G5240" s="395"/>
      <c r="H5240" s="395"/>
      <c r="J5240" s="42"/>
    </row>
    <row r="5241" spans="1:10" ht="15.75" thickBot="1" x14ac:dyDescent="0.3">
      <c r="A5241" s="402" t="s">
        <v>31</v>
      </c>
      <c r="B5241" s="271">
        <v>44111</v>
      </c>
      <c r="C5241" s="1">
        <v>170</v>
      </c>
      <c r="D5241" s="39">
        <f t="shared" si="462"/>
        <v>8619</v>
      </c>
      <c r="E5241" s="1">
        <v>7</v>
      </c>
      <c r="F5241" s="522">
        <f t="shared" si="461"/>
        <v>160</v>
      </c>
    </row>
    <row r="5242" spans="1:10" s="393" customFormat="1" ht="15.75" thickBot="1" x14ac:dyDescent="0.3">
      <c r="A5242" s="402" t="s">
        <v>41</v>
      </c>
      <c r="B5242" s="271">
        <v>44111</v>
      </c>
      <c r="C5242" s="1">
        <v>-1</v>
      </c>
      <c r="D5242" s="39">
        <f t="shared" si="462"/>
        <v>105</v>
      </c>
      <c r="E5242" s="1"/>
      <c r="F5242" s="522">
        <f t="shared" si="461"/>
        <v>1</v>
      </c>
      <c r="G5242" s="395"/>
      <c r="H5242" s="395"/>
      <c r="J5242" s="42"/>
    </row>
    <row r="5243" spans="1:10" s="393" customFormat="1" ht="15.75" thickBot="1" x14ac:dyDescent="0.3">
      <c r="A5243" s="402" t="s">
        <v>32</v>
      </c>
      <c r="B5243" s="271">
        <v>44111</v>
      </c>
      <c r="C5243" s="1">
        <v>65</v>
      </c>
      <c r="D5243" s="39">
        <f t="shared" si="462"/>
        <v>16355</v>
      </c>
      <c r="E5243" s="1"/>
      <c r="F5243" s="522">
        <f t="shared" si="461"/>
        <v>608</v>
      </c>
      <c r="G5243" s="395"/>
      <c r="H5243" s="395"/>
      <c r="J5243" s="42"/>
    </row>
    <row r="5244" spans="1:10" s="393" customFormat="1" ht="15.75" thickBot="1" x14ac:dyDescent="0.3">
      <c r="A5244" s="402" t="s">
        <v>33</v>
      </c>
      <c r="B5244" s="271">
        <v>44111</v>
      </c>
      <c r="C5244" s="1">
        <v>33</v>
      </c>
      <c r="D5244" s="39">
        <f t="shared" si="462"/>
        <v>930</v>
      </c>
      <c r="E5244" s="1"/>
      <c r="F5244" s="522">
        <f t="shared" ref="F5244:F5255" si="463">E5244+F5220</f>
        <v>11</v>
      </c>
      <c r="G5244" s="395"/>
      <c r="H5244" s="395"/>
      <c r="J5244" s="42"/>
    </row>
    <row r="5245" spans="1:10" s="393" customFormat="1" ht="15.75" thickBot="1" x14ac:dyDescent="0.3">
      <c r="A5245" s="402" t="s">
        <v>21</v>
      </c>
      <c r="B5245" s="271">
        <v>44111</v>
      </c>
      <c r="C5245" s="1">
        <v>119</v>
      </c>
      <c r="D5245" s="39">
        <f t="shared" si="462"/>
        <v>5430</v>
      </c>
      <c r="E5245" s="1">
        <v>25</v>
      </c>
      <c r="F5245" s="522">
        <f t="shared" si="463"/>
        <v>130</v>
      </c>
      <c r="G5245" s="395"/>
      <c r="H5245" s="395"/>
      <c r="J5245" s="42"/>
    </row>
    <row r="5246" spans="1:10" s="393" customFormat="1" ht="15.75" thickBot="1" x14ac:dyDescent="0.3">
      <c r="A5246" s="402" t="s">
        <v>17</v>
      </c>
      <c r="B5246" s="271">
        <v>44111</v>
      </c>
      <c r="C5246" s="1">
        <v>771</v>
      </c>
      <c r="D5246" s="39">
        <f t="shared" si="462"/>
        <v>29336</v>
      </c>
      <c r="E5246" s="1">
        <v>36</v>
      </c>
      <c r="F5246" s="522">
        <f t="shared" si="463"/>
        <v>398</v>
      </c>
      <c r="G5246" s="395"/>
      <c r="H5246" s="395"/>
      <c r="J5246" s="42"/>
    </row>
    <row r="5247" spans="1:10" s="393" customFormat="1" ht="15.75" thickBot="1" x14ac:dyDescent="0.3">
      <c r="A5247" s="402" t="s">
        <v>23</v>
      </c>
      <c r="B5247" s="271">
        <v>44111</v>
      </c>
      <c r="C5247" s="1">
        <v>7</v>
      </c>
      <c r="D5247" s="39">
        <f t="shared" si="462"/>
        <v>125</v>
      </c>
      <c r="E5247" s="1"/>
      <c r="F5247" s="522">
        <f t="shared" si="463"/>
        <v>4</v>
      </c>
      <c r="G5247" s="395"/>
      <c r="H5247" s="395"/>
      <c r="J5247" s="42"/>
    </row>
    <row r="5248" spans="1:10" s="393" customFormat="1" ht="15.75" thickBot="1" x14ac:dyDescent="0.3">
      <c r="A5248" s="402" t="s">
        <v>19</v>
      </c>
      <c r="B5248" s="271">
        <v>44111</v>
      </c>
      <c r="C5248" s="1">
        <v>1204</v>
      </c>
      <c r="D5248" s="39">
        <f>C5248+D5224</f>
        <v>10690</v>
      </c>
      <c r="E5248" s="1">
        <v>1</v>
      </c>
      <c r="F5248" s="522">
        <f t="shared" si="463"/>
        <v>124</v>
      </c>
      <c r="G5248" s="395"/>
      <c r="H5248" s="395"/>
      <c r="J5248" s="42"/>
    </row>
    <row r="5249" spans="1:10" s="393" customFormat="1" ht="15.75" thickBot="1" x14ac:dyDescent="0.3">
      <c r="A5249" s="402" t="s">
        <v>18</v>
      </c>
      <c r="B5249" s="271">
        <v>44111</v>
      </c>
      <c r="C5249" s="1">
        <v>339</v>
      </c>
      <c r="D5249" s="39">
        <f>C5249+D5225</f>
        <v>14991</v>
      </c>
      <c r="E5249" s="1">
        <v>6</v>
      </c>
      <c r="F5249" s="522">
        <f t="shared" si="463"/>
        <v>337</v>
      </c>
      <c r="G5249" s="395"/>
      <c r="H5249" s="395"/>
      <c r="J5249" s="42"/>
    </row>
    <row r="5250" spans="1:10" s="393" customFormat="1" ht="15.75" thickBot="1" x14ac:dyDescent="0.3">
      <c r="A5250" s="402" t="s">
        <v>34</v>
      </c>
      <c r="B5250" s="271">
        <v>44111</v>
      </c>
      <c r="C5250" s="1">
        <v>289</v>
      </c>
      <c r="D5250" s="39">
        <f>C5250+D5226</f>
        <v>14251</v>
      </c>
      <c r="E5250" s="1">
        <v>18</v>
      </c>
      <c r="F5250" s="522">
        <f>E5250+F5226</f>
        <v>452</v>
      </c>
      <c r="G5250" s="395"/>
      <c r="H5250" s="395"/>
      <c r="J5250" s="42"/>
    </row>
    <row r="5251" spans="1:10" s="393" customFormat="1" ht="15.75" thickBot="1" x14ac:dyDescent="0.3">
      <c r="A5251" s="402" t="s">
        <v>35</v>
      </c>
      <c r="B5251" s="271">
        <v>44111</v>
      </c>
      <c r="C5251" s="1">
        <v>6</v>
      </c>
      <c r="D5251" s="39">
        <f t="shared" ref="D5251:D5257" si="464">C5251+D5227</f>
        <v>993</v>
      </c>
      <c r="E5251" s="1"/>
      <c r="F5251" s="522">
        <f>E5251+F5227</f>
        <v>42</v>
      </c>
      <c r="G5251" s="395"/>
      <c r="H5251" s="395"/>
      <c r="J5251" s="42"/>
    </row>
    <row r="5252" spans="1:10" s="393" customFormat="1" ht="15.75" thickBot="1" x14ac:dyDescent="0.3">
      <c r="A5252" s="402" t="s">
        <v>36</v>
      </c>
      <c r="B5252" s="271">
        <v>44111</v>
      </c>
      <c r="C5252" s="1">
        <v>125</v>
      </c>
      <c r="D5252" s="39">
        <f t="shared" si="464"/>
        <v>1990</v>
      </c>
      <c r="E5252" s="1"/>
      <c r="F5252" s="522">
        <f t="shared" si="463"/>
        <v>31</v>
      </c>
      <c r="G5252" s="395"/>
      <c r="H5252" s="395"/>
      <c r="J5252" s="42"/>
    </row>
    <row r="5253" spans="1:10" s="393" customFormat="1" ht="15.75" thickBot="1" x14ac:dyDescent="0.3">
      <c r="A5253" s="402" t="s">
        <v>37</v>
      </c>
      <c r="B5253" s="271">
        <v>44111</v>
      </c>
      <c r="C5253" s="1">
        <v>162</v>
      </c>
      <c r="D5253" s="39">
        <f t="shared" si="464"/>
        <v>5780</v>
      </c>
      <c r="E5253" s="1">
        <v>2</v>
      </c>
      <c r="F5253" s="522">
        <f>E5253+F5229</f>
        <v>74</v>
      </c>
      <c r="G5253" s="395"/>
      <c r="H5253" s="395"/>
      <c r="J5253" s="42"/>
    </row>
    <row r="5254" spans="1:10" s="393" customFormat="1" ht="15.75" thickBot="1" x14ac:dyDescent="0.3">
      <c r="A5254" s="402" t="s">
        <v>22</v>
      </c>
      <c r="B5254" s="271">
        <v>44111</v>
      </c>
      <c r="C5254" s="1">
        <v>2137</v>
      </c>
      <c r="D5254" s="39">
        <f t="shared" si="464"/>
        <v>55032</v>
      </c>
      <c r="E5254" s="1">
        <v>17</v>
      </c>
      <c r="F5254" s="522">
        <f>E5254+F5230</f>
        <v>589</v>
      </c>
      <c r="G5254" s="395"/>
      <c r="H5254" s="395"/>
      <c r="J5254" s="42"/>
    </row>
    <row r="5255" spans="1:10" s="393" customFormat="1" ht="15.75" thickBot="1" x14ac:dyDescent="0.3">
      <c r="A5255" s="402" t="s">
        <v>38</v>
      </c>
      <c r="B5255" s="271">
        <v>44111</v>
      </c>
      <c r="C5255" s="1">
        <v>60</v>
      </c>
      <c r="D5255" s="39">
        <f t="shared" si="464"/>
        <v>4228</v>
      </c>
      <c r="E5255" s="1">
        <v>5</v>
      </c>
      <c r="F5255" s="522">
        <f t="shared" si="463"/>
        <v>78</v>
      </c>
      <c r="G5255" s="395"/>
      <c r="H5255" s="395"/>
      <c r="J5255" s="42"/>
    </row>
    <row r="5256" spans="1:10" s="393" customFormat="1" ht="15.75" thickBot="1" x14ac:dyDescent="0.3">
      <c r="A5256" s="402" t="s">
        <v>39</v>
      </c>
      <c r="B5256" s="271">
        <v>44111</v>
      </c>
      <c r="C5256" s="1">
        <v>216</v>
      </c>
      <c r="D5256" s="39">
        <f t="shared" si="464"/>
        <v>5636</v>
      </c>
      <c r="E5256" s="1">
        <v>6</v>
      </c>
      <c r="F5256" s="522">
        <f t="shared" ref="F5256:F5267" si="465">E5256+F5232</f>
        <v>81</v>
      </c>
      <c r="G5256" s="395"/>
      <c r="H5256" s="395"/>
      <c r="J5256" s="42"/>
    </row>
    <row r="5257" spans="1:10" s="393" customFormat="1" ht="15.75" thickBot="1" x14ac:dyDescent="0.3">
      <c r="A5257" s="404" t="s">
        <v>40</v>
      </c>
      <c r="B5257" s="271">
        <v>44111</v>
      </c>
      <c r="C5257" s="1">
        <v>2217</v>
      </c>
      <c r="D5257" s="177">
        <f t="shared" si="464"/>
        <v>21377</v>
      </c>
      <c r="E5257" s="1">
        <v>8</v>
      </c>
      <c r="F5257" s="631">
        <f t="shared" si="465"/>
        <v>176</v>
      </c>
      <c r="G5257" s="395"/>
      <c r="H5257" s="395"/>
      <c r="J5257" s="42"/>
    </row>
    <row r="5258" spans="1:10" s="393" customFormat="1" ht="15.75" thickBot="1" x14ac:dyDescent="0.3">
      <c r="A5258" s="397" t="s">
        <v>16</v>
      </c>
      <c r="B5258" s="271">
        <v>44112</v>
      </c>
      <c r="C5258" s="1">
        <v>5184</v>
      </c>
      <c r="D5258" s="175">
        <f>C5258+D5234</f>
        <v>456470</v>
      </c>
      <c r="E5258" s="1">
        <v>186</v>
      </c>
      <c r="F5258" s="630">
        <f t="shared" si="465"/>
        <v>14143</v>
      </c>
      <c r="G5258" s="395"/>
      <c r="H5258" s="395"/>
      <c r="J5258" s="42"/>
    </row>
    <row r="5259" spans="1:10" s="393" customFormat="1" ht="15.75" thickBot="1" x14ac:dyDescent="0.3">
      <c r="A5259" s="402" t="s">
        <v>43</v>
      </c>
      <c r="B5259" s="271">
        <v>44112</v>
      </c>
      <c r="C5259" s="1">
        <v>937</v>
      </c>
      <c r="D5259" s="39">
        <f t="shared" ref="D5259:D5271" si="466">C5259+D5235</f>
        <v>132734</v>
      </c>
      <c r="E5259" s="1">
        <v>67</v>
      </c>
      <c r="F5259" s="522">
        <f t="shared" si="465"/>
        <v>3861</v>
      </c>
      <c r="G5259" s="395"/>
      <c r="H5259" s="395"/>
      <c r="J5259" s="42"/>
    </row>
    <row r="5260" spans="1:10" s="393" customFormat="1" ht="15.75" thickBot="1" x14ac:dyDescent="0.3">
      <c r="A5260" s="402" t="s">
        <v>28</v>
      </c>
      <c r="B5260" s="271">
        <v>44112</v>
      </c>
      <c r="C5260" s="1">
        <v>18</v>
      </c>
      <c r="D5260" s="39">
        <f t="shared" si="466"/>
        <v>353</v>
      </c>
      <c r="E5260" s="1"/>
      <c r="F5260" s="522">
        <f t="shared" si="465"/>
        <v>0</v>
      </c>
      <c r="G5260" s="395"/>
      <c r="H5260" s="395"/>
      <c r="J5260" s="42"/>
    </row>
    <row r="5261" spans="1:10" s="393" customFormat="1" ht="15.75" thickBot="1" x14ac:dyDescent="0.3">
      <c r="A5261" s="402" t="s">
        <v>15</v>
      </c>
      <c r="B5261" s="271">
        <v>44112</v>
      </c>
      <c r="C5261" s="1">
        <v>156</v>
      </c>
      <c r="D5261" s="39">
        <f t="shared" si="466"/>
        <v>9849</v>
      </c>
      <c r="E5261" s="1">
        <v>4</v>
      </c>
      <c r="F5261" s="522">
        <f t="shared" si="465"/>
        <v>318</v>
      </c>
      <c r="G5261" s="395"/>
      <c r="H5261" s="395"/>
      <c r="J5261" s="42"/>
    </row>
    <row r="5262" spans="1:10" s="393" customFormat="1" ht="15.75" thickBot="1" x14ac:dyDescent="0.3">
      <c r="A5262" s="402" t="s">
        <v>29</v>
      </c>
      <c r="B5262" s="271">
        <v>44112</v>
      </c>
      <c r="C5262" s="1">
        <v>312</v>
      </c>
      <c r="D5262" s="39">
        <f t="shared" si="466"/>
        <v>5936</v>
      </c>
      <c r="E5262" s="1">
        <v>2</v>
      </c>
      <c r="F5262" s="522">
        <f t="shared" si="465"/>
        <v>76</v>
      </c>
      <c r="G5262" s="395"/>
      <c r="H5262" s="395"/>
      <c r="J5262" s="42"/>
    </row>
    <row r="5263" spans="1:10" s="393" customFormat="1" ht="15.75" thickBot="1" x14ac:dyDescent="0.3">
      <c r="A5263" s="402" t="s">
        <v>20</v>
      </c>
      <c r="B5263" s="271">
        <v>44112</v>
      </c>
      <c r="C5263" s="1">
        <v>2090</v>
      </c>
      <c r="D5263" s="39">
        <f t="shared" si="466"/>
        <v>47032</v>
      </c>
      <c r="E5263" s="1">
        <v>18</v>
      </c>
      <c r="F5263" s="522">
        <f t="shared" si="465"/>
        <v>542</v>
      </c>
      <c r="G5263" s="395"/>
      <c r="H5263" s="395"/>
      <c r="J5263" s="42"/>
    </row>
    <row r="5264" spans="1:10" s="393" customFormat="1" ht="15.75" thickBot="1" x14ac:dyDescent="0.3">
      <c r="A5264" s="402" t="s">
        <v>30</v>
      </c>
      <c r="B5264" s="271">
        <v>44112</v>
      </c>
      <c r="C5264" s="1">
        <v>51</v>
      </c>
      <c r="D5264" s="39">
        <f t="shared" si="466"/>
        <v>1412</v>
      </c>
      <c r="E5264" s="1"/>
      <c r="F5264" s="522">
        <f t="shared" si="465"/>
        <v>31</v>
      </c>
      <c r="G5264" s="395"/>
      <c r="H5264" s="395"/>
      <c r="J5264" s="42"/>
    </row>
    <row r="5265" spans="1:10" ht="15.75" thickBot="1" x14ac:dyDescent="0.3">
      <c r="A5265" s="402" t="s">
        <v>31</v>
      </c>
      <c r="B5265" s="271">
        <v>44112</v>
      </c>
      <c r="C5265" s="1">
        <v>220</v>
      </c>
      <c r="D5265" s="39">
        <f t="shared" si="466"/>
        <v>8839</v>
      </c>
      <c r="E5265" s="1">
        <v>6</v>
      </c>
      <c r="F5265" s="522">
        <f t="shared" si="465"/>
        <v>166</v>
      </c>
    </row>
    <row r="5266" spans="1:10" s="393" customFormat="1" ht="15.75" thickBot="1" x14ac:dyDescent="0.3">
      <c r="A5266" s="402" t="s">
        <v>41</v>
      </c>
      <c r="B5266" s="271">
        <v>44112</v>
      </c>
      <c r="C5266" s="1">
        <v>5</v>
      </c>
      <c r="D5266" s="39">
        <f t="shared" si="466"/>
        <v>110</v>
      </c>
      <c r="E5266" s="1"/>
      <c r="F5266" s="522">
        <f t="shared" si="465"/>
        <v>1</v>
      </c>
      <c r="G5266" s="395"/>
      <c r="H5266" s="395"/>
      <c r="J5266" s="42"/>
    </row>
    <row r="5267" spans="1:10" s="393" customFormat="1" ht="15.75" thickBot="1" x14ac:dyDescent="0.3">
      <c r="A5267" s="402" t="s">
        <v>32</v>
      </c>
      <c r="B5267" s="271">
        <v>44112</v>
      </c>
      <c r="C5267" s="1">
        <v>119</v>
      </c>
      <c r="D5267" s="39">
        <f t="shared" si="466"/>
        <v>16474</v>
      </c>
      <c r="E5267" s="1">
        <v>19</v>
      </c>
      <c r="F5267" s="522">
        <f t="shared" si="465"/>
        <v>627</v>
      </c>
      <c r="G5267" s="395"/>
      <c r="H5267" s="395"/>
      <c r="J5267" s="42"/>
    </row>
    <row r="5268" spans="1:10" s="393" customFormat="1" ht="15.75" thickBot="1" x14ac:dyDescent="0.3">
      <c r="A5268" s="402" t="s">
        <v>33</v>
      </c>
      <c r="B5268" s="271">
        <v>44112</v>
      </c>
      <c r="C5268" s="1">
        <v>24</v>
      </c>
      <c r="D5268" s="39">
        <f t="shared" si="466"/>
        <v>954</v>
      </c>
      <c r="E5268" s="1">
        <v>1</v>
      </c>
      <c r="F5268" s="522">
        <f t="shared" ref="F5268:F5279" si="467">E5268+F5244</f>
        <v>12</v>
      </c>
      <c r="G5268" s="395"/>
      <c r="H5268" s="395"/>
      <c r="J5268" s="42"/>
    </row>
    <row r="5269" spans="1:10" s="393" customFormat="1" ht="15.75" thickBot="1" x14ac:dyDescent="0.3">
      <c r="A5269" s="402" t="s">
        <v>21</v>
      </c>
      <c r="B5269" s="271">
        <v>44112</v>
      </c>
      <c r="C5269" s="1">
        <v>117</v>
      </c>
      <c r="D5269" s="39">
        <f t="shared" si="466"/>
        <v>5547</v>
      </c>
      <c r="E5269" s="1">
        <v>30</v>
      </c>
      <c r="F5269" s="522">
        <f t="shared" si="467"/>
        <v>160</v>
      </c>
      <c r="G5269" s="395"/>
      <c r="H5269" s="395"/>
      <c r="J5269" s="42"/>
    </row>
    <row r="5270" spans="1:10" s="393" customFormat="1" ht="15.75" thickBot="1" x14ac:dyDescent="0.3">
      <c r="A5270" s="402" t="s">
        <v>17</v>
      </c>
      <c r="B5270" s="271">
        <v>44112</v>
      </c>
      <c r="C5270" s="1">
        <v>697</v>
      </c>
      <c r="D5270" s="39">
        <f t="shared" si="466"/>
        <v>30033</v>
      </c>
      <c r="E5270" s="1">
        <v>10</v>
      </c>
      <c r="F5270" s="522">
        <f t="shared" si="467"/>
        <v>408</v>
      </c>
      <c r="G5270" s="395"/>
      <c r="H5270" s="395"/>
      <c r="J5270" s="42"/>
    </row>
    <row r="5271" spans="1:10" s="393" customFormat="1" ht="15.75" thickBot="1" x14ac:dyDescent="0.3">
      <c r="A5271" s="402" t="s">
        <v>23</v>
      </c>
      <c r="B5271" s="271">
        <v>44112</v>
      </c>
      <c r="C5271" s="1">
        <v>15</v>
      </c>
      <c r="D5271" s="39">
        <f t="shared" si="466"/>
        <v>140</v>
      </c>
      <c r="E5271" s="1"/>
      <c r="F5271" s="522">
        <f t="shared" si="467"/>
        <v>4</v>
      </c>
      <c r="G5271" s="395"/>
      <c r="H5271" s="395"/>
      <c r="J5271" s="42"/>
    </row>
    <row r="5272" spans="1:10" s="393" customFormat="1" ht="15.75" thickBot="1" x14ac:dyDescent="0.3">
      <c r="A5272" s="402" t="s">
        <v>19</v>
      </c>
      <c r="B5272" s="271">
        <v>44112</v>
      </c>
      <c r="C5272" s="1">
        <v>409</v>
      </c>
      <c r="D5272" s="39">
        <f>C5272+D5248</f>
        <v>11099</v>
      </c>
      <c r="E5272" s="1">
        <v>1</v>
      </c>
      <c r="F5272" s="522">
        <f t="shared" si="467"/>
        <v>125</v>
      </c>
      <c r="G5272" s="395"/>
      <c r="H5272" s="395"/>
      <c r="J5272" s="42"/>
    </row>
    <row r="5273" spans="1:10" s="393" customFormat="1" ht="15.75" thickBot="1" x14ac:dyDescent="0.3">
      <c r="A5273" s="402" t="s">
        <v>18</v>
      </c>
      <c r="B5273" s="271">
        <v>44112</v>
      </c>
      <c r="C5273" s="1">
        <v>356</v>
      </c>
      <c r="D5273" s="39">
        <f>C5273+D5249</f>
        <v>15347</v>
      </c>
      <c r="E5273" s="1">
        <v>7</v>
      </c>
      <c r="F5273" s="522">
        <f t="shared" si="467"/>
        <v>344</v>
      </c>
      <c r="G5273" s="395"/>
      <c r="H5273" s="395"/>
      <c r="J5273" s="42"/>
    </row>
    <row r="5274" spans="1:10" s="393" customFormat="1" ht="15.75" thickBot="1" x14ac:dyDescent="0.3">
      <c r="A5274" s="402" t="s">
        <v>34</v>
      </c>
      <c r="B5274" s="271">
        <v>44112</v>
      </c>
      <c r="C5274" s="1">
        <v>265</v>
      </c>
      <c r="D5274" s="39">
        <f>C5274+D5250</f>
        <v>14516</v>
      </c>
      <c r="E5274" s="1">
        <v>11</v>
      </c>
      <c r="F5274" s="522">
        <f>E5274+F5250</f>
        <v>463</v>
      </c>
      <c r="G5274" s="395"/>
      <c r="H5274" s="395"/>
      <c r="J5274" s="42"/>
    </row>
    <row r="5275" spans="1:10" s="393" customFormat="1" ht="15.75" thickBot="1" x14ac:dyDescent="0.3">
      <c r="A5275" s="402" t="s">
        <v>35</v>
      </c>
      <c r="B5275" s="271">
        <v>44112</v>
      </c>
      <c r="C5275" s="1">
        <v>112</v>
      </c>
      <c r="D5275" s="39">
        <f t="shared" ref="D5275:D5281" si="468">C5275+D5251</f>
        <v>1105</v>
      </c>
      <c r="E5275" s="1"/>
      <c r="F5275" s="522">
        <f>E5275+F5251</f>
        <v>42</v>
      </c>
      <c r="G5275" s="395"/>
      <c r="H5275" s="395"/>
      <c r="J5275" s="42"/>
    </row>
    <row r="5276" spans="1:10" s="393" customFormat="1" ht="15.75" thickBot="1" x14ac:dyDescent="0.3">
      <c r="A5276" s="402" t="s">
        <v>36</v>
      </c>
      <c r="B5276" s="271">
        <v>44112</v>
      </c>
      <c r="C5276" s="1">
        <v>112</v>
      </c>
      <c r="D5276" s="39">
        <f t="shared" si="468"/>
        <v>2102</v>
      </c>
      <c r="E5276" s="1">
        <v>2</v>
      </c>
      <c r="F5276" s="522">
        <f t="shared" si="467"/>
        <v>33</v>
      </c>
      <c r="G5276" s="395"/>
      <c r="H5276" s="395"/>
      <c r="J5276" s="42"/>
    </row>
    <row r="5277" spans="1:10" s="393" customFormat="1" ht="15.75" thickBot="1" x14ac:dyDescent="0.3">
      <c r="A5277" s="402" t="s">
        <v>37</v>
      </c>
      <c r="B5277" s="271">
        <v>44112</v>
      </c>
      <c r="C5277" s="1">
        <v>89</v>
      </c>
      <c r="D5277" s="39">
        <f t="shared" si="468"/>
        <v>5869</v>
      </c>
      <c r="E5277" s="1">
        <v>2</v>
      </c>
      <c r="F5277" s="522">
        <f>E5277+F5253</f>
        <v>76</v>
      </c>
      <c r="G5277" s="395"/>
      <c r="H5277" s="395"/>
      <c r="J5277" s="42"/>
    </row>
    <row r="5278" spans="1:10" s="393" customFormat="1" ht="15.75" thickBot="1" x14ac:dyDescent="0.3">
      <c r="A5278" s="402" t="s">
        <v>22</v>
      </c>
      <c r="B5278" s="271">
        <v>44112</v>
      </c>
      <c r="C5278" s="1">
        <v>2099</v>
      </c>
      <c r="D5278" s="39">
        <f t="shared" si="468"/>
        <v>57131</v>
      </c>
      <c r="E5278" s="1">
        <v>31</v>
      </c>
      <c r="F5278" s="522">
        <f>E5278+F5254</f>
        <v>620</v>
      </c>
      <c r="G5278" s="395"/>
      <c r="H5278" s="395"/>
      <c r="J5278" s="42"/>
    </row>
    <row r="5279" spans="1:10" s="393" customFormat="1" ht="15.75" thickBot="1" x14ac:dyDescent="0.3">
      <c r="A5279" s="402" t="s">
        <v>38</v>
      </c>
      <c r="B5279" s="271">
        <v>44112</v>
      </c>
      <c r="C5279" s="1">
        <v>40</v>
      </c>
      <c r="D5279" s="39">
        <f t="shared" si="468"/>
        <v>4268</v>
      </c>
      <c r="E5279" s="1">
        <v>1</v>
      </c>
      <c r="F5279" s="522">
        <f t="shared" si="467"/>
        <v>79</v>
      </c>
      <c r="G5279" s="395"/>
      <c r="H5279" s="395"/>
      <c r="J5279" s="42"/>
    </row>
    <row r="5280" spans="1:10" s="393" customFormat="1" ht="15.75" thickBot="1" x14ac:dyDescent="0.3">
      <c r="A5280" s="402" t="s">
        <v>39</v>
      </c>
      <c r="B5280" s="271">
        <v>44112</v>
      </c>
      <c r="C5280" s="1">
        <v>168</v>
      </c>
      <c r="D5280" s="39">
        <f t="shared" si="468"/>
        <v>5804</v>
      </c>
      <c r="E5280" s="1">
        <v>1</v>
      </c>
      <c r="F5280" s="522">
        <f t="shared" ref="F5280:F5291" si="469">E5280+F5256</f>
        <v>82</v>
      </c>
      <c r="G5280" s="395"/>
      <c r="H5280" s="395"/>
      <c r="J5280" s="42"/>
    </row>
    <row r="5281" spans="1:10" s="393" customFormat="1" ht="15.75" thickBot="1" x14ac:dyDescent="0.3">
      <c r="A5281" s="404" t="s">
        <v>40</v>
      </c>
      <c r="B5281" s="271">
        <v>44112</v>
      </c>
      <c r="C5281" s="1">
        <v>1859</v>
      </c>
      <c r="D5281" s="177">
        <f t="shared" si="468"/>
        <v>23236</v>
      </c>
      <c r="E5281" s="1">
        <v>84</v>
      </c>
      <c r="F5281" s="631">
        <f t="shared" si="469"/>
        <v>260</v>
      </c>
      <c r="G5281" s="395"/>
      <c r="H5281" s="395"/>
      <c r="J5281" s="42"/>
    </row>
    <row r="5282" spans="1:10" s="393" customFormat="1" ht="15.75" thickBot="1" x14ac:dyDescent="0.3">
      <c r="A5282" s="397" t="s">
        <v>16</v>
      </c>
      <c r="B5282" s="271">
        <v>44113</v>
      </c>
      <c r="C5282" s="1">
        <v>5346</v>
      </c>
      <c r="D5282" s="175">
        <f>C5282+D5258</f>
        <v>461816</v>
      </c>
      <c r="E5282" s="1">
        <f>134+105</f>
        <v>239</v>
      </c>
      <c r="F5282" s="630">
        <f t="shared" si="469"/>
        <v>14382</v>
      </c>
      <c r="G5282" s="395"/>
      <c r="H5282" s="395"/>
      <c r="J5282" s="42"/>
    </row>
    <row r="5283" spans="1:10" s="393" customFormat="1" ht="15.75" thickBot="1" x14ac:dyDescent="0.3">
      <c r="A5283" s="402" t="s">
        <v>43</v>
      </c>
      <c r="B5283" s="271">
        <v>44113</v>
      </c>
      <c r="C5283" s="1">
        <v>874</v>
      </c>
      <c r="D5283" s="39">
        <f t="shared" ref="D5283:D5295" si="470">C5283+D5259</f>
        <v>133608</v>
      </c>
      <c r="E5283" s="1">
        <f>22+16</f>
        <v>38</v>
      </c>
      <c r="F5283" s="522">
        <f t="shared" si="469"/>
        <v>3899</v>
      </c>
      <c r="G5283" s="395"/>
      <c r="H5283" s="395"/>
      <c r="J5283" s="42"/>
    </row>
    <row r="5284" spans="1:10" s="393" customFormat="1" ht="15.75" thickBot="1" x14ac:dyDescent="0.3">
      <c r="A5284" s="402" t="s">
        <v>28</v>
      </c>
      <c r="B5284" s="271">
        <v>44113</v>
      </c>
      <c r="C5284" s="1">
        <v>7</v>
      </c>
      <c r="D5284" s="39">
        <f t="shared" si="470"/>
        <v>360</v>
      </c>
      <c r="E5284" s="1"/>
      <c r="F5284" s="522">
        <f t="shared" si="469"/>
        <v>0</v>
      </c>
      <c r="G5284" s="395"/>
      <c r="H5284" s="395"/>
      <c r="J5284" s="42"/>
    </row>
    <row r="5285" spans="1:10" s="393" customFormat="1" ht="15.75" thickBot="1" x14ac:dyDescent="0.3">
      <c r="A5285" s="402" t="s">
        <v>15</v>
      </c>
      <c r="B5285" s="271">
        <v>44113</v>
      </c>
      <c r="C5285" s="1">
        <v>177</v>
      </c>
      <c r="D5285" s="39">
        <f t="shared" si="470"/>
        <v>10026</v>
      </c>
      <c r="E5285" s="1">
        <f>8+4</f>
        <v>12</v>
      </c>
      <c r="F5285" s="522">
        <f t="shared" si="469"/>
        <v>330</v>
      </c>
      <c r="G5285" s="395"/>
      <c r="H5285" s="395"/>
      <c r="J5285" s="42"/>
    </row>
    <row r="5286" spans="1:10" s="393" customFormat="1" ht="15.75" thickBot="1" x14ac:dyDescent="0.3">
      <c r="A5286" s="402" t="s">
        <v>29</v>
      </c>
      <c r="B5286" s="271">
        <v>44113</v>
      </c>
      <c r="C5286" s="1">
        <v>205</v>
      </c>
      <c r="D5286" s="39">
        <f t="shared" si="470"/>
        <v>6141</v>
      </c>
      <c r="E5286" s="1">
        <f>6</f>
        <v>6</v>
      </c>
      <c r="F5286" s="522">
        <f t="shared" si="469"/>
        <v>82</v>
      </c>
      <c r="G5286" s="395"/>
      <c r="H5286" s="395"/>
      <c r="J5286" s="42"/>
    </row>
    <row r="5287" spans="1:10" s="393" customFormat="1" ht="15.75" thickBot="1" x14ac:dyDescent="0.3">
      <c r="A5287" s="402" t="s">
        <v>20</v>
      </c>
      <c r="B5287" s="271">
        <v>44113</v>
      </c>
      <c r="C5287" s="1">
        <v>1643</v>
      </c>
      <c r="D5287" s="39">
        <f t="shared" si="470"/>
        <v>48675</v>
      </c>
      <c r="E5287" s="1">
        <v>27</v>
      </c>
      <c r="F5287" s="522">
        <f t="shared" si="469"/>
        <v>569</v>
      </c>
      <c r="G5287" s="395"/>
      <c r="H5287" s="395"/>
      <c r="J5287" s="42"/>
    </row>
    <row r="5288" spans="1:10" s="393" customFormat="1" ht="15.75" thickBot="1" x14ac:dyDescent="0.3">
      <c r="A5288" s="402" t="s">
        <v>30</v>
      </c>
      <c r="B5288" s="271">
        <v>44113</v>
      </c>
      <c r="C5288" s="1">
        <v>93</v>
      </c>
      <c r="D5288" s="39">
        <f t="shared" si="470"/>
        <v>1505</v>
      </c>
      <c r="E5288" s="1"/>
      <c r="F5288" s="522">
        <f t="shared" si="469"/>
        <v>31</v>
      </c>
      <c r="G5288" s="395"/>
      <c r="H5288" s="395"/>
      <c r="J5288" s="42"/>
    </row>
    <row r="5289" spans="1:10" ht="15.75" thickBot="1" x14ac:dyDescent="0.3">
      <c r="A5289" s="402" t="s">
        <v>31</v>
      </c>
      <c r="B5289" s="271">
        <v>44113</v>
      </c>
      <c r="C5289" s="1">
        <v>206</v>
      </c>
      <c r="D5289" s="39">
        <f t="shared" si="470"/>
        <v>9045</v>
      </c>
      <c r="E5289" s="1">
        <f>4</f>
        <v>4</v>
      </c>
      <c r="F5289" s="522">
        <f t="shared" si="469"/>
        <v>170</v>
      </c>
    </row>
    <row r="5290" spans="1:10" s="393" customFormat="1" ht="15.75" thickBot="1" x14ac:dyDescent="0.3">
      <c r="A5290" s="402" t="s">
        <v>41</v>
      </c>
      <c r="B5290" s="271">
        <v>44113</v>
      </c>
      <c r="C5290" s="1">
        <v>10</v>
      </c>
      <c r="D5290" s="39">
        <f t="shared" si="470"/>
        <v>120</v>
      </c>
      <c r="E5290" s="1"/>
      <c r="F5290" s="522">
        <f t="shared" si="469"/>
        <v>1</v>
      </c>
      <c r="G5290" s="395"/>
      <c r="H5290" s="395"/>
      <c r="J5290" s="42"/>
    </row>
    <row r="5291" spans="1:10" s="393" customFormat="1" ht="15.75" thickBot="1" x14ac:dyDescent="0.3">
      <c r="A5291" s="402" t="s">
        <v>32</v>
      </c>
      <c r="B5291" s="271">
        <v>44113</v>
      </c>
      <c r="C5291" s="1">
        <v>70</v>
      </c>
      <c r="D5291" s="39">
        <f t="shared" si="470"/>
        <v>16544</v>
      </c>
      <c r="E5291" s="1"/>
      <c r="F5291" s="522">
        <f t="shared" si="469"/>
        <v>627</v>
      </c>
      <c r="G5291" s="395"/>
      <c r="H5291" s="395"/>
      <c r="J5291" s="42"/>
    </row>
    <row r="5292" spans="1:10" s="393" customFormat="1" ht="15.75" thickBot="1" x14ac:dyDescent="0.3">
      <c r="A5292" s="402" t="s">
        <v>33</v>
      </c>
      <c r="B5292" s="271">
        <v>44113</v>
      </c>
      <c r="C5292" s="1">
        <v>42</v>
      </c>
      <c r="D5292" s="39">
        <f t="shared" si="470"/>
        <v>996</v>
      </c>
      <c r="E5292" s="1"/>
      <c r="F5292" s="522">
        <f t="shared" ref="F5292:F5303" si="471">E5292+F5268</f>
        <v>12</v>
      </c>
      <c r="G5292" s="395"/>
      <c r="H5292" s="395"/>
      <c r="J5292" s="42"/>
    </row>
    <row r="5293" spans="1:10" s="393" customFormat="1" ht="15.75" thickBot="1" x14ac:dyDescent="0.3">
      <c r="A5293" s="402" t="s">
        <v>21</v>
      </c>
      <c r="B5293" s="271">
        <v>44113</v>
      </c>
      <c r="C5293" s="1">
        <v>83</v>
      </c>
      <c r="D5293" s="39">
        <f t="shared" si="470"/>
        <v>5630</v>
      </c>
      <c r="E5293" s="1">
        <f>7+4</f>
        <v>11</v>
      </c>
      <c r="F5293" s="522">
        <f t="shared" si="471"/>
        <v>171</v>
      </c>
      <c r="G5293" s="395"/>
      <c r="H5293" s="395"/>
      <c r="J5293" s="42"/>
    </row>
    <row r="5294" spans="1:10" s="393" customFormat="1" ht="15.75" thickBot="1" x14ac:dyDescent="0.3">
      <c r="A5294" s="402" t="s">
        <v>17</v>
      </c>
      <c r="B5294" s="271">
        <v>44113</v>
      </c>
      <c r="C5294" s="1">
        <v>858</v>
      </c>
      <c r="D5294" s="39">
        <f t="shared" si="470"/>
        <v>30891</v>
      </c>
      <c r="E5294" s="1">
        <f>10+8</f>
        <v>18</v>
      </c>
      <c r="F5294" s="522">
        <f t="shared" si="471"/>
        <v>426</v>
      </c>
      <c r="G5294" s="395"/>
      <c r="H5294" s="395"/>
      <c r="J5294" s="42"/>
    </row>
    <row r="5295" spans="1:10" s="393" customFormat="1" ht="15.75" thickBot="1" x14ac:dyDescent="0.3">
      <c r="A5295" s="402" t="s">
        <v>23</v>
      </c>
      <c r="B5295" s="271">
        <v>44113</v>
      </c>
      <c r="C5295" s="1">
        <v>4</v>
      </c>
      <c r="D5295" s="39">
        <f t="shared" si="470"/>
        <v>144</v>
      </c>
      <c r="E5295" s="1"/>
      <c r="F5295" s="522">
        <f t="shared" si="471"/>
        <v>4</v>
      </c>
      <c r="G5295" s="395"/>
      <c r="H5295" s="395"/>
      <c r="J5295" s="42"/>
    </row>
    <row r="5296" spans="1:10" s="393" customFormat="1" ht="15.75" thickBot="1" x14ac:dyDescent="0.3">
      <c r="A5296" s="402" t="s">
        <v>19</v>
      </c>
      <c r="B5296" s="271">
        <v>44113</v>
      </c>
      <c r="C5296" s="1">
        <v>287</v>
      </c>
      <c r="D5296" s="39">
        <f>C5296+D5272</f>
        <v>11386</v>
      </c>
      <c r="E5296" s="1">
        <f>25+17</f>
        <v>42</v>
      </c>
      <c r="F5296" s="522">
        <f t="shared" si="471"/>
        <v>167</v>
      </c>
      <c r="G5296" s="395"/>
      <c r="H5296" s="395"/>
      <c r="J5296" s="42"/>
    </row>
    <row r="5297" spans="1:10" s="393" customFormat="1" ht="15.75" thickBot="1" x14ac:dyDescent="0.3">
      <c r="A5297" s="402" t="s">
        <v>18</v>
      </c>
      <c r="B5297" s="271">
        <v>44113</v>
      </c>
      <c r="C5297" s="1">
        <v>462</v>
      </c>
      <c r="D5297" s="39">
        <f>C5297+D5273</f>
        <v>15809</v>
      </c>
      <c r="E5297" s="1">
        <f>5+3</f>
        <v>8</v>
      </c>
      <c r="F5297" s="522">
        <f t="shared" si="471"/>
        <v>352</v>
      </c>
      <c r="G5297" s="395"/>
      <c r="H5297" s="395"/>
      <c r="J5297" s="42"/>
    </row>
    <row r="5298" spans="1:10" s="393" customFormat="1" ht="15.75" thickBot="1" x14ac:dyDescent="0.3">
      <c r="A5298" s="402" t="s">
        <v>34</v>
      </c>
      <c r="B5298" s="271">
        <v>44113</v>
      </c>
      <c r="C5298" s="1">
        <v>267</v>
      </c>
      <c r="D5298" s="39">
        <f>C5298+D5274</f>
        <v>14783</v>
      </c>
      <c r="E5298" s="1">
        <f>8+6</f>
        <v>14</v>
      </c>
      <c r="F5298" s="522">
        <f>E5298+F5274</f>
        <v>477</v>
      </c>
      <c r="G5298" s="395"/>
      <c r="H5298" s="395"/>
      <c r="J5298" s="42"/>
    </row>
    <row r="5299" spans="1:10" s="393" customFormat="1" ht="15.75" thickBot="1" x14ac:dyDescent="0.3">
      <c r="A5299" s="402" t="s">
        <v>35</v>
      </c>
      <c r="B5299" s="271">
        <v>44113</v>
      </c>
      <c r="C5299" s="1">
        <v>40</v>
      </c>
      <c r="D5299" s="39">
        <f t="shared" ref="D5299:D5305" si="472">C5299+D5275</f>
        <v>1145</v>
      </c>
      <c r="E5299" s="1"/>
      <c r="F5299" s="522">
        <f>E5299+F5275</f>
        <v>42</v>
      </c>
      <c r="G5299" s="395"/>
      <c r="H5299" s="395"/>
      <c r="J5299" s="42"/>
    </row>
    <row r="5300" spans="1:10" s="393" customFormat="1" ht="15.75" thickBot="1" x14ac:dyDescent="0.3">
      <c r="A5300" s="402" t="s">
        <v>36</v>
      </c>
      <c r="B5300" s="271">
        <v>44113</v>
      </c>
      <c r="C5300" s="1">
        <v>86</v>
      </c>
      <c r="D5300" s="39">
        <f t="shared" si="472"/>
        <v>2188</v>
      </c>
      <c r="E5300" s="1"/>
      <c r="F5300" s="522">
        <f t="shared" si="471"/>
        <v>33</v>
      </c>
      <c r="G5300" s="395"/>
      <c r="H5300" s="395"/>
      <c r="J5300" s="42"/>
    </row>
    <row r="5301" spans="1:10" s="393" customFormat="1" ht="15.75" thickBot="1" x14ac:dyDescent="0.3">
      <c r="A5301" s="402" t="s">
        <v>37</v>
      </c>
      <c r="B5301" s="271">
        <v>44113</v>
      </c>
      <c r="C5301" s="1">
        <v>172</v>
      </c>
      <c r="D5301" s="39">
        <f t="shared" si="472"/>
        <v>6041</v>
      </c>
      <c r="E5301" s="1">
        <f>1+3</f>
        <v>4</v>
      </c>
      <c r="F5301" s="522">
        <f>E5301+F5277</f>
        <v>80</v>
      </c>
      <c r="G5301" s="395"/>
      <c r="H5301" s="395"/>
      <c r="J5301" s="42"/>
    </row>
    <row r="5302" spans="1:10" s="393" customFormat="1" ht="15.75" thickBot="1" x14ac:dyDescent="0.3">
      <c r="A5302" s="402" t="s">
        <v>22</v>
      </c>
      <c r="B5302" s="271">
        <v>44113</v>
      </c>
      <c r="C5302" s="1">
        <v>2179</v>
      </c>
      <c r="D5302" s="39">
        <f t="shared" si="472"/>
        <v>59310</v>
      </c>
      <c r="E5302" s="1">
        <f>10+11</f>
        <v>21</v>
      </c>
      <c r="F5302" s="522">
        <f>E5302+F5278</f>
        <v>641</v>
      </c>
      <c r="G5302" s="395"/>
      <c r="H5302" s="395"/>
      <c r="J5302" s="42"/>
    </row>
    <row r="5303" spans="1:10" s="393" customFormat="1" ht="15.75" thickBot="1" x14ac:dyDescent="0.3">
      <c r="A5303" s="402" t="s">
        <v>38</v>
      </c>
      <c r="B5303" s="271">
        <v>44113</v>
      </c>
      <c r="C5303" s="1">
        <v>15</v>
      </c>
      <c r="D5303" s="39">
        <f t="shared" si="472"/>
        <v>4283</v>
      </c>
      <c r="E5303" s="1">
        <f>2+1</f>
        <v>3</v>
      </c>
      <c r="F5303" s="522">
        <f t="shared" si="471"/>
        <v>82</v>
      </c>
      <c r="G5303" s="395"/>
      <c r="H5303" s="395"/>
      <c r="J5303" s="42"/>
    </row>
    <row r="5304" spans="1:10" s="393" customFormat="1" ht="15.75" thickBot="1" x14ac:dyDescent="0.3">
      <c r="A5304" s="402" t="s">
        <v>39</v>
      </c>
      <c r="B5304" s="271">
        <v>44113</v>
      </c>
      <c r="C5304" s="1">
        <v>249</v>
      </c>
      <c r="D5304" s="39">
        <f t="shared" si="472"/>
        <v>6053</v>
      </c>
      <c r="E5304" s="1">
        <f>2</f>
        <v>2</v>
      </c>
      <c r="F5304" s="522">
        <f t="shared" ref="F5304:F5315" si="473">E5304+F5280</f>
        <v>84</v>
      </c>
      <c r="G5304" s="395"/>
      <c r="H5304" s="395"/>
      <c r="J5304" s="42"/>
    </row>
    <row r="5305" spans="1:10" s="393" customFormat="1" ht="15.75" thickBot="1" x14ac:dyDescent="0.3">
      <c r="A5305" s="404" t="s">
        <v>40</v>
      </c>
      <c r="B5305" s="271">
        <v>44113</v>
      </c>
      <c r="C5305" s="1">
        <v>1724</v>
      </c>
      <c r="D5305" s="177">
        <f t="shared" si="472"/>
        <v>24960</v>
      </c>
      <c r="E5305" s="1">
        <f>44+21</f>
        <v>65</v>
      </c>
      <c r="F5305" s="631">
        <f t="shared" si="473"/>
        <v>325</v>
      </c>
      <c r="G5305" s="395"/>
      <c r="H5305" s="395"/>
      <c r="J5305" s="42"/>
    </row>
    <row r="5306" spans="1:10" s="393" customFormat="1" ht="15.75" thickBot="1" x14ac:dyDescent="0.3">
      <c r="A5306" s="397" t="s">
        <v>16</v>
      </c>
      <c r="B5306" s="271">
        <v>44114</v>
      </c>
      <c r="C5306" s="1">
        <v>4047</v>
      </c>
      <c r="D5306" s="175">
        <f>C5306+D5282</f>
        <v>465863</v>
      </c>
      <c r="E5306" s="1">
        <v>187</v>
      </c>
      <c r="F5306" s="630">
        <f t="shared" si="473"/>
        <v>14569</v>
      </c>
      <c r="G5306" s="395"/>
      <c r="H5306" s="395"/>
      <c r="J5306" s="42"/>
    </row>
    <row r="5307" spans="1:10" s="393" customFormat="1" ht="15.75" thickBot="1" x14ac:dyDescent="0.3">
      <c r="A5307" s="402" t="s">
        <v>43</v>
      </c>
      <c r="B5307" s="271">
        <v>44114</v>
      </c>
      <c r="C5307" s="1">
        <v>742</v>
      </c>
      <c r="D5307" s="39">
        <f t="shared" ref="D5307:D5319" si="474">C5307+D5283</f>
        <v>134350</v>
      </c>
      <c r="E5307" s="1">
        <f>2+43+28</f>
        <v>73</v>
      </c>
      <c r="F5307" s="522">
        <f t="shared" si="473"/>
        <v>3972</v>
      </c>
      <c r="G5307" s="395"/>
      <c r="H5307" s="395"/>
      <c r="J5307" s="42"/>
    </row>
    <row r="5308" spans="1:10" s="393" customFormat="1" ht="15.75" thickBot="1" x14ac:dyDescent="0.3">
      <c r="A5308" s="402" t="s">
        <v>28</v>
      </c>
      <c r="B5308" s="271">
        <v>44114</v>
      </c>
      <c r="C5308" s="1">
        <v>10</v>
      </c>
      <c r="D5308" s="39">
        <f t="shared" si="474"/>
        <v>370</v>
      </c>
      <c r="E5308" s="1"/>
      <c r="F5308" s="522">
        <f t="shared" si="473"/>
        <v>0</v>
      </c>
      <c r="G5308" s="395"/>
      <c r="H5308" s="395"/>
      <c r="J5308" s="42"/>
    </row>
    <row r="5309" spans="1:10" s="393" customFormat="1" ht="15.75" thickBot="1" x14ac:dyDescent="0.3">
      <c r="A5309" s="402" t="s">
        <v>15</v>
      </c>
      <c r="B5309" s="271">
        <v>44114</v>
      </c>
      <c r="C5309" s="1">
        <v>148</v>
      </c>
      <c r="D5309" s="39">
        <f t="shared" si="474"/>
        <v>10174</v>
      </c>
      <c r="E5309" s="1">
        <f>1</f>
        <v>1</v>
      </c>
      <c r="F5309" s="522">
        <f t="shared" si="473"/>
        <v>331</v>
      </c>
      <c r="G5309" s="395"/>
      <c r="H5309" s="395"/>
      <c r="J5309" s="42"/>
    </row>
    <row r="5310" spans="1:10" s="393" customFormat="1" ht="15.75" thickBot="1" x14ac:dyDescent="0.3">
      <c r="A5310" s="402" t="s">
        <v>29</v>
      </c>
      <c r="B5310" s="271">
        <v>44114</v>
      </c>
      <c r="C5310" s="1">
        <v>482</v>
      </c>
      <c r="D5310" s="39">
        <f t="shared" si="474"/>
        <v>6623</v>
      </c>
      <c r="E5310" s="1"/>
      <c r="F5310" s="522">
        <f t="shared" si="473"/>
        <v>82</v>
      </c>
      <c r="G5310" s="395"/>
      <c r="H5310" s="395"/>
      <c r="J5310" s="42"/>
    </row>
    <row r="5311" spans="1:10" s="393" customFormat="1" ht="15.75" thickBot="1" x14ac:dyDescent="0.3">
      <c r="A5311" s="402" t="s">
        <v>20</v>
      </c>
      <c r="B5311" s="271">
        <v>44114</v>
      </c>
      <c r="C5311" s="1">
        <v>1606</v>
      </c>
      <c r="D5311" s="39">
        <f t="shared" si="474"/>
        <v>50281</v>
      </c>
      <c r="E5311" s="1">
        <v>27</v>
      </c>
      <c r="F5311" s="522">
        <f t="shared" si="473"/>
        <v>596</v>
      </c>
      <c r="G5311" s="395"/>
      <c r="H5311" s="395"/>
      <c r="J5311" s="42"/>
    </row>
    <row r="5312" spans="1:10" s="393" customFormat="1" ht="15.75" thickBot="1" x14ac:dyDescent="0.3">
      <c r="A5312" s="402" t="s">
        <v>30</v>
      </c>
      <c r="B5312" s="271">
        <v>44114</v>
      </c>
      <c r="C5312" s="1">
        <v>2</v>
      </c>
      <c r="D5312" s="39">
        <f t="shared" si="474"/>
        <v>1507</v>
      </c>
      <c r="E5312" s="1"/>
      <c r="F5312" s="522">
        <f t="shared" si="473"/>
        <v>31</v>
      </c>
      <c r="G5312" s="395"/>
      <c r="H5312" s="395"/>
      <c r="J5312" s="42"/>
    </row>
    <row r="5313" spans="1:10" ht="15.75" thickBot="1" x14ac:dyDescent="0.3">
      <c r="A5313" s="402" t="s">
        <v>31</v>
      </c>
      <c r="B5313" s="271">
        <v>44114</v>
      </c>
      <c r="C5313" s="1">
        <v>188</v>
      </c>
      <c r="D5313" s="39">
        <f t="shared" si="474"/>
        <v>9233</v>
      </c>
      <c r="E5313" s="1">
        <f>1+1</f>
        <v>2</v>
      </c>
      <c r="F5313" s="522">
        <f t="shared" si="473"/>
        <v>172</v>
      </c>
    </row>
    <row r="5314" spans="1:10" s="393" customFormat="1" ht="15.75" thickBot="1" x14ac:dyDescent="0.3">
      <c r="A5314" s="402" t="s">
        <v>41</v>
      </c>
      <c r="B5314" s="271">
        <v>44114</v>
      </c>
      <c r="C5314" s="1">
        <v>8</v>
      </c>
      <c r="D5314" s="39">
        <f t="shared" si="474"/>
        <v>128</v>
      </c>
      <c r="E5314" s="1"/>
      <c r="F5314" s="522">
        <f t="shared" si="473"/>
        <v>1</v>
      </c>
      <c r="G5314" s="395"/>
      <c r="H5314" s="395"/>
      <c r="J5314" s="42"/>
    </row>
    <row r="5315" spans="1:10" s="393" customFormat="1" ht="15.75" thickBot="1" x14ac:dyDescent="0.3">
      <c r="A5315" s="402" t="s">
        <v>32</v>
      </c>
      <c r="B5315" s="271">
        <v>44114</v>
      </c>
      <c r="C5315" s="1">
        <v>128</v>
      </c>
      <c r="D5315" s="39">
        <f t="shared" si="474"/>
        <v>16672</v>
      </c>
      <c r="E5315" s="1"/>
      <c r="F5315" s="522">
        <f t="shared" si="473"/>
        <v>627</v>
      </c>
      <c r="G5315" s="395"/>
      <c r="H5315" s="395"/>
      <c r="J5315" s="42"/>
    </row>
    <row r="5316" spans="1:10" s="393" customFormat="1" ht="15.75" thickBot="1" x14ac:dyDescent="0.3">
      <c r="A5316" s="402" t="s">
        <v>33</v>
      </c>
      <c r="B5316" s="271">
        <v>44114</v>
      </c>
      <c r="C5316" s="1">
        <v>44</v>
      </c>
      <c r="D5316" s="39">
        <f t="shared" si="474"/>
        <v>1040</v>
      </c>
      <c r="E5316" s="1"/>
      <c r="F5316" s="522">
        <f t="shared" ref="F5316:F5327" si="475">E5316+F5292</f>
        <v>12</v>
      </c>
      <c r="G5316" s="395"/>
      <c r="H5316" s="395"/>
      <c r="J5316" s="42"/>
    </row>
    <row r="5317" spans="1:10" s="393" customFormat="1" ht="15.75" thickBot="1" x14ac:dyDescent="0.3">
      <c r="A5317" s="402" t="s">
        <v>21</v>
      </c>
      <c r="B5317" s="271">
        <v>44114</v>
      </c>
      <c r="C5317" s="1">
        <v>46</v>
      </c>
      <c r="D5317" s="39">
        <f t="shared" si="474"/>
        <v>5676</v>
      </c>
      <c r="E5317" s="1">
        <f>1</f>
        <v>1</v>
      </c>
      <c r="F5317" s="522">
        <f t="shared" si="475"/>
        <v>172</v>
      </c>
      <c r="G5317" s="395"/>
      <c r="H5317" s="395"/>
      <c r="J5317" s="42"/>
    </row>
    <row r="5318" spans="1:10" s="393" customFormat="1" ht="15.75" thickBot="1" x14ac:dyDescent="0.3">
      <c r="A5318" s="402" t="s">
        <v>17</v>
      </c>
      <c r="B5318" s="271">
        <v>44114</v>
      </c>
      <c r="C5318" s="1">
        <v>573</v>
      </c>
      <c r="D5318" s="39">
        <f t="shared" si="474"/>
        <v>31464</v>
      </c>
      <c r="E5318" s="1">
        <f>3</f>
        <v>3</v>
      </c>
      <c r="F5318" s="522">
        <f t="shared" si="475"/>
        <v>429</v>
      </c>
      <c r="G5318" s="395"/>
      <c r="H5318" s="395"/>
      <c r="J5318" s="42"/>
    </row>
    <row r="5319" spans="1:10" s="393" customFormat="1" ht="15.75" thickBot="1" x14ac:dyDescent="0.3">
      <c r="A5319" s="402" t="s">
        <v>23</v>
      </c>
      <c r="B5319" s="271">
        <v>44114</v>
      </c>
      <c r="C5319" s="1">
        <v>5</v>
      </c>
      <c r="D5319" s="39">
        <f t="shared" si="474"/>
        <v>149</v>
      </c>
      <c r="E5319" s="1"/>
      <c r="F5319" s="522">
        <f t="shared" si="475"/>
        <v>4</v>
      </c>
      <c r="G5319" s="395"/>
      <c r="H5319" s="395"/>
      <c r="J5319" s="42"/>
    </row>
    <row r="5320" spans="1:10" s="393" customFormat="1" ht="15.75" thickBot="1" x14ac:dyDescent="0.3">
      <c r="A5320" s="402" t="s">
        <v>19</v>
      </c>
      <c r="B5320" s="271">
        <v>44114</v>
      </c>
      <c r="C5320" s="1">
        <v>433</v>
      </c>
      <c r="D5320" s="39">
        <f>C5320+D5296</f>
        <v>11819</v>
      </c>
      <c r="E5320" s="1">
        <f>13+4</f>
        <v>17</v>
      </c>
      <c r="F5320" s="522">
        <f t="shared" si="475"/>
        <v>184</v>
      </c>
      <c r="G5320" s="395"/>
      <c r="H5320" s="395"/>
      <c r="J5320" s="42"/>
    </row>
    <row r="5321" spans="1:10" s="393" customFormat="1" ht="15.75" thickBot="1" x14ac:dyDescent="0.3">
      <c r="A5321" s="402" t="s">
        <v>18</v>
      </c>
      <c r="B5321" s="271">
        <v>44114</v>
      </c>
      <c r="C5321" s="1">
        <v>433</v>
      </c>
      <c r="D5321" s="39">
        <f>C5321+D5297</f>
        <v>16242</v>
      </c>
      <c r="E5321" s="1">
        <v>4</v>
      </c>
      <c r="F5321" s="522">
        <f t="shared" si="475"/>
        <v>356</v>
      </c>
      <c r="G5321" s="395"/>
      <c r="H5321" s="395"/>
      <c r="J5321" s="42"/>
    </row>
    <row r="5322" spans="1:10" s="393" customFormat="1" ht="15.75" thickBot="1" x14ac:dyDescent="0.3">
      <c r="A5322" s="402" t="s">
        <v>34</v>
      </c>
      <c r="B5322" s="271">
        <v>44114</v>
      </c>
      <c r="C5322" s="1">
        <v>453</v>
      </c>
      <c r="D5322" s="39">
        <f>C5322+D5298</f>
        <v>15236</v>
      </c>
      <c r="E5322" s="1">
        <f>16+5</f>
        <v>21</v>
      </c>
      <c r="F5322" s="522">
        <f>E5322+F5298</f>
        <v>498</v>
      </c>
      <c r="G5322" s="395"/>
      <c r="H5322" s="395"/>
      <c r="J5322" s="42"/>
    </row>
    <row r="5323" spans="1:10" s="393" customFormat="1" ht="15.75" thickBot="1" x14ac:dyDescent="0.3">
      <c r="A5323" s="402" t="s">
        <v>35</v>
      </c>
      <c r="B5323" s="271">
        <v>44114</v>
      </c>
      <c r="C5323" s="1">
        <v>1</v>
      </c>
      <c r="D5323" s="39">
        <f t="shared" ref="D5323:D5329" si="476">C5323+D5299</f>
        <v>1146</v>
      </c>
      <c r="E5323" s="1"/>
      <c r="F5323" s="522">
        <f>E5323+F5299</f>
        <v>42</v>
      </c>
      <c r="G5323" s="395"/>
      <c r="H5323" s="395"/>
      <c r="J5323" s="42"/>
    </row>
    <row r="5324" spans="1:10" s="393" customFormat="1" ht="15.75" thickBot="1" x14ac:dyDescent="0.3">
      <c r="A5324" s="402" t="s">
        <v>36</v>
      </c>
      <c r="B5324" s="271">
        <v>44114</v>
      </c>
      <c r="C5324" s="1">
        <v>14</v>
      </c>
      <c r="D5324" s="39">
        <f t="shared" si="476"/>
        <v>2202</v>
      </c>
      <c r="E5324" s="1"/>
      <c r="F5324" s="522">
        <f t="shared" si="475"/>
        <v>33</v>
      </c>
      <c r="G5324" s="395"/>
      <c r="H5324" s="395"/>
      <c r="J5324" s="42"/>
    </row>
    <row r="5325" spans="1:10" s="393" customFormat="1" ht="15.75" thickBot="1" x14ac:dyDescent="0.3">
      <c r="A5325" s="402" t="s">
        <v>37</v>
      </c>
      <c r="B5325" s="271">
        <v>44114</v>
      </c>
      <c r="C5325" s="1">
        <v>170</v>
      </c>
      <c r="D5325" s="39">
        <f t="shared" si="476"/>
        <v>6211</v>
      </c>
      <c r="E5325" s="1">
        <f>3</f>
        <v>3</v>
      </c>
      <c r="F5325" s="522">
        <f>E5325+F5301</f>
        <v>83</v>
      </c>
      <c r="G5325" s="395"/>
      <c r="H5325" s="395"/>
      <c r="J5325" s="42"/>
    </row>
    <row r="5326" spans="1:10" s="393" customFormat="1" ht="15.75" thickBot="1" x14ac:dyDescent="0.3">
      <c r="A5326" s="402" t="s">
        <v>22</v>
      </c>
      <c r="B5326" s="271">
        <v>44114</v>
      </c>
      <c r="C5326" s="1">
        <v>2043</v>
      </c>
      <c r="D5326" s="39">
        <f t="shared" si="476"/>
        <v>61353</v>
      </c>
      <c r="E5326" s="1">
        <v>16</v>
      </c>
      <c r="F5326" s="522">
        <f>E5326+F5302</f>
        <v>657</v>
      </c>
      <c r="G5326" s="395"/>
      <c r="H5326" s="395"/>
      <c r="J5326" s="42"/>
    </row>
    <row r="5327" spans="1:10" s="393" customFormat="1" ht="15.75" thickBot="1" x14ac:dyDescent="0.3">
      <c r="A5327" s="402" t="s">
        <v>38</v>
      </c>
      <c r="B5327" s="271">
        <v>44114</v>
      </c>
      <c r="C5327" s="1">
        <v>93</v>
      </c>
      <c r="D5327" s="39">
        <f t="shared" si="476"/>
        <v>4376</v>
      </c>
      <c r="E5327" s="1"/>
      <c r="F5327" s="522">
        <f t="shared" si="475"/>
        <v>82</v>
      </c>
      <c r="G5327" s="395"/>
      <c r="H5327" s="395"/>
      <c r="J5327" s="42"/>
    </row>
    <row r="5328" spans="1:10" s="393" customFormat="1" ht="15.75" thickBot="1" x14ac:dyDescent="0.3">
      <c r="A5328" s="402" t="s">
        <v>39</v>
      </c>
      <c r="B5328" s="271">
        <v>44114</v>
      </c>
      <c r="C5328" s="1">
        <v>144</v>
      </c>
      <c r="D5328" s="39">
        <f t="shared" si="476"/>
        <v>6197</v>
      </c>
      <c r="E5328" s="1"/>
      <c r="F5328" s="522">
        <f t="shared" ref="F5328:F5339" si="477">E5328+F5304</f>
        <v>84</v>
      </c>
      <c r="G5328" s="395"/>
      <c r="H5328" s="395"/>
      <c r="J5328" s="42"/>
    </row>
    <row r="5329" spans="1:10" s="393" customFormat="1" ht="15.75" thickBot="1" x14ac:dyDescent="0.3">
      <c r="A5329" s="404" t="s">
        <v>40</v>
      </c>
      <c r="B5329" s="271">
        <v>44114</v>
      </c>
      <c r="C5329" s="1">
        <v>802</v>
      </c>
      <c r="D5329" s="177">
        <f t="shared" si="476"/>
        <v>25762</v>
      </c>
      <c r="E5329" s="1"/>
      <c r="F5329" s="631">
        <f t="shared" si="477"/>
        <v>325</v>
      </c>
      <c r="G5329" s="395"/>
      <c r="H5329" s="395"/>
      <c r="J5329" s="42"/>
    </row>
    <row r="5330" spans="1:10" s="393" customFormat="1" ht="15.75" thickBot="1" x14ac:dyDescent="0.3">
      <c r="A5330" s="397" t="s">
        <v>16</v>
      </c>
      <c r="B5330" s="271">
        <v>44115</v>
      </c>
      <c r="C5330" s="1">
        <v>2542</v>
      </c>
      <c r="D5330" s="175">
        <f>C5330+D5306</f>
        <v>468405</v>
      </c>
      <c r="E5330" s="1">
        <f>81+63+3</f>
        <v>147</v>
      </c>
      <c r="F5330" s="630">
        <f t="shared" si="477"/>
        <v>14716</v>
      </c>
      <c r="G5330" s="395"/>
      <c r="H5330" s="395"/>
      <c r="J5330" s="42"/>
    </row>
    <row r="5331" spans="1:10" s="393" customFormat="1" ht="15.75" thickBot="1" x14ac:dyDescent="0.3">
      <c r="A5331" s="402" t="s">
        <v>43</v>
      </c>
      <c r="B5331" s="271">
        <v>44115</v>
      </c>
      <c r="C5331" s="1">
        <v>642</v>
      </c>
      <c r="D5331" s="39">
        <f t="shared" ref="D5331:D5343" si="478">C5331+D5307</f>
        <v>134992</v>
      </c>
      <c r="E5331" s="1">
        <f>8+12</f>
        <v>20</v>
      </c>
      <c r="F5331" s="522">
        <f t="shared" si="477"/>
        <v>3992</v>
      </c>
      <c r="G5331" s="395"/>
      <c r="H5331" s="395"/>
      <c r="J5331" s="42"/>
    </row>
    <row r="5332" spans="1:10" s="393" customFormat="1" ht="15.75" thickBot="1" x14ac:dyDescent="0.3">
      <c r="A5332" s="402" t="s">
        <v>28</v>
      </c>
      <c r="B5332" s="271">
        <v>44115</v>
      </c>
      <c r="C5332" s="1">
        <v>6</v>
      </c>
      <c r="D5332" s="39">
        <f t="shared" si="478"/>
        <v>376</v>
      </c>
      <c r="E5332" s="1"/>
      <c r="F5332" s="522">
        <f t="shared" si="477"/>
        <v>0</v>
      </c>
      <c r="G5332" s="395"/>
      <c r="H5332" s="395"/>
      <c r="J5332" s="42"/>
    </row>
    <row r="5333" spans="1:10" s="393" customFormat="1" ht="15.75" thickBot="1" x14ac:dyDescent="0.3">
      <c r="A5333" s="402" t="s">
        <v>15</v>
      </c>
      <c r="B5333" s="271">
        <v>44115</v>
      </c>
      <c r="C5333" s="1">
        <v>199</v>
      </c>
      <c r="D5333" s="39">
        <f t="shared" si="478"/>
        <v>10373</v>
      </c>
      <c r="E5333" s="1">
        <v>3</v>
      </c>
      <c r="F5333" s="522">
        <f t="shared" si="477"/>
        <v>334</v>
      </c>
      <c r="G5333" s="395"/>
      <c r="H5333" s="395"/>
      <c r="J5333" s="42"/>
    </row>
    <row r="5334" spans="1:10" s="393" customFormat="1" ht="15.75" thickBot="1" x14ac:dyDescent="0.3">
      <c r="A5334" s="402" t="s">
        <v>29</v>
      </c>
      <c r="B5334" s="271">
        <v>44115</v>
      </c>
      <c r="C5334" s="1">
        <v>379</v>
      </c>
      <c r="D5334" s="39">
        <f t="shared" si="478"/>
        <v>7002</v>
      </c>
      <c r="E5334" s="1"/>
      <c r="F5334" s="522">
        <f t="shared" si="477"/>
        <v>82</v>
      </c>
      <c r="G5334" s="395"/>
      <c r="H5334" s="395"/>
      <c r="J5334" s="42"/>
    </row>
    <row r="5335" spans="1:10" s="393" customFormat="1" ht="15.75" thickBot="1" x14ac:dyDescent="0.3">
      <c r="A5335" s="402" t="s">
        <v>20</v>
      </c>
      <c r="B5335" s="271">
        <v>44115</v>
      </c>
      <c r="C5335" s="1">
        <v>1536</v>
      </c>
      <c r="D5335" s="39">
        <f t="shared" si="478"/>
        <v>51817</v>
      </c>
      <c r="E5335" s="1">
        <f>13+18</f>
        <v>31</v>
      </c>
      <c r="F5335" s="522">
        <f t="shared" si="477"/>
        <v>627</v>
      </c>
      <c r="G5335" s="395"/>
      <c r="H5335" s="395"/>
      <c r="J5335" s="42"/>
    </row>
    <row r="5336" spans="1:10" s="393" customFormat="1" ht="15.75" thickBot="1" x14ac:dyDescent="0.3">
      <c r="A5336" s="402" t="s">
        <v>30</v>
      </c>
      <c r="B5336" s="271">
        <v>44115</v>
      </c>
      <c r="C5336" s="1">
        <v>50</v>
      </c>
      <c r="D5336" s="39">
        <f t="shared" si="478"/>
        <v>1557</v>
      </c>
      <c r="E5336" s="1"/>
      <c r="F5336" s="522">
        <f t="shared" si="477"/>
        <v>31</v>
      </c>
      <c r="G5336" s="395"/>
      <c r="H5336" s="395"/>
      <c r="J5336" s="42"/>
    </row>
    <row r="5337" spans="1:10" ht="15.75" thickBot="1" x14ac:dyDescent="0.3">
      <c r="A5337" s="402" t="s">
        <v>31</v>
      </c>
      <c r="B5337" s="271">
        <v>44115</v>
      </c>
      <c r="C5337" s="1">
        <v>157</v>
      </c>
      <c r="D5337" s="39">
        <f t="shared" si="478"/>
        <v>9390</v>
      </c>
      <c r="E5337" s="1">
        <f>2+1</f>
        <v>3</v>
      </c>
      <c r="F5337" s="522">
        <f t="shared" si="477"/>
        <v>175</v>
      </c>
    </row>
    <row r="5338" spans="1:10" s="393" customFormat="1" ht="15.75" thickBot="1" x14ac:dyDescent="0.3">
      <c r="A5338" s="402" t="s">
        <v>41</v>
      </c>
      <c r="B5338" s="271">
        <v>44115</v>
      </c>
      <c r="C5338" s="1">
        <v>0</v>
      </c>
      <c r="D5338" s="39">
        <f t="shared" si="478"/>
        <v>128</v>
      </c>
      <c r="E5338" s="1"/>
      <c r="F5338" s="522">
        <f t="shared" si="477"/>
        <v>1</v>
      </c>
      <c r="G5338" s="395"/>
      <c r="H5338" s="395"/>
      <c r="J5338" s="42"/>
    </row>
    <row r="5339" spans="1:10" s="393" customFormat="1" ht="15.75" thickBot="1" x14ac:dyDescent="0.3">
      <c r="A5339" s="402" t="s">
        <v>32</v>
      </c>
      <c r="B5339" s="271">
        <v>44115</v>
      </c>
      <c r="C5339" s="1">
        <v>58</v>
      </c>
      <c r="D5339" s="39">
        <f t="shared" si="478"/>
        <v>16730</v>
      </c>
      <c r="E5339" s="1">
        <f>1</f>
        <v>1</v>
      </c>
      <c r="F5339" s="522">
        <f t="shared" si="477"/>
        <v>628</v>
      </c>
      <c r="G5339" s="395"/>
      <c r="H5339" s="395"/>
      <c r="J5339" s="42"/>
    </row>
    <row r="5340" spans="1:10" s="393" customFormat="1" ht="15.75" thickBot="1" x14ac:dyDescent="0.3">
      <c r="A5340" s="402" t="s">
        <v>33</v>
      </c>
      <c r="B5340" s="271">
        <v>44115</v>
      </c>
      <c r="C5340" s="1">
        <v>30</v>
      </c>
      <c r="D5340" s="39">
        <f t="shared" si="478"/>
        <v>1070</v>
      </c>
      <c r="E5340" s="1"/>
      <c r="F5340" s="522">
        <f t="shared" ref="F5340:F5351" si="479">E5340+F5316</f>
        <v>12</v>
      </c>
      <c r="G5340" s="395"/>
      <c r="H5340" s="395"/>
      <c r="J5340" s="42"/>
    </row>
    <row r="5341" spans="1:10" s="393" customFormat="1" ht="15.75" thickBot="1" x14ac:dyDescent="0.3">
      <c r="A5341" s="402" t="s">
        <v>21</v>
      </c>
      <c r="B5341" s="271">
        <v>44115</v>
      </c>
      <c r="C5341" s="1">
        <v>152</v>
      </c>
      <c r="D5341" s="39">
        <f t="shared" si="478"/>
        <v>5828</v>
      </c>
      <c r="E5341" s="1">
        <f>2+1</f>
        <v>3</v>
      </c>
      <c r="F5341" s="522">
        <f t="shared" si="479"/>
        <v>175</v>
      </c>
      <c r="G5341" s="395"/>
      <c r="H5341" s="395"/>
      <c r="J5341" s="42"/>
    </row>
    <row r="5342" spans="1:10" s="393" customFormat="1" ht="15.75" thickBot="1" x14ac:dyDescent="0.3">
      <c r="A5342" s="402" t="s">
        <v>17</v>
      </c>
      <c r="B5342" s="271">
        <v>44115</v>
      </c>
      <c r="C5342" s="1">
        <v>571</v>
      </c>
      <c r="D5342" s="39">
        <f t="shared" si="478"/>
        <v>32035</v>
      </c>
      <c r="E5342" s="1">
        <f>4+2</f>
        <v>6</v>
      </c>
      <c r="F5342" s="522">
        <f t="shared" si="479"/>
        <v>435</v>
      </c>
      <c r="G5342" s="395"/>
      <c r="H5342" s="395"/>
      <c r="J5342" s="42"/>
    </row>
    <row r="5343" spans="1:10" s="393" customFormat="1" ht="15.75" thickBot="1" x14ac:dyDescent="0.3">
      <c r="A5343" s="402" t="s">
        <v>23</v>
      </c>
      <c r="B5343" s="271">
        <v>44115</v>
      </c>
      <c r="C5343" s="1">
        <v>5</v>
      </c>
      <c r="D5343" s="39">
        <f t="shared" si="478"/>
        <v>154</v>
      </c>
      <c r="E5343" s="1"/>
      <c r="F5343" s="522">
        <f t="shared" si="479"/>
        <v>4</v>
      </c>
      <c r="G5343" s="395"/>
      <c r="H5343" s="395"/>
      <c r="J5343" s="42"/>
    </row>
    <row r="5344" spans="1:10" s="393" customFormat="1" ht="15.75" thickBot="1" x14ac:dyDescent="0.3">
      <c r="A5344" s="402" t="s">
        <v>19</v>
      </c>
      <c r="B5344" s="271">
        <v>44115</v>
      </c>
      <c r="C5344" s="1">
        <v>306</v>
      </c>
      <c r="D5344" s="39">
        <f>C5344+D5320</f>
        <v>12125</v>
      </c>
      <c r="E5344" s="1"/>
      <c r="F5344" s="522">
        <f t="shared" si="479"/>
        <v>184</v>
      </c>
      <c r="G5344" s="395"/>
      <c r="H5344" s="395"/>
      <c r="J5344" s="42"/>
    </row>
    <row r="5345" spans="1:10" s="393" customFormat="1" ht="15.75" thickBot="1" x14ac:dyDescent="0.3">
      <c r="A5345" s="402" t="s">
        <v>18</v>
      </c>
      <c r="B5345" s="271">
        <v>44115</v>
      </c>
      <c r="C5345" s="1">
        <v>252</v>
      </c>
      <c r="D5345" s="39">
        <f>C5345+D5321</f>
        <v>16494</v>
      </c>
      <c r="E5345" s="1">
        <f>4+4</f>
        <v>8</v>
      </c>
      <c r="F5345" s="522">
        <f t="shared" si="479"/>
        <v>364</v>
      </c>
      <c r="G5345" s="395"/>
      <c r="H5345" s="395"/>
      <c r="J5345" s="42"/>
    </row>
    <row r="5346" spans="1:10" s="393" customFormat="1" ht="15.75" thickBot="1" x14ac:dyDescent="0.3">
      <c r="A5346" s="402" t="s">
        <v>34</v>
      </c>
      <c r="B5346" s="271">
        <v>44115</v>
      </c>
      <c r="C5346" s="1">
        <v>148</v>
      </c>
      <c r="D5346" s="39">
        <f>C5346+D5322</f>
        <v>15384</v>
      </c>
      <c r="E5346" s="1">
        <v>25</v>
      </c>
      <c r="F5346" s="522">
        <f>E5346+F5322</f>
        <v>523</v>
      </c>
      <c r="G5346" s="395"/>
      <c r="H5346" s="395"/>
      <c r="J5346" s="42"/>
    </row>
    <row r="5347" spans="1:10" s="393" customFormat="1" ht="15.75" thickBot="1" x14ac:dyDescent="0.3">
      <c r="A5347" s="402" t="s">
        <v>35</v>
      </c>
      <c r="B5347" s="271">
        <v>44115</v>
      </c>
      <c r="C5347" s="1">
        <v>58</v>
      </c>
      <c r="D5347" s="39">
        <f t="shared" ref="D5347:D5353" si="480">C5347+D5323</f>
        <v>1204</v>
      </c>
      <c r="E5347" s="1"/>
      <c r="F5347" s="522">
        <f>E5347+F5323</f>
        <v>42</v>
      </c>
      <c r="G5347" s="395"/>
      <c r="H5347" s="395"/>
      <c r="J5347" s="42"/>
    </row>
    <row r="5348" spans="1:10" s="393" customFormat="1" ht="15.75" thickBot="1" x14ac:dyDescent="0.3">
      <c r="A5348" s="402" t="s">
        <v>36</v>
      </c>
      <c r="B5348" s="271">
        <v>44115</v>
      </c>
      <c r="C5348" s="1">
        <v>20</v>
      </c>
      <c r="D5348" s="39">
        <f t="shared" si="480"/>
        <v>2222</v>
      </c>
      <c r="E5348" s="1"/>
      <c r="F5348" s="522">
        <f t="shared" si="479"/>
        <v>33</v>
      </c>
      <c r="G5348" s="395"/>
      <c r="H5348" s="395"/>
      <c r="J5348" s="42"/>
    </row>
    <row r="5349" spans="1:10" s="393" customFormat="1" ht="15.75" thickBot="1" x14ac:dyDescent="0.3">
      <c r="A5349" s="402" t="s">
        <v>37</v>
      </c>
      <c r="B5349" s="271">
        <v>44115</v>
      </c>
      <c r="C5349" s="1">
        <v>134</v>
      </c>
      <c r="D5349" s="39">
        <f t="shared" si="480"/>
        <v>6345</v>
      </c>
      <c r="E5349" s="1">
        <f>3</f>
        <v>3</v>
      </c>
      <c r="F5349" s="522">
        <f>E5349+F5325</f>
        <v>86</v>
      </c>
      <c r="G5349" s="395"/>
      <c r="H5349" s="395"/>
      <c r="J5349" s="42"/>
    </row>
    <row r="5350" spans="1:10" s="393" customFormat="1" ht="15.75" thickBot="1" x14ac:dyDescent="0.3">
      <c r="A5350" s="402" t="s">
        <v>22</v>
      </c>
      <c r="B5350" s="271">
        <v>44115</v>
      </c>
      <c r="C5350" s="1">
        <v>1547</v>
      </c>
      <c r="D5350" s="39">
        <f t="shared" si="480"/>
        <v>62900</v>
      </c>
      <c r="E5350" s="1">
        <f>7+7</f>
        <v>14</v>
      </c>
      <c r="F5350" s="522">
        <f>E5350+F5326</f>
        <v>671</v>
      </c>
      <c r="G5350" s="395"/>
      <c r="H5350" s="395"/>
      <c r="J5350" s="42"/>
    </row>
    <row r="5351" spans="1:10" s="393" customFormat="1" ht="15.75" thickBot="1" x14ac:dyDescent="0.3">
      <c r="A5351" s="402" t="s">
        <v>38</v>
      </c>
      <c r="B5351" s="271">
        <v>44115</v>
      </c>
      <c r="C5351" s="1">
        <v>450</v>
      </c>
      <c r="D5351" s="39">
        <f t="shared" si="480"/>
        <v>4826</v>
      </c>
      <c r="E5351" s="1">
        <f>1+1</f>
        <v>2</v>
      </c>
      <c r="F5351" s="522">
        <f t="shared" si="479"/>
        <v>84</v>
      </c>
      <c r="G5351" s="395"/>
      <c r="H5351" s="395"/>
      <c r="J5351" s="42"/>
    </row>
    <row r="5352" spans="1:10" s="393" customFormat="1" ht="15.75" thickBot="1" x14ac:dyDescent="0.3">
      <c r="A5352" s="402" t="s">
        <v>39</v>
      </c>
      <c r="B5352" s="271">
        <v>44115</v>
      </c>
      <c r="C5352" s="1">
        <v>227</v>
      </c>
      <c r="D5352" s="39">
        <f t="shared" si="480"/>
        <v>6424</v>
      </c>
      <c r="E5352" s="1"/>
      <c r="F5352" s="522">
        <f t="shared" ref="F5352:F5363" si="481">E5352+F5328</f>
        <v>84</v>
      </c>
      <c r="G5352" s="395"/>
      <c r="H5352" s="395"/>
      <c r="J5352" s="42"/>
    </row>
    <row r="5353" spans="1:10" s="393" customFormat="1" ht="15.75" thickBot="1" x14ac:dyDescent="0.3">
      <c r="A5353" s="404" t="s">
        <v>40</v>
      </c>
      <c r="B5353" s="271">
        <v>44115</v>
      </c>
      <c r="C5353" s="1">
        <v>855</v>
      </c>
      <c r="D5353" s="177">
        <f t="shared" si="480"/>
        <v>26617</v>
      </c>
      <c r="E5353" s="1">
        <f>10+7</f>
        <v>17</v>
      </c>
      <c r="F5353" s="631">
        <f t="shared" si="481"/>
        <v>342</v>
      </c>
      <c r="G5353" s="395"/>
      <c r="H5353" s="395"/>
      <c r="J5353" s="42"/>
    </row>
    <row r="5354" spans="1:10" s="393" customFormat="1" ht="15.75" thickBot="1" x14ac:dyDescent="0.3">
      <c r="A5354" s="397" t="s">
        <v>16</v>
      </c>
      <c r="B5354" s="271">
        <v>44116</v>
      </c>
      <c r="C5354" s="1">
        <v>2221</v>
      </c>
      <c r="D5354" s="175">
        <f>C5354+D5330</f>
        <v>470626</v>
      </c>
      <c r="E5354" s="1">
        <f>1+69+61</f>
        <v>131</v>
      </c>
      <c r="F5354" s="630">
        <f t="shared" si="481"/>
        <v>14847</v>
      </c>
      <c r="G5354" s="395"/>
      <c r="H5354" s="395"/>
      <c r="J5354" s="42"/>
    </row>
    <row r="5355" spans="1:10" s="393" customFormat="1" ht="15.75" thickBot="1" x14ac:dyDescent="0.3">
      <c r="A5355" s="402" t="s">
        <v>43</v>
      </c>
      <c r="B5355" s="271">
        <v>44116</v>
      </c>
      <c r="C5355" s="1">
        <v>499</v>
      </c>
      <c r="D5355" s="39">
        <f t="shared" ref="D5355:D5367" si="482">C5355+D5331</f>
        <v>135491</v>
      </c>
      <c r="E5355" s="1">
        <f>30+25</f>
        <v>55</v>
      </c>
      <c r="F5355" s="522">
        <f t="shared" si="481"/>
        <v>4047</v>
      </c>
      <c r="G5355" s="395"/>
      <c r="H5355" s="395"/>
      <c r="J5355" s="42"/>
    </row>
    <row r="5356" spans="1:10" s="393" customFormat="1" ht="15.75" thickBot="1" x14ac:dyDescent="0.3">
      <c r="A5356" s="402" t="s">
        <v>28</v>
      </c>
      <c r="B5356" s="271">
        <v>44116</v>
      </c>
      <c r="C5356" s="1">
        <v>14</v>
      </c>
      <c r="D5356" s="39">
        <f t="shared" si="482"/>
        <v>390</v>
      </c>
      <c r="E5356" s="1"/>
      <c r="F5356" s="522">
        <f t="shared" si="481"/>
        <v>0</v>
      </c>
      <c r="G5356" s="395"/>
      <c r="H5356" s="395"/>
      <c r="J5356" s="42"/>
    </row>
    <row r="5357" spans="1:10" s="393" customFormat="1" ht="15.75" thickBot="1" x14ac:dyDescent="0.3">
      <c r="A5357" s="402" t="s">
        <v>15</v>
      </c>
      <c r="B5357" s="271">
        <v>44116</v>
      </c>
      <c r="C5357" s="1">
        <v>133</v>
      </c>
      <c r="D5357" s="39">
        <f t="shared" si="482"/>
        <v>10506</v>
      </c>
      <c r="E5357" s="1"/>
      <c r="F5357" s="522">
        <f t="shared" si="481"/>
        <v>334</v>
      </c>
      <c r="G5357" s="395"/>
      <c r="H5357" s="395"/>
      <c r="J5357" s="42"/>
    </row>
    <row r="5358" spans="1:10" s="393" customFormat="1" ht="15.75" thickBot="1" x14ac:dyDescent="0.3">
      <c r="A5358" s="402" t="s">
        <v>29</v>
      </c>
      <c r="B5358" s="271">
        <v>44116</v>
      </c>
      <c r="C5358" s="1">
        <v>348</v>
      </c>
      <c r="D5358" s="39">
        <f t="shared" si="482"/>
        <v>7350</v>
      </c>
      <c r="E5358" s="1">
        <f>9+6</f>
        <v>15</v>
      </c>
      <c r="F5358" s="522">
        <f t="shared" si="481"/>
        <v>97</v>
      </c>
      <c r="G5358" s="395"/>
      <c r="H5358" s="395"/>
      <c r="J5358" s="42"/>
    </row>
    <row r="5359" spans="1:10" s="393" customFormat="1" ht="15.75" thickBot="1" x14ac:dyDescent="0.3">
      <c r="A5359" s="402" t="s">
        <v>20</v>
      </c>
      <c r="B5359" s="271">
        <v>44116</v>
      </c>
      <c r="C5359" s="1">
        <v>1120</v>
      </c>
      <c r="D5359" s="39">
        <f t="shared" si="482"/>
        <v>52937</v>
      </c>
      <c r="E5359" s="1">
        <f>16+12</f>
        <v>28</v>
      </c>
      <c r="F5359" s="522">
        <f t="shared" si="481"/>
        <v>655</v>
      </c>
      <c r="G5359" s="395"/>
      <c r="H5359" s="395"/>
      <c r="J5359" s="42"/>
    </row>
    <row r="5360" spans="1:10" s="393" customFormat="1" ht="15.75" thickBot="1" x14ac:dyDescent="0.3">
      <c r="A5360" s="402" t="s">
        <v>30</v>
      </c>
      <c r="B5360" s="271">
        <v>44116</v>
      </c>
      <c r="C5360" s="1">
        <v>77</v>
      </c>
      <c r="D5360" s="39">
        <f t="shared" si="482"/>
        <v>1634</v>
      </c>
      <c r="E5360" s="1"/>
      <c r="F5360" s="522">
        <f t="shared" si="481"/>
        <v>31</v>
      </c>
      <c r="G5360" s="395"/>
      <c r="H5360" s="395"/>
      <c r="J5360" s="42"/>
    </row>
    <row r="5361" spans="1:10" ht="15.75" thickBot="1" x14ac:dyDescent="0.3">
      <c r="A5361" s="402" t="s">
        <v>31</v>
      </c>
      <c r="B5361" s="271">
        <v>44116</v>
      </c>
      <c r="C5361" s="1">
        <v>176</v>
      </c>
      <c r="D5361" s="39">
        <f t="shared" si="482"/>
        <v>9566</v>
      </c>
      <c r="E5361" s="1">
        <f>6+7</f>
        <v>13</v>
      </c>
      <c r="F5361" s="522">
        <f t="shared" si="481"/>
        <v>188</v>
      </c>
    </row>
    <row r="5362" spans="1:10" s="393" customFormat="1" ht="15.75" thickBot="1" x14ac:dyDescent="0.3">
      <c r="A5362" s="402" t="s">
        <v>41</v>
      </c>
      <c r="B5362" s="271">
        <v>44116</v>
      </c>
      <c r="C5362" s="1">
        <v>8</v>
      </c>
      <c r="D5362" s="39">
        <f t="shared" si="482"/>
        <v>136</v>
      </c>
      <c r="E5362" s="1"/>
      <c r="F5362" s="522">
        <f t="shared" si="481"/>
        <v>1</v>
      </c>
      <c r="G5362" s="395"/>
      <c r="H5362" s="395"/>
      <c r="J5362" s="42"/>
    </row>
    <row r="5363" spans="1:10" s="393" customFormat="1" ht="15.75" thickBot="1" x14ac:dyDescent="0.3">
      <c r="A5363" s="402" t="s">
        <v>32</v>
      </c>
      <c r="B5363" s="271">
        <v>44116</v>
      </c>
      <c r="C5363" s="1">
        <v>76</v>
      </c>
      <c r="D5363" s="39">
        <f t="shared" si="482"/>
        <v>16806</v>
      </c>
      <c r="E5363" s="1"/>
      <c r="F5363" s="522">
        <f t="shared" si="481"/>
        <v>628</v>
      </c>
      <c r="G5363" s="395"/>
      <c r="H5363" s="395"/>
      <c r="J5363" s="42"/>
    </row>
    <row r="5364" spans="1:10" s="393" customFormat="1" ht="15.75" thickBot="1" x14ac:dyDescent="0.3">
      <c r="A5364" s="402" t="s">
        <v>33</v>
      </c>
      <c r="B5364" s="271">
        <v>44116</v>
      </c>
      <c r="C5364" s="1">
        <v>57</v>
      </c>
      <c r="D5364" s="39">
        <f t="shared" si="482"/>
        <v>1127</v>
      </c>
      <c r="E5364" s="1"/>
      <c r="F5364" s="522">
        <f t="shared" ref="F5364:F5375" si="483">E5364+F5340</f>
        <v>12</v>
      </c>
      <c r="G5364" s="395"/>
      <c r="H5364" s="395"/>
      <c r="J5364" s="42"/>
    </row>
    <row r="5365" spans="1:10" s="393" customFormat="1" ht="15.75" thickBot="1" x14ac:dyDescent="0.3">
      <c r="A5365" s="402" t="s">
        <v>21</v>
      </c>
      <c r="B5365" s="271">
        <v>44116</v>
      </c>
      <c r="C5365" s="1">
        <v>160</v>
      </c>
      <c r="D5365" s="39">
        <f t="shared" si="482"/>
        <v>5988</v>
      </c>
      <c r="E5365" s="1">
        <f>1</f>
        <v>1</v>
      </c>
      <c r="F5365" s="522">
        <f t="shared" si="483"/>
        <v>176</v>
      </c>
      <c r="G5365" s="395"/>
      <c r="H5365" s="395"/>
      <c r="J5365" s="42"/>
    </row>
    <row r="5366" spans="1:10" s="393" customFormat="1" ht="15.75" thickBot="1" x14ac:dyDescent="0.3">
      <c r="A5366" s="402" t="s">
        <v>17</v>
      </c>
      <c r="B5366" s="271">
        <v>44116</v>
      </c>
      <c r="C5366" s="1">
        <v>364</v>
      </c>
      <c r="D5366" s="39">
        <f t="shared" si="482"/>
        <v>32399</v>
      </c>
      <c r="E5366" s="1">
        <f>1+1</f>
        <v>2</v>
      </c>
      <c r="F5366" s="522">
        <f t="shared" si="483"/>
        <v>437</v>
      </c>
      <c r="G5366" s="395"/>
      <c r="H5366" s="395"/>
      <c r="J5366" s="42"/>
    </row>
    <row r="5367" spans="1:10" s="393" customFormat="1" ht="15.75" thickBot="1" x14ac:dyDescent="0.3">
      <c r="A5367" s="402" t="s">
        <v>23</v>
      </c>
      <c r="B5367" s="271">
        <v>44116</v>
      </c>
      <c r="C5367" s="1">
        <v>8</v>
      </c>
      <c r="D5367" s="39">
        <f t="shared" si="482"/>
        <v>162</v>
      </c>
      <c r="E5367" s="1"/>
      <c r="F5367" s="522">
        <f t="shared" si="483"/>
        <v>4</v>
      </c>
      <c r="G5367" s="395"/>
      <c r="H5367" s="395"/>
      <c r="J5367" s="42"/>
    </row>
    <row r="5368" spans="1:10" s="393" customFormat="1" ht="15.75" thickBot="1" x14ac:dyDescent="0.3">
      <c r="A5368" s="402" t="s">
        <v>19</v>
      </c>
      <c r="B5368" s="271">
        <v>44116</v>
      </c>
      <c r="C5368" s="1">
        <v>264</v>
      </c>
      <c r="D5368" s="39">
        <f>C5368+D5344</f>
        <v>12389</v>
      </c>
      <c r="E5368" s="1">
        <f>1</f>
        <v>1</v>
      </c>
      <c r="F5368" s="522">
        <f t="shared" si="483"/>
        <v>185</v>
      </c>
      <c r="G5368" s="395"/>
      <c r="H5368" s="395"/>
      <c r="J5368" s="42"/>
    </row>
    <row r="5369" spans="1:10" s="393" customFormat="1" ht="15.75" thickBot="1" x14ac:dyDescent="0.3">
      <c r="A5369" s="402" t="s">
        <v>18</v>
      </c>
      <c r="B5369" s="271">
        <v>44116</v>
      </c>
      <c r="C5369" s="1">
        <v>233</v>
      </c>
      <c r="D5369" s="39">
        <f>C5369+D5345</f>
        <v>16727</v>
      </c>
      <c r="E5369" s="1">
        <f>2+2</f>
        <v>4</v>
      </c>
      <c r="F5369" s="522">
        <f t="shared" si="483"/>
        <v>368</v>
      </c>
      <c r="G5369" s="395"/>
      <c r="H5369" s="395"/>
      <c r="J5369" s="42"/>
    </row>
    <row r="5370" spans="1:10" s="393" customFormat="1" ht="15.75" thickBot="1" x14ac:dyDescent="0.3">
      <c r="A5370" s="402" t="s">
        <v>34</v>
      </c>
      <c r="B5370" s="271">
        <v>44116</v>
      </c>
      <c r="C5370" s="1">
        <v>84</v>
      </c>
      <c r="D5370" s="39">
        <f>C5370+D5346</f>
        <v>15468</v>
      </c>
      <c r="E5370" s="1">
        <f>7+1+4</f>
        <v>12</v>
      </c>
      <c r="F5370" s="522">
        <f>E5370+F5346</f>
        <v>535</v>
      </c>
      <c r="G5370" s="395"/>
      <c r="H5370" s="395"/>
      <c r="J5370" s="42"/>
    </row>
    <row r="5371" spans="1:10" s="393" customFormat="1" ht="15.75" thickBot="1" x14ac:dyDescent="0.3">
      <c r="A5371" s="402" t="s">
        <v>35</v>
      </c>
      <c r="B5371" s="271">
        <v>44116</v>
      </c>
      <c r="C5371" s="1">
        <v>37</v>
      </c>
      <c r="D5371" s="39">
        <f t="shared" ref="D5371:D5377" si="484">C5371+D5347</f>
        <v>1241</v>
      </c>
      <c r="E5371" s="1"/>
      <c r="F5371" s="522">
        <f>E5371+F5347</f>
        <v>42</v>
      </c>
      <c r="G5371" s="395"/>
      <c r="H5371" s="395"/>
      <c r="J5371" s="42"/>
    </row>
    <row r="5372" spans="1:10" s="393" customFormat="1" ht="15.75" thickBot="1" x14ac:dyDescent="0.3">
      <c r="A5372" s="402" t="s">
        <v>36</v>
      </c>
      <c r="B5372" s="271">
        <v>44116</v>
      </c>
      <c r="C5372" s="1">
        <v>68</v>
      </c>
      <c r="D5372" s="39">
        <f t="shared" si="484"/>
        <v>2290</v>
      </c>
      <c r="E5372" s="1"/>
      <c r="F5372" s="522">
        <f t="shared" si="483"/>
        <v>33</v>
      </c>
      <c r="G5372" s="395"/>
      <c r="H5372" s="395"/>
      <c r="J5372" s="42"/>
    </row>
    <row r="5373" spans="1:10" s="393" customFormat="1" ht="15.75" thickBot="1" x14ac:dyDescent="0.3">
      <c r="A5373" s="402" t="s">
        <v>37</v>
      </c>
      <c r="B5373" s="271">
        <v>44116</v>
      </c>
      <c r="C5373" s="1">
        <v>103</v>
      </c>
      <c r="D5373" s="39">
        <f t="shared" si="484"/>
        <v>6448</v>
      </c>
      <c r="E5373" s="1">
        <f>1+1</f>
        <v>2</v>
      </c>
      <c r="F5373" s="522">
        <f>E5373+F5349</f>
        <v>88</v>
      </c>
      <c r="G5373" s="395"/>
      <c r="H5373" s="395"/>
      <c r="J5373" s="42"/>
    </row>
    <row r="5374" spans="1:10" s="393" customFormat="1" ht="15.75" thickBot="1" x14ac:dyDescent="0.3">
      <c r="A5374" s="402" t="s">
        <v>22</v>
      </c>
      <c r="B5374" s="271">
        <v>44116</v>
      </c>
      <c r="C5374" s="1">
        <v>1711</v>
      </c>
      <c r="D5374" s="39">
        <f t="shared" si="484"/>
        <v>64611</v>
      </c>
      <c r="E5374" s="1">
        <f>7+4</f>
        <v>11</v>
      </c>
      <c r="F5374" s="522">
        <f>E5374+F5350</f>
        <v>682</v>
      </c>
      <c r="G5374" s="395"/>
      <c r="H5374" s="395"/>
      <c r="J5374" s="42"/>
    </row>
    <row r="5375" spans="1:10" s="393" customFormat="1" ht="15.75" thickBot="1" x14ac:dyDescent="0.3">
      <c r="A5375" s="402" t="s">
        <v>38</v>
      </c>
      <c r="B5375" s="271">
        <v>44116</v>
      </c>
      <c r="C5375" s="1">
        <v>573</v>
      </c>
      <c r="D5375" s="39">
        <f t="shared" si="484"/>
        <v>5399</v>
      </c>
      <c r="E5375" s="1">
        <f>2</f>
        <v>2</v>
      </c>
      <c r="F5375" s="522">
        <f t="shared" si="483"/>
        <v>86</v>
      </c>
      <c r="G5375" s="395"/>
      <c r="H5375" s="395"/>
      <c r="J5375" s="42"/>
    </row>
    <row r="5376" spans="1:10" s="393" customFormat="1" ht="15.75" thickBot="1" x14ac:dyDescent="0.3">
      <c r="A5376" s="402" t="s">
        <v>39</v>
      </c>
      <c r="B5376" s="271">
        <v>44116</v>
      </c>
      <c r="C5376" s="1">
        <v>268</v>
      </c>
      <c r="D5376" s="39">
        <f t="shared" si="484"/>
        <v>6692</v>
      </c>
      <c r="E5376" s="1">
        <f>1</f>
        <v>1</v>
      </c>
      <c r="F5376" s="522">
        <f t="shared" ref="F5376:F5387" si="485">E5376+F5352</f>
        <v>85</v>
      </c>
      <c r="G5376" s="395"/>
      <c r="H5376" s="395"/>
      <c r="J5376" s="42"/>
    </row>
    <row r="5377" spans="1:10" s="393" customFormat="1" ht="15.75" thickBot="1" x14ac:dyDescent="0.3">
      <c r="A5377" s="403" t="s">
        <v>40</v>
      </c>
      <c r="B5377" s="270">
        <v>44116</v>
      </c>
      <c r="C5377" s="234">
        <v>922</v>
      </c>
      <c r="D5377" s="67">
        <f t="shared" si="484"/>
        <v>27539</v>
      </c>
      <c r="E5377" s="234">
        <f>21+19</f>
        <v>40</v>
      </c>
      <c r="F5377" s="632">
        <f t="shared" si="485"/>
        <v>382</v>
      </c>
      <c r="G5377" s="395"/>
      <c r="H5377" s="395"/>
      <c r="J5377" s="42"/>
    </row>
    <row r="5378" spans="1:10" s="393" customFormat="1" x14ac:dyDescent="0.25">
      <c r="A5378" s="397" t="s">
        <v>16</v>
      </c>
      <c r="B5378" s="267">
        <v>44117</v>
      </c>
      <c r="C5378" s="43">
        <v>4666</v>
      </c>
      <c r="D5378" s="175">
        <f>C5378+D5354</f>
        <v>475292</v>
      </c>
      <c r="E5378" s="43">
        <v>169</v>
      </c>
      <c r="F5378" s="630">
        <f t="shared" si="485"/>
        <v>15016</v>
      </c>
      <c r="G5378" s="395"/>
      <c r="H5378" s="395"/>
      <c r="J5378" s="42"/>
    </row>
    <row r="5379" spans="1:10" s="393" customFormat="1" x14ac:dyDescent="0.25">
      <c r="A5379" s="402" t="s">
        <v>43</v>
      </c>
      <c r="B5379" s="2">
        <v>44117</v>
      </c>
      <c r="C5379" s="1">
        <v>745</v>
      </c>
      <c r="D5379" s="39">
        <f t="shared" ref="D5379:D5391" si="486">C5379+D5355</f>
        <v>136236</v>
      </c>
      <c r="E5379" s="1">
        <v>49</v>
      </c>
      <c r="F5379" s="522">
        <f t="shared" si="485"/>
        <v>4096</v>
      </c>
      <c r="G5379" s="395"/>
      <c r="H5379" s="395"/>
      <c r="J5379" s="42"/>
    </row>
    <row r="5380" spans="1:10" s="393" customFormat="1" x14ac:dyDescent="0.25">
      <c r="A5380" s="402" t="s">
        <v>28</v>
      </c>
      <c r="B5380" s="2">
        <v>44117</v>
      </c>
      <c r="C5380" s="1">
        <v>3</v>
      </c>
      <c r="D5380" s="39">
        <f t="shared" si="486"/>
        <v>393</v>
      </c>
      <c r="E5380" s="1"/>
      <c r="F5380" s="522">
        <f t="shared" si="485"/>
        <v>0</v>
      </c>
      <c r="G5380" s="395"/>
      <c r="H5380" s="395"/>
      <c r="J5380" s="42"/>
    </row>
    <row r="5381" spans="1:10" s="393" customFormat="1" x14ac:dyDescent="0.25">
      <c r="A5381" s="402" t="s">
        <v>15</v>
      </c>
      <c r="B5381" s="2">
        <v>44117</v>
      </c>
      <c r="C5381" s="1">
        <v>172</v>
      </c>
      <c r="D5381" s="39">
        <f t="shared" si="486"/>
        <v>10678</v>
      </c>
      <c r="E5381" s="1">
        <v>10</v>
      </c>
      <c r="F5381" s="522">
        <f t="shared" si="485"/>
        <v>344</v>
      </c>
      <c r="G5381" s="395"/>
      <c r="H5381" s="395"/>
      <c r="J5381" s="42"/>
    </row>
    <row r="5382" spans="1:10" s="393" customFormat="1" x14ac:dyDescent="0.25">
      <c r="A5382" s="402" t="s">
        <v>29</v>
      </c>
      <c r="B5382" s="2">
        <v>44117</v>
      </c>
      <c r="C5382" s="1">
        <v>438</v>
      </c>
      <c r="D5382" s="39">
        <f t="shared" si="486"/>
        <v>7788</v>
      </c>
      <c r="E5382" s="1">
        <v>4</v>
      </c>
      <c r="F5382" s="522">
        <f t="shared" si="485"/>
        <v>101</v>
      </c>
      <c r="G5382" s="395"/>
      <c r="H5382" s="395"/>
      <c r="J5382" s="42"/>
    </row>
    <row r="5383" spans="1:10" s="393" customFormat="1" x14ac:dyDescent="0.25">
      <c r="A5383" s="402" t="s">
        <v>20</v>
      </c>
      <c r="B5383" s="2">
        <v>44117</v>
      </c>
      <c r="C5383" s="1">
        <v>1158</v>
      </c>
      <c r="D5383" s="39">
        <f t="shared" si="486"/>
        <v>54095</v>
      </c>
      <c r="E5383" s="1">
        <v>35</v>
      </c>
      <c r="F5383" s="522">
        <f t="shared" si="485"/>
        <v>690</v>
      </c>
      <c r="G5383" s="395"/>
      <c r="H5383" s="395"/>
      <c r="J5383" s="42"/>
    </row>
    <row r="5384" spans="1:10" s="393" customFormat="1" x14ac:dyDescent="0.25">
      <c r="A5384" s="402" t="s">
        <v>30</v>
      </c>
      <c r="B5384" s="2">
        <v>44117</v>
      </c>
      <c r="C5384" s="1">
        <v>114</v>
      </c>
      <c r="D5384" s="39">
        <f t="shared" si="486"/>
        <v>1748</v>
      </c>
      <c r="E5384" s="1">
        <v>1</v>
      </c>
      <c r="F5384" s="522">
        <f t="shared" si="485"/>
        <v>32</v>
      </c>
      <c r="G5384" s="395"/>
      <c r="H5384" s="395"/>
      <c r="J5384" s="42"/>
    </row>
    <row r="5385" spans="1:10" x14ac:dyDescent="0.25">
      <c r="A5385" s="402" t="s">
        <v>31</v>
      </c>
      <c r="B5385" s="2">
        <v>44117</v>
      </c>
      <c r="C5385" s="1">
        <v>257</v>
      </c>
      <c r="D5385" s="39">
        <f t="shared" si="486"/>
        <v>9823</v>
      </c>
      <c r="E5385" s="1">
        <v>5</v>
      </c>
      <c r="F5385" s="522">
        <f t="shared" si="485"/>
        <v>193</v>
      </c>
    </row>
    <row r="5386" spans="1:10" s="393" customFormat="1" x14ac:dyDescent="0.25">
      <c r="A5386" s="402" t="s">
        <v>41</v>
      </c>
      <c r="B5386" s="2">
        <v>44117</v>
      </c>
      <c r="C5386" s="1">
        <v>3</v>
      </c>
      <c r="D5386" s="39">
        <f t="shared" si="486"/>
        <v>139</v>
      </c>
      <c r="E5386" s="1"/>
      <c r="F5386" s="522">
        <f t="shared" si="485"/>
        <v>1</v>
      </c>
      <c r="G5386" s="395"/>
      <c r="H5386" s="395"/>
      <c r="J5386" s="42"/>
    </row>
    <row r="5387" spans="1:10" s="393" customFormat="1" x14ac:dyDescent="0.25">
      <c r="A5387" s="402" t="s">
        <v>32</v>
      </c>
      <c r="B5387" s="2">
        <v>44117</v>
      </c>
      <c r="C5387" s="1">
        <v>36</v>
      </c>
      <c r="D5387" s="39">
        <f t="shared" si="486"/>
        <v>16842</v>
      </c>
      <c r="E5387" s="1">
        <v>2</v>
      </c>
      <c r="F5387" s="522">
        <f t="shared" si="485"/>
        <v>630</v>
      </c>
      <c r="G5387" s="395"/>
      <c r="H5387" s="395"/>
      <c r="J5387" s="42"/>
    </row>
    <row r="5388" spans="1:10" s="393" customFormat="1" x14ac:dyDescent="0.25">
      <c r="A5388" s="402" t="s">
        <v>33</v>
      </c>
      <c r="B5388" s="2">
        <v>44117</v>
      </c>
      <c r="C5388" s="1">
        <v>44</v>
      </c>
      <c r="D5388" s="39">
        <f t="shared" si="486"/>
        <v>1171</v>
      </c>
      <c r="E5388" s="1">
        <v>1</v>
      </c>
      <c r="F5388" s="522">
        <f t="shared" ref="F5388:F5399" si="487">E5388+F5364</f>
        <v>13</v>
      </c>
      <c r="G5388" s="395"/>
      <c r="H5388" s="395"/>
      <c r="J5388" s="42"/>
    </row>
    <row r="5389" spans="1:10" s="393" customFormat="1" x14ac:dyDescent="0.25">
      <c r="A5389" s="402" t="s">
        <v>21</v>
      </c>
      <c r="B5389" s="2">
        <v>44117</v>
      </c>
      <c r="C5389" s="1">
        <v>43</v>
      </c>
      <c r="D5389" s="39">
        <f t="shared" si="486"/>
        <v>6031</v>
      </c>
      <c r="E5389" s="1">
        <v>6</v>
      </c>
      <c r="F5389" s="522">
        <f t="shared" si="487"/>
        <v>182</v>
      </c>
      <c r="G5389" s="395"/>
      <c r="H5389" s="395"/>
      <c r="J5389" s="42"/>
    </row>
    <row r="5390" spans="1:10" s="393" customFormat="1" x14ac:dyDescent="0.25">
      <c r="A5390" s="402" t="s">
        <v>17</v>
      </c>
      <c r="B5390" s="2">
        <v>44117</v>
      </c>
      <c r="C5390" s="1">
        <v>653</v>
      </c>
      <c r="D5390" s="39">
        <f t="shared" si="486"/>
        <v>33052</v>
      </c>
      <c r="E5390" s="1">
        <v>7</v>
      </c>
      <c r="F5390" s="522">
        <f t="shared" si="487"/>
        <v>444</v>
      </c>
      <c r="G5390" s="395"/>
      <c r="H5390" s="395"/>
      <c r="J5390" s="42"/>
    </row>
    <row r="5391" spans="1:10" s="393" customFormat="1" x14ac:dyDescent="0.25">
      <c r="A5391" s="402" t="s">
        <v>23</v>
      </c>
      <c r="B5391" s="2">
        <v>44117</v>
      </c>
      <c r="C5391" s="1">
        <v>24</v>
      </c>
      <c r="D5391" s="39">
        <f t="shared" si="486"/>
        <v>186</v>
      </c>
      <c r="E5391" s="1"/>
      <c r="F5391" s="522">
        <f t="shared" si="487"/>
        <v>4</v>
      </c>
      <c r="G5391" s="395"/>
      <c r="H5391" s="395"/>
      <c r="J5391" s="42"/>
    </row>
    <row r="5392" spans="1:10" s="393" customFormat="1" x14ac:dyDescent="0.25">
      <c r="A5392" s="402" t="s">
        <v>19</v>
      </c>
      <c r="B5392" s="2">
        <v>44117</v>
      </c>
      <c r="C5392" s="1">
        <v>299</v>
      </c>
      <c r="D5392" s="39">
        <f>C5392+D5368</f>
        <v>12688</v>
      </c>
      <c r="E5392" s="1">
        <v>12</v>
      </c>
      <c r="F5392" s="522">
        <f t="shared" si="487"/>
        <v>197</v>
      </c>
      <c r="G5392" s="395"/>
      <c r="H5392" s="395"/>
      <c r="J5392" s="42"/>
    </row>
    <row r="5393" spans="1:10" s="393" customFormat="1" x14ac:dyDescent="0.25">
      <c r="A5393" s="402" t="s">
        <v>18</v>
      </c>
      <c r="B5393" s="2">
        <v>44117</v>
      </c>
      <c r="C5393" s="1">
        <v>405</v>
      </c>
      <c r="D5393" s="39">
        <f>C5393+D5369</f>
        <v>17132</v>
      </c>
      <c r="E5393" s="1">
        <v>6</v>
      </c>
      <c r="F5393" s="522">
        <f t="shared" si="487"/>
        <v>374</v>
      </c>
      <c r="G5393" s="395"/>
      <c r="H5393" s="395"/>
      <c r="J5393" s="42"/>
    </row>
    <row r="5394" spans="1:10" s="393" customFormat="1" x14ac:dyDescent="0.25">
      <c r="A5394" s="402" t="s">
        <v>34</v>
      </c>
      <c r="B5394" s="2">
        <v>44117</v>
      </c>
      <c r="C5394" s="1">
        <v>136</v>
      </c>
      <c r="D5394" s="39">
        <f>C5394+D5370</f>
        <v>15604</v>
      </c>
      <c r="E5394" s="1">
        <v>8</v>
      </c>
      <c r="F5394" s="522">
        <f>E5394+F5370</f>
        <v>543</v>
      </c>
      <c r="G5394" s="395"/>
      <c r="H5394" s="395"/>
      <c r="J5394" s="42"/>
    </row>
    <row r="5395" spans="1:10" s="393" customFormat="1" x14ac:dyDescent="0.25">
      <c r="A5395" s="402" t="s">
        <v>35</v>
      </c>
      <c r="B5395" s="2">
        <v>44117</v>
      </c>
      <c r="C5395" s="1">
        <v>27</v>
      </c>
      <c r="D5395" s="39">
        <f t="shared" ref="D5395:D5401" si="488">C5395+D5371</f>
        <v>1268</v>
      </c>
      <c r="E5395" s="1">
        <v>9</v>
      </c>
      <c r="F5395" s="522">
        <f>E5395+F5371</f>
        <v>51</v>
      </c>
      <c r="G5395" s="395"/>
      <c r="H5395" s="395"/>
      <c r="J5395" s="42"/>
    </row>
    <row r="5396" spans="1:10" s="393" customFormat="1" x14ac:dyDescent="0.25">
      <c r="A5396" s="402" t="s">
        <v>36</v>
      </c>
      <c r="B5396" s="2">
        <v>44117</v>
      </c>
      <c r="C5396" s="1">
        <v>126</v>
      </c>
      <c r="D5396" s="39">
        <f t="shared" si="488"/>
        <v>2416</v>
      </c>
      <c r="E5396" s="1"/>
      <c r="F5396" s="522">
        <f t="shared" si="487"/>
        <v>33</v>
      </c>
      <c r="G5396" s="395"/>
      <c r="H5396" s="395"/>
      <c r="J5396" s="42"/>
    </row>
    <row r="5397" spans="1:10" s="393" customFormat="1" x14ac:dyDescent="0.25">
      <c r="A5397" s="402" t="s">
        <v>37</v>
      </c>
      <c r="B5397" s="2">
        <v>44117</v>
      </c>
      <c r="C5397" s="1">
        <v>66</v>
      </c>
      <c r="D5397" s="39">
        <f t="shared" si="488"/>
        <v>6514</v>
      </c>
      <c r="E5397" s="1">
        <v>3</v>
      </c>
      <c r="F5397" s="522">
        <f>E5397+F5373</f>
        <v>91</v>
      </c>
      <c r="G5397" s="395"/>
      <c r="H5397" s="395"/>
      <c r="J5397" s="42"/>
    </row>
    <row r="5398" spans="1:10" s="393" customFormat="1" x14ac:dyDescent="0.25">
      <c r="A5398" s="402" t="s">
        <v>22</v>
      </c>
      <c r="B5398" s="2">
        <v>44117</v>
      </c>
      <c r="C5398" s="1">
        <v>2288</v>
      </c>
      <c r="D5398" s="39">
        <f t="shared" si="488"/>
        <v>66899</v>
      </c>
      <c r="E5398" s="1">
        <v>25</v>
      </c>
      <c r="F5398" s="522">
        <f>E5398+F5374</f>
        <v>707</v>
      </c>
      <c r="G5398" s="395"/>
      <c r="H5398" s="395"/>
      <c r="J5398" s="42"/>
    </row>
    <row r="5399" spans="1:10" s="393" customFormat="1" x14ac:dyDescent="0.25">
      <c r="A5399" s="402" t="s">
        <v>38</v>
      </c>
      <c r="B5399" s="2">
        <v>44117</v>
      </c>
      <c r="C5399" s="1">
        <v>146</v>
      </c>
      <c r="D5399" s="39">
        <f t="shared" si="488"/>
        <v>5545</v>
      </c>
      <c r="E5399" s="1">
        <v>2</v>
      </c>
      <c r="F5399" s="522">
        <f t="shared" si="487"/>
        <v>88</v>
      </c>
      <c r="G5399" s="395"/>
      <c r="H5399" s="395"/>
      <c r="J5399" s="42"/>
    </row>
    <row r="5400" spans="1:10" s="393" customFormat="1" x14ac:dyDescent="0.25">
      <c r="A5400" s="402" t="s">
        <v>39</v>
      </c>
      <c r="B5400" s="2">
        <v>44117</v>
      </c>
      <c r="C5400" s="1">
        <v>202</v>
      </c>
      <c r="D5400" s="39">
        <f t="shared" si="488"/>
        <v>6894</v>
      </c>
      <c r="E5400" s="1">
        <v>2</v>
      </c>
      <c r="F5400" s="522">
        <f t="shared" ref="F5400:F5411" si="489">E5400+F5376</f>
        <v>87</v>
      </c>
      <c r="G5400" s="395"/>
      <c r="H5400" s="395"/>
      <c r="J5400" s="42"/>
    </row>
    <row r="5401" spans="1:10" s="393" customFormat="1" ht="15.75" thickBot="1" x14ac:dyDescent="0.3">
      <c r="A5401" s="404" t="s">
        <v>40</v>
      </c>
      <c r="B5401" s="268">
        <v>44117</v>
      </c>
      <c r="C5401" s="44">
        <v>1254</v>
      </c>
      <c r="D5401" s="177">
        <f t="shared" si="488"/>
        <v>28793</v>
      </c>
      <c r="E5401" s="44">
        <v>28</v>
      </c>
      <c r="F5401" s="631">
        <f t="shared" si="489"/>
        <v>410</v>
      </c>
      <c r="G5401" s="395"/>
      <c r="H5401" s="395"/>
      <c r="J5401" s="42"/>
    </row>
    <row r="5402" spans="1:10" s="393" customFormat="1" ht="15.75" thickBot="1" x14ac:dyDescent="0.3">
      <c r="A5402" s="397" t="s">
        <v>16</v>
      </c>
      <c r="B5402" s="268">
        <v>44118</v>
      </c>
      <c r="C5402" s="227">
        <v>5175</v>
      </c>
      <c r="D5402" s="175">
        <f>C5402+D5378</f>
        <v>480467</v>
      </c>
      <c r="E5402" s="227">
        <f>1+87+76</f>
        <v>164</v>
      </c>
      <c r="F5402" s="630">
        <f t="shared" si="489"/>
        <v>15180</v>
      </c>
      <c r="G5402" s="395"/>
      <c r="H5402" s="395"/>
      <c r="J5402" s="42"/>
    </row>
    <row r="5403" spans="1:10" s="393" customFormat="1" ht="15.75" thickBot="1" x14ac:dyDescent="0.3">
      <c r="A5403" s="402" t="s">
        <v>43</v>
      </c>
      <c r="B5403" s="268">
        <v>44118</v>
      </c>
      <c r="C5403" s="1">
        <v>825</v>
      </c>
      <c r="D5403" s="39">
        <f t="shared" ref="D5403:D5415" si="490">C5403+D5379</f>
        <v>137061</v>
      </c>
      <c r="E5403" s="1">
        <f>1+24+26</f>
        <v>51</v>
      </c>
      <c r="F5403" s="522">
        <f t="shared" si="489"/>
        <v>4147</v>
      </c>
      <c r="G5403" s="395"/>
      <c r="H5403" s="395"/>
      <c r="J5403" s="42"/>
    </row>
    <row r="5404" spans="1:10" s="393" customFormat="1" ht="15.75" thickBot="1" x14ac:dyDescent="0.3">
      <c r="A5404" s="402" t="s">
        <v>28</v>
      </c>
      <c r="B5404" s="268">
        <v>44118</v>
      </c>
      <c r="C5404" s="1">
        <v>8</v>
      </c>
      <c r="D5404" s="39">
        <f t="shared" si="490"/>
        <v>401</v>
      </c>
      <c r="E5404" s="1"/>
      <c r="F5404" s="522">
        <f t="shared" si="489"/>
        <v>0</v>
      </c>
      <c r="G5404" s="395"/>
      <c r="H5404" s="395"/>
      <c r="J5404" s="42"/>
    </row>
    <row r="5405" spans="1:10" s="393" customFormat="1" ht="15.75" thickBot="1" x14ac:dyDescent="0.3">
      <c r="A5405" s="402" t="s">
        <v>15</v>
      </c>
      <c r="B5405" s="268">
        <v>44118</v>
      </c>
      <c r="C5405" s="1">
        <v>192</v>
      </c>
      <c r="D5405" s="39">
        <f t="shared" si="490"/>
        <v>10870</v>
      </c>
      <c r="E5405" s="1">
        <f>1+1</f>
        <v>2</v>
      </c>
      <c r="F5405" s="522">
        <f t="shared" si="489"/>
        <v>346</v>
      </c>
      <c r="G5405" s="395"/>
      <c r="H5405" s="395"/>
      <c r="J5405" s="42"/>
    </row>
    <row r="5406" spans="1:10" s="393" customFormat="1" ht="15.75" thickBot="1" x14ac:dyDescent="0.3">
      <c r="A5406" s="402" t="s">
        <v>29</v>
      </c>
      <c r="B5406" s="268">
        <v>44118</v>
      </c>
      <c r="C5406" s="1">
        <v>236</v>
      </c>
      <c r="D5406" s="39">
        <f t="shared" si="490"/>
        <v>8024</v>
      </c>
      <c r="E5406" s="1"/>
      <c r="F5406" s="522">
        <f t="shared" si="489"/>
        <v>101</v>
      </c>
      <c r="G5406" s="395"/>
      <c r="H5406" s="395"/>
      <c r="J5406" s="42"/>
    </row>
    <row r="5407" spans="1:10" s="393" customFormat="1" ht="15.75" thickBot="1" x14ac:dyDescent="0.3">
      <c r="A5407" s="402" t="s">
        <v>20</v>
      </c>
      <c r="B5407" s="268">
        <v>44118</v>
      </c>
      <c r="C5407" s="1">
        <v>1606</v>
      </c>
      <c r="D5407" s="39">
        <f t="shared" si="490"/>
        <v>55701</v>
      </c>
      <c r="E5407" s="1">
        <f>15+13</f>
        <v>28</v>
      </c>
      <c r="F5407" s="522">
        <f t="shared" si="489"/>
        <v>718</v>
      </c>
      <c r="G5407" s="395"/>
      <c r="H5407" s="395"/>
      <c r="J5407" s="42"/>
    </row>
    <row r="5408" spans="1:10" s="393" customFormat="1" ht="15.75" thickBot="1" x14ac:dyDescent="0.3">
      <c r="A5408" s="402" t="s">
        <v>30</v>
      </c>
      <c r="B5408" s="268">
        <v>44118</v>
      </c>
      <c r="C5408" s="1">
        <v>54</v>
      </c>
      <c r="D5408" s="39">
        <f t="shared" si="490"/>
        <v>1802</v>
      </c>
      <c r="E5408" s="1"/>
      <c r="F5408" s="522">
        <f t="shared" si="489"/>
        <v>32</v>
      </c>
      <c r="G5408" s="395"/>
      <c r="H5408" s="395"/>
      <c r="J5408" s="42"/>
    </row>
    <row r="5409" spans="1:10" ht="15.75" thickBot="1" x14ac:dyDescent="0.3">
      <c r="A5409" s="402" t="s">
        <v>31</v>
      </c>
      <c r="B5409" s="268">
        <v>44118</v>
      </c>
      <c r="C5409" s="1">
        <v>299</v>
      </c>
      <c r="D5409" s="39">
        <f t="shared" si="490"/>
        <v>10122</v>
      </c>
      <c r="E5409" s="1">
        <f>2+1</f>
        <v>3</v>
      </c>
      <c r="F5409" s="522">
        <f t="shared" si="489"/>
        <v>196</v>
      </c>
    </row>
    <row r="5410" spans="1:10" s="393" customFormat="1" ht="15.75" thickBot="1" x14ac:dyDescent="0.3">
      <c r="A5410" s="402" t="s">
        <v>41</v>
      </c>
      <c r="B5410" s="268">
        <v>44118</v>
      </c>
      <c r="C5410" s="1">
        <v>1</v>
      </c>
      <c r="D5410" s="39">
        <f t="shared" si="490"/>
        <v>140</v>
      </c>
      <c r="E5410" s="1"/>
      <c r="F5410" s="522">
        <f t="shared" si="489"/>
        <v>1</v>
      </c>
      <c r="G5410" s="395"/>
      <c r="H5410" s="395"/>
      <c r="J5410" s="42"/>
    </row>
    <row r="5411" spans="1:10" s="393" customFormat="1" ht="15.75" thickBot="1" x14ac:dyDescent="0.3">
      <c r="A5411" s="402" t="s">
        <v>32</v>
      </c>
      <c r="B5411" s="268">
        <v>44118</v>
      </c>
      <c r="C5411" s="1">
        <v>103</v>
      </c>
      <c r="D5411" s="39">
        <f t="shared" si="490"/>
        <v>16945</v>
      </c>
      <c r="E5411" s="1"/>
      <c r="F5411" s="522">
        <f t="shared" si="489"/>
        <v>630</v>
      </c>
      <c r="G5411" s="395"/>
      <c r="H5411" s="395"/>
      <c r="J5411" s="42"/>
    </row>
    <row r="5412" spans="1:10" s="393" customFormat="1" ht="15.75" thickBot="1" x14ac:dyDescent="0.3">
      <c r="A5412" s="402" t="s">
        <v>33</v>
      </c>
      <c r="B5412" s="268">
        <v>44118</v>
      </c>
      <c r="C5412" s="1">
        <v>101</v>
      </c>
      <c r="D5412" s="39">
        <f t="shared" si="490"/>
        <v>1272</v>
      </c>
      <c r="E5412" s="1">
        <f>2+1</f>
        <v>3</v>
      </c>
      <c r="F5412" s="522">
        <f t="shared" ref="F5412:F5423" si="491">E5412+F5388</f>
        <v>16</v>
      </c>
      <c r="G5412" s="395"/>
      <c r="H5412" s="395"/>
      <c r="J5412" s="42"/>
    </row>
    <row r="5413" spans="1:10" s="393" customFormat="1" ht="15.75" thickBot="1" x14ac:dyDescent="0.3">
      <c r="A5413" s="402" t="s">
        <v>21</v>
      </c>
      <c r="B5413" s="268">
        <v>44118</v>
      </c>
      <c r="C5413" s="1">
        <v>87</v>
      </c>
      <c r="D5413" s="39">
        <f t="shared" si="490"/>
        <v>6118</v>
      </c>
      <c r="E5413" s="1">
        <f>4</f>
        <v>4</v>
      </c>
      <c r="F5413" s="522">
        <f t="shared" si="491"/>
        <v>186</v>
      </c>
      <c r="G5413" s="395"/>
      <c r="H5413" s="395"/>
      <c r="J5413" s="42"/>
    </row>
    <row r="5414" spans="1:10" s="393" customFormat="1" ht="15.75" thickBot="1" x14ac:dyDescent="0.3">
      <c r="A5414" s="402" t="s">
        <v>17</v>
      </c>
      <c r="B5414" s="268">
        <v>44118</v>
      </c>
      <c r="C5414" s="1">
        <v>925</v>
      </c>
      <c r="D5414" s="39">
        <f t="shared" si="490"/>
        <v>33977</v>
      </c>
      <c r="E5414" s="1">
        <f>6+3</f>
        <v>9</v>
      </c>
      <c r="F5414" s="522">
        <f t="shared" si="491"/>
        <v>453</v>
      </c>
      <c r="G5414" s="395"/>
      <c r="H5414" s="395"/>
      <c r="J5414" s="42"/>
    </row>
    <row r="5415" spans="1:10" s="393" customFormat="1" ht="15.75" thickBot="1" x14ac:dyDescent="0.3">
      <c r="A5415" s="402" t="s">
        <v>23</v>
      </c>
      <c r="B5415" s="268">
        <v>44118</v>
      </c>
      <c r="C5415" s="1">
        <v>3</v>
      </c>
      <c r="D5415" s="39">
        <f t="shared" si="490"/>
        <v>189</v>
      </c>
      <c r="E5415" s="1"/>
      <c r="F5415" s="522">
        <f t="shared" si="491"/>
        <v>4</v>
      </c>
      <c r="G5415" s="395"/>
      <c r="H5415" s="395"/>
      <c r="J5415" s="42"/>
    </row>
    <row r="5416" spans="1:10" s="393" customFormat="1" ht="15.75" thickBot="1" x14ac:dyDescent="0.3">
      <c r="A5416" s="402" t="s">
        <v>19</v>
      </c>
      <c r="B5416" s="268">
        <v>44118</v>
      </c>
      <c r="C5416" s="1">
        <v>296</v>
      </c>
      <c r="D5416" s="39">
        <f>C5416+D5392</f>
        <v>12984</v>
      </c>
      <c r="E5416" s="1">
        <f>5+3</f>
        <v>8</v>
      </c>
      <c r="F5416" s="522">
        <f t="shared" si="491"/>
        <v>205</v>
      </c>
      <c r="G5416" s="395"/>
      <c r="H5416" s="395"/>
      <c r="J5416" s="42"/>
    </row>
    <row r="5417" spans="1:10" s="393" customFormat="1" ht="15.75" thickBot="1" x14ac:dyDescent="0.3">
      <c r="A5417" s="402" t="s">
        <v>18</v>
      </c>
      <c r="B5417" s="268">
        <v>44118</v>
      </c>
      <c r="C5417" s="1">
        <v>361</v>
      </c>
      <c r="D5417" s="39">
        <f>C5417+D5393</f>
        <v>17493</v>
      </c>
      <c r="E5417" s="1">
        <f>10+4</f>
        <v>14</v>
      </c>
      <c r="F5417" s="522">
        <f t="shared" si="491"/>
        <v>388</v>
      </c>
      <c r="G5417" s="395"/>
      <c r="H5417" s="395"/>
      <c r="J5417" s="42"/>
    </row>
    <row r="5418" spans="1:10" s="393" customFormat="1" ht="15.75" thickBot="1" x14ac:dyDescent="0.3">
      <c r="A5418" s="402" t="s">
        <v>34</v>
      </c>
      <c r="B5418" s="268">
        <v>44118</v>
      </c>
      <c r="C5418" s="1">
        <v>150</v>
      </c>
      <c r="D5418" s="39">
        <f>C5418+D5394</f>
        <v>15754</v>
      </c>
      <c r="E5418" s="1">
        <f>6+3</f>
        <v>9</v>
      </c>
      <c r="F5418" s="522">
        <f>E5418+F5394</f>
        <v>552</v>
      </c>
      <c r="G5418" s="395"/>
      <c r="H5418" s="395"/>
      <c r="J5418" s="42"/>
    </row>
    <row r="5419" spans="1:10" s="393" customFormat="1" ht="15.75" thickBot="1" x14ac:dyDescent="0.3">
      <c r="A5419" s="402" t="s">
        <v>35</v>
      </c>
      <c r="B5419" s="268">
        <v>44118</v>
      </c>
      <c r="C5419" s="1">
        <v>5</v>
      </c>
      <c r="D5419" s="39">
        <f t="shared" ref="D5419:D5425" si="492">C5419+D5395</f>
        <v>1273</v>
      </c>
      <c r="E5419" s="1"/>
      <c r="F5419" s="522">
        <f>E5419+F5395</f>
        <v>51</v>
      </c>
      <c r="G5419" s="395"/>
      <c r="H5419" s="395"/>
      <c r="J5419" s="42"/>
    </row>
    <row r="5420" spans="1:10" s="393" customFormat="1" ht="15.75" thickBot="1" x14ac:dyDescent="0.3">
      <c r="A5420" s="402" t="s">
        <v>36</v>
      </c>
      <c r="B5420" s="268">
        <v>44118</v>
      </c>
      <c r="C5420" s="1">
        <v>151</v>
      </c>
      <c r="D5420" s="39">
        <f t="shared" si="492"/>
        <v>2567</v>
      </c>
      <c r="E5420" s="1">
        <f>1</f>
        <v>1</v>
      </c>
      <c r="F5420" s="522">
        <f t="shared" si="491"/>
        <v>34</v>
      </c>
      <c r="G5420" s="395"/>
      <c r="H5420" s="395"/>
      <c r="J5420" s="42"/>
    </row>
    <row r="5421" spans="1:10" s="393" customFormat="1" ht="15.75" thickBot="1" x14ac:dyDescent="0.3">
      <c r="A5421" s="402" t="s">
        <v>37</v>
      </c>
      <c r="B5421" s="268">
        <v>44118</v>
      </c>
      <c r="C5421" s="1">
        <v>195</v>
      </c>
      <c r="D5421" s="39">
        <f t="shared" si="492"/>
        <v>6709</v>
      </c>
      <c r="E5421" s="1">
        <f>1</f>
        <v>1</v>
      </c>
      <c r="F5421" s="522">
        <f>E5421+F5397</f>
        <v>92</v>
      </c>
      <c r="G5421" s="395"/>
      <c r="H5421" s="395"/>
      <c r="J5421" s="42"/>
    </row>
    <row r="5422" spans="1:10" s="393" customFormat="1" ht="15.75" thickBot="1" x14ac:dyDescent="0.3">
      <c r="A5422" s="402" t="s">
        <v>22</v>
      </c>
      <c r="B5422" s="268">
        <v>44118</v>
      </c>
      <c r="C5422" s="1">
        <v>2470</v>
      </c>
      <c r="D5422" s="39">
        <f t="shared" si="492"/>
        <v>69369</v>
      </c>
      <c r="E5422" s="1">
        <f>24+17</f>
        <v>41</v>
      </c>
      <c r="F5422" s="522">
        <f>E5422+F5398</f>
        <v>748</v>
      </c>
      <c r="G5422" s="395"/>
      <c r="H5422" s="395"/>
      <c r="J5422" s="42"/>
    </row>
    <row r="5423" spans="1:10" s="393" customFormat="1" ht="15.75" thickBot="1" x14ac:dyDescent="0.3">
      <c r="A5423" s="402" t="s">
        <v>38</v>
      </c>
      <c r="B5423" s="268">
        <v>44118</v>
      </c>
      <c r="C5423" s="1">
        <v>153</v>
      </c>
      <c r="D5423" s="39">
        <f t="shared" si="492"/>
        <v>5698</v>
      </c>
      <c r="E5423" s="1">
        <f>2+2</f>
        <v>4</v>
      </c>
      <c r="F5423" s="522">
        <f t="shared" si="491"/>
        <v>92</v>
      </c>
      <c r="G5423" s="395"/>
      <c r="H5423" s="395"/>
      <c r="J5423" s="42"/>
    </row>
    <row r="5424" spans="1:10" s="393" customFormat="1" ht="15.75" thickBot="1" x14ac:dyDescent="0.3">
      <c r="A5424" s="402" t="s">
        <v>39</v>
      </c>
      <c r="B5424" s="268">
        <v>44118</v>
      </c>
      <c r="C5424" s="1">
        <v>295</v>
      </c>
      <c r="D5424" s="39">
        <f t="shared" si="492"/>
        <v>7189</v>
      </c>
      <c r="E5424" s="1">
        <f>1+3</f>
        <v>4</v>
      </c>
      <c r="F5424" s="522">
        <f t="shared" ref="F5424:F5435" si="493">E5424+F5400</f>
        <v>91</v>
      </c>
      <c r="G5424" s="395"/>
      <c r="H5424" s="395"/>
      <c r="J5424" s="42"/>
    </row>
    <row r="5425" spans="1:10" s="393" customFormat="1" ht="15.75" thickBot="1" x14ac:dyDescent="0.3">
      <c r="A5425" s="403" t="s">
        <v>40</v>
      </c>
      <c r="B5425" s="34">
        <v>44118</v>
      </c>
      <c r="C5425" s="234">
        <v>1241</v>
      </c>
      <c r="D5425" s="67">
        <f t="shared" si="492"/>
        <v>30034</v>
      </c>
      <c r="E5425" s="234">
        <f>4</f>
        <v>4</v>
      </c>
      <c r="F5425" s="632">
        <f t="shared" si="493"/>
        <v>414</v>
      </c>
      <c r="G5425" s="395"/>
      <c r="H5425" s="395"/>
      <c r="J5425" s="42"/>
    </row>
    <row r="5426" spans="1:10" s="393" customFormat="1" x14ac:dyDescent="0.25">
      <c r="A5426" s="397" t="s">
        <v>16</v>
      </c>
      <c r="B5426" s="267">
        <v>44119</v>
      </c>
      <c r="C5426" s="43">
        <v>5756</v>
      </c>
      <c r="D5426" s="175">
        <f>C5426+D5402</f>
        <v>486223</v>
      </c>
      <c r="E5426" s="43">
        <v>193</v>
      </c>
      <c r="F5426" s="630">
        <f t="shared" si="493"/>
        <v>15373</v>
      </c>
      <c r="G5426" s="395"/>
      <c r="H5426" s="395"/>
      <c r="J5426" s="42"/>
    </row>
    <row r="5427" spans="1:10" s="393" customFormat="1" x14ac:dyDescent="0.25">
      <c r="A5427" s="402" t="s">
        <v>43</v>
      </c>
      <c r="B5427" s="2">
        <v>44119</v>
      </c>
      <c r="C5427" s="1">
        <v>830</v>
      </c>
      <c r="D5427" s="39">
        <f t="shared" ref="D5427:D5439" si="494">C5427+D5403</f>
        <v>137891</v>
      </c>
      <c r="E5427" s="1">
        <v>58</v>
      </c>
      <c r="F5427" s="522">
        <f t="shared" si="493"/>
        <v>4205</v>
      </c>
      <c r="G5427" s="395"/>
      <c r="H5427" s="395"/>
      <c r="J5427" s="42"/>
    </row>
    <row r="5428" spans="1:10" s="393" customFormat="1" x14ac:dyDescent="0.25">
      <c r="A5428" s="402" t="s">
        <v>28</v>
      </c>
      <c r="B5428" s="2">
        <v>44119</v>
      </c>
      <c r="C5428" s="1">
        <v>6</v>
      </c>
      <c r="D5428" s="39">
        <f t="shared" si="494"/>
        <v>407</v>
      </c>
      <c r="E5428" s="1"/>
      <c r="F5428" s="522">
        <f t="shared" si="493"/>
        <v>0</v>
      </c>
      <c r="G5428" s="395"/>
      <c r="H5428" s="395"/>
      <c r="J5428" s="42"/>
    </row>
    <row r="5429" spans="1:10" s="393" customFormat="1" x14ac:dyDescent="0.25">
      <c r="A5429" s="402" t="s">
        <v>15</v>
      </c>
      <c r="B5429" s="2">
        <v>44119</v>
      </c>
      <c r="C5429" s="1">
        <v>197</v>
      </c>
      <c r="D5429" s="39">
        <f t="shared" si="494"/>
        <v>11067</v>
      </c>
      <c r="E5429" s="1">
        <v>5</v>
      </c>
      <c r="F5429" s="522">
        <f t="shared" si="493"/>
        <v>351</v>
      </c>
      <c r="G5429" s="395"/>
      <c r="H5429" s="395"/>
      <c r="J5429" s="42"/>
    </row>
    <row r="5430" spans="1:10" s="393" customFormat="1" x14ac:dyDescent="0.25">
      <c r="A5430" s="402" t="s">
        <v>29</v>
      </c>
      <c r="B5430" s="2">
        <v>44119</v>
      </c>
      <c r="C5430" s="1">
        <v>245</v>
      </c>
      <c r="D5430" s="39">
        <f t="shared" si="494"/>
        <v>8269</v>
      </c>
      <c r="E5430" s="1">
        <v>9</v>
      </c>
      <c r="F5430" s="522">
        <f t="shared" si="493"/>
        <v>110</v>
      </c>
      <c r="G5430" s="395"/>
      <c r="H5430" s="395"/>
      <c r="J5430" s="42"/>
    </row>
    <row r="5431" spans="1:10" s="393" customFormat="1" x14ac:dyDescent="0.25">
      <c r="A5431" s="402" t="s">
        <v>20</v>
      </c>
      <c r="B5431" s="2">
        <v>44119</v>
      </c>
      <c r="C5431" s="1">
        <v>2082</v>
      </c>
      <c r="D5431" s="39">
        <f t="shared" si="494"/>
        <v>57783</v>
      </c>
      <c r="E5431" s="1">
        <v>44</v>
      </c>
      <c r="F5431" s="522">
        <f t="shared" si="493"/>
        <v>762</v>
      </c>
      <c r="G5431" s="395"/>
      <c r="H5431" s="395"/>
      <c r="J5431" s="42"/>
    </row>
    <row r="5432" spans="1:10" s="393" customFormat="1" x14ac:dyDescent="0.25">
      <c r="A5432" s="402" t="s">
        <v>30</v>
      </c>
      <c r="B5432" s="2">
        <v>44119</v>
      </c>
      <c r="C5432" s="1">
        <v>72</v>
      </c>
      <c r="D5432" s="39">
        <f t="shared" si="494"/>
        <v>1874</v>
      </c>
      <c r="E5432" s="1"/>
      <c r="F5432" s="522">
        <f t="shared" si="493"/>
        <v>32</v>
      </c>
      <c r="G5432" s="395"/>
      <c r="H5432" s="395"/>
      <c r="J5432" s="42"/>
    </row>
    <row r="5433" spans="1:10" x14ac:dyDescent="0.25">
      <c r="A5433" s="402" t="s">
        <v>31</v>
      </c>
      <c r="B5433" s="2">
        <v>44119</v>
      </c>
      <c r="C5433" s="1">
        <v>334</v>
      </c>
      <c r="D5433" s="39">
        <f t="shared" si="494"/>
        <v>10456</v>
      </c>
      <c r="E5433" s="1">
        <v>7</v>
      </c>
      <c r="F5433" s="522">
        <f t="shared" si="493"/>
        <v>203</v>
      </c>
    </row>
    <row r="5434" spans="1:10" s="393" customFormat="1" x14ac:dyDescent="0.25">
      <c r="A5434" s="402" t="s">
        <v>41</v>
      </c>
      <c r="B5434" s="2">
        <v>44119</v>
      </c>
      <c r="C5434" s="1">
        <v>-2</v>
      </c>
      <c r="D5434" s="39">
        <f t="shared" si="494"/>
        <v>138</v>
      </c>
      <c r="E5434" s="1"/>
      <c r="F5434" s="522">
        <f t="shared" si="493"/>
        <v>1</v>
      </c>
      <c r="G5434" s="395"/>
      <c r="H5434" s="395"/>
      <c r="J5434" s="42"/>
    </row>
    <row r="5435" spans="1:10" s="393" customFormat="1" x14ac:dyDescent="0.25">
      <c r="A5435" s="402" t="s">
        <v>32</v>
      </c>
      <c r="B5435" s="2">
        <v>44119</v>
      </c>
      <c r="C5435" s="1">
        <v>120</v>
      </c>
      <c r="D5435" s="39">
        <f t="shared" si="494"/>
        <v>17065</v>
      </c>
      <c r="E5435" s="1">
        <v>13</v>
      </c>
      <c r="F5435" s="522">
        <f t="shared" si="493"/>
        <v>643</v>
      </c>
      <c r="G5435" s="395"/>
      <c r="H5435" s="395"/>
      <c r="J5435" s="42"/>
    </row>
    <row r="5436" spans="1:10" s="393" customFormat="1" x14ac:dyDescent="0.25">
      <c r="A5436" s="402" t="s">
        <v>33</v>
      </c>
      <c r="B5436" s="2">
        <v>44119</v>
      </c>
      <c r="C5436" s="1">
        <v>82</v>
      </c>
      <c r="D5436" s="39">
        <f t="shared" si="494"/>
        <v>1354</v>
      </c>
      <c r="E5436" s="1"/>
      <c r="F5436" s="522">
        <f t="shared" ref="F5436:F5447" si="495">E5436+F5412</f>
        <v>16</v>
      </c>
      <c r="G5436" s="395"/>
      <c r="H5436" s="395"/>
      <c r="J5436" s="42"/>
    </row>
    <row r="5437" spans="1:10" s="393" customFormat="1" x14ac:dyDescent="0.25">
      <c r="A5437" s="402" t="s">
        <v>21</v>
      </c>
      <c r="B5437" s="2">
        <v>44119</v>
      </c>
      <c r="C5437" s="1">
        <v>107</v>
      </c>
      <c r="D5437" s="39">
        <f t="shared" si="494"/>
        <v>6225</v>
      </c>
      <c r="E5437" s="1">
        <v>5</v>
      </c>
      <c r="F5437" s="522">
        <f t="shared" si="495"/>
        <v>191</v>
      </c>
      <c r="G5437" s="395"/>
      <c r="H5437" s="395"/>
      <c r="J5437" s="42"/>
    </row>
    <row r="5438" spans="1:10" s="393" customFormat="1" x14ac:dyDescent="0.25">
      <c r="A5438" s="402" t="s">
        <v>17</v>
      </c>
      <c r="B5438" s="2">
        <v>44119</v>
      </c>
      <c r="C5438" s="1">
        <v>1056</v>
      </c>
      <c r="D5438" s="39">
        <f t="shared" si="494"/>
        <v>35033</v>
      </c>
      <c r="E5438" s="1">
        <v>15</v>
      </c>
      <c r="F5438" s="522">
        <f t="shared" si="495"/>
        <v>468</v>
      </c>
      <c r="G5438" s="395"/>
      <c r="H5438" s="395"/>
      <c r="J5438" s="42"/>
    </row>
    <row r="5439" spans="1:10" s="393" customFormat="1" x14ac:dyDescent="0.25">
      <c r="A5439" s="402" t="s">
        <v>23</v>
      </c>
      <c r="B5439" s="2">
        <v>44119</v>
      </c>
      <c r="C5439" s="1">
        <v>12</v>
      </c>
      <c r="D5439" s="39">
        <f t="shared" si="494"/>
        <v>201</v>
      </c>
      <c r="E5439" s="1"/>
      <c r="F5439" s="522">
        <f t="shared" si="495"/>
        <v>4</v>
      </c>
      <c r="G5439" s="395"/>
      <c r="H5439" s="395"/>
      <c r="J5439" s="42"/>
    </row>
    <row r="5440" spans="1:10" s="393" customFormat="1" x14ac:dyDescent="0.25">
      <c r="A5440" s="402" t="s">
        <v>19</v>
      </c>
      <c r="B5440" s="2">
        <v>44119</v>
      </c>
      <c r="C5440" s="1">
        <v>424</v>
      </c>
      <c r="D5440" s="39">
        <f>C5440+D5416</f>
        <v>13408</v>
      </c>
      <c r="E5440" s="1"/>
      <c r="F5440" s="522">
        <f t="shared" si="495"/>
        <v>205</v>
      </c>
      <c r="G5440" s="395"/>
      <c r="H5440" s="395"/>
      <c r="J5440" s="42"/>
    </row>
    <row r="5441" spans="1:10" s="393" customFormat="1" x14ac:dyDescent="0.25">
      <c r="A5441" s="402" t="s">
        <v>18</v>
      </c>
      <c r="B5441" s="2">
        <v>44119</v>
      </c>
      <c r="C5441" s="1">
        <v>532</v>
      </c>
      <c r="D5441" s="39">
        <f>C5441+D5417</f>
        <v>18025</v>
      </c>
      <c r="E5441" s="1">
        <v>11</v>
      </c>
      <c r="F5441" s="522">
        <f t="shared" si="495"/>
        <v>399</v>
      </c>
      <c r="G5441" s="395"/>
      <c r="H5441" s="395"/>
      <c r="J5441" s="42"/>
    </row>
    <row r="5442" spans="1:10" s="393" customFormat="1" x14ac:dyDescent="0.25">
      <c r="A5442" s="402" t="s">
        <v>34</v>
      </c>
      <c r="B5442" s="2">
        <v>44119</v>
      </c>
      <c r="C5442" s="1">
        <v>257</v>
      </c>
      <c r="D5442" s="39">
        <f>C5442+D5418</f>
        <v>16011</v>
      </c>
      <c r="E5442" s="1">
        <v>12</v>
      </c>
      <c r="F5442" s="522">
        <f>E5442+F5418</f>
        <v>564</v>
      </c>
      <c r="G5442" s="395"/>
      <c r="H5442" s="395"/>
      <c r="J5442" s="42"/>
    </row>
    <row r="5443" spans="1:10" s="393" customFormat="1" x14ac:dyDescent="0.25">
      <c r="A5443" s="402" t="s">
        <v>35</v>
      </c>
      <c r="B5443" s="2">
        <v>44119</v>
      </c>
      <c r="C5443" s="1">
        <v>3</v>
      </c>
      <c r="D5443" s="39">
        <f t="shared" ref="D5443:D5449" si="496">C5443+D5419</f>
        <v>1276</v>
      </c>
      <c r="E5443" s="1"/>
      <c r="F5443" s="522">
        <f>E5443+F5419</f>
        <v>51</v>
      </c>
      <c r="G5443" s="395"/>
      <c r="H5443" s="395"/>
      <c r="J5443" s="42"/>
    </row>
    <row r="5444" spans="1:10" s="393" customFormat="1" x14ac:dyDescent="0.25">
      <c r="A5444" s="402" t="s">
        <v>36</v>
      </c>
      <c r="B5444" s="2">
        <v>44119</v>
      </c>
      <c r="C5444" s="1">
        <v>119</v>
      </c>
      <c r="D5444" s="39">
        <f t="shared" si="496"/>
        <v>2686</v>
      </c>
      <c r="E5444" s="1"/>
      <c r="F5444" s="522">
        <f t="shared" si="495"/>
        <v>34</v>
      </c>
      <c r="G5444" s="395"/>
      <c r="H5444" s="395"/>
      <c r="J5444" s="42"/>
    </row>
    <row r="5445" spans="1:10" s="393" customFormat="1" x14ac:dyDescent="0.25">
      <c r="A5445" s="402" t="s">
        <v>37</v>
      </c>
      <c r="B5445" s="2">
        <v>44119</v>
      </c>
      <c r="C5445" s="1">
        <v>123</v>
      </c>
      <c r="D5445" s="39">
        <f t="shared" si="496"/>
        <v>6832</v>
      </c>
      <c r="E5445" s="1">
        <v>3</v>
      </c>
      <c r="F5445" s="522">
        <f>E5445+F5421</f>
        <v>95</v>
      </c>
      <c r="G5445" s="395"/>
      <c r="H5445" s="395"/>
      <c r="J5445" s="42"/>
    </row>
    <row r="5446" spans="1:10" s="393" customFormat="1" x14ac:dyDescent="0.25">
      <c r="A5446" s="402" t="s">
        <v>22</v>
      </c>
      <c r="B5446" s="2">
        <v>44119</v>
      </c>
      <c r="C5446" s="1">
        <v>2659</v>
      </c>
      <c r="D5446" s="39">
        <f t="shared" si="496"/>
        <v>72028</v>
      </c>
      <c r="E5446" s="1">
        <v>44</v>
      </c>
      <c r="F5446" s="522">
        <f>E5446+F5422</f>
        <v>792</v>
      </c>
      <c r="G5446" s="395"/>
      <c r="H5446" s="395"/>
      <c r="J5446" s="42"/>
    </row>
    <row r="5447" spans="1:10" s="393" customFormat="1" x14ac:dyDescent="0.25">
      <c r="A5447" s="402" t="s">
        <v>38</v>
      </c>
      <c r="B5447" s="2">
        <v>44119</v>
      </c>
      <c r="C5447" s="1">
        <v>275</v>
      </c>
      <c r="D5447" s="39">
        <f t="shared" si="496"/>
        <v>5973</v>
      </c>
      <c r="E5447" s="1">
        <v>-1</v>
      </c>
      <c r="F5447" s="522">
        <f t="shared" si="495"/>
        <v>91</v>
      </c>
      <c r="G5447" s="395"/>
      <c r="H5447" s="395"/>
      <c r="J5447" s="42"/>
    </row>
    <row r="5448" spans="1:10" s="393" customFormat="1" x14ac:dyDescent="0.25">
      <c r="A5448" s="402" t="s">
        <v>39</v>
      </c>
      <c r="B5448" s="2">
        <v>44119</v>
      </c>
      <c r="C5448" s="1">
        <v>313</v>
      </c>
      <c r="D5448" s="39">
        <f t="shared" si="496"/>
        <v>7502</v>
      </c>
      <c r="E5448" s="1"/>
      <c r="F5448" s="522">
        <f>E5448+F5424</f>
        <v>91</v>
      </c>
      <c r="G5448" s="395"/>
      <c r="H5448" s="395"/>
      <c r="J5448" s="42"/>
    </row>
    <row r="5449" spans="1:10" s="393" customFormat="1" ht="15.75" thickBot="1" x14ac:dyDescent="0.3">
      <c r="A5449" s="404" t="s">
        <v>40</v>
      </c>
      <c r="B5449" s="268">
        <v>44119</v>
      </c>
      <c r="C5449" s="44">
        <v>1494</v>
      </c>
      <c r="D5449" s="177">
        <f t="shared" si="496"/>
        <v>31528</v>
      </c>
      <c r="E5449" s="44">
        <v>2</v>
      </c>
      <c r="F5449" s="631">
        <f>E5449+F5425</f>
        <v>416</v>
      </c>
      <c r="G5449" s="395"/>
      <c r="H5449" s="395"/>
      <c r="J5449" s="42"/>
    </row>
    <row r="5450" spans="1:10" s="393" customFormat="1" x14ac:dyDescent="0.25">
      <c r="A5450" s="397" t="s">
        <v>16</v>
      </c>
      <c r="B5450" s="269">
        <v>44120</v>
      </c>
      <c r="C5450" s="227">
        <v>5199</v>
      </c>
      <c r="D5450" s="175">
        <f>C5450+D5426</f>
        <v>491422</v>
      </c>
      <c r="E5450" s="227">
        <v>136</v>
      </c>
      <c r="F5450" s="630">
        <f t="shared" ref="F5450:F5471" si="497">E5450+F5426</f>
        <v>15509</v>
      </c>
      <c r="G5450" s="395"/>
      <c r="H5450" s="395"/>
      <c r="J5450" s="42"/>
    </row>
    <row r="5451" spans="1:10" s="393" customFormat="1" x14ac:dyDescent="0.25">
      <c r="A5451" s="402" t="s">
        <v>43</v>
      </c>
      <c r="B5451" s="269">
        <v>44120</v>
      </c>
      <c r="C5451" s="1">
        <v>952</v>
      </c>
      <c r="D5451" s="39">
        <f t="shared" ref="D5451:D5463" si="498">C5451+D5427</f>
        <v>138843</v>
      </c>
      <c r="E5451" s="1">
        <v>46</v>
      </c>
      <c r="F5451" s="522">
        <f t="shared" si="497"/>
        <v>4251</v>
      </c>
      <c r="G5451" s="395"/>
      <c r="H5451" s="395"/>
      <c r="J5451" s="42"/>
    </row>
    <row r="5452" spans="1:10" s="393" customFormat="1" x14ac:dyDescent="0.25">
      <c r="A5452" s="402" t="s">
        <v>28</v>
      </c>
      <c r="B5452" s="269">
        <v>44120</v>
      </c>
      <c r="C5452" s="1">
        <v>22</v>
      </c>
      <c r="D5452" s="39">
        <f t="shared" si="498"/>
        <v>429</v>
      </c>
      <c r="E5452" s="1"/>
      <c r="F5452" s="522">
        <f t="shared" si="497"/>
        <v>0</v>
      </c>
      <c r="G5452" s="395"/>
      <c r="H5452" s="395"/>
      <c r="J5452" s="42"/>
    </row>
    <row r="5453" spans="1:10" s="393" customFormat="1" x14ac:dyDescent="0.25">
      <c r="A5453" s="402" t="s">
        <v>15</v>
      </c>
      <c r="B5453" s="269">
        <v>44120</v>
      </c>
      <c r="C5453" s="1">
        <v>197</v>
      </c>
      <c r="D5453" s="39">
        <f t="shared" si="498"/>
        <v>11264</v>
      </c>
      <c r="E5453" s="1">
        <v>3</v>
      </c>
      <c r="F5453" s="522">
        <f t="shared" si="497"/>
        <v>354</v>
      </c>
      <c r="G5453" s="395"/>
      <c r="H5453" s="395"/>
      <c r="J5453" s="42"/>
    </row>
    <row r="5454" spans="1:10" s="393" customFormat="1" x14ac:dyDescent="0.25">
      <c r="A5454" s="402" t="s">
        <v>29</v>
      </c>
      <c r="B5454" s="269">
        <v>44120</v>
      </c>
      <c r="C5454" s="1">
        <v>288</v>
      </c>
      <c r="D5454" s="39">
        <f t="shared" si="498"/>
        <v>8557</v>
      </c>
      <c r="E5454" s="1">
        <v>2</v>
      </c>
      <c r="F5454" s="522">
        <f t="shared" si="497"/>
        <v>112</v>
      </c>
      <c r="G5454" s="395"/>
      <c r="H5454" s="395"/>
      <c r="J5454" s="42"/>
    </row>
    <row r="5455" spans="1:10" s="393" customFormat="1" x14ac:dyDescent="0.25">
      <c r="A5455" s="402" t="s">
        <v>20</v>
      </c>
      <c r="B5455" s="269">
        <v>44120</v>
      </c>
      <c r="C5455" s="1">
        <v>2045</v>
      </c>
      <c r="D5455" s="39">
        <f t="shared" si="498"/>
        <v>59828</v>
      </c>
      <c r="E5455" s="1">
        <v>28</v>
      </c>
      <c r="F5455" s="522">
        <f t="shared" si="497"/>
        <v>790</v>
      </c>
      <c r="G5455" s="395"/>
      <c r="H5455" s="395"/>
      <c r="J5455" s="42"/>
    </row>
    <row r="5456" spans="1:10" s="393" customFormat="1" x14ac:dyDescent="0.25">
      <c r="A5456" s="402" t="s">
        <v>30</v>
      </c>
      <c r="B5456" s="269">
        <v>44120</v>
      </c>
      <c r="C5456" s="1">
        <v>61</v>
      </c>
      <c r="D5456" s="39">
        <f t="shared" si="498"/>
        <v>1935</v>
      </c>
      <c r="E5456" s="1"/>
      <c r="F5456" s="522">
        <f t="shared" si="497"/>
        <v>32</v>
      </c>
      <c r="G5456" s="395"/>
      <c r="H5456" s="395"/>
      <c r="J5456" s="42"/>
    </row>
    <row r="5457" spans="1:10" x14ac:dyDescent="0.25">
      <c r="A5457" s="402" t="s">
        <v>31</v>
      </c>
      <c r="B5457" s="269">
        <v>44120</v>
      </c>
      <c r="C5457" s="1">
        <v>349</v>
      </c>
      <c r="D5457" s="39">
        <f t="shared" si="498"/>
        <v>10805</v>
      </c>
      <c r="E5457" s="1">
        <v>2</v>
      </c>
      <c r="F5457" s="522">
        <f t="shared" si="497"/>
        <v>205</v>
      </c>
    </row>
    <row r="5458" spans="1:10" s="393" customFormat="1" x14ac:dyDescent="0.25">
      <c r="A5458" s="402" t="s">
        <v>41</v>
      </c>
      <c r="B5458" s="269">
        <v>44120</v>
      </c>
      <c r="C5458" s="1">
        <v>1</v>
      </c>
      <c r="D5458" s="39">
        <f t="shared" si="498"/>
        <v>139</v>
      </c>
      <c r="E5458" s="1"/>
      <c r="F5458" s="522">
        <f t="shared" si="497"/>
        <v>1</v>
      </c>
      <c r="G5458" s="395"/>
      <c r="H5458" s="395"/>
      <c r="J5458" s="42"/>
    </row>
    <row r="5459" spans="1:10" s="393" customFormat="1" x14ac:dyDescent="0.25">
      <c r="A5459" s="402" t="s">
        <v>32</v>
      </c>
      <c r="B5459" s="269">
        <v>44120</v>
      </c>
      <c r="C5459" s="1">
        <v>55</v>
      </c>
      <c r="D5459" s="39">
        <f t="shared" si="498"/>
        <v>17120</v>
      </c>
      <c r="E5459" s="1">
        <v>12</v>
      </c>
      <c r="F5459" s="522">
        <f t="shared" si="497"/>
        <v>655</v>
      </c>
      <c r="G5459" s="395"/>
      <c r="H5459" s="395"/>
      <c r="J5459" s="42"/>
    </row>
    <row r="5460" spans="1:10" s="393" customFormat="1" x14ac:dyDescent="0.25">
      <c r="A5460" s="402" t="s">
        <v>33</v>
      </c>
      <c r="B5460" s="269">
        <v>44120</v>
      </c>
      <c r="C5460" s="1">
        <v>82</v>
      </c>
      <c r="D5460" s="39">
        <f t="shared" si="498"/>
        <v>1436</v>
      </c>
      <c r="E5460" s="1">
        <v>1</v>
      </c>
      <c r="F5460" s="522">
        <f t="shared" si="497"/>
        <v>17</v>
      </c>
      <c r="G5460" s="395"/>
      <c r="H5460" s="395"/>
      <c r="J5460" s="42"/>
    </row>
    <row r="5461" spans="1:10" s="393" customFormat="1" x14ac:dyDescent="0.25">
      <c r="A5461" s="402" t="s">
        <v>21</v>
      </c>
      <c r="B5461" s="269">
        <v>44120</v>
      </c>
      <c r="C5461" s="1">
        <v>98</v>
      </c>
      <c r="D5461" s="39">
        <f t="shared" si="498"/>
        <v>6323</v>
      </c>
      <c r="E5461" s="1">
        <v>11</v>
      </c>
      <c r="F5461" s="522">
        <f t="shared" si="497"/>
        <v>202</v>
      </c>
      <c r="G5461" s="395"/>
      <c r="H5461" s="395"/>
      <c r="J5461" s="42"/>
    </row>
    <row r="5462" spans="1:10" s="393" customFormat="1" x14ac:dyDescent="0.25">
      <c r="A5462" s="402" t="s">
        <v>17</v>
      </c>
      <c r="B5462" s="269">
        <v>44120</v>
      </c>
      <c r="C5462" s="1">
        <v>897</v>
      </c>
      <c r="D5462" s="39">
        <f t="shared" si="498"/>
        <v>35930</v>
      </c>
      <c r="E5462" s="1">
        <v>30</v>
      </c>
      <c r="F5462" s="522">
        <f t="shared" si="497"/>
        <v>498</v>
      </c>
      <c r="G5462" s="395"/>
      <c r="H5462" s="395"/>
      <c r="J5462" s="42"/>
    </row>
    <row r="5463" spans="1:10" s="393" customFormat="1" x14ac:dyDescent="0.25">
      <c r="A5463" s="402" t="s">
        <v>23</v>
      </c>
      <c r="B5463" s="269">
        <v>44120</v>
      </c>
      <c r="C5463" s="1">
        <v>-3</v>
      </c>
      <c r="D5463" s="39">
        <f t="shared" si="498"/>
        <v>198</v>
      </c>
      <c r="E5463" s="1"/>
      <c r="F5463" s="522">
        <f t="shared" si="497"/>
        <v>4</v>
      </c>
      <c r="G5463" s="395"/>
      <c r="H5463" s="395"/>
      <c r="J5463" s="42"/>
    </row>
    <row r="5464" spans="1:10" s="393" customFormat="1" x14ac:dyDescent="0.25">
      <c r="A5464" s="402" t="s">
        <v>19</v>
      </c>
      <c r="B5464" s="269">
        <v>44120</v>
      </c>
      <c r="C5464" s="1">
        <v>382</v>
      </c>
      <c r="D5464" s="39">
        <f>C5464+D5440</f>
        <v>13790</v>
      </c>
      <c r="E5464" s="1">
        <v>13</v>
      </c>
      <c r="F5464" s="522">
        <f t="shared" si="497"/>
        <v>218</v>
      </c>
      <c r="G5464" s="395"/>
      <c r="H5464" s="395"/>
      <c r="J5464" s="42"/>
    </row>
    <row r="5465" spans="1:10" s="393" customFormat="1" x14ac:dyDescent="0.25">
      <c r="A5465" s="402" t="s">
        <v>18</v>
      </c>
      <c r="B5465" s="269">
        <v>44120</v>
      </c>
      <c r="C5465" s="1">
        <v>536</v>
      </c>
      <c r="D5465" s="39">
        <f>C5465+D5441</f>
        <v>18561</v>
      </c>
      <c r="E5465" s="1">
        <v>2</v>
      </c>
      <c r="F5465" s="522">
        <f t="shared" si="497"/>
        <v>401</v>
      </c>
      <c r="G5465" s="395"/>
      <c r="H5465" s="395"/>
      <c r="J5465" s="42"/>
    </row>
    <row r="5466" spans="1:10" s="393" customFormat="1" x14ac:dyDescent="0.25">
      <c r="A5466" s="402" t="s">
        <v>34</v>
      </c>
      <c r="B5466" s="269">
        <v>44120</v>
      </c>
      <c r="C5466" s="1">
        <v>215</v>
      </c>
      <c r="D5466" s="39">
        <f>C5466+D5442</f>
        <v>16226</v>
      </c>
      <c r="E5466" s="1">
        <v>13</v>
      </c>
      <c r="F5466" s="522">
        <f>E5466+F5442</f>
        <v>577</v>
      </c>
      <c r="G5466" s="395"/>
      <c r="H5466" s="395"/>
      <c r="J5466" s="42"/>
    </row>
    <row r="5467" spans="1:10" s="393" customFormat="1" x14ac:dyDescent="0.25">
      <c r="A5467" s="402" t="s">
        <v>35</v>
      </c>
      <c r="B5467" s="269">
        <v>44120</v>
      </c>
      <c r="C5467" s="1">
        <v>9</v>
      </c>
      <c r="D5467" s="39">
        <f t="shared" ref="D5467:D5473" si="499">C5467+D5443</f>
        <v>1285</v>
      </c>
      <c r="E5467" s="1"/>
      <c r="F5467" s="522">
        <f>E5467+F5443</f>
        <v>51</v>
      </c>
      <c r="G5467" s="395"/>
      <c r="H5467" s="395"/>
      <c r="J5467" s="42"/>
    </row>
    <row r="5468" spans="1:10" s="393" customFormat="1" x14ac:dyDescent="0.25">
      <c r="A5468" s="402" t="s">
        <v>36</v>
      </c>
      <c r="B5468" s="269">
        <v>44120</v>
      </c>
      <c r="C5468" s="1">
        <v>257</v>
      </c>
      <c r="D5468" s="39">
        <f t="shared" si="499"/>
        <v>2943</v>
      </c>
      <c r="E5468" s="1">
        <v>1</v>
      </c>
      <c r="F5468" s="522">
        <f t="shared" si="497"/>
        <v>35</v>
      </c>
      <c r="G5468" s="395"/>
      <c r="H5468" s="395"/>
      <c r="J5468" s="42"/>
    </row>
    <row r="5469" spans="1:10" s="393" customFormat="1" x14ac:dyDescent="0.25">
      <c r="A5469" s="402" t="s">
        <v>37</v>
      </c>
      <c r="B5469" s="269">
        <v>44120</v>
      </c>
      <c r="C5469" s="1">
        <v>210</v>
      </c>
      <c r="D5469" s="39">
        <f t="shared" si="499"/>
        <v>7042</v>
      </c>
      <c r="E5469" s="1">
        <v>1</v>
      </c>
      <c r="F5469" s="522">
        <f>E5469+F5445</f>
        <v>96</v>
      </c>
      <c r="G5469" s="395"/>
      <c r="H5469" s="395"/>
      <c r="J5469" s="42"/>
    </row>
    <row r="5470" spans="1:10" s="393" customFormat="1" x14ac:dyDescent="0.25">
      <c r="A5470" s="402" t="s">
        <v>22</v>
      </c>
      <c r="B5470" s="269">
        <v>44120</v>
      </c>
      <c r="C5470" s="1">
        <v>2582</v>
      </c>
      <c r="D5470" s="39">
        <f t="shared" si="499"/>
        <v>74610</v>
      </c>
      <c r="E5470" s="1">
        <v>29</v>
      </c>
      <c r="F5470" s="522">
        <f>E5470+F5446</f>
        <v>821</v>
      </c>
      <c r="G5470" s="395"/>
      <c r="H5470" s="395"/>
      <c r="J5470" s="42"/>
    </row>
    <row r="5471" spans="1:10" s="393" customFormat="1" x14ac:dyDescent="0.25">
      <c r="A5471" s="402" t="s">
        <v>38</v>
      </c>
      <c r="B5471" s="269">
        <v>44120</v>
      </c>
      <c r="C5471" s="1">
        <v>342</v>
      </c>
      <c r="D5471" s="39">
        <f t="shared" si="499"/>
        <v>6315</v>
      </c>
      <c r="E5471" s="1">
        <v>6</v>
      </c>
      <c r="F5471" s="522">
        <f t="shared" si="497"/>
        <v>97</v>
      </c>
      <c r="G5471" s="395"/>
      <c r="H5471" s="395"/>
      <c r="J5471" s="42"/>
    </row>
    <row r="5472" spans="1:10" s="393" customFormat="1" x14ac:dyDescent="0.25">
      <c r="A5472" s="402" t="s">
        <v>39</v>
      </c>
      <c r="B5472" s="269">
        <v>44120</v>
      </c>
      <c r="C5472" s="1">
        <v>256</v>
      </c>
      <c r="D5472" s="39">
        <f t="shared" si="499"/>
        <v>7758</v>
      </c>
      <c r="E5472" s="1">
        <v>5</v>
      </c>
      <c r="F5472" s="522">
        <f>E5472+F5448</f>
        <v>96</v>
      </c>
      <c r="G5472" s="395"/>
      <c r="H5472" s="395"/>
      <c r="J5472" s="42"/>
    </row>
    <row r="5473" spans="1:10" s="393" customFormat="1" ht="15.75" thickBot="1" x14ac:dyDescent="0.3">
      <c r="A5473" s="404" t="s">
        <v>40</v>
      </c>
      <c r="B5473" s="269">
        <v>44120</v>
      </c>
      <c r="C5473" s="1">
        <v>1514</v>
      </c>
      <c r="D5473" s="177">
        <f t="shared" si="499"/>
        <v>33042</v>
      </c>
      <c r="E5473" s="1">
        <v>38</v>
      </c>
      <c r="F5473" s="631">
        <f>E5473+F5449</f>
        <v>454</v>
      </c>
      <c r="G5473" s="395"/>
      <c r="H5473" s="395"/>
      <c r="J5473" s="42"/>
    </row>
    <row r="5474" spans="1:10" s="393" customFormat="1" x14ac:dyDescent="0.25">
      <c r="A5474" s="394" t="s">
        <v>16</v>
      </c>
      <c r="B5474" s="269">
        <v>44121</v>
      </c>
      <c r="C5474" s="1">
        <v>4419</v>
      </c>
      <c r="D5474" s="264">
        <f t="shared" ref="D5474:D5494" si="500">C5474+D5450</f>
        <v>495841</v>
      </c>
      <c r="E5474" s="1">
        <v>191</v>
      </c>
      <c r="F5474" s="630">
        <f t="shared" ref="F5474:F5495" si="501">E5474+F5450</f>
        <v>15700</v>
      </c>
      <c r="G5474" s="395"/>
      <c r="H5474" s="395"/>
      <c r="J5474" s="42"/>
    </row>
    <row r="5475" spans="1:10" s="393" customFormat="1" x14ac:dyDescent="0.25">
      <c r="A5475" s="394" t="s">
        <v>43</v>
      </c>
      <c r="B5475" s="269">
        <v>44121</v>
      </c>
      <c r="C5475" s="1">
        <v>610</v>
      </c>
      <c r="D5475" s="39">
        <f t="shared" si="500"/>
        <v>139453</v>
      </c>
      <c r="E5475" s="1">
        <f>18+32</f>
        <v>50</v>
      </c>
      <c r="F5475" s="522">
        <f t="shared" si="501"/>
        <v>4301</v>
      </c>
      <c r="G5475" s="395"/>
      <c r="H5475" s="395"/>
      <c r="J5475" s="42"/>
    </row>
    <row r="5476" spans="1:10" s="393" customFormat="1" x14ac:dyDescent="0.25">
      <c r="A5476" s="394" t="s">
        <v>28</v>
      </c>
      <c r="B5476" s="269">
        <v>44121</v>
      </c>
      <c r="C5476" s="1">
        <v>24</v>
      </c>
      <c r="D5476" s="39">
        <f t="shared" si="500"/>
        <v>453</v>
      </c>
      <c r="E5476" s="1"/>
      <c r="F5476" s="522">
        <f t="shared" si="501"/>
        <v>0</v>
      </c>
      <c r="G5476" s="395"/>
      <c r="H5476" s="395"/>
      <c r="J5476" s="42"/>
    </row>
    <row r="5477" spans="1:10" s="393" customFormat="1" x14ac:dyDescent="0.25">
      <c r="A5477" s="394" t="s">
        <v>15</v>
      </c>
      <c r="B5477" s="269">
        <v>44121</v>
      </c>
      <c r="C5477" s="1">
        <v>167</v>
      </c>
      <c r="D5477" s="39">
        <f t="shared" si="500"/>
        <v>11431</v>
      </c>
      <c r="E5477" s="1">
        <f>2+1</f>
        <v>3</v>
      </c>
      <c r="F5477" s="522">
        <f t="shared" si="501"/>
        <v>357</v>
      </c>
      <c r="G5477" s="395"/>
      <c r="H5477" s="395"/>
      <c r="J5477" s="42"/>
    </row>
    <row r="5478" spans="1:10" s="393" customFormat="1" x14ac:dyDescent="0.25">
      <c r="A5478" s="394" t="s">
        <v>29</v>
      </c>
      <c r="B5478" s="269">
        <v>44121</v>
      </c>
      <c r="C5478" s="1">
        <v>335</v>
      </c>
      <c r="D5478" s="39">
        <f t="shared" si="500"/>
        <v>8892</v>
      </c>
      <c r="E5478" s="1"/>
      <c r="F5478" s="522">
        <f t="shared" si="501"/>
        <v>112</v>
      </c>
      <c r="G5478" s="395"/>
      <c r="H5478" s="395"/>
      <c r="J5478" s="42"/>
    </row>
    <row r="5479" spans="1:10" s="393" customFormat="1" x14ac:dyDescent="0.25">
      <c r="A5479" s="394" t="s">
        <v>20</v>
      </c>
      <c r="B5479" s="269">
        <v>44121</v>
      </c>
      <c r="C5479" s="1">
        <v>1233</v>
      </c>
      <c r="D5479" s="39">
        <f t="shared" si="500"/>
        <v>61061</v>
      </c>
      <c r="E5479" s="1">
        <v>33</v>
      </c>
      <c r="F5479" s="522">
        <f t="shared" si="501"/>
        <v>823</v>
      </c>
      <c r="G5479" s="395"/>
      <c r="H5479" s="395"/>
      <c r="J5479" s="42"/>
    </row>
    <row r="5480" spans="1:10" s="393" customFormat="1" x14ac:dyDescent="0.25">
      <c r="A5480" s="394" t="s">
        <v>30</v>
      </c>
      <c r="B5480" s="269">
        <v>44121</v>
      </c>
      <c r="C5480" s="1">
        <v>2</v>
      </c>
      <c r="D5480" s="39">
        <f t="shared" si="500"/>
        <v>1937</v>
      </c>
      <c r="E5480" s="1"/>
      <c r="F5480" s="522">
        <f t="shared" si="501"/>
        <v>32</v>
      </c>
      <c r="G5480" s="395"/>
      <c r="H5480" s="395"/>
      <c r="J5480" s="42"/>
    </row>
    <row r="5481" spans="1:10" x14ac:dyDescent="0.25">
      <c r="A5481" s="394" t="s">
        <v>31</v>
      </c>
      <c r="B5481" s="269">
        <v>44121</v>
      </c>
      <c r="C5481" s="1">
        <v>350</v>
      </c>
      <c r="D5481" s="39">
        <f t="shared" si="500"/>
        <v>11155</v>
      </c>
      <c r="E5481" s="1">
        <f>1</f>
        <v>1</v>
      </c>
      <c r="F5481" s="522">
        <f t="shared" si="501"/>
        <v>206</v>
      </c>
    </row>
    <row r="5482" spans="1:10" s="393" customFormat="1" x14ac:dyDescent="0.25">
      <c r="A5482" s="394" t="s">
        <v>41</v>
      </c>
      <c r="B5482" s="269">
        <v>44121</v>
      </c>
      <c r="C5482" s="1">
        <v>1</v>
      </c>
      <c r="D5482" s="39">
        <f t="shared" si="500"/>
        <v>140</v>
      </c>
      <c r="E5482" s="1"/>
      <c r="F5482" s="522">
        <f t="shared" si="501"/>
        <v>1</v>
      </c>
      <c r="G5482" s="395"/>
      <c r="H5482" s="395"/>
      <c r="J5482" s="42"/>
    </row>
    <row r="5483" spans="1:10" s="393" customFormat="1" x14ac:dyDescent="0.25">
      <c r="A5483" s="394" t="s">
        <v>32</v>
      </c>
      <c r="B5483" s="269">
        <v>44121</v>
      </c>
      <c r="C5483" s="1">
        <v>69</v>
      </c>
      <c r="D5483" s="39">
        <f t="shared" si="500"/>
        <v>17189</v>
      </c>
      <c r="E5483" s="1">
        <f>12+8</f>
        <v>20</v>
      </c>
      <c r="F5483" s="522">
        <f t="shared" si="501"/>
        <v>675</v>
      </c>
      <c r="G5483" s="395"/>
      <c r="H5483" s="395"/>
      <c r="J5483" s="42"/>
    </row>
    <row r="5484" spans="1:10" s="393" customFormat="1" x14ac:dyDescent="0.25">
      <c r="A5484" s="394" t="s">
        <v>33</v>
      </c>
      <c r="B5484" s="269">
        <v>44121</v>
      </c>
      <c r="C5484" s="1">
        <v>95</v>
      </c>
      <c r="D5484" s="39">
        <f t="shared" si="500"/>
        <v>1531</v>
      </c>
      <c r="E5484" s="1"/>
      <c r="F5484" s="522">
        <f t="shared" si="501"/>
        <v>17</v>
      </c>
      <c r="G5484" s="395"/>
      <c r="H5484" s="395"/>
      <c r="J5484" s="42"/>
    </row>
    <row r="5485" spans="1:10" s="393" customFormat="1" x14ac:dyDescent="0.25">
      <c r="A5485" s="394" t="s">
        <v>21</v>
      </c>
      <c r="B5485" s="269">
        <v>44121</v>
      </c>
      <c r="C5485" s="1">
        <v>55</v>
      </c>
      <c r="D5485" s="39">
        <f t="shared" si="500"/>
        <v>6378</v>
      </c>
      <c r="E5485" s="1"/>
      <c r="F5485" s="522">
        <f t="shared" si="501"/>
        <v>202</v>
      </c>
      <c r="G5485" s="395"/>
      <c r="H5485" s="395"/>
      <c r="J5485" s="42"/>
    </row>
    <row r="5486" spans="1:10" s="393" customFormat="1" x14ac:dyDescent="0.25">
      <c r="A5486" s="394" t="s">
        <v>17</v>
      </c>
      <c r="B5486" s="269">
        <v>44121</v>
      </c>
      <c r="C5486" s="1">
        <v>659</v>
      </c>
      <c r="D5486" s="39">
        <f t="shared" si="500"/>
        <v>36589</v>
      </c>
      <c r="E5486" s="1">
        <f>23+17</f>
        <v>40</v>
      </c>
      <c r="F5486" s="522">
        <f t="shared" si="501"/>
        <v>538</v>
      </c>
      <c r="G5486" s="395"/>
      <c r="H5486" s="395"/>
      <c r="J5486" s="42"/>
    </row>
    <row r="5487" spans="1:10" s="393" customFormat="1" x14ac:dyDescent="0.25">
      <c r="A5487" s="394" t="s">
        <v>23</v>
      </c>
      <c r="B5487" s="269">
        <v>44121</v>
      </c>
      <c r="C5487" s="1">
        <v>1</v>
      </c>
      <c r="D5487" s="39">
        <f t="shared" si="500"/>
        <v>199</v>
      </c>
      <c r="E5487" s="1"/>
      <c r="F5487" s="522">
        <f t="shared" si="501"/>
        <v>4</v>
      </c>
      <c r="G5487" s="395"/>
      <c r="H5487" s="395"/>
      <c r="J5487" s="42"/>
    </row>
    <row r="5488" spans="1:10" s="393" customFormat="1" x14ac:dyDescent="0.25">
      <c r="A5488" s="394" t="s">
        <v>19</v>
      </c>
      <c r="B5488" s="269">
        <v>44121</v>
      </c>
      <c r="C5488" s="1">
        <v>1005</v>
      </c>
      <c r="D5488" s="39">
        <f t="shared" si="500"/>
        <v>14795</v>
      </c>
      <c r="E5488" s="1"/>
      <c r="F5488" s="522">
        <f t="shared" si="501"/>
        <v>218</v>
      </c>
      <c r="G5488" s="395"/>
      <c r="H5488" s="395"/>
      <c r="J5488" s="42"/>
    </row>
    <row r="5489" spans="1:10" s="393" customFormat="1" x14ac:dyDescent="0.25">
      <c r="A5489" s="394" t="s">
        <v>18</v>
      </c>
      <c r="B5489" s="269">
        <v>44121</v>
      </c>
      <c r="C5489" s="1">
        <v>357</v>
      </c>
      <c r="D5489" s="39">
        <f t="shared" si="500"/>
        <v>18918</v>
      </c>
      <c r="E5489" s="1">
        <f>2</f>
        <v>2</v>
      </c>
      <c r="F5489" s="522">
        <f t="shared" si="501"/>
        <v>403</v>
      </c>
      <c r="G5489" s="395"/>
      <c r="H5489" s="395"/>
      <c r="J5489" s="42"/>
    </row>
    <row r="5490" spans="1:10" s="393" customFormat="1" x14ac:dyDescent="0.25">
      <c r="A5490" s="394" t="s">
        <v>34</v>
      </c>
      <c r="B5490" s="269">
        <v>44121</v>
      </c>
      <c r="C5490" s="1">
        <v>238</v>
      </c>
      <c r="D5490" s="39">
        <f t="shared" si="500"/>
        <v>16464</v>
      </c>
      <c r="E5490" s="1">
        <f>5+1</f>
        <v>6</v>
      </c>
      <c r="F5490" s="522">
        <f>E5490+F5466</f>
        <v>583</v>
      </c>
      <c r="G5490" s="395"/>
      <c r="H5490" s="395"/>
      <c r="J5490" s="42"/>
    </row>
    <row r="5491" spans="1:10" s="393" customFormat="1" x14ac:dyDescent="0.25">
      <c r="A5491" s="394" t="s">
        <v>35</v>
      </c>
      <c r="B5491" s="269">
        <v>44121</v>
      </c>
      <c r="C5491" s="1">
        <v>6</v>
      </c>
      <c r="D5491" s="39">
        <f t="shared" si="500"/>
        <v>1291</v>
      </c>
      <c r="E5491" s="1"/>
      <c r="F5491" s="522">
        <f>E5491+F5467</f>
        <v>51</v>
      </c>
      <c r="G5491" s="395"/>
      <c r="H5491" s="395"/>
      <c r="J5491" s="42"/>
    </row>
    <row r="5492" spans="1:10" s="393" customFormat="1" x14ac:dyDescent="0.25">
      <c r="A5492" s="394" t="s">
        <v>36</v>
      </c>
      <c r="B5492" s="269">
        <v>44121</v>
      </c>
      <c r="C5492" s="1">
        <v>201</v>
      </c>
      <c r="D5492" s="39">
        <f t="shared" si="500"/>
        <v>3144</v>
      </c>
      <c r="E5492" s="1"/>
      <c r="F5492" s="522">
        <f t="shared" si="501"/>
        <v>35</v>
      </c>
      <c r="G5492" s="395"/>
      <c r="H5492" s="395"/>
      <c r="J5492" s="42"/>
    </row>
    <row r="5493" spans="1:10" s="393" customFormat="1" x14ac:dyDescent="0.25">
      <c r="A5493" s="394" t="s">
        <v>37</v>
      </c>
      <c r="B5493" s="269">
        <v>44121</v>
      </c>
      <c r="C5493" s="1">
        <v>141</v>
      </c>
      <c r="D5493" s="39">
        <f t="shared" si="500"/>
        <v>7183</v>
      </c>
      <c r="E5493" s="1">
        <f>1</f>
        <v>1</v>
      </c>
      <c r="F5493" s="522">
        <f>E5493+F5469</f>
        <v>97</v>
      </c>
      <c r="G5493" s="395"/>
      <c r="H5493" s="395"/>
      <c r="J5493" s="42"/>
    </row>
    <row r="5494" spans="1:10" s="393" customFormat="1" x14ac:dyDescent="0.25">
      <c r="A5494" s="394" t="s">
        <v>22</v>
      </c>
      <c r="B5494" s="269">
        <v>44121</v>
      </c>
      <c r="C5494" s="1">
        <v>2199</v>
      </c>
      <c r="D5494" s="39">
        <f t="shared" si="500"/>
        <v>76809</v>
      </c>
      <c r="E5494" s="1">
        <f>11+16</f>
        <v>27</v>
      </c>
      <c r="F5494" s="522">
        <f>E5494+F5470</f>
        <v>848</v>
      </c>
      <c r="G5494" s="395"/>
      <c r="H5494" s="395"/>
      <c r="J5494" s="42"/>
    </row>
    <row r="5495" spans="1:10" s="393" customFormat="1" x14ac:dyDescent="0.25">
      <c r="A5495" s="394" t="s">
        <v>38</v>
      </c>
      <c r="B5495" s="269">
        <v>44121</v>
      </c>
      <c r="C5495" s="1">
        <v>238</v>
      </c>
      <c r="D5495" s="39">
        <f>C5495+D5471</f>
        <v>6553</v>
      </c>
      <c r="E5495" s="1"/>
      <c r="F5495" s="522">
        <f t="shared" si="501"/>
        <v>97</v>
      </c>
      <c r="G5495" s="395"/>
      <c r="H5495" s="395"/>
      <c r="J5495" s="42"/>
    </row>
    <row r="5496" spans="1:10" s="393" customFormat="1" x14ac:dyDescent="0.25">
      <c r="A5496" s="394" t="s">
        <v>39</v>
      </c>
      <c r="B5496" s="269">
        <v>44121</v>
      </c>
      <c r="C5496" s="1">
        <v>182</v>
      </c>
      <c r="D5496" s="39">
        <f>C5496+D5472</f>
        <v>7940</v>
      </c>
      <c r="E5496" s="1">
        <f>3+1</f>
        <v>4</v>
      </c>
      <c r="F5496" s="522">
        <f>E5496+F5472</f>
        <v>100</v>
      </c>
      <c r="G5496" s="395"/>
      <c r="H5496" s="395"/>
      <c r="J5496" s="42"/>
    </row>
    <row r="5497" spans="1:10" s="393" customFormat="1" ht="15.75" thickBot="1" x14ac:dyDescent="0.3">
      <c r="A5497" s="392" t="s">
        <v>40</v>
      </c>
      <c r="B5497" s="270">
        <v>44121</v>
      </c>
      <c r="C5497" s="234">
        <v>923</v>
      </c>
      <c r="D5497" s="39">
        <f t="shared" ref="D5497:D5518" si="502">C5497+D5473</f>
        <v>33965</v>
      </c>
      <c r="E5497" s="234"/>
      <c r="F5497" s="632">
        <f>E5497+F5473</f>
        <v>454</v>
      </c>
      <c r="G5497" s="395"/>
      <c r="H5497" s="395"/>
      <c r="J5497" s="42"/>
    </row>
    <row r="5498" spans="1:10" s="393" customFormat="1" x14ac:dyDescent="0.25">
      <c r="A5498" s="405" t="s">
        <v>16</v>
      </c>
      <c r="B5498" s="272">
        <v>44122</v>
      </c>
      <c r="C5498" s="273">
        <v>2383</v>
      </c>
      <c r="D5498" s="264">
        <f t="shared" si="502"/>
        <v>498224</v>
      </c>
      <c r="E5498" s="273">
        <f>8+7</f>
        <v>15</v>
      </c>
      <c r="F5498" s="633">
        <f t="shared" ref="F5498:F5519" si="503">E5498+F5474</f>
        <v>15715</v>
      </c>
      <c r="G5498" s="395"/>
      <c r="H5498" s="395"/>
      <c r="J5498" s="42"/>
    </row>
    <row r="5499" spans="1:10" s="393" customFormat="1" x14ac:dyDescent="0.25">
      <c r="A5499" s="406" t="s">
        <v>43</v>
      </c>
      <c r="B5499" s="269">
        <v>44122</v>
      </c>
      <c r="C5499" s="1">
        <v>517</v>
      </c>
      <c r="D5499" s="39">
        <f t="shared" si="502"/>
        <v>139970</v>
      </c>
      <c r="E5499" s="1">
        <f>18+20</f>
        <v>38</v>
      </c>
      <c r="F5499" s="523">
        <f t="shared" si="503"/>
        <v>4339</v>
      </c>
      <c r="G5499" s="395"/>
      <c r="H5499" s="395"/>
      <c r="J5499" s="42"/>
    </row>
    <row r="5500" spans="1:10" s="393" customFormat="1" x14ac:dyDescent="0.25">
      <c r="A5500" s="406" t="s">
        <v>28</v>
      </c>
      <c r="B5500" s="269">
        <v>44122</v>
      </c>
      <c r="C5500" s="1">
        <v>27</v>
      </c>
      <c r="D5500" s="39">
        <f t="shared" si="502"/>
        <v>480</v>
      </c>
      <c r="E5500" s="1"/>
      <c r="F5500" s="523">
        <f t="shared" si="503"/>
        <v>0</v>
      </c>
      <c r="G5500" s="395"/>
      <c r="H5500" s="395"/>
      <c r="J5500" s="42"/>
    </row>
    <row r="5501" spans="1:10" s="393" customFormat="1" x14ac:dyDescent="0.25">
      <c r="A5501" s="406" t="s">
        <v>15</v>
      </c>
      <c r="B5501" s="269">
        <v>44122</v>
      </c>
      <c r="C5501" s="1">
        <v>232</v>
      </c>
      <c r="D5501" s="39">
        <f t="shared" si="502"/>
        <v>11663</v>
      </c>
      <c r="E5501" s="1">
        <f>1+2</f>
        <v>3</v>
      </c>
      <c r="F5501" s="523">
        <f t="shared" si="503"/>
        <v>360</v>
      </c>
      <c r="G5501" s="395"/>
      <c r="H5501" s="395"/>
      <c r="J5501" s="42"/>
    </row>
    <row r="5502" spans="1:10" s="393" customFormat="1" x14ac:dyDescent="0.25">
      <c r="A5502" s="406" t="s">
        <v>29</v>
      </c>
      <c r="B5502" s="269">
        <v>44122</v>
      </c>
      <c r="C5502" s="1">
        <v>150</v>
      </c>
      <c r="D5502" s="39">
        <f t="shared" si="502"/>
        <v>9042</v>
      </c>
      <c r="E5502" s="1">
        <f>5+4</f>
        <v>9</v>
      </c>
      <c r="F5502" s="523">
        <f t="shared" si="503"/>
        <v>121</v>
      </c>
      <c r="G5502" s="395"/>
      <c r="H5502" s="395"/>
      <c r="J5502" s="42"/>
    </row>
    <row r="5503" spans="1:10" s="393" customFormat="1" x14ac:dyDescent="0.25">
      <c r="A5503" s="406" t="s">
        <v>20</v>
      </c>
      <c r="B5503" s="269">
        <v>44122</v>
      </c>
      <c r="C5503" s="1">
        <v>1850</v>
      </c>
      <c r="D5503" s="39">
        <f t="shared" si="502"/>
        <v>62911</v>
      </c>
      <c r="E5503" s="1">
        <f>15+12</f>
        <v>27</v>
      </c>
      <c r="F5503" s="523">
        <f t="shared" si="503"/>
        <v>850</v>
      </c>
      <c r="G5503" s="395"/>
      <c r="H5503" s="395"/>
      <c r="J5503" s="42"/>
    </row>
    <row r="5504" spans="1:10" s="393" customFormat="1" x14ac:dyDescent="0.25">
      <c r="A5504" s="406" t="s">
        <v>30</v>
      </c>
      <c r="B5504" s="269">
        <v>44122</v>
      </c>
      <c r="C5504" s="1">
        <v>41</v>
      </c>
      <c r="D5504" s="39">
        <f t="shared" si="502"/>
        <v>1978</v>
      </c>
      <c r="E5504" s="1"/>
      <c r="F5504" s="523">
        <f t="shared" si="503"/>
        <v>32</v>
      </c>
      <c r="G5504" s="395"/>
      <c r="H5504" s="395"/>
      <c r="J5504" s="42"/>
    </row>
    <row r="5505" spans="1:10" x14ac:dyDescent="0.25">
      <c r="A5505" s="406" t="s">
        <v>31</v>
      </c>
      <c r="B5505" s="269">
        <v>44122</v>
      </c>
      <c r="C5505" s="1">
        <v>279</v>
      </c>
      <c r="D5505" s="39">
        <f t="shared" si="502"/>
        <v>11434</v>
      </c>
      <c r="E5505" s="1">
        <v>1</v>
      </c>
      <c r="F5505" s="523">
        <f t="shared" si="503"/>
        <v>207</v>
      </c>
    </row>
    <row r="5506" spans="1:10" s="393" customFormat="1" x14ac:dyDescent="0.25">
      <c r="A5506" s="406" t="s">
        <v>41</v>
      </c>
      <c r="B5506" s="269">
        <v>44122</v>
      </c>
      <c r="C5506" s="1">
        <v>-2</v>
      </c>
      <c r="D5506" s="39">
        <f t="shared" si="502"/>
        <v>138</v>
      </c>
      <c r="E5506" s="1"/>
      <c r="F5506" s="523">
        <f t="shared" si="503"/>
        <v>1</v>
      </c>
      <c r="G5506" s="395"/>
      <c r="H5506" s="395"/>
      <c r="J5506" s="42"/>
    </row>
    <row r="5507" spans="1:10" s="393" customFormat="1" x14ac:dyDescent="0.25">
      <c r="A5507" s="406" t="s">
        <v>32</v>
      </c>
      <c r="B5507" s="269">
        <v>44122</v>
      </c>
      <c r="C5507" s="1">
        <v>45</v>
      </c>
      <c r="D5507" s="39">
        <f t="shared" si="502"/>
        <v>17234</v>
      </c>
      <c r="E5507" s="1"/>
      <c r="F5507" s="523">
        <f t="shared" si="503"/>
        <v>675</v>
      </c>
      <c r="G5507" s="395"/>
      <c r="H5507" s="395"/>
      <c r="J5507" s="42"/>
    </row>
    <row r="5508" spans="1:10" s="393" customFormat="1" x14ac:dyDescent="0.25">
      <c r="A5508" s="406" t="s">
        <v>33</v>
      </c>
      <c r="B5508" s="269">
        <v>44122</v>
      </c>
      <c r="C5508" s="1">
        <v>87</v>
      </c>
      <c r="D5508" s="39">
        <f t="shared" si="502"/>
        <v>1618</v>
      </c>
      <c r="E5508" s="1"/>
      <c r="F5508" s="523">
        <f t="shared" si="503"/>
        <v>17</v>
      </c>
      <c r="G5508" s="395"/>
      <c r="H5508" s="395"/>
      <c r="J5508" s="42"/>
    </row>
    <row r="5509" spans="1:10" s="393" customFormat="1" x14ac:dyDescent="0.25">
      <c r="A5509" s="406" t="s">
        <v>21</v>
      </c>
      <c r="B5509" s="269">
        <v>44122</v>
      </c>
      <c r="C5509" s="1">
        <v>181</v>
      </c>
      <c r="D5509" s="39">
        <f t="shared" si="502"/>
        <v>6559</v>
      </c>
      <c r="E5509" s="1"/>
      <c r="F5509" s="523">
        <f t="shared" si="503"/>
        <v>202</v>
      </c>
      <c r="G5509" s="395"/>
      <c r="H5509" s="395"/>
      <c r="J5509" s="42"/>
    </row>
    <row r="5510" spans="1:10" s="393" customFormat="1" x14ac:dyDescent="0.25">
      <c r="A5510" s="406" t="s">
        <v>17</v>
      </c>
      <c r="B5510" s="269">
        <v>44122</v>
      </c>
      <c r="C5510" s="1">
        <v>513</v>
      </c>
      <c r="D5510" s="39">
        <f t="shared" si="502"/>
        <v>37102</v>
      </c>
      <c r="E5510" s="1">
        <f>11+6</f>
        <v>17</v>
      </c>
      <c r="F5510" s="523">
        <f t="shared" si="503"/>
        <v>555</v>
      </c>
      <c r="G5510" s="395"/>
      <c r="H5510" s="395"/>
      <c r="J5510" s="42"/>
    </row>
    <row r="5511" spans="1:10" s="393" customFormat="1" x14ac:dyDescent="0.25">
      <c r="A5511" s="406" t="s">
        <v>23</v>
      </c>
      <c r="B5511" s="269">
        <v>44122</v>
      </c>
      <c r="C5511" s="1">
        <v>4</v>
      </c>
      <c r="D5511" s="39">
        <f t="shared" si="502"/>
        <v>203</v>
      </c>
      <c r="E5511" s="1"/>
      <c r="F5511" s="523">
        <f t="shared" si="503"/>
        <v>4</v>
      </c>
      <c r="G5511" s="395"/>
      <c r="H5511" s="395"/>
      <c r="J5511" s="42"/>
    </row>
    <row r="5512" spans="1:10" s="393" customFormat="1" x14ac:dyDescent="0.25">
      <c r="A5512" s="406" t="s">
        <v>19</v>
      </c>
      <c r="B5512" s="269">
        <v>44122</v>
      </c>
      <c r="C5512" s="1">
        <v>288</v>
      </c>
      <c r="D5512" s="39">
        <f t="shared" si="502"/>
        <v>15083</v>
      </c>
      <c r="E5512" s="1">
        <f>16+8</f>
        <v>24</v>
      </c>
      <c r="F5512" s="523">
        <f t="shared" si="503"/>
        <v>242</v>
      </c>
      <c r="G5512" s="395"/>
      <c r="H5512" s="395"/>
      <c r="J5512" s="42"/>
    </row>
    <row r="5513" spans="1:10" s="393" customFormat="1" x14ac:dyDescent="0.25">
      <c r="A5513" s="406" t="s">
        <v>18</v>
      </c>
      <c r="B5513" s="269">
        <v>44122</v>
      </c>
      <c r="C5513" s="1">
        <v>273</v>
      </c>
      <c r="D5513" s="39">
        <f t="shared" si="502"/>
        <v>19191</v>
      </c>
      <c r="E5513" s="1">
        <f>1+4</f>
        <v>5</v>
      </c>
      <c r="F5513" s="523">
        <f t="shared" si="503"/>
        <v>408</v>
      </c>
      <c r="G5513" s="395"/>
      <c r="H5513" s="395"/>
      <c r="J5513" s="42"/>
    </row>
    <row r="5514" spans="1:10" s="393" customFormat="1" x14ac:dyDescent="0.25">
      <c r="A5514" s="406" t="s">
        <v>34</v>
      </c>
      <c r="B5514" s="269">
        <v>44122</v>
      </c>
      <c r="C5514" s="1">
        <v>168</v>
      </c>
      <c r="D5514" s="39">
        <f t="shared" si="502"/>
        <v>16632</v>
      </c>
      <c r="E5514" s="1">
        <v>13</v>
      </c>
      <c r="F5514" s="523">
        <f>E5514+F5490</f>
        <v>596</v>
      </c>
      <c r="G5514" s="395"/>
      <c r="H5514" s="395"/>
      <c r="J5514" s="42"/>
    </row>
    <row r="5515" spans="1:10" s="393" customFormat="1" x14ac:dyDescent="0.25">
      <c r="A5515" s="406" t="s">
        <v>35</v>
      </c>
      <c r="B5515" s="269">
        <v>44122</v>
      </c>
      <c r="C5515" s="1">
        <v>1</v>
      </c>
      <c r="D5515" s="39">
        <f t="shared" si="502"/>
        <v>1292</v>
      </c>
      <c r="E5515" s="1"/>
      <c r="F5515" s="523">
        <f>E5515+F5491</f>
        <v>51</v>
      </c>
      <c r="G5515" s="395"/>
      <c r="H5515" s="395"/>
      <c r="J5515" s="42"/>
    </row>
    <row r="5516" spans="1:10" s="393" customFormat="1" x14ac:dyDescent="0.25">
      <c r="A5516" s="406" t="s">
        <v>36</v>
      </c>
      <c r="B5516" s="269">
        <v>44122</v>
      </c>
      <c r="C5516" s="1">
        <v>183</v>
      </c>
      <c r="D5516" s="39">
        <f t="shared" si="502"/>
        <v>3327</v>
      </c>
      <c r="E5516" s="1">
        <f>1</f>
        <v>1</v>
      </c>
      <c r="F5516" s="523">
        <f t="shared" si="503"/>
        <v>36</v>
      </c>
      <c r="G5516" s="395"/>
      <c r="H5516" s="395"/>
      <c r="J5516" s="42"/>
    </row>
    <row r="5517" spans="1:10" s="393" customFormat="1" x14ac:dyDescent="0.25">
      <c r="A5517" s="406" t="s">
        <v>37</v>
      </c>
      <c r="B5517" s="269">
        <v>44122</v>
      </c>
      <c r="C5517" s="1">
        <v>84</v>
      </c>
      <c r="D5517" s="39">
        <f t="shared" si="502"/>
        <v>7267</v>
      </c>
      <c r="E5517" s="1">
        <f>3</f>
        <v>3</v>
      </c>
      <c r="F5517" s="523">
        <f>E5517+F5493</f>
        <v>100</v>
      </c>
      <c r="G5517" s="395"/>
      <c r="H5517" s="395"/>
      <c r="J5517" s="42"/>
    </row>
    <row r="5518" spans="1:10" s="393" customFormat="1" x14ac:dyDescent="0.25">
      <c r="A5518" s="406" t="s">
        <v>22</v>
      </c>
      <c r="B5518" s="269">
        <v>44122</v>
      </c>
      <c r="C5518" s="1">
        <v>2015</v>
      </c>
      <c r="D5518" s="39">
        <f t="shared" si="502"/>
        <v>78824</v>
      </c>
      <c r="E5518" s="1">
        <f>1</f>
        <v>1</v>
      </c>
      <c r="F5518" s="523">
        <f>E5518+F5494</f>
        <v>849</v>
      </c>
      <c r="G5518" s="395"/>
      <c r="H5518" s="395"/>
      <c r="J5518" s="42"/>
    </row>
    <row r="5519" spans="1:10" s="393" customFormat="1" x14ac:dyDescent="0.25">
      <c r="A5519" s="406" t="s">
        <v>38</v>
      </c>
      <c r="B5519" s="269">
        <v>44122</v>
      </c>
      <c r="C5519" s="1">
        <v>262</v>
      </c>
      <c r="D5519" s="39">
        <f>C5519+D5495</f>
        <v>6815</v>
      </c>
      <c r="E5519" s="1"/>
      <c r="F5519" s="523">
        <f t="shared" si="503"/>
        <v>97</v>
      </c>
      <c r="G5519" s="395"/>
      <c r="H5519" s="395"/>
      <c r="J5519" s="42"/>
    </row>
    <row r="5520" spans="1:10" s="393" customFormat="1" x14ac:dyDescent="0.25">
      <c r="A5520" s="406" t="s">
        <v>39</v>
      </c>
      <c r="B5520" s="269">
        <v>44122</v>
      </c>
      <c r="C5520" s="1">
        <v>208</v>
      </c>
      <c r="D5520" s="39">
        <f>C5520+D5496</f>
        <v>8148</v>
      </c>
      <c r="E5520" s="1">
        <f>2</f>
        <v>2</v>
      </c>
      <c r="F5520" s="523">
        <f>E5520+F5496</f>
        <v>102</v>
      </c>
      <c r="G5520" s="395"/>
      <c r="H5520" s="395"/>
      <c r="J5520" s="42"/>
    </row>
    <row r="5521" spans="1:10" s="393" customFormat="1" ht="15.75" thickBot="1" x14ac:dyDescent="0.3">
      <c r="A5521" s="407" t="s">
        <v>40</v>
      </c>
      <c r="B5521" s="274">
        <v>44122</v>
      </c>
      <c r="C5521" s="275">
        <v>772</v>
      </c>
      <c r="D5521" s="39">
        <f t="shared" ref="D5521:D5542" si="504">C5521+D5497</f>
        <v>34737</v>
      </c>
      <c r="E5521" s="275"/>
      <c r="F5521" s="634">
        <f>E5521+F5497</f>
        <v>454</v>
      </c>
      <c r="G5521" s="395"/>
      <c r="H5521" s="395"/>
      <c r="J5521" s="42"/>
    </row>
    <row r="5522" spans="1:10" s="393" customFormat="1" x14ac:dyDescent="0.25">
      <c r="A5522" s="405" t="s">
        <v>16</v>
      </c>
      <c r="B5522" s="272">
        <v>44123</v>
      </c>
      <c r="C5522" s="273">
        <v>4206</v>
      </c>
      <c r="D5522" s="264">
        <f t="shared" si="504"/>
        <v>502430</v>
      </c>
      <c r="E5522" s="273">
        <v>197</v>
      </c>
      <c r="F5522" s="635">
        <v>16032</v>
      </c>
      <c r="G5522" s="395"/>
      <c r="H5522" s="395"/>
      <c r="J5522" s="42"/>
    </row>
    <row r="5523" spans="1:10" s="393" customFormat="1" x14ac:dyDescent="0.25">
      <c r="A5523" s="406" t="s">
        <v>43</v>
      </c>
      <c r="B5523" s="269">
        <v>44123</v>
      </c>
      <c r="C5523" s="1">
        <v>557</v>
      </c>
      <c r="D5523" s="39">
        <f t="shared" si="504"/>
        <v>140527</v>
      </c>
      <c r="E5523" s="1">
        <v>47</v>
      </c>
      <c r="F5523" s="524">
        <v>4227</v>
      </c>
      <c r="G5523" s="395"/>
      <c r="H5523" s="395"/>
      <c r="J5523" s="42"/>
    </row>
    <row r="5524" spans="1:10" s="393" customFormat="1" x14ac:dyDescent="0.25">
      <c r="A5524" s="406" t="s">
        <v>28</v>
      </c>
      <c r="B5524" s="269">
        <v>44123</v>
      </c>
      <c r="C5524" s="1">
        <v>12</v>
      </c>
      <c r="D5524" s="39">
        <f t="shared" si="504"/>
        <v>492</v>
      </c>
      <c r="E5524" s="1"/>
      <c r="F5524" s="524">
        <f>E5524+F5500</f>
        <v>0</v>
      </c>
      <c r="G5524" s="395"/>
      <c r="H5524" s="395"/>
      <c r="J5524" s="42"/>
    </row>
    <row r="5525" spans="1:10" s="393" customFormat="1" x14ac:dyDescent="0.25">
      <c r="A5525" s="406" t="s">
        <v>15</v>
      </c>
      <c r="B5525" s="269">
        <v>44123</v>
      </c>
      <c r="C5525" s="1">
        <v>185</v>
      </c>
      <c r="D5525" s="39">
        <f t="shared" si="504"/>
        <v>11848</v>
      </c>
      <c r="E5525" s="1">
        <v>8</v>
      </c>
      <c r="F5525" s="524">
        <v>373</v>
      </c>
      <c r="G5525" s="395"/>
      <c r="H5525" s="395"/>
      <c r="J5525" s="42"/>
    </row>
    <row r="5526" spans="1:10" s="393" customFormat="1" x14ac:dyDescent="0.25">
      <c r="A5526" s="406" t="s">
        <v>29</v>
      </c>
      <c r="B5526" s="269">
        <v>44123</v>
      </c>
      <c r="C5526" s="1">
        <v>220</v>
      </c>
      <c r="D5526" s="39">
        <f t="shared" si="504"/>
        <v>9262</v>
      </c>
      <c r="E5526" s="1">
        <v>1</v>
      </c>
      <c r="F5526" s="524">
        <v>185</v>
      </c>
      <c r="G5526" s="395"/>
      <c r="H5526" s="395"/>
      <c r="J5526" s="42"/>
    </row>
    <row r="5527" spans="1:10" s="393" customFormat="1" x14ac:dyDescent="0.25">
      <c r="A5527" s="406" t="s">
        <v>20</v>
      </c>
      <c r="B5527" s="269">
        <v>44123</v>
      </c>
      <c r="C5527" s="1">
        <v>1668</v>
      </c>
      <c r="D5527" s="39">
        <f t="shared" si="504"/>
        <v>64579</v>
      </c>
      <c r="E5527" s="1">
        <v>44</v>
      </c>
      <c r="F5527" s="524">
        <v>871</v>
      </c>
      <c r="G5527" s="395"/>
      <c r="H5527" s="395"/>
      <c r="J5527" s="42"/>
    </row>
    <row r="5528" spans="1:10" s="393" customFormat="1" x14ac:dyDescent="0.25">
      <c r="A5528" s="406" t="s">
        <v>30</v>
      </c>
      <c r="B5528" s="269">
        <v>44123</v>
      </c>
      <c r="C5528" s="1">
        <v>122</v>
      </c>
      <c r="D5528" s="39">
        <f t="shared" si="504"/>
        <v>2100</v>
      </c>
      <c r="E5528" s="1">
        <v>3</v>
      </c>
      <c r="F5528" s="524">
        <v>36</v>
      </c>
      <c r="G5528" s="395"/>
      <c r="H5528" s="395"/>
      <c r="J5528" s="42"/>
    </row>
    <row r="5529" spans="1:10" x14ac:dyDescent="0.25">
      <c r="A5529" s="406" t="s">
        <v>31</v>
      </c>
      <c r="B5529" s="269">
        <v>44123</v>
      </c>
      <c r="C5529" s="1">
        <v>258</v>
      </c>
      <c r="D5529" s="39">
        <f t="shared" si="504"/>
        <v>11692</v>
      </c>
      <c r="E5529" s="1">
        <v>5</v>
      </c>
      <c r="F5529" s="524">
        <v>210</v>
      </c>
    </row>
    <row r="5530" spans="1:10" s="393" customFormat="1" x14ac:dyDescent="0.25">
      <c r="A5530" s="406" t="s">
        <v>41</v>
      </c>
      <c r="B5530" s="269">
        <v>44123</v>
      </c>
      <c r="C5530" s="1">
        <v>6</v>
      </c>
      <c r="D5530" s="39">
        <f t="shared" si="504"/>
        <v>144</v>
      </c>
      <c r="E5530" s="1"/>
      <c r="F5530" s="524">
        <f>E5530+F5506</f>
        <v>1</v>
      </c>
      <c r="G5530" s="395"/>
      <c r="H5530" s="395"/>
      <c r="J5530" s="42"/>
    </row>
    <row r="5531" spans="1:10" s="393" customFormat="1" x14ac:dyDescent="0.25">
      <c r="A5531" s="406" t="s">
        <v>32</v>
      </c>
      <c r="B5531" s="269">
        <v>44123</v>
      </c>
      <c r="C5531" s="1">
        <v>51</v>
      </c>
      <c r="D5531" s="39">
        <f t="shared" si="504"/>
        <v>17285</v>
      </c>
      <c r="E5531" s="1">
        <v>30</v>
      </c>
      <c r="F5531" s="524">
        <v>734</v>
      </c>
      <c r="G5531" s="395"/>
      <c r="H5531" s="395"/>
      <c r="J5531" s="42"/>
    </row>
    <row r="5532" spans="1:10" s="393" customFormat="1" x14ac:dyDescent="0.25">
      <c r="A5532" s="406" t="s">
        <v>33</v>
      </c>
      <c r="B5532" s="269">
        <v>44123</v>
      </c>
      <c r="C5532" s="1">
        <v>92</v>
      </c>
      <c r="D5532" s="39">
        <f t="shared" si="504"/>
        <v>1710</v>
      </c>
      <c r="E5532" s="1"/>
      <c r="F5532" s="524">
        <v>16</v>
      </c>
      <c r="G5532" s="395"/>
      <c r="H5532" s="395"/>
      <c r="J5532" s="42"/>
    </row>
    <row r="5533" spans="1:10" s="393" customFormat="1" x14ac:dyDescent="0.25">
      <c r="A5533" s="406" t="s">
        <v>21</v>
      </c>
      <c r="B5533" s="269">
        <v>44123</v>
      </c>
      <c r="C5533" s="1">
        <v>65</v>
      </c>
      <c r="D5533" s="39">
        <f t="shared" si="504"/>
        <v>6624</v>
      </c>
      <c r="E5533" s="1">
        <v>3</v>
      </c>
      <c r="F5533" s="524">
        <v>226</v>
      </c>
      <c r="G5533" s="395"/>
      <c r="H5533" s="395"/>
      <c r="J5533" s="42"/>
    </row>
    <row r="5534" spans="1:10" s="393" customFormat="1" x14ac:dyDescent="0.25">
      <c r="A5534" s="406" t="s">
        <v>17</v>
      </c>
      <c r="B5534" s="269">
        <v>44123</v>
      </c>
      <c r="C5534" s="1">
        <v>744</v>
      </c>
      <c r="D5534" s="39">
        <f t="shared" si="504"/>
        <v>37846</v>
      </c>
      <c r="E5534" s="1">
        <v>28</v>
      </c>
      <c r="F5534" s="524">
        <v>625</v>
      </c>
      <c r="G5534" s="395"/>
      <c r="H5534" s="395"/>
      <c r="J5534" s="42"/>
    </row>
    <row r="5535" spans="1:10" s="393" customFormat="1" x14ac:dyDescent="0.25">
      <c r="A5535" s="406" t="s">
        <v>23</v>
      </c>
      <c r="B5535" s="269">
        <v>44123</v>
      </c>
      <c r="C5535" s="1">
        <v>-6</v>
      </c>
      <c r="D5535" s="39">
        <f t="shared" si="504"/>
        <v>197</v>
      </c>
      <c r="E5535" s="1"/>
      <c r="F5535" s="524">
        <f>E5535+F5511</f>
        <v>4</v>
      </c>
      <c r="G5535" s="395"/>
      <c r="H5535" s="395"/>
      <c r="J5535" s="42"/>
    </row>
    <row r="5536" spans="1:10" s="393" customFormat="1" x14ac:dyDescent="0.25">
      <c r="A5536" s="406" t="s">
        <v>19</v>
      </c>
      <c r="B5536" s="269">
        <v>44123</v>
      </c>
      <c r="C5536" s="1">
        <v>271</v>
      </c>
      <c r="D5536" s="39">
        <f t="shared" si="504"/>
        <v>15354</v>
      </c>
      <c r="E5536" s="1">
        <v>4</v>
      </c>
      <c r="F5536" s="524">
        <v>282</v>
      </c>
      <c r="G5536" s="395"/>
      <c r="H5536" s="395"/>
      <c r="J5536" s="42"/>
    </row>
    <row r="5537" spans="1:10" s="393" customFormat="1" x14ac:dyDescent="0.25">
      <c r="A5537" s="406" t="s">
        <v>18</v>
      </c>
      <c r="B5537" s="269">
        <v>44123</v>
      </c>
      <c r="C5537" s="1">
        <v>207</v>
      </c>
      <c r="D5537" s="39">
        <f t="shared" si="504"/>
        <v>19398</v>
      </c>
      <c r="E5537" s="1">
        <v>11</v>
      </c>
      <c r="F5537" s="524">
        <v>505</v>
      </c>
      <c r="G5537" s="395"/>
      <c r="H5537" s="395"/>
      <c r="J5537" s="42"/>
    </row>
    <row r="5538" spans="1:10" s="393" customFormat="1" x14ac:dyDescent="0.25">
      <c r="A5538" s="406" t="s">
        <v>34</v>
      </c>
      <c r="B5538" s="269">
        <v>44123</v>
      </c>
      <c r="C5538" s="1">
        <v>80</v>
      </c>
      <c r="D5538" s="39">
        <f t="shared" si="504"/>
        <v>16712</v>
      </c>
      <c r="E5538" s="1">
        <v>18</v>
      </c>
      <c r="F5538" s="524">
        <v>632</v>
      </c>
      <c r="G5538" s="395"/>
      <c r="H5538" s="395"/>
      <c r="J5538" s="42"/>
    </row>
    <row r="5539" spans="1:10" s="393" customFormat="1" x14ac:dyDescent="0.25">
      <c r="A5539" s="406" t="s">
        <v>35</v>
      </c>
      <c r="B5539" s="269">
        <v>44123</v>
      </c>
      <c r="C5539" s="1">
        <v>10</v>
      </c>
      <c r="D5539" s="39">
        <f t="shared" si="504"/>
        <v>1302</v>
      </c>
      <c r="E5539" s="1">
        <v>2</v>
      </c>
      <c r="F5539" s="524">
        <v>75</v>
      </c>
      <c r="G5539" s="395"/>
      <c r="H5539" s="395"/>
      <c r="J5539" s="42"/>
    </row>
    <row r="5540" spans="1:10" s="393" customFormat="1" x14ac:dyDescent="0.25">
      <c r="A5540" s="406" t="s">
        <v>36</v>
      </c>
      <c r="B5540" s="269">
        <v>44123</v>
      </c>
      <c r="C5540" s="1">
        <v>277</v>
      </c>
      <c r="D5540" s="39">
        <f t="shared" si="504"/>
        <v>3604</v>
      </c>
      <c r="E5540" s="1"/>
      <c r="F5540" s="524">
        <v>51</v>
      </c>
      <c r="G5540" s="395"/>
      <c r="H5540" s="395"/>
      <c r="J5540" s="42"/>
    </row>
    <row r="5541" spans="1:10" s="393" customFormat="1" x14ac:dyDescent="0.25">
      <c r="A5541" s="406" t="s">
        <v>37</v>
      </c>
      <c r="B5541" s="269">
        <v>44123</v>
      </c>
      <c r="C5541" s="1">
        <v>138</v>
      </c>
      <c r="D5541" s="39">
        <f t="shared" si="504"/>
        <v>7405</v>
      </c>
      <c r="E5541" s="1">
        <v>1</v>
      </c>
      <c r="F5541" s="524">
        <v>99</v>
      </c>
      <c r="G5541" s="395"/>
      <c r="H5541" s="395"/>
      <c r="J5541" s="42"/>
    </row>
    <row r="5542" spans="1:10" s="393" customFormat="1" x14ac:dyDescent="0.25">
      <c r="A5542" s="406" t="s">
        <v>22</v>
      </c>
      <c r="B5542" s="269">
        <v>44123</v>
      </c>
      <c r="C5542" s="1">
        <v>2050</v>
      </c>
      <c r="D5542" s="39">
        <f t="shared" si="504"/>
        <v>80874</v>
      </c>
      <c r="E5542" s="1">
        <v>28</v>
      </c>
      <c r="F5542" s="524">
        <v>857</v>
      </c>
      <c r="G5542" s="395"/>
      <c r="H5542" s="395"/>
      <c r="J5542" s="42"/>
    </row>
    <row r="5543" spans="1:10" s="393" customFormat="1" x14ac:dyDescent="0.25">
      <c r="A5543" s="406" t="s">
        <v>38</v>
      </c>
      <c r="B5543" s="269">
        <v>44123</v>
      </c>
      <c r="C5543" s="1">
        <v>145</v>
      </c>
      <c r="D5543" s="39">
        <f>C5543+D5519</f>
        <v>6960</v>
      </c>
      <c r="E5543" s="1">
        <v>1</v>
      </c>
      <c r="F5543" s="524">
        <v>100</v>
      </c>
      <c r="G5543" s="395"/>
      <c r="H5543" s="395"/>
      <c r="J5543" s="42"/>
    </row>
    <row r="5544" spans="1:10" s="393" customFormat="1" x14ac:dyDescent="0.25">
      <c r="A5544" s="406" t="s">
        <v>39</v>
      </c>
      <c r="B5544" s="269">
        <v>44123</v>
      </c>
      <c r="C5544" s="1">
        <v>238</v>
      </c>
      <c r="D5544" s="39">
        <f>C5544+D5520</f>
        <v>8386</v>
      </c>
      <c r="E5544" s="1"/>
      <c r="F5544" s="524">
        <f>E5544+F5520</f>
        <v>102</v>
      </c>
      <c r="G5544" s="395"/>
      <c r="H5544" s="395"/>
      <c r="J5544" s="42"/>
    </row>
    <row r="5545" spans="1:10" s="393" customFormat="1" ht="15.75" thickBot="1" x14ac:dyDescent="0.3">
      <c r="A5545" s="408" t="s">
        <v>40</v>
      </c>
      <c r="B5545" s="270">
        <v>44123</v>
      </c>
      <c r="C5545" s="234">
        <v>1386</v>
      </c>
      <c r="D5545" s="39">
        <f t="shared" ref="D5545:D5566" si="505">C5545+D5521</f>
        <v>36123</v>
      </c>
      <c r="E5545" s="234">
        <v>17</v>
      </c>
      <c r="F5545" s="524">
        <v>473</v>
      </c>
      <c r="G5545" s="395"/>
      <c r="H5545" s="395"/>
      <c r="J5545" s="42"/>
    </row>
    <row r="5546" spans="1:10" s="393" customFormat="1" x14ac:dyDescent="0.25">
      <c r="A5546" s="397" t="s">
        <v>16</v>
      </c>
      <c r="B5546" s="267">
        <v>44124</v>
      </c>
      <c r="C5546" s="43">
        <v>4981</v>
      </c>
      <c r="D5546" s="264">
        <f t="shared" si="505"/>
        <v>507411</v>
      </c>
      <c r="E5546" s="43">
        <f>83+60</f>
        <v>143</v>
      </c>
      <c r="F5546" s="630">
        <f t="shared" ref="F5546:F5609" si="506">E5546+F5522</f>
        <v>16175</v>
      </c>
      <c r="G5546" s="395"/>
      <c r="H5546" s="395"/>
      <c r="J5546" s="42"/>
    </row>
    <row r="5547" spans="1:10" s="393" customFormat="1" x14ac:dyDescent="0.25">
      <c r="A5547" s="402" t="s">
        <v>43</v>
      </c>
      <c r="B5547" s="2">
        <v>44124</v>
      </c>
      <c r="C5547" s="1">
        <v>663</v>
      </c>
      <c r="D5547" s="39">
        <f t="shared" si="505"/>
        <v>141190</v>
      </c>
      <c r="E5547" s="1">
        <f>19+34+1</f>
        <v>54</v>
      </c>
      <c r="F5547" s="522">
        <f t="shared" si="506"/>
        <v>4281</v>
      </c>
      <c r="G5547" s="395"/>
      <c r="H5547" s="395"/>
      <c r="J5547" s="42"/>
    </row>
    <row r="5548" spans="1:10" s="393" customFormat="1" x14ac:dyDescent="0.25">
      <c r="A5548" s="402" t="s">
        <v>28</v>
      </c>
      <c r="B5548" s="2">
        <v>44124</v>
      </c>
      <c r="C5548" s="1">
        <v>8</v>
      </c>
      <c r="D5548" s="39">
        <f t="shared" si="505"/>
        <v>500</v>
      </c>
      <c r="E5548" s="1"/>
      <c r="F5548" s="522">
        <f t="shared" si="506"/>
        <v>0</v>
      </c>
      <c r="G5548" s="395"/>
      <c r="H5548" s="395"/>
      <c r="J5548" s="42"/>
    </row>
    <row r="5549" spans="1:10" s="393" customFormat="1" x14ac:dyDescent="0.25">
      <c r="A5549" s="402" t="s">
        <v>15</v>
      </c>
      <c r="B5549" s="2">
        <v>44124</v>
      </c>
      <c r="C5549" s="1">
        <v>193</v>
      </c>
      <c r="D5549" s="39">
        <f t="shared" si="505"/>
        <v>12041</v>
      </c>
      <c r="E5549" s="1">
        <f>3+2</f>
        <v>5</v>
      </c>
      <c r="F5549" s="522">
        <f t="shared" si="506"/>
        <v>378</v>
      </c>
      <c r="G5549" s="395"/>
      <c r="H5549" s="395"/>
      <c r="J5549" s="42"/>
    </row>
    <row r="5550" spans="1:10" s="393" customFormat="1" x14ac:dyDescent="0.25">
      <c r="A5550" s="402" t="s">
        <v>29</v>
      </c>
      <c r="B5550" s="2">
        <v>44124</v>
      </c>
      <c r="C5550" s="1">
        <v>465</v>
      </c>
      <c r="D5550" s="39">
        <f t="shared" si="505"/>
        <v>9727</v>
      </c>
      <c r="E5550" s="1">
        <f>5+2</f>
        <v>7</v>
      </c>
      <c r="F5550" s="522">
        <f t="shared" si="506"/>
        <v>192</v>
      </c>
      <c r="G5550" s="395"/>
      <c r="H5550" s="395"/>
      <c r="J5550" s="42"/>
    </row>
    <row r="5551" spans="1:10" s="393" customFormat="1" x14ac:dyDescent="0.25">
      <c r="A5551" s="402" t="s">
        <v>20</v>
      </c>
      <c r="B5551" s="2">
        <v>44124</v>
      </c>
      <c r="C5551" s="1">
        <v>1708</v>
      </c>
      <c r="D5551" s="39">
        <f t="shared" si="505"/>
        <v>66287</v>
      </c>
      <c r="E5551" s="1">
        <f>31+21</f>
        <v>52</v>
      </c>
      <c r="F5551" s="522">
        <f t="shared" si="506"/>
        <v>923</v>
      </c>
      <c r="G5551" s="395"/>
      <c r="H5551" s="395"/>
      <c r="J5551" s="42"/>
    </row>
    <row r="5552" spans="1:10" s="393" customFormat="1" x14ac:dyDescent="0.25">
      <c r="A5552" s="402" t="s">
        <v>30</v>
      </c>
      <c r="B5552" s="2">
        <v>44124</v>
      </c>
      <c r="C5552" s="1">
        <v>34</v>
      </c>
      <c r="D5552" s="39">
        <f t="shared" si="505"/>
        <v>2134</v>
      </c>
      <c r="E5552" s="1"/>
      <c r="F5552" s="522">
        <f t="shared" si="506"/>
        <v>36</v>
      </c>
      <c r="G5552" s="395"/>
      <c r="H5552" s="395"/>
      <c r="J5552" s="42"/>
    </row>
    <row r="5553" spans="1:10" x14ac:dyDescent="0.25">
      <c r="A5553" s="402" t="s">
        <v>31</v>
      </c>
      <c r="B5553" s="2">
        <v>44124</v>
      </c>
      <c r="C5553" s="1">
        <v>402</v>
      </c>
      <c r="D5553" s="39">
        <f t="shared" si="505"/>
        <v>12094</v>
      </c>
      <c r="E5553" s="1">
        <f>2+3</f>
        <v>5</v>
      </c>
      <c r="F5553" s="522">
        <f t="shared" si="506"/>
        <v>215</v>
      </c>
    </row>
    <row r="5554" spans="1:10" s="393" customFormat="1" x14ac:dyDescent="0.25">
      <c r="A5554" s="402" t="s">
        <v>41</v>
      </c>
      <c r="B5554" s="2">
        <v>44124</v>
      </c>
      <c r="C5554" s="1">
        <v>-4</v>
      </c>
      <c r="D5554" s="39">
        <f t="shared" si="505"/>
        <v>140</v>
      </c>
      <c r="E5554" s="1"/>
      <c r="F5554" s="522">
        <f t="shared" si="506"/>
        <v>1</v>
      </c>
      <c r="G5554" s="395"/>
      <c r="H5554" s="395"/>
      <c r="J5554" s="42"/>
    </row>
    <row r="5555" spans="1:10" s="393" customFormat="1" x14ac:dyDescent="0.25">
      <c r="A5555" s="402" t="s">
        <v>32</v>
      </c>
      <c r="B5555" s="2">
        <v>44124</v>
      </c>
      <c r="C5555" s="1">
        <v>59</v>
      </c>
      <c r="D5555" s="39">
        <f t="shared" si="505"/>
        <v>17344</v>
      </c>
      <c r="E5555" s="1">
        <f>2+2</f>
        <v>4</v>
      </c>
      <c r="F5555" s="522">
        <f t="shared" si="506"/>
        <v>738</v>
      </c>
      <c r="G5555" s="395"/>
      <c r="H5555" s="395"/>
      <c r="J5555" s="42"/>
    </row>
    <row r="5556" spans="1:10" s="393" customFormat="1" x14ac:dyDescent="0.25">
      <c r="A5556" s="402" t="s">
        <v>33</v>
      </c>
      <c r="B5556" s="2">
        <v>44124</v>
      </c>
      <c r="C5556" s="1">
        <v>98</v>
      </c>
      <c r="D5556" s="39">
        <f t="shared" si="505"/>
        <v>1808</v>
      </c>
      <c r="E5556" s="1">
        <f>1+1</f>
        <v>2</v>
      </c>
      <c r="F5556" s="522">
        <f t="shared" si="506"/>
        <v>18</v>
      </c>
      <c r="G5556" s="395"/>
      <c r="H5556" s="395"/>
      <c r="J5556" s="42"/>
    </row>
    <row r="5557" spans="1:10" s="393" customFormat="1" x14ac:dyDescent="0.25">
      <c r="A5557" s="402" t="s">
        <v>21</v>
      </c>
      <c r="B5557" s="2">
        <v>44124</v>
      </c>
      <c r="C5557" s="1">
        <v>41</v>
      </c>
      <c r="D5557" s="39">
        <f t="shared" si="505"/>
        <v>6665</v>
      </c>
      <c r="E5557" s="1">
        <f>1+1</f>
        <v>2</v>
      </c>
      <c r="F5557" s="522">
        <f t="shared" si="506"/>
        <v>228</v>
      </c>
      <c r="G5557" s="395"/>
      <c r="H5557" s="395"/>
      <c r="J5557" s="42"/>
    </row>
    <row r="5558" spans="1:10" s="393" customFormat="1" x14ac:dyDescent="0.25">
      <c r="A5558" s="402" t="s">
        <v>17</v>
      </c>
      <c r="B5558" s="2">
        <v>44124</v>
      </c>
      <c r="C5558" s="1">
        <v>968</v>
      </c>
      <c r="D5558" s="39">
        <f t="shared" si="505"/>
        <v>38814</v>
      </c>
      <c r="E5558" s="1">
        <f>7+2</f>
        <v>9</v>
      </c>
      <c r="F5558" s="522">
        <f t="shared" si="506"/>
        <v>634</v>
      </c>
      <c r="G5558" s="395"/>
      <c r="H5558" s="395"/>
      <c r="J5558" s="42"/>
    </row>
    <row r="5559" spans="1:10" s="393" customFormat="1" x14ac:dyDescent="0.25">
      <c r="A5559" s="402" t="s">
        <v>23</v>
      </c>
      <c r="B5559" s="2">
        <v>44124</v>
      </c>
      <c r="C5559" s="1">
        <v>-2</v>
      </c>
      <c r="D5559" s="39">
        <f t="shared" si="505"/>
        <v>195</v>
      </c>
      <c r="E5559" s="1"/>
      <c r="F5559" s="522">
        <f t="shared" si="506"/>
        <v>4</v>
      </c>
      <c r="G5559" s="395"/>
      <c r="H5559" s="395"/>
      <c r="J5559" s="42"/>
    </row>
    <row r="5560" spans="1:10" s="393" customFormat="1" x14ac:dyDescent="0.25">
      <c r="A5560" s="402" t="s">
        <v>19</v>
      </c>
      <c r="B5560" s="2">
        <v>44124</v>
      </c>
      <c r="C5560" s="1">
        <v>1305</v>
      </c>
      <c r="D5560" s="39">
        <f t="shared" si="505"/>
        <v>16659</v>
      </c>
      <c r="E5560" s="1">
        <f>5+2</f>
        <v>7</v>
      </c>
      <c r="F5560" s="522">
        <f t="shared" si="506"/>
        <v>289</v>
      </c>
      <c r="G5560" s="395"/>
      <c r="H5560" s="395"/>
      <c r="J5560" s="42"/>
    </row>
    <row r="5561" spans="1:10" s="393" customFormat="1" x14ac:dyDescent="0.25">
      <c r="A5561" s="402" t="s">
        <v>18</v>
      </c>
      <c r="B5561" s="2">
        <v>44124</v>
      </c>
      <c r="C5561" s="1">
        <v>393</v>
      </c>
      <c r="D5561" s="39">
        <f t="shared" si="505"/>
        <v>19791</v>
      </c>
      <c r="E5561" s="1">
        <f>1+1</f>
        <v>2</v>
      </c>
      <c r="F5561" s="522">
        <f t="shared" si="506"/>
        <v>507</v>
      </c>
      <c r="G5561" s="395"/>
      <c r="H5561" s="395"/>
      <c r="J5561" s="42"/>
    </row>
    <row r="5562" spans="1:10" s="393" customFormat="1" x14ac:dyDescent="0.25">
      <c r="A5562" s="402" t="s">
        <v>34</v>
      </c>
      <c r="B5562" s="2">
        <v>44124</v>
      </c>
      <c r="C5562" s="1">
        <v>201</v>
      </c>
      <c r="D5562" s="39">
        <f t="shared" si="505"/>
        <v>16913</v>
      </c>
      <c r="E5562" s="1">
        <v>6</v>
      </c>
      <c r="F5562" s="522">
        <f t="shared" si="506"/>
        <v>638</v>
      </c>
      <c r="G5562" s="395"/>
      <c r="H5562" s="395"/>
      <c r="J5562" s="42"/>
    </row>
    <row r="5563" spans="1:10" s="393" customFormat="1" x14ac:dyDescent="0.25">
      <c r="A5563" s="402" t="s">
        <v>35</v>
      </c>
      <c r="B5563" s="2">
        <v>44124</v>
      </c>
      <c r="C5563" s="1">
        <v>5</v>
      </c>
      <c r="D5563" s="39">
        <f t="shared" si="505"/>
        <v>1307</v>
      </c>
      <c r="E5563" s="1">
        <f>1</f>
        <v>1</v>
      </c>
      <c r="F5563" s="522">
        <f t="shared" si="506"/>
        <v>76</v>
      </c>
      <c r="G5563" s="395"/>
      <c r="H5563" s="395"/>
      <c r="J5563" s="42"/>
    </row>
    <row r="5564" spans="1:10" s="393" customFormat="1" x14ac:dyDescent="0.25">
      <c r="A5564" s="402" t="s">
        <v>36</v>
      </c>
      <c r="B5564" s="2">
        <v>44124</v>
      </c>
      <c r="C5564" s="1">
        <v>266</v>
      </c>
      <c r="D5564" s="39">
        <f t="shared" si="505"/>
        <v>3870</v>
      </c>
      <c r="E5564" s="1"/>
      <c r="F5564" s="522">
        <f t="shared" si="506"/>
        <v>51</v>
      </c>
      <c r="G5564" s="395"/>
      <c r="H5564" s="395"/>
      <c r="J5564" s="42"/>
    </row>
    <row r="5565" spans="1:10" s="393" customFormat="1" x14ac:dyDescent="0.25">
      <c r="A5565" s="402" t="s">
        <v>37</v>
      </c>
      <c r="B5565" s="2">
        <v>44124</v>
      </c>
      <c r="C5565" s="1">
        <v>158</v>
      </c>
      <c r="D5565" s="39">
        <f t="shared" si="505"/>
        <v>7563</v>
      </c>
      <c r="E5565" s="1">
        <v>3</v>
      </c>
      <c r="F5565" s="522">
        <f t="shared" si="506"/>
        <v>102</v>
      </c>
      <c r="G5565" s="395"/>
      <c r="H5565" s="395"/>
      <c r="J5565" s="42"/>
    </row>
    <row r="5566" spans="1:10" s="393" customFormat="1" x14ac:dyDescent="0.25">
      <c r="A5566" s="402" t="s">
        <v>22</v>
      </c>
      <c r="B5566" s="2">
        <v>44124</v>
      </c>
      <c r="C5566" s="1">
        <v>2575</v>
      </c>
      <c r="D5566" s="39">
        <f t="shared" si="505"/>
        <v>83449</v>
      </c>
      <c r="E5566" s="1">
        <f>33+27</f>
        <v>60</v>
      </c>
      <c r="F5566" s="522">
        <f t="shared" si="506"/>
        <v>917</v>
      </c>
      <c r="G5566" s="395"/>
      <c r="H5566" s="395"/>
      <c r="J5566" s="42"/>
    </row>
    <row r="5567" spans="1:10" s="393" customFormat="1" x14ac:dyDescent="0.25">
      <c r="A5567" s="402" t="s">
        <v>38</v>
      </c>
      <c r="B5567" s="2">
        <v>44124</v>
      </c>
      <c r="C5567" s="1">
        <v>104</v>
      </c>
      <c r="D5567" s="39">
        <f>C5567+D5543</f>
        <v>7064</v>
      </c>
      <c r="E5567" s="1">
        <f>2+1</f>
        <v>3</v>
      </c>
      <c r="F5567" s="522">
        <f t="shared" si="506"/>
        <v>103</v>
      </c>
      <c r="G5567" s="395"/>
      <c r="H5567" s="395"/>
      <c r="J5567" s="42"/>
    </row>
    <row r="5568" spans="1:10" s="393" customFormat="1" x14ac:dyDescent="0.25">
      <c r="A5568" s="402" t="s">
        <v>39</v>
      </c>
      <c r="B5568" s="2">
        <v>44124</v>
      </c>
      <c r="C5568" s="1">
        <v>295</v>
      </c>
      <c r="D5568" s="39">
        <f>C5568+D5544</f>
        <v>8681</v>
      </c>
      <c r="E5568" s="1">
        <f>1</f>
        <v>1</v>
      </c>
      <c r="F5568" s="522">
        <f t="shared" si="506"/>
        <v>103</v>
      </c>
      <c r="G5568" s="395"/>
      <c r="H5568" s="395"/>
      <c r="J5568" s="42"/>
    </row>
    <row r="5569" spans="1:10" s="393" customFormat="1" ht="15.75" thickBot="1" x14ac:dyDescent="0.3">
      <c r="A5569" s="403" t="s">
        <v>40</v>
      </c>
      <c r="B5569" s="34">
        <v>44124</v>
      </c>
      <c r="C5569" s="234">
        <v>1421</v>
      </c>
      <c r="D5569" s="39">
        <f t="shared" ref="D5569:D5590" si="507">C5569+D5545</f>
        <v>37544</v>
      </c>
      <c r="E5569" s="234">
        <f>9+6</f>
        <v>15</v>
      </c>
      <c r="F5569" s="632">
        <f t="shared" si="506"/>
        <v>488</v>
      </c>
      <c r="G5569" s="395"/>
      <c r="H5569" s="395"/>
      <c r="J5569" s="42"/>
    </row>
    <row r="5570" spans="1:10" s="393" customFormat="1" x14ac:dyDescent="0.25">
      <c r="A5570" s="397" t="s">
        <v>16</v>
      </c>
      <c r="B5570" s="267">
        <v>44125</v>
      </c>
      <c r="C5570" s="43">
        <v>5179</v>
      </c>
      <c r="D5570" s="264">
        <f t="shared" si="507"/>
        <v>512590</v>
      </c>
      <c r="E5570" s="43">
        <f>52+54</f>
        <v>106</v>
      </c>
      <c r="F5570" s="630">
        <f t="shared" si="506"/>
        <v>16281</v>
      </c>
      <c r="G5570" s="395"/>
      <c r="H5570" s="395"/>
      <c r="J5570" s="42"/>
    </row>
    <row r="5571" spans="1:10" s="393" customFormat="1" x14ac:dyDescent="0.25">
      <c r="A5571" s="402" t="s">
        <v>43</v>
      </c>
      <c r="B5571" s="2">
        <v>44125</v>
      </c>
      <c r="C5571" s="1">
        <v>740</v>
      </c>
      <c r="D5571" s="39">
        <f t="shared" si="507"/>
        <v>141930</v>
      </c>
      <c r="E5571" s="1">
        <f>30+22</f>
        <v>52</v>
      </c>
      <c r="F5571" s="522">
        <f t="shared" si="506"/>
        <v>4333</v>
      </c>
      <c r="G5571" s="395"/>
      <c r="H5571" s="395"/>
      <c r="J5571" s="42"/>
    </row>
    <row r="5572" spans="1:10" s="393" customFormat="1" x14ac:dyDescent="0.25">
      <c r="A5572" s="402" t="s">
        <v>28</v>
      </c>
      <c r="B5572" s="2">
        <v>44125</v>
      </c>
      <c r="C5572" s="1">
        <v>25</v>
      </c>
      <c r="D5572" s="39">
        <f t="shared" si="507"/>
        <v>525</v>
      </c>
      <c r="E5572" s="1"/>
      <c r="F5572" s="522">
        <f t="shared" si="506"/>
        <v>0</v>
      </c>
      <c r="G5572" s="395"/>
      <c r="H5572" s="395"/>
      <c r="J5572" s="42"/>
    </row>
    <row r="5573" spans="1:10" s="393" customFormat="1" x14ac:dyDescent="0.25">
      <c r="A5573" s="402" t="s">
        <v>15</v>
      </c>
      <c r="B5573" s="2">
        <v>44125</v>
      </c>
      <c r="C5573" s="1">
        <v>255</v>
      </c>
      <c r="D5573" s="39">
        <f t="shared" si="507"/>
        <v>12296</v>
      </c>
      <c r="E5573" s="1">
        <f>2+2</f>
        <v>4</v>
      </c>
      <c r="F5573" s="522">
        <f t="shared" si="506"/>
        <v>382</v>
      </c>
      <c r="G5573" s="395"/>
      <c r="H5573" s="395"/>
      <c r="J5573" s="42"/>
    </row>
    <row r="5574" spans="1:10" s="393" customFormat="1" x14ac:dyDescent="0.25">
      <c r="A5574" s="402" t="s">
        <v>29</v>
      </c>
      <c r="B5574" s="2">
        <v>44125</v>
      </c>
      <c r="C5574" s="1">
        <v>531</v>
      </c>
      <c r="D5574" s="39">
        <f t="shared" si="507"/>
        <v>10258</v>
      </c>
      <c r="E5574" s="1">
        <f>2</f>
        <v>2</v>
      </c>
      <c r="F5574" s="522">
        <f t="shared" si="506"/>
        <v>194</v>
      </c>
      <c r="G5574" s="395"/>
      <c r="H5574" s="395"/>
      <c r="J5574" s="42"/>
    </row>
    <row r="5575" spans="1:10" s="393" customFormat="1" x14ac:dyDescent="0.25">
      <c r="A5575" s="402" t="s">
        <v>20</v>
      </c>
      <c r="B5575" s="2">
        <v>44125</v>
      </c>
      <c r="C5575" s="1">
        <v>2480</v>
      </c>
      <c r="D5575" s="39">
        <f t="shared" si="507"/>
        <v>68767</v>
      </c>
      <c r="E5575" s="1">
        <f>29+26</f>
        <v>55</v>
      </c>
      <c r="F5575" s="522">
        <f t="shared" si="506"/>
        <v>978</v>
      </c>
      <c r="G5575" s="395"/>
      <c r="H5575" s="395"/>
      <c r="J5575" s="42"/>
    </row>
    <row r="5576" spans="1:10" s="393" customFormat="1" x14ac:dyDescent="0.25">
      <c r="A5576" s="402" t="s">
        <v>30</v>
      </c>
      <c r="B5576" s="2">
        <v>44125</v>
      </c>
      <c r="C5576" s="1">
        <v>20</v>
      </c>
      <c r="D5576" s="39">
        <f t="shared" si="507"/>
        <v>2154</v>
      </c>
      <c r="E5576" s="1"/>
      <c r="F5576" s="522">
        <f t="shared" si="506"/>
        <v>36</v>
      </c>
      <c r="G5576" s="395"/>
      <c r="H5576" s="395"/>
      <c r="J5576" s="42"/>
    </row>
    <row r="5577" spans="1:10" x14ac:dyDescent="0.25">
      <c r="A5577" s="402" t="s">
        <v>31</v>
      </c>
      <c r="B5577" s="2">
        <v>44125</v>
      </c>
      <c r="C5577" s="1">
        <v>467</v>
      </c>
      <c r="D5577" s="39">
        <f t="shared" si="507"/>
        <v>12561</v>
      </c>
      <c r="E5577" s="1">
        <f>1+2</f>
        <v>3</v>
      </c>
      <c r="F5577" s="522">
        <f t="shared" si="506"/>
        <v>218</v>
      </c>
    </row>
    <row r="5578" spans="1:10" s="393" customFormat="1" x14ac:dyDescent="0.25">
      <c r="A5578" s="402" t="s">
        <v>41</v>
      </c>
      <c r="B5578" s="2">
        <v>44125</v>
      </c>
      <c r="C5578" s="1">
        <v>7</v>
      </c>
      <c r="D5578" s="39">
        <f t="shared" si="507"/>
        <v>147</v>
      </c>
      <c r="E5578" s="1"/>
      <c r="F5578" s="522">
        <f t="shared" si="506"/>
        <v>1</v>
      </c>
      <c r="G5578" s="395"/>
      <c r="H5578" s="395"/>
      <c r="J5578" s="42"/>
    </row>
    <row r="5579" spans="1:10" s="393" customFormat="1" x14ac:dyDescent="0.25">
      <c r="A5579" s="402" t="s">
        <v>32</v>
      </c>
      <c r="B5579" s="2">
        <v>44125</v>
      </c>
      <c r="C5579" s="1">
        <v>68</v>
      </c>
      <c r="D5579" s="39">
        <f t="shared" si="507"/>
        <v>17412</v>
      </c>
      <c r="E5579" s="1">
        <f>2+1</f>
        <v>3</v>
      </c>
      <c r="F5579" s="522">
        <f t="shared" si="506"/>
        <v>741</v>
      </c>
      <c r="G5579" s="395"/>
      <c r="H5579" s="395"/>
      <c r="J5579" s="42"/>
    </row>
    <row r="5580" spans="1:10" s="393" customFormat="1" x14ac:dyDescent="0.25">
      <c r="A5580" s="402" t="s">
        <v>33</v>
      </c>
      <c r="B5580" s="2">
        <v>44125</v>
      </c>
      <c r="C5580" s="1">
        <v>161</v>
      </c>
      <c r="D5580" s="39">
        <f t="shared" si="507"/>
        <v>1969</v>
      </c>
      <c r="E5580" s="1">
        <f>2</f>
        <v>2</v>
      </c>
      <c r="F5580" s="522">
        <f t="shared" si="506"/>
        <v>20</v>
      </c>
      <c r="G5580" s="395"/>
      <c r="H5580" s="395"/>
      <c r="J5580" s="42"/>
    </row>
    <row r="5581" spans="1:10" s="393" customFormat="1" x14ac:dyDescent="0.25">
      <c r="A5581" s="402" t="s">
        <v>21</v>
      </c>
      <c r="B5581" s="2">
        <v>44125</v>
      </c>
      <c r="C5581" s="1">
        <v>134</v>
      </c>
      <c r="D5581" s="39">
        <f t="shared" si="507"/>
        <v>6799</v>
      </c>
      <c r="E5581" s="1">
        <f>6</f>
        <v>6</v>
      </c>
      <c r="F5581" s="522">
        <f t="shared" si="506"/>
        <v>234</v>
      </c>
      <c r="G5581" s="395"/>
      <c r="H5581" s="395"/>
      <c r="J5581" s="42"/>
    </row>
    <row r="5582" spans="1:10" s="393" customFormat="1" x14ac:dyDescent="0.25">
      <c r="A5582" s="402" t="s">
        <v>17</v>
      </c>
      <c r="B5582" s="2">
        <v>44125</v>
      </c>
      <c r="C5582" s="1">
        <v>1155</v>
      </c>
      <c r="D5582" s="39">
        <f t="shared" si="507"/>
        <v>39969</v>
      </c>
      <c r="E5582" s="1">
        <f>14+7</f>
        <v>21</v>
      </c>
      <c r="F5582" s="522">
        <f t="shared" si="506"/>
        <v>655</v>
      </c>
      <c r="G5582" s="395"/>
      <c r="H5582" s="395"/>
      <c r="J5582" s="42"/>
    </row>
    <row r="5583" spans="1:10" s="393" customFormat="1" x14ac:dyDescent="0.25">
      <c r="A5583" s="402" t="s">
        <v>23</v>
      </c>
      <c r="B5583" s="2">
        <v>44125</v>
      </c>
      <c r="C5583" s="1">
        <v>3</v>
      </c>
      <c r="D5583" s="39">
        <f t="shared" si="507"/>
        <v>198</v>
      </c>
      <c r="E5583" s="1"/>
      <c r="F5583" s="522">
        <f t="shared" si="506"/>
        <v>4</v>
      </c>
      <c r="G5583" s="395"/>
      <c r="H5583" s="395"/>
      <c r="J5583" s="42"/>
    </row>
    <row r="5584" spans="1:10" s="393" customFormat="1" x14ac:dyDescent="0.25">
      <c r="A5584" s="402" t="s">
        <v>19</v>
      </c>
      <c r="B5584" s="2">
        <v>44125</v>
      </c>
      <c r="C5584" s="1">
        <v>976</v>
      </c>
      <c r="D5584" s="39">
        <f t="shared" si="507"/>
        <v>17635</v>
      </c>
      <c r="E5584" s="1">
        <f>21+7</f>
        <v>28</v>
      </c>
      <c r="F5584" s="522">
        <f t="shared" si="506"/>
        <v>317</v>
      </c>
      <c r="G5584" s="395"/>
      <c r="H5584" s="395"/>
      <c r="J5584" s="42"/>
    </row>
    <row r="5585" spans="1:10" s="393" customFormat="1" x14ac:dyDescent="0.25">
      <c r="A5585" s="402" t="s">
        <v>18</v>
      </c>
      <c r="B5585" s="2">
        <v>44125</v>
      </c>
      <c r="C5585" s="1">
        <v>536</v>
      </c>
      <c r="D5585" s="39">
        <f t="shared" si="507"/>
        <v>20327</v>
      </c>
      <c r="E5585" s="1">
        <f>7+5</f>
        <v>12</v>
      </c>
      <c r="F5585" s="522">
        <f t="shared" si="506"/>
        <v>519</v>
      </c>
      <c r="G5585" s="395"/>
      <c r="H5585" s="395"/>
      <c r="J5585" s="42"/>
    </row>
    <row r="5586" spans="1:10" s="393" customFormat="1" x14ac:dyDescent="0.25">
      <c r="A5586" s="402" t="s">
        <v>34</v>
      </c>
      <c r="B5586" s="2">
        <v>44125</v>
      </c>
      <c r="C5586" s="1">
        <v>254</v>
      </c>
      <c r="D5586" s="39">
        <f t="shared" si="507"/>
        <v>17167</v>
      </c>
      <c r="E5586" s="1">
        <v>11</v>
      </c>
      <c r="F5586" s="522">
        <f t="shared" si="506"/>
        <v>649</v>
      </c>
      <c r="G5586" s="395"/>
      <c r="H5586" s="395"/>
      <c r="J5586" s="42"/>
    </row>
    <row r="5587" spans="1:10" s="393" customFormat="1" x14ac:dyDescent="0.25">
      <c r="A5587" s="402" t="s">
        <v>35</v>
      </c>
      <c r="B5587" s="2">
        <v>44125</v>
      </c>
      <c r="C5587" s="1">
        <v>8</v>
      </c>
      <c r="D5587" s="39">
        <f t="shared" si="507"/>
        <v>1315</v>
      </c>
      <c r="E5587" s="1"/>
      <c r="F5587" s="522">
        <f t="shared" si="506"/>
        <v>76</v>
      </c>
      <c r="G5587" s="395"/>
      <c r="H5587" s="395"/>
      <c r="J5587" s="42"/>
    </row>
    <row r="5588" spans="1:10" s="393" customFormat="1" x14ac:dyDescent="0.25">
      <c r="A5588" s="402" t="s">
        <v>36</v>
      </c>
      <c r="B5588" s="2">
        <v>44125</v>
      </c>
      <c r="C5588" s="1">
        <v>507</v>
      </c>
      <c r="D5588" s="39">
        <f t="shared" si="507"/>
        <v>4377</v>
      </c>
      <c r="E5588" s="1"/>
      <c r="F5588" s="522">
        <f t="shared" si="506"/>
        <v>51</v>
      </c>
      <c r="G5588" s="395"/>
      <c r="H5588" s="395"/>
      <c r="J5588" s="42"/>
    </row>
    <row r="5589" spans="1:10" s="393" customFormat="1" x14ac:dyDescent="0.25">
      <c r="A5589" s="402" t="s">
        <v>37</v>
      </c>
      <c r="B5589" s="2">
        <v>44125</v>
      </c>
      <c r="C5589" s="1">
        <v>197</v>
      </c>
      <c r="D5589" s="39">
        <f t="shared" si="507"/>
        <v>7760</v>
      </c>
      <c r="E5589" s="1">
        <f>1</f>
        <v>1</v>
      </c>
      <c r="F5589" s="522">
        <f t="shared" si="506"/>
        <v>103</v>
      </c>
      <c r="G5589" s="395"/>
      <c r="H5589" s="395"/>
      <c r="J5589" s="42"/>
    </row>
    <row r="5590" spans="1:10" s="393" customFormat="1" x14ac:dyDescent="0.25">
      <c r="A5590" s="402" t="s">
        <v>22</v>
      </c>
      <c r="B5590" s="2">
        <v>44125</v>
      </c>
      <c r="C5590" s="1">
        <v>2673</v>
      </c>
      <c r="D5590" s="39">
        <f t="shared" si="507"/>
        <v>86122</v>
      </c>
      <c r="E5590" s="1">
        <f>29+23</f>
        <v>52</v>
      </c>
      <c r="F5590" s="522">
        <f t="shared" si="506"/>
        <v>969</v>
      </c>
      <c r="G5590" s="395"/>
      <c r="H5590" s="395"/>
      <c r="J5590" s="42"/>
    </row>
    <row r="5591" spans="1:10" s="393" customFormat="1" x14ac:dyDescent="0.25">
      <c r="A5591" s="402" t="s">
        <v>38</v>
      </c>
      <c r="B5591" s="2">
        <v>44125</v>
      </c>
      <c r="C5591" s="1">
        <v>185</v>
      </c>
      <c r="D5591" s="39">
        <f>C5591+D5567</f>
        <v>7249</v>
      </c>
      <c r="E5591" s="1">
        <f>1</f>
        <v>1</v>
      </c>
      <c r="F5591" s="522">
        <f t="shared" si="506"/>
        <v>104</v>
      </c>
      <c r="G5591" s="395"/>
      <c r="H5591" s="395"/>
      <c r="J5591" s="42"/>
    </row>
    <row r="5592" spans="1:10" s="393" customFormat="1" x14ac:dyDescent="0.25">
      <c r="A5592" s="402" t="s">
        <v>39</v>
      </c>
      <c r="B5592" s="2">
        <v>44125</v>
      </c>
      <c r="C5592" s="1">
        <v>205</v>
      </c>
      <c r="D5592" s="39">
        <f>C5592+D5568</f>
        <v>8886</v>
      </c>
      <c r="E5592" s="1">
        <f>4</f>
        <v>4</v>
      </c>
      <c r="F5592" s="522">
        <f t="shared" si="506"/>
        <v>107</v>
      </c>
      <c r="G5592" s="395"/>
      <c r="H5592" s="395"/>
      <c r="J5592" s="42"/>
    </row>
    <row r="5593" spans="1:10" s="393" customFormat="1" ht="15.75" thickBot="1" x14ac:dyDescent="0.3">
      <c r="A5593" s="404" t="s">
        <v>40</v>
      </c>
      <c r="B5593" s="268">
        <v>44125</v>
      </c>
      <c r="C5593" s="44">
        <v>1560</v>
      </c>
      <c r="D5593" s="39">
        <f t="shared" ref="D5593:D5614" si="508">C5593+D5569</f>
        <v>39104</v>
      </c>
      <c r="E5593" s="44">
        <f>38+20</f>
        <v>58</v>
      </c>
      <c r="F5593" s="632">
        <f t="shared" si="506"/>
        <v>546</v>
      </c>
      <c r="G5593" s="395"/>
      <c r="H5593" s="395"/>
      <c r="J5593" s="42"/>
    </row>
    <row r="5594" spans="1:10" s="393" customFormat="1" ht="15.75" thickBot="1" x14ac:dyDescent="0.3">
      <c r="A5594" s="397" t="s">
        <v>16</v>
      </c>
      <c r="B5594" s="267">
        <v>44126</v>
      </c>
      <c r="C5594" s="43">
        <v>4854</v>
      </c>
      <c r="D5594" s="264">
        <f t="shared" si="508"/>
        <v>517444</v>
      </c>
      <c r="E5594" s="43">
        <v>193</v>
      </c>
      <c r="F5594" s="630">
        <f t="shared" si="506"/>
        <v>16474</v>
      </c>
      <c r="G5594" s="395"/>
      <c r="H5594" s="395"/>
      <c r="J5594" s="42"/>
    </row>
    <row r="5595" spans="1:10" s="393" customFormat="1" ht="15.75" thickBot="1" x14ac:dyDescent="0.3">
      <c r="A5595" s="402" t="s">
        <v>43</v>
      </c>
      <c r="B5595" s="267">
        <v>44126</v>
      </c>
      <c r="C5595" s="1">
        <v>566</v>
      </c>
      <c r="D5595" s="39">
        <f t="shared" si="508"/>
        <v>142496</v>
      </c>
      <c r="E5595" s="1">
        <f>31+21</f>
        <v>52</v>
      </c>
      <c r="F5595" s="522">
        <f t="shared" si="506"/>
        <v>4385</v>
      </c>
      <c r="G5595" s="395"/>
      <c r="H5595" s="395"/>
      <c r="J5595" s="42"/>
    </row>
    <row r="5596" spans="1:10" s="393" customFormat="1" ht="15.75" thickBot="1" x14ac:dyDescent="0.3">
      <c r="A5596" s="402" t="s">
        <v>28</v>
      </c>
      <c r="B5596" s="267">
        <v>44126</v>
      </c>
      <c r="C5596" s="1">
        <v>27</v>
      </c>
      <c r="D5596" s="39">
        <f t="shared" si="508"/>
        <v>552</v>
      </c>
      <c r="E5596" s="1"/>
      <c r="F5596" s="522">
        <f t="shared" si="506"/>
        <v>0</v>
      </c>
      <c r="G5596" s="395"/>
      <c r="H5596" s="395"/>
      <c r="J5596" s="42"/>
    </row>
    <row r="5597" spans="1:10" s="393" customFormat="1" ht="15.75" thickBot="1" x14ac:dyDescent="0.3">
      <c r="A5597" s="402" t="s">
        <v>15</v>
      </c>
      <c r="B5597" s="267">
        <v>44126</v>
      </c>
      <c r="C5597" s="1">
        <v>254</v>
      </c>
      <c r="D5597" s="39">
        <f t="shared" si="508"/>
        <v>12550</v>
      </c>
      <c r="E5597" s="1">
        <f>5+2</f>
        <v>7</v>
      </c>
      <c r="F5597" s="522">
        <f t="shared" si="506"/>
        <v>389</v>
      </c>
      <c r="G5597" s="395"/>
      <c r="H5597" s="395"/>
      <c r="J5597" s="42"/>
    </row>
    <row r="5598" spans="1:10" s="393" customFormat="1" ht="15.75" thickBot="1" x14ac:dyDescent="0.3">
      <c r="A5598" s="402" t="s">
        <v>29</v>
      </c>
      <c r="B5598" s="267">
        <v>44126</v>
      </c>
      <c r="C5598" s="1">
        <v>670</v>
      </c>
      <c r="D5598" s="39">
        <f t="shared" si="508"/>
        <v>10928</v>
      </c>
      <c r="E5598" s="1">
        <f>2+2</f>
        <v>4</v>
      </c>
      <c r="F5598" s="522">
        <f t="shared" si="506"/>
        <v>198</v>
      </c>
      <c r="G5598" s="395"/>
      <c r="H5598" s="395"/>
      <c r="J5598" s="42"/>
    </row>
    <row r="5599" spans="1:10" s="393" customFormat="1" ht="15.75" thickBot="1" x14ac:dyDescent="0.3">
      <c r="A5599" s="402" t="s">
        <v>20</v>
      </c>
      <c r="B5599" s="267">
        <v>44126</v>
      </c>
      <c r="C5599" s="1">
        <v>1857</v>
      </c>
      <c r="D5599" s="39">
        <f t="shared" si="508"/>
        <v>70624</v>
      </c>
      <c r="E5599" s="1">
        <f>21+8</f>
        <v>29</v>
      </c>
      <c r="F5599" s="522">
        <f t="shared" si="506"/>
        <v>1007</v>
      </c>
      <c r="G5599" s="395"/>
      <c r="H5599" s="395"/>
      <c r="J5599" s="42"/>
    </row>
    <row r="5600" spans="1:10" s="393" customFormat="1" ht="15.75" thickBot="1" x14ac:dyDescent="0.3">
      <c r="A5600" s="402" t="s">
        <v>30</v>
      </c>
      <c r="B5600" s="267">
        <v>44126</v>
      </c>
      <c r="C5600" s="1">
        <v>34</v>
      </c>
      <c r="D5600" s="39">
        <f t="shared" si="508"/>
        <v>2188</v>
      </c>
      <c r="E5600" s="1"/>
      <c r="F5600" s="522">
        <f t="shared" si="506"/>
        <v>36</v>
      </c>
      <c r="G5600" s="395"/>
      <c r="H5600" s="395"/>
      <c r="J5600" s="42"/>
    </row>
    <row r="5601" spans="1:10" ht="15.75" thickBot="1" x14ac:dyDescent="0.3">
      <c r="A5601" s="402" t="s">
        <v>31</v>
      </c>
      <c r="B5601" s="267">
        <v>44126</v>
      </c>
      <c r="C5601" s="1">
        <v>393</v>
      </c>
      <c r="D5601" s="39">
        <f t="shared" si="508"/>
        <v>12954</v>
      </c>
      <c r="E5601" s="1">
        <f>2+2</f>
        <v>4</v>
      </c>
      <c r="F5601" s="522">
        <f t="shared" si="506"/>
        <v>222</v>
      </c>
    </row>
    <row r="5602" spans="1:10" s="393" customFormat="1" ht="15.75" thickBot="1" x14ac:dyDescent="0.3">
      <c r="A5602" s="402" t="s">
        <v>41</v>
      </c>
      <c r="B5602" s="267">
        <v>44126</v>
      </c>
      <c r="C5602" s="1">
        <v>-7</v>
      </c>
      <c r="D5602" s="39">
        <f t="shared" si="508"/>
        <v>140</v>
      </c>
      <c r="E5602" s="1"/>
      <c r="F5602" s="522">
        <f t="shared" si="506"/>
        <v>1</v>
      </c>
      <c r="G5602" s="395"/>
      <c r="H5602" s="395"/>
      <c r="J5602" s="42"/>
    </row>
    <row r="5603" spans="1:10" s="393" customFormat="1" ht="15.75" thickBot="1" x14ac:dyDescent="0.3">
      <c r="A5603" s="402" t="s">
        <v>32</v>
      </c>
      <c r="B5603" s="267">
        <v>44126</v>
      </c>
      <c r="C5603" s="1">
        <v>59</v>
      </c>
      <c r="D5603" s="39">
        <f t="shared" si="508"/>
        <v>17471</v>
      </c>
      <c r="E5603" s="1">
        <f>5+1</f>
        <v>6</v>
      </c>
      <c r="F5603" s="522">
        <f t="shared" si="506"/>
        <v>747</v>
      </c>
      <c r="G5603" s="395"/>
      <c r="H5603" s="395"/>
      <c r="J5603" s="42"/>
    </row>
    <row r="5604" spans="1:10" s="393" customFormat="1" ht="15.75" thickBot="1" x14ac:dyDescent="0.3">
      <c r="A5604" s="402" t="s">
        <v>33</v>
      </c>
      <c r="B5604" s="267">
        <v>44126</v>
      </c>
      <c r="C5604" s="1">
        <v>161</v>
      </c>
      <c r="D5604" s="39">
        <f t="shared" si="508"/>
        <v>2130</v>
      </c>
      <c r="E5604" s="1">
        <f>3</f>
        <v>3</v>
      </c>
      <c r="F5604" s="522">
        <f t="shared" si="506"/>
        <v>23</v>
      </c>
      <c r="G5604" s="395"/>
      <c r="H5604" s="395"/>
      <c r="J5604" s="42"/>
    </row>
    <row r="5605" spans="1:10" s="393" customFormat="1" ht="15.75" thickBot="1" x14ac:dyDescent="0.3">
      <c r="A5605" s="402" t="s">
        <v>21</v>
      </c>
      <c r="B5605" s="267">
        <v>44126</v>
      </c>
      <c r="C5605" s="1">
        <v>62</v>
      </c>
      <c r="D5605" s="39">
        <f t="shared" si="508"/>
        <v>6861</v>
      </c>
      <c r="E5605" s="1"/>
      <c r="F5605" s="522">
        <f t="shared" si="506"/>
        <v>234</v>
      </c>
      <c r="G5605" s="395"/>
      <c r="H5605" s="395"/>
      <c r="J5605" s="42"/>
    </row>
    <row r="5606" spans="1:10" s="393" customFormat="1" ht="15.75" thickBot="1" x14ac:dyDescent="0.3">
      <c r="A5606" s="402" t="s">
        <v>17</v>
      </c>
      <c r="B5606" s="267">
        <v>44126</v>
      </c>
      <c r="C5606" s="1">
        <v>936</v>
      </c>
      <c r="D5606" s="39">
        <f t="shared" si="508"/>
        <v>40905</v>
      </c>
      <c r="E5606" s="1">
        <f>11+6</f>
        <v>17</v>
      </c>
      <c r="F5606" s="522">
        <f t="shared" si="506"/>
        <v>672</v>
      </c>
      <c r="G5606" s="395"/>
      <c r="H5606" s="395"/>
      <c r="J5606" s="42"/>
    </row>
    <row r="5607" spans="1:10" s="393" customFormat="1" ht="15.75" thickBot="1" x14ac:dyDescent="0.3">
      <c r="A5607" s="402" t="s">
        <v>23</v>
      </c>
      <c r="B5607" s="267">
        <v>44126</v>
      </c>
      <c r="C5607" s="1">
        <v>9</v>
      </c>
      <c r="D5607" s="39">
        <f t="shared" si="508"/>
        <v>207</v>
      </c>
      <c r="E5607" s="1"/>
      <c r="F5607" s="522">
        <f t="shared" si="506"/>
        <v>4</v>
      </c>
      <c r="G5607" s="395"/>
      <c r="H5607" s="395"/>
      <c r="J5607" s="42"/>
    </row>
    <row r="5608" spans="1:10" s="393" customFormat="1" ht="15.75" thickBot="1" x14ac:dyDescent="0.3">
      <c r="A5608" s="402" t="s">
        <v>19</v>
      </c>
      <c r="B5608" s="267">
        <v>44126</v>
      </c>
      <c r="C5608" s="1">
        <v>567</v>
      </c>
      <c r="D5608" s="39">
        <f t="shared" si="508"/>
        <v>18202</v>
      </c>
      <c r="E5608" s="1">
        <f>1</f>
        <v>1</v>
      </c>
      <c r="F5608" s="522">
        <f t="shared" si="506"/>
        <v>318</v>
      </c>
      <c r="G5608" s="395"/>
      <c r="H5608" s="395"/>
      <c r="J5608" s="42"/>
    </row>
    <row r="5609" spans="1:10" s="393" customFormat="1" ht="15.75" thickBot="1" x14ac:dyDescent="0.3">
      <c r="A5609" s="402" t="s">
        <v>18</v>
      </c>
      <c r="B5609" s="267">
        <v>44126</v>
      </c>
      <c r="C5609" s="1">
        <v>511</v>
      </c>
      <c r="D5609" s="39">
        <f t="shared" si="508"/>
        <v>20838</v>
      </c>
      <c r="E5609" s="1">
        <f>6+3</f>
        <v>9</v>
      </c>
      <c r="F5609" s="522">
        <f t="shared" si="506"/>
        <v>528</v>
      </c>
      <c r="G5609" s="395"/>
      <c r="H5609" s="395"/>
      <c r="J5609" s="42"/>
    </row>
    <row r="5610" spans="1:10" s="393" customFormat="1" ht="15.75" thickBot="1" x14ac:dyDescent="0.3">
      <c r="A5610" s="402" t="s">
        <v>34</v>
      </c>
      <c r="B5610" s="267">
        <v>44126</v>
      </c>
      <c r="C5610" s="1">
        <v>287</v>
      </c>
      <c r="D5610" s="39">
        <f t="shared" si="508"/>
        <v>17454</v>
      </c>
      <c r="E5610" s="1">
        <f>14+4</f>
        <v>18</v>
      </c>
      <c r="F5610" s="522">
        <f t="shared" ref="F5610:F5673" si="509">E5610+F5586</f>
        <v>667</v>
      </c>
      <c r="G5610" s="395"/>
      <c r="H5610" s="395"/>
      <c r="J5610" s="42"/>
    </row>
    <row r="5611" spans="1:10" s="393" customFormat="1" ht="15.75" thickBot="1" x14ac:dyDescent="0.3">
      <c r="A5611" s="402" t="s">
        <v>35</v>
      </c>
      <c r="B5611" s="267">
        <v>44126</v>
      </c>
      <c r="C5611" s="1">
        <v>7</v>
      </c>
      <c r="D5611" s="39">
        <f t="shared" si="508"/>
        <v>1322</v>
      </c>
      <c r="E5611" s="1"/>
      <c r="F5611" s="522">
        <f t="shared" si="509"/>
        <v>76</v>
      </c>
      <c r="G5611" s="395"/>
      <c r="H5611" s="395"/>
      <c r="J5611" s="42"/>
    </row>
    <row r="5612" spans="1:10" s="393" customFormat="1" ht="15.75" thickBot="1" x14ac:dyDescent="0.3">
      <c r="A5612" s="402" t="s">
        <v>36</v>
      </c>
      <c r="B5612" s="267">
        <v>44126</v>
      </c>
      <c r="C5612" s="1">
        <v>369</v>
      </c>
      <c r="D5612" s="39">
        <f t="shared" si="508"/>
        <v>4746</v>
      </c>
      <c r="E5612" s="1">
        <f>1</f>
        <v>1</v>
      </c>
      <c r="F5612" s="522">
        <f t="shared" si="509"/>
        <v>52</v>
      </c>
      <c r="G5612" s="395"/>
      <c r="H5612" s="395"/>
      <c r="J5612" s="42"/>
    </row>
    <row r="5613" spans="1:10" s="393" customFormat="1" ht="15.75" thickBot="1" x14ac:dyDescent="0.3">
      <c r="A5613" s="402" t="s">
        <v>37</v>
      </c>
      <c r="B5613" s="267">
        <v>44126</v>
      </c>
      <c r="C5613" s="1">
        <v>195</v>
      </c>
      <c r="D5613" s="39">
        <f t="shared" si="508"/>
        <v>7955</v>
      </c>
      <c r="E5613" s="1">
        <f>3+2</f>
        <v>5</v>
      </c>
      <c r="F5613" s="522">
        <f t="shared" si="509"/>
        <v>108</v>
      </c>
      <c r="G5613" s="395"/>
      <c r="H5613" s="395"/>
      <c r="J5613" s="42"/>
    </row>
    <row r="5614" spans="1:10" s="393" customFormat="1" ht="15.75" thickBot="1" x14ac:dyDescent="0.3">
      <c r="A5614" s="402" t="s">
        <v>22</v>
      </c>
      <c r="B5614" s="267">
        <v>44126</v>
      </c>
      <c r="C5614" s="1">
        <v>2536</v>
      </c>
      <c r="D5614" s="39">
        <f t="shared" si="508"/>
        <v>88658</v>
      </c>
      <c r="E5614" s="1">
        <f>21+17</f>
        <v>38</v>
      </c>
      <c r="F5614" s="522">
        <f t="shared" si="509"/>
        <v>1007</v>
      </c>
      <c r="G5614" s="395"/>
      <c r="H5614" s="395"/>
      <c r="J5614" s="42"/>
    </row>
    <row r="5615" spans="1:10" s="393" customFormat="1" ht="15.75" thickBot="1" x14ac:dyDescent="0.3">
      <c r="A5615" s="402" t="s">
        <v>38</v>
      </c>
      <c r="B5615" s="267">
        <v>44126</v>
      </c>
      <c r="C5615" s="1">
        <v>247</v>
      </c>
      <c r="D5615" s="39">
        <f>C5615+D5591</f>
        <v>7496</v>
      </c>
      <c r="E5615" s="1">
        <f>2</f>
        <v>2</v>
      </c>
      <c r="F5615" s="522">
        <f t="shared" si="509"/>
        <v>106</v>
      </c>
      <c r="G5615" s="395"/>
      <c r="H5615" s="395"/>
      <c r="J5615" s="42"/>
    </row>
    <row r="5616" spans="1:10" s="393" customFormat="1" ht="15.75" thickBot="1" x14ac:dyDescent="0.3">
      <c r="A5616" s="402" t="s">
        <v>39</v>
      </c>
      <c r="B5616" s="267">
        <v>44126</v>
      </c>
      <c r="C5616" s="1">
        <v>254</v>
      </c>
      <c r="D5616" s="39">
        <f>C5616+D5592</f>
        <v>9140</v>
      </c>
      <c r="E5616" s="1">
        <f>4+1</f>
        <v>5</v>
      </c>
      <c r="F5616" s="522">
        <f t="shared" si="509"/>
        <v>112</v>
      </c>
      <c r="G5616" s="395"/>
      <c r="H5616" s="395"/>
      <c r="J5616" s="42"/>
    </row>
    <row r="5617" spans="1:10" s="393" customFormat="1" ht="15.75" thickBot="1" x14ac:dyDescent="0.3">
      <c r="A5617" s="404" t="s">
        <v>40</v>
      </c>
      <c r="B5617" s="267">
        <v>44126</v>
      </c>
      <c r="C5617" s="44">
        <v>1477</v>
      </c>
      <c r="D5617" s="39">
        <f t="shared" ref="D5617:D5638" si="510">C5617+D5593</f>
        <v>40581</v>
      </c>
      <c r="E5617" s="44">
        <f>26+15</f>
        <v>41</v>
      </c>
      <c r="F5617" s="632">
        <f t="shared" si="509"/>
        <v>587</v>
      </c>
      <c r="G5617" s="395"/>
      <c r="H5617" s="395"/>
      <c r="J5617" s="42"/>
    </row>
    <row r="5618" spans="1:10" s="393" customFormat="1" ht="15.75" thickBot="1" x14ac:dyDescent="0.3">
      <c r="A5618" s="397" t="s">
        <v>16</v>
      </c>
      <c r="B5618" s="267">
        <v>44127</v>
      </c>
      <c r="C5618" s="1">
        <v>4649</v>
      </c>
      <c r="D5618" s="264">
        <f t="shared" si="510"/>
        <v>522093</v>
      </c>
      <c r="E5618" s="1">
        <f>83+56</f>
        <v>139</v>
      </c>
      <c r="F5618" s="630">
        <f t="shared" si="509"/>
        <v>16613</v>
      </c>
      <c r="G5618" s="395"/>
      <c r="H5618" s="395"/>
      <c r="J5618" s="42"/>
    </row>
    <row r="5619" spans="1:10" s="393" customFormat="1" ht="15.75" thickBot="1" x14ac:dyDescent="0.3">
      <c r="A5619" s="402" t="s">
        <v>43</v>
      </c>
      <c r="B5619" s="267">
        <v>44127</v>
      </c>
      <c r="C5619" s="1">
        <v>585</v>
      </c>
      <c r="D5619" s="39">
        <f t="shared" si="510"/>
        <v>143081</v>
      </c>
      <c r="E5619" s="1">
        <f>1+28+24</f>
        <v>53</v>
      </c>
      <c r="F5619" s="522">
        <f t="shared" si="509"/>
        <v>4438</v>
      </c>
      <c r="G5619" s="395"/>
      <c r="H5619" s="395"/>
      <c r="J5619" s="42"/>
    </row>
    <row r="5620" spans="1:10" s="393" customFormat="1" ht="15.75" thickBot="1" x14ac:dyDescent="0.3">
      <c r="A5620" s="402" t="s">
        <v>28</v>
      </c>
      <c r="B5620" s="267">
        <v>44127</v>
      </c>
      <c r="C5620" s="1">
        <v>11</v>
      </c>
      <c r="D5620" s="39">
        <f t="shared" si="510"/>
        <v>563</v>
      </c>
      <c r="E5620" s="1"/>
      <c r="F5620" s="522">
        <f t="shared" si="509"/>
        <v>0</v>
      </c>
      <c r="G5620" s="395"/>
      <c r="H5620" s="395"/>
      <c r="J5620" s="42"/>
    </row>
    <row r="5621" spans="1:10" s="393" customFormat="1" ht="15.75" thickBot="1" x14ac:dyDescent="0.3">
      <c r="A5621" s="402" t="s">
        <v>15</v>
      </c>
      <c r="B5621" s="267">
        <v>44127</v>
      </c>
      <c r="C5621" s="1">
        <v>231</v>
      </c>
      <c r="D5621" s="39">
        <f t="shared" si="510"/>
        <v>12781</v>
      </c>
      <c r="E5621" s="1">
        <f>4+1</f>
        <v>5</v>
      </c>
      <c r="F5621" s="522">
        <f t="shared" si="509"/>
        <v>394</v>
      </c>
      <c r="G5621" s="395"/>
      <c r="H5621" s="395"/>
      <c r="J5621" s="42"/>
    </row>
    <row r="5622" spans="1:10" s="393" customFormat="1" ht="15.75" thickBot="1" x14ac:dyDescent="0.3">
      <c r="A5622" s="402" t="s">
        <v>29</v>
      </c>
      <c r="B5622" s="267">
        <v>44127</v>
      </c>
      <c r="C5622" s="1">
        <v>673</v>
      </c>
      <c r="D5622" s="39">
        <f t="shared" si="510"/>
        <v>11601</v>
      </c>
      <c r="E5622" s="1">
        <f>5+3</f>
        <v>8</v>
      </c>
      <c r="F5622" s="522">
        <f t="shared" si="509"/>
        <v>206</v>
      </c>
      <c r="G5622" s="395"/>
      <c r="H5622" s="395"/>
      <c r="J5622" s="42"/>
    </row>
    <row r="5623" spans="1:10" s="393" customFormat="1" ht="15.75" thickBot="1" x14ac:dyDescent="0.3">
      <c r="A5623" s="402" t="s">
        <v>20</v>
      </c>
      <c r="B5623" s="267">
        <v>44127</v>
      </c>
      <c r="C5623" s="1">
        <v>2134</v>
      </c>
      <c r="D5623" s="39">
        <f t="shared" si="510"/>
        <v>72758</v>
      </c>
      <c r="E5623" s="1">
        <f>26+13</f>
        <v>39</v>
      </c>
      <c r="F5623" s="522">
        <f t="shared" si="509"/>
        <v>1046</v>
      </c>
      <c r="G5623" s="395"/>
      <c r="H5623" s="395"/>
      <c r="J5623" s="42"/>
    </row>
    <row r="5624" spans="1:10" s="393" customFormat="1" ht="15.75" thickBot="1" x14ac:dyDescent="0.3">
      <c r="A5624" s="402" t="s">
        <v>30</v>
      </c>
      <c r="B5624" s="267">
        <v>44127</v>
      </c>
      <c r="C5624" s="1">
        <v>12</v>
      </c>
      <c r="D5624" s="39">
        <f t="shared" si="510"/>
        <v>2200</v>
      </c>
      <c r="E5624" s="1">
        <f>2+2</f>
        <v>4</v>
      </c>
      <c r="F5624" s="522">
        <f t="shared" si="509"/>
        <v>40</v>
      </c>
      <c r="G5624" s="395"/>
      <c r="H5624" s="395"/>
      <c r="J5624" s="42"/>
    </row>
    <row r="5625" spans="1:10" ht="15.75" thickBot="1" x14ac:dyDescent="0.3">
      <c r="A5625" s="402" t="s">
        <v>31</v>
      </c>
      <c r="B5625" s="267">
        <v>44127</v>
      </c>
      <c r="C5625" s="1">
        <v>475</v>
      </c>
      <c r="D5625" s="39">
        <f t="shared" si="510"/>
        <v>13429</v>
      </c>
      <c r="E5625" s="1">
        <f>3+2</f>
        <v>5</v>
      </c>
      <c r="F5625" s="522">
        <f t="shared" si="509"/>
        <v>227</v>
      </c>
    </row>
    <row r="5626" spans="1:10" s="393" customFormat="1" ht="15.75" thickBot="1" x14ac:dyDescent="0.3">
      <c r="A5626" s="402" t="s">
        <v>41</v>
      </c>
      <c r="B5626" s="267">
        <v>44127</v>
      </c>
      <c r="C5626" s="1">
        <v>2</v>
      </c>
      <c r="D5626" s="39">
        <f t="shared" si="510"/>
        <v>142</v>
      </c>
      <c r="E5626" s="1"/>
      <c r="F5626" s="522">
        <f t="shared" si="509"/>
        <v>1</v>
      </c>
      <c r="G5626" s="395"/>
      <c r="H5626" s="395"/>
      <c r="J5626" s="42"/>
    </row>
    <row r="5627" spans="1:10" s="393" customFormat="1" ht="15.75" thickBot="1" x14ac:dyDescent="0.3">
      <c r="A5627" s="402" t="s">
        <v>32</v>
      </c>
      <c r="B5627" s="267">
        <v>44127</v>
      </c>
      <c r="C5627" s="1">
        <v>46</v>
      </c>
      <c r="D5627" s="39">
        <f t="shared" si="510"/>
        <v>17517</v>
      </c>
      <c r="E5627" s="1">
        <f>15+6</f>
        <v>21</v>
      </c>
      <c r="F5627" s="522">
        <f t="shared" si="509"/>
        <v>768</v>
      </c>
      <c r="G5627" s="395"/>
      <c r="H5627" s="395"/>
      <c r="J5627" s="42"/>
    </row>
    <row r="5628" spans="1:10" s="393" customFormat="1" ht="15.75" thickBot="1" x14ac:dyDescent="0.3">
      <c r="A5628" s="402" t="s">
        <v>33</v>
      </c>
      <c r="B5628" s="267">
        <v>44127</v>
      </c>
      <c r="C5628" s="1">
        <v>129</v>
      </c>
      <c r="D5628" s="39">
        <f t="shared" si="510"/>
        <v>2259</v>
      </c>
      <c r="E5628" s="1">
        <f>2</f>
        <v>2</v>
      </c>
      <c r="F5628" s="522">
        <f t="shared" si="509"/>
        <v>25</v>
      </c>
      <c r="G5628" s="395"/>
      <c r="H5628" s="395"/>
      <c r="J5628" s="42"/>
    </row>
    <row r="5629" spans="1:10" s="393" customFormat="1" ht="15.75" thickBot="1" x14ac:dyDescent="0.3">
      <c r="A5629" s="402" t="s">
        <v>21</v>
      </c>
      <c r="B5629" s="267">
        <v>44127</v>
      </c>
      <c r="C5629" s="1">
        <v>109</v>
      </c>
      <c r="D5629" s="39">
        <f t="shared" si="510"/>
        <v>6970</v>
      </c>
      <c r="E5629" s="1">
        <f>5</f>
        <v>5</v>
      </c>
      <c r="F5629" s="522">
        <f t="shared" si="509"/>
        <v>239</v>
      </c>
      <c r="G5629" s="395"/>
      <c r="H5629" s="395"/>
      <c r="J5629" s="42"/>
    </row>
    <row r="5630" spans="1:10" s="393" customFormat="1" ht="15.75" thickBot="1" x14ac:dyDescent="0.3">
      <c r="A5630" s="402" t="s">
        <v>17</v>
      </c>
      <c r="B5630" s="267">
        <v>44127</v>
      </c>
      <c r="C5630" s="1">
        <v>830</v>
      </c>
      <c r="D5630" s="39">
        <f t="shared" si="510"/>
        <v>41735</v>
      </c>
      <c r="E5630" s="1">
        <f>7+4</f>
        <v>11</v>
      </c>
      <c r="F5630" s="522">
        <f t="shared" si="509"/>
        <v>683</v>
      </c>
      <c r="G5630" s="395"/>
      <c r="H5630" s="395"/>
      <c r="J5630" s="42"/>
    </row>
    <row r="5631" spans="1:10" s="393" customFormat="1" ht="15.75" thickBot="1" x14ac:dyDescent="0.3">
      <c r="A5631" s="402" t="s">
        <v>23</v>
      </c>
      <c r="B5631" s="267">
        <v>44127</v>
      </c>
      <c r="C5631" s="1">
        <v>2</v>
      </c>
      <c r="D5631" s="39">
        <f t="shared" si="510"/>
        <v>209</v>
      </c>
      <c r="E5631" s="1"/>
      <c r="F5631" s="522">
        <f t="shared" si="509"/>
        <v>4</v>
      </c>
      <c r="G5631" s="395"/>
      <c r="H5631" s="395"/>
      <c r="J5631" s="42"/>
    </row>
    <row r="5632" spans="1:10" s="393" customFormat="1" ht="15.75" thickBot="1" x14ac:dyDescent="0.3">
      <c r="A5632" s="402" t="s">
        <v>19</v>
      </c>
      <c r="B5632" s="267">
        <v>44127</v>
      </c>
      <c r="C5632" s="1">
        <v>411</v>
      </c>
      <c r="D5632" s="39">
        <f t="shared" si="510"/>
        <v>18613</v>
      </c>
      <c r="E5632" s="1">
        <v>16</v>
      </c>
      <c r="F5632" s="522">
        <f t="shared" si="509"/>
        <v>334</v>
      </c>
      <c r="G5632" s="395"/>
      <c r="H5632" s="395"/>
      <c r="J5632" s="42"/>
    </row>
    <row r="5633" spans="1:10" s="393" customFormat="1" ht="15.75" thickBot="1" x14ac:dyDescent="0.3">
      <c r="A5633" s="402" t="s">
        <v>18</v>
      </c>
      <c r="B5633" s="267">
        <v>44127</v>
      </c>
      <c r="C5633" s="1">
        <v>417</v>
      </c>
      <c r="D5633" s="39">
        <f t="shared" si="510"/>
        <v>21255</v>
      </c>
      <c r="E5633" s="1">
        <f>4+7</f>
        <v>11</v>
      </c>
      <c r="F5633" s="522">
        <f t="shared" si="509"/>
        <v>539</v>
      </c>
      <c r="G5633" s="395"/>
      <c r="H5633" s="395"/>
      <c r="J5633" s="42"/>
    </row>
    <row r="5634" spans="1:10" s="393" customFormat="1" ht="15.75" thickBot="1" x14ac:dyDescent="0.3">
      <c r="A5634" s="402" t="s">
        <v>34</v>
      </c>
      <c r="B5634" s="267">
        <v>44127</v>
      </c>
      <c r="C5634" s="1">
        <v>238</v>
      </c>
      <c r="D5634" s="39">
        <f t="shared" si="510"/>
        <v>17692</v>
      </c>
      <c r="E5634" s="1">
        <v>12</v>
      </c>
      <c r="F5634" s="522">
        <f t="shared" si="509"/>
        <v>679</v>
      </c>
      <c r="G5634" s="395"/>
      <c r="H5634" s="395"/>
      <c r="J5634" s="42"/>
    </row>
    <row r="5635" spans="1:10" s="393" customFormat="1" ht="15.75" thickBot="1" x14ac:dyDescent="0.3">
      <c r="A5635" s="402" t="s">
        <v>35</v>
      </c>
      <c r="B5635" s="267">
        <v>44127</v>
      </c>
      <c r="C5635" s="1">
        <v>52</v>
      </c>
      <c r="D5635" s="39">
        <f t="shared" si="510"/>
        <v>1374</v>
      </c>
      <c r="E5635" s="1"/>
      <c r="F5635" s="522">
        <f t="shared" si="509"/>
        <v>76</v>
      </c>
      <c r="G5635" s="395"/>
      <c r="H5635" s="395"/>
      <c r="J5635" s="42"/>
    </row>
    <row r="5636" spans="1:10" s="393" customFormat="1" ht="15.75" thickBot="1" x14ac:dyDescent="0.3">
      <c r="A5636" s="402" t="s">
        <v>36</v>
      </c>
      <c r="B5636" s="267">
        <v>44127</v>
      </c>
      <c r="C5636" s="1">
        <v>316</v>
      </c>
      <c r="D5636" s="39">
        <f t="shared" si="510"/>
        <v>5062</v>
      </c>
      <c r="E5636" s="1"/>
      <c r="F5636" s="522">
        <f t="shared" si="509"/>
        <v>52</v>
      </c>
      <c r="G5636" s="395"/>
      <c r="H5636" s="395"/>
      <c r="J5636" s="42"/>
    </row>
    <row r="5637" spans="1:10" s="393" customFormat="1" ht="15.75" thickBot="1" x14ac:dyDescent="0.3">
      <c r="A5637" s="402" t="s">
        <v>37</v>
      </c>
      <c r="B5637" s="267">
        <v>44127</v>
      </c>
      <c r="C5637" s="1">
        <v>200</v>
      </c>
      <c r="D5637" s="39">
        <f t="shared" si="510"/>
        <v>8155</v>
      </c>
      <c r="E5637" s="1">
        <f>4+1</f>
        <v>5</v>
      </c>
      <c r="F5637" s="522">
        <f t="shared" si="509"/>
        <v>113</v>
      </c>
      <c r="G5637" s="395"/>
      <c r="H5637" s="395"/>
      <c r="J5637" s="42"/>
    </row>
    <row r="5638" spans="1:10" s="393" customFormat="1" ht="15.75" thickBot="1" x14ac:dyDescent="0.3">
      <c r="A5638" s="402" t="s">
        <v>22</v>
      </c>
      <c r="B5638" s="267">
        <v>44127</v>
      </c>
      <c r="C5638" s="1">
        <v>2517</v>
      </c>
      <c r="D5638" s="39">
        <f t="shared" si="510"/>
        <v>91175</v>
      </c>
      <c r="E5638" s="1">
        <f>16+11</f>
        <v>27</v>
      </c>
      <c r="F5638" s="522">
        <f t="shared" si="509"/>
        <v>1034</v>
      </c>
      <c r="G5638" s="395"/>
      <c r="H5638" s="395"/>
      <c r="J5638" s="42"/>
    </row>
    <row r="5639" spans="1:10" s="393" customFormat="1" ht="15.75" thickBot="1" x14ac:dyDescent="0.3">
      <c r="A5639" s="402" t="s">
        <v>38</v>
      </c>
      <c r="B5639" s="267">
        <v>44127</v>
      </c>
      <c r="C5639" s="1">
        <v>316</v>
      </c>
      <c r="D5639" s="39">
        <f>C5639+D5615</f>
        <v>7812</v>
      </c>
      <c r="E5639" s="1"/>
      <c r="F5639" s="522">
        <f t="shared" si="509"/>
        <v>106</v>
      </c>
      <c r="G5639" s="395"/>
      <c r="H5639" s="395"/>
      <c r="J5639" s="42"/>
    </row>
    <row r="5640" spans="1:10" s="393" customFormat="1" ht="15.75" thickBot="1" x14ac:dyDescent="0.3">
      <c r="A5640" s="402" t="s">
        <v>39</v>
      </c>
      <c r="B5640" s="267">
        <v>44127</v>
      </c>
      <c r="C5640" s="1">
        <v>331</v>
      </c>
      <c r="D5640" s="39">
        <f>C5640+D5616</f>
        <v>9471</v>
      </c>
      <c r="E5640" s="1">
        <f>3+4</f>
        <v>7</v>
      </c>
      <c r="F5640" s="522">
        <f t="shared" si="509"/>
        <v>119</v>
      </c>
      <c r="G5640" s="395"/>
      <c r="H5640" s="395"/>
      <c r="J5640" s="42"/>
    </row>
    <row r="5641" spans="1:10" s="393" customFormat="1" ht="15.75" thickBot="1" x14ac:dyDescent="0.3">
      <c r="A5641" s="404" t="s">
        <v>40</v>
      </c>
      <c r="B5641" s="267">
        <v>44127</v>
      </c>
      <c r="C5641" s="1">
        <v>1032</v>
      </c>
      <c r="D5641" s="39">
        <f t="shared" ref="D5641:D5662" si="511">C5641+D5617</f>
        <v>41613</v>
      </c>
      <c r="E5641" s="1">
        <f>4+6</f>
        <v>10</v>
      </c>
      <c r="F5641" s="632">
        <f t="shared" si="509"/>
        <v>597</v>
      </c>
      <c r="G5641" s="395"/>
      <c r="H5641" s="395"/>
      <c r="J5641" s="42"/>
    </row>
    <row r="5642" spans="1:10" s="393" customFormat="1" ht="15.75" thickBot="1" x14ac:dyDescent="0.3">
      <c r="A5642" s="397" t="s">
        <v>16</v>
      </c>
      <c r="B5642" s="267">
        <v>44128</v>
      </c>
      <c r="C5642" s="1">
        <v>3030</v>
      </c>
      <c r="D5642" s="264">
        <f t="shared" si="511"/>
        <v>525123</v>
      </c>
      <c r="E5642" s="1">
        <f>55+41</f>
        <v>96</v>
      </c>
      <c r="F5642" s="630">
        <f t="shared" si="509"/>
        <v>16709</v>
      </c>
      <c r="G5642" s="395"/>
      <c r="H5642" s="395"/>
      <c r="J5642" s="42"/>
    </row>
    <row r="5643" spans="1:10" s="393" customFormat="1" ht="15.75" thickBot="1" x14ac:dyDescent="0.3">
      <c r="A5643" s="402" t="s">
        <v>43</v>
      </c>
      <c r="B5643" s="267">
        <v>44128</v>
      </c>
      <c r="C5643" s="1">
        <v>464</v>
      </c>
      <c r="D5643" s="39">
        <f t="shared" si="511"/>
        <v>143545</v>
      </c>
      <c r="E5643" s="1">
        <f>1+17+23</f>
        <v>41</v>
      </c>
      <c r="F5643" s="522">
        <f t="shared" si="509"/>
        <v>4479</v>
      </c>
      <c r="G5643" s="395"/>
      <c r="H5643" s="395"/>
      <c r="J5643" s="42"/>
    </row>
    <row r="5644" spans="1:10" s="393" customFormat="1" ht="15.75" thickBot="1" x14ac:dyDescent="0.3">
      <c r="A5644" s="402" t="s">
        <v>28</v>
      </c>
      <c r="B5644" s="267">
        <v>44128</v>
      </c>
      <c r="C5644" s="1">
        <v>33</v>
      </c>
      <c r="D5644" s="39">
        <f t="shared" si="511"/>
        <v>596</v>
      </c>
      <c r="E5644" s="1"/>
      <c r="F5644" s="522">
        <f t="shared" si="509"/>
        <v>0</v>
      </c>
      <c r="G5644" s="395"/>
      <c r="H5644" s="395"/>
      <c r="J5644" s="42"/>
    </row>
    <row r="5645" spans="1:10" s="393" customFormat="1" ht="15.75" thickBot="1" x14ac:dyDescent="0.3">
      <c r="A5645" s="402" t="s">
        <v>15</v>
      </c>
      <c r="B5645" s="267">
        <v>44128</v>
      </c>
      <c r="C5645" s="1">
        <v>147</v>
      </c>
      <c r="D5645" s="39">
        <f t="shared" si="511"/>
        <v>12928</v>
      </c>
      <c r="E5645" s="1">
        <f>5+1</f>
        <v>6</v>
      </c>
      <c r="F5645" s="522">
        <f t="shared" si="509"/>
        <v>400</v>
      </c>
      <c r="G5645" s="395"/>
      <c r="H5645" s="395"/>
      <c r="J5645" s="42"/>
    </row>
    <row r="5646" spans="1:10" s="393" customFormat="1" ht="15.75" thickBot="1" x14ac:dyDescent="0.3">
      <c r="A5646" s="402" t="s">
        <v>29</v>
      </c>
      <c r="B5646" s="267">
        <v>44128</v>
      </c>
      <c r="C5646" s="1">
        <v>351</v>
      </c>
      <c r="D5646" s="39">
        <f t="shared" si="511"/>
        <v>11952</v>
      </c>
      <c r="E5646" s="1">
        <f>3+2</f>
        <v>5</v>
      </c>
      <c r="F5646" s="522">
        <f t="shared" si="509"/>
        <v>211</v>
      </c>
      <c r="G5646" s="395"/>
      <c r="H5646" s="395"/>
      <c r="J5646" s="42"/>
    </row>
    <row r="5647" spans="1:10" s="393" customFormat="1" ht="15.75" thickBot="1" x14ac:dyDescent="0.3">
      <c r="A5647" s="402" t="s">
        <v>20</v>
      </c>
      <c r="B5647" s="267">
        <v>44128</v>
      </c>
      <c r="C5647" s="1">
        <v>1847</v>
      </c>
      <c r="D5647" s="39">
        <f t="shared" si="511"/>
        <v>74605</v>
      </c>
      <c r="E5647" s="1">
        <f>17+13</f>
        <v>30</v>
      </c>
      <c r="F5647" s="522">
        <f t="shared" si="509"/>
        <v>1076</v>
      </c>
      <c r="G5647" s="395"/>
      <c r="H5647" s="395"/>
      <c r="J5647" s="42"/>
    </row>
    <row r="5648" spans="1:10" s="393" customFormat="1" ht="15.75" thickBot="1" x14ac:dyDescent="0.3">
      <c r="A5648" s="402" t="s">
        <v>30</v>
      </c>
      <c r="B5648" s="267">
        <v>44128</v>
      </c>
      <c r="C5648" s="1">
        <v>45</v>
      </c>
      <c r="D5648" s="39">
        <f t="shared" si="511"/>
        <v>2245</v>
      </c>
      <c r="E5648" s="1"/>
      <c r="F5648" s="522">
        <f t="shared" si="509"/>
        <v>40</v>
      </c>
      <c r="G5648" s="395"/>
      <c r="H5648" s="395"/>
      <c r="J5648" s="42"/>
    </row>
    <row r="5649" spans="1:10" ht="15.75" thickBot="1" x14ac:dyDescent="0.3">
      <c r="A5649" s="402" t="s">
        <v>31</v>
      </c>
      <c r="B5649" s="267">
        <v>44128</v>
      </c>
      <c r="C5649" s="1">
        <v>309</v>
      </c>
      <c r="D5649" s="39">
        <f t="shared" si="511"/>
        <v>13738</v>
      </c>
      <c r="E5649" s="1">
        <f>1+1</f>
        <v>2</v>
      </c>
      <c r="F5649" s="522">
        <f t="shared" si="509"/>
        <v>229</v>
      </c>
    </row>
    <row r="5650" spans="1:10" s="393" customFormat="1" ht="15.75" thickBot="1" x14ac:dyDescent="0.3">
      <c r="A5650" s="402" t="s">
        <v>41</v>
      </c>
      <c r="B5650" s="267">
        <v>44128</v>
      </c>
      <c r="C5650" s="1">
        <v>0</v>
      </c>
      <c r="D5650" s="39">
        <f t="shared" si="511"/>
        <v>142</v>
      </c>
      <c r="E5650" s="1"/>
      <c r="F5650" s="522">
        <f t="shared" si="509"/>
        <v>1</v>
      </c>
      <c r="G5650" s="395"/>
      <c r="H5650" s="395"/>
      <c r="J5650" s="42"/>
    </row>
    <row r="5651" spans="1:10" s="393" customFormat="1" ht="15.75" thickBot="1" x14ac:dyDescent="0.3">
      <c r="A5651" s="402" t="s">
        <v>32</v>
      </c>
      <c r="B5651" s="267">
        <v>44128</v>
      </c>
      <c r="C5651" s="1">
        <v>62</v>
      </c>
      <c r="D5651" s="39">
        <f t="shared" si="511"/>
        <v>17579</v>
      </c>
      <c r="E5651" s="1">
        <f>3+1</f>
        <v>4</v>
      </c>
      <c r="F5651" s="522">
        <f t="shared" si="509"/>
        <v>772</v>
      </c>
      <c r="G5651" s="395"/>
      <c r="H5651" s="395"/>
      <c r="J5651" s="42"/>
    </row>
    <row r="5652" spans="1:10" s="393" customFormat="1" ht="15.75" thickBot="1" x14ac:dyDescent="0.3">
      <c r="A5652" s="402" t="s">
        <v>33</v>
      </c>
      <c r="B5652" s="267">
        <v>44128</v>
      </c>
      <c r="C5652" s="1">
        <v>77</v>
      </c>
      <c r="D5652" s="39">
        <f t="shared" si="511"/>
        <v>2336</v>
      </c>
      <c r="E5652" s="1"/>
      <c r="F5652" s="522">
        <f t="shared" si="509"/>
        <v>25</v>
      </c>
      <c r="G5652" s="395"/>
      <c r="H5652" s="395"/>
      <c r="J5652" s="42"/>
    </row>
    <row r="5653" spans="1:10" s="393" customFormat="1" ht="15.75" thickBot="1" x14ac:dyDescent="0.3">
      <c r="A5653" s="402" t="s">
        <v>21</v>
      </c>
      <c r="B5653" s="267">
        <v>44128</v>
      </c>
      <c r="C5653" s="1">
        <v>46</v>
      </c>
      <c r="D5653" s="39">
        <f t="shared" si="511"/>
        <v>7016</v>
      </c>
      <c r="E5653" s="1"/>
      <c r="F5653" s="522">
        <f t="shared" si="509"/>
        <v>239</v>
      </c>
      <c r="G5653" s="395"/>
      <c r="H5653" s="395"/>
      <c r="J5653" s="42"/>
    </row>
    <row r="5654" spans="1:10" s="393" customFormat="1" ht="15.75" thickBot="1" x14ac:dyDescent="0.3">
      <c r="A5654" s="402" t="s">
        <v>17</v>
      </c>
      <c r="B5654" s="267">
        <v>44128</v>
      </c>
      <c r="C5654" s="1">
        <v>653</v>
      </c>
      <c r="D5654" s="39">
        <f t="shared" si="511"/>
        <v>42388</v>
      </c>
      <c r="E5654" s="1">
        <f>2+4</f>
        <v>6</v>
      </c>
      <c r="F5654" s="522">
        <f t="shared" si="509"/>
        <v>689</v>
      </c>
      <c r="G5654" s="395"/>
      <c r="H5654" s="395"/>
      <c r="J5654" s="42"/>
    </row>
    <row r="5655" spans="1:10" s="393" customFormat="1" ht="15.75" thickBot="1" x14ac:dyDescent="0.3">
      <c r="A5655" s="402" t="s">
        <v>23</v>
      </c>
      <c r="B5655" s="267">
        <v>44128</v>
      </c>
      <c r="C5655" s="1">
        <v>3</v>
      </c>
      <c r="D5655" s="39">
        <f t="shared" si="511"/>
        <v>212</v>
      </c>
      <c r="E5655" s="1">
        <f>1</f>
        <v>1</v>
      </c>
      <c r="F5655" s="522">
        <f t="shared" si="509"/>
        <v>5</v>
      </c>
      <c r="G5655" s="395"/>
      <c r="H5655" s="395"/>
      <c r="J5655" s="42"/>
    </row>
    <row r="5656" spans="1:10" s="393" customFormat="1" ht="15.75" thickBot="1" x14ac:dyDescent="0.3">
      <c r="A5656" s="402" t="s">
        <v>19</v>
      </c>
      <c r="B5656" s="267">
        <v>44128</v>
      </c>
      <c r="C5656" s="1">
        <v>534</v>
      </c>
      <c r="D5656" s="39">
        <f t="shared" si="511"/>
        <v>19147</v>
      </c>
      <c r="E5656" s="1"/>
      <c r="F5656" s="522">
        <f t="shared" si="509"/>
        <v>334</v>
      </c>
      <c r="G5656" s="395"/>
      <c r="H5656" s="395"/>
      <c r="J5656" s="42"/>
    </row>
    <row r="5657" spans="1:10" s="393" customFormat="1" ht="15.75" thickBot="1" x14ac:dyDescent="0.3">
      <c r="A5657" s="402" t="s">
        <v>18</v>
      </c>
      <c r="B5657" s="267">
        <v>44128</v>
      </c>
      <c r="C5657" s="1">
        <v>267</v>
      </c>
      <c r="D5657" s="39">
        <f t="shared" si="511"/>
        <v>21522</v>
      </c>
      <c r="E5657" s="1">
        <f>4+6</f>
        <v>10</v>
      </c>
      <c r="F5657" s="522">
        <f t="shared" si="509"/>
        <v>549</v>
      </c>
      <c r="G5657" s="395"/>
      <c r="H5657" s="395"/>
      <c r="J5657" s="42"/>
    </row>
    <row r="5658" spans="1:10" s="393" customFormat="1" ht="15.75" thickBot="1" x14ac:dyDescent="0.3">
      <c r="A5658" s="402" t="s">
        <v>34</v>
      </c>
      <c r="B5658" s="267">
        <v>44128</v>
      </c>
      <c r="C5658" s="1">
        <v>193</v>
      </c>
      <c r="D5658" s="39">
        <f t="shared" si="511"/>
        <v>17885</v>
      </c>
      <c r="E5658" s="1">
        <v>3</v>
      </c>
      <c r="F5658" s="522">
        <f t="shared" si="509"/>
        <v>682</v>
      </c>
      <c r="G5658" s="395"/>
      <c r="H5658" s="395"/>
      <c r="J5658" s="42"/>
    </row>
    <row r="5659" spans="1:10" s="393" customFormat="1" ht="15.75" thickBot="1" x14ac:dyDescent="0.3">
      <c r="A5659" s="402" t="s">
        <v>35</v>
      </c>
      <c r="B5659" s="267">
        <v>44128</v>
      </c>
      <c r="C5659" s="1">
        <v>6</v>
      </c>
      <c r="D5659" s="39">
        <f t="shared" si="511"/>
        <v>1380</v>
      </c>
      <c r="E5659" s="1">
        <f>1</f>
        <v>1</v>
      </c>
      <c r="F5659" s="522">
        <f t="shared" si="509"/>
        <v>77</v>
      </c>
      <c r="G5659" s="395"/>
      <c r="H5659" s="395"/>
      <c r="J5659" s="42"/>
    </row>
    <row r="5660" spans="1:10" s="393" customFormat="1" ht="15.75" thickBot="1" x14ac:dyDescent="0.3">
      <c r="A5660" s="402" t="s">
        <v>36</v>
      </c>
      <c r="B5660" s="267">
        <v>44128</v>
      </c>
      <c r="C5660" s="1">
        <v>233</v>
      </c>
      <c r="D5660" s="39">
        <f t="shared" si="511"/>
        <v>5295</v>
      </c>
      <c r="E5660" s="1"/>
      <c r="F5660" s="522">
        <f t="shared" si="509"/>
        <v>52</v>
      </c>
      <c r="G5660" s="395"/>
      <c r="H5660" s="395"/>
      <c r="J5660" s="42"/>
    </row>
    <row r="5661" spans="1:10" s="393" customFormat="1" ht="15.75" thickBot="1" x14ac:dyDescent="0.3">
      <c r="A5661" s="402" t="s">
        <v>37</v>
      </c>
      <c r="B5661" s="267">
        <v>44128</v>
      </c>
      <c r="C5661" s="1">
        <v>136</v>
      </c>
      <c r="D5661" s="39">
        <f t="shared" si="511"/>
        <v>8291</v>
      </c>
      <c r="E5661" s="1"/>
      <c r="F5661" s="522">
        <f t="shared" si="509"/>
        <v>113</v>
      </c>
      <c r="G5661" s="395"/>
      <c r="H5661" s="395"/>
      <c r="J5661" s="42"/>
    </row>
    <row r="5662" spans="1:10" s="393" customFormat="1" ht="15.75" thickBot="1" x14ac:dyDescent="0.3">
      <c r="A5662" s="402" t="s">
        <v>22</v>
      </c>
      <c r="B5662" s="267">
        <v>44128</v>
      </c>
      <c r="C5662" s="1">
        <v>1927</v>
      </c>
      <c r="D5662" s="39">
        <f t="shared" si="511"/>
        <v>93102</v>
      </c>
      <c r="E5662" s="1">
        <f>7+10</f>
        <v>17</v>
      </c>
      <c r="F5662" s="522">
        <f t="shared" si="509"/>
        <v>1051</v>
      </c>
      <c r="G5662" s="395"/>
      <c r="H5662" s="395"/>
      <c r="J5662" s="42"/>
    </row>
    <row r="5663" spans="1:10" s="393" customFormat="1" ht="15.75" thickBot="1" x14ac:dyDescent="0.3">
      <c r="A5663" s="402" t="s">
        <v>38</v>
      </c>
      <c r="B5663" s="267">
        <v>44128</v>
      </c>
      <c r="C5663" s="1">
        <v>311</v>
      </c>
      <c r="D5663" s="39">
        <f>C5663+D5639</f>
        <v>8123</v>
      </c>
      <c r="E5663" s="1"/>
      <c r="F5663" s="522">
        <f t="shared" si="509"/>
        <v>106</v>
      </c>
      <c r="G5663" s="395"/>
      <c r="H5663" s="395"/>
      <c r="J5663" s="42"/>
    </row>
    <row r="5664" spans="1:10" s="393" customFormat="1" ht="15.75" thickBot="1" x14ac:dyDescent="0.3">
      <c r="A5664" s="402" t="s">
        <v>39</v>
      </c>
      <c r="B5664" s="267">
        <v>44128</v>
      </c>
      <c r="C5664" s="1">
        <v>338</v>
      </c>
      <c r="D5664" s="39">
        <f>C5664+D5640</f>
        <v>9809</v>
      </c>
      <c r="E5664" s="1">
        <f>6+1</f>
        <v>7</v>
      </c>
      <c r="F5664" s="522">
        <f t="shared" si="509"/>
        <v>126</v>
      </c>
      <c r="G5664" s="395"/>
      <c r="H5664" s="395"/>
      <c r="J5664" s="42"/>
    </row>
    <row r="5665" spans="1:10" s="393" customFormat="1" ht="15.75" thickBot="1" x14ac:dyDescent="0.3">
      <c r="A5665" s="403" t="s">
        <v>40</v>
      </c>
      <c r="B5665" s="276">
        <v>44128</v>
      </c>
      <c r="C5665" s="234">
        <v>956</v>
      </c>
      <c r="D5665" s="39">
        <f t="shared" ref="D5665:D5686" si="512">C5665+D5641</f>
        <v>42569</v>
      </c>
      <c r="E5665" s="234">
        <f>29+14</f>
        <v>43</v>
      </c>
      <c r="F5665" s="632">
        <f t="shared" si="509"/>
        <v>640</v>
      </c>
      <c r="G5665" s="395"/>
      <c r="H5665" s="395"/>
      <c r="J5665" s="42"/>
    </row>
    <row r="5666" spans="1:10" s="393" customFormat="1" x14ac:dyDescent="0.25">
      <c r="A5666" s="397" t="s">
        <v>16</v>
      </c>
      <c r="B5666" s="267">
        <v>44129</v>
      </c>
      <c r="C5666" s="43">
        <v>2170</v>
      </c>
      <c r="D5666" s="264">
        <f t="shared" si="512"/>
        <v>527293</v>
      </c>
      <c r="E5666" s="43">
        <f>40+46</f>
        <v>86</v>
      </c>
      <c r="F5666" s="630">
        <f t="shared" si="509"/>
        <v>16795</v>
      </c>
      <c r="G5666" s="395"/>
      <c r="H5666" s="395"/>
      <c r="J5666" s="42"/>
    </row>
    <row r="5667" spans="1:10" s="393" customFormat="1" x14ac:dyDescent="0.25">
      <c r="A5667" s="402" t="s">
        <v>43</v>
      </c>
      <c r="B5667" s="2">
        <v>44129</v>
      </c>
      <c r="C5667" s="1">
        <v>445</v>
      </c>
      <c r="D5667" s="39">
        <f t="shared" si="512"/>
        <v>143990</v>
      </c>
      <c r="E5667" s="1">
        <f>22+13</f>
        <v>35</v>
      </c>
      <c r="F5667" s="522">
        <f t="shared" si="509"/>
        <v>4514</v>
      </c>
      <c r="G5667" s="395"/>
      <c r="H5667" s="395"/>
      <c r="J5667" s="42"/>
    </row>
    <row r="5668" spans="1:10" s="393" customFormat="1" x14ac:dyDescent="0.25">
      <c r="A5668" s="402" t="s">
        <v>28</v>
      </c>
      <c r="B5668" s="2">
        <v>44129</v>
      </c>
      <c r="C5668" s="1">
        <v>35</v>
      </c>
      <c r="D5668" s="39">
        <f t="shared" si="512"/>
        <v>631</v>
      </c>
      <c r="E5668" s="1"/>
      <c r="F5668" s="522">
        <f t="shared" si="509"/>
        <v>0</v>
      </c>
      <c r="G5668" s="395"/>
      <c r="H5668" s="395"/>
      <c r="J5668" s="42"/>
    </row>
    <row r="5669" spans="1:10" s="393" customFormat="1" x14ac:dyDescent="0.25">
      <c r="A5669" s="402" t="s">
        <v>15</v>
      </c>
      <c r="B5669" s="2">
        <v>44129</v>
      </c>
      <c r="C5669" s="1">
        <v>162</v>
      </c>
      <c r="D5669" s="39">
        <f t="shared" si="512"/>
        <v>13090</v>
      </c>
      <c r="E5669" s="1">
        <f>4+1</f>
        <v>5</v>
      </c>
      <c r="F5669" s="522">
        <f t="shared" si="509"/>
        <v>405</v>
      </c>
      <c r="G5669" s="395"/>
      <c r="H5669" s="395"/>
      <c r="J5669" s="42"/>
    </row>
    <row r="5670" spans="1:10" s="393" customFormat="1" x14ac:dyDescent="0.25">
      <c r="A5670" s="402" t="s">
        <v>29</v>
      </c>
      <c r="B5670" s="2">
        <v>44129</v>
      </c>
      <c r="C5670" s="1">
        <v>485</v>
      </c>
      <c r="D5670" s="39">
        <f t="shared" si="512"/>
        <v>12437</v>
      </c>
      <c r="E5670" s="1">
        <f>4+1</f>
        <v>5</v>
      </c>
      <c r="F5670" s="522">
        <f t="shared" si="509"/>
        <v>216</v>
      </c>
      <c r="G5670" s="395"/>
      <c r="H5670" s="395"/>
      <c r="J5670" s="42"/>
    </row>
    <row r="5671" spans="1:10" s="393" customFormat="1" x14ac:dyDescent="0.25">
      <c r="A5671" s="402" t="s">
        <v>20</v>
      </c>
      <c r="B5671" s="2">
        <v>44129</v>
      </c>
      <c r="C5671" s="1">
        <v>1390</v>
      </c>
      <c r="D5671" s="39">
        <f t="shared" si="512"/>
        <v>75995</v>
      </c>
      <c r="E5671" s="1">
        <f>15+14</f>
        <v>29</v>
      </c>
      <c r="F5671" s="522">
        <f t="shared" si="509"/>
        <v>1105</v>
      </c>
      <c r="G5671" s="395"/>
      <c r="H5671" s="395"/>
      <c r="J5671" s="42"/>
    </row>
    <row r="5672" spans="1:10" s="393" customFormat="1" x14ac:dyDescent="0.25">
      <c r="A5672" s="402" t="s">
        <v>30</v>
      </c>
      <c r="B5672" s="2">
        <v>44129</v>
      </c>
      <c r="C5672" s="1">
        <v>24</v>
      </c>
      <c r="D5672" s="39">
        <f t="shared" si="512"/>
        <v>2269</v>
      </c>
      <c r="E5672" s="1"/>
      <c r="F5672" s="522">
        <f t="shared" si="509"/>
        <v>40</v>
      </c>
      <c r="G5672" s="395"/>
      <c r="H5672" s="395"/>
      <c r="J5672" s="42"/>
    </row>
    <row r="5673" spans="1:10" x14ac:dyDescent="0.25">
      <c r="A5673" s="402" t="s">
        <v>31</v>
      </c>
      <c r="B5673" s="2">
        <v>44129</v>
      </c>
      <c r="C5673" s="1">
        <v>202</v>
      </c>
      <c r="D5673" s="39">
        <f t="shared" si="512"/>
        <v>13940</v>
      </c>
      <c r="E5673" s="1">
        <f>7+4</f>
        <v>11</v>
      </c>
      <c r="F5673" s="522">
        <f t="shared" si="509"/>
        <v>240</v>
      </c>
    </row>
    <row r="5674" spans="1:10" s="393" customFormat="1" x14ac:dyDescent="0.25">
      <c r="A5674" s="402" t="s">
        <v>41</v>
      </c>
      <c r="B5674" s="2">
        <v>44129</v>
      </c>
      <c r="C5674" s="1">
        <v>1</v>
      </c>
      <c r="D5674" s="39">
        <f t="shared" si="512"/>
        <v>143</v>
      </c>
      <c r="E5674" s="1"/>
      <c r="F5674" s="522">
        <f t="shared" ref="F5674:F5737" si="513">E5674+F5650</f>
        <v>1</v>
      </c>
      <c r="G5674" s="395"/>
      <c r="H5674" s="395"/>
      <c r="J5674" s="42"/>
    </row>
    <row r="5675" spans="1:10" s="393" customFormat="1" x14ac:dyDescent="0.25">
      <c r="A5675" s="402" t="s">
        <v>32</v>
      </c>
      <c r="B5675" s="2">
        <v>44129</v>
      </c>
      <c r="C5675" s="1">
        <v>35</v>
      </c>
      <c r="D5675" s="39">
        <f t="shared" si="512"/>
        <v>17614</v>
      </c>
      <c r="E5675" s="1">
        <f>4</f>
        <v>4</v>
      </c>
      <c r="F5675" s="522">
        <f t="shared" si="513"/>
        <v>776</v>
      </c>
      <c r="G5675" s="395"/>
      <c r="H5675" s="395"/>
      <c r="J5675" s="42"/>
    </row>
    <row r="5676" spans="1:10" s="393" customFormat="1" x14ac:dyDescent="0.25">
      <c r="A5676" s="402" t="s">
        <v>33</v>
      </c>
      <c r="B5676" s="2">
        <v>44129</v>
      </c>
      <c r="C5676" s="1">
        <v>120</v>
      </c>
      <c r="D5676" s="39">
        <f t="shared" si="512"/>
        <v>2456</v>
      </c>
      <c r="E5676" s="1"/>
      <c r="F5676" s="522">
        <f t="shared" si="513"/>
        <v>25</v>
      </c>
      <c r="G5676" s="395"/>
      <c r="H5676" s="395"/>
      <c r="J5676" s="42"/>
    </row>
    <row r="5677" spans="1:10" s="393" customFormat="1" x14ac:dyDescent="0.25">
      <c r="A5677" s="402" t="s">
        <v>21</v>
      </c>
      <c r="B5677" s="2">
        <v>44129</v>
      </c>
      <c r="C5677" s="1">
        <v>108</v>
      </c>
      <c r="D5677" s="39">
        <f t="shared" si="512"/>
        <v>7124</v>
      </c>
      <c r="E5677" s="1"/>
      <c r="F5677" s="522">
        <f t="shared" si="513"/>
        <v>239</v>
      </c>
      <c r="G5677" s="395"/>
      <c r="H5677" s="395"/>
      <c r="J5677" s="42"/>
    </row>
    <row r="5678" spans="1:10" s="393" customFormat="1" x14ac:dyDescent="0.25">
      <c r="A5678" s="402" t="s">
        <v>17</v>
      </c>
      <c r="B5678" s="2">
        <v>44129</v>
      </c>
      <c r="C5678" s="1">
        <v>561</v>
      </c>
      <c r="D5678" s="39">
        <f t="shared" si="512"/>
        <v>42949</v>
      </c>
      <c r="E5678" s="1">
        <f>11+5</f>
        <v>16</v>
      </c>
      <c r="F5678" s="522">
        <f t="shared" si="513"/>
        <v>705</v>
      </c>
      <c r="G5678" s="395"/>
      <c r="H5678" s="395"/>
      <c r="J5678" s="42"/>
    </row>
    <row r="5679" spans="1:10" s="393" customFormat="1" x14ac:dyDescent="0.25">
      <c r="A5679" s="402" t="s">
        <v>23</v>
      </c>
      <c r="B5679" s="2">
        <v>44129</v>
      </c>
      <c r="C5679" s="1">
        <v>5</v>
      </c>
      <c r="D5679" s="39">
        <f t="shared" si="512"/>
        <v>217</v>
      </c>
      <c r="E5679" s="1"/>
      <c r="F5679" s="522">
        <f t="shared" si="513"/>
        <v>5</v>
      </c>
      <c r="G5679" s="395"/>
      <c r="H5679" s="395"/>
      <c r="J5679" s="42"/>
    </row>
    <row r="5680" spans="1:10" s="393" customFormat="1" x14ac:dyDescent="0.25">
      <c r="A5680" s="402" t="s">
        <v>19</v>
      </c>
      <c r="B5680" s="2">
        <v>44129</v>
      </c>
      <c r="C5680" s="1">
        <v>236</v>
      </c>
      <c r="D5680" s="39">
        <f t="shared" si="512"/>
        <v>19383</v>
      </c>
      <c r="E5680" s="1">
        <f>10+10</f>
        <v>20</v>
      </c>
      <c r="F5680" s="522">
        <f t="shared" si="513"/>
        <v>354</v>
      </c>
      <c r="G5680" s="395"/>
      <c r="H5680" s="395"/>
      <c r="J5680" s="42"/>
    </row>
    <row r="5681" spans="1:10" s="393" customFormat="1" x14ac:dyDescent="0.25">
      <c r="A5681" s="402" t="s">
        <v>18</v>
      </c>
      <c r="B5681" s="2">
        <v>44129</v>
      </c>
      <c r="C5681" s="1">
        <v>238</v>
      </c>
      <c r="D5681" s="39">
        <f t="shared" si="512"/>
        <v>21760</v>
      </c>
      <c r="E5681" s="1">
        <f>7+4</f>
        <v>11</v>
      </c>
      <c r="F5681" s="522">
        <f t="shared" si="513"/>
        <v>560</v>
      </c>
      <c r="G5681" s="395"/>
      <c r="H5681" s="395"/>
      <c r="J5681" s="42"/>
    </row>
    <row r="5682" spans="1:10" s="393" customFormat="1" x14ac:dyDescent="0.25">
      <c r="A5682" s="402" t="s">
        <v>34</v>
      </c>
      <c r="B5682" s="2">
        <v>44129</v>
      </c>
      <c r="C5682" s="1">
        <v>145</v>
      </c>
      <c r="D5682" s="39">
        <f t="shared" si="512"/>
        <v>18030</v>
      </c>
      <c r="E5682" s="1">
        <v>24</v>
      </c>
      <c r="F5682" s="522">
        <f t="shared" si="513"/>
        <v>706</v>
      </c>
      <c r="G5682" s="395"/>
      <c r="H5682" s="395"/>
      <c r="J5682" s="42"/>
    </row>
    <row r="5683" spans="1:10" s="393" customFormat="1" x14ac:dyDescent="0.25">
      <c r="A5683" s="402" t="s">
        <v>35</v>
      </c>
      <c r="B5683" s="2">
        <v>44129</v>
      </c>
      <c r="C5683" s="1">
        <v>6</v>
      </c>
      <c r="D5683" s="39">
        <f t="shared" si="512"/>
        <v>1386</v>
      </c>
      <c r="E5683" s="1"/>
      <c r="F5683" s="522">
        <f t="shared" si="513"/>
        <v>77</v>
      </c>
      <c r="G5683" s="395"/>
      <c r="H5683" s="395"/>
      <c r="J5683" s="42"/>
    </row>
    <row r="5684" spans="1:10" s="393" customFormat="1" x14ac:dyDescent="0.25">
      <c r="A5684" s="402" t="s">
        <v>36</v>
      </c>
      <c r="B5684" s="2">
        <v>44129</v>
      </c>
      <c r="C5684" s="1">
        <v>188</v>
      </c>
      <c r="D5684" s="39">
        <f t="shared" si="512"/>
        <v>5483</v>
      </c>
      <c r="E5684" s="1"/>
      <c r="F5684" s="522">
        <f t="shared" si="513"/>
        <v>52</v>
      </c>
      <c r="G5684" s="395"/>
      <c r="H5684" s="395"/>
      <c r="J5684" s="42"/>
    </row>
    <row r="5685" spans="1:10" s="393" customFormat="1" x14ac:dyDescent="0.25">
      <c r="A5685" s="402" t="s">
        <v>37</v>
      </c>
      <c r="B5685" s="2">
        <v>44129</v>
      </c>
      <c r="C5685" s="1">
        <v>178</v>
      </c>
      <c r="D5685" s="39">
        <f t="shared" si="512"/>
        <v>8469</v>
      </c>
      <c r="E5685" s="1"/>
      <c r="F5685" s="522">
        <f t="shared" si="513"/>
        <v>113</v>
      </c>
      <c r="G5685" s="395"/>
      <c r="H5685" s="395"/>
      <c r="J5685" s="42"/>
    </row>
    <row r="5686" spans="1:10" s="393" customFormat="1" x14ac:dyDescent="0.25">
      <c r="A5686" s="402" t="s">
        <v>22</v>
      </c>
      <c r="B5686" s="2">
        <v>44129</v>
      </c>
      <c r="C5686" s="1">
        <v>1405</v>
      </c>
      <c r="D5686" s="39">
        <f t="shared" si="512"/>
        <v>94507</v>
      </c>
      <c r="E5686" s="1">
        <f>3+3</f>
        <v>6</v>
      </c>
      <c r="F5686" s="522">
        <f t="shared" si="513"/>
        <v>1057</v>
      </c>
      <c r="G5686" s="395"/>
      <c r="H5686" s="395"/>
      <c r="J5686" s="42"/>
    </row>
    <row r="5687" spans="1:10" s="393" customFormat="1" x14ac:dyDescent="0.25">
      <c r="A5687" s="402" t="s">
        <v>38</v>
      </c>
      <c r="B5687" s="2">
        <v>44129</v>
      </c>
      <c r="C5687" s="1">
        <v>262</v>
      </c>
      <c r="D5687" s="39">
        <f>C5687+D5663</f>
        <v>8385</v>
      </c>
      <c r="E5687" s="1">
        <f>5+3</f>
        <v>8</v>
      </c>
      <c r="F5687" s="522">
        <f t="shared" si="513"/>
        <v>114</v>
      </c>
      <c r="G5687" s="395"/>
      <c r="H5687" s="395"/>
      <c r="J5687" s="42"/>
    </row>
    <row r="5688" spans="1:10" s="393" customFormat="1" x14ac:dyDescent="0.25">
      <c r="A5688" s="402" t="s">
        <v>39</v>
      </c>
      <c r="B5688" s="2">
        <v>44129</v>
      </c>
      <c r="C5688" s="1">
        <v>243</v>
      </c>
      <c r="D5688" s="39">
        <f>C5688+D5664</f>
        <v>10052</v>
      </c>
      <c r="E5688" s="1">
        <f>2</f>
        <v>2</v>
      </c>
      <c r="F5688" s="522">
        <f t="shared" si="513"/>
        <v>128</v>
      </c>
      <c r="G5688" s="395"/>
      <c r="H5688" s="395"/>
      <c r="J5688" s="42"/>
    </row>
    <row r="5689" spans="1:10" s="393" customFormat="1" ht="15.75" thickBot="1" x14ac:dyDescent="0.3">
      <c r="A5689" s="404" t="s">
        <v>40</v>
      </c>
      <c r="B5689" s="268">
        <v>44129</v>
      </c>
      <c r="C5689" s="44">
        <v>609</v>
      </c>
      <c r="D5689" s="39">
        <f t="shared" ref="D5689:D5710" si="514">C5689+D5665</f>
        <v>43178</v>
      </c>
      <c r="E5689" s="44">
        <f>13+7</f>
        <v>20</v>
      </c>
      <c r="F5689" s="632">
        <f t="shared" si="513"/>
        <v>660</v>
      </c>
      <c r="G5689" s="395"/>
      <c r="H5689" s="395"/>
      <c r="J5689" s="42"/>
    </row>
    <row r="5690" spans="1:10" s="393" customFormat="1" x14ac:dyDescent="0.25">
      <c r="A5690" s="409" t="s">
        <v>16</v>
      </c>
      <c r="B5690" s="269">
        <v>44130</v>
      </c>
      <c r="C5690" s="227">
        <v>3694</v>
      </c>
      <c r="D5690" s="264">
        <f t="shared" si="514"/>
        <v>530987</v>
      </c>
      <c r="E5690" s="227">
        <v>146</v>
      </c>
      <c r="F5690" s="630">
        <f t="shared" si="513"/>
        <v>16941</v>
      </c>
      <c r="G5690" s="395"/>
      <c r="H5690" s="395"/>
      <c r="J5690" s="42"/>
    </row>
    <row r="5691" spans="1:10" s="393" customFormat="1" x14ac:dyDescent="0.25">
      <c r="A5691" s="402" t="s">
        <v>43</v>
      </c>
      <c r="B5691" s="2">
        <v>44130</v>
      </c>
      <c r="C5691" s="1">
        <v>515</v>
      </c>
      <c r="D5691" s="39">
        <f t="shared" si="514"/>
        <v>144505</v>
      </c>
      <c r="E5691" s="1">
        <v>64</v>
      </c>
      <c r="F5691" s="522">
        <f t="shared" si="513"/>
        <v>4578</v>
      </c>
      <c r="G5691" s="395"/>
      <c r="H5691" s="395"/>
      <c r="J5691" s="42"/>
    </row>
    <row r="5692" spans="1:10" s="393" customFormat="1" x14ac:dyDescent="0.25">
      <c r="A5692" s="402" t="s">
        <v>28</v>
      </c>
      <c r="B5692" s="2">
        <v>44130</v>
      </c>
      <c r="C5692" s="1">
        <v>7</v>
      </c>
      <c r="D5692" s="39">
        <f t="shared" si="514"/>
        <v>638</v>
      </c>
      <c r="E5692" s="1"/>
      <c r="F5692" s="522">
        <f t="shared" si="513"/>
        <v>0</v>
      </c>
      <c r="G5692" s="395"/>
      <c r="H5692" s="395"/>
      <c r="J5692" s="42"/>
    </row>
    <row r="5693" spans="1:10" s="393" customFormat="1" x14ac:dyDescent="0.25">
      <c r="A5693" s="402" t="s">
        <v>15</v>
      </c>
      <c r="B5693" s="2">
        <v>44130</v>
      </c>
      <c r="C5693" s="1">
        <v>137</v>
      </c>
      <c r="D5693" s="39">
        <f t="shared" si="514"/>
        <v>13227</v>
      </c>
      <c r="E5693" s="1">
        <v>1</v>
      </c>
      <c r="F5693" s="522">
        <f t="shared" si="513"/>
        <v>406</v>
      </c>
      <c r="G5693" s="395"/>
      <c r="H5693" s="395"/>
      <c r="J5693" s="42"/>
    </row>
    <row r="5694" spans="1:10" s="393" customFormat="1" x14ac:dyDescent="0.25">
      <c r="A5694" s="402" t="s">
        <v>29</v>
      </c>
      <c r="B5694" s="2">
        <v>44130</v>
      </c>
      <c r="C5694" s="1">
        <v>544</v>
      </c>
      <c r="D5694" s="39">
        <f t="shared" si="514"/>
        <v>12981</v>
      </c>
      <c r="E5694" s="1">
        <v>2</v>
      </c>
      <c r="F5694" s="522">
        <f t="shared" si="513"/>
        <v>218</v>
      </c>
      <c r="G5694" s="395"/>
      <c r="H5694" s="395"/>
      <c r="J5694" s="42"/>
    </row>
    <row r="5695" spans="1:10" s="393" customFormat="1" x14ac:dyDescent="0.25">
      <c r="A5695" s="402" t="s">
        <v>20</v>
      </c>
      <c r="B5695" s="2">
        <v>44130</v>
      </c>
      <c r="C5695" s="1">
        <v>1271</v>
      </c>
      <c r="D5695" s="39">
        <f t="shared" si="514"/>
        <v>77266</v>
      </c>
      <c r="E5695" s="1">
        <v>32</v>
      </c>
      <c r="F5695" s="522">
        <f t="shared" si="513"/>
        <v>1137</v>
      </c>
      <c r="G5695" s="395"/>
      <c r="H5695" s="395"/>
      <c r="J5695" s="42"/>
    </row>
    <row r="5696" spans="1:10" s="393" customFormat="1" x14ac:dyDescent="0.25">
      <c r="A5696" s="402" t="s">
        <v>30</v>
      </c>
      <c r="B5696" s="2">
        <v>44130</v>
      </c>
      <c r="C5696" s="1">
        <v>114</v>
      </c>
      <c r="D5696" s="39">
        <f t="shared" si="514"/>
        <v>2383</v>
      </c>
      <c r="E5696" s="1">
        <v>3</v>
      </c>
      <c r="F5696" s="522">
        <f t="shared" si="513"/>
        <v>43</v>
      </c>
      <c r="G5696" s="395"/>
      <c r="H5696" s="395"/>
      <c r="J5696" s="42"/>
    </row>
    <row r="5697" spans="1:10" x14ac:dyDescent="0.25">
      <c r="A5697" s="402" t="s">
        <v>31</v>
      </c>
      <c r="B5697" s="2">
        <v>44130</v>
      </c>
      <c r="C5697" s="1">
        <v>352</v>
      </c>
      <c r="D5697" s="39">
        <f t="shared" si="514"/>
        <v>14292</v>
      </c>
      <c r="E5697" s="1">
        <v>11</v>
      </c>
      <c r="F5697" s="522">
        <f t="shared" si="513"/>
        <v>251</v>
      </c>
    </row>
    <row r="5698" spans="1:10" s="393" customFormat="1" x14ac:dyDescent="0.25">
      <c r="A5698" s="402" t="s">
        <v>41</v>
      </c>
      <c r="B5698" s="2">
        <v>44130</v>
      </c>
      <c r="C5698" s="1">
        <v>2</v>
      </c>
      <c r="D5698" s="39">
        <f t="shared" si="514"/>
        <v>145</v>
      </c>
      <c r="E5698" s="1"/>
      <c r="F5698" s="522">
        <f t="shared" si="513"/>
        <v>1</v>
      </c>
      <c r="G5698" s="395"/>
      <c r="H5698" s="395"/>
      <c r="J5698" s="42"/>
    </row>
    <row r="5699" spans="1:10" s="393" customFormat="1" x14ac:dyDescent="0.25">
      <c r="A5699" s="402" t="s">
        <v>32</v>
      </c>
      <c r="B5699" s="2">
        <v>44130</v>
      </c>
      <c r="C5699" s="1">
        <v>38</v>
      </c>
      <c r="D5699" s="39">
        <f t="shared" si="514"/>
        <v>17652</v>
      </c>
      <c r="E5699" s="1">
        <v>10</v>
      </c>
      <c r="F5699" s="522">
        <f t="shared" si="513"/>
        <v>786</v>
      </c>
      <c r="G5699" s="395"/>
      <c r="H5699" s="395"/>
      <c r="J5699" s="42"/>
    </row>
    <row r="5700" spans="1:10" s="393" customFormat="1" x14ac:dyDescent="0.25">
      <c r="A5700" s="402" t="s">
        <v>33</v>
      </c>
      <c r="B5700" s="2">
        <v>44130</v>
      </c>
      <c r="C5700" s="1">
        <v>68</v>
      </c>
      <c r="D5700" s="39">
        <f t="shared" si="514"/>
        <v>2524</v>
      </c>
      <c r="E5700" s="1"/>
      <c r="F5700" s="522">
        <f t="shared" si="513"/>
        <v>25</v>
      </c>
      <c r="G5700" s="395"/>
      <c r="H5700" s="395"/>
      <c r="J5700" s="42"/>
    </row>
    <row r="5701" spans="1:10" s="393" customFormat="1" x14ac:dyDescent="0.25">
      <c r="A5701" s="402" t="s">
        <v>21</v>
      </c>
      <c r="B5701" s="2">
        <v>44130</v>
      </c>
      <c r="C5701" s="1">
        <v>49</v>
      </c>
      <c r="D5701" s="39">
        <f t="shared" si="514"/>
        <v>7173</v>
      </c>
      <c r="E5701" s="1">
        <v>13</v>
      </c>
      <c r="F5701" s="522">
        <f t="shared" si="513"/>
        <v>252</v>
      </c>
      <c r="G5701" s="395"/>
      <c r="H5701" s="395"/>
      <c r="J5701" s="42"/>
    </row>
    <row r="5702" spans="1:10" s="393" customFormat="1" x14ac:dyDescent="0.25">
      <c r="A5702" s="402" t="s">
        <v>17</v>
      </c>
      <c r="B5702" s="2">
        <v>44130</v>
      </c>
      <c r="C5702" s="1">
        <v>652</v>
      </c>
      <c r="D5702" s="39">
        <f t="shared" si="514"/>
        <v>43601</v>
      </c>
      <c r="E5702" s="1">
        <v>11</v>
      </c>
      <c r="F5702" s="522">
        <f t="shared" si="513"/>
        <v>716</v>
      </c>
      <c r="G5702" s="395"/>
      <c r="H5702" s="395"/>
      <c r="J5702" s="42"/>
    </row>
    <row r="5703" spans="1:10" s="393" customFormat="1" x14ac:dyDescent="0.25">
      <c r="A5703" s="402" t="s">
        <v>23</v>
      </c>
      <c r="B5703" s="2">
        <v>44130</v>
      </c>
      <c r="C5703" s="1">
        <v>12</v>
      </c>
      <c r="D5703" s="39">
        <f t="shared" si="514"/>
        <v>229</v>
      </c>
      <c r="E5703" s="1"/>
      <c r="F5703" s="522">
        <f t="shared" si="513"/>
        <v>5</v>
      </c>
      <c r="G5703" s="395"/>
      <c r="H5703" s="395"/>
      <c r="J5703" s="42"/>
    </row>
    <row r="5704" spans="1:10" s="393" customFormat="1" x14ac:dyDescent="0.25">
      <c r="A5704" s="402" t="s">
        <v>19</v>
      </c>
      <c r="B5704" s="2">
        <v>44130</v>
      </c>
      <c r="C5704" s="1">
        <v>395</v>
      </c>
      <c r="D5704" s="39">
        <f t="shared" si="514"/>
        <v>19778</v>
      </c>
      <c r="E5704" s="1">
        <v>6</v>
      </c>
      <c r="F5704" s="522">
        <f t="shared" si="513"/>
        <v>360</v>
      </c>
      <c r="G5704" s="395"/>
      <c r="H5704" s="395"/>
      <c r="J5704" s="42"/>
    </row>
    <row r="5705" spans="1:10" s="393" customFormat="1" x14ac:dyDescent="0.25">
      <c r="A5705" s="402" t="s">
        <v>18</v>
      </c>
      <c r="B5705" s="2">
        <v>44130</v>
      </c>
      <c r="C5705" s="1">
        <v>308</v>
      </c>
      <c r="D5705" s="39">
        <f t="shared" si="514"/>
        <v>22068</v>
      </c>
      <c r="E5705" s="1">
        <v>12</v>
      </c>
      <c r="F5705" s="522">
        <f t="shared" si="513"/>
        <v>572</v>
      </c>
      <c r="G5705" s="395"/>
      <c r="H5705" s="395"/>
      <c r="J5705" s="42"/>
    </row>
    <row r="5706" spans="1:10" s="393" customFormat="1" x14ac:dyDescent="0.25">
      <c r="A5706" s="402" t="s">
        <v>34</v>
      </c>
      <c r="B5706" s="2">
        <v>44130</v>
      </c>
      <c r="C5706" s="1">
        <v>95</v>
      </c>
      <c r="D5706" s="39">
        <f t="shared" si="514"/>
        <v>18125</v>
      </c>
      <c r="E5706" s="1">
        <v>24</v>
      </c>
      <c r="F5706" s="522">
        <f t="shared" si="513"/>
        <v>730</v>
      </c>
      <c r="G5706" s="395"/>
      <c r="H5706" s="395"/>
      <c r="J5706" s="42"/>
    </row>
    <row r="5707" spans="1:10" s="393" customFormat="1" x14ac:dyDescent="0.25">
      <c r="A5707" s="402" t="s">
        <v>35</v>
      </c>
      <c r="B5707" s="2">
        <v>44130</v>
      </c>
      <c r="C5707" s="1">
        <v>10</v>
      </c>
      <c r="D5707" s="39">
        <f t="shared" si="514"/>
        <v>1396</v>
      </c>
      <c r="E5707" s="1"/>
      <c r="F5707" s="522">
        <f t="shared" si="513"/>
        <v>77</v>
      </c>
      <c r="G5707" s="395"/>
      <c r="H5707" s="395"/>
      <c r="J5707" s="42"/>
    </row>
    <row r="5708" spans="1:10" s="393" customFormat="1" x14ac:dyDescent="0.25">
      <c r="A5708" s="402" t="s">
        <v>36</v>
      </c>
      <c r="B5708" s="2">
        <v>44130</v>
      </c>
      <c r="C5708" s="1">
        <v>136</v>
      </c>
      <c r="D5708" s="39">
        <f t="shared" si="514"/>
        <v>5619</v>
      </c>
      <c r="E5708" s="1"/>
      <c r="F5708" s="522">
        <f t="shared" si="513"/>
        <v>52</v>
      </c>
      <c r="G5708" s="395"/>
      <c r="H5708" s="395"/>
      <c r="J5708" s="42"/>
    </row>
    <row r="5709" spans="1:10" s="393" customFormat="1" x14ac:dyDescent="0.25">
      <c r="A5709" s="402" t="s">
        <v>37</v>
      </c>
      <c r="B5709" s="2">
        <v>44130</v>
      </c>
      <c r="C5709" s="1">
        <v>86</v>
      </c>
      <c r="D5709" s="39">
        <f t="shared" si="514"/>
        <v>8555</v>
      </c>
      <c r="E5709" s="1">
        <v>3</v>
      </c>
      <c r="F5709" s="522">
        <f t="shared" si="513"/>
        <v>116</v>
      </c>
      <c r="G5709" s="395"/>
      <c r="H5709" s="395"/>
      <c r="J5709" s="42"/>
    </row>
    <row r="5710" spans="1:10" s="393" customFormat="1" x14ac:dyDescent="0.25">
      <c r="A5710" s="402" t="s">
        <v>22</v>
      </c>
      <c r="B5710" s="2">
        <v>44130</v>
      </c>
      <c r="C5710" s="1">
        <v>1733</v>
      </c>
      <c r="D5710" s="39">
        <f t="shared" si="514"/>
        <v>96240</v>
      </c>
      <c r="E5710" s="1">
        <v>37</v>
      </c>
      <c r="F5710" s="522">
        <f t="shared" si="513"/>
        <v>1094</v>
      </c>
      <c r="G5710" s="395"/>
      <c r="H5710" s="395"/>
      <c r="J5710" s="42"/>
    </row>
    <row r="5711" spans="1:10" s="393" customFormat="1" x14ac:dyDescent="0.25">
      <c r="A5711" s="402" t="s">
        <v>38</v>
      </c>
      <c r="B5711" s="2">
        <v>44130</v>
      </c>
      <c r="C5711" s="1">
        <v>240</v>
      </c>
      <c r="D5711" s="39">
        <f>C5711+D5687</f>
        <v>8625</v>
      </c>
      <c r="E5711" s="1">
        <v>1</v>
      </c>
      <c r="F5711" s="522">
        <f t="shared" si="513"/>
        <v>115</v>
      </c>
      <c r="G5711" s="395"/>
      <c r="H5711" s="395"/>
      <c r="J5711" s="42"/>
    </row>
    <row r="5712" spans="1:10" s="393" customFormat="1" x14ac:dyDescent="0.25">
      <c r="A5712" s="402" t="s">
        <v>39</v>
      </c>
      <c r="B5712" s="2">
        <v>44130</v>
      </c>
      <c r="C5712" s="1">
        <v>305</v>
      </c>
      <c r="D5712" s="39">
        <f>C5712+D5688</f>
        <v>10357</v>
      </c>
      <c r="E5712" s="1">
        <v>4</v>
      </c>
      <c r="F5712" s="522">
        <f t="shared" si="513"/>
        <v>132</v>
      </c>
      <c r="G5712" s="395"/>
      <c r="H5712" s="395"/>
      <c r="J5712" s="42"/>
    </row>
    <row r="5713" spans="1:10" s="393" customFormat="1" ht="15.75" thickBot="1" x14ac:dyDescent="0.3">
      <c r="A5713" s="404" t="s">
        <v>40</v>
      </c>
      <c r="B5713" s="268">
        <v>44130</v>
      </c>
      <c r="C5713" s="44">
        <v>949</v>
      </c>
      <c r="D5713" s="39">
        <f t="shared" ref="D5713:D5734" si="515">C5713+D5689</f>
        <v>44127</v>
      </c>
      <c r="E5713" s="44">
        <v>26</v>
      </c>
      <c r="F5713" s="632">
        <f t="shared" si="513"/>
        <v>686</v>
      </c>
      <c r="G5713" s="395"/>
      <c r="H5713" s="395"/>
      <c r="J5713" s="42"/>
    </row>
    <row r="5714" spans="1:10" s="393" customFormat="1" x14ac:dyDescent="0.25">
      <c r="A5714" s="409" t="s">
        <v>16</v>
      </c>
      <c r="B5714" s="269">
        <v>44131</v>
      </c>
      <c r="C5714" s="227">
        <v>4221</v>
      </c>
      <c r="D5714" s="264">
        <f t="shared" si="515"/>
        <v>535208</v>
      </c>
      <c r="E5714" s="227">
        <v>179</v>
      </c>
      <c r="F5714" s="630">
        <f t="shared" si="513"/>
        <v>17120</v>
      </c>
      <c r="G5714" s="395"/>
      <c r="H5714" s="395"/>
      <c r="J5714" s="42"/>
    </row>
    <row r="5715" spans="1:10" s="393" customFormat="1" x14ac:dyDescent="0.25">
      <c r="A5715" s="402" t="s">
        <v>43</v>
      </c>
      <c r="B5715" s="269">
        <v>44131</v>
      </c>
      <c r="C5715" s="1">
        <v>598</v>
      </c>
      <c r="D5715" s="39">
        <f t="shared" si="515"/>
        <v>145103</v>
      </c>
      <c r="E5715" s="1">
        <f>30+17+1</f>
        <v>48</v>
      </c>
      <c r="F5715" s="522">
        <f t="shared" si="513"/>
        <v>4626</v>
      </c>
      <c r="G5715" s="395"/>
      <c r="H5715" s="395"/>
      <c r="J5715" s="42"/>
    </row>
    <row r="5716" spans="1:10" s="393" customFormat="1" x14ac:dyDescent="0.25">
      <c r="A5716" s="402" t="s">
        <v>28</v>
      </c>
      <c r="B5716" s="269">
        <v>44131</v>
      </c>
      <c r="C5716" s="1">
        <v>28</v>
      </c>
      <c r="D5716" s="39">
        <f t="shared" si="515"/>
        <v>666</v>
      </c>
      <c r="E5716" s="1"/>
      <c r="F5716" s="522">
        <f t="shared" si="513"/>
        <v>0</v>
      </c>
      <c r="G5716" s="395"/>
      <c r="H5716" s="395"/>
      <c r="J5716" s="42"/>
    </row>
    <row r="5717" spans="1:10" s="393" customFormat="1" x14ac:dyDescent="0.25">
      <c r="A5717" s="402" t="s">
        <v>15</v>
      </c>
      <c r="B5717" s="269">
        <v>44131</v>
      </c>
      <c r="C5717" s="1">
        <v>167</v>
      </c>
      <c r="D5717" s="39">
        <f t="shared" si="515"/>
        <v>13394</v>
      </c>
      <c r="E5717" s="1">
        <f>4+3</f>
        <v>7</v>
      </c>
      <c r="F5717" s="522">
        <f t="shared" si="513"/>
        <v>413</v>
      </c>
      <c r="G5717" s="395"/>
      <c r="H5717" s="395"/>
      <c r="J5717" s="42"/>
    </row>
    <row r="5718" spans="1:10" s="393" customFormat="1" x14ac:dyDescent="0.25">
      <c r="A5718" s="402" t="s">
        <v>29</v>
      </c>
      <c r="B5718" s="269">
        <v>44131</v>
      </c>
      <c r="C5718" s="1">
        <v>318</v>
      </c>
      <c r="D5718" s="39">
        <f t="shared" si="515"/>
        <v>13299</v>
      </c>
      <c r="E5718" s="1">
        <f>13+11</f>
        <v>24</v>
      </c>
      <c r="F5718" s="522">
        <f t="shared" si="513"/>
        <v>242</v>
      </c>
      <c r="G5718" s="395"/>
      <c r="H5718" s="395"/>
      <c r="J5718" s="42"/>
    </row>
    <row r="5719" spans="1:10" s="393" customFormat="1" x14ac:dyDescent="0.25">
      <c r="A5719" s="402" t="s">
        <v>20</v>
      </c>
      <c r="B5719" s="269">
        <v>44131</v>
      </c>
      <c r="C5719" s="1">
        <v>1819</v>
      </c>
      <c r="D5719" s="39">
        <f t="shared" si="515"/>
        <v>79085</v>
      </c>
      <c r="E5719" s="1">
        <f>19+19</f>
        <v>38</v>
      </c>
      <c r="F5719" s="522">
        <f t="shared" si="513"/>
        <v>1175</v>
      </c>
      <c r="G5719" s="395"/>
      <c r="H5719" s="395"/>
      <c r="J5719" s="42"/>
    </row>
    <row r="5720" spans="1:10" s="393" customFormat="1" x14ac:dyDescent="0.25">
      <c r="A5720" s="402" t="s">
        <v>30</v>
      </c>
      <c r="B5720" s="269">
        <v>44131</v>
      </c>
      <c r="C5720" s="1">
        <v>17</v>
      </c>
      <c r="D5720" s="39">
        <f t="shared" si="515"/>
        <v>2400</v>
      </c>
      <c r="E5720" s="1"/>
      <c r="F5720" s="522">
        <f t="shared" si="513"/>
        <v>43</v>
      </c>
      <c r="G5720" s="395"/>
      <c r="H5720" s="395"/>
      <c r="J5720" s="42"/>
    </row>
    <row r="5721" spans="1:10" x14ac:dyDescent="0.25">
      <c r="A5721" s="402" t="s">
        <v>31</v>
      </c>
      <c r="B5721" s="269">
        <v>44131</v>
      </c>
      <c r="C5721" s="1">
        <v>395</v>
      </c>
      <c r="D5721" s="39">
        <f t="shared" si="515"/>
        <v>14687</v>
      </c>
      <c r="E5721" s="1">
        <f>4+2</f>
        <v>6</v>
      </c>
      <c r="F5721" s="522">
        <f t="shared" si="513"/>
        <v>257</v>
      </c>
    </row>
    <row r="5722" spans="1:10" s="393" customFormat="1" x14ac:dyDescent="0.25">
      <c r="A5722" s="402" t="s">
        <v>41</v>
      </c>
      <c r="B5722" s="269">
        <v>44131</v>
      </c>
      <c r="C5722" s="1">
        <v>3</v>
      </c>
      <c r="D5722" s="39">
        <f t="shared" si="515"/>
        <v>148</v>
      </c>
      <c r="E5722" s="1"/>
      <c r="F5722" s="522">
        <f t="shared" si="513"/>
        <v>1</v>
      </c>
      <c r="G5722" s="395"/>
      <c r="H5722" s="395"/>
      <c r="J5722" s="42"/>
    </row>
    <row r="5723" spans="1:10" s="393" customFormat="1" x14ac:dyDescent="0.25">
      <c r="A5723" s="402" t="s">
        <v>32</v>
      </c>
      <c r="B5723" s="269">
        <v>44131</v>
      </c>
      <c r="C5723" s="1">
        <v>35</v>
      </c>
      <c r="D5723" s="39">
        <f t="shared" si="515"/>
        <v>17687</v>
      </c>
      <c r="E5723" s="1">
        <f>9+2</f>
        <v>11</v>
      </c>
      <c r="F5723" s="522">
        <f t="shared" si="513"/>
        <v>797</v>
      </c>
      <c r="G5723" s="395"/>
      <c r="H5723" s="395"/>
      <c r="J5723" s="42"/>
    </row>
    <row r="5724" spans="1:10" s="393" customFormat="1" x14ac:dyDescent="0.25">
      <c r="A5724" s="402" t="s">
        <v>33</v>
      </c>
      <c r="B5724" s="269">
        <v>44131</v>
      </c>
      <c r="C5724" s="1">
        <v>144</v>
      </c>
      <c r="D5724" s="39">
        <f t="shared" si="515"/>
        <v>2668</v>
      </c>
      <c r="E5724" s="1">
        <v>4</v>
      </c>
      <c r="F5724" s="522">
        <f t="shared" si="513"/>
        <v>29</v>
      </c>
      <c r="G5724" s="395"/>
      <c r="H5724" s="395"/>
      <c r="J5724" s="42"/>
    </row>
    <row r="5725" spans="1:10" s="393" customFormat="1" x14ac:dyDescent="0.25">
      <c r="A5725" s="402" t="s">
        <v>21</v>
      </c>
      <c r="B5725" s="269">
        <v>44131</v>
      </c>
      <c r="C5725" s="1">
        <v>123</v>
      </c>
      <c r="D5725" s="39">
        <f t="shared" si="515"/>
        <v>7296</v>
      </c>
      <c r="E5725" s="1">
        <f>5+3</f>
        <v>8</v>
      </c>
      <c r="F5725" s="522">
        <f t="shared" si="513"/>
        <v>260</v>
      </c>
      <c r="G5725" s="395"/>
      <c r="H5725" s="395"/>
      <c r="J5725" s="42"/>
    </row>
    <row r="5726" spans="1:10" s="393" customFormat="1" x14ac:dyDescent="0.25">
      <c r="A5726" s="402" t="s">
        <v>17</v>
      </c>
      <c r="B5726" s="269">
        <v>44131</v>
      </c>
      <c r="C5726" s="1">
        <v>771</v>
      </c>
      <c r="D5726" s="39">
        <f t="shared" si="515"/>
        <v>44372</v>
      </c>
      <c r="E5726" s="1">
        <f>8+4</f>
        <v>12</v>
      </c>
      <c r="F5726" s="522">
        <f t="shared" si="513"/>
        <v>728</v>
      </c>
      <c r="G5726" s="395"/>
      <c r="H5726" s="395"/>
      <c r="J5726" s="42"/>
    </row>
    <row r="5727" spans="1:10" s="393" customFormat="1" x14ac:dyDescent="0.25">
      <c r="A5727" s="402" t="s">
        <v>23</v>
      </c>
      <c r="B5727" s="269">
        <v>44131</v>
      </c>
      <c r="C5727" s="1">
        <v>11</v>
      </c>
      <c r="D5727" s="39">
        <f t="shared" si="515"/>
        <v>240</v>
      </c>
      <c r="E5727" s="1"/>
      <c r="F5727" s="522">
        <f t="shared" si="513"/>
        <v>5</v>
      </c>
      <c r="G5727" s="395"/>
      <c r="H5727" s="395"/>
      <c r="J5727" s="42"/>
    </row>
    <row r="5728" spans="1:10" s="393" customFormat="1" x14ac:dyDescent="0.25">
      <c r="A5728" s="402" t="s">
        <v>19</v>
      </c>
      <c r="B5728" s="269">
        <v>44131</v>
      </c>
      <c r="C5728" s="1">
        <v>414</v>
      </c>
      <c r="D5728" s="39">
        <f t="shared" si="515"/>
        <v>20192</v>
      </c>
      <c r="E5728" s="1">
        <f>5+5</f>
        <v>10</v>
      </c>
      <c r="F5728" s="522">
        <f t="shared" si="513"/>
        <v>370</v>
      </c>
      <c r="G5728" s="395"/>
      <c r="H5728" s="395"/>
      <c r="J5728" s="42"/>
    </row>
    <row r="5729" spans="1:10" s="393" customFormat="1" x14ac:dyDescent="0.25">
      <c r="A5729" s="402" t="s">
        <v>18</v>
      </c>
      <c r="B5729" s="269">
        <v>44131</v>
      </c>
      <c r="C5729" s="1">
        <v>461</v>
      </c>
      <c r="D5729" s="39">
        <f t="shared" si="515"/>
        <v>22529</v>
      </c>
      <c r="E5729" s="1">
        <f>5+4</f>
        <v>9</v>
      </c>
      <c r="F5729" s="522">
        <f t="shared" si="513"/>
        <v>581</v>
      </c>
      <c r="G5729" s="395"/>
      <c r="H5729" s="395"/>
      <c r="J5729" s="42"/>
    </row>
    <row r="5730" spans="1:10" s="393" customFormat="1" x14ac:dyDescent="0.25">
      <c r="A5730" s="402" t="s">
        <v>34</v>
      </c>
      <c r="B5730" s="269">
        <v>44131</v>
      </c>
      <c r="C5730" s="1">
        <v>156</v>
      </c>
      <c r="D5730" s="39">
        <f t="shared" si="515"/>
        <v>18281</v>
      </c>
      <c r="E5730" s="1">
        <f>5+4</f>
        <v>9</v>
      </c>
      <c r="F5730" s="522">
        <f t="shared" si="513"/>
        <v>739</v>
      </c>
      <c r="G5730" s="395"/>
      <c r="H5730" s="395"/>
      <c r="J5730" s="42"/>
    </row>
    <row r="5731" spans="1:10" s="393" customFormat="1" x14ac:dyDescent="0.25">
      <c r="A5731" s="402" t="s">
        <v>35</v>
      </c>
      <c r="B5731" s="269">
        <v>44131</v>
      </c>
      <c r="C5731" s="1">
        <v>40</v>
      </c>
      <c r="D5731" s="39">
        <f t="shared" si="515"/>
        <v>1436</v>
      </c>
      <c r="E5731" s="1">
        <f>1</f>
        <v>1</v>
      </c>
      <c r="F5731" s="522">
        <f t="shared" si="513"/>
        <v>78</v>
      </c>
      <c r="G5731" s="395"/>
      <c r="H5731" s="395"/>
      <c r="J5731" s="42"/>
    </row>
    <row r="5732" spans="1:10" s="393" customFormat="1" x14ac:dyDescent="0.25">
      <c r="A5732" s="402" t="s">
        <v>36</v>
      </c>
      <c r="B5732" s="269">
        <v>44131</v>
      </c>
      <c r="C5732" s="1">
        <v>446</v>
      </c>
      <c r="D5732" s="39">
        <f t="shared" si="515"/>
        <v>6065</v>
      </c>
      <c r="E5732" s="1">
        <f>1</f>
        <v>1</v>
      </c>
      <c r="F5732" s="522">
        <f t="shared" si="513"/>
        <v>53</v>
      </c>
      <c r="G5732" s="395"/>
      <c r="H5732" s="395"/>
      <c r="J5732" s="42"/>
    </row>
    <row r="5733" spans="1:10" s="393" customFormat="1" x14ac:dyDescent="0.25">
      <c r="A5733" s="402" t="s">
        <v>37</v>
      </c>
      <c r="B5733" s="269">
        <v>44131</v>
      </c>
      <c r="C5733" s="1">
        <v>91</v>
      </c>
      <c r="D5733" s="39">
        <f t="shared" si="515"/>
        <v>8646</v>
      </c>
      <c r="E5733" s="1">
        <f>1</f>
        <v>1</v>
      </c>
      <c r="F5733" s="522">
        <f t="shared" si="513"/>
        <v>117</v>
      </c>
      <c r="G5733" s="395"/>
      <c r="H5733" s="395"/>
      <c r="J5733" s="42"/>
    </row>
    <row r="5734" spans="1:10" s="393" customFormat="1" x14ac:dyDescent="0.25">
      <c r="A5734" s="402" t="s">
        <v>22</v>
      </c>
      <c r="B5734" s="269">
        <v>44131</v>
      </c>
      <c r="C5734" s="1">
        <v>2235</v>
      </c>
      <c r="D5734" s="39">
        <f t="shared" si="515"/>
        <v>98475</v>
      </c>
      <c r="E5734" s="1">
        <f>19+10</f>
        <v>29</v>
      </c>
      <c r="F5734" s="522">
        <f t="shared" si="513"/>
        <v>1123</v>
      </c>
      <c r="G5734" s="395"/>
      <c r="H5734" s="395"/>
      <c r="J5734" s="42"/>
    </row>
    <row r="5735" spans="1:10" s="393" customFormat="1" x14ac:dyDescent="0.25">
      <c r="A5735" s="402" t="s">
        <v>38</v>
      </c>
      <c r="B5735" s="269">
        <v>44131</v>
      </c>
      <c r="C5735" s="1">
        <v>144</v>
      </c>
      <c r="D5735" s="39">
        <f>C5735+D5711</f>
        <v>8769</v>
      </c>
      <c r="E5735" s="1">
        <f>1</f>
        <v>1</v>
      </c>
      <c r="F5735" s="522">
        <f t="shared" si="513"/>
        <v>116</v>
      </c>
      <c r="G5735" s="395"/>
      <c r="H5735" s="395"/>
      <c r="J5735" s="42"/>
    </row>
    <row r="5736" spans="1:10" s="393" customFormat="1" x14ac:dyDescent="0.25">
      <c r="A5736" s="402" t="s">
        <v>39</v>
      </c>
      <c r="B5736" s="269">
        <v>44131</v>
      </c>
      <c r="C5736" s="1">
        <v>231</v>
      </c>
      <c r="D5736" s="39">
        <f>C5736+D5712</f>
        <v>10588</v>
      </c>
      <c r="E5736" s="1">
        <v>5</v>
      </c>
      <c r="F5736" s="522">
        <f t="shared" si="513"/>
        <v>137</v>
      </c>
      <c r="G5736" s="395"/>
      <c r="H5736" s="395"/>
      <c r="J5736" s="42"/>
    </row>
    <row r="5737" spans="1:10" s="393" customFormat="1" ht="15.75" thickBot="1" x14ac:dyDescent="0.3">
      <c r="A5737" s="404" t="s">
        <v>40</v>
      </c>
      <c r="B5737" s="269">
        <v>44131</v>
      </c>
      <c r="C5737" s="44">
        <v>1440</v>
      </c>
      <c r="D5737" s="39">
        <f t="shared" ref="D5737:D5758" si="516">C5737+D5713</f>
        <v>45567</v>
      </c>
      <c r="E5737" s="44">
        <f>12+11</f>
        <v>23</v>
      </c>
      <c r="F5737" s="632">
        <f t="shared" si="513"/>
        <v>709</v>
      </c>
      <c r="G5737" s="395"/>
      <c r="H5737" s="395"/>
      <c r="J5737" s="42"/>
    </row>
    <row r="5738" spans="1:10" s="393" customFormat="1" x14ac:dyDescent="0.25">
      <c r="A5738" s="409" t="s">
        <v>16</v>
      </c>
      <c r="B5738" s="269">
        <v>44132</v>
      </c>
      <c r="C5738" s="1">
        <v>4238</v>
      </c>
      <c r="D5738" s="264">
        <f t="shared" si="516"/>
        <v>539446</v>
      </c>
      <c r="E5738" s="1">
        <f>61+61</f>
        <v>122</v>
      </c>
      <c r="F5738" s="630">
        <f t="shared" ref="F5738:F5801" si="517">E5738+F5714</f>
        <v>17242</v>
      </c>
      <c r="G5738" s="395"/>
      <c r="H5738" s="395"/>
      <c r="J5738" s="42"/>
    </row>
    <row r="5739" spans="1:10" s="393" customFormat="1" x14ac:dyDescent="0.25">
      <c r="A5739" s="402" t="s">
        <v>43</v>
      </c>
      <c r="B5739" s="269">
        <v>44132</v>
      </c>
      <c r="C5739" s="1">
        <v>641</v>
      </c>
      <c r="D5739" s="39">
        <f t="shared" si="516"/>
        <v>145744</v>
      </c>
      <c r="E5739" s="1">
        <f>20+16</f>
        <v>36</v>
      </c>
      <c r="F5739" s="522">
        <f t="shared" si="517"/>
        <v>4662</v>
      </c>
      <c r="G5739" s="395"/>
      <c r="H5739" s="395"/>
      <c r="J5739" s="42"/>
    </row>
    <row r="5740" spans="1:10" s="393" customFormat="1" x14ac:dyDescent="0.25">
      <c r="A5740" s="402" t="s">
        <v>28</v>
      </c>
      <c r="B5740" s="269">
        <v>44132</v>
      </c>
      <c r="C5740" s="1">
        <v>54</v>
      </c>
      <c r="D5740" s="39">
        <f t="shared" si="516"/>
        <v>720</v>
      </c>
      <c r="E5740" s="1"/>
      <c r="F5740" s="522">
        <f t="shared" si="517"/>
        <v>0</v>
      </c>
      <c r="G5740" s="395"/>
      <c r="H5740" s="395"/>
      <c r="J5740" s="42"/>
    </row>
    <row r="5741" spans="1:10" s="393" customFormat="1" x14ac:dyDescent="0.25">
      <c r="A5741" s="402" t="s">
        <v>15</v>
      </c>
      <c r="B5741" s="269">
        <v>44132</v>
      </c>
      <c r="C5741" s="1">
        <v>186</v>
      </c>
      <c r="D5741" s="39">
        <f t="shared" si="516"/>
        <v>13580</v>
      </c>
      <c r="E5741" s="1">
        <f>1+5</f>
        <v>6</v>
      </c>
      <c r="F5741" s="522">
        <f t="shared" si="517"/>
        <v>419</v>
      </c>
      <c r="G5741" s="395"/>
      <c r="H5741" s="395"/>
      <c r="J5741" s="42"/>
    </row>
    <row r="5742" spans="1:10" s="393" customFormat="1" x14ac:dyDescent="0.25">
      <c r="A5742" s="402" t="s">
        <v>29</v>
      </c>
      <c r="B5742" s="269">
        <v>44132</v>
      </c>
      <c r="C5742" s="1">
        <v>295</v>
      </c>
      <c r="D5742" s="39">
        <f t="shared" si="516"/>
        <v>13594</v>
      </c>
      <c r="E5742" s="1"/>
      <c r="F5742" s="522">
        <f t="shared" si="517"/>
        <v>242</v>
      </c>
      <c r="G5742" s="395"/>
      <c r="H5742" s="395"/>
      <c r="J5742" s="42"/>
    </row>
    <row r="5743" spans="1:10" s="393" customFormat="1" x14ac:dyDescent="0.25">
      <c r="A5743" s="402" t="s">
        <v>20</v>
      </c>
      <c r="B5743" s="269">
        <v>44132</v>
      </c>
      <c r="C5743" s="1">
        <v>1848</v>
      </c>
      <c r="D5743" s="39">
        <f t="shared" si="516"/>
        <v>80933</v>
      </c>
      <c r="E5743" s="1">
        <f>16+17</f>
        <v>33</v>
      </c>
      <c r="F5743" s="522">
        <f t="shared" si="517"/>
        <v>1208</v>
      </c>
      <c r="G5743" s="395"/>
      <c r="H5743" s="395"/>
      <c r="J5743" s="42"/>
    </row>
    <row r="5744" spans="1:10" s="393" customFormat="1" x14ac:dyDescent="0.25">
      <c r="A5744" s="402" t="s">
        <v>30</v>
      </c>
      <c r="B5744" s="269">
        <v>44132</v>
      </c>
      <c r="C5744" s="1">
        <v>69</v>
      </c>
      <c r="D5744" s="39">
        <f t="shared" si="516"/>
        <v>2469</v>
      </c>
      <c r="E5744" s="1">
        <f>2+2</f>
        <v>4</v>
      </c>
      <c r="F5744" s="522">
        <f t="shared" si="517"/>
        <v>47</v>
      </c>
      <c r="G5744" s="395"/>
      <c r="H5744" s="395"/>
      <c r="J5744" s="42"/>
    </row>
    <row r="5745" spans="1:10" x14ac:dyDescent="0.25">
      <c r="A5745" s="402" t="s">
        <v>31</v>
      </c>
      <c r="B5745" s="269">
        <v>44132</v>
      </c>
      <c r="C5745" s="1">
        <v>343</v>
      </c>
      <c r="D5745" s="39">
        <f t="shared" si="516"/>
        <v>15030</v>
      </c>
      <c r="E5745" s="1">
        <v>10</v>
      </c>
      <c r="F5745" s="522">
        <f t="shared" si="517"/>
        <v>267</v>
      </c>
    </row>
    <row r="5746" spans="1:10" s="393" customFormat="1" x14ac:dyDescent="0.25">
      <c r="A5746" s="402" t="s">
        <v>41</v>
      </c>
      <c r="B5746" s="269">
        <v>44132</v>
      </c>
      <c r="C5746" s="1">
        <v>1</v>
      </c>
      <c r="D5746" s="39">
        <f t="shared" si="516"/>
        <v>149</v>
      </c>
      <c r="E5746" s="1"/>
      <c r="F5746" s="522">
        <f t="shared" si="517"/>
        <v>1</v>
      </c>
      <c r="G5746" s="395"/>
      <c r="H5746" s="395"/>
      <c r="J5746" s="42"/>
    </row>
    <row r="5747" spans="1:10" s="393" customFormat="1" x14ac:dyDescent="0.25">
      <c r="A5747" s="402" t="s">
        <v>32</v>
      </c>
      <c r="B5747" s="269">
        <v>44132</v>
      </c>
      <c r="C5747" s="1">
        <v>53</v>
      </c>
      <c r="D5747" s="39">
        <f t="shared" si="516"/>
        <v>17740</v>
      </c>
      <c r="E5747" s="1">
        <f>1+1</f>
        <v>2</v>
      </c>
      <c r="F5747" s="522">
        <f t="shared" si="517"/>
        <v>799</v>
      </c>
      <c r="G5747" s="395"/>
      <c r="H5747" s="395"/>
      <c r="J5747" s="42"/>
    </row>
    <row r="5748" spans="1:10" s="393" customFormat="1" x14ac:dyDescent="0.25">
      <c r="A5748" s="402" t="s">
        <v>33</v>
      </c>
      <c r="B5748" s="269">
        <v>44132</v>
      </c>
      <c r="C5748" s="1">
        <v>161</v>
      </c>
      <c r="D5748" s="39">
        <f t="shared" si="516"/>
        <v>2829</v>
      </c>
      <c r="E5748" s="1"/>
      <c r="F5748" s="522">
        <f t="shared" si="517"/>
        <v>29</v>
      </c>
      <c r="G5748" s="395"/>
      <c r="H5748" s="395"/>
      <c r="J5748" s="42"/>
    </row>
    <row r="5749" spans="1:10" s="393" customFormat="1" x14ac:dyDescent="0.25">
      <c r="A5749" s="402" t="s">
        <v>21</v>
      </c>
      <c r="B5749" s="269">
        <v>44132</v>
      </c>
      <c r="C5749" s="1">
        <v>90</v>
      </c>
      <c r="D5749" s="39">
        <f t="shared" si="516"/>
        <v>7386</v>
      </c>
      <c r="E5749" s="1">
        <f>4</f>
        <v>4</v>
      </c>
      <c r="F5749" s="522">
        <f t="shared" si="517"/>
        <v>264</v>
      </c>
      <c r="G5749" s="395"/>
      <c r="H5749" s="395"/>
      <c r="J5749" s="42"/>
    </row>
    <row r="5750" spans="1:10" s="393" customFormat="1" x14ac:dyDescent="0.25">
      <c r="A5750" s="402" t="s">
        <v>17</v>
      </c>
      <c r="B5750" s="269">
        <v>44132</v>
      </c>
      <c r="C5750" s="1">
        <v>675</v>
      </c>
      <c r="D5750" s="39">
        <f t="shared" si="516"/>
        <v>45047</v>
      </c>
      <c r="E5750" s="1">
        <f>7+5</f>
        <v>12</v>
      </c>
      <c r="F5750" s="522">
        <f t="shared" si="517"/>
        <v>740</v>
      </c>
      <c r="G5750" s="395"/>
      <c r="H5750" s="395"/>
      <c r="J5750" s="42"/>
    </row>
    <row r="5751" spans="1:10" s="393" customFormat="1" x14ac:dyDescent="0.25">
      <c r="A5751" s="402" t="s">
        <v>23</v>
      </c>
      <c r="B5751" s="269">
        <v>44132</v>
      </c>
      <c r="C5751" s="1">
        <v>9</v>
      </c>
      <c r="D5751" s="39">
        <f t="shared" si="516"/>
        <v>249</v>
      </c>
      <c r="E5751" s="1"/>
      <c r="F5751" s="522">
        <f t="shared" si="517"/>
        <v>5</v>
      </c>
      <c r="G5751" s="395"/>
      <c r="H5751" s="395"/>
      <c r="J5751" s="42"/>
    </row>
    <row r="5752" spans="1:10" s="393" customFormat="1" x14ac:dyDescent="0.25">
      <c r="A5752" s="402" t="s">
        <v>19</v>
      </c>
      <c r="B5752" s="269">
        <v>44132</v>
      </c>
      <c r="C5752" s="1">
        <v>384</v>
      </c>
      <c r="D5752" s="39">
        <f t="shared" si="516"/>
        <v>20576</v>
      </c>
      <c r="E5752" s="1">
        <f>8+5</f>
        <v>13</v>
      </c>
      <c r="F5752" s="522">
        <f t="shared" si="517"/>
        <v>383</v>
      </c>
      <c r="G5752" s="395"/>
      <c r="H5752" s="395"/>
      <c r="J5752" s="42"/>
    </row>
    <row r="5753" spans="1:10" s="393" customFormat="1" x14ac:dyDescent="0.25">
      <c r="A5753" s="402" t="s">
        <v>18</v>
      </c>
      <c r="B5753" s="269">
        <v>44132</v>
      </c>
      <c r="C5753" s="1">
        <v>450</v>
      </c>
      <c r="D5753" s="39">
        <f t="shared" si="516"/>
        <v>22979</v>
      </c>
      <c r="E5753" s="1">
        <f>5+5</f>
        <v>10</v>
      </c>
      <c r="F5753" s="522">
        <f t="shared" si="517"/>
        <v>591</v>
      </c>
      <c r="G5753" s="395"/>
      <c r="H5753" s="395"/>
      <c r="J5753" s="42"/>
    </row>
    <row r="5754" spans="1:10" s="393" customFormat="1" x14ac:dyDescent="0.25">
      <c r="A5754" s="402" t="s">
        <v>34</v>
      </c>
      <c r="B5754" s="269">
        <v>44132</v>
      </c>
      <c r="C5754" s="1">
        <v>219</v>
      </c>
      <c r="D5754" s="39">
        <f t="shared" si="516"/>
        <v>18500</v>
      </c>
      <c r="E5754" s="1">
        <f>7+5</f>
        <v>12</v>
      </c>
      <c r="F5754" s="522">
        <f t="shared" si="517"/>
        <v>751</v>
      </c>
      <c r="G5754" s="395"/>
      <c r="H5754" s="395"/>
      <c r="J5754" s="42"/>
    </row>
    <row r="5755" spans="1:10" s="393" customFormat="1" x14ac:dyDescent="0.25">
      <c r="A5755" s="402" t="s">
        <v>35</v>
      </c>
      <c r="B5755" s="269">
        <v>44132</v>
      </c>
      <c r="C5755" s="1">
        <v>144</v>
      </c>
      <c r="D5755" s="39">
        <f t="shared" si="516"/>
        <v>1580</v>
      </c>
      <c r="E5755" s="1">
        <f>2+3</f>
        <v>5</v>
      </c>
      <c r="F5755" s="522">
        <f t="shared" si="517"/>
        <v>83</v>
      </c>
      <c r="G5755" s="395"/>
      <c r="H5755" s="395"/>
      <c r="J5755" s="42"/>
    </row>
    <row r="5756" spans="1:10" s="393" customFormat="1" x14ac:dyDescent="0.25">
      <c r="A5756" s="402" t="s">
        <v>36</v>
      </c>
      <c r="B5756" s="269">
        <v>44132</v>
      </c>
      <c r="C5756" s="1">
        <v>167</v>
      </c>
      <c r="D5756" s="39">
        <f t="shared" si="516"/>
        <v>6232</v>
      </c>
      <c r="E5756" s="1"/>
      <c r="F5756" s="522">
        <f t="shared" si="517"/>
        <v>53</v>
      </c>
      <c r="G5756" s="395"/>
      <c r="H5756" s="395"/>
      <c r="J5756" s="42"/>
    </row>
    <row r="5757" spans="1:10" s="393" customFormat="1" x14ac:dyDescent="0.25">
      <c r="A5757" s="402" t="s">
        <v>37</v>
      </c>
      <c r="B5757" s="269">
        <v>44132</v>
      </c>
      <c r="C5757" s="1">
        <v>239</v>
      </c>
      <c r="D5757" s="39">
        <f t="shared" si="516"/>
        <v>8885</v>
      </c>
      <c r="E5757" s="1"/>
      <c r="F5757" s="522">
        <f t="shared" si="517"/>
        <v>117</v>
      </c>
      <c r="G5757" s="395"/>
      <c r="H5757" s="395"/>
      <c r="J5757" s="42"/>
    </row>
    <row r="5758" spans="1:10" s="393" customFormat="1" x14ac:dyDescent="0.25">
      <c r="A5758" s="402" t="s">
        <v>22</v>
      </c>
      <c r="B5758" s="269">
        <v>44132</v>
      </c>
      <c r="C5758" s="1">
        <v>2003</v>
      </c>
      <c r="D5758" s="39">
        <f t="shared" si="516"/>
        <v>100478</v>
      </c>
      <c r="E5758" s="1">
        <f>24+19</f>
        <v>43</v>
      </c>
      <c r="F5758" s="522">
        <f t="shared" si="517"/>
        <v>1166</v>
      </c>
      <c r="G5758" s="395"/>
      <c r="H5758" s="395"/>
      <c r="J5758" s="42"/>
    </row>
    <row r="5759" spans="1:10" s="393" customFormat="1" x14ac:dyDescent="0.25">
      <c r="A5759" s="402" t="s">
        <v>38</v>
      </c>
      <c r="B5759" s="269">
        <v>44132</v>
      </c>
      <c r="C5759" s="1">
        <v>292</v>
      </c>
      <c r="D5759" s="39">
        <f>C5759+D5735</f>
        <v>9061</v>
      </c>
      <c r="E5759" s="1">
        <f>2+2</f>
        <v>4</v>
      </c>
      <c r="F5759" s="522">
        <f t="shared" si="517"/>
        <v>120</v>
      </c>
      <c r="G5759" s="395"/>
      <c r="H5759" s="395"/>
      <c r="J5759" s="42"/>
    </row>
    <row r="5760" spans="1:10" s="393" customFormat="1" x14ac:dyDescent="0.25">
      <c r="A5760" s="402" t="s">
        <v>39</v>
      </c>
      <c r="B5760" s="269">
        <v>44132</v>
      </c>
      <c r="C5760" s="1">
        <v>236</v>
      </c>
      <c r="D5760" s="39">
        <f>C5760+D5736</f>
        <v>10824</v>
      </c>
      <c r="E5760" s="1">
        <f>3+1</f>
        <v>4</v>
      </c>
      <c r="F5760" s="522">
        <f t="shared" si="517"/>
        <v>141</v>
      </c>
      <c r="G5760" s="395"/>
      <c r="H5760" s="395"/>
      <c r="J5760" s="42"/>
    </row>
    <row r="5761" spans="1:10" s="393" customFormat="1" ht="15.75" thickBot="1" x14ac:dyDescent="0.3">
      <c r="A5761" s="404" t="s">
        <v>40</v>
      </c>
      <c r="B5761" s="269">
        <v>44132</v>
      </c>
      <c r="C5761" s="1">
        <v>1127</v>
      </c>
      <c r="D5761" s="39">
        <f>C5761+D5737</f>
        <v>46694</v>
      </c>
      <c r="E5761" s="1">
        <f>17+7</f>
        <v>24</v>
      </c>
      <c r="F5761" s="632">
        <f t="shared" si="517"/>
        <v>733</v>
      </c>
      <c r="G5761" s="395"/>
      <c r="H5761" s="395"/>
      <c r="J5761" s="42"/>
    </row>
    <row r="5762" spans="1:10" s="393" customFormat="1" x14ac:dyDescent="0.25">
      <c r="A5762" s="409" t="s">
        <v>16</v>
      </c>
      <c r="B5762" s="269">
        <v>44133</v>
      </c>
      <c r="C5762" s="1">
        <v>3708</v>
      </c>
      <c r="D5762" s="264">
        <f>543181</f>
        <v>543181</v>
      </c>
      <c r="E5762" s="1">
        <f>78+60</f>
        <v>138</v>
      </c>
      <c r="F5762" s="630">
        <f t="shared" si="517"/>
        <v>17380</v>
      </c>
      <c r="G5762" s="395"/>
      <c r="H5762" s="395"/>
      <c r="J5762" s="42"/>
    </row>
    <row r="5763" spans="1:10" s="393" customFormat="1" x14ac:dyDescent="0.25">
      <c r="A5763" s="402" t="s">
        <v>43</v>
      </c>
      <c r="B5763" s="269">
        <v>44133</v>
      </c>
      <c r="C5763" s="1">
        <v>512</v>
      </c>
      <c r="D5763" s="39">
        <f t="shared" ref="D5763:D5825" si="518">C5763+D5739</f>
        <v>146256</v>
      </c>
      <c r="E5763" s="1">
        <v>39</v>
      </c>
      <c r="F5763" s="522">
        <f t="shared" si="517"/>
        <v>4701</v>
      </c>
      <c r="G5763" s="395"/>
      <c r="H5763" s="395"/>
      <c r="J5763" s="42"/>
    </row>
    <row r="5764" spans="1:10" s="393" customFormat="1" x14ac:dyDescent="0.25">
      <c r="A5764" s="402" t="s">
        <v>28</v>
      </c>
      <c r="B5764" s="269">
        <v>44133</v>
      </c>
      <c r="C5764" s="1">
        <v>16</v>
      </c>
      <c r="D5764" s="39">
        <f t="shared" si="518"/>
        <v>736</v>
      </c>
      <c r="E5764" s="1"/>
      <c r="F5764" s="522">
        <f t="shared" si="517"/>
        <v>0</v>
      </c>
      <c r="G5764" s="395"/>
      <c r="H5764" s="395"/>
      <c r="J5764" s="42"/>
    </row>
    <row r="5765" spans="1:10" s="393" customFormat="1" x14ac:dyDescent="0.25">
      <c r="A5765" s="402" t="s">
        <v>15</v>
      </c>
      <c r="B5765" s="269">
        <v>44133</v>
      </c>
      <c r="C5765" s="1">
        <v>130</v>
      </c>
      <c r="D5765" s="39">
        <f t="shared" si="518"/>
        <v>13710</v>
      </c>
      <c r="E5765" s="1">
        <f>2+2</f>
        <v>4</v>
      </c>
      <c r="F5765" s="522">
        <f t="shared" si="517"/>
        <v>423</v>
      </c>
      <c r="G5765" s="395"/>
      <c r="H5765" s="395"/>
      <c r="J5765" s="42"/>
    </row>
    <row r="5766" spans="1:10" s="393" customFormat="1" x14ac:dyDescent="0.25">
      <c r="A5766" s="402" t="s">
        <v>29</v>
      </c>
      <c r="B5766" s="269">
        <v>44133</v>
      </c>
      <c r="C5766" s="1">
        <v>284</v>
      </c>
      <c r="D5766" s="39">
        <f t="shared" si="518"/>
        <v>13878</v>
      </c>
      <c r="E5766" s="1">
        <f>2</f>
        <v>2</v>
      </c>
      <c r="F5766" s="522">
        <f t="shared" si="517"/>
        <v>244</v>
      </c>
      <c r="G5766" s="395"/>
      <c r="H5766" s="395"/>
      <c r="J5766" s="42"/>
    </row>
    <row r="5767" spans="1:10" s="393" customFormat="1" x14ac:dyDescent="0.25">
      <c r="A5767" s="402" t="s">
        <v>20</v>
      </c>
      <c r="B5767" s="269">
        <v>44133</v>
      </c>
      <c r="C5767" s="1">
        <v>1457</v>
      </c>
      <c r="D5767" s="39">
        <f t="shared" si="518"/>
        <v>82390</v>
      </c>
      <c r="E5767" s="1">
        <f>19+16</f>
        <v>35</v>
      </c>
      <c r="F5767" s="522">
        <f t="shared" si="517"/>
        <v>1243</v>
      </c>
      <c r="G5767" s="395"/>
      <c r="H5767" s="395"/>
      <c r="J5767" s="42"/>
    </row>
    <row r="5768" spans="1:10" s="393" customFormat="1" x14ac:dyDescent="0.25">
      <c r="A5768" s="402" t="s">
        <v>30</v>
      </c>
      <c r="B5768" s="269">
        <v>44133</v>
      </c>
      <c r="C5768" s="1">
        <v>61</v>
      </c>
      <c r="D5768" s="39">
        <f t="shared" si="518"/>
        <v>2530</v>
      </c>
      <c r="E5768" s="1"/>
      <c r="F5768" s="522">
        <f t="shared" si="517"/>
        <v>47</v>
      </c>
      <c r="G5768" s="395"/>
      <c r="H5768" s="395"/>
      <c r="J5768" s="42"/>
    </row>
    <row r="5769" spans="1:10" x14ac:dyDescent="0.25">
      <c r="A5769" s="402" t="s">
        <v>31</v>
      </c>
      <c r="B5769" s="269">
        <v>44133</v>
      </c>
      <c r="C5769" s="1">
        <v>360</v>
      </c>
      <c r="D5769" s="39">
        <f t="shared" si="518"/>
        <v>15390</v>
      </c>
      <c r="E5769" s="1">
        <f>2+2</f>
        <v>4</v>
      </c>
      <c r="F5769" s="522">
        <f t="shared" si="517"/>
        <v>271</v>
      </c>
    </row>
    <row r="5770" spans="1:10" s="393" customFormat="1" x14ac:dyDescent="0.25">
      <c r="A5770" s="402" t="s">
        <v>41</v>
      </c>
      <c r="B5770" s="269">
        <v>44133</v>
      </c>
      <c r="C5770" s="1">
        <v>1</v>
      </c>
      <c r="D5770" s="39">
        <f t="shared" si="518"/>
        <v>150</v>
      </c>
      <c r="E5770" s="1"/>
      <c r="F5770" s="522">
        <f t="shared" si="517"/>
        <v>1</v>
      </c>
      <c r="G5770" s="395"/>
      <c r="H5770" s="395"/>
      <c r="J5770" s="42"/>
    </row>
    <row r="5771" spans="1:10" s="393" customFormat="1" x14ac:dyDescent="0.25">
      <c r="A5771" s="402" t="s">
        <v>32</v>
      </c>
      <c r="B5771" s="269">
        <v>44133</v>
      </c>
      <c r="C5771" s="1">
        <v>46</v>
      </c>
      <c r="D5771" s="39">
        <f t="shared" si="518"/>
        <v>17786</v>
      </c>
      <c r="E5771" s="1">
        <f>2+2</f>
        <v>4</v>
      </c>
      <c r="F5771" s="522">
        <f t="shared" si="517"/>
        <v>803</v>
      </c>
      <c r="G5771" s="395"/>
      <c r="H5771" s="395"/>
      <c r="J5771" s="42"/>
    </row>
    <row r="5772" spans="1:10" s="393" customFormat="1" x14ac:dyDescent="0.25">
      <c r="A5772" s="402" t="s">
        <v>33</v>
      </c>
      <c r="B5772" s="269">
        <v>44133</v>
      </c>
      <c r="C5772" s="1">
        <v>231</v>
      </c>
      <c r="D5772" s="39">
        <f t="shared" si="518"/>
        <v>3060</v>
      </c>
      <c r="E5772" s="1">
        <f>3</f>
        <v>3</v>
      </c>
      <c r="F5772" s="522">
        <f t="shared" si="517"/>
        <v>32</v>
      </c>
      <c r="G5772" s="395"/>
      <c r="H5772" s="395"/>
      <c r="J5772" s="42"/>
    </row>
    <row r="5773" spans="1:10" s="393" customFormat="1" x14ac:dyDescent="0.25">
      <c r="A5773" s="402" t="s">
        <v>21</v>
      </c>
      <c r="B5773" s="269">
        <v>44133</v>
      </c>
      <c r="C5773" s="1">
        <v>55</v>
      </c>
      <c r="D5773" s="39">
        <f t="shared" si="518"/>
        <v>7441</v>
      </c>
      <c r="E5773" s="1"/>
      <c r="F5773" s="522">
        <f t="shared" si="517"/>
        <v>264</v>
      </c>
      <c r="G5773" s="395"/>
      <c r="H5773" s="395"/>
      <c r="J5773" s="42"/>
    </row>
    <row r="5774" spans="1:10" s="393" customFormat="1" x14ac:dyDescent="0.25">
      <c r="A5774" s="402" t="s">
        <v>17</v>
      </c>
      <c r="B5774" s="269">
        <v>44133</v>
      </c>
      <c r="C5774" s="1">
        <v>813</v>
      </c>
      <c r="D5774" s="39">
        <f t="shared" si="518"/>
        <v>45860</v>
      </c>
      <c r="E5774" s="1">
        <f>13+3</f>
        <v>16</v>
      </c>
      <c r="F5774" s="522">
        <f t="shared" si="517"/>
        <v>756</v>
      </c>
      <c r="G5774" s="395"/>
      <c r="H5774" s="395"/>
      <c r="J5774" s="42"/>
    </row>
    <row r="5775" spans="1:10" s="393" customFormat="1" x14ac:dyDescent="0.25">
      <c r="A5775" s="402" t="s">
        <v>23</v>
      </c>
      <c r="B5775" s="269">
        <v>44133</v>
      </c>
      <c r="C5775" s="1">
        <v>11</v>
      </c>
      <c r="D5775" s="39">
        <f t="shared" si="518"/>
        <v>260</v>
      </c>
      <c r="E5775" s="1"/>
      <c r="F5775" s="522">
        <f t="shared" si="517"/>
        <v>5</v>
      </c>
      <c r="G5775" s="395"/>
      <c r="H5775" s="395"/>
      <c r="J5775" s="42"/>
    </row>
    <row r="5776" spans="1:10" s="393" customFormat="1" x14ac:dyDescent="0.25">
      <c r="A5776" s="402" t="s">
        <v>19</v>
      </c>
      <c r="B5776" s="269">
        <v>44133</v>
      </c>
      <c r="C5776" s="1">
        <v>499</v>
      </c>
      <c r="D5776" s="39">
        <f t="shared" si="518"/>
        <v>21075</v>
      </c>
      <c r="E5776" s="1">
        <f>2</f>
        <v>2</v>
      </c>
      <c r="F5776" s="522">
        <f t="shared" si="517"/>
        <v>385</v>
      </c>
      <c r="G5776" s="395"/>
      <c r="H5776" s="395"/>
      <c r="J5776" s="42"/>
    </row>
    <row r="5777" spans="1:10" s="393" customFormat="1" x14ac:dyDescent="0.25">
      <c r="A5777" s="402" t="s">
        <v>18</v>
      </c>
      <c r="B5777" s="269">
        <v>44133</v>
      </c>
      <c r="C5777" s="1">
        <v>451</v>
      </c>
      <c r="D5777" s="39">
        <v>23450</v>
      </c>
      <c r="E5777" s="1">
        <f>7+6</f>
        <v>13</v>
      </c>
      <c r="F5777" s="522">
        <f t="shared" si="517"/>
        <v>604</v>
      </c>
      <c r="G5777" s="395"/>
      <c r="H5777" s="395"/>
      <c r="J5777" s="42"/>
    </row>
    <row r="5778" spans="1:10" s="393" customFormat="1" x14ac:dyDescent="0.25">
      <c r="A5778" s="402" t="s">
        <v>34</v>
      </c>
      <c r="B5778" s="269">
        <v>44133</v>
      </c>
      <c r="C5778" s="1">
        <v>157</v>
      </c>
      <c r="D5778" s="39">
        <v>18409</v>
      </c>
      <c r="E5778" s="1">
        <v>11</v>
      </c>
      <c r="F5778" s="522">
        <f t="shared" si="517"/>
        <v>762</v>
      </c>
      <c r="G5778" s="395"/>
      <c r="H5778" s="395"/>
      <c r="J5778" s="42"/>
    </row>
    <row r="5779" spans="1:10" s="393" customFormat="1" x14ac:dyDescent="0.25">
      <c r="A5779" s="402" t="s">
        <v>35</v>
      </c>
      <c r="B5779" s="269">
        <v>44133</v>
      </c>
      <c r="C5779" s="1">
        <v>297</v>
      </c>
      <c r="D5779" s="39">
        <f t="shared" si="518"/>
        <v>1877</v>
      </c>
      <c r="E5779" s="1">
        <f>1</f>
        <v>1</v>
      </c>
      <c r="F5779" s="522">
        <f t="shared" si="517"/>
        <v>84</v>
      </c>
      <c r="G5779" s="395"/>
      <c r="H5779" s="395"/>
      <c r="J5779" s="42"/>
    </row>
    <row r="5780" spans="1:10" s="393" customFormat="1" x14ac:dyDescent="0.25">
      <c r="A5780" s="402" t="s">
        <v>36</v>
      </c>
      <c r="B5780" s="269">
        <v>44133</v>
      </c>
      <c r="C5780" s="1">
        <v>314</v>
      </c>
      <c r="D5780" s="39">
        <v>6556</v>
      </c>
      <c r="E5780" s="1">
        <f>1</f>
        <v>1</v>
      </c>
      <c r="F5780" s="522">
        <f t="shared" si="517"/>
        <v>54</v>
      </c>
      <c r="G5780" s="395"/>
      <c r="H5780" s="395"/>
      <c r="J5780" s="42"/>
    </row>
    <row r="5781" spans="1:10" s="393" customFormat="1" x14ac:dyDescent="0.25">
      <c r="A5781" s="402" t="s">
        <v>37</v>
      </c>
      <c r="B5781" s="269">
        <v>44133</v>
      </c>
      <c r="C5781" s="1">
        <v>250</v>
      </c>
      <c r="D5781" s="39">
        <f t="shared" si="518"/>
        <v>9135</v>
      </c>
      <c r="E5781" s="1">
        <f>6+5</f>
        <v>11</v>
      </c>
      <c r="F5781" s="522">
        <f t="shared" si="517"/>
        <v>128</v>
      </c>
      <c r="G5781" s="395"/>
      <c r="H5781" s="395"/>
      <c r="J5781" s="42"/>
    </row>
    <row r="5782" spans="1:10" s="393" customFormat="1" x14ac:dyDescent="0.25">
      <c r="A5782" s="402" t="s">
        <v>22</v>
      </c>
      <c r="B5782" s="269">
        <v>44133</v>
      </c>
      <c r="C5782" s="1">
        <v>2013</v>
      </c>
      <c r="D5782" s="39">
        <v>102490</v>
      </c>
      <c r="E5782" s="1">
        <f>42+24</f>
        <v>66</v>
      </c>
      <c r="F5782" s="522">
        <f t="shared" si="517"/>
        <v>1232</v>
      </c>
      <c r="G5782" s="395"/>
      <c r="H5782" s="395"/>
      <c r="J5782" s="42"/>
    </row>
    <row r="5783" spans="1:10" s="393" customFormat="1" x14ac:dyDescent="0.25">
      <c r="A5783" s="402" t="s">
        <v>38</v>
      </c>
      <c r="B5783" s="269">
        <v>44133</v>
      </c>
      <c r="C5783" s="1">
        <v>308</v>
      </c>
      <c r="D5783" s="39">
        <v>9369</v>
      </c>
      <c r="E5783" s="1">
        <f>1</f>
        <v>1</v>
      </c>
      <c r="F5783" s="522">
        <f t="shared" si="517"/>
        <v>121</v>
      </c>
      <c r="G5783" s="395"/>
      <c r="H5783" s="395"/>
      <c r="J5783" s="42"/>
    </row>
    <row r="5784" spans="1:10" s="393" customFormat="1" x14ac:dyDescent="0.25">
      <c r="A5784" s="402" t="s">
        <v>39</v>
      </c>
      <c r="B5784" s="269">
        <v>44133</v>
      </c>
      <c r="C5784" s="1">
        <v>204</v>
      </c>
      <c r="D5784" s="39">
        <f t="shared" si="518"/>
        <v>11028</v>
      </c>
      <c r="E5784" s="1">
        <f>3+1</f>
        <v>4</v>
      </c>
      <c r="F5784" s="522">
        <f t="shared" si="517"/>
        <v>145</v>
      </c>
      <c r="G5784" s="395"/>
      <c r="H5784" s="395"/>
      <c r="J5784" s="42"/>
    </row>
    <row r="5785" spans="1:10" s="393" customFormat="1" ht="15.75" thickBot="1" x14ac:dyDescent="0.3">
      <c r="A5785" s="404" t="s">
        <v>40</v>
      </c>
      <c r="B5785" s="269">
        <v>44133</v>
      </c>
      <c r="C5785" s="1">
        <v>1089</v>
      </c>
      <c r="D5785" s="39">
        <f>C5785+D5761</f>
        <v>47783</v>
      </c>
      <c r="E5785" s="1">
        <f>10+5</f>
        <v>15</v>
      </c>
      <c r="F5785" s="632">
        <f t="shared" si="517"/>
        <v>748</v>
      </c>
      <c r="G5785" s="395"/>
      <c r="H5785" s="395"/>
      <c r="J5785" s="42"/>
    </row>
    <row r="5786" spans="1:10" s="393" customFormat="1" x14ac:dyDescent="0.25">
      <c r="A5786" s="409" t="s">
        <v>16</v>
      </c>
      <c r="B5786" s="269">
        <v>44134</v>
      </c>
      <c r="C5786" s="1">
        <v>3830</v>
      </c>
      <c r="D5786" s="264">
        <f t="shared" si="518"/>
        <v>547011</v>
      </c>
      <c r="E5786" s="1">
        <f>70+47</f>
        <v>117</v>
      </c>
      <c r="F5786" s="630">
        <f t="shared" si="517"/>
        <v>17497</v>
      </c>
      <c r="G5786" s="395"/>
      <c r="H5786" s="395"/>
      <c r="J5786" s="42"/>
    </row>
    <row r="5787" spans="1:10" s="393" customFormat="1" x14ac:dyDescent="0.25">
      <c r="A5787" s="402" t="s">
        <v>43</v>
      </c>
      <c r="B5787" s="269">
        <v>44134</v>
      </c>
      <c r="C5787" s="1">
        <v>504</v>
      </c>
      <c r="D5787" s="39">
        <f t="shared" si="518"/>
        <v>146760</v>
      </c>
      <c r="E5787" s="1">
        <f>14+22</f>
        <v>36</v>
      </c>
      <c r="F5787" s="522">
        <f t="shared" si="517"/>
        <v>4737</v>
      </c>
      <c r="G5787" s="395"/>
      <c r="H5787" s="395"/>
      <c r="J5787" s="42"/>
    </row>
    <row r="5788" spans="1:10" s="393" customFormat="1" x14ac:dyDescent="0.25">
      <c r="A5788" s="402" t="s">
        <v>28</v>
      </c>
      <c r="B5788" s="269">
        <v>44134</v>
      </c>
      <c r="C5788" s="1">
        <v>83</v>
      </c>
      <c r="D5788" s="39">
        <f t="shared" si="518"/>
        <v>819</v>
      </c>
      <c r="E5788" s="1"/>
      <c r="F5788" s="522">
        <f t="shared" si="517"/>
        <v>0</v>
      </c>
      <c r="G5788" s="395"/>
      <c r="H5788" s="395"/>
      <c r="J5788" s="42"/>
    </row>
    <row r="5789" spans="1:10" s="393" customFormat="1" x14ac:dyDescent="0.25">
      <c r="A5789" s="402" t="s">
        <v>15</v>
      </c>
      <c r="B5789" s="269">
        <v>44134</v>
      </c>
      <c r="C5789" s="1">
        <v>203</v>
      </c>
      <c r="D5789" s="39">
        <f t="shared" si="518"/>
        <v>13913</v>
      </c>
      <c r="E5789" s="1">
        <f>1</f>
        <v>1</v>
      </c>
      <c r="F5789" s="522">
        <f t="shared" si="517"/>
        <v>424</v>
      </c>
      <c r="G5789" s="395"/>
      <c r="H5789" s="395"/>
      <c r="J5789" s="42"/>
    </row>
    <row r="5790" spans="1:10" s="393" customFormat="1" x14ac:dyDescent="0.25">
      <c r="A5790" s="402" t="s">
        <v>29</v>
      </c>
      <c r="B5790" s="269">
        <v>44134</v>
      </c>
      <c r="C5790" s="1">
        <v>309</v>
      </c>
      <c r="D5790" s="39">
        <f t="shared" si="518"/>
        <v>14187</v>
      </c>
      <c r="E5790" s="1">
        <f>1+1</f>
        <v>2</v>
      </c>
      <c r="F5790" s="522">
        <f t="shared" si="517"/>
        <v>246</v>
      </c>
      <c r="G5790" s="395"/>
      <c r="H5790" s="395"/>
      <c r="J5790" s="42"/>
    </row>
    <row r="5791" spans="1:10" s="393" customFormat="1" x14ac:dyDescent="0.25">
      <c r="A5791" s="402" t="s">
        <v>20</v>
      </c>
      <c r="B5791" s="269">
        <v>44134</v>
      </c>
      <c r="C5791" s="1">
        <v>1601</v>
      </c>
      <c r="D5791" s="39">
        <f t="shared" si="518"/>
        <v>83991</v>
      </c>
      <c r="E5791" s="1">
        <f>15+12</f>
        <v>27</v>
      </c>
      <c r="F5791" s="522">
        <f t="shared" si="517"/>
        <v>1270</v>
      </c>
      <c r="G5791" s="395"/>
      <c r="H5791" s="395"/>
      <c r="J5791" s="42"/>
    </row>
    <row r="5792" spans="1:10" s="393" customFormat="1" x14ac:dyDescent="0.25">
      <c r="A5792" s="402" t="s">
        <v>30</v>
      </c>
      <c r="B5792" s="269">
        <v>44134</v>
      </c>
      <c r="C5792" s="1">
        <v>9</v>
      </c>
      <c r="D5792" s="39">
        <f t="shared" si="518"/>
        <v>2539</v>
      </c>
      <c r="E5792" s="1"/>
      <c r="F5792" s="522">
        <f t="shared" si="517"/>
        <v>47</v>
      </c>
      <c r="G5792" s="395"/>
      <c r="H5792" s="395"/>
      <c r="J5792" s="42"/>
    </row>
    <row r="5793" spans="1:10" x14ac:dyDescent="0.25">
      <c r="A5793" s="402" t="s">
        <v>31</v>
      </c>
      <c r="B5793" s="269">
        <v>44134</v>
      </c>
      <c r="C5793" s="1">
        <v>343</v>
      </c>
      <c r="D5793" s="39">
        <f t="shared" si="518"/>
        <v>15733</v>
      </c>
      <c r="E5793" s="1">
        <f>2+3</f>
        <v>5</v>
      </c>
      <c r="F5793" s="522">
        <f t="shared" si="517"/>
        <v>276</v>
      </c>
    </row>
    <row r="5794" spans="1:10" s="393" customFormat="1" x14ac:dyDescent="0.25">
      <c r="A5794" s="402" t="s">
        <v>41</v>
      </c>
      <c r="B5794" s="269">
        <v>44134</v>
      </c>
      <c r="C5794" s="1">
        <v>-1</v>
      </c>
      <c r="D5794" s="39">
        <f t="shared" si="518"/>
        <v>149</v>
      </c>
      <c r="E5794" s="1"/>
      <c r="F5794" s="522">
        <f t="shared" si="517"/>
        <v>1</v>
      </c>
      <c r="G5794" s="395"/>
      <c r="H5794" s="395"/>
      <c r="J5794" s="42"/>
    </row>
    <row r="5795" spans="1:10" s="393" customFormat="1" x14ac:dyDescent="0.25">
      <c r="A5795" s="402" t="s">
        <v>32</v>
      </c>
      <c r="B5795" s="269">
        <v>44134</v>
      </c>
      <c r="C5795" s="1">
        <v>37</v>
      </c>
      <c r="D5795" s="39">
        <f t="shared" si="518"/>
        <v>17823</v>
      </c>
      <c r="E5795" s="1">
        <f>1+3</f>
        <v>4</v>
      </c>
      <c r="F5795" s="522">
        <f t="shared" si="517"/>
        <v>807</v>
      </c>
      <c r="G5795" s="395"/>
      <c r="H5795" s="395"/>
      <c r="J5795" s="42"/>
    </row>
    <row r="5796" spans="1:10" s="393" customFormat="1" x14ac:dyDescent="0.25">
      <c r="A5796" s="402" t="s">
        <v>33</v>
      </c>
      <c r="B5796" s="269">
        <v>44134</v>
      </c>
      <c r="C5796" s="1">
        <v>129</v>
      </c>
      <c r="D5796" s="39">
        <f t="shared" si="518"/>
        <v>3189</v>
      </c>
      <c r="E5796" s="1"/>
      <c r="F5796" s="522">
        <f t="shared" si="517"/>
        <v>32</v>
      </c>
      <c r="G5796" s="395"/>
      <c r="H5796" s="395"/>
      <c r="J5796" s="42"/>
    </row>
    <row r="5797" spans="1:10" s="393" customFormat="1" x14ac:dyDescent="0.25">
      <c r="A5797" s="402" t="s">
        <v>21</v>
      </c>
      <c r="B5797" s="269">
        <v>44134</v>
      </c>
      <c r="C5797" s="1">
        <v>73</v>
      </c>
      <c r="D5797" s="39">
        <f t="shared" si="518"/>
        <v>7514</v>
      </c>
      <c r="E5797" s="1">
        <f>3+3</f>
        <v>6</v>
      </c>
      <c r="F5797" s="522">
        <f t="shared" si="517"/>
        <v>270</v>
      </c>
      <c r="G5797" s="395"/>
      <c r="H5797" s="395"/>
      <c r="J5797" s="42"/>
    </row>
    <row r="5798" spans="1:10" s="393" customFormat="1" x14ac:dyDescent="0.25">
      <c r="A5798" s="402" t="s">
        <v>17</v>
      </c>
      <c r="B5798" s="269">
        <v>44134</v>
      </c>
      <c r="C5798" s="1">
        <v>704</v>
      </c>
      <c r="D5798" s="39">
        <f t="shared" si="518"/>
        <v>46564</v>
      </c>
      <c r="E5798" s="1">
        <f>14+3</f>
        <v>17</v>
      </c>
      <c r="F5798" s="522">
        <f t="shared" si="517"/>
        <v>773</v>
      </c>
      <c r="G5798" s="395"/>
      <c r="H5798" s="395"/>
      <c r="J5798" s="42"/>
    </row>
    <row r="5799" spans="1:10" s="393" customFormat="1" x14ac:dyDescent="0.25">
      <c r="A5799" s="402" t="s">
        <v>23</v>
      </c>
      <c r="B5799" s="269">
        <v>44134</v>
      </c>
      <c r="C5799" s="1">
        <v>10</v>
      </c>
      <c r="D5799" s="39">
        <f t="shared" si="518"/>
        <v>270</v>
      </c>
      <c r="E5799" s="1"/>
      <c r="F5799" s="522">
        <f t="shared" si="517"/>
        <v>5</v>
      </c>
      <c r="G5799" s="395"/>
      <c r="H5799" s="395"/>
      <c r="J5799" s="42"/>
    </row>
    <row r="5800" spans="1:10" s="393" customFormat="1" x14ac:dyDescent="0.25">
      <c r="A5800" s="402" t="s">
        <v>19</v>
      </c>
      <c r="B5800" s="269">
        <v>44134</v>
      </c>
      <c r="C5800" s="1">
        <v>696</v>
      </c>
      <c r="D5800" s="39">
        <f t="shared" si="518"/>
        <v>21771</v>
      </c>
      <c r="E5800" s="1">
        <f>12+8</f>
        <v>20</v>
      </c>
      <c r="F5800" s="522">
        <f t="shared" si="517"/>
        <v>405</v>
      </c>
      <c r="G5800" s="395"/>
      <c r="H5800" s="395"/>
      <c r="J5800" s="42"/>
    </row>
    <row r="5801" spans="1:10" s="393" customFormat="1" x14ac:dyDescent="0.25">
      <c r="A5801" s="402" t="s">
        <v>18</v>
      </c>
      <c r="B5801" s="269">
        <v>44134</v>
      </c>
      <c r="C5801" s="1">
        <v>288</v>
      </c>
      <c r="D5801" s="39">
        <f t="shared" si="518"/>
        <v>23738</v>
      </c>
      <c r="E5801" s="1">
        <f>4+1</f>
        <v>5</v>
      </c>
      <c r="F5801" s="522">
        <f t="shared" si="517"/>
        <v>609</v>
      </c>
      <c r="G5801" s="395"/>
      <c r="H5801" s="395"/>
      <c r="J5801" s="42"/>
    </row>
    <row r="5802" spans="1:10" s="393" customFormat="1" x14ac:dyDescent="0.25">
      <c r="A5802" s="402" t="s">
        <v>34</v>
      </c>
      <c r="B5802" s="269">
        <v>44134</v>
      </c>
      <c r="C5802" s="1">
        <v>191</v>
      </c>
      <c r="D5802" s="39">
        <f t="shared" si="518"/>
        <v>18600</v>
      </c>
      <c r="E5802" s="1">
        <f>8+6</f>
        <v>14</v>
      </c>
      <c r="F5802" s="522">
        <f t="shared" ref="F5802:F5865" si="519">E5802+F5778</f>
        <v>776</v>
      </c>
      <c r="G5802" s="395"/>
      <c r="H5802" s="395"/>
      <c r="J5802" s="42"/>
    </row>
    <row r="5803" spans="1:10" s="393" customFormat="1" x14ac:dyDescent="0.25">
      <c r="A5803" s="402" t="s">
        <v>35</v>
      </c>
      <c r="B5803" s="269">
        <v>44134</v>
      </c>
      <c r="C5803" s="1">
        <v>379</v>
      </c>
      <c r="D5803" s="39">
        <f t="shared" si="518"/>
        <v>2256</v>
      </c>
      <c r="E5803" s="1">
        <f>7+10</f>
        <v>17</v>
      </c>
      <c r="F5803" s="522">
        <f t="shared" si="519"/>
        <v>101</v>
      </c>
      <c r="G5803" s="395"/>
      <c r="H5803" s="395"/>
      <c r="J5803" s="42"/>
    </row>
    <row r="5804" spans="1:10" s="393" customFormat="1" x14ac:dyDescent="0.25">
      <c r="A5804" s="402" t="s">
        <v>36</v>
      </c>
      <c r="B5804" s="269">
        <v>44134</v>
      </c>
      <c r="C5804" s="1">
        <v>258</v>
      </c>
      <c r="D5804" s="39">
        <f t="shared" si="518"/>
        <v>6814</v>
      </c>
      <c r="E5804" s="1"/>
      <c r="F5804" s="522">
        <f t="shared" si="519"/>
        <v>54</v>
      </c>
      <c r="G5804" s="395"/>
      <c r="H5804" s="395"/>
      <c r="J5804" s="42"/>
    </row>
    <row r="5805" spans="1:10" s="393" customFormat="1" x14ac:dyDescent="0.25">
      <c r="A5805" s="402" t="s">
        <v>37</v>
      </c>
      <c r="B5805" s="269">
        <v>44134</v>
      </c>
      <c r="C5805" s="1">
        <v>214</v>
      </c>
      <c r="D5805" s="39">
        <f t="shared" si="518"/>
        <v>9349</v>
      </c>
      <c r="E5805" s="1">
        <f>1+1</f>
        <v>2</v>
      </c>
      <c r="F5805" s="522">
        <f t="shared" si="519"/>
        <v>130</v>
      </c>
      <c r="G5805" s="395"/>
      <c r="H5805" s="395"/>
      <c r="J5805" s="42"/>
    </row>
    <row r="5806" spans="1:10" s="393" customFormat="1" x14ac:dyDescent="0.25">
      <c r="A5806" s="402" t="s">
        <v>22</v>
      </c>
      <c r="B5806" s="269">
        <v>44134</v>
      </c>
      <c r="C5806" s="1">
        <v>2140</v>
      </c>
      <c r="D5806" s="39">
        <f t="shared" si="518"/>
        <v>104630</v>
      </c>
      <c r="E5806" s="1">
        <f>29+20</f>
        <v>49</v>
      </c>
      <c r="F5806" s="522">
        <f t="shared" si="519"/>
        <v>1281</v>
      </c>
      <c r="G5806" s="395"/>
      <c r="H5806" s="395"/>
      <c r="J5806" s="42"/>
    </row>
    <row r="5807" spans="1:10" s="393" customFormat="1" x14ac:dyDescent="0.25">
      <c r="A5807" s="402" t="s">
        <v>38</v>
      </c>
      <c r="B5807" s="269">
        <v>44134</v>
      </c>
      <c r="C5807" s="1">
        <v>209</v>
      </c>
      <c r="D5807" s="39">
        <f t="shared" si="518"/>
        <v>9578</v>
      </c>
      <c r="E5807" s="1">
        <f>4+4</f>
        <v>8</v>
      </c>
      <c r="F5807" s="522">
        <f t="shared" si="519"/>
        <v>129</v>
      </c>
      <c r="G5807" s="395"/>
      <c r="H5807" s="395"/>
      <c r="J5807" s="42"/>
    </row>
    <row r="5808" spans="1:10" s="393" customFormat="1" x14ac:dyDescent="0.25">
      <c r="A5808" s="402" t="s">
        <v>39</v>
      </c>
      <c r="B5808" s="269">
        <v>44134</v>
      </c>
      <c r="C5808" s="1">
        <v>159</v>
      </c>
      <c r="D5808" s="39">
        <f t="shared" si="518"/>
        <v>11187</v>
      </c>
      <c r="E5808" s="1">
        <f>2</f>
        <v>2</v>
      </c>
      <c r="F5808" s="522">
        <f t="shared" si="519"/>
        <v>147</v>
      </c>
      <c r="G5808" s="395"/>
      <c r="H5808" s="395"/>
      <c r="J5808" s="42"/>
    </row>
    <row r="5809" spans="1:10" s="393" customFormat="1" ht="15.75" thickBot="1" x14ac:dyDescent="0.3">
      <c r="A5809" s="403" t="s">
        <v>40</v>
      </c>
      <c r="B5809" s="270">
        <v>44134</v>
      </c>
      <c r="C5809" s="234">
        <v>1011</v>
      </c>
      <c r="D5809" s="67">
        <f>C5809+D5785</f>
        <v>48794</v>
      </c>
      <c r="E5809" s="234">
        <f>9+9</f>
        <v>18</v>
      </c>
      <c r="F5809" s="632">
        <f t="shared" si="519"/>
        <v>766</v>
      </c>
      <c r="G5809" s="395"/>
      <c r="H5809" s="395"/>
      <c r="J5809" s="42"/>
    </row>
    <row r="5810" spans="1:10" s="393" customFormat="1" x14ac:dyDescent="0.25">
      <c r="A5810" s="397" t="s">
        <v>16</v>
      </c>
      <c r="B5810" s="267">
        <v>44135</v>
      </c>
      <c r="C5810" s="43">
        <v>2354</v>
      </c>
      <c r="D5810" s="175">
        <f t="shared" si="518"/>
        <v>549365</v>
      </c>
      <c r="E5810" s="43">
        <f>69+44+1</f>
        <v>114</v>
      </c>
      <c r="F5810" s="630">
        <f t="shared" si="519"/>
        <v>17611</v>
      </c>
      <c r="G5810" s="395"/>
      <c r="H5810" s="395"/>
      <c r="J5810" s="42"/>
    </row>
    <row r="5811" spans="1:10" s="393" customFormat="1" x14ac:dyDescent="0.25">
      <c r="A5811" s="402" t="s">
        <v>43</v>
      </c>
      <c r="B5811" s="269">
        <v>44135</v>
      </c>
      <c r="C5811" s="1">
        <v>441</v>
      </c>
      <c r="D5811" s="39">
        <f t="shared" si="518"/>
        <v>147201</v>
      </c>
      <c r="E5811" s="1">
        <f>4+14</f>
        <v>18</v>
      </c>
      <c r="F5811" s="522">
        <f t="shared" si="519"/>
        <v>4755</v>
      </c>
      <c r="G5811" s="395"/>
      <c r="H5811" s="395"/>
      <c r="J5811" s="42"/>
    </row>
    <row r="5812" spans="1:10" s="393" customFormat="1" x14ac:dyDescent="0.25">
      <c r="A5812" s="402" t="s">
        <v>28</v>
      </c>
      <c r="B5812" s="269">
        <v>44135</v>
      </c>
      <c r="C5812" s="1">
        <v>77</v>
      </c>
      <c r="D5812" s="39">
        <f t="shared" si="518"/>
        <v>896</v>
      </c>
      <c r="E5812" s="1"/>
      <c r="F5812" s="522">
        <f t="shared" si="519"/>
        <v>0</v>
      </c>
      <c r="G5812" s="395"/>
      <c r="H5812" s="395"/>
      <c r="J5812" s="42"/>
    </row>
    <row r="5813" spans="1:10" s="393" customFormat="1" x14ac:dyDescent="0.25">
      <c r="A5813" s="402" t="s">
        <v>15</v>
      </c>
      <c r="B5813" s="269">
        <v>44135</v>
      </c>
      <c r="C5813" s="1">
        <v>137</v>
      </c>
      <c r="D5813" s="39">
        <f t="shared" si="518"/>
        <v>14050</v>
      </c>
      <c r="E5813" s="1">
        <f>2+1</f>
        <v>3</v>
      </c>
      <c r="F5813" s="522">
        <f t="shared" si="519"/>
        <v>427</v>
      </c>
      <c r="G5813" s="395"/>
      <c r="H5813" s="395"/>
      <c r="J5813" s="42"/>
    </row>
    <row r="5814" spans="1:10" s="393" customFormat="1" x14ac:dyDescent="0.25">
      <c r="A5814" s="402" t="s">
        <v>29</v>
      </c>
      <c r="B5814" s="269">
        <v>44135</v>
      </c>
      <c r="C5814" s="1">
        <v>195</v>
      </c>
      <c r="D5814" s="39">
        <f t="shared" si="518"/>
        <v>14382</v>
      </c>
      <c r="E5814" s="1">
        <f>1+1</f>
        <v>2</v>
      </c>
      <c r="F5814" s="522">
        <f t="shared" si="519"/>
        <v>248</v>
      </c>
      <c r="G5814" s="395"/>
      <c r="H5814" s="395"/>
      <c r="J5814" s="42"/>
    </row>
    <row r="5815" spans="1:10" s="393" customFormat="1" x14ac:dyDescent="0.25">
      <c r="A5815" s="402" t="s">
        <v>20</v>
      </c>
      <c r="B5815" s="269">
        <v>44135</v>
      </c>
      <c r="C5815" s="1">
        <v>1424</v>
      </c>
      <c r="D5815" s="39">
        <f t="shared" si="518"/>
        <v>85415</v>
      </c>
      <c r="E5815" s="1">
        <f>12+9</f>
        <v>21</v>
      </c>
      <c r="F5815" s="522">
        <f t="shared" si="519"/>
        <v>1291</v>
      </c>
      <c r="G5815" s="395"/>
      <c r="H5815" s="395"/>
      <c r="J5815" s="42"/>
    </row>
    <row r="5816" spans="1:10" s="393" customFormat="1" x14ac:dyDescent="0.25">
      <c r="A5816" s="402" t="s">
        <v>30</v>
      </c>
      <c r="B5816" s="269">
        <v>44135</v>
      </c>
      <c r="C5816" s="1">
        <v>10</v>
      </c>
      <c r="D5816" s="39">
        <f t="shared" si="518"/>
        <v>2549</v>
      </c>
      <c r="E5816" s="1"/>
      <c r="F5816" s="522">
        <f t="shared" si="519"/>
        <v>47</v>
      </c>
      <c r="G5816" s="395"/>
      <c r="H5816" s="395"/>
      <c r="J5816" s="42"/>
    </row>
    <row r="5817" spans="1:10" x14ac:dyDescent="0.25">
      <c r="A5817" s="402" t="s">
        <v>31</v>
      </c>
      <c r="B5817" s="269">
        <v>44135</v>
      </c>
      <c r="C5817" s="1">
        <v>264</v>
      </c>
      <c r="D5817" s="39">
        <f t="shared" si="518"/>
        <v>15997</v>
      </c>
      <c r="E5817" s="1">
        <f>1</f>
        <v>1</v>
      </c>
      <c r="F5817" s="522">
        <f t="shared" si="519"/>
        <v>277</v>
      </c>
    </row>
    <row r="5818" spans="1:10" s="393" customFormat="1" x14ac:dyDescent="0.25">
      <c r="A5818" s="402" t="s">
        <v>41</v>
      </c>
      <c r="B5818" s="269">
        <v>44135</v>
      </c>
      <c r="C5818" s="1">
        <v>4</v>
      </c>
      <c r="D5818" s="39">
        <f t="shared" si="518"/>
        <v>153</v>
      </c>
      <c r="E5818" s="1"/>
      <c r="F5818" s="522">
        <f t="shared" si="519"/>
        <v>1</v>
      </c>
      <c r="G5818" s="395"/>
      <c r="H5818" s="395"/>
      <c r="J5818" s="42"/>
    </row>
    <row r="5819" spans="1:10" s="393" customFormat="1" x14ac:dyDescent="0.25">
      <c r="A5819" s="402" t="s">
        <v>32</v>
      </c>
      <c r="B5819" s="269">
        <v>44135</v>
      </c>
      <c r="C5819" s="1">
        <v>33</v>
      </c>
      <c r="D5819" s="39">
        <f t="shared" si="518"/>
        <v>17856</v>
      </c>
      <c r="E5819" s="1">
        <f>3+1</f>
        <v>4</v>
      </c>
      <c r="F5819" s="522">
        <f t="shared" si="519"/>
        <v>811</v>
      </c>
      <c r="G5819" s="395"/>
      <c r="H5819" s="395"/>
      <c r="J5819" s="42"/>
    </row>
    <row r="5820" spans="1:10" s="393" customFormat="1" x14ac:dyDescent="0.25">
      <c r="A5820" s="402" t="s">
        <v>33</v>
      </c>
      <c r="B5820" s="269">
        <v>44135</v>
      </c>
      <c r="C5820" s="1">
        <v>90</v>
      </c>
      <c r="D5820" s="39">
        <f t="shared" si="518"/>
        <v>3279</v>
      </c>
      <c r="E5820" s="1">
        <f>1</f>
        <v>1</v>
      </c>
      <c r="F5820" s="522">
        <f t="shared" si="519"/>
        <v>33</v>
      </c>
      <c r="G5820" s="395"/>
      <c r="H5820" s="395"/>
      <c r="J5820" s="42"/>
    </row>
    <row r="5821" spans="1:10" s="393" customFormat="1" x14ac:dyDescent="0.25">
      <c r="A5821" s="402" t="s">
        <v>21</v>
      </c>
      <c r="B5821" s="269">
        <v>44135</v>
      </c>
      <c r="C5821" s="1">
        <v>55</v>
      </c>
      <c r="D5821" s="39">
        <f t="shared" si="518"/>
        <v>7569</v>
      </c>
      <c r="E5821" s="1">
        <f>2</f>
        <v>2</v>
      </c>
      <c r="F5821" s="522">
        <f t="shared" si="519"/>
        <v>272</v>
      </c>
      <c r="G5821" s="395"/>
      <c r="H5821" s="395"/>
      <c r="J5821" s="42"/>
    </row>
    <row r="5822" spans="1:10" s="393" customFormat="1" x14ac:dyDescent="0.25">
      <c r="A5822" s="402" t="s">
        <v>17</v>
      </c>
      <c r="B5822" s="269">
        <v>44135</v>
      </c>
      <c r="C5822" s="1">
        <v>509</v>
      </c>
      <c r="D5822" s="39">
        <f t="shared" si="518"/>
        <v>47073</v>
      </c>
      <c r="E5822" s="1">
        <f>4+1</f>
        <v>5</v>
      </c>
      <c r="F5822" s="522">
        <f t="shared" si="519"/>
        <v>778</v>
      </c>
      <c r="G5822" s="395"/>
      <c r="H5822" s="395"/>
      <c r="J5822" s="42"/>
    </row>
    <row r="5823" spans="1:10" s="393" customFormat="1" x14ac:dyDescent="0.25">
      <c r="A5823" s="402" t="s">
        <v>23</v>
      </c>
      <c r="B5823" s="269">
        <v>44135</v>
      </c>
      <c r="C5823" s="1">
        <v>-9</v>
      </c>
      <c r="D5823" s="39">
        <f t="shared" si="518"/>
        <v>261</v>
      </c>
      <c r="E5823" s="1"/>
      <c r="F5823" s="522">
        <f t="shared" si="519"/>
        <v>5</v>
      </c>
      <c r="G5823" s="395"/>
      <c r="H5823" s="395"/>
      <c r="J5823" s="42"/>
    </row>
    <row r="5824" spans="1:10" s="393" customFormat="1" x14ac:dyDescent="0.25">
      <c r="A5824" s="402" t="s">
        <v>19</v>
      </c>
      <c r="B5824" s="269">
        <v>44135</v>
      </c>
      <c r="C5824" s="1">
        <v>467</v>
      </c>
      <c r="D5824" s="39">
        <f t="shared" si="518"/>
        <v>22238</v>
      </c>
      <c r="E5824" s="1"/>
      <c r="F5824" s="522">
        <f t="shared" si="519"/>
        <v>405</v>
      </c>
      <c r="G5824" s="395"/>
      <c r="H5824" s="395"/>
      <c r="J5824" s="42"/>
    </row>
    <row r="5825" spans="1:10" s="393" customFormat="1" x14ac:dyDescent="0.25">
      <c r="A5825" s="402" t="s">
        <v>18</v>
      </c>
      <c r="B5825" s="269">
        <v>44135</v>
      </c>
      <c r="C5825" s="1">
        <v>255</v>
      </c>
      <c r="D5825" s="39">
        <f t="shared" si="518"/>
        <v>23993</v>
      </c>
      <c r="E5825" s="1">
        <f>1+2</f>
        <v>3</v>
      </c>
      <c r="F5825" s="522">
        <f t="shared" si="519"/>
        <v>612</v>
      </c>
      <c r="G5825" s="395"/>
      <c r="H5825" s="395"/>
      <c r="J5825" s="42"/>
    </row>
    <row r="5826" spans="1:10" s="393" customFormat="1" x14ac:dyDescent="0.25">
      <c r="A5826" s="402" t="s">
        <v>34</v>
      </c>
      <c r="B5826" s="269">
        <v>44135</v>
      </c>
      <c r="C5826" s="1">
        <v>146</v>
      </c>
      <c r="D5826" s="39">
        <f t="shared" ref="D5826:D5832" si="520">C5826+D5802</f>
        <v>18746</v>
      </c>
      <c r="E5826" s="1">
        <f>4+3</f>
        <v>7</v>
      </c>
      <c r="F5826" s="522">
        <f t="shared" si="519"/>
        <v>783</v>
      </c>
      <c r="G5826" s="395"/>
      <c r="H5826" s="395"/>
      <c r="J5826" s="42"/>
    </row>
    <row r="5827" spans="1:10" s="393" customFormat="1" x14ac:dyDescent="0.25">
      <c r="A5827" s="402" t="s">
        <v>35</v>
      </c>
      <c r="B5827" s="269">
        <v>44135</v>
      </c>
      <c r="C5827" s="1">
        <v>110</v>
      </c>
      <c r="D5827" s="39">
        <f t="shared" si="520"/>
        <v>2366</v>
      </c>
      <c r="E5827" s="1"/>
      <c r="F5827" s="522">
        <f t="shared" si="519"/>
        <v>101</v>
      </c>
      <c r="G5827" s="395"/>
      <c r="H5827" s="395"/>
      <c r="J5827" s="42"/>
    </row>
    <row r="5828" spans="1:10" s="393" customFormat="1" x14ac:dyDescent="0.25">
      <c r="A5828" s="402" t="s">
        <v>36</v>
      </c>
      <c r="B5828" s="269">
        <v>44135</v>
      </c>
      <c r="C5828" s="1">
        <v>167</v>
      </c>
      <c r="D5828" s="39">
        <f t="shared" si="520"/>
        <v>6981</v>
      </c>
      <c r="E5828" s="1"/>
      <c r="F5828" s="522">
        <f t="shared" si="519"/>
        <v>54</v>
      </c>
      <c r="G5828" s="395"/>
      <c r="H5828" s="395"/>
      <c r="J5828" s="42"/>
    </row>
    <row r="5829" spans="1:10" s="393" customFormat="1" x14ac:dyDescent="0.25">
      <c r="A5829" s="402" t="s">
        <v>37</v>
      </c>
      <c r="B5829" s="269">
        <v>44135</v>
      </c>
      <c r="C5829" s="1">
        <v>159</v>
      </c>
      <c r="D5829" s="39">
        <f t="shared" si="520"/>
        <v>9508</v>
      </c>
      <c r="E5829" s="1">
        <f>3</f>
        <v>3</v>
      </c>
      <c r="F5829" s="522">
        <f t="shared" si="519"/>
        <v>133</v>
      </c>
      <c r="G5829" s="395"/>
      <c r="H5829" s="395"/>
      <c r="J5829" s="42"/>
    </row>
    <row r="5830" spans="1:10" s="393" customFormat="1" x14ac:dyDescent="0.25">
      <c r="A5830" s="402" t="s">
        <v>22</v>
      </c>
      <c r="B5830" s="269">
        <v>44135</v>
      </c>
      <c r="C5830" s="1">
        <v>1718</v>
      </c>
      <c r="D5830" s="39">
        <f t="shared" si="520"/>
        <v>106348</v>
      </c>
      <c r="E5830" s="1">
        <f>5+11</f>
        <v>16</v>
      </c>
      <c r="F5830" s="522">
        <f t="shared" si="519"/>
        <v>1297</v>
      </c>
      <c r="G5830" s="395"/>
      <c r="H5830" s="395"/>
      <c r="J5830" s="42"/>
    </row>
    <row r="5831" spans="1:10" s="393" customFormat="1" x14ac:dyDescent="0.25">
      <c r="A5831" s="402" t="s">
        <v>38</v>
      </c>
      <c r="B5831" s="269">
        <v>44135</v>
      </c>
      <c r="C5831" s="1">
        <v>221</v>
      </c>
      <c r="D5831" s="39">
        <f t="shared" si="520"/>
        <v>9799</v>
      </c>
      <c r="E5831" s="1">
        <f>3</f>
        <v>3</v>
      </c>
      <c r="F5831" s="522">
        <f t="shared" si="519"/>
        <v>132</v>
      </c>
      <c r="G5831" s="395"/>
      <c r="H5831" s="395"/>
      <c r="J5831" s="42"/>
    </row>
    <row r="5832" spans="1:10" s="393" customFormat="1" x14ac:dyDescent="0.25">
      <c r="A5832" s="402" t="s">
        <v>39</v>
      </c>
      <c r="B5832" s="269">
        <v>44135</v>
      </c>
      <c r="C5832" s="1">
        <v>189</v>
      </c>
      <c r="D5832" s="39">
        <f t="shared" si="520"/>
        <v>11376</v>
      </c>
      <c r="E5832" s="1">
        <f>1</f>
        <v>1</v>
      </c>
      <c r="F5832" s="522">
        <f t="shared" si="519"/>
        <v>148</v>
      </c>
      <c r="G5832" s="395"/>
      <c r="H5832" s="395"/>
      <c r="J5832" s="42"/>
    </row>
    <row r="5833" spans="1:10" s="393" customFormat="1" ht="15.75" thickBot="1" x14ac:dyDescent="0.3">
      <c r="A5833" s="404" t="s">
        <v>40</v>
      </c>
      <c r="B5833" s="271">
        <v>44135</v>
      </c>
      <c r="C5833" s="44">
        <v>729</v>
      </c>
      <c r="D5833" s="177">
        <f>C5833+D5809</f>
        <v>49523</v>
      </c>
      <c r="E5833" s="44">
        <f>3+3</f>
        <v>6</v>
      </c>
      <c r="F5833" s="631">
        <f t="shared" si="519"/>
        <v>772</v>
      </c>
      <c r="G5833" s="395"/>
      <c r="H5833" s="395"/>
      <c r="J5833" s="42"/>
    </row>
    <row r="5834" spans="1:10" s="393" customFormat="1" x14ac:dyDescent="0.25">
      <c r="A5834" s="397" t="s">
        <v>16</v>
      </c>
      <c r="B5834" s="269">
        <v>44136</v>
      </c>
      <c r="C5834" s="227">
        <v>1574</v>
      </c>
      <c r="D5834" s="175">
        <f t="shared" ref="D5834:D5897" si="521">C5834+D5810</f>
        <v>550939</v>
      </c>
      <c r="E5834" s="227">
        <v>41</v>
      </c>
      <c r="F5834" s="630">
        <f t="shared" si="519"/>
        <v>17652</v>
      </c>
      <c r="G5834" s="395"/>
      <c r="H5834" s="395"/>
      <c r="J5834" s="42"/>
    </row>
    <row r="5835" spans="1:10" s="393" customFormat="1" x14ac:dyDescent="0.25">
      <c r="A5835" s="402" t="s">
        <v>43</v>
      </c>
      <c r="B5835" s="269">
        <v>44136</v>
      </c>
      <c r="C5835" s="1">
        <v>258</v>
      </c>
      <c r="D5835" s="39">
        <f t="shared" si="521"/>
        <v>147459</v>
      </c>
      <c r="E5835" s="1">
        <v>41</v>
      </c>
      <c r="F5835" s="522">
        <f t="shared" si="519"/>
        <v>4796</v>
      </c>
      <c r="G5835" s="395"/>
      <c r="H5835" s="395"/>
      <c r="J5835" s="42"/>
    </row>
    <row r="5836" spans="1:10" s="393" customFormat="1" x14ac:dyDescent="0.25">
      <c r="A5836" s="402" t="s">
        <v>28</v>
      </c>
      <c r="B5836" s="269">
        <v>44136</v>
      </c>
      <c r="C5836" s="1">
        <v>39</v>
      </c>
      <c r="D5836" s="39">
        <f t="shared" si="521"/>
        <v>935</v>
      </c>
      <c r="E5836" s="1"/>
      <c r="F5836" s="522">
        <f t="shared" si="519"/>
        <v>0</v>
      </c>
      <c r="G5836" s="395"/>
      <c r="H5836" s="395"/>
      <c r="J5836" s="42"/>
    </row>
    <row r="5837" spans="1:10" s="393" customFormat="1" x14ac:dyDescent="0.25">
      <c r="A5837" s="402" t="s">
        <v>15</v>
      </c>
      <c r="B5837" s="269">
        <v>44136</v>
      </c>
      <c r="C5837" s="1">
        <v>141</v>
      </c>
      <c r="D5837" s="39">
        <f t="shared" si="521"/>
        <v>14191</v>
      </c>
      <c r="E5837" s="1">
        <v>5</v>
      </c>
      <c r="F5837" s="522">
        <f t="shared" si="519"/>
        <v>432</v>
      </c>
      <c r="G5837" s="395"/>
      <c r="H5837" s="395"/>
      <c r="J5837" s="42"/>
    </row>
    <row r="5838" spans="1:10" s="393" customFormat="1" x14ac:dyDescent="0.25">
      <c r="A5838" s="402" t="s">
        <v>29</v>
      </c>
      <c r="B5838" s="269">
        <v>44136</v>
      </c>
      <c r="C5838" s="1">
        <v>93</v>
      </c>
      <c r="D5838" s="39">
        <f t="shared" si="521"/>
        <v>14475</v>
      </c>
      <c r="E5838" s="1">
        <v>1</v>
      </c>
      <c r="F5838" s="522">
        <f t="shared" si="519"/>
        <v>249</v>
      </c>
      <c r="G5838" s="395"/>
      <c r="H5838" s="395"/>
      <c r="J5838" s="42"/>
    </row>
    <row r="5839" spans="1:10" s="393" customFormat="1" x14ac:dyDescent="0.25">
      <c r="A5839" s="402" t="s">
        <v>20</v>
      </c>
      <c r="B5839" s="269">
        <v>44136</v>
      </c>
      <c r="C5839" s="1">
        <v>903</v>
      </c>
      <c r="D5839" s="39">
        <f t="shared" si="521"/>
        <v>86318</v>
      </c>
      <c r="E5839" s="1">
        <v>18</v>
      </c>
      <c r="F5839" s="522">
        <f t="shared" si="519"/>
        <v>1309</v>
      </c>
      <c r="G5839" s="395"/>
      <c r="H5839" s="395"/>
      <c r="J5839" s="42"/>
    </row>
    <row r="5840" spans="1:10" s="393" customFormat="1" x14ac:dyDescent="0.25">
      <c r="A5840" s="402" t="s">
        <v>30</v>
      </c>
      <c r="B5840" s="269">
        <v>44136</v>
      </c>
      <c r="C5840" s="1">
        <v>4</v>
      </c>
      <c r="D5840" s="39">
        <f t="shared" si="521"/>
        <v>2553</v>
      </c>
      <c r="E5840" s="1"/>
      <c r="F5840" s="522">
        <f t="shared" si="519"/>
        <v>47</v>
      </c>
      <c r="G5840" s="395"/>
      <c r="H5840" s="395"/>
      <c r="J5840" s="42"/>
    </row>
    <row r="5841" spans="1:10" x14ac:dyDescent="0.25">
      <c r="A5841" s="402" t="s">
        <v>31</v>
      </c>
      <c r="B5841" s="269">
        <v>44136</v>
      </c>
      <c r="C5841" s="1">
        <v>198</v>
      </c>
      <c r="D5841" s="39">
        <f t="shared" si="521"/>
        <v>16195</v>
      </c>
      <c r="E5841" s="1">
        <v>1</v>
      </c>
      <c r="F5841" s="522">
        <f t="shared" si="519"/>
        <v>278</v>
      </c>
    </row>
    <row r="5842" spans="1:10" s="393" customFormat="1" x14ac:dyDescent="0.25">
      <c r="A5842" s="402" t="s">
        <v>41</v>
      </c>
      <c r="B5842" s="269">
        <v>44136</v>
      </c>
      <c r="C5842" s="1">
        <v>-2</v>
      </c>
      <c r="D5842" s="39">
        <f t="shared" si="521"/>
        <v>151</v>
      </c>
      <c r="E5842" s="1">
        <v>1</v>
      </c>
      <c r="F5842" s="522">
        <f t="shared" si="519"/>
        <v>2</v>
      </c>
      <c r="G5842" s="395"/>
      <c r="H5842" s="395"/>
      <c r="J5842" s="42"/>
    </row>
    <row r="5843" spans="1:10" s="393" customFormat="1" x14ac:dyDescent="0.25">
      <c r="A5843" s="402" t="s">
        <v>32</v>
      </c>
      <c r="B5843" s="269">
        <v>44136</v>
      </c>
      <c r="C5843" s="1">
        <v>28</v>
      </c>
      <c r="D5843" s="39">
        <f t="shared" si="521"/>
        <v>17884</v>
      </c>
      <c r="E5843" s="1">
        <v>1</v>
      </c>
      <c r="F5843" s="522">
        <f t="shared" si="519"/>
        <v>812</v>
      </c>
      <c r="G5843" s="395"/>
      <c r="H5843" s="395"/>
      <c r="J5843" s="42"/>
    </row>
    <row r="5844" spans="1:10" s="393" customFormat="1" x14ac:dyDescent="0.25">
      <c r="A5844" s="402" t="s">
        <v>33</v>
      </c>
      <c r="B5844" s="269">
        <v>44136</v>
      </c>
      <c r="C5844" s="1">
        <v>82</v>
      </c>
      <c r="D5844" s="39">
        <f t="shared" si="521"/>
        <v>3361</v>
      </c>
      <c r="E5844" s="1"/>
      <c r="F5844" s="522">
        <f t="shared" si="519"/>
        <v>33</v>
      </c>
      <c r="G5844" s="395"/>
      <c r="H5844" s="395"/>
      <c r="J5844" s="42"/>
    </row>
    <row r="5845" spans="1:10" s="393" customFormat="1" x14ac:dyDescent="0.25">
      <c r="A5845" s="402" t="s">
        <v>21</v>
      </c>
      <c r="B5845" s="269">
        <v>44136</v>
      </c>
      <c r="C5845" s="1">
        <v>35</v>
      </c>
      <c r="D5845" s="39">
        <f t="shared" si="521"/>
        <v>7604</v>
      </c>
      <c r="E5845" s="1"/>
      <c r="F5845" s="522">
        <f t="shared" si="519"/>
        <v>272</v>
      </c>
      <c r="G5845" s="395"/>
      <c r="H5845" s="395"/>
      <c r="J5845" s="42"/>
    </row>
    <row r="5846" spans="1:10" s="393" customFormat="1" x14ac:dyDescent="0.25">
      <c r="A5846" s="402" t="s">
        <v>17</v>
      </c>
      <c r="B5846" s="269">
        <v>44136</v>
      </c>
      <c r="C5846" s="1">
        <v>207</v>
      </c>
      <c r="D5846" s="39">
        <f t="shared" si="521"/>
        <v>47280</v>
      </c>
      <c r="E5846" s="1">
        <v>1</v>
      </c>
      <c r="F5846" s="522">
        <f t="shared" si="519"/>
        <v>779</v>
      </c>
      <c r="G5846" s="395"/>
      <c r="H5846" s="395"/>
      <c r="J5846" s="42"/>
    </row>
    <row r="5847" spans="1:10" s="393" customFormat="1" x14ac:dyDescent="0.25">
      <c r="A5847" s="402" t="s">
        <v>23</v>
      </c>
      <c r="B5847" s="269">
        <v>44136</v>
      </c>
      <c r="C5847" s="1">
        <v>17</v>
      </c>
      <c r="D5847" s="39">
        <f t="shared" si="521"/>
        <v>278</v>
      </c>
      <c r="E5847" s="1"/>
      <c r="F5847" s="522">
        <f t="shared" si="519"/>
        <v>5</v>
      </c>
      <c r="G5847" s="395"/>
      <c r="H5847" s="395"/>
      <c r="J5847" s="42"/>
    </row>
    <row r="5848" spans="1:10" s="393" customFormat="1" x14ac:dyDescent="0.25">
      <c r="A5848" s="402" t="s">
        <v>19</v>
      </c>
      <c r="B5848" s="269">
        <v>44136</v>
      </c>
      <c r="C5848" s="1">
        <v>256</v>
      </c>
      <c r="D5848" s="39">
        <f t="shared" si="521"/>
        <v>22494</v>
      </c>
      <c r="E5848" s="1">
        <v>1</v>
      </c>
      <c r="F5848" s="522">
        <f t="shared" si="519"/>
        <v>406</v>
      </c>
      <c r="G5848" s="395"/>
      <c r="H5848" s="395"/>
      <c r="J5848" s="42"/>
    </row>
    <row r="5849" spans="1:10" s="393" customFormat="1" x14ac:dyDescent="0.25">
      <c r="A5849" s="402" t="s">
        <v>18</v>
      </c>
      <c r="B5849" s="269">
        <v>44136</v>
      </c>
      <c r="C5849" s="1">
        <v>144</v>
      </c>
      <c r="D5849" s="39">
        <f t="shared" si="521"/>
        <v>24137</v>
      </c>
      <c r="E5849" s="1">
        <v>2</v>
      </c>
      <c r="F5849" s="522">
        <f t="shared" si="519"/>
        <v>614</v>
      </c>
      <c r="G5849" s="395"/>
      <c r="H5849" s="395"/>
      <c r="J5849" s="42"/>
    </row>
    <row r="5850" spans="1:10" s="393" customFormat="1" x14ac:dyDescent="0.25">
      <c r="A5850" s="402" t="s">
        <v>34</v>
      </c>
      <c r="B5850" s="269">
        <v>44136</v>
      </c>
      <c r="C5850" s="1">
        <v>139</v>
      </c>
      <c r="D5850" s="39">
        <f t="shared" si="521"/>
        <v>18885</v>
      </c>
      <c r="E5850" s="1">
        <v>6</v>
      </c>
      <c r="F5850" s="522">
        <f t="shared" si="519"/>
        <v>789</v>
      </c>
      <c r="G5850" s="395"/>
      <c r="H5850" s="395"/>
      <c r="J5850" s="42"/>
    </row>
    <row r="5851" spans="1:10" s="393" customFormat="1" x14ac:dyDescent="0.25">
      <c r="A5851" s="402" t="s">
        <v>35</v>
      </c>
      <c r="B5851" s="269">
        <v>44136</v>
      </c>
      <c r="C5851" s="1">
        <v>59</v>
      </c>
      <c r="D5851" s="39">
        <f t="shared" si="521"/>
        <v>2425</v>
      </c>
      <c r="E5851" s="1"/>
      <c r="F5851" s="522">
        <f t="shared" si="519"/>
        <v>101</v>
      </c>
      <c r="G5851" s="395"/>
      <c r="H5851" s="395"/>
      <c r="J5851" s="42"/>
    </row>
    <row r="5852" spans="1:10" s="393" customFormat="1" x14ac:dyDescent="0.25">
      <c r="A5852" s="402" t="s">
        <v>36</v>
      </c>
      <c r="B5852" s="269">
        <v>44136</v>
      </c>
      <c r="C5852" s="1">
        <v>248</v>
      </c>
      <c r="D5852" s="39">
        <f t="shared" si="521"/>
        <v>7229</v>
      </c>
      <c r="E5852" s="1"/>
      <c r="F5852" s="522">
        <f t="shared" si="519"/>
        <v>54</v>
      </c>
      <c r="G5852" s="395"/>
      <c r="H5852" s="395"/>
      <c r="J5852" s="42"/>
    </row>
    <row r="5853" spans="1:10" s="393" customFormat="1" x14ac:dyDescent="0.25">
      <c r="A5853" s="402" t="s">
        <v>37</v>
      </c>
      <c r="B5853" s="269">
        <v>44136</v>
      </c>
      <c r="C5853" s="1">
        <v>176</v>
      </c>
      <c r="D5853" s="39">
        <f t="shared" si="521"/>
        <v>9684</v>
      </c>
      <c r="E5853" s="1">
        <v>2</v>
      </c>
      <c r="F5853" s="522">
        <f t="shared" si="519"/>
        <v>135</v>
      </c>
      <c r="G5853" s="395"/>
      <c r="H5853" s="395"/>
      <c r="J5853" s="42"/>
    </row>
    <row r="5854" spans="1:10" s="393" customFormat="1" x14ac:dyDescent="0.25">
      <c r="A5854" s="402" t="s">
        <v>22</v>
      </c>
      <c r="B5854" s="269">
        <v>44136</v>
      </c>
      <c r="C5854" s="1">
        <v>1170</v>
      </c>
      <c r="D5854" s="39">
        <f t="shared" si="521"/>
        <v>107518</v>
      </c>
      <c r="E5854" s="1">
        <v>17</v>
      </c>
      <c r="F5854" s="522">
        <f t="shared" si="519"/>
        <v>1314</v>
      </c>
      <c r="G5854" s="395"/>
      <c r="H5854" s="395"/>
      <c r="J5854" s="42"/>
    </row>
    <row r="5855" spans="1:10" s="393" customFormat="1" x14ac:dyDescent="0.25">
      <c r="A5855" s="402" t="s">
        <v>38</v>
      </c>
      <c r="B5855" s="269">
        <v>44136</v>
      </c>
      <c r="C5855" s="1">
        <v>182</v>
      </c>
      <c r="D5855" s="39">
        <f t="shared" si="521"/>
        <v>9981</v>
      </c>
      <c r="E5855" s="1">
        <v>1</v>
      </c>
      <c r="F5855" s="522">
        <f t="shared" si="519"/>
        <v>133</v>
      </c>
      <c r="G5855" s="395"/>
      <c r="H5855" s="395"/>
      <c r="J5855" s="42"/>
    </row>
    <row r="5856" spans="1:10" s="393" customFormat="1" x14ac:dyDescent="0.25">
      <c r="A5856" s="402" t="s">
        <v>39</v>
      </c>
      <c r="B5856" s="269">
        <v>44136</v>
      </c>
      <c r="C5856" s="1">
        <v>205</v>
      </c>
      <c r="D5856" s="39">
        <f t="shared" si="521"/>
        <v>11581</v>
      </c>
      <c r="E5856" s="1">
        <v>2</v>
      </c>
      <c r="F5856" s="522">
        <f t="shared" si="519"/>
        <v>150</v>
      </c>
      <c r="G5856" s="395"/>
      <c r="H5856" s="395"/>
      <c r="J5856" s="42"/>
    </row>
    <row r="5857" spans="1:10" s="393" customFormat="1" ht="15.75" thickBot="1" x14ac:dyDescent="0.3">
      <c r="A5857" s="404" t="s">
        <v>40</v>
      </c>
      <c r="B5857" s="269">
        <v>44136</v>
      </c>
      <c r="C5857" s="1">
        <v>453</v>
      </c>
      <c r="D5857" s="177">
        <f>C5857+D5833</f>
        <v>49976</v>
      </c>
      <c r="E5857" s="1"/>
      <c r="F5857" s="631">
        <f t="shared" si="519"/>
        <v>772</v>
      </c>
      <c r="G5857" s="395"/>
      <c r="H5857" s="395"/>
      <c r="J5857" s="42"/>
    </row>
    <row r="5858" spans="1:10" s="393" customFormat="1" x14ac:dyDescent="0.25">
      <c r="A5858" s="397" t="s">
        <v>16</v>
      </c>
      <c r="B5858" s="269">
        <v>44137</v>
      </c>
      <c r="C5858" s="1">
        <v>3022</v>
      </c>
      <c r="D5858" s="175">
        <f t="shared" si="521"/>
        <v>553961</v>
      </c>
      <c r="E5858" s="1">
        <v>203</v>
      </c>
      <c r="F5858" s="630">
        <f t="shared" si="519"/>
        <v>17855</v>
      </c>
      <c r="G5858" s="395"/>
      <c r="H5858" s="395"/>
      <c r="J5858" s="42"/>
    </row>
    <row r="5859" spans="1:10" s="393" customFormat="1" x14ac:dyDescent="0.25">
      <c r="A5859" s="402" t="s">
        <v>43</v>
      </c>
      <c r="B5859" s="269">
        <v>44137</v>
      </c>
      <c r="C5859" s="1">
        <v>425</v>
      </c>
      <c r="D5859" s="39">
        <f t="shared" si="521"/>
        <v>147884</v>
      </c>
      <c r="E5859" s="1">
        <v>35</v>
      </c>
      <c r="F5859" s="522">
        <f t="shared" si="519"/>
        <v>4831</v>
      </c>
      <c r="G5859" s="395"/>
      <c r="H5859" s="395"/>
      <c r="J5859" s="42"/>
    </row>
    <row r="5860" spans="1:10" s="393" customFormat="1" x14ac:dyDescent="0.25">
      <c r="A5860" s="402" t="s">
        <v>28</v>
      </c>
      <c r="B5860" s="269">
        <v>44137</v>
      </c>
      <c r="C5860" s="1">
        <v>45</v>
      </c>
      <c r="D5860" s="39">
        <f t="shared" si="521"/>
        <v>980</v>
      </c>
      <c r="E5860" s="1"/>
      <c r="F5860" s="522">
        <f t="shared" si="519"/>
        <v>0</v>
      </c>
      <c r="G5860" s="395"/>
      <c r="H5860" s="395"/>
      <c r="J5860" s="42"/>
    </row>
    <row r="5861" spans="1:10" s="393" customFormat="1" x14ac:dyDescent="0.25">
      <c r="A5861" s="402" t="s">
        <v>15</v>
      </c>
      <c r="B5861" s="269">
        <v>44137</v>
      </c>
      <c r="C5861" s="1">
        <v>73</v>
      </c>
      <c r="D5861" s="39">
        <f t="shared" si="521"/>
        <v>14264</v>
      </c>
      <c r="E5861" s="1">
        <v>2</v>
      </c>
      <c r="F5861" s="522">
        <f t="shared" si="519"/>
        <v>434</v>
      </c>
      <c r="G5861" s="395"/>
      <c r="H5861" s="395"/>
      <c r="J5861" s="42"/>
    </row>
    <row r="5862" spans="1:10" s="393" customFormat="1" x14ac:dyDescent="0.25">
      <c r="A5862" s="402" t="s">
        <v>29</v>
      </c>
      <c r="B5862" s="269">
        <v>44137</v>
      </c>
      <c r="C5862" s="1">
        <v>316</v>
      </c>
      <c r="D5862" s="39">
        <f t="shared" si="521"/>
        <v>14791</v>
      </c>
      <c r="E5862" s="1">
        <v>5</v>
      </c>
      <c r="F5862" s="522">
        <f t="shared" si="519"/>
        <v>254</v>
      </c>
      <c r="G5862" s="395"/>
      <c r="H5862" s="395"/>
      <c r="J5862" s="42"/>
    </row>
    <row r="5863" spans="1:10" s="393" customFormat="1" x14ac:dyDescent="0.25">
      <c r="A5863" s="402" t="s">
        <v>20</v>
      </c>
      <c r="B5863" s="269">
        <v>44137</v>
      </c>
      <c r="C5863" s="1">
        <v>633</v>
      </c>
      <c r="D5863" s="39">
        <f t="shared" si="521"/>
        <v>86951</v>
      </c>
      <c r="E5863" s="1">
        <v>27</v>
      </c>
      <c r="F5863" s="522">
        <f t="shared" si="519"/>
        <v>1336</v>
      </c>
      <c r="G5863" s="395"/>
      <c r="H5863" s="395"/>
      <c r="J5863" s="42"/>
    </row>
    <row r="5864" spans="1:10" s="393" customFormat="1" x14ac:dyDescent="0.25">
      <c r="A5864" s="402" t="s">
        <v>30</v>
      </c>
      <c r="B5864" s="269">
        <v>44137</v>
      </c>
      <c r="C5864" s="1">
        <v>40</v>
      </c>
      <c r="D5864" s="39">
        <f t="shared" si="521"/>
        <v>2593</v>
      </c>
      <c r="E5864" s="1"/>
      <c r="F5864" s="522">
        <f t="shared" si="519"/>
        <v>47</v>
      </c>
      <c r="G5864" s="395"/>
      <c r="H5864" s="395"/>
      <c r="J5864" s="42"/>
    </row>
    <row r="5865" spans="1:10" x14ac:dyDescent="0.25">
      <c r="A5865" s="402" t="s">
        <v>31</v>
      </c>
      <c r="B5865" s="269">
        <v>44137</v>
      </c>
      <c r="C5865" s="1">
        <v>231</v>
      </c>
      <c r="D5865" s="39">
        <f t="shared" si="521"/>
        <v>16426</v>
      </c>
      <c r="E5865" s="1">
        <v>9</v>
      </c>
      <c r="F5865" s="522">
        <f t="shared" si="519"/>
        <v>287</v>
      </c>
    </row>
    <row r="5866" spans="1:10" s="393" customFormat="1" x14ac:dyDescent="0.25">
      <c r="A5866" s="402" t="s">
        <v>41</v>
      </c>
      <c r="B5866" s="269">
        <v>44137</v>
      </c>
      <c r="C5866" s="1">
        <v>7</v>
      </c>
      <c r="D5866" s="39">
        <f t="shared" si="521"/>
        <v>158</v>
      </c>
      <c r="E5866" s="1"/>
      <c r="F5866" s="522">
        <f t="shared" ref="F5866:F5930" si="522">E5866+F5842</f>
        <v>2</v>
      </c>
      <c r="G5866" s="395"/>
      <c r="H5866" s="395"/>
      <c r="J5866" s="42"/>
    </row>
    <row r="5867" spans="1:10" s="393" customFormat="1" x14ac:dyDescent="0.25">
      <c r="A5867" s="402" t="s">
        <v>32</v>
      </c>
      <c r="B5867" s="269">
        <v>44137</v>
      </c>
      <c r="C5867" s="1">
        <v>34</v>
      </c>
      <c r="D5867" s="39">
        <f t="shared" si="521"/>
        <v>17918</v>
      </c>
      <c r="E5867" s="1">
        <v>3</v>
      </c>
      <c r="F5867" s="522">
        <f t="shared" si="522"/>
        <v>815</v>
      </c>
      <c r="G5867" s="395"/>
      <c r="H5867" s="395"/>
      <c r="J5867" s="42"/>
    </row>
    <row r="5868" spans="1:10" s="393" customFormat="1" x14ac:dyDescent="0.25">
      <c r="A5868" s="402" t="s">
        <v>33</v>
      </c>
      <c r="B5868" s="269">
        <v>44137</v>
      </c>
      <c r="C5868" s="1">
        <v>119</v>
      </c>
      <c r="D5868" s="39">
        <f t="shared" si="521"/>
        <v>3480</v>
      </c>
      <c r="E5868" s="1">
        <v>3</v>
      </c>
      <c r="F5868" s="522">
        <f t="shared" si="522"/>
        <v>36</v>
      </c>
      <c r="G5868" s="395"/>
      <c r="H5868" s="395"/>
      <c r="J5868" s="42"/>
    </row>
    <row r="5869" spans="1:10" s="393" customFormat="1" x14ac:dyDescent="0.25">
      <c r="A5869" s="402" t="s">
        <v>21</v>
      </c>
      <c r="B5869" s="269">
        <v>44137</v>
      </c>
      <c r="C5869" s="1">
        <v>36</v>
      </c>
      <c r="D5869" s="39">
        <f t="shared" si="521"/>
        <v>7640</v>
      </c>
      <c r="E5869" s="1">
        <v>2</v>
      </c>
      <c r="F5869" s="522">
        <f t="shared" si="522"/>
        <v>274</v>
      </c>
      <c r="G5869" s="395"/>
      <c r="H5869" s="395"/>
      <c r="J5869" s="42"/>
    </row>
    <row r="5870" spans="1:10" s="393" customFormat="1" x14ac:dyDescent="0.25">
      <c r="A5870" s="402" t="s">
        <v>17</v>
      </c>
      <c r="B5870" s="269">
        <v>44137</v>
      </c>
      <c r="C5870" s="1">
        <v>513</v>
      </c>
      <c r="D5870" s="39">
        <f t="shared" si="521"/>
        <v>47793</v>
      </c>
      <c r="E5870" s="1">
        <v>19</v>
      </c>
      <c r="F5870" s="522">
        <f t="shared" si="522"/>
        <v>798</v>
      </c>
      <c r="G5870" s="395"/>
      <c r="H5870" s="395"/>
      <c r="J5870" s="42"/>
    </row>
    <row r="5871" spans="1:10" s="393" customFormat="1" x14ac:dyDescent="0.25">
      <c r="A5871" s="402" t="s">
        <v>23</v>
      </c>
      <c r="B5871" s="269">
        <v>44137</v>
      </c>
      <c r="C5871" s="1">
        <v>4</v>
      </c>
      <c r="D5871" s="39">
        <f t="shared" si="521"/>
        <v>282</v>
      </c>
      <c r="E5871" s="1"/>
      <c r="F5871" s="522">
        <f t="shared" si="522"/>
        <v>5</v>
      </c>
      <c r="G5871" s="395"/>
      <c r="H5871" s="395"/>
      <c r="J5871" s="42"/>
    </row>
    <row r="5872" spans="1:10" s="393" customFormat="1" x14ac:dyDescent="0.25">
      <c r="A5872" s="402" t="s">
        <v>19</v>
      </c>
      <c r="B5872" s="269">
        <v>44137</v>
      </c>
      <c r="C5872" s="1">
        <v>250</v>
      </c>
      <c r="D5872" s="39">
        <f t="shared" si="521"/>
        <v>22744</v>
      </c>
      <c r="E5872" s="1">
        <v>2</v>
      </c>
      <c r="F5872" s="522">
        <f t="shared" si="522"/>
        <v>408</v>
      </c>
      <c r="G5872" s="395"/>
      <c r="H5872" s="395"/>
      <c r="J5872" s="42"/>
    </row>
    <row r="5873" spans="1:10" s="393" customFormat="1" x14ac:dyDescent="0.25">
      <c r="A5873" s="402" t="s">
        <v>18</v>
      </c>
      <c r="B5873" s="269">
        <v>44137</v>
      </c>
      <c r="C5873" s="1">
        <v>275</v>
      </c>
      <c r="D5873" s="39">
        <f t="shared" si="521"/>
        <v>24412</v>
      </c>
      <c r="E5873" s="1">
        <v>17</v>
      </c>
      <c r="F5873" s="522">
        <f t="shared" si="522"/>
        <v>631</v>
      </c>
      <c r="G5873" s="395"/>
      <c r="H5873" s="395"/>
      <c r="J5873" s="42"/>
    </row>
    <row r="5874" spans="1:10" s="393" customFormat="1" x14ac:dyDescent="0.25">
      <c r="A5874" s="402" t="s">
        <v>34</v>
      </c>
      <c r="B5874" s="269">
        <v>44137</v>
      </c>
      <c r="C5874" s="1">
        <v>64</v>
      </c>
      <c r="D5874" s="39">
        <f t="shared" si="521"/>
        <v>18949</v>
      </c>
      <c r="E5874" s="1">
        <v>4</v>
      </c>
      <c r="F5874" s="522">
        <f t="shared" si="522"/>
        <v>793</v>
      </c>
      <c r="G5874" s="395"/>
      <c r="H5874" s="395"/>
      <c r="J5874" s="42"/>
    </row>
    <row r="5875" spans="1:10" s="393" customFormat="1" x14ac:dyDescent="0.25">
      <c r="A5875" s="402" t="s">
        <v>35</v>
      </c>
      <c r="B5875" s="269">
        <v>44137</v>
      </c>
      <c r="C5875" s="1">
        <v>304</v>
      </c>
      <c r="D5875" s="39">
        <f t="shared" si="521"/>
        <v>2729</v>
      </c>
      <c r="E5875" s="1"/>
      <c r="F5875" s="522">
        <f t="shared" si="522"/>
        <v>101</v>
      </c>
      <c r="G5875" s="395"/>
      <c r="H5875" s="395"/>
      <c r="J5875" s="42"/>
    </row>
    <row r="5876" spans="1:10" s="393" customFormat="1" x14ac:dyDescent="0.25">
      <c r="A5876" s="402" t="s">
        <v>36</v>
      </c>
      <c r="B5876" s="269">
        <v>44137</v>
      </c>
      <c r="C5876" s="1">
        <v>380</v>
      </c>
      <c r="D5876" s="39">
        <f t="shared" si="521"/>
        <v>7609</v>
      </c>
      <c r="E5876" s="1">
        <v>17</v>
      </c>
      <c r="F5876" s="522">
        <f t="shared" si="522"/>
        <v>71</v>
      </c>
      <c r="G5876" s="395"/>
      <c r="H5876" s="395"/>
      <c r="J5876" s="42"/>
    </row>
    <row r="5877" spans="1:10" s="393" customFormat="1" x14ac:dyDescent="0.25">
      <c r="A5877" s="402" t="s">
        <v>37</v>
      </c>
      <c r="B5877" s="269">
        <v>44137</v>
      </c>
      <c r="C5877" s="1">
        <v>131</v>
      </c>
      <c r="D5877" s="39">
        <f t="shared" si="521"/>
        <v>9815</v>
      </c>
      <c r="E5877" s="1">
        <v>6</v>
      </c>
      <c r="F5877" s="522">
        <f t="shared" si="522"/>
        <v>141</v>
      </c>
      <c r="G5877" s="395"/>
      <c r="H5877" s="395"/>
      <c r="J5877" s="42"/>
    </row>
    <row r="5878" spans="1:10" s="393" customFormat="1" x14ac:dyDescent="0.25">
      <c r="A5878" s="402" t="s">
        <v>22</v>
      </c>
      <c r="B5878" s="269">
        <v>44137</v>
      </c>
      <c r="C5878" s="1">
        <v>1793</v>
      </c>
      <c r="D5878" s="39">
        <f t="shared" si="521"/>
        <v>109311</v>
      </c>
      <c r="E5878" s="1">
        <v>75</v>
      </c>
      <c r="F5878" s="522">
        <f t="shared" si="522"/>
        <v>1389</v>
      </c>
      <c r="G5878" s="395"/>
      <c r="H5878" s="395"/>
      <c r="J5878" s="42"/>
    </row>
    <row r="5879" spans="1:10" s="393" customFormat="1" x14ac:dyDescent="0.25">
      <c r="A5879" s="402" t="s">
        <v>38</v>
      </c>
      <c r="B5879" s="269">
        <v>44137</v>
      </c>
      <c r="C5879" s="1">
        <v>111</v>
      </c>
      <c r="D5879" s="39">
        <f t="shared" si="521"/>
        <v>10092</v>
      </c>
      <c r="E5879" s="1">
        <v>1</v>
      </c>
      <c r="F5879" s="522">
        <f t="shared" si="522"/>
        <v>134</v>
      </c>
      <c r="G5879" s="395"/>
      <c r="H5879" s="395"/>
      <c r="J5879" s="42"/>
    </row>
    <row r="5880" spans="1:10" s="393" customFormat="1" x14ac:dyDescent="0.25">
      <c r="A5880" s="402" t="s">
        <v>39</v>
      </c>
      <c r="B5880" s="269">
        <v>44137</v>
      </c>
      <c r="C5880" s="1">
        <v>127</v>
      </c>
      <c r="D5880" s="39">
        <f t="shared" si="521"/>
        <v>11708</v>
      </c>
      <c r="E5880" s="1">
        <v>7</v>
      </c>
      <c r="F5880" s="522">
        <f t="shared" si="522"/>
        <v>157</v>
      </c>
      <c r="G5880" s="395"/>
      <c r="H5880" s="395"/>
      <c r="J5880" s="42"/>
    </row>
    <row r="5881" spans="1:10" s="393" customFormat="1" ht="15.75" thickBot="1" x14ac:dyDescent="0.3">
      <c r="A5881" s="404" t="s">
        <v>40</v>
      </c>
      <c r="B5881" s="269">
        <v>44137</v>
      </c>
      <c r="C5881" s="1">
        <v>666</v>
      </c>
      <c r="D5881" s="177">
        <f>C5881+D5857</f>
        <v>50642</v>
      </c>
      <c r="E5881" s="1">
        <v>41</v>
      </c>
      <c r="F5881" s="631">
        <f t="shared" si="522"/>
        <v>813</v>
      </c>
      <c r="G5881" s="395"/>
      <c r="H5881" s="395"/>
      <c r="J5881" s="42"/>
    </row>
    <row r="5882" spans="1:10" s="393" customFormat="1" x14ac:dyDescent="0.25">
      <c r="A5882" s="397" t="s">
        <v>16</v>
      </c>
      <c r="B5882" s="269">
        <v>44138</v>
      </c>
      <c r="C5882" s="1">
        <v>3615</v>
      </c>
      <c r="D5882" s="175">
        <f t="shared" si="521"/>
        <v>557576</v>
      </c>
      <c r="E5882" s="1">
        <v>188</v>
      </c>
      <c r="F5882" s="630">
        <f t="shared" si="522"/>
        <v>18043</v>
      </c>
      <c r="G5882" s="395"/>
      <c r="H5882" s="395"/>
      <c r="J5882" s="42"/>
    </row>
    <row r="5883" spans="1:10" s="393" customFormat="1" x14ac:dyDescent="0.25">
      <c r="A5883" s="402" t="s">
        <v>43</v>
      </c>
      <c r="B5883" s="269">
        <v>44138</v>
      </c>
      <c r="C5883" s="1">
        <v>460</v>
      </c>
      <c r="D5883" s="39">
        <f t="shared" si="521"/>
        <v>148344</v>
      </c>
      <c r="E5883" s="1">
        <v>25</v>
      </c>
      <c r="F5883" s="522">
        <f t="shared" si="522"/>
        <v>4856</v>
      </c>
      <c r="G5883" s="395"/>
      <c r="H5883" s="395"/>
      <c r="J5883" s="42"/>
    </row>
    <row r="5884" spans="1:10" s="393" customFormat="1" x14ac:dyDescent="0.25">
      <c r="A5884" s="402" t="s">
        <v>28</v>
      </c>
      <c r="B5884" s="269">
        <v>44138</v>
      </c>
      <c r="C5884" s="1">
        <v>31</v>
      </c>
      <c r="D5884" s="39">
        <f t="shared" si="521"/>
        <v>1011</v>
      </c>
      <c r="E5884" s="1"/>
      <c r="F5884" s="522">
        <f t="shared" si="522"/>
        <v>0</v>
      </c>
      <c r="G5884" s="395"/>
      <c r="H5884" s="395"/>
      <c r="J5884" s="42"/>
    </row>
    <row r="5885" spans="1:10" s="393" customFormat="1" x14ac:dyDescent="0.25">
      <c r="A5885" s="402" t="s">
        <v>15</v>
      </c>
      <c r="B5885" s="269">
        <v>44138</v>
      </c>
      <c r="C5885" s="1">
        <v>131</v>
      </c>
      <c r="D5885" s="39">
        <f t="shared" si="521"/>
        <v>14395</v>
      </c>
      <c r="E5885" s="1">
        <v>7</v>
      </c>
      <c r="F5885" s="522">
        <f t="shared" si="522"/>
        <v>441</v>
      </c>
      <c r="G5885" s="395"/>
      <c r="H5885" s="395"/>
      <c r="J5885" s="42"/>
    </row>
    <row r="5886" spans="1:10" s="393" customFormat="1" x14ac:dyDescent="0.25">
      <c r="A5886" s="402" t="s">
        <v>29</v>
      </c>
      <c r="B5886" s="269">
        <v>44138</v>
      </c>
      <c r="C5886" s="1">
        <v>421</v>
      </c>
      <c r="D5886" s="39">
        <f t="shared" si="521"/>
        <v>15212</v>
      </c>
      <c r="E5886" s="1"/>
      <c r="F5886" s="522">
        <f t="shared" si="522"/>
        <v>254</v>
      </c>
      <c r="G5886" s="395"/>
      <c r="H5886" s="395"/>
      <c r="J5886" s="42"/>
    </row>
    <row r="5887" spans="1:10" s="393" customFormat="1" x14ac:dyDescent="0.25">
      <c r="A5887" s="402" t="s">
        <v>20</v>
      </c>
      <c r="B5887" s="269">
        <v>44138</v>
      </c>
      <c r="C5887" s="1">
        <v>1339</v>
      </c>
      <c r="D5887" s="39">
        <f t="shared" si="521"/>
        <v>88290</v>
      </c>
      <c r="E5887" s="1">
        <v>22</v>
      </c>
      <c r="F5887" s="522">
        <f t="shared" si="522"/>
        <v>1358</v>
      </c>
      <c r="G5887" s="395"/>
      <c r="H5887" s="395"/>
      <c r="J5887" s="42"/>
    </row>
    <row r="5888" spans="1:10" s="393" customFormat="1" x14ac:dyDescent="0.25">
      <c r="A5888" s="402" t="s">
        <v>30</v>
      </c>
      <c r="B5888" s="269">
        <v>44138</v>
      </c>
      <c r="C5888" s="1">
        <v>26</v>
      </c>
      <c r="D5888" s="39">
        <f t="shared" si="521"/>
        <v>2619</v>
      </c>
      <c r="E5888" s="1"/>
      <c r="F5888" s="522">
        <f t="shared" si="522"/>
        <v>47</v>
      </c>
      <c r="G5888" s="395"/>
      <c r="H5888" s="395"/>
      <c r="J5888" s="42"/>
    </row>
    <row r="5889" spans="1:10" x14ac:dyDescent="0.25">
      <c r="A5889" s="402" t="s">
        <v>31</v>
      </c>
      <c r="B5889" s="269">
        <v>44138</v>
      </c>
      <c r="C5889" s="1">
        <v>258</v>
      </c>
      <c r="D5889" s="39">
        <f t="shared" si="521"/>
        <v>16684</v>
      </c>
      <c r="E5889" s="1">
        <v>7</v>
      </c>
      <c r="F5889" s="522">
        <f t="shared" si="522"/>
        <v>294</v>
      </c>
    </row>
    <row r="5890" spans="1:10" s="393" customFormat="1" x14ac:dyDescent="0.25">
      <c r="A5890" s="402" t="s">
        <v>41</v>
      </c>
      <c r="B5890" s="269">
        <v>44138</v>
      </c>
      <c r="C5890" s="1">
        <v>0</v>
      </c>
      <c r="D5890" s="39">
        <f t="shared" si="521"/>
        <v>158</v>
      </c>
      <c r="E5890" s="1"/>
      <c r="F5890" s="522">
        <f t="shared" si="522"/>
        <v>2</v>
      </c>
      <c r="G5890" s="395"/>
      <c r="H5890" s="395"/>
      <c r="J5890" s="42"/>
    </row>
    <row r="5891" spans="1:10" s="393" customFormat="1" x14ac:dyDescent="0.25">
      <c r="A5891" s="402" t="s">
        <v>32</v>
      </c>
      <c r="B5891" s="269">
        <v>44138</v>
      </c>
      <c r="C5891" s="1">
        <v>22</v>
      </c>
      <c r="D5891" s="39">
        <f t="shared" si="521"/>
        <v>17940</v>
      </c>
      <c r="E5891" s="1">
        <v>2</v>
      </c>
      <c r="F5891" s="522">
        <f t="shared" si="522"/>
        <v>817</v>
      </c>
      <c r="G5891" s="395"/>
      <c r="H5891" s="395"/>
      <c r="J5891" s="42"/>
    </row>
    <row r="5892" spans="1:10" s="393" customFormat="1" x14ac:dyDescent="0.25">
      <c r="A5892" s="402" t="s">
        <v>33</v>
      </c>
      <c r="B5892" s="269">
        <v>44138</v>
      </c>
      <c r="C5892" s="1">
        <v>84</v>
      </c>
      <c r="D5892" s="39">
        <f t="shared" si="521"/>
        <v>3564</v>
      </c>
      <c r="E5892" s="1"/>
      <c r="F5892" s="522">
        <f t="shared" si="522"/>
        <v>36</v>
      </c>
      <c r="G5892" s="395"/>
      <c r="H5892" s="395"/>
      <c r="J5892" s="42"/>
    </row>
    <row r="5893" spans="1:10" s="393" customFormat="1" x14ac:dyDescent="0.25">
      <c r="A5893" s="402" t="s">
        <v>21</v>
      </c>
      <c r="B5893" s="269">
        <v>44138</v>
      </c>
      <c r="C5893" s="1">
        <v>42</v>
      </c>
      <c r="D5893" s="39">
        <f t="shared" si="521"/>
        <v>7682</v>
      </c>
      <c r="E5893" s="1">
        <v>9</v>
      </c>
      <c r="F5893" s="522">
        <f t="shared" si="522"/>
        <v>283</v>
      </c>
      <c r="G5893" s="395"/>
      <c r="H5893" s="395"/>
      <c r="J5893" s="42"/>
    </row>
    <row r="5894" spans="1:10" s="393" customFormat="1" x14ac:dyDescent="0.25">
      <c r="A5894" s="402" t="s">
        <v>17</v>
      </c>
      <c r="B5894" s="269">
        <v>44138</v>
      </c>
      <c r="C5894" s="1">
        <v>515</v>
      </c>
      <c r="D5894" s="39">
        <f t="shared" si="521"/>
        <v>48308</v>
      </c>
      <c r="E5894" s="1">
        <v>15</v>
      </c>
      <c r="F5894" s="522">
        <f t="shared" si="522"/>
        <v>813</v>
      </c>
      <c r="G5894" s="395"/>
      <c r="H5894" s="395"/>
      <c r="J5894" s="42"/>
    </row>
    <row r="5895" spans="1:10" s="393" customFormat="1" x14ac:dyDescent="0.25">
      <c r="A5895" s="402" t="s">
        <v>23</v>
      </c>
      <c r="B5895" s="269">
        <v>44138</v>
      </c>
      <c r="C5895" s="1">
        <v>16</v>
      </c>
      <c r="D5895" s="39">
        <f t="shared" si="521"/>
        <v>298</v>
      </c>
      <c r="E5895" s="1">
        <v>1</v>
      </c>
      <c r="F5895" s="522">
        <f t="shared" si="522"/>
        <v>6</v>
      </c>
      <c r="G5895" s="395"/>
      <c r="H5895" s="395"/>
      <c r="J5895" s="42"/>
    </row>
    <row r="5896" spans="1:10" s="393" customFormat="1" x14ac:dyDescent="0.25">
      <c r="A5896" s="402" t="s">
        <v>19</v>
      </c>
      <c r="B5896" s="269">
        <v>44138</v>
      </c>
      <c r="C5896" s="1">
        <v>934</v>
      </c>
      <c r="D5896" s="39">
        <f t="shared" si="521"/>
        <v>23678</v>
      </c>
      <c r="E5896" s="1">
        <v>5</v>
      </c>
      <c r="F5896" s="522">
        <f t="shared" si="522"/>
        <v>413</v>
      </c>
      <c r="G5896" s="395"/>
      <c r="H5896" s="395"/>
      <c r="J5896" s="42"/>
    </row>
    <row r="5897" spans="1:10" s="393" customFormat="1" x14ac:dyDescent="0.25">
      <c r="A5897" s="402" t="s">
        <v>18</v>
      </c>
      <c r="B5897" s="269">
        <v>44138</v>
      </c>
      <c r="C5897" s="1">
        <v>395</v>
      </c>
      <c r="D5897" s="39">
        <f t="shared" si="521"/>
        <v>24807</v>
      </c>
      <c r="E5897" s="1">
        <v>3</v>
      </c>
      <c r="F5897" s="522">
        <f t="shared" si="522"/>
        <v>634</v>
      </c>
      <c r="G5897" s="395"/>
      <c r="H5897" s="395"/>
      <c r="J5897" s="42"/>
    </row>
    <row r="5898" spans="1:10" s="393" customFormat="1" x14ac:dyDescent="0.25">
      <c r="A5898" s="402" t="s">
        <v>34</v>
      </c>
      <c r="B5898" s="269">
        <v>44138</v>
      </c>
      <c r="C5898" s="1">
        <v>110</v>
      </c>
      <c r="D5898" s="39">
        <f t="shared" ref="D5898:D5904" si="523">C5898+D5874</f>
        <v>19059</v>
      </c>
      <c r="E5898" s="1">
        <v>7</v>
      </c>
      <c r="F5898" s="522">
        <f t="shared" si="522"/>
        <v>800</v>
      </c>
      <c r="G5898" s="395"/>
      <c r="H5898" s="395"/>
      <c r="J5898" s="42"/>
    </row>
    <row r="5899" spans="1:10" s="393" customFormat="1" x14ac:dyDescent="0.25">
      <c r="A5899" s="402" t="s">
        <v>35</v>
      </c>
      <c r="B5899" s="269">
        <v>44138</v>
      </c>
      <c r="C5899" s="1">
        <v>164</v>
      </c>
      <c r="D5899" s="39">
        <f t="shared" si="523"/>
        <v>2893</v>
      </c>
      <c r="E5899" s="1">
        <v>1</v>
      </c>
      <c r="F5899" s="522">
        <f t="shared" si="522"/>
        <v>102</v>
      </c>
      <c r="G5899" s="395"/>
      <c r="H5899" s="395"/>
      <c r="J5899" s="42"/>
    </row>
    <row r="5900" spans="1:10" s="393" customFormat="1" x14ac:dyDescent="0.25">
      <c r="A5900" s="402" t="s">
        <v>36</v>
      </c>
      <c r="B5900" s="269">
        <v>44138</v>
      </c>
      <c r="C5900" s="1">
        <v>247</v>
      </c>
      <c r="D5900" s="39">
        <f t="shared" si="523"/>
        <v>7856</v>
      </c>
      <c r="E5900" s="1">
        <v>21</v>
      </c>
      <c r="F5900" s="522">
        <f t="shared" si="522"/>
        <v>92</v>
      </c>
      <c r="G5900" s="395"/>
      <c r="H5900" s="395"/>
      <c r="J5900" s="42"/>
    </row>
    <row r="5901" spans="1:10" s="393" customFormat="1" x14ac:dyDescent="0.25">
      <c r="A5901" s="402" t="s">
        <v>37</v>
      </c>
      <c r="B5901" s="269">
        <v>44138</v>
      </c>
      <c r="C5901" s="1">
        <v>250</v>
      </c>
      <c r="D5901" s="39">
        <f t="shared" si="523"/>
        <v>10065</v>
      </c>
      <c r="E5901" s="1">
        <v>6</v>
      </c>
      <c r="F5901" s="522">
        <f t="shared" si="522"/>
        <v>147</v>
      </c>
      <c r="G5901" s="395"/>
      <c r="H5901" s="395"/>
      <c r="J5901" s="42"/>
    </row>
    <row r="5902" spans="1:10" s="393" customFormat="1" x14ac:dyDescent="0.25">
      <c r="A5902" s="402" t="s">
        <v>22</v>
      </c>
      <c r="B5902" s="269">
        <v>44138</v>
      </c>
      <c r="C5902" s="1">
        <v>1764</v>
      </c>
      <c r="D5902" s="39">
        <f t="shared" si="523"/>
        <v>111075</v>
      </c>
      <c r="E5902" s="1">
        <v>85</v>
      </c>
      <c r="F5902" s="522">
        <f t="shared" si="522"/>
        <v>1474</v>
      </c>
      <c r="G5902" s="395"/>
      <c r="H5902" s="395"/>
      <c r="J5902" s="42"/>
    </row>
    <row r="5903" spans="1:10" s="393" customFormat="1" x14ac:dyDescent="0.25">
      <c r="A5903" s="402" t="s">
        <v>38</v>
      </c>
      <c r="B5903" s="269">
        <v>44138</v>
      </c>
      <c r="C5903" s="1">
        <v>82</v>
      </c>
      <c r="D5903" s="39">
        <f t="shared" si="523"/>
        <v>10174</v>
      </c>
      <c r="E5903" s="1">
        <v>1</v>
      </c>
      <c r="F5903" s="522">
        <f t="shared" si="522"/>
        <v>135</v>
      </c>
      <c r="G5903" s="395"/>
      <c r="H5903" s="395"/>
      <c r="J5903" s="42"/>
    </row>
    <row r="5904" spans="1:10" s="393" customFormat="1" x14ac:dyDescent="0.25">
      <c r="A5904" s="402" t="s">
        <v>39</v>
      </c>
      <c r="B5904" s="269">
        <v>44138</v>
      </c>
      <c r="C5904" s="1">
        <v>266</v>
      </c>
      <c r="D5904" s="39">
        <f t="shared" si="523"/>
        <v>11974</v>
      </c>
      <c r="E5904" s="1">
        <v>2</v>
      </c>
      <c r="F5904" s="522">
        <f t="shared" si="522"/>
        <v>159</v>
      </c>
      <c r="G5904" s="395"/>
      <c r="H5904" s="395"/>
      <c r="J5904" s="42"/>
    </row>
    <row r="5905" spans="1:10" s="393" customFormat="1" ht="15.75" thickBot="1" x14ac:dyDescent="0.3">
      <c r="A5905" s="403" t="s">
        <v>40</v>
      </c>
      <c r="B5905" s="270">
        <v>44138</v>
      </c>
      <c r="C5905" s="234">
        <v>973</v>
      </c>
      <c r="D5905" s="67">
        <f>C5905+D5881</f>
        <v>51615</v>
      </c>
      <c r="E5905" s="234">
        <v>21</v>
      </c>
      <c r="F5905" s="632">
        <f t="shared" si="522"/>
        <v>834</v>
      </c>
      <c r="G5905" s="395"/>
      <c r="H5905" s="395"/>
      <c r="J5905" s="42"/>
    </row>
    <row r="5906" spans="1:10" s="393" customFormat="1" x14ac:dyDescent="0.25">
      <c r="A5906" s="397" t="s">
        <v>16</v>
      </c>
      <c r="B5906" s="267">
        <v>44139</v>
      </c>
      <c r="C5906" s="17">
        <v>3123</v>
      </c>
      <c r="D5906" s="175">
        <f t="shared" ref="D5906:D5969" si="524">C5906+D5882</f>
        <v>560699</v>
      </c>
      <c r="E5906" s="609">
        <v>226</v>
      </c>
      <c r="F5906" s="630">
        <f t="shared" si="522"/>
        <v>18269</v>
      </c>
      <c r="G5906" s="395"/>
      <c r="H5906" s="395"/>
      <c r="J5906" s="42"/>
    </row>
    <row r="5907" spans="1:10" s="393" customFormat="1" x14ac:dyDescent="0.25">
      <c r="A5907" s="402" t="s">
        <v>43</v>
      </c>
      <c r="B5907" s="269">
        <v>44139</v>
      </c>
      <c r="C5907" s="17">
        <v>476</v>
      </c>
      <c r="D5907" s="39">
        <f t="shared" si="524"/>
        <v>148820</v>
      </c>
      <c r="E5907" s="609">
        <v>20</v>
      </c>
      <c r="F5907" s="522">
        <f t="shared" si="522"/>
        <v>4876</v>
      </c>
      <c r="G5907" s="395"/>
      <c r="H5907" s="395"/>
      <c r="J5907" s="42"/>
    </row>
    <row r="5908" spans="1:10" s="393" customFormat="1" x14ac:dyDescent="0.25">
      <c r="A5908" s="402" t="s">
        <v>28</v>
      </c>
      <c r="B5908" s="269">
        <v>44139</v>
      </c>
      <c r="C5908" s="17">
        <v>62</v>
      </c>
      <c r="D5908" s="39">
        <f t="shared" si="524"/>
        <v>1073</v>
      </c>
      <c r="E5908" s="609"/>
      <c r="F5908" s="522">
        <f t="shared" si="522"/>
        <v>0</v>
      </c>
      <c r="G5908" s="395"/>
      <c r="H5908" s="395"/>
      <c r="J5908" s="42"/>
    </row>
    <row r="5909" spans="1:10" s="393" customFormat="1" x14ac:dyDescent="0.25">
      <c r="A5909" s="402" t="s">
        <v>15</v>
      </c>
      <c r="B5909" s="269">
        <v>44139</v>
      </c>
      <c r="C5909" s="17">
        <v>98</v>
      </c>
      <c r="D5909" s="39">
        <f t="shared" si="524"/>
        <v>14493</v>
      </c>
      <c r="E5909" s="609">
        <v>7</v>
      </c>
      <c r="F5909" s="522">
        <f t="shared" si="522"/>
        <v>448</v>
      </c>
      <c r="G5909" s="395"/>
      <c r="H5909" s="395"/>
      <c r="J5909" s="42"/>
    </row>
    <row r="5910" spans="1:10" s="393" customFormat="1" x14ac:dyDescent="0.25">
      <c r="A5910" s="402" t="s">
        <v>29</v>
      </c>
      <c r="B5910" s="269">
        <v>44139</v>
      </c>
      <c r="C5910" s="17">
        <v>500</v>
      </c>
      <c r="D5910" s="39">
        <f t="shared" si="524"/>
        <v>15712</v>
      </c>
      <c r="E5910" s="609">
        <v>6</v>
      </c>
      <c r="F5910" s="522">
        <f t="shared" si="522"/>
        <v>260</v>
      </c>
      <c r="G5910" s="395"/>
      <c r="H5910" s="395"/>
      <c r="J5910" s="42"/>
    </row>
    <row r="5911" spans="1:10" s="393" customFormat="1" x14ac:dyDescent="0.25">
      <c r="A5911" s="402" t="s">
        <v>20</v>
      </c>
      <c r="B5911" s="269">
        <v>44139</v>
      </c>
      <c r="C5911" s="17">
        <v>1196</v>
      </c>
      <c r="D5911" s="39">
        <f t="shared" si="524"/>
        <v>89486</v>
      </c>
      <c r="E5911" s="609">
        <v>37</v>
      </c>
      <c r="F5911" s="522">
        <f t="shared" si="522"/>
        <v>1395</v>
      </c>
      <c r="G5911" s="395"/>
      <c r="H5911" s="395"/>
      <c r="J5911" s="42"/>
    </row>
    <row r="5912" spans="1:10" s="393" customFormat="1" x14ac:dyDescent="0.25">
      <c r="A5912" s="402" t="s">
        <v>30</v>
      </c>
      <c r="B5912" s="269">
        <v>44139</v>
      </c>
      <c r="C5912" s="17">
        <v>14</v>
      </c>
      <c r="D5912" s="39">
        <f t="shared" si="524"/>
        <v>2633</v>
      </c>
      <c r="E5912" s="609">
        <v>2</v>
      </c>
      <c r="F5912" s="522">
        <f t="shared" si="522"/>
        <v>49</v>
      </c>
      <c r="G5912" s="395"/>
      <c r="H5912" s="395"/>
      <c r="J5912" s="42"/>
    </row>
    <row r="5913" spans="1:10" x14ac:dyDescent="0.25">
      <c r="A5913" s="402" t="s">
        <v>31</v>
      </c>
      <c r="B5913" s="269">
        <v>44139</v>
      </c>
      <c r="C5913" s="17">
        <v>325</v>
      </c>
      <c r="D5913" s="39">
        <f t="shared" si="524"/>
        <v>17009</v>
      </c>
      <c r="E5913" s="609">
        <v>7</v>
      </c>
      <c r="F5913" s="522">
        <f t="shared" si="522"/>
        <v>301</v>
      </c>
    </row>
    <row r="5914" spans="1:10" s="393" customFormat="1" x14ac:dyDescent="0.25">
      <c r="A5914" s="402" t="s">
        <v>41</v>
      </c>
      <c r="B5914" s="269">
        <v>44139</v>
      </c>
      <c r="C5914" s="17">
        <v>5</v>
      </c>
      <c r="D5914" s="39">
        <f t="shared" si="524"/>
        <v>163</v>
      </c>
      <c r="E5914" s="609">
        <v>1</v>
      </c>
      <c r="F5914" s="522">
        <f t="shared" si="522"/>
        <v>3</v>
      </c>
      <c r="G5914" s="395"/>
      <c r="H5914" s="395"/>
      <c r="J5914" s="42"/>
    </row>
    <row r="5915" spans="1:10" s="393" customFormat="1" x14ac:dyDescent="0.25">
      <c r="A5915" s="402" t="s">
        <v>32</v>
      </c>
      <c r="B5915" s="269">
        <v>44139</v>
      </c>
      <c r="C5915" s="17">
        <v>22</v>
      </c>
      <c r="D5915" s="39">
        <f t="shared" si="524"/>
        <v>17962</v>
      </c>
      <c r="E5915" s="609"/>
      <c r="F5915" s="522">
        <f t="shared" si="522"/>
        <v>817</v>
      </c>
      <c r="G5915" s="395"/>
      <c r="H5915" s="395"/>
      <c r="J5915" s="42"/>
    </row>
    <row r="5916" spans="1:10" s="393" customFormat="1" x14ac:dyDescent="0.25">
      <c r="A5916" s="402" t="s">
        <v>33</v>
      </c>
      <c r="B5916" s="269">
        <v>44139</v>
      </c>
      <c r="C5916" s="17">
        <v>137</v>
      </c>
      <c r="D5916" s="39">
        <f t="shared" si="524"/>
        <v>3701</v>
      </c>
      <c r="E5916" s="609"/>
      <c r="F5916" s="522">
        <f t="shared" si="522"/>
        <v>36</v>
      </c>
      <c r="G5916" s="395"/>
      <c r="H5916" s="395"/>
      <c r="J5916" s="42"/>
    </row>
    <row r="5917" spans="1:10" s="393" customFormat="1" x14ac:dyDescent="0.25">
      <c r="A5917" s="402" t="s">
        <v>21</v>
      </c>
      <c r="B5917" s="269">
        <v>44139</v>
      </c>
      <c r="C5917" s="17">
        <v>61</v>
      </c>
      <c r="D5917" s="39">
        <f t="shared" si="524"/>
        <v>7743</v>
      </c>
      <c r="E5917" s="609"/>
      <c r="F5917" s="522">
        <f t="shared" si="522"/>
        <v>283</v>
      </c>
      <c r="G5917" s="395"/>
      <c r="H5917" s="395"/>
      <c r="J5917" s="42"/>
    </row>
    <row r="5918" spans="1:10" s="393" customFormat="1" x14ac:dyDescent="0.25">
      <c r="A5918" s="402" t="s">
        <v>17</v>
      </c>
      <c r="B5918" s="269">
        <v>44139</v>
      </c>
      <c r="C5918" s="17">
        <v>518</v>
      </c>
      <c r="D5918" s="39">
        <f t="shared" si="524"/>
        <v>48826</v>
      </c>
      <c r="E5918" s="609">
        <v>41</v>
      </c>
      <c r="F5918" s="522">
        <f t="shared" si="522"/>
        <v>854</v>
      </c>
      <c r="G5918" s="395"/>
      <c r="H5918" s="395"/>
      <c r="J5918" s="42"/>
    </row>
    <row r="5919" spans="1:10" s="393" customFormat="1" x14ac:dyDescent="0.25">
      <c r="A5919" s="402" t="s">
        <v>23</v>
      </c>
      <c r="B5919" s="269">
        <v>44139</v>
      </c>
      <c r="C5919" s="17">
        <v>-11</v>
      </c>
      <c r="D5919" s="39">
        <f t="shared" si="524"/>
        <v>287</v>
      </c>
      <c r="E5919" s="609"/>
      <c r="F5919" s="522">
        <f t="shared" si="522"/>
        <v>6</v>
      </c>
      <c r="G5919" s="395"/>
      <c r="H5919" s="395"/>
      <c r="J5919" s="42"/>
    </row>
    <row r="5920" spans="1:10" s="393" customFormat="1" x14ac:dyDescent="0.25">
      <c r="A5920" s="402" t="s">
        <v>19</v>
      </c>
      <c r="B5920" s="269">
        <v>44139</v>
      </c>
      <c r="C5920" s="17">
        <v>298</v>
      </c>
      <c r="D5920" s="39">
        <f t="shared" si="524"/>
        <v>23976</v>
      </c>
      <c r="E5920" s="609">
        <v>1</v>
      </c>
      <c r="F5920" s="522">
        <f t="shared" si="522"/>
        <v>414</v>
      </c>
      <c r="G5920" s="395"/>
      <c r="H5920" s="395"/>
      <c r="J5920" s="42"/>
    </row>
    <row r="5921" spans="1:10" s="393" customFormat="1" x14ac:dyDescent="0.25">
      <c r="A5921" s="402" t="s">
        <v>18</v>
      </c>
      <c r="B5921" s="269">
        <v>44139</v>
      </c>
      <c r="C5921" s="17">
        <v>371</v>
      </c>
      <c r="D5921" s="39">
        <f t="shared" si="524"/>
        <v>25178</v>
      </c>
      <c r="E5921" s="609">
        <v>8</v>
      </c>
      <c r="F5921" s="522">
        <f t="shared" si="522"/>
        <v>642</v>
      </c>
      <c r="G5921" s="395"/>
      <c r="H5921" s="395"/>
      <c r="J5921" s="42"/>
    </row>
    <row r="5922" spans="1:10" s="393" customFormat="1" x14ac:dyDescent="0.25">
      <c r="A5922" s="402" t="s">
        <v>34</v>
      </c>
      <c r="B5922" s="269">
        <v>44139</v>
      </c>
      <c r="C5922" s="17">
        <v>134</v>
      </c>
      <c r="D5922" s="39">
        <f t="shared" si="524"/>
        <v>19193</v>
      </c>
      <c r="E5922" s="609">
        <v>22</v>
      </c>
      <c r="F5922" s="522">
        <f t="shared" si="522"/>
        <v>822</v>
      </c>
      <c r="G5922" s="395"/>
      <c r="H5922" s="395"/>
      <c r="J5922" s="42"/>
    </row>
    <row r="5923" spans="1:10" s="393" customFormat="1" x14ac:dyDescent="0.25">
      <c r="A5923" s="402" t="s">
        <v>35</v>
      </c>
      <c r="B5923" s="269">
        <v>44139</v>
      </c>
      <c r="C5923" s="17">
        <v>180</v>
      </c>
      <c r="D5923" s="39">
        <f t="shared" si="524"/>
        <v>3073</v>
      </c>
      <c r="E5923" s="609"/>
      <c r="F5923" s="522">
        <f t="shared" si="522"/>
        <v>102</v>
      </c>
      <c r="G5923" s="395"/>
      <c r="H5923" s="395"/>
      <c r="J5923" s="42"/>
    </row>
    <row r="5924" spans="1:10" s="393" customFormat="1" x14ac:dyDescent="0.25">
      <c r="A5924" s="402" t="s">
        <v>36</v>
      </c>
      <c r="B5924" s="269">
        <v>44139</v>
      </c>
      <c r="C5924" s="17">
        <v>247</v>
      </c>
      <c r="D5924" s="39">
        <f t="shared" si="524"/>
        <v>8103</v>
      </c>
      <c r="E5924" s="609">
        <v>10</v>
      </c>
      <c r="F5924" s="522">
        <f t="shared" si="522"/>
        <v>102</v>
      </c>
      <c r="G5924" s="395"/>
      <c r="H5924" s="395"/>
      <c r="J5924" s="42"/>
    </row>
    <row r="5925" spans="1:10" s="393" customFormat="1" x14ac:dyDescent="0.25">
      <c r="A5925" s="402" t="s">
        <v>37</v>
      </c>
      <c r="B5925" s="269">
        <v>44139</v>
      </c>
      <c r="C5925" s="17">
        <v>185</v>
      </c>
      <c r="D5925" s="39">
        <f t="shared" si="524"/>
        <v>10250</v>
      </c>
      <c r="E5925" s="609">
        <v>2</v>
      </c>
      <c r="F5925" s="522">
        <f t="shared" si="522"/>
        <v>149</v>
      </c>
      <c r="G5925" s="395"/>
      <c r="H5925" s="395"/>
      <c r="J5925" s="42"/>
    </row>
    <row r="5926" spans="1:10" s="393" customFormat="1" x14ac:dyDescent="0.25">
      <c r="A5926" s="402" t="s">
        <v>22</v>
      </c>
      <c r="B5926" s="269">
        <v>44139</v>
      </c>
      <c r="C5926" s="17">
        <v>1543</v>
      </c>
      <c r="D5926" s="39">
        <f t="shared" si="524"/>
        <v>112618</v>
      </c>
      <c r="E5926" s="609">
        <v>56</v>
      </c>
      <c r="F5926" s="522">
        <f t="shared" si="522"/>
        <v>1530</v>
      </c>
      <c r="G5926" s="395"/>
      <c r="H5926" s="395"/>
      <c r="J5926" s="42"/>
    </row>
    <row r="5927" spans="1:10" s="393" customFormat="1" x14ac:dyDescent="0.25">
      <c r="A5927" s="402" t="s">
        <v>38</v>
      </c>
      <c r="B5927" s="269">
        <v>44139</v>
      </c>
      <c r="C5927" s="17">
        <v>213</v>
      </c>
      <c r="D5927" s="39">
        <f t="shared" si="524"/>
        <v>10387</v>
      </c>
      <c r="E5927" s="609"/>
      <c r="F5927" s="522">
        <f t="shared" si="522"/>
        <v>135</v>
      </c>
      <c r="G5927" s="395"/>
      <c r="H5927" s="395"/>
      <c r="J5927" s="42"/>
    </row>
    <row r="5928" spans="1:10" s="393" customFormat="1" x14ac:dyDescent="0.25">
      <c r="A5928" s="402" t="s">
        <v>39</v>
      </c>
      <c r="B5928" s="269">
        <v>44139</v>
      </c>
      <c r="C5928" s="17">
        <v>205</v>
      </c>
      <c r="D5928" s="39">
        <f t="shared" si="524"/>
        <v>12179</v>
      </c>
      <c r="E5928" s="609">
        <v>2</v>
      </c>
      <c r="F5928" s="522">
        <f t="shared" si="522"/>
        <v>161</v>
      </c>
      <c r="G5928" s="395"/>
      <c r="H5928" s="395"/>
      <c r="J5928" s="42"/>
    </row>
    <row r="5929" spans="1:10" s="393" customFormat="1" ht="15.75" thickBot="1" x14ac:dyDescent="0.3">
      <c r="A5929" s="404" t="s">
        <v>40</v>
      </c>
      <c r="B5929" s="271">
        <v>44139</v>
      </c>
      <c r="C5929" s="17">
        <v>750</v>
      </c>
      <c r="D5929" s="177">
        <f>C5929+D5905</f>
        <v>52365</v>
      </c>
      <c r="E5929" s="609">
        <v>17</v>
      </c>
      <c r="F5929" s="631">
        <f t="shared" si="522"/>
        <v>851</v>
      </c>
      <c r="G5929" s="395"/>
      <c r="H5929" s="395"/>
      <c r="J5929" s="42"/>
    </row>
    <row r="5930" spans="1:10" s="393" customFormat="1" x14ac:dyDescent="0.25">
      <c r="A5930" s="397" t="s">
        <v>16</v>
      </c>
      <c r="B5930" s="270">
        <v>44140</v>
      </c>
      <c r="C5930" s="227">
        <v>3239</v>
      </c>
      <c r="D5930" s="175">
        <f t="shared" si="524"/>
        <v>563938</v>
      </c>
      <c r="E5930" s="227">
        <f>43+38</f>
        <v>81</v>
      </c>
      <c r="F5930" s="630">
        <f t="shared" si="522"/>
        <v>18350</v>
      </c>
      <c r="G5930" s="395"/>
      <c r="H5930" s="395"/>
      <c r="J5930" s="42"/>
    </row>
    <row r="5931" spans="1:10" s="393" customFormat="1" x14ac:dyDescent="0.25">
      <c r="A5931" s="402" t="s">
        <v>43</v>
      </c>
      <c r="B5931" s="2">
        <v>44140</v>
      </c>
      <c r="C5931" s="1">
        <v>476</v>
      </c>
      <c r="D5931" s="39">
        <f t="shared" si="524"/>
        <v>149296</v>
      </c>
      <c r="E5931" s="1">
        <f>12+1+14</f>
        <v>27</v>
      </c>
      <c r="F5931" s="522">
        <f t="shared" ref="F5931:F5994" si="525">E5931+F5907</f>
        <v>4903</v>
      </c>
      <c r="G5931" s="395"/>
      <c r="H5931" s="395"/>
      <c r="J5931" s="42"/>
    </row>
    <row r="5932" spans="1:10" s="393" customFormat="1" x14ac:dyDescent="0.25">
      <c r="A5932" s="402" t="s">
        <v>28</v>
      </c>
      <c r="B5932" s="2">
        <v>44140</v>
      </c>
      <c r="C5932" s="1">
        <v>47</v>
      </c>
      <c r="D5932" s="39">
        <f t="shared" si="524"/>
        <v>1120</v>
      </c>
      <c r="E5932" s="1"/>
      <c r="F5932" s="522">
        <f t="shared" si="525"/>
        <v>0</v>
      </c>
      <c r="G5932" s="395"/>
      <c r="H5932" s="395"/>
      <c r="J5932" s="42"/>
    </row>
    <row r="5933" spans="1:10" s="393" customFormat="1" x14ac:dyDescent="0.25">
      <c r="A5933" s="402" t="s">
        <v>15</v>
      </c>
      <c r="B5933" s="2">
        <v>44140</v>
      </c>
      <c r="C5933" s="1">
        <v>145</v>
      </c>
      <c r="D5933" s="39">
        <f t="shared" si="524"/>
        <v>14638</v>
      </c>
      <c r="E5933" s="1">
        <f>4+1</f>
        <v>5</v>
      </c>
      <c r="F5933" s="522">
        <f t="shared" si="525"/>
        <v>453</v>
      </c>
      <c r="G5933" s="395"/>
      <c r="H5933" s="395"/>
      <c r="J5933" s="42"/>
    </row>
    <row r="5934" spans="1:10" s="393" customFormat="1" x14ac:dyDescent="0.25">
      <c r="A5934" s="402" t="s">
        <v>29</v>
      </c>
      <c r="B5934" s="2">
        <v>44140</v>
      </c>
      <c r="C5934" s="1">
        <v>441</v>
      </c>
      <c r="D5934" s="39">
        <f t="shared" si="524"/>
        <v>16153</v>
      </c>
      <c r="E5934" s="1">
        <f>9+5</f>
        <v>14</v>
      </c>
      <c r="F5934" s="522">
        <f t="shared" si="525"/>
        <v>274</v>
      </c>
      <c r="G5934" s="395"/>
      <c r="H5934" s="395"/>
      <c r="J5934" s="42"/>
    </row>
    <row r="5935" spans="1:10" s="393" customFormat="1" x14ac:dyDescent="0.25">
      <c r="A5935" s="402" t="s">
        <v>20</v>
      </c>
      <c r="B5935" s="2">
        <v>44140</v>
      </c>
      <c r="C5935" s="1">
        <v>1054</v>
      </c>
      <c r="D5935" s="39">
        <f t="shared" si="524"/>
        <v>90540</v>
      </c>
      <c r="E5935" s="1">
        <f>13+6</f>
        <v>19</v>
      </c>
      <c r="F5935" s="522">
        <f t="shared" si="525"/>
        <v>1414</v>
      </c>
      <c r="G5935" s="395"/>
      <c r="H5935" s="395"/>
      <c r="J5935" s="42"/>
    </row>
    <row r="5936" spans="1:10" s="393" customFormat="1" x14ac:dyDescent="0.25">
      <c r="A5936" s="402" t="s">
        <v>30</v>
      </c>
      <c r="B5936" s="2">
        <v>44140</v>
      </c>
      <c r="C5936" s="1">
        <v>18</v>
      </c>
      <c r="D5936" s="39">
        <f t="shared" si="524"/>
        <v>2651</v>
      </c>
      <c r="E5936" s="1"/>
      <c r="F5936" s="522">
        <f t="shared" si="525"/>
        <v>49</v>
      </c>
      <c r="G5936" s="395"/>
      <c r="H5936" s="395"/>
      <c r="J5936" s="42"/>
    </row>
    <row r="5937" spans="1:10" x14ac:dyDescent="0.25">
      <c r="A5937" s="402" t="s">
        <v>31</v>
      </c>
      <c r="B5937" s="2">
        <v>44140</v>
      </c>
      <c r="C5937" s="1">
        <v>336</v>
      </c>
      <c r="D5937" s="39">
        <f t="shared" si="524"/>
        <v>17345</v>
      </c>
      <c r="E5937" s="1">
        <f>5</f>
        <v>5</v>
      </c>
      <c r="F5937" s="522">
        <f t="shared" si="525"/>
        <v>306</v>
      </c>
    </row>
    <row r="5938" spans="1:10" s="393" customFormat="1" x14ac:dyDescent="0.25">
      <c r="A5938" s="402" t="s">
        <v>41</v>
      </c>
      <c r="B5938" s="2">
        <v>44140</v>
      </c>
      <c r="C5938" s="1">
        <v>-3</v>
      </c>
      <c r="D5938" s="39">
        <f t="shared" si="524"/>
        <v>160</v>
      </c>
      <c r="E5938" s="1"/>
      <c r="F5938" s="522">
        <f t="shared" si="525"/>
        <v>3</v>
      </c>
      <c r="G5938" s="395"/>
      <c r="H5938" s="395"/>
      <c r="J5938" s="42"/>
    </row>
    <row r="5939" spans="1:10" s="393" customFormat="1" x14ac:dyDescent="0.25">
      <c r="A5939" s="402" t="s">
        <v>32</v>
      </c>
      <c r="B5939" s="2">
        <v>44140</v>
      </c>
      <c r="C5939" s="1">
        <v>13</v>
      </c>
      <c r="D5939" s="39">
        <f t="shared" si="524"/>
        <v>17975</v>
      </c>
      <c r="E5939" s="1">
        <f>4</f>
        <v>4</v>
      </c>
      <c r="F5939" s="522">
        <f t="shared" si="525"/>
        <v>821</v>
      </c>
      <c r="G5939" s="395"/>
      <c r="H5939" s="395"/>
      <c r="J5939" s="42"/>
    </row>
    <row r="5940" spans="1:10" s="393" customFormat="1" x14ac:dyDescent="0.25">
      <c r="A5940" s="402" t="s">
        <v>33</v>
      </c>
      <c r="B5940" s="2">
        <v>44140</v>
      </c>
      <c r="C5940" s="1">
        <v>111</v>
      </c>
      <c r="D5940" s="39">
        <f t="shared" si="524"/>
        <v>3812</v>
      </c>
      <c r="E5940" s="1"/>
      <c r="F5940" s="522">
        <f t="shared" si="525"/>
        <v>36</v>
      </c>
      <c r="G5940" s="395"/>
      <c r="H5940" s="395"/>
      <c r="J5940" s="42"/>
    </row>
    <row r="5941" spans="1:10" s="393" customFormat="1" x14ac:dyDescent="0.25">
      <c r="A5941" s="402" t="s">
        <v>21</v>
      </c>
      <c r="B5941" s="2">
        <v>44140</v>
      </c>
      <c r="C5941" s="1">
        <v>20</v>
      </c>
      <c r="D5941" s="39">
        <f t="shared" si="524"/>
        <v>7763</v>
      </c>
      <c r="E5941" s="1">
        <f>3+2</f>
        <v>5</v>
      </c>
      <c r="F5941" s="522">
        <f t="shared" si="525"/>
        <v>288</v>
      </c>
      <c r="G5941" s="395"/>
      <c r="H5941" s="395"/>
      <c r="J5941" s="42"/>
    </row>
    <row r="5942" spans="1:10" s="393" customFormat="1" x14ac:dyDescent="0.25">
      <c r="A5942" s="402" t="s">
        <v>17</v>
      </c>
      <c r="B5942" s="2">
        <v>44140</v>
      </c>
      <c r="C5942" s="1">
        <v>628</v>
      </c>
      <c r="D5942" s="39">
        <f t="shared" si="524"/>
        <v>49454</v>
      </c>
      <c r="E5942" s="1">
        <f>8+5</f>
        <v>13</v>
      </c>
      <c r="F5942" s="522">
        <f t="shared" si="525"/>
        <v>867</v>
      </c>
      <c r="G5942" s="395"/>
      <c r="H5942" s="395"/>
      <c r="J5942" s="42"/>
    </row>
    <row r="5943" spans="1:10" s="393" customFormat="1" x14ac:dyDescent="0.25">
      <c r="A5943" s="402" t="s">
        <v>23</v>
      </c>
      <c r="B5943" s="2">
        <v>44140</v>
      </c>
      <c r="C5943" s="1">
        <v>18</v>
      </c>
      <c r="D5943" s="39">
        <f t="shared" si="524"/>
        <v>305</v>
      </c>
      <c r="E5943" s="1"/>
      <c r="F5943" s="522">
        <f t="shared" si="525"/>
        <v>6</v>
      </c>
      <c r="G5943" s="395"/>
      <c r="H5943" s="395"/>
      <c r="J5943" s="42"/>
    </row>
    <row r="5944" spans="1:10" s="393" customFormat="1" x14ac:dyDescent="0.25">
      <c r="A5944" s="402" t="s">
        <v>19</v>
      </c>
      <c r="B5944" s="2">
        <v>44140</v>
      </c>
      <c r="C5944" s="1">
        <v>462</v>
      </c>
      <c r="D5944" s="39">
        <f t="shared" si="524"/>
        <v>24438</v>
      </c>
      <c r="E5944" s="1"/>
      <c r="F5944" s="522">
        <f t="shared" si="525"/>
        <v>414</v>
      </c>
      <c r="G5944" s="395"/>
      <c r="H5944" s="395"/>
      <c r="J5944" s="42"/>
    </row>
    <row r="5945" spans="1:10" s="393" customFormat="1" x14ac:dyDescent="0.25">
      <c r="A5945" s="402" t="s">
        <v>18</v>
      </c>
      <c r="B5945" s="2">
        <v>44140</v>
      </c>
      <c r="C5945" s="1">
        <v>355</v>
      </c>
      <c r="D5945" s="39">
        <f t="shared" si="524"/>
        <v>25533</v>
      </c>
      <c r="E5945" s="1">
        <f>4+1</f>
        <v>5</v>
      </c>
      <c r="F5945" s="522">
        <f t="shared" si="525"/>
        <v>647</v>
      </c>
      <c r="G5945" s="395"/>
      <c r="H5945" s="395"/>
      <c r="J5945" s="42"/>
    </row>
    <row r="5946" spans="1:10" s="393" customFormat="1" x14ac:dyDescent="0.25">
      <c r="A5946" s="402" t="s">
        <v>34</v>
      </c>
      <c r="B5946" s="2">
        <v>44140</v>
      </c>
      <c r="C5946" s="1">
        <v>112</v>
      </c>
      <c r="D5946" s="39">
        <f t="shared" si="524"/>
        <v>19305</v>
      </c>
      <c r="E5946" s="1">
        <v>7</v>
      </c>
      <c r="F5946" s="522">
        <f t="shared" si="525"/>
        <v>829</v>
      </c>
      <c r="G5946" s="395"/>
      <c r="H5946" s="395"/>
      <c r="J5946" s="42"/>
    </row>
    <row r="5947" spans="1:10" s="393" customFormat="1" x14ac:dyDescent="0.25">
      <c r="A5947" s="402" t="s">
        <v>35</v>
      </c>
      <c r="B5947" s="2">
        <v>44140</v>
      </c>
      <c r="C5947" s="1">
        <v>134</v>
      </c>
      <c r="D5947" s="39">
        <f t="shared" si="524"/>
        <v>3207</v>
      </c>
      <c r="E5947" s="1"/>
      <c r="F5947" s="522">
        <f t="shared" si="525"/>
        <v>102</v>
      </c>
      <c r="G5947" s="395"/>
      <c r="H5947" s="395"/>
      <c r="J5947" s="42"/>
    </row>
    <row r="5948" spans="1:10" s="393" customFormat="1" x14ac:dyDescent="0.25">
      <c r="A5948" s="402" t="s">
        <v>36</v>
      </c>
      <c r="B5948" s="2">
        <v>44140</v>
      </c>
      <c r="C5948" s="1">
        <v>293</v>
      </c>
      <c r="D5948" s="39">
        <f t="shared" si="524"/>
        <v>8396</v>
      </c>
      <c r="E5948" s="1">
        <f>3+6</f>
        <v>9</v>
      </c>
      <c r="F5948" s="522">
        <f t="shared" si="525"/>
        <v>111</v>
      </c>
      <c r="G5948" s="395"/>
      <c r="H5948" s="395"/>
      <c r="J5948" s="42"/>
    </row>
    <row r="5949" spans="1:10" s="393" customFormat="1" x14ac:dyDescent="0.25">
      <c r="A5949" s="402" t="s">
        <v>37</v>
      </c>
      <c r="B5949" s="2">
        <v>44140</v>
      </c>
      <c r="C5949" s="1">
        <v>269</v>
      </c>
      <c r="D5949" s="39">
        <f t="shared" si="524"/>
        <v>10519</v>
      </c>
      <c r="E5949" s="1">
        <f>5+5</f>
        <v>10</v>
      </c>
      <c r="F5949" s="522">
        <f t="shared" si="525"/>
        <v>159</v>
      </c>
      <c r="G5949" s="395"/>
      <c r="H5949" s="395"/>
      <c r="J5949" s="42"/>
    </row>
    <row r="5950" spans="1:10" s="393" customFormat="1" x14ac:dyDescent="0.25">
      <c r="A5950" s="402" t="s">
        <v>22</v>
      </c>
      <c r="B5950" s="2">
        <v>44140</v>
      </c>
      <c r="C5950" s="1">
        <v>1741</v>
      </c>
      <c r="D5950" s="39">
        <f t="shared" si="524"/>
        <v>114359</v>
      </c>
      <c r="E5950" s="1">
        <f>11+8</f>
        <v>19</v>
      </c>
      <c r="F5950" s="522">
        <f t="shared" si="525"/>
        <v>1549</v>
      </c>
      <c r="G5950" s="395"/>
      <c r="H5950" s="395"/>
      <c r="J5950" s="42"/>
    </row>
    <row r="5951" spans="1:10" s="393" customFormat="1" x14ac:dyDescent="0.25">
      <c r="A5951" s="402" t="s">
        <v>38</v>
      </c>
      <c r="B5951" s="2">
        <v>44140</v>
      </c>
      <c r="C5951" s="1">
        <v>320</v>
      </c>
      <c r="D5951" s="39">
        <f t="shared" si="524"/>
        <v>10707</v>
      </c>
      <c r="E5951" s="1">
        <v>3</v>
      </c>
      <c r="F5951" s="522">
        <f t="shared" si="525"/>
        <v>138</v>
      </c>
      <c r="G5951" s="395"/>
      <c r="H5951" s="395"/>
      <c r="J5951" s="42"/>
    </row>
    <row r="5952" spans="1:10" s="393" customFormat="1" x14ac:dyDescent="0.25">
      <c r="A5952" s="402" t="s">
        <v>39</v>
      </c>
      <c r="B5952" s="2">
        <v>44140</v>
      </c>
      <c r="C5952" s="1">
        <v>267</v>
      </c>
      <c r="D5952" s="39">
        <f t="shared" si="524"/>
        <v>12446</v>
      </c>
      <c r="E5952" s="1">
        <f>2</f>
        <v>2</v>
      </c>
      <c r="F5952" s="522">
        <f t="shared" si="525"/>
        <v>163</v>
      </c>
      <c r="G5952" s="395"/>
      <c r="H5952" s="395"/>
      <c r="J5952" s="42"/>
    </row>
    <row r="5953" spans="1:10" s="393" customFormat="1" ht="15.75" thickBot="1" x14ac:dyDescent="0.3">
      <c r="A5953" s="403" t="s">
        <v>40</v>
      </c>
      <c r="B5953" s="34">
        <v>44140</v>
      </c>
      <c r="C5953" s="234">
        <v>603</v>
      </c>
      <c r="D5953" s="67">
        <f>C5953+D5929</f>
        <v>52968</v>
      </c>
      <c r="E5953" s="234">
        <f>7+11</f>
        <v>18</v>
      </c>
      <c r="F5953" s="632">
        <f t="shared" si="525"/>
        <v>869</v>
      </c>
      <c r="G5953" s="395"/>
      <c r="H5953" s="395"/>
      <c r="J5953" s="42"/>
    </row>
    <row r="5954" spans="1:10" s="393" customFormat="1" x14ac:dyDescent="0.25">
      <c r="A5954" s="397" t="s">
        <v>16</v>
      </c>
      <c r="B5954" s="267">
        <v>44141</v>
      </c>
      <c r="C5954" s="43">
        <v>3089</v>
      </c>
      <c r="D5954" s="175">
        <f t="shared" si="524"/>
        <v>567027</v>
      </c>
      <c r="E5954" s="43">
        <f>1+74+81</f>
        <v>156</v>
      </c>
      <c r="F5954" s="630">
        <f t="shared" si="525"/>
        <v>18506</v>
      </c>
      <c r="G5954" s="395"/>
      <c r="H5954" s="395"/>
      <c r="J5954" s="42"/>
    </row>
    <row r="5955" spans="1:10" s="393" customFormat="1" x14ac:dyDescent="0.25">
      <c r="A5955" s="402" t="s">
        <v>43</v>
      </c>
      <c r="B5955" s="2">
        <v>44141</v>
      </c>
      <c r="C5955" s="1">
        <v>641</v>
      </c>
      <c r="D5955" s="39">
        <f t="shared" si="524"/>
        <v>149937</v>
      </c>
      <c r="E5955" s="1">
        <f>1+22+17</f>
        <v>40</v>
      </c>
      <c r="F5955" s="522">
        <f t="shared" si="525"/>
        <v>4943</v>
      </c>
      <c r="G5955" s="395"/>
      <c r="H5955" s="395"/>
      <c r="J5955" s="42"/>
    </row>
    <row r="5956" spans="1:10" s="393" customFormat="1" x14ac:dyDescent="0.25">
      <c r="A5956" s="402" t="s">
        <v>28</v>
      </c>
      <c r="B5956" s="2">
        <v>44141</v>
      </c>
      <c r="C5956" s="1">
        <v>3</v>
      </c>
      <c r="D5956" s="39">
        <f t="shared" si="524"/>
        <v>1123</v>
      </c>
      <c r="E5956" s="1"/>
      <c r="F5956" s="522">
        <f t="shared" si="525"/>
        <v>0</v>
      </c>
      <c r="G5956" s="395"/>
      <c r="H5956" s="395"/>
      <c r="J5956" s="42"/>
    </row>
    <row r="5957" spans="1:10" s="393" customFormat="1" x14ac:dyDescent="0.25">
      <c r="A5957" s="402" t="s">
        <v>15</v>
      </c>
      <c r="B5957" s="2">
        <v>44141</v>
      </c>
      <c r="C5957" s="1">
        <v>121</v>
      </c>
      <c r="D5957" s="39">
        <f t="shared" si="524"/>
        <v>14759</v>
      </c>
      <c r="E5957" s="1">
        <f>3+2</f>
        <v>5</v>
      </c>
      <c r="F5957" s="522">
        <f t="shared" si="525"/>
        <v>458</v>
      </c>
      <c r="G5957" s="395"/>
      <c r="H5957" s="395"/>
      <c r="J5957" s="42"/>
    </row>
    <row r="5958" spans="1:10" s="393" customFormat="1" x14ac:dyDescent="0.25">
      <c r="A5958" s="402" t="s">
        <v>29</v>
      </c>
      <c r="B5958" s="2">
        <v>44141</v>
      </c>
      <c r="C5958" s="1">
        <v>392</v>
      </c>
      <c r="D5958" s="39">
        <f t="shared" si="524"/>
        <v>16545</v>
      </c>
      <c r="E5958" s="1">
        <f>1+1</f>
        <v>2</v>
      </c>
      <c r="F5958" s="522">
        <f t="shared" si="525"/>
        <v>276</v>
      </c>
      <c r="G5958" s="395"/>
      <c r="H5958" s="395"/>
      <c r="J5958" s="42"/>
    </row>
    <row r="5959" spans="1:10" s="393" customFormat="1" x14ac:dyDescent="0.25">
      <c r="A5959" s="402" t="s">
        <v>20</v>
      </c>
      <c r="B5959" s="2">
        <v>44141</v>
      </c>
      <c r="C5959" s="1">
        <v>1258</v>
      </c>
      <c r="D5959" s="39">
        <f t="shared" si="524"/>
        <v>91798</v>
      </c>
      <c r="E5959" s="1">
        <f>21+7</f>
        <v>28</v>
      </c>
      <c r="F5959" s="522">
        <f t="shared" si="525"/>
        <v>1442</v>
      </c>
      <c r="G5959" s="395"/>
      <c r="H5959" s="395"/>
      <c r="J5959" s="42"/>
    </row>
    <row r="5960" spans="1:10" s="393" customFormat="1" x14ac:dyDescent="0.25">
      <c r="A5960" s="402" t="s">
        <v>30</v>
      </c>
      <c r="B5960" s="2">
        <v>44141</v>
      </c>
      <c r="C5960" s="1">
        <v>106</v>
      </c>
      <c r="D5960" s="39">
        <f t="shared" si="524"/>
        <v>2757</v>
      </c>
      <c r="E5960" s="1">
        <f>5+2</f>
        <v>7</v>
      </c>
      <c r="F5960" s="522">
        <f t="shared" si="525"/>
        <v>56</v>
      </c>
      <c r="G5960" s="395"/>
      <c r="H5960" s="395"/>
      <c r="J5960" s="42"/>
    </row>
    <row r="5961" spans="1:10" x14ac:dyDescent="0.25">
      <c r="A5961" s="402" t="s">
        <v>31</v>
      </c>
      <c r="B5961" s="2">
        <v>44141</v>
      </c>
      <c r="C5961" s="1">
        <v>338</v>
      </c>
      <c r="D5961" s="39">
        <f t="shared" si="524"/>
        <v>17683</v>
      </c>
      <c r="E5961" s="1">
        <f>7+4</f>
        <v>11</v>
      </c>
      <c r="F5961" s="522">
        <f t="shared" si="525"/>
        <v>317</v>
      </c>
    </row>
    <row r="5962" spans="1:10" s="393" customFormat="1" x14ac:dyDescent="0.25">
      <c r="A5962" s="402" t="s">
        <v>41</v>
      </c>
      <c r="B5962" s="2">
        <v>44141</v>
      </c>
      <c r="C5962" s="1">
        <v>2</v>
      </c>
      <c r="D5962" s="39">
        <f t="shared" si="524"/>
        <v>162</v>
      </c>
      <c r="E5962" s="1"/>
      <c r="F5962" s="522">
        <f t="shared" si="525"/>
        <v>3</v>
      </c>
      <c r="G5962" s="395"/>
      <c r="H5962" s="395"/>
      <c r="J5962" s="42"/>
    </row>
    <row r="5963" spans="1:10" s="393" customFormat="1" x14ac:dyDescent="0.25">
      <c r="A5963" s="402" t="s">
        <v>32</v>
      </c>
      <c r="B5963" s="2">
        <v>44141</v>
      </c>
      <c r="C5963" s="1">
        <v>14</v>
      </c>
      <c r="D5963" s="39">
        <f t="shared" si="524"/>
        <v>17989</v>
      </c>
      <c r="E5963" s="1"/>
      <c r="F5963" s="522">
        <f t="shared" si="525"/>
        <v>821</v>
      </c>
      <c r="G5963" s="395"/>
      <c r="H5963" s="395"/>
      <c r="J5963" s="42"/>
    </row>
    <row r="5964" spans="1:10" s="393" customFormat="1" x14ac:dyDescent="0.25">
      <c r="A5964" s="402" t="s">
        <v>33</v>
      </c>
      <c r="B5964" s="2">
        <v>44141</v>
      </c>
      <c r="C5964" s="1">
        <v>104</v>
      </c>
      <c r="D5964" s="39">
        <f t="shared" si="524"/>
        <v>3916</v>
      </c>
      <c r="E5964" s="1"/>
      <c r="F5964" s="522">
        <f t="shared" si="525"/>
        <v>36</v>
      </c>
      <c r="G5964" s="395"/>
      <c r="H5964" s="395"/>
      <c r="J5964" s="42"/>
    </row>
    <row r="5965" spans="1:10" s="393" customFormat="1" x14ac:dyDescent="0.25">
      <c r="A5965" s="402" t="s">
        <v>21</v>
      </c>
      <c r="B5965" s="2">
        <v>44141</v>
      </c>
      <c r="C5965" s="1">
        <v>18</v>
      </c>
      <c r="D5965" s="39">
        <f t="shared" si="524"/>
        <v>7781</v>
      </c>
      <c r="E5965" s="1">
        <v>1</v>
      </c>
      <c r="F5965" s="522">
        <f t="shared" si="525"/>
        <v>289</v>
      </c>
      <c r="G5965" s="395"/>
      <c r="H5965" s="395"/>
      <c r="J5965" s="42"/>
    </row>
    <row r="5966" spans="1:10" s="393" customFormat="1" x14ac:dyDescent="0.25">
      <c r="A5966" s="402" t="s">
        <v>17</v>
      </c>
      <c r="B5966" s="2">
        <v>44141</v>
      </c>
      <c r="C5966" s="1">
        <v>626</v>
      </c>
      <c r="D5966" s="39">
        <f t="shared" si="524"/>
        <v>50080</v>
      </c>
      <c r="E5966" s="1">
        <f>15+7</f>
        <v>22</v>
      </c>
      <c r="F5966" s="522">
        <f t="shared" si="525"/>
        <v>889</v>
      </c>
      <c r="G5966" s="395"/>
      <c r="H5966" s="395"/>
      <c r="J5966" s="42"/>
    </row>
    <row r="5967" spans="1:10" s="393" customFormat="1" x14ac:dyDescent="0.25">
      <c r="A5967" s="402" t="s">
        <v>23</v>
      </c>
      <c r="B5967" s="2">
        <v>44141</v>
      </c>
      <c r="C5967" s="1">
        <v>15</v>
      </c>
      <c r="D5967" s="39">
        <f t="shared" si="524"/>
        <v>320</v>
      </c>
      <c r="E5967" s="1"/>
      <c r="F5967" s="522">
        <f t="shared" si="525"/>
        <v>6</v>
      </c>
      <c r="G5967" s="395"/>
      <c r="H5967" s="395"/>
      <c r="J5967" s="42"/>
    </row>
    <row r="5968" spans="1:10" s="393" customFormat="1" x14ac:dyDescent="0.25">
      <c r="A5968" s="402" t="s">
        <v>19</v>
      </c>
      <c r="B5968" s="2">
        <v>44141</v>
      </c>
      <c r="C5968" s="1">
        <v>310</v>
      </c>
      <c r="D5968" s="39">
        <f t="shared" si="524"/>
        <v>24748</v>
      </c>
      <c r="E5968" s="1">
        <f>4+4</f>
        <v>8</v>
      </c>
      <c r="F5968" s="522">
        <f t="shared" si="525"/>
        <v>422</v>
      </c>
      <c r="G5968" s="395"/>
      <c r="H5968" s="395"/>
      <c r="J5968" s="42"/>
    </row>
    <row r="5969" spans="1:10" s="393" customFormat="1" x14ac:dyDescent="0.25">
      <c r="A5969" s="402" t="s">
        <v>18</v>
      </c>
      <c r="B5969" s="2">
        <v>44141</v>
      </c>
      <c r="C5969" s="1">
        <v>383</v>
      </c>
      <c r="D5969" s="39">
        <f t="shared" si="524"/>
        <v>25916</v>
      </c>
      <c r="E5969" s="1">
        <f>3+2</f>
        <v>5</v>
      </c>
      <c r="F5969" s="522">
        <f t="shared" si="525"/>
        <v>652</v>
      </c>
      <c r="G5969" s="395"/>
      <c r="H5969" s="395"/>
      <c r="J5969" s="42"/>
    </row>
    <row r="5970" spans="1:10" s="393" customFormat="1" x14ac:dyDescent="0.25">
      <c r="A5970" s="402" t="s">
        <v>34</v>
      </c>
      <c r="B5970" s="2">
        <v>44141</v>
      </c>
      <c r="C5970" s="1">
        <v>93</v>
      </c>
      <c r="D5970" s="39">
        <f t="shared" ref="D5970:D5976" si="526">C5970+D5946</f>
        <v>19398</v>
      </c>
      <c r="E5970" s="1">
        <v>9</v>
      </c>
      <c r="F5970" s="522">
        <f t="shared" si="525"/>
        <v>838</v>
      </c>
      <c r="G5970" s="395"/>
      <c r="H5970" s="395"/>
      <c r="J5970" s="42"/>
    </row>
    <row r="5971" spans="1:10" s="393" customFormat="1" x14ac:dyDescent="0.25">
      <c r="A5971" s="402" t="s">
        <v>35</v>
      </c>
      <c r="B5971" s="2">
        <v>44141</v>
      </c>
      <c r="C5971" s="1">
        <v>191</v>
      </c>
      <c r="D5971" s="39">
        <f t="shared" si="526"/>
        <v>3398</v>
      </c>
      <c r="E5971" s="1"/>
      <c r="F5971" s="522">
        <f t="shared" si="525"/>
        <v>102</v>
      </c>
      <c r="G5971" s="395"/>
      <c r="H5971" s="395"/>
      <c r="J5971" s="42"/>
    </row>
    <row r="5972" spans="1:10" s="393" customFormat="1" x14ac:dyDescent="0.25">
      <c r="A5972" s="402" t="s">
        <v>36</v>
      </c>
      <c r="B5972" s="2">
        <v>44141</v>
      </c>
      <c r="C5972" s="1">
        <v>468</v>
      </c>
      <c r="D5972" s="39">
        <f t="shared" si="526"/>
        <v>8864</v>
      </c>
      <c r="E5972" s="1">
        <f>9+1</f>
        <v>10</v>
      </c>
      <c r="F5972" s="522">
        <f t="shared" si="525"/>
        <v>121</v>
      </c>
      <c r="G5972" s="395"/>
      <c r="H5972" s="395"/>
      <c r="J5972" s="42"/>
    </row>
    <row r="5973" spans="1:10" s="393" customFormat="1" x14ac:dyDescent="0.25">
      <c r="A5973" s="402" t="s">
        <v>37</v>
      </c>
      <c r="B5973" s="2">
        <v>44141</v>
      </c>
      <c r="C5973" s="1">
        <v>222</v>
      </c>
      <c r="D5973" s="39">
        <f t="shared" si="526"/>
        <v>10741</v>
      </c>
      <c r="E5973" s="1">
        <f>2+2</f>
        <v>4</v>
      </c>
      <c r="F5973" s="522">
        <f t="shared" si="525"/>
        <v>163</v>
      </c>
      <c r="G5973" s="395"/>
      <c r="H5973" s="395"/>
      <c r="J5973" s="42"/>
    </row>
    <row r="5974" spans="1:10" s="393" customFormat="1" x14ac:dyDescent="0.25">
      <c r="A5974" s="402" t="s">
        <v>22</v>
      </c>
      <c r="B5974" s="2">
        <v>44141</v>
      </c>
      <c r="C5974" s="1">
        <v>1736</v>
      </c>
      <c r="D5974" s="39">
        <f t="shared" si="526"/>
        <v>116095</v>
      </c>
      <c r="E5974" s="1">
        <f>1+30+22</f>
        <v>53</v>
      </c>
      <c r="F5974" s="522">
        <f t="shared" si="525"/>
        <v>1602</v>
      </c>
      <c r="G5974" s="395"/>
      <c r="H5974" s="395"/>
      <c r="J5974" s="42"/>
    </row>
    <row r="5975" spans="1:10" s="393" customFormat="1" x14ac:dyDescent="0.25">
      <c r="A5975" s="402" t="s">
        <v>38</v>
      </c>
      <c r="B5975" s="2">
        <v>44141</v>
      </c>
      <c r="C5975" s="1">
        <v>223</v>
      </c>
      <c r="D5975" s="39">
        <f t="shared" si="526"/>
        <v>10930</v>
      </c>
      <c r="E5975" s="1">
        <f>3</f>
        <v>3</v>
      </c>
      <c r="F5975" s="522">
        <f t="shared" si="525"/>
        <v>141</v>
      </c>
      <c r="G5975" s="395"/>
      <c r="H5975" s="395"/>
      <c r="J5975" s="42"/>
    </row>
    <row r="5976" spans="1:10" s="393" customFormat="1" x14ac:dyDescent="0.25">
      <c r="A5976" s="402" t="s">
        <v>39</v>
      </c>
      <c r="B5976" s="2">
        <v>44141</v>
      </c>
      <c r="C5976" s="1">
        <v>311</v>
      </c>
      <c r="D5976" s="39">
        <f t="shared" si="526"/>
        <v>12757</v>
      </c>
      <c r="E5976" s="1"/>
      <c r="F5976" s="522">
        <f t="shared" si="525"/>
        <v>163</v>
      </c>
      <c r="G5976" s="395"/>
      <c r="H5976" s="395"/>
      <c r="J5976" s="42"/>
    </row>
    <row r="5977" spans="1:10" s="393" customFormat="1" ht="15.75" thickBot="1" x14ac:dyDescent="0.3">
      <c r="A5977" s="403" t="s">
        <v>40</v>
      </c>
      <c r="B5977" s="34">
        <v>44141</v>
      </c>
      <c r="C5977" s="234">
        <v>1122</v>
      </c>
      <c r="D5977" s="67">
        <f>C5977+D5953</f>
        <v>54090</v>
      </c>
      <c r="E5977" s="234">
        <f>3+3</f>
        <v>6</v>
      </c>
      <c r="F5977" s="632">
        <f t="shared" si="525"/>
        <v>875</v>
      </c>
      <c r="G5977" s="395"/>
      <c r="H5977" s="395"/>
      <c r="J5977" s="42"/>
    </row>
    <row r="5978" spans="1:10" s="393" customFormat="1" x14ac:dyDescent="0.25">
      <c r="A5978" s="397" t="s">
        <v>16</v>
      </c>
      <c r="B5978" s="34">
        <v>44142</v>
      </c>
      <c r="C5978" s="1">
        <v>2161</v>
      </c>
      <c r="D5978" s="175">
        <f t="shared" ref="D5978:D6041" si="527">C5978+D5954</f>
        <v>569188</v>
      </c>
      <c r="E5978" s="1">
        <f>42+33</f>
        <v>75</v>
      </c>
      <c r="F5978" s="630">
        <f t="shared" si="525"/>
        <v>18581</v>
      </c>
      <c r="G5978" s="395"/>
      <c r="H5978" s="395"/>
      <c r="J5978" s="42"/>
    </row>
    <row r="5979" spans="1:10" s="393" customFormat="1" x14ac:dyDescent="0.25">
      <c r="A5979" s="402" t="s">
        <v>43</v>
      </c>
      <c r="B5979" s="34">
        <v>44142</v>
      </c>
      <c r="C5979" s="1">
        <v>394</v>
      </c>
      <c r="D5979" s="39">
        <f t="shared" si="527"/>
        <v>150331</v>
      </c>
      <c r="E5979" s="1">
        <f>13+11</f>
        <v>24</v>
      </c>
      <c r="F5979" s="522">
        <f t="shared" si="525"/>
        <v>4967</v>
      </c>
      <c r="G5979" s="395"/>
      <c r="H5979" s="395"/>
      <c r="J5979" s="42"/>
    </row>
    <row r="5980" spans="1:10" s="393" customFormat="1" x14ac:dyDescent="0.25">
      <c r="A5980" s="402" t="s">
        <v>28</v>
      </c>
      <c r="B5980" s="34">
        <v>44142</v>
      </c>
      <c r="C5980" s="1">
        <v>41</v>
      </c>
      <c r="D5980" s="39">
        <f t="shared" si="527"/>
        <v>1164</v>
      </c>
      <c r="E5980" s="1">
        <f>2</f>
        <v>2</v>
      </c>
      <c r="F5980" s="522">
        <f t="shared" si="525"/>
        <v>2</v>
      </c>
      <c r="G5980" s="395"/>
      <c r="H5980" s="395"/>
      <c r="J5980" s="42"/>
    </row>
    <row r="5981" spans="1:10" s="393" customFormat="1" x14ac:dyDescent="0.25">
      <c r="A5981" s="402" t="s">
        <v>15</v>
      </c>
      <c r="B5981" s="34">
        <v>44142</v>
      </c>
      <c r="C5981" s="1">
        <v>157</v>
      </c>
      <c r="D5981" s="39">
        <f t="shared" si="527"/>
        <v>14916</v>
      </c>
      <c r="E5981" s="1">
        <f>2+4</f>
        <v>6</v>
      </c>
      <c r="F5981" s="522">
        <f t="shared" si="525"/>
        <v>464</v>
      </c>
      <c r="G5981" s="395"/>
      <c r="H5981" s="395"/>
      <c r="J5981" s="42"/>
    </row>
    <row r="5982" spans="1:10" s="393" customFormat="1" x14ac:dyDescent="0.25">
      <c r="A5982" s="402" t="s">
        <v>29</v>
      </c>
      <c r="B5982" s="34">
        <v>44142</v>
      </c>
      <c r="C5982" s="1">
        <v>231</v>
      </c>
      <c r="D5982" s="39">
        <f t="shared" si="527"/>
        <v>16776</v>
      </c>
      <c r="E5982" s="1"/>
      <c r="F5982" s="522">
        <f t="shared" si="525"/>
        <v>276</v>
      </c>
      <c r="G5982" s="395"/>
      <c r="H5982" s="395"/>
      <c r="J5982" s="42"/>
    </row>
    <row r="5983" spans="1:10" s="393" customFormat="1" x14ac:dyDescent="0.25">
      <c r="A5983" s="402" t="s">
        <v>20</v>
      </c>
      <c r="B5983" s="34">
        <v>44142</v>
      </c>
      <c r="C5983" s="1">
        <v>1006</v>
      </c>
      <c r="D5983" s="39">
        <f t="shared" si="527"/>
        <v>92804</v>
      </c>
      <c r="E5983" s="1">
        <f>6+5</f>
        <v>11</v>
      </c>
      <c r="F5983" s="522">
        <f t="shared" si="525"/>
        <v>1453</v>
      </c>
      <c r="G5983" s="395"/>
      <c r="H5983" s="395"/>
      <c r="J5983" s="42"/>
    </row>
    <row r="5984" spans="1:10" s="393" customFormat="1" x14ac:dyDescent="0.25">
      <c r="A5984" s="402" t="s">
        <v>30</v>
      </c>
      <c r="B5984" s="34">
        <v>44142</v>
      </c>
      <c r="C5984" s="1">
        <v>76</v>
      </c>
      <c r="D5984" s="39">
        <f t="shared" si="527"/>
        <v>2833</v>
      </c>
      <c r="E5984" s="1"/>
      <c r="F5984" s="522">
        <f t="shared" si="525"/>
        <v>56</v>
      </c>
      <c r="G5984" s="395"/>
      <c r="H5984" s="395"/>
      <c r="J5984" s="42"/>
    </row>
    <row r="5985" spans="1:10" x14ac:dyDescent="0.25">
      <c r="A5985" s="402" t="s">
        <v>31</v>
      </c>
      <c r="B5985" s="34">
        <v>44142</v>
      </c>
      <c r="C5985" s="1">
        <v>234</v>
      </c>
      <c r="D5985" s="39">
        <f t="shared" si="527"/>
        <v>17917</v>
      </c>
      <c r="E5985" s="1">
        <f>6+2</f>
        <v>8</v>
      </c>
      <c r="F5985" s="522">
        <f t="shared" si="525"/>
        <v>325</v>
      </c>
    </row>
    <row r="5986" spans="1:10" s="393" customFormat="1" x14ac:dyDescent="0.25">
      <c r="A5986" s="402" t="s">
        <v>41</v>
      </c>
      <c r="B5986" s="34">
        <v>44142</v>
      </c>
      <c r="C5986" s="1">
        <v>0</v>
      </c>
      <c r="D5986" s="39">
        <f t="shared" si="527"/>
        <v>162</v>
      </c>
      <c r="E5986" s="1"/>
      <c r="F5986" s="522">
        <f t="shared" si="525"/>
        <v>3</v>
      </c>
      <c r="G5986" s="395"/>
      <c r="H5986" s="395"/>
      <c r="J5986" s="42"/>
    </row>
    <row r="5987" spans="1:10" s="393" customFormat="1" x14ac:dyDescent="0.25">
      <c r="A5987" s="402" t="s">
        <v>32</v>
      </c>
      <c r="B5987" s="34">
        <v>44142</v>
      </c>
      <c r="C5987" s="1">
        <v>24</v>
      </c>
      <c r="D5987" s="39">
        <f t="shared" si="527"/>
        <v>18013</v>
      </c>
      <c r="E5987" s="1">
        <f>4</f>
        <v>4</v>
      </c>
      <c r="F5987" s="522">
        <f t="shared" si="525"/>
        <v>825</v>
      </c>
      <c r="G5987" s="395"/>
      <c r="H5987" s="395"/>
      <c r="J5987" s="42"/>
    </row>
    <row r="5988" spans="1:10" s="393" customFormat="1" x14ac:dyDescent="0.25">
      <c r="A5988" s="402" t="s">
        <v>33</v>
      </c>
      <c r="B5988" s="34">
        <v>44142</v>
      </c>
      <c r="C5988" s="1">
        <v>106</v>
      </c>
      <c r="D5988" s="39">
        <f t="shared" si="527"/>
        <v>4022</v>
      </c>
      <c r="E5988" s="1"/>
      <c r="F5988" s="522">
        <f t="shared" si="525"/>
        <v>36</v>
      </c>
      <c r="G5988" s="395"/>
      <c r="H5988" s="395"/>
      <c r="J5988" s="42"/>
    </row>
    <row r="5989" spans="1:10" s="393" customFormat="1" x14ac:dyDescent="0.25">
      <c r="A5989" s="402" t="s">
        <v>21</v>
      </c>
      <c r="B5989" s="34">
        <v>44142</v>
      </c>
      <c r="C5989" s="1">
        <v>13</v>
      </c>
      <c r="D5989" s="39">
        <f t="shared" si="527"/>
        <v>7794</v>
      </c>
      <c r="E5989" s="1"/>
      <c r="F5989" s="522">
        <f t="shared" si="525"/>
        <v>289</v>
      </c>
      <c r="G5989" s="395"/>
      <c r="H5989" s="395"/>
      <c r="J5989" s="42"/>
    </row>
    <row r="5990" spans="1:10" s="393" customFormat="1" x14ac:dyDescent="0.25">
      <c r="A5990" s="402" t="s">
        <v>17</v>
      </c>
      <c r="B5990" s="34">
        <v>44142</v>
      </c>
      <c r="C5990" s="1">
        <v>354</v>
      </c>
      <c r="D5990" s="39">
        <f t="shared" si="527"/>
        <v>50434</v>
      </c>
      <c r="E5990" s="1">
        <f>14+5</f>
        <v>19</v>
      </c>
      <c r="F5990" s="522">
        <f t="shared" si="525"/>
        <v>908</v>
      </c>
      <c r="G5990" s="395"/>
      <c r="H5990" s="395"/>
      <c r="J5990" s="42"/>
    </row>
    <row r="5991" spans="1:10" s="393" customFormat="1" x14ac:dyDescent="0.25">
      <c r="A5991" s="402" t="s">
        <v>23</v>
      </c>
      <c r="B5991" s="34">
        <v>44142</v>
      </c>
      <c r="C5991" s="1">
        <v>10</v>
      </c>
      <c r="D5991" s="39">
        <f t="shared" si="527"/>
        <v>330</v>
      </c>
      <c r="E5991" s="1"/>
      <c r="F5991" s="522">
        <f t="shared" si="525"/>
        <v>6</v>
      </c>
      <c r="G5991" s="395"/>
      <c r="H5991" s="395"/>
      <c r="J5991" s="42"/>
    </row>
    <row r="5992" spans="1:10" s="393" customFormat="1" x14ac:dyDescent="0.25">
      <c r="A5992" s="402" t="s">
        <v>19</v>
      </c>
      <c r="B5992" s="34">
        <v>44142</v>
      </c>
      <c r="C5992" s="1">
        <v>352</v>
      </c>
      <c r="D5992" s="39">
        <f t="shared" si="527"/>
        <v>25100</v>
      </c>
      <c r="E5992" s="1"/>
      <c r="F5992" s="522">
        <f t="shared" si="525"/>
        <v>422</v>
      </c>
      <c r="G5992" s="395"/>
      <c r="H5992" s="395"/>
      <c r="J5992" s="42"/>
    </row>
    <row r="5993" spans="1:10" s="393" customFormat="1" x14ac:dyDescent="0.25">
      <c r="A5993" s="402" t="s">
        <v>18</v>
      </c>
      <c r="B5993" s="34">
        <v>44142</v>
      </c>
      <c r="C5993" s="1">
        <v>187</v>
      </c>
      <c r="D5993" s="39">
        <f t="shared" si="527"/>
        <v>26103</v>
      </c>
      <c r="E5993" s="1">
        <f>7+3</f>
        <v>10</v>
      </c>
      <c r="F5993" s="522">
        <f t="shared" si="525"/>
        <v>662</v>
      </c>
      <c r="G5993" s="395"/>
      <c r="H5993" s="395"/>
      <c r="J5993" s="42"/>
    </row>
    <row r="5994" spans="1:10" s="393" customFormat="1" x14ac:dyDescent="0.25">
      <c r="A5994" s="402" t="s">
        <v>34</v>
      </c>
      <c r="B5994" s="34">
        <v>44142</v>
      </c>
      <c r="C5994" s="1">
        <v>112</v>
      </c>
      <c r="D5994" s="39">
        <f t="shared" si="527"/>
        <v>19510</v>
      </c>
      <c r="E5994" s="1">
        <f>6+7</f>
        <v>13</v>
      </c>
      <c r="F5994" s="522">
        <f t="shared" si="525"/>
        <v>851</v>
      </c>
      <c r="G5994" s="395"/>
      <c r="H5994" s="395"/>
      <c r="J5994" s="42"/>
    </row>
    <row r="5995" spans="1:10" s="393" customFormat="1" x14ac:dyDescent="0.25">
      <c r="A5995" s="402" t="s">
        <v>35</v>
      </c>
      <c r="B5995" s="34">
        <v>44142</v>
      </c>
      <c r="C5995" s="1">
        <v>138</v>
      </c>
      <c r="D5995" s="39">
        <f t="shared" si="527"/>
        <v>3536</v>
      </c>
      <c r="E5995" s="1"/>
      <c r="F5995" s="522">
        <f t="shared" ref="F5995:F6058" si="528">E5995+F5971</f>
        <v>102</v>
      </c>
      <c r="G5995" s="395"/>
      <c r="H5995" s="395"/>
      <c r="J5995" s="42"/>
    </row>
    <row r="5996" spans="1:10" s="393" customFormat="1" x14ac:dyDescent="0.25">
      <c r="A5996" s="402" t="s">
        <v>36</v>
      </c>
      <c r="B5996" s="34">
        <v>44142</v>
      </c>
      <c r="C5996" s="1">
        <v>153</v>
      </c>
      <c r="D5996" s="39">
        <f t="shared" si="527"/>
        <v>9017</v>
      </c>
      <c r="E5996" s="1"/>
      <c r="F5996" s="522">
        <f t="shared" si="528"/>
        <v>121</v>
      </c>
      <c r="G5996" s="395"/>
      <c r="H5996" s="395"/>
      <c r="J5996" s="42"/>
    </row>
    <row r="5997" spans="1:10" s="393" customFormat="1" x14ac:dyDescent="0.25">
      <c r="A5997" s="402" t="s">
        <v>37</v>
      </c>
      <c r="B5997" s="34">
        <v>44142</v>
      </c>
      <c r="C5997" s="1">
        <v>169</v>
      </c>
      <c r="D5997" s="39">
        <f t="shared" si="527"/>
        <v>10910</v>
      </c>
      <c r="E5997" s="1">
        <f>1</f>
        <v>1</v>
      </c>
      <c r="F5997" s="522">
        <f t="shared" si="528"/>
        <v>164</v>
      </c>
      <c r="G5997" s="395"/>
      <c r="H5997" s="395"/>
      <c r="J5997" s="42"/>
    </row>
    <row r="5998" spans="1:10" s="393" customFormat="1" x14ac:dyDescent="0.25">
      <c r="A5998" s="402" t="s">
        <v>22</v>
      </c>
      <c r="B5998" s="34">
        <v>44142</v>
      </c>
      <c r="C5998" s="1">
        <v>1328</v>
      </c>
      <c r="D5998" s="39">
        <f t="shared" si="527"/>
        <v>117423</v>
      </c>
      <c r="E5998" s="1">
        <f>20+6</f>
        <v>26</v>
      </c>
      <c r="F5998" s="522">
        <f t="shared" si="528"/>
        <v>1628</v>
      </c>
      <c r="G5998" s="395"/>
      <c r="H5998" s="395"/>
      <c r="J5998" s="42"/>
    </row>
    <row r="5999" spans="1:10" s="393" customFormat="1" x14ac:dyDescent="0.25">
      <c r="A5999" s="402" t="s">
        <v>38</v>
      </c>
      <c r="B5999" s="34">
        <v>44142</v>
      </c>
      <c r="C5999" s="1">
        <v>226</v>
      </c>
      <c r="D5999" s="39">
        <f t="shared" si="527"/>
        <v>11156</v>
      </c>
      <c r="E5999" s="1">
        <f>1</f>
        <v>1</v>
      </c>
      <c r="F5999" s="522">
        <f t="shared" si="528"/>
        <v>142</v>
      </c>
      <c r="G5999" s="395"/>
      <c r="H5999" s="395"/>
      <c r="J5999" s="42"/>
    </row>
    <row r="6000" spans="1:10" s="393" customFormat="1" x14ac:dyDescent="0.25">
      <c r="A6000" s="402" t="s">
        <v>39</v>
      </c>
      <c r="B6000" s="34">
        <v>44142</v>
      </c>
      <c r="C6000" s="1">
        <v>201</v>
      </c>
      <c r="D6000" s="39">
        <f t="shared" si="527"/>
        <v>12958</v>
      </c>
      <c r="E6000" s="1">
        <f>3</f>
        <v>3</v>
      </c>
      <c r="F6000" s="522">
        <f t="shared" si="528"/>
        <v>166</v>
      </c>
      <c r="G6000" s="395"/>
      <c r="H6000" s="395"/>
      <c r="J6000" s="42"/>
    </row>
    <row r="6001" spans="1:10" s="393" customFormat="1" ht="15.75" thickBot="1" x14ac:dyDescent="0.3">
      <c r="A6001" s="403" t="s">
        <v>40</v>
      </c>
      <c r="B6001" s="34">
        <v>44142</v>
      </c>
      <c r="C6001" s="1">
        <v>364</v>
      </c>
      <c r="D6001" s="67">
        <f>C6001+D5977</f>
        <v>54454</v>
      </c>
      <c r="E6001" s="1">
        <f>7+3</f>
        <v>10</v>
      </c>
      <c r="F6001" s="632">
        <f t="shared" si="528"/>
        <v>885</v>
      </c>
      <c r="G6001" s="395"/>
      <c r="H6001" s="395"/>
      <c r="J6001" s="42"/>
    </row>
    <row r="6002" spans="1:10" s="393" customFormat="1" x14ac:dyDescent="0.25">
      <c r="A6002" s="397" t="s">
        <v>16</v>
      </c>
      <c r="B6002" s="34">
        <v>44143</v>
      </c>
      <c r="C6002" s="1">
        <v>1309</v>
      </c>
      <c r="D6002" s="175">
        <f t="shared" si="527"/>
        <v>570497</v>
      </c>
      <c r="E6002" s="1">
        <v>72</v>
      </c>
      <c r="F6002" s="630">
        <f t="shared" si="528"/>
        <v>18653</v>
      </c>
      <c r="G6002" s="395"/>
      <c r="H6002" s="395"/>
      <c r="J6002" s="42"/>
    </row>
    <row r="6003" spans="1:10" s="393" customFormat="1" x14ac:dyDescent="0.25">
      <c r="A6003" s="402" t="s">
        <v>43</v>
      </c>
      <c r="B6003" s="34">
        <v>44143</v>
      </c>
      <c r="C6003" s="1">
        <v>245</v>
      </c>
      <c r="D6003" s="39">
        <f t="shared" si="527"/>
        <v>150576</v>
      </c>
      <c r="E6003" s="1">
        <f>11+4</f>
        <v>15</v>
      </c>
      <c r="F6003" s="522">
        <f t="shared" si="528"/>
        <v>4982</v>
      </c>
      <c r="G6003" s="395"/>
      <c r="H6003" s="395"/>
      <c r="J6003" s="42"/>
    </row>
    <row r="6004" spans="1:10" s="393" customFormat="1" x14ac:dyDescent="0.25">
      <c r="A6004" s="402" t="s">
        <v>28</v>
      </c>
      <c r="B6004" s="34">
        <v>44143</v>
      </c>
      <c r="C6004" s="1">
        <v>15</v>
      </c>
      <c r="D6004" s="39">
        <f t="shared" si="527"/>
        <v>1179</v>
      </c>
      <c r="E6004" s="1"/>
      <c r="F6004" s="522">
        <f t="shared" si="528"/>
        <v>2</v>
      </c>
      <c r="G6004" s="395"/>
      <c r="H6004" s="395"/>
      <c r="J6004" s="42"/>
    </row>
    <row r="6005" spans="1:10" s="393" customFormat="1" x14ac:dyDescent="0.25">
      <c r="A6005" s="402" t="s">
        <v>15</v>
      </c>
      <c r="B6005" s="34">
        <v>44143</v>
      </c>
      <c r="C6005" s="1">
        <v>122</v>
      </c>
      <c r="D6005" s="39">
        <f t="shared" si="527"/>
        <v>15038</v>
      </c>
      <c r="E6005" s="1">
        <f>1</f>
        <v>1</v>
      </c>
      <c r="F6005" s="522">
        <f t="shared" si="528"/>
        <v>465</v>
      </c>
      <c r="G6005" s="395"/>
      <c r="H6005" s="395"/>
      <c r="J6005" s="42"/>
    </row>
    <row r="6006" spans="1:10" s="393" customFormat="1" x14ac:dyDescent="0.25">
      <c r="A6006" s="402" t="s">
        <v>29</v>
      </c>
      <c r="B6006" s="34">
        <v>44143</v>
      </c>
      <c r="C6006" s="1">
        <v>119</v>
      </c>
      <c r="D6006" s="39">
        <f t="shared" si="527"/>
        <v>16895</v>
      </c>
      <c r="E6006" s="1"/>
      <c r="F6006" s="522">
        <f t="shared" si="528"/>
        <v>276</v>
      </c>
      <c r="G6006" s="395"/>
      <c r="H6006" s="395"/>
      <c r="J6006" s="42"/>
    </row>
    <row r="6007" spans="1:10" s="393" customFormat="1" x14ac:dyDescent="0.25">
      <c r="A6007" s="402" t="s">
        <v>20</v>
      </c>
      <c r="B6007" s="34">
        <v>44143</v>
      </c>
      <c r="C6007" s="1">
        <v>775</v>
      </c>
      <c r="D6007" s="39">
        <f t="shared" si="527"/>
        <v>93579</v>
      </c>
      <c r="E6007" s="1">
        <f>18+5</f>
        <v>23</v>
      </c>
      <c r="F6007" s="522">
        <f t="shared" si="528"/>
        <v>1476</v>
      </c>
      <c r="G6007" s="395"/>
      <c r="H6007" s="395"/>
      <c r="J6007" s="42"/>
    </row>
    <row r="6008" spans="1:10" s="393" customFormat="1" x14ac:dyDescent="0.25">
      <c r="A6008" s="402" t="s">
        <v>30</v>
      </c>
      <c r="B6008" s="34">
        <v>44143</v>
      </c>
      <c r="C6008" s="1">
        <v>77</v>
      </c>
      <c r="D6008" s="39">
        <f t="shared" si="527"/>
        <v>2910</v>
      </c>
      <c r="E6008" s="1">
        <f>1</f>
        <v>1</v>
      </c>
      <c r="F6008" s="522">
        <f t="shared" si="528"/>
        <v>57</v>
      </c>
      <c r="G6008" s="395"/>
      <c r="H6008" s="395"/>
      <c r="J6008" s="42"/>
    </row>
    <row r="6009" spans="1:10" x14ac:dyDescent="0.25">
      <c r="A6009" s="402" t="s">
        <v>31</v>
      </c>
      <c r="B6009" s="34">
        <v>44143</v>
      </c>
      <c r="C6009" s="1">
        <v>187</v>
      </c>
      <c r="D6009" s="39">
        <f t="shared" si="527"/>
        <v>18104</v>
      </c>
      <c r="E6009" s="1">
        <f>2+1</f>
        <v>3</v>
      </c>
      <c r="F6009" s="522">
        <f t="shared" si="528"/>
        <v>328</v>
      </c>
    </row>
    <row r="6010" spans="1:10" s="393" customFormat="1" x14ac:dyDescent="0.25">
      <c r="A6010" s="402" t="s">
        <v>41</v>
      </c>
      <c r="B6010" s="34">
        <v>44143</v>
      </c>
      <c r="C6010" s="1">
        <v>0</v>
      </c>
      <c r="D6010" s="39">
        <f t="shared" si="527"/>
        <v>162</v>
      </c>
      <c r="E6010" s="1"/>
      <c r="F6010" s="522">
        <f t="shared" si="528"/>
        <v>3</v>
      </c>
      <c r="G6010" s="395"/>
      <c r="H6010" s="395"/>
      <c r="J6010" s="42"/>
    </row>
    <row r="6011" spans="1:10" s="393" customFormat="1" x14ac:dyDescent="0.25">
      <c r="A6011" s="402" t="s">
        <v>32</v>
      </c>
      <c r="B6011" s="34">
        <v>44143</v>
      </c>
      <c r="C6011" s="1">
        <v>12</v>
      </c>
      <c r="D6011" s="39">
        <f t="shared" si="527"/>
        <v>18025</v>
      </c>
      <c r="E6011" s="1"/>
      <c r="F6011" s="522">
        <f t="shared" si="528"/>
        <v>825</v>
      </c>
      <c r="G6011" s="395"/>
      <c r="H6011" s="395"/>
      <c r="J6011" s="42"/>
    </row>
    <row r="6012" spans="1:10" s="393" customFormat="1" x14ac:dyDescent="0.25">
      <c r="A6012" s="402" t="s">
        <v>33</v>
      </c>
      <c r="B6012" s="34">
        <v>44143</v>
      </c>
      <c r="C6012" s="1">
        <v>99</v>
      </c>
      <c r="D6012" s="39">
        <f t="shared" si="527"/>
        <v>4121</v>
      </c>
      <c r="E6012" s="1">
        <f>3+2</f>
        <v>5</v>
      </c>
      <c r="F6012" s="522">
        <f t="shared" si="528"/>
        <v>41</v>
      </c>
      <c r="G6012" s="395"/>
      <c r="H6012" s="395"/>
      <c r="J6012" s="42"/>
    </row>
    <row r="6013" spans="1:10" s="393" customFormat="1" x14ac:dyDescent="0.25">
      <c r="A6013" s="402" t="s">
        <v>21</v>
      </c>
      <c r="B6013" s="34">
        <v>44143</v>
      </c>
      <c r="C6013" s="1">
        <v>55</v>
      </c>
      <c r="D6013" s="39">
        <f t="shared" si="527"/>
        <v>7849</v>
      </c>
      <c r="E6013" s="1">
        <f>3</f>
        <v>3</v>
      </c>
      <c r="F6013" s="522">
        <f t="shared" si="528"/>
        <v>292</v>
      </c>
      <c r="G6013" s="395"/>
      <c r="H6013" s="395"/>
      <c r="J6013" s="42"/>
    </row>
    <row r="6014" spans="1:10" s="393" customFormat="1" x14ac:dyDescent="0.25">
      <c r="A6014" s="402" t="s">
        <v>17</v>
      </c>
      <c r="B6014" s="34">
        <v>44143</v>
      </c>
      <c r="C6014" s="1">
        <v>140</v>
      </c>
      <c r="D6014" s="39">
        <f t="shared" si="527"/>
        <v>50574</v>
      </c>
      <c r="E6014" s="1">
        <f>12+4</f>
        <v>16</v>
      </c>
      <c r="F6014" s="522">
        <f t="shared" si="528"/>
        <v>924</v>
      </c>
      <c r="G6014" s="395"/>
      <c r="H6014" s="395"/>
      <c r="J6014" s="42"/>
    </row>
    <row r="6015" spans="1:10" s="393" customFormat="1" x14ac:dyDescent="0.25">
      <c r="A6015" s="402" t="s">
        <v>23</v>
      </c>
      <c r="B6015" s="34">
        <v>44143</v>
      </c>
      <c r="C6015" s="1">
        <v>3</v>
      </c>
      <c r="D6015" s="39">
        <f t="shared" si="527"/>
        <v>333</v>
      </c>
      <c r="E6015" s="1"/>
      <c r="F6015" s="522">
        <f t="shared" si="528"/>
        <v>6</v>
      </c>
      <c r="G6015" s="395"/>
      <c r="H6015" s="395"/>
      <c r="J6015" s="42"/>
    </row>
    <row r="6016" spans="1:10" s="393" customFormat="1" x14ac:dyDescent="0.25">
      <c r="A6016" s="402" t="s">
        <v>19</v>
      </c>
      <c r="B6016" s="34">
        <v>44143</v>
      </c>
      <c r="C6016" s="1">
        <v>154</v>
      </c>
      <c r="D6016" s="39">
        <f t="shared" si="527"/>
        <v>25254</v>
      </c>
      <c r="E6016" s="1"/>
      <c r="F6016" s="522">
        <f t="shared" si="528"/>
        <v>422</v>
      </c>
      <c r="G6016" s="395"/>
      <c r="H6016" s="395"/>
      <c r="J6016" s="42"/>
    </row>
    <row r="6017" spans="1:10" s="393" customFormat="1" x14ac:dyDescent="0.25">
      <c r="A6017" s="402" t="s">
        <v>18</v>
      </c>
      <c r="B6017" s="34">
        <v>44143</v>
      </c>
      <c r="C6017" s="1">
        <v>126</v>
      </c>
      <c r="D6017" s="39">
        <f t="shared" si="527"/>
        <v>26229</v>
      </c>
      <c r="E6017" s="1">
        <f>1+1</f>
        <v>2</v>
      </c>
      <c r="F6017" s="522">
        <f t="shared" si="528"/>
        <v>664</v>
      </c>
      <c r="G6017" s="395"/>
      <c r="H6017" s="395"/>
      <c r="J6017" s="42"/>
    </row>
    <row r="6018" spans="1:10" s="393" customFormat="1" x14ac:dyDescent="0.25">
      <c r="A6018" s="402" t="s">
        <v>34</v>
      </c>
      <c r="B6018" s="34">
        <v>44143</v>
      </c>
      <c r="C6018" s="1">
        <v>36</v>
      </c>
      <c r="D6018" s="39">
        <f t="shared" si="527"/>
        <v>19546</v>
      </c>
      <c r="E6018" s="1">
        <f>25+5</f>
        <v>30</v>
      </c>
      <c r="F6018" s="522">
        <f t="shared" si="528"/>
        <v>881</v>
      </c>
      <c r="G6018" s="395"/>
      <c r="H6018" s="395"/>
      <c r="J6018" s="42"/>
    </row>
    <row r="6019" spans="1:10" s="393" customFormat="1" x14ac:dyDescent="0.25">
      <c r="A6019" s="402" t="s">
        <v>35</v>
      </c>
      <c r="B6019" s="34">
        <v>44143</v>
      </c>
      <c r="C6019" s="1">
        <v>127</v>
      </c>
      <c r="D6019" s="39">
        <f t="shared" si="527"/>
        <v>3663</v>
      </c>
      <c r="E6019" s="1"/>
      <c r="F6019" s="522">
        <f t="shared" si="528"/>
        <v>102</v>
      </c>
      <c r="G6019" s="395"/>
      <c r="H6019" s="395"/>
      <c r="J6019" s="42"/>
    </row>
    <row r="6020" spans="1:10" s="393" customFormat="1" x14ac:dyDescent="0.25">
      <c r="A6020" s="402" t="s">
        <v>36</v>
      </c>
      <c r="B6020" s="34">
        <v>44143</v>
      </c>
      <c r="C6020" s="1">
        <v>54</v>
      </c>
      <c r="D6020" s="39">
        <f t="shared" si="527"/>
        <v>9071</v>
      </c>
      <c r="E6020" s="1">
        <f>1</f>
        <v>1</v>
      </c>
      <c r="F6020" s="522">
        <f t="shared" si="528"/>
        <v>122</v>
      </c>
      <c r="G6020" s="395"/>
      <c r="H6020" s="395"/>
      <c r="J6020" s="42"/>
    </row>
    <row r="6021" spans="1:10" s="393" customFormat="1" x14ac:dyDescent="0.25">
      <c r="A6021" s="402" t="s">
        <v>37</v>
      </c>
      <c r="B6021" s="34">
        <v>44143</v>
      </c>
      <c r="C6021" s="1">
        <v>176</v>
      </c>
      <c r="D6021" s="39">
        <f t="shared" si="527"/>
        <v>11086</v>
      </c>
      <c r="E6021" s="1">
        <v>1</v>
      </c>
      <c r="F6021" s="522">
        <f t="shared" si="528"/>
        <v>165</v>
      </c>
      <c r="G6021" s="395"/>
      <c r="H6021" s="395"/>
      <c r="J6021" s="42"/>
    </row>
    <row r="6022" spans="1:10" s="393" customFormat="1" x14ac:dyDescent="0.25">
      <c r="A6022" s="402" t="s">
        <v>22</v>
      </c>
      <c r="B6022" s="34">
        <v>44143</v>
      </c>
      <c r="C6022" s="1">
        <v>879</v>
      </c>
      <c r="D6022" s="39">
        <f t="shared" si="527"/>
        <v>118302</v>
      </c>
      <c r="E6022" s="1">
        <f>17+20</f>
        <v>37</v>
      </c>
      <c r="F6022" s="522">
        <f t="shared" si="528"/>
        <v>1665</v>
      </c>
      <c r="G6022" s="395"/>
      <c r="H6022" s="395"/>
      <c r="J6022" s="42"/>
    </row>
    <row r="6023" spans="1:10" s="393" customFormat="1" x14ac:dyDescent="0.25">
      <c r="A6023" s="402" t="s">
        <v>38</v>
      </c>
      <c r="B6023" s="34">
        <v>44143</v>
      </c>
      <c r="C6023" s="1">
        <v>170</v>
      </c>
      <c r="D6023" s="39">
        <f t="shared" si="527"/>
        <v>11326</v>
      </c>
      <c r="E6023" s="1"/>
      <c r="F6023" s="522">
        <f t="shared" si="528"/>
        <v>142</v>
      </c>
      <c r="G6023" s="395"/>
      <c r="H6023" s="395"/>
      <c r="J6023" s="42"/>
    </row>
    <row r="6024" spans="1:10" s="393" customFormat="1" x14ac:dyDescent="0.25">
      <c r="A6024" s="402" t="s">
        <v>39</v>
      </c>
      <c r="B6024" s="34">
        <v>44143</v>
      </c>
      <c r="C6024" s="1">
        <v>178</v>
      </c>
      <c r="D6024" s="39">
        <f t="shared" si="527"/>
        <v>13136</v>
      </c>
      <c r="E6024" s="1"/>
      <c r="F6024" s="522">
        <f t="shared" si="528"/>
        <v>166</v>
      </c>
      <c r="G6024" s="395"/>
      <c r="H6024" s="395"/>
      <c r="J6024" s="42"/>
    </row>
    <row r="6025" spans="1:10" s="393" customFormat="1" ht="15.75" thickBot="1" x14ac:dyDescent="0.3">
      <c r="A6025" s="403" t="s">
        <v>40</v>
      </c>
      <c r="B6025" s="34">
        <v>44143</v>
      </c>
      <c r="C6025" s="1">
        <v>273</v>
      </c>
      <c r="D6025" s="67">
        <f>C6025+D6001</f>
        <v>54727</v>
      </c>
      <c r="E6025" s="1">
        <v>1</v>
      </c>
      <c r="F6025" s="632">
        <f t="shared" si="528"/>
        <v>886</v>
      </c>
      <c r="G6025" s="395"/>
      <c r="H6025" s="395"/>
      <c r="J6025" s="42"/>
    </row>
    <row r="6026" spans="1:10" s="393" customFormat="1" x14ac:dyDescent="0.25">
      <c r="A6026" s="397" t="s">
        <v>16</v>
      </c>
      <c r="B6026" s="34">
        <v>44144</v>
      </c>
      <c r="C6026" s="1">
        <v>2391</v>
      </c>
      <c r="D6026" s="175">
        <f t="shared" si="527"/>
        <v>572888</v>
      </c>
      <c r="E6026" s="1">
        <v>114</v>
      </c>
      <c r="F6026" s="630">
        <f t="shared" si="528"/>
        <v>18767</v>
      </c>
      <c r="G6026" s="395"/>
      <c r="H6026" s="395"/>
      <c r="J6026" s="42"/>
    </row>
    <row r="6027" spans="1:10" s="393" customFormat="1" x14ac:dyDescent="0.25">
      <c r="A6027" s="402" t="s">
        <v>43</v>
      </c>
      <c r="B6027" s="34">
        <v>44144</v>
      </c>
      <c r="C6027" s="1">
        <v>401</v>
      </c>
      <c r="D6027" s="39">
        <f t="shared" si="527"/>
        <v>150977</v>
      </c>
      <c r="E6027" s="1">
        <v>14</v>
      </c>
      <c r="F6027" s="522">
        <f t="shared" si="528"/>
        <v>4996</v>
      </c>
      <c r="G6027" s="395"/>
      <c r="H6027" s="395"/>
      <c r="J6027" s="42"/>
    </row>
    <row r="6028" spans="1:10" s="393" customFormat="1" x14ac:dyDescent="0.25">
      <c r="A6028" s="402" t="s">
        <v>28</v>
      </c>
      <c r="B6028" s="34">
        <v>44144</v>
      </c>
      <c r="C6028" s="1">
        <v>45</v>
      </c>
      <c r="D6028" s="39">
        <f t="shared" si="527"/>
        <v>1224</v>
      </c>
      <c r="E6028" s="1"/>
      <c r="F6028" s="522">
        <f t="shared" si="528"/>
        <v>2</v>
      </c>
      <c r="G6028" s="395"/>
      <c r="H6028" s="395"/>
      <c r="J6028" s="42"/>
    </row>
    <row r="6029" spans="1:10" s="393" customFormat="1" x14ac:dyDescent="0.25">
      <c r="A6029" s="402" t="s">
        <v>15</v>
      </c>
      <c r="B6029" s="34">
        <v>44144</v>
      </c>
      <c r="C6029" s="1">
        <v>125</v>
      </c>
      <c r="D6029" s="39">
        <f t="shared" si="527"/>
        <v>15163</v>
      </c>
      <c r="E6029" s="1">
        <v>4</v>
      </c>
      <c r="F6029" s="522">
        <f t="shared" si="528"/>
        <v>469</v>
      </c>
      <c r="G6029" s="395"/>
      <c r="H6029" s="395"/>
      <c r="J6029" s="42"/>
    </row>
    <row r="6030" spans="1:10" s="393" customFormat="1" x14ac:dyDescent="0.25">
      <c r="A6030" s="402" t="s">
        <v>29</v>
      </c>
      <c r="B6030" s="34">
        <v>44144</v>
      </c>
      <c r="C6030" s="1">
        <v>288</v>
      </c>
      <c r="D6030" s="39">
        <f t="shared" si="527"/>
        <v>17183</v>
      </c>
      <c r="E6030" s="1">
        <v>1</v>
      </c>
      <c r="F6030" s="522">
        <f t="shared" si="528"/>
        <v>277</v>
      </c>
      <c r="G6030" s="395"/>
      <c r="H6030" s="395"/>
      <c r="J6030" s="42"/>
    </row>
    <row r="6031" spans="1:10" s="393" customFormat="1" x14ac:dyDescent="0.25">
      <c r="A6031" s="402" t="s">
        <v>20</v>
      </c>
      <c r="B6031" s="34">
        <v>44144</v>
      </c>
      <c r="C6031" s="1">
        <v>866</v>
      </c>
      <c r="D6031" s="39">
        <f t="shared" si="527"/>
        <v>94445</v>
      </c>
      <c r="E6031" s="1">
        <v>26</v>
      </c>
      <c r="F6031" s="522">
        <f t="shared" si="528"/>
        <v>1502</v>
      </c>
      <c r="G6031" s="395"/>
      <c r="H6031" s="395"/>
      <c r="J6031" s="42"/>
    </row>
    <row r="6032" spans="1:10" s="393" customFormat="1" x14ac:dyDescent="0.25">
      <c r="A6032" s="402" t="s">
        <v>30</v>
      </c>
      <c r="B6032" s="34">
        <v>44144</v>
      </c>
      <c r="C6032" s="1">
        <v>137</v>
      </c>
      <c r="D6032" s="39">
        <f t="shared" si="527"/>
        <v>3047</v>
      </c>
      <c r="E6032" s="1">
        <v>4</v>
      </c>
      <c r="F6032" s="522">
        <f t="shared" si="528"/>
        <v>61</v>
      </c>
      <c r="G6032" s="395"/>
      <c r="H6032" s="395"/>
      <c r="J6032" s="42"/>
    </row>
    <row r="6033" spans="1:10" x14ac:dyDescent="0.25">
      <c r="A6033" s="402" t="s">
        <v>31</v>
      </c>
      <c r="B6033" s="34">
        <v>44144</v>
      </c>
      <c r="C6033" s="1">
        <v>156</v>
      </c>
      <c r="D6033" s="39">
        <f t="shared" si="527"/>
        <v>18260</v>
      </c>
      <c r="E6033" s="1">
        <v>8</v>
      </c>
      <c r="F6033" s="522">
        <f t="shared" si="528"/>
        <v>336</v>
      </c>
    </row>
    <row r="6034" spans="1:10" s="393" customFormat="1" x14ac:dyDescent="0.25">
      <c r="A6034" s="402" t="s">
        <v>41</v>
      </c>
      <c r="B6034" s="34">
        <v>44144</v>
      </c>
      <c r="C6034" s="1">
        <v>-1</v>
      </c>
      <c r="D6034" s="39">
        <f t="shared" si="527"/>
        <v>161</v>
      </c>
      <c r="E6034" s="1"/>
      <c r="F6034" s="522">
        <f t="shared" si="528"/>
        <v>3</v>
      </c>
      <c r="G6034" s="395"/>
      <c r="H6034" s="395"/>
      <c r="J6034" s="42"/>
    </row>
    <row r="6035" spans="1:10" s="393" customFormat="1" x14ac:dyDescent="0.25">
      <c r="A6035" s="402" t="s">
        <v>32</v>
      </c>
      <c r="B6035" s="34">
        <v>44144</v>
      </c>
      <c r="C6035" s="1">
        <v>16</v>
      </c>
      <c r="D6035" s="39">
        <f t="shared" si="527"/>
        <v>18041</v>
      </c>
      <c r="E6035" s="1"/>
      <c r="F6035" s="522">
        <f t="shared" si="528"/>
        <v>825</v>
      </c>
      <c r="G6035" s="395"/>
      <c r="H6035" s="395"/>
      <c r="J6035" s="42"/>
    </row>
    <row r="6036" spans="1:10" s="393" customFormat="1" x14ac:dyDescent="0.25">
      <c r="A6036" s="402" t="s">
        <v>33</v>
      </c>
      <c r="B6036" s="34">
        <v>44144</v>
      </c>
      <c r="C6036" s="1">
        <v>71</v>
      </c>
      <c r="D6036" s="39">
        <f t="shared" si="527"/>
        <v>4192</v>
      </c>
      <c r="E6036" s="1"/>
      <c r="F6036" s="522">
        <f t="shared" si="528"/>
        <v>41</v>
      </c>
      <c r="G6036" s="395"/>
      <c r="H6036" s="395"/>
      <c r="J6036" s="42"/>
    </row>
    <row r="6037" spans="1:10" s="393" customFormat="1" x14ac:dyDescent="0.25">
      <c r="A6037" s="402" t="s">
        <v>21</v>
      </c>
      <c r="B6037" s="34">
        <v>44144</v>
      </c>
      <c r="C6037" s="1">
        <v>21</v>
      </c>
      <c r="D6037" s="39">
        <f t="shared" si="527"/>
        <v>7870</v>
      </c>
      <c r="E6037" s="1"/>
      <c r="F6037" s="522">
        <f t="shared" si="528"/>
        <v>292</v>
      </c>
      <c r="G6037" s="395"/>
      <c r="H6037" s="395"/>
      <c r="J6037" s="42"/>
    </row>
    <row r="6038" spans="1:10" s="393" customFormat="1" x14ac:dyDescent="0.25">
      <c r="A6038" s="402" t="s">
        <v>17</v>
      </c>
      <c r="B6038" s="34">
        <v>44144</v>
      </c>
      <c r="C6038" s="1">
        <v>326</v>
      </c>
      <c r="D6038" s="39">
        <f t="shared" si="527"/>
        <v>50900</v>
      </c>
      <c r="E6038" s="1">
        <v>11</v>
      </c>
      <c r="F6038" s="522">
        <f t="shared" si="528"/>
        <v>935</v>
      </c>
      <c r="G6038" s="395"/>
      <c r="H6038" s="395"/>
      <c r="J6038" s="42"/>
    </row>
    <row r="6039" spans="1:10" s="393" customFormat="1" x14ac:dyDescent="0.25">
      <c r="A6039" s="402" t="s">
        <v>23</v>
      </c>
      <c r="B6039" s="34">
        <v>44144</v>
      </c>
      <c r="C6039" s="1">
        <v>7</v>
      </c>
      <c r="D6039" s="39">
        <f t="shared" si="527"/>
        <v>340</v>
      </c>
      <c r="E6039" s="1">
        <v>1</v>
      </c>
      <c r="F6039" s="522">
        <f t="shared" si="528"/>
        <v>7</v>
      </c>
      <c r="G6039" s="395"/>
      <c r="H6039" s="395"/>
      <c r="J6039" s="42"/>
    </row>
    <row r="6040" spans="1:10" s="393" customFormat="1" x14ac:dyDescent="0.25">
      <c r="A6040" s="402" t="s">
        <v>19</v>
      </c>
      <c r="B6040" s="34">
        <v>44144</v>
      </c>
      <c r="C6040" s="1">
        <v>149</v>
      </c>
      <c r="D6040" s="39">
        <f t="shared" si="527"/>
        <v>25403</v>
      </c>
      <c r="E6040" s="1">
        <v>1</v>
      </c>
      <c r="F6040" s="522">
        <f t="shared" si="528"/>
        <v>423</v>
      </c>
      <c r="G6040" s="395"/>
      <c r="H6040" s="395"/>
      <c r="J6040" s="42"/>
    </row>
    <row r="6041" spans="1:10" s="393" customFormat="1" x14ac:dyDescent="0.25">
      <c r="A6041" s="402" t="s">
        <v>18</v>
      </c>
      <c r="B6041" s="34">
        <v>44144</v>
      </c>
      <c r="C6041" s="1">
        <v>356</v>
      </c>
      <c r="D6041" s="39">
        <f t="shared" si="527"/>
        <v>26585</v>
      </c>
      <c r="E6041" s="1">
        <v>7</v>
      </c>
      <c r="F6041" s="522">
        <f t="shared" si="528"/>
        <v>671</v>
      </c>
      <c r="G6041" s="395"/>
      <c r="H6041" s="395"/>
      <c r="J6041" s="42"/>
    </row>
    <row r="6042" spans="1:10" s="393" customFormat="1" x14ac:dyDescent="0.25">
      <c r="A6042" s="402" t="s">
        <v>34</v>
      </c>
      <c r="B6042" s="34">
        <v>44144</v>
      </c>
      <c r="C6042" s="1">
        <v>65</v>
      </c>
      <c r="D6042" s="39">
        <f t="shared" ref="D6042:D6048" si="529">C6042+D6018</f>
        <v>19611</v>
      </c>
      <c r="E6042" s="1">
        <v>17</v>
      </c>
      <c r="F6042" s="522">
        <f t="shared" si="528"/>
        <v>898</v>
      </c>
      <c r="G6042" s="395"/>
      <c r="H6042" s="395"/>
      <c r="J6042" s="42"/>
    </row>
    <row r="6043" spans="1:10" s="393" customFormat="1" x14ac:dyDescent="0.25">
      <c r="A6043" s="402" t="s">
        <v>35</v>
      </c>
      <c r="B6043" s="34">
        <v>44144</v>
      </c>
      <c r="C6043" s="1">
        <v>154</v>
      </c>
      <c r="D6043" s="39">
        <f t="shared" si="529"/>
        <v>3817</v>
      </c>
      <c r="E6043" s="1">
        <v>21</v>
      </c>
      <c r="F6043" s="522">
        <f t="shared" si="528"/>
        <v>123</v>
      </c>
      <c r="G6043" s="395"/>
      <c r="H6043" s="395"/>
      <c r="J6043" s="42"/>
    </row>
    <row r="6044" spans="1:10" s="393" customFormat="1" x14ac:dyDescent="0.25">
      <c r="A6044" s="402" t="s">
        <v>36</v>
      </c>
      <c r="B6044" s="34">
        <v>44144</v>
      </c>
      <c r="C6044" s="1">
        <v>298</v>
      </c>
      <c r="D6044" s="39">
        <f t="shared" si="529"/>
        <v>9369</v>
      </c>
      <c r="E6044" s="1">
        <v>10</v>
      </c>
      <c r="F6044" s="522">
        <f t="shared" si="528"/>
        <v>132</v>
      </c>
      <c r="G6044" s="395"/>
      <c r="H6044" s="395"/>
      <c r="J6044" s="42"/>
    </row>
    <row r="6045" spans="1:10" s="393" customFormat="1" x14ac:dyDescent="0.25">
      <c r="A6045" s="402" t="s">
        <v>37</v>
      </c>
      <c r="B6045" s="34">
        <v>44144</v>
      </c>
      <c r="C6045" s="1">
        <v>136</v>
      </c>
      <c r="D6045" s="39">
        <f t="shared" si="529"/>
        <v>11222</v>
      </c>
      <c r="E6045" s="1">
        <v>10</v>
      </c>
      <c r="F6045" s="522">
        <f t="shared" si="528"/>
        <v>175</v>
      </c>
      <c r="G6045" s="395"/>
      <c r="H6045" s="395"/>
      <c r="J6045" s="42"/>
    </row>
    <row r="6046" spans="1:10" s="393" customFormat="1" x14ac:dyDescent="0.25">
      <c r="A6046" s="402" t="s">
        <v>22</v>
      </c>
      <c r="B6046" s="34">
        <v>44144</v>
      </c>
      <c r="C6046" s="1">
        <v>1291</v>
      </c>
      <c r="D6046" s="39">
        <f t="shared" si="529"/>
        <v>119593</v>
      </c>
      <c r="E6046" s="1">
        <v>60</v>
      </c>
      <c r="F6046" s="522">
        <f t="shared" si="528"/>
        <v>1725</v>
      </c>
      <c r="G6046" s="395"/>
      <c r="H6046" s="395"/>
      <c r="J6046" s="42"/>
    </row>
    <row r="6047" spans="1:10" s="393" customFormat="1" x14ac:dyDescent="0.25">
      <c r="A6047" s="402" t="s">
        <v>38</v>
      </c>
      <c r="B6047" s="34">
        <v>44144</v>
      </c>
      <c r="C6047" s="1">
        <v>205</v>
      </c>
      <c r="D6047" s="39">
        <f t="shared" si="529"/>
        <v>11531</v>
      </c>
      <c r="E6047" s="1">
        <v>4</v>
      </c>
      <c r="F6047" s="522">
        <f t="shared" si="528"/>
        <v>146</v>
      </c>
      <c r="G6047" s="395"/>
      <c r="H6047" s="395"/>
      <c r="J6047" s="42"/>
    </row>
    <row r="6048" spans="1:10" s="393" customFormat="1" x14ac:dyDescent="0.25">
      <c r="A6048" s="402" t="s">
        <v>39</v>
      </c>
      <c r="B6048" s="34">
        <v>44144</v>
      </c>
      <c r="C6048" s="1">
        <v>173</v>
      </c>
      <c r="D6048" s="39">
        <f t="shared" si="529"/>
        <v>13309</v>
      </c>
      <c r="E6048" s="1">
        <v>2</v>
      </c>
      <c r="F6048" s="522">
        <f t="shared" si="528"/>
        <v>168</v>
      </c>
      <c r="G6048" s="395"/>
      <c r="H6048" s="395"/>
      <c r="J6048" s="42"/>
    </row>
    <row r="6049" spans="1:10" s="393" customFormat="1" ht="15.75" thickBot="1" x14ac:dyDescent="0.3">
      <c r="A6049" s="403" t="s">
        <v>40</v>
      </c>
      <c r="B6049" s="34">
        <v>44144</v>
      </c>
      <c r="C6049" s="1">
        <v>641</v>
      </c>
      <c r="D6049" s="67">
        <f>C6049+D6025</f>
        <v>55368</v>
      </c>
      <c r="E6049" s="1">
        <v>33</v>
      </c>
      <c r="F6049" s="632">
        <f t="shared" si="528"/>
        <v>919</v>
      </c>
      <c r="G6049" s="395"/>
      <c r="H6049" s="395"/>
      <c r="J6049" s="42"/>
    </row>
    <row r="6050" spans="1:10" s="393" customFormat="1" x14ac:dyDescent="0.25">
      <c r="A6050" s="397" t="s">
        <v>16</v>
      </c>
      <c r="B6050" s="34">
        <v>44145</v>
      </c>
      <c r="C6050" s="1">
        <v>3428</v>
      </c>
      <c r="D6050" s="175">
        <f t="shared" ref="D6050:D6113" si="530">C6050+D6026</f>
        <v>576316</v>
      </c>
      <c r="E6050" s="1">
        <v>81</v>
      </c>
      <c r="F6050" s="630">
        <f t="shared" si="528"/>
        <v>18848</v>
      </c>
      <c r="G6050" s="395"/>
      <c r="H6050" s="395"/>
      <c r="J6050" s="42"/>
    </row>
    <row r="6051" spans="1:10" s="393" customFormat="1" x14ac:dyDescent="0.25">
      <c r="A6051" s="402" t="s">
        <v>43</v>
      </c>
      <c r="B6051" s="34">
        <v>44145</v>
      </c>
      <c r="C6051" s="1">
        <v>560</v>
      </c>
      <c r="D6051" s="39">
        <f t="shared" si="530"/>
        <v>151537</v>
      </c>
      <c r="E6051" s="1">
        <v>16</v>
      </c>
      <c r="F6051" s="522">
        <f t="shared" si="528"/>
        <v>5012</v>
      </c>
      <c r="G6051" s="395"/>
      <c r="H6051" s="395"/>
      <c r="J6051" s="42"/>
    </row>
    <row r="6052" spans="1:10" s="393" customFormat="1" x14ac:dyDescent="0.25">
      <c r="A6052" s="402" t="s">
        <v>28</v>
      </c>
      <c r="B6052" s="34">
        <v>44145</v>
      </c>
      <c r="C6052" s="1">
        <v>27</v>
      </c>
      <c r="D6052" s="39">
        <f t="shared" si="530"/>
        <v>1251</v>
      </c>
      <c r="E6052" s="1"/>
      <c r="F6052" s="522">
        <f t="shared" si="528"/>
        <v>2</v>
      </c>
      <c r="G6052" s="395"/>
      <c r="H6052" s="395"/>
      <c r="J6052" s="42"/>
    </row>
    <row r="6053" spans="1:10" s="393" customFormat="1" x14ac:dyDescent="0.25">
      <c r="A6053" s="402" t="s">
        <v>15</v>
      </c>
      <c r="B6053" s="34">
        <v>44145</v>
      </c>
      <c r="C6053" s="1">
        <v>144</v>
      </c>
      <c r="D6053" s="39">
        <f t="shared" si="530"/>
        <v>15307</v>
      </c>
      <c r="E6053" s="1">
        <v>6</v>
      </c>
      <c r="F6053" s="522">
        <f t="shared" si="528"/>
        <v>475</v>
      </c>
      <c r="G6053" s="395"/>
      <c r="H6053" s="395"/>
      <c r="J6053" s="42"/>
    </row>
    <row r="6054" spans="1:10" s="393" customFormat="1" x14ac:dyDescent="0.25">
      <c r="A6054" s="402" t="s">
        <v>29</v>
      </c>
      <c r="B6054" s="34">
        <v>44145</v>
      </c>
      <c r="C6054" s="1">
        <v>511</v>
      </c>
      <c r="D6054" s="39">
        <f t="shared" si="530"/>
        <v>17694</v>
      </c>
      <c r="E6054" s="1">
        <v>13</v>
      </c>
      <c r="F6054" s="522">
        <f t="shared" si="528"/>
        <v>290</v>
      </c>
      <c r="G6054" s="395"/>
      <c r="H6054" s="395"/>
      <c r="J6054" s="42"/>
    </row>
    <row r="6055" spans="1:10" s="393" customFormat="1" x14ac:dyDescent="0.25">
      <c r="A6055" s="402" t="s">
        <v>20</v>
      </c>
      <c r="B6055" s="34">
        <v>44145</v>
      </c>
      <c r="C6055" s="1">
        <v>1622</v>
      </c>
      <c r="D6055" s="39">
        <f t="shared" si="530"/>
        <v>96067</v>
      </c>
      <c r="E6055" s="1">
        <v>27</v>
      </c>
      <c r="F6055" s="522">
        <f t="shared" si="528"/>
        <v>1529</v>
      </c>
      <c r="G6055" s="395"/>
      <c r="H6055" s="395"/>
      <c r="J6055" s="42"/>
    </row>
    <row r="6056" spans="1:10" s="393" customFormat="1" x14ac:dyDescent="0.25">
      <c r="A6056" s="402" t="s">
        <v>30</v>
      </c>
      <c r="B6056" s="34">
        <v>44145</v>
      </c>
      <c r="C6056" s="1">
        <v>62</v>
      </c>
      <c r="D6056" s="39">
        <f t="shared" si="530"/>
        <v>3109</v>
      </c>
      <c r="E6056" s="1">
        <v>2</v>
      </c>
      <c r="F6056" s="522">
        <f t="shared" si="528"/>
        <v>63</v>
      </c>
      <c r="G6056" s="395"/>
      <c r="H6056" s="395"/>
      <c r="J6056" s="42"/>
    </row>
    <row r="6057" spans="1:10" x14ac:dyDescent="0.25">
      <c r="A6057" s="402" t="s">
        <v>31</v>
      </c>
      <c r="B6057" s="34">
        <v>44145</v>
      </c>
      <c r="C6057" s="1">
        <v>338</v>
      </c>
      <c r="D6057" s="39">
        <f t="shared" si="530"/>
        <v>18598</v>
      </c>
      <c r="E6057" s="1">
        <v>9</v>
      </c>
      <c r="F6057" s="522">
        <f t="shared" si="528"/>
        <v>345</v>
      </c>
    </row>
    <row r="6058" spans="1:10" s="393" customFormat="1" x14ac:dyDescent="0.25">
      <c r="A6058" s="402" t="s">
        <v>41</v>
      </c>
      <c r="B6058" s="34">
        <v>44145</v>
      </c>
      <c r="C6058" s="1">
        <v>2</v>
      </c>
      <c r="D6058" s="39">
        <f t="shared" si="530"/>
        <v>163</v>
      </c>
      <c r="E6058" s="1"/>
      <c r="F6058" s="522">
        <f t="shared" si="528"/>
        <v>3</v>
      </c>
      <c r="G6058" s="395"/>
      <c r="H6058" s="395"/>
      <c r="J6058" s="42"/>
    </row>
    <row r="6059" spans="1:10" s="393" customFormat="1" x14ac:dyDescent="0.25">
      <c r="A6059" s="402" t="s">
        <v>32</v>
      </c>
      <c r="B6059" s="34">
        <v>44145</v>
      </c>
      <c r="C6059" s="1">
        <v>24</v>
      </c>
      <c r="D6059" s="39">
        <f t="shared" si="530"/>
        <v>18065</v>
      </c>
      <c r="E6059" s="1">
        <v>7</v>
      </c>
      <c r="F6059" s="522">
        <f t="shared" ref="F6059:F6122" si="531">E6059+F6035</f>
        <v>832</v>
      </c>
      <c r="G6059" s="395"/>
      <c r="H6059" s="395"/>
      <c r="J6059" s="42"/>
    </row>
    <row r="6060" spans="1:10" s="393" customFormat="1" x14ac:dyDescent="0.25">
      <c r="A6060" s="402" t="s">
        <v>33</v>
      </c>
      <c r="B6060" s="34">
        <v>44145</v>
      </c>
      <c r="C6060" s="1">
        <v>96</v>
      </c>
      <c r="D6060" s="39">
        <f t="shared" si="530"/>
        <v>4288</v>
      </c>
      <c r="E6060" s="1">
        <v>1</v>
      </c>
      <c r="F6060" s="522">
        <f t="shared" si="531"/>
        <v>42</v>
      </c>
      <c r="G6060" s="395"/>
      <c r="H6060" s="395"/>
      <c r="J6060" s="42"/>
    </row>
    <row r="6061" spans="1:10" s="393" customFormat="1" x14ac:dyDescent="0.25">
      <c r="A6061" s="402" t="s">
        <v>21</v>
      </c>
      <c r="B6061" s="34">
        <v>44145</v>
      </c>
      <c r="C6061" s="1">
        <v>48</v>
      </c>
      <c r="D6061" s="39">
        <f t="shared" si="530"/>
        <v>7918</v>
      </c>
      <c r="E6061" s="1"/>
      <c r="F6061" s="522">
        <f t="shared" si="531"/>
        <v>292</v>
      </c>
      <c r="G6061" s="395"/>
      <c r="H6061" s="395"/>
      <c r="J6061" s="42"/>
    </row>
    <row r="6062" spans="1:10" s="393" customFormat="1" x14ac:dyDescent="0.25">
      <c r="A6062" s="402" t="s">
        <v>17</v>
      </c>
      <c r="B6062" s="34">
        <v>44145</v>
      </c>
      <c r="C6062" s="1">
        <v>520</v>
      </c>
      <c r="D6062" s="39">
        <f t="shared" si="530"/>
        <v>51420</v>
      </c>
      <c r="E6062" s="1">
        <v>16</v>
      </c>
      <c r="F6062" s="522">
        <f t="shared" si="531"/>
        <v>951</v>
      </c>
      <c r="G6062" s="395"/>
      <c r="H6062" s="395"/>
      <c r="J6062" s="42"/>
    </row>
    <row r="6063" spans="1:10" s="393" customFormat="1" x14ac:dyDescent="0.25">
      <c r="A6063" s="402" t="s">
        <v>23</v>
      </c>
      <c r="B6063" s="34">
        <v>44145</v>
      </c>
      <c r="C6063" s="1">
        <v>21</v>
      </c>
      <c r="D6063" s="39">
        <f t="shared" si="530"/>
        <v>361</v>
      </c>
      <c r="E6063" s="1"/>
      <c r="F6063" s="522">
        <f t="shared" si="531"/>
        <v>7</v>
      </c>
      <c r="G6063" s="395"/>
      <c r="H6063" s="395"/>
      <c r="J6063" s="42"/>
    </row>
    <row r="6064" spans="1:10" s="393" customFormat="1" x14ac:dyDescent="0.25">
      <c r="A6064" s="402" t="s">
        <v>19</v>
      </c>
      <c r="B6064" s="34">
        <v>44145</v>
      </c>
      <c r="C6064" s="1">
        <v>351</v>
      </c>
      <c r="D6064" s="39">
        <f t="shared" si="530"/>
        <v>25754</v>
      </c>
      <c r="E6064" s="1">
        <v>1</v>
      </c>
      <c r="F6064" s="522">
        <f t="shared" si="531"/>
        <v>424</v>
      </c>
      <c r="G6064" s="395"/>
      <c r="H6064" s="395"/>
      <c r="J6064" s="42"/>
    </row>
    <row r="6065" spans="1:10" s="393" customFormat="1" x14ac:dyDescent="0.25">
      <c r="A6065" s="402" t="s">
        <v>18</v>
      </c>
      <c r="B6065" s="34">
        <v>44145</v>
      </c>
      <c r="C6065" s="1">
        <v>539</v>
      </c>
      <c r="D6065" s="39">
        <f t="shared" si="530"/>
        <v>27124</v>
      </c>
      <c r="E6065" s="1">
        <v>11</v>
      </c>
      <c r="F6065" s="522">
        <f t="shared" si="531"/>
        <v>682</v>
      </c>
      <c r="G6065" s="395"/>
      <c r="H6065" s="395"/>
      <c r="J6065" s="42"/>
    </row>
    <row r="6066" spans="1:10" s="393" customFormat="1" x14ac:dyDescent="0.25">
      <c r="A6066" s="402" t="s">
        <v>34</v>
      </c>
      <c r="B6066" s="34">
        <v>44145</v>
      </c>
      <c r="C6066" s="1">
        <v>89</v>
      </c>
      <c r="D6066" s="39">
        <f t="shared" si="530"/>
        <v>19700</v>
      </c>
      <c r="E6066" s="1">
        <v>5</v>
      </c>
      <c r="F6066" s="522">
        <f t="shared" si="531"/>
        <v>903</v>
      </c>
      <c r="G6066" s="395"/>
      <c r="H6066" s="395"/>
      <c r="J6066" s="42"/>
    </row>
    <row r="6067" spans="1:10" s="393" customFormat="1" x14ac:dyDescent="0.25">
      <c r="A6067" s="402" t="s">
        <v>35</v>
      </c>
      <c r="B6067" s="34">
        <v>44145</v>
      </c>
      <c r="C6067" s="1">
        <v>142</v>
      </c>
      <c r="D6067" s="39">
        <f t="shared" si="530"/>
        <v>3959</v>
      </c>
      <c r="E6067" s="1"/>
      <c r="F6067" s="522">
        <f t="shared" si="531"/>
        <v>123</v>
      </c>
      <c r="G6067" s="395"/>
      <c r="H6067" s="395"/>
      <c r="J6067" s="42"/>
    </row>
    <row r="6068" spans="1:10" s="393" customFormat="1" x14ac:dyDescent="0.25">
      <c r="A6068" s="402" t="s">
        <v>36</v>
      </c>
      <c r="B6068" s="34">
        <v>44145</v>
      </c>
      <c r="C6068" s="1">
        <v>452</v>
      </c>
      <c r="D6068" s="39">
        <f t="shared" si="530"/>
        <v>9821</v>
      </c>
      <c r="E6068" s="1">
        <v>2</v>
      </c>
      <c r="F6068" s="522">
        <f t="shared" si="531"/>
        <v>134</v>
      </c>
      <c r="G6068" s="395"/>
      <c r="H6068" s="395"/>
      <c r="J6068" s="42"/>
    </row>
    <row r="6069" spans="1:10" s="393" customFormat="1" x14ac:dyDescent="0.25">
      <c r="A6069" s="402" t="s">
        <v>37</v>
      </c>
      <c r="B6069" s="34">
        <v>44145</v>
      </c>
      <c r="C6069" s="1">
        <v>257</v>
      </c>
      <c r="D6069" s="39">
        <f t="shared" si="530"/>
        <v>11479</v>
      </c>
      <c r="E6069" s="1">
        <v>5</v>
      </c>
      <c r="F6069" s="522">
        <f t="shared" si="531"/>
        <v>180</v>
      </c>
      <c r="G6069" s="395"/>
      <c r="H6069" s="395"/>
      <c r="J6069" s="42"/>
    </row>
    <row r="6070" spans="1:10" s="393" customFormat="1" x14ac:dyDescent="0.25">
      <c r="A6070" s="402" t="s">
        <v>22</v>
      </c>
      <c r="B6070" s="34">
        <v>44145</v>
      </c>
      <c r="C6070" s="1">
        <v>1691</v>
      </c>
      <c r="D6070" s="39">
        <f t="shared" si="530"/>
        <v>121284</v>
      </c>
      <c r="E6070" s="1">
        <v>44</v>
      </c>
      <c r="F6070" s="522">
        <f t="shared" si="531"/>
        <v>1769</v>
      </c>
      <c r="G6070" s="395"/>
      <c r="H6070" s="395"/>
      <c r="J6070" s="42"/>
    </row>
    <row r="6071" spans="1:10" s="393" customFormat="1" x14ac:dyDescent="0.25">
      <c r="A6071" s="402" t="s">
        <v>38</v>
      </c>
      <c r="B6071" s="34">
        <v>44145</v>
      </c>
      <c r="C6071" s="1">
        <v>129</v>
      </c>
      <c r="D6071" s="39">
        <f t="shared" si="530"/>
        <v>11660</v>
      </c>
      <c r="E6071" s="1">
        <v>5</v>
      </c>
      <c r="F6071" s="522">
        <f t="shared" si="531"/>
        <v>151</v>
      </c>
      <c r="G6071" s="395"/>
      <c r="H6071" s="395"/>
      <c r="J6071" s="42"/>
    </row>
    <row r="6072" spans="1:10" s="393" customFormat="1" x14ac:dyDescent="0.25">
      <c r="A6072" s="402" t="s">
        <v>39</v>
      </c>
      <c r="B6072" s="34">
        <v>44145</v>
      </c>
      <c r="C6072" s="1">
        <v>235</v>
      </c>
      <c r="D6072" s="39">
        <f t="shared" si="530"/>
        <v>13544</v>
      </c>
      <c r="E6072" s="1">
        <v>1</v>
      </c>
      <c r="F6072" s="522">
        <f t="shared" si="531"/>
        <v>169</v>
      </c>
      <c r="G6072" s="395"/>
      <c r="H6072" s="395"/>
      <c r="J6072" s="42"/>
    </row>
    <row r="6073" spans="1:10" s="393" customFormat="1" ht="15.75" thickBot="1" x14ac:dyDescent="0.3">
      <c r="A6073" s="403" t="s">
        <v>40</v>
      </c>
      <c r="B6073" s="34">
        <v>44145</v>
      </c>
      <c r="C6073" s="1">
        <v>689</v>
      </c>
      <c r="D6073" s="67">
        <f>C6073+D6049</f>
        <v>56057</v>
      </c>
      <c r="E6073" s="1">
        <v>27</v>
      </c>
      <c r="F6073" s="632">
        <f t="shared" si="531"/>
        <v>946</v>
      </c>
      <c r="G6073" s="395"/>
      <c r="H6073" s="395"/>
      <c r="J6073" s="42"/>
    </row>
    <row r="6074" spans="1:10" s="393" customFormat="1" x14ac:dyDescent="0.25">
      <c r="A6074" s="397" t="s">
        <v>16</v>
      </c>
      <c r="B6074" s="34">
        <v>44146</v>
      </c>
      <c r="C6074" s="1">
        <v>3040</v>
      </c>
      <c r="D6074" s="175">
        <f t="shared" si="530"/>
        <v>579356</v>
      </c>
      <c r="E6074" s="1">
        <v>128</v>
      </c>
      <c r="F6074" s="630">
        <f t="shared" si="531"/>
        <v>18976</v>
      </c>
      <c r="G6074" s="395"/>
      <c r="H6074" s="395"/>
      <c r="J6074" s="42"/>
    </row>
    <row r="6075" spans="1:10" s="393" customFormat="1" x14ac:dyDescent="0.25">
      <c r="A6075" s="402" t="s">
        <v>43</v>
      </c>
      <c r="B6075" s="34">
        <v>44146</v>
      </c>
      <c r="C6075" s="1">
        <v>549</v>
      </c>
      <c r="D6075" s="39">
        <f t="shared" si="530"/>
        <v>152086</v>
      </c>
      <c r="E6075" s="1">
        <v>10</v>
      </c>
      <c r="F6075" s="522">
        <f t="shared" si="531"/>
        <v>5022</v>
      </c>
      <c r="G6075" s="395"/>
      <c r="H6075" s="395"/>
      <c r="J6075" s="42"/>
    </row>
    <row r="6076" spans="1:10" s="393" customFormat="1" x14ac:dyDescent="0.25">
      <c r="A6076" s="402" t="s">
        <v>28</v>
      </c>
      <c r="B6076" s="34">
        <v>44146</v>
      </c>
      <c r="C6076" s="1">
        <v>51</v>
      </c>
      <c r="D6076" s="39">
        <f t="shared" si="530"/>
        <v>1302</v>
      </c>
      <c r="E6076" s="1"/>
      <c r="F6076" s="522">
        <f t="shared" si="531"/>
        <v>2</v>
      </c>
      <c r="G6076" s="395"/>
      <c r="H6076" s="395"/>
      <c r="J6076" s="42"/>
    </row>
    <row r="6077" spans="1:10" s="393" customFormat="1" x14ac:dyDescent="0.25">
      <c r="A6077" s="402" t="s">
        <v>15</v>
      </c>
      <c r="B6077" s="34">
        <v>44146</v>
      </c>
      <c r="C6077" s="1">
        <v>205</v>
      </c>
      <c r="D6077" s="39">
        <f t="shared" si="530"/>
        <v>15512</v>
      </c>
      <c r="E6077" s="1">
        <v>2</v>
      </c>
      <c r="F6077" s="522">
        <f t="shared" si="531"/>
        <v>477</v>
      </c>
      <c r="G6077" s="395"/>
      <c r="H6077" s="395"/>
      <c r="J6077" s="42"/>
    </row>
    <row r="6078" spans="1:10" s="393" customFormat="1" x14ac:dyDescent="0.25">
      <c r="A6078" s="402" t="s">
        <v>29</v>
      </c>
      <c r="B6078" s="34">
        <v>44146</v>
      </c>
      <c r="C6078" s="1">
        <v>354</v>
      </c>
      <c r="D6078" s="39">
        <f t="shared" si="530"/>
        <v>18048</v>
      </c>
      <c r="E6078" s="1">
        <v>7</v>
      </c>
      <c r="F6078" s="522">
        <f t="shared" si="531"/>
        <v>297</v>
      </c>
      <c r="G6078" s="395"/>
      <c r="H6078" s="395"/>
      <c r="J6078" s="42"/>
    </row>
    <row r="6079" spans="1:10" s="393" customFormat="1" x14ac:dyDescent="0.25">
      <c r="A6079" s="402" t="s">
        <v>20</v>
      </c>
      <c r="B6079" s="34">
        <v>44146</v>
      </c>
      <c r="C6079" s="1">
        <v>1361</v>
      </c>
      <c r="D6079" s="39">
        <f t="shared" si="530"/>
        <v>97428</v>
      </c>
      <c r="E6079" s="1">
        <v>28</v>
      </c>
      <c r="F6079" s="522">
        <f t="shared" si="531"/>
        <v>1557</v>
      </c>
      <c r="G6079" s="395"/>
      <c r="H6079" s="395"/>
      <c r="J6079" s="42"/>
    </row>
    <row r="6080" spans="1:10" s="393" customFormat="1" x14ac:dyDescent="0.25">
      <c r="A6080" s="402" t="s">
        <v>30</v>
      </c>
      <c r="B6080" s="34">
        <v>44146</v>
      </c>
      <c r="C6080" s="1">
        <v>135</v>
      </c>
      <c r="D6080" s="39">
        <f t="shared" si="530"/>
        <v>3244</v>
      </c>
      <c r="E6080" s="1"/>
      <c r="F6080" s="522">
        <f t="shared" si="531"/>
        <v>63</v>
      </c>
      <c r="G6080" s="395"/>
      <c r="H6080" s="395"/>
      <c r="J6080" s="42"/>
    </row>
    <row r="6081" spans="1:10" x14ac:dyDescent="0.25">
      <c r="A6081" s="402" t="s">
        <v>31</v>
      </c>
      <c r="B6081" s="34">
        <v>44146</v>
      </c>
      <c r="C6081" s="1">
        <v>357</v>
      </c>
      <c r="D6081" s="39">
        <f t="shared" si="530"/>
        <v>18955</v>
      </c>
      <c r="E6081" s="1">
        <v>4</v>
      </c>
      <c r="F6081" s="522">
        <f t="shared" si="531"/>
        <v>349</v>
      </c>
    </row>
    <row r="6082" spans="1:10" s="393" customFormat="1" x14ac:dyDescent="0.25">
      <c r="A6082" s="402" t="s">
        <v>41</v>
      </c>
      <c r="B6082" s="34">
        <v>44146</v>
      </c>
      <c r="C6082" s="1">
        <v>2</v>
      </c>
      <c r="D6082" s="39">
        <f t="shared" si="530"/>
        <v>165</v>
      </c>
      <c r="E6082" s="1"/>
      <c r="F6082" s="522">
        <f t="shared" si="531"/>
        <v>3</v>
      </c>
      <c r="G6082" s="395"/>
      <c r="H6082" s="395"/>
      <c r="J6082" s="42"/>
    </row>
    <row r="6083" spans="1:10" s="393" customFormat="1" x14ac:dyDescent="0.25">
      <c r="A6083" s="402" t="s">
        <v>32</v>
      </c>
      <c r="B6083" s="34">
        <v>44146</v>
      </c>
      <c r="C6083" s="1">
        <v>10</v>
      </c>
      <c r="D6083" s="39">
        <f t="shared" si="530"/>
        <v>18075</v>
      </c>
      <c r="E6083" s="1"/>
      <c r="F6083" s="522">
        <f t="shared" si="531"/>
        <v>832</v>
      </c>
      <c r="G6083" s="395"/>
      <c r="H6083" s="395"/>
      <c r="J6083" s="42"/>
    </row>
    <row r="6084" spans="1:10" s="393" customFormat="1" x14ac:dyDescent="0.25">
      <c r="A6084" s="402" t="s">
        <v>33</v>
      </c>
      <c r="B6084" s="34">
        <v>44146</v>
      </c>
      <c r="C6084" s="1">
        <v>92</v>
      </c>
      <c r="D6084" s="39">
        <f t="shared" si="530"/>
        <v>4380</v>
      </c>
      <c r="E6084" s="1">
        <v>4</v>
      </c>
      <c r="F6084" s="522">
        <f t="shared" si="531"/>
        <v>46</v>
      </c>
      <c r="G6084" s="395"/>
      <c r="H6084" s="395"/>
      <c r="J6084" s="42"/>
    </row>
    <row r="6085" spans="1:10" s="393" customFormat="1" x14ac:dyDescent="0.25">
      <c r="A6085" s="402" t="s">
        <v>21</v>
      </c>
      <c r="B6085" s="34">
        <v>44146</v>
      </c>
      <c r="C6085" s="1">
        <v>41</v>
      </c>
      <c r="D6085" s="39">
        <f t="shared" si="530"/>
        <v>7959</v>
      </c>
      <c r="E6085" s="1"/>
      <c r="F6085" s="522">
        <f t="shared" si="531"/>
        <v>292</v>
      </c>
      <c r="G6085" s="395"/>
      <c r="H6085" s="395"/>
      <c r="J6085" s="42"/>
    </row>
    <row r="6086" spans="1:10" s="393" customFormat="1" x14ac:dyDescent="0.25">
      <c r="A6086" s="402" t="s">
        <v>17</v>
      </c>
      <c r="B6086" s="34">
        <v>44146</v>
      </c>
      <c r="C6086" s="1">
        <v>474</v>
      </c>
      <c r="D6086" s="39">
        <f t="shared" si="530"/>
        <v>51894</v>
      </c>
      <c r="E6086" s="1">
        <v>41</v>
      </c>
      <c r="F6086" s="522">
        <f t="shared" si="531"/>
        <v>992</v>
      </c>
      <c r="G6086" s="395"/>
      <c r="H6086" s="395"/>
      <c r="J6086" s="42"/>
    </row>
    <row r="6087" spans="1:10" s="393" customFormat="1" x14ac:dyDescent="0.25">
      <c r="A6087" s="402" t="s">
        <v>23</v>
      </c>
      <c r="B6087" s="34">
        <v>44146</v>
      </c>
      <c r="C6087" s="1">
        <v>-2</v>
      </c>
      <c r="D6087" s="39">
        <f t="shared" si="530"/>
        <v>359</v>
      </c>
      <c r="E6087" s="1"/>
      <c r="F6087" s="522">
        <f t="shared" si="531"/>
        <v>7</v>
      </c>
      <c r="G6087" s="395"/>
      <c r="H6087" s="395"/>
      <c r="J6087" s="42"/>
    </row>
    <row r="6088" spans="1:10" s="393" customFormat="1" x14ac:dyDescent="0.25">
      <c r="A6088" s="402" t="s">
        <v>19</v>
      </c>
      <c r="B6088" s="34">
        <v>44146</v>
      </c>
      <c r="C6088" s="1">
        <v>129</v>
      </c>
      <c r="D6088" s="39">
        <f t="shared" si="530"/>
        <v>25883</v>
      </c>
      <c r="E6088" s="1">
        <v>42</v>
      </c>
      <c r="F6088" s="522">
        <f t="shared" si="531"/>
        <v>466</v>
      </c>
      <c r="G6088" s="395"/>
      <c r="H6088" s="395"/>
      <c r="J6088" s="42"/>
    </row>
    <row r="6089" spans="1:10" s="393" customFormat="1" x14ac:dyDescent="0.25">
      <c r="A6089" s="402" t="s">
        <v>18</v>
      </c>
      <c r="B6089" s="34">
        <v>44146</v>
      </c>
      <c r="C6089" s="1">
        <v>207</v>
      </c>
      <c r="D6089" s="39">
        <f t="shared" si="530"/>
        <v>27331</v>
      </c>
      <c r="E6089" s="1">
        <v>6</v>
      </c>
      <c r="F6089" s="522">
        <f t="shared" si="531"/>
        <v>688</v>
      </c>
      <c r="G6089" s="395"/>
      <c r="H6089" s="395"/>
      <c r="J6089" s="42"/>
    </row>
    <row r="6090" spans="1:10" s="393" customFormat="1" x14ac:dyDescent="0.25">
      <c r="A6090" s="402" t="s">
        <v>34</v>
      </c>
      <c r="B6090" s="34">
        <v>44146</v>
      </c>
      <c r="C6090" s="1">
        <v>93</v>
      </c>
      <c r="D6090" s="39">
        <f t="shared" si="530"/>
        <v>19793</v>
      </c>
      <c r="E6090" s="1">
        <v>7</v>
      </c>
      <c r="F6090" s="522">
        <f t="shared" si="531"/>
        <v>910</v>
      </c>
      <c r="G6090" s="395"/>
      <c r="H6090" s="395"/>
      <c r="J6090" s="42"/>
    </row>
    <row r="6091" spans="1:10" s="393" customFormat="1" x14ac:dyDescent="0.25">
      <c r="A6091" s="402" t="s">
        <v>35</v>
      </c>
      <c r="B6091" s="34">
        <v>44146</v>
      </c>
      <c r="C6091" s="1">
        <v>157</v>
      </c>
      <c r="D6091" s="39">
        <f t="shared" si="530"/>
        <v>4116</v>
      </c>
      <c r="E6091" s="1"/>
      <c r="F6091" s="522">
        <f t="shared" si="531"/>
        <v>123</v>
      </c>
      <c r="G6091" s="395"/>
      <c r="H6091" s="395"/>
      <c r="J6091" s="42"/>
    </row>
    <row r="6092" spans="1:10" s="393" customFormat="1" x14ac:dyDescent="0.25">
      <c r="A6092" s="402" t="s">
        <v>36</v>
      </c>
      <c r="B6092" s="34">
        <v>44146</v>
      </c>
      <c r="C6092" s="1">
        <v>363</v>
      </c>
      <c r="D6092" s="39">
        <f t="shared" si="530"/>
        <v>10184</v>
      </c>
      <c r="E6092" s="1">
        <v>5</v>
      </c>
      <c r="F6092" s="522">
        <f t="shared" si="531"/>
        <v>139</v>
      </c>
      <c r="G6092" s="395"/>
      <c r="H6092" s="395"/>
      <c r="J6092" s="42"/>
    </row>
    <row r="6093" spans="1:10" s="393" customFormat="1" x14ac:dyDescent="0.25">
      <c r="A6093" s="402" t="s">
        <v>37</v>
      </c>
      <c r="B6093" s="34">
        <v>44146</v>
      </c>
      <c r="C6093" s="1">
        <v>305</v>
      </c>
      <c r="D6093" s="39">
        <f t="shared" si="530"/>
        <v>11784</v>
      </c>
      <c r="E6093" s="1">
        <v>2</v>
      </c>
      <c r="F6093" s="522">
        <f t="shared" si="531"/>
        <v>182</v>
      </c>
      <c r="G6093" s="395"/>
      <c r="H6093" s="395"/>
      <c r="J6093" s="42"/>
    </row>
    <row r="6094" spans="1:10" s="393" customFormat="1" x14ac:dyDescent="0.25">
      <c r="A6094" s="402" t="s">
        <v>22</v>
      </c>
      <c r="B6094" s="34">
        <v>44146</v>
      </c>
      <c r="C6094" s="1">
        <v>1545</v>
      </c>
      <c r="D6094" s="39">
        <f t="shared" si="530"/>
        <v>122829</v>
      </c>
      <c r="E6094" s="1">
        <v>47</v>
      </c>
      <c r="F6094" s="522">
        <f t="shared" si="531"/>
        <v>1816</v>
      </c>
      <c r="G6094" s="395"/>
      <c r="H6094" s="395"/>
      <c r="J6094" s="42"/>
    </row>
    <row r="6095" spans="1:10" s="393" customFormat="1" x14ac:dyDescent="0.25">
      <c r="A6095" s="402" t="s">
        <v>38</v>
      </c>
      <c r="B6095" s="34">
        <v>44146</v>
      </c>
      <c r="C6095" s="1">
        <v>252</v>
      </c>
      <c r="D6095" s="39">
        <f t="shared" si="530"/>
        <v>11912</v>
      </c>
      <c r="E6095" s="1"/>
      <c r="F6095" s="522">
        <f t="shared" si="531"/>
        <v>151</v>
      </c>
      <c r="G6095" s="395"/>
      <c r="H6095" s="395"/>
      <c r="J6095" s="42"/>
    </row>
    <row r="6096" spans="1:10" s="393" customFormat="1" x14ac:dyDescent="0.25">
      <c r="A6096" s="402" t="s">
        <v>39</v>
      </c>
      <c r="B6096" s="34">
        <v>44146</v>
      </c>
      <c r="C6096" s="1">
        <v>123</v>
      </c>
      <c r="D6096" s="39">
        <f t="shared" si="530"/>
        <v>13667</v>
      </c>
      <c r="E6096" s="1">
        <v>3</v>
      </c>
      <c r="F6096" s="522">
        <f t="shared" si="531"/>
        <v>172</v>
      </c>
      <c r="G6096" s="395"/>
      <c r="H6096" s="395"/>
      <c r="J6096" s="42"/>
    </row>
    <row r="6097" spans="1:10" s="393" customFormat="1" ht="15.75" thickBot="1" x14ac:dyDescent="0.3">
      <c r="A6097" s="403" t="s">
        <v>40</v>
      </c>
      <c r="B6097" s="34">
        <v>44146</v>
      </c>
      <c r="C6097" s="1">
        <v>1037</v>
      </c>
      <c r="D6097" s="67">
        <f>C6097+D6073</f>
        <v>57094</v>
      </c>
      <c r="E6097" s="1">
        <v>12</v>
      </c>
      <c r="F6097" s="632">
        <f t="shared" si="531"/>
        <v>958</v>
      </c>
      <c r="G6097" s="395"/>
      <c r="H6097" s="395"/>
      <c r="J6097" s="42"/>
    </row>
    <row r="6098" spans="1:10" s="393" customFormat="1" x14ac:dyDescent="0.25">
      <c r="A6098" s="397" t="s">
        <v>16</v>
      </c>
      <c r="B6098" s="34">
        <v>44147</v>
      </c>
      <c r="C6098" s="1">
        <v>3391</v>
      </c>
      <c r="D6098" s="175">
        <f t="shared" si="530"/>
        <v>582747</v>
      </c>
      <c r="E6098" s="1">
        <v>67</v>
      </c>
      <c r="F6098" s="630">
        <f t="shared" si="531"/>
        <v>19043</v>
      </c>
      <c r="G6098" s="395"/>
      <c r="H6098" s="395"/>
      <c r="J6098" s="42"/>
    </row>
    <row r="6099" spans="1:10" s="393" customFormat="1" x14ac:dyDescent="0.25">
      <c r="A6099" s="402" t="s">
        <v>43</v>
      </c>
      <c r="B6099" s="34">
        <v>44147</v>
      </c>
      <c r="C6099" s="1">
        <v>499</v>
      </c>
      <c r="D6099" s="39">
        <f t="shared" si="530"/>
        <v>152585</v>
      </c>
      <c r="E6099" s="1">
        <v>19</v>
      </c>
      <c r="F6099" s="522">
        <f t="shared" si="531"/>
        <v>5041</v>
      </c>
      <c r="G6099" s="395"/>
      <c r="H6099" s="395"/>
      <c r="J6099" s="42"/>
    </row>
    <row r="6100" spans="1:10" s="393" customFormat="1" x14ac:dyDescent="0.25">
      <c r="A6100" s="402" t="s">
        <v>28</v>
      </c>
      <c r="B6100" s="34">
        <v>44147</v>
      </c>
      <c r="C6100" s="1">
        <v>26</v>
      </c>
      <c r="D6100" s="39">
        <f t="shared" si="530"/>
        <v>1328</v>
      </c>
      <c r="E6100" s="1">
        <v>2</v>
      </c>
      <c r="F6100" s="522">
        <f t="shared" si="531"/>
        <v>4</v>
      </c>
      <c r="G6100" s="395"/>
      <c r="H6100" s="395"/>
      <c r="J6100" s="42"/>
    </row>
    <row r="6101" spans="1:10" s="393" customFormat="1" x14ac:dyDescent="0.25">
      <c r="A6101" s="402" t="s">
        <v>15</v>
      </c>
      <c r="B6101" s="34">
        <v>44147</v>
      </c>
      <c r="C6101" s="1">
        <v>203</v>
      </c>
      <c r="D6101" s="39">
        <f t="shared" si="530"/>
        <v>15715</v>
      </c>
      <c r="E6101" s="1">
        <v>5</v>
      </c>
      <c r="F6101" s="522">
        <f t="shared" si="531"/>
        <v>482</v>
      </c>
      <c r="G6101" s="395"/>
      <c r="H6101" s="395"/>
      <c r="J6101" s="42"/>
    </row>
    <row r="6102" spans="1:10" s="393" customFormat="1" x14ac:dyDescent="0.25">
      <c r="A6102" s="402" t="s">
        <v>29</v>
      </c>
      <c r="B6102" s="34">
        <v>44147</v>
      </c>
      <c r="C6102" s="1">
        <v>342</v>
      </c>
      <c r="D6102" s="39">
        <f t="shared" si="530"/>
        <v>18390</v>
      </c>
      <c r="E6102" s="1">
        <v>13</v>
      </c>
      <c r="F6102" s="522">
        <f t="shared" si="531"/>
        <v>310</v>
      </c>
      <c r="G6102" s="395"/>
      <c r="H6102" s="395"/>
      <c r="J6102" s="42"/>
    </row>
    <row r="6103" spans="1:10" s="393" customFormat="1" x14ac:dyDescent="0.25">
      <c r="A6103" s="402" t="s">
        <v>20</v>
      </c>
      <c r="B6103" s="34">
        <v>44147</v>
      </c>
      <c r="C6103" s="1">
        <v>1432</v>
      </c>
      <c r="D6103" s="39">
        <f t="shared" si="530"/>
        <v>98860</v>
      </c>
      <c r="E6103" s="1">
        <v>26</v>
      </c>
      <c r="F6103" s="522">
        <f t="shared" si="531"/>
        <v>1583</v>
      </c>
      <c r="G6103" s="395"/>
      <c r="H6103" s="395"/>
      <c r="J6103" s="42"/>
    </row>
    <row r="6104" spans="1:10" s="393" customFormat="1" x14ac:dyDescent="0.25">
      <c r="A6104" s="402" t="s">
        <v>30</v>
      </c>
      <c r="B6104" s="34">
        <v>44147</v>
      </c>
      <c r="C6104" s="1">
        <v>171</v>
      </c>
      <c r="D6104" s="39">
        <f t="shared" si="530"/>
        <v>3415</v>
      </c>
      <c r="E6104" s="1">
        <v>2</v>
      </c>
      <c r="F6104" s="522">
        <f t="shared" si="531"/>
        <v>65</v>
      </c>
      <c r="G6104" s="395"/>
      <c r="H6104" s="395"/>
      <c r="J6104" s="42"/>
    </row>
    <row r="6105" spans="1:10" x14ac:dyDescent="0.25">
      <c r="A6105" s="402" t="s">
        <v>31</v>
      </c>
      <c r="B6105" s="34">
        <v>44147</v>
      </c>
      <c r="C6105" s="1">
        <v>308</v>
      </c>
      <c r="D6105" s="39">
        <f t="shared" si="530"/>
        <v>19263</v>
      </c>
      <c r="E6105" s="1">
        <v>9</v>
      </c>
      <c r="F6105" s="522">
        <f t="shared" si="531"/>
        <v>358</v>
      </c>
    </row>
    <row r="6106" spans="1:10" s="393" customFormat="1" x14ac:dyDescent="0.25">
      <c r="A6106" s="402" t="s">
        <v>41</v>
      </c>
      <c r="B6106" s="34">
        <v>44147</v>
      </c>
      <c r="C6106" s="1">
        <v>1</v>
      </c>
      <c r="D6106" s="39">
        <f t="shared" si="530"/>
        <v>166</v>
      </c>
      <c r="E6106" s="1"/>
      <c r="F6106" s="522">
        <f t="shared" si="531"/>
        <v>3</v>
      </c>
      <c r="G6106" s="395"/>
      <c r="H6106" s="395"/>
      <c r="J6106" s="42"/>
    </row>
    <row r="6107" spans="1:10" s="393" customFormat="1" x14ac:dyDescent="0.25">
      <c r="A6107" s="402" t="s">
        <v>32</v>
      </c>
      <c r="B6107" s="34">
        <v>44147</v>
      </c>
      <c r="C6107" s="1">
        <v>20</v>
      </c>
      <c r="D6107" s="39">
        <f t="shared" si="530"/>
        <v>18095</v>
      </c>
      <c r="E6107" s="1">
        <v>4</v>
      </c>
      <c r="F6107" s="522">
        <f t="shared" si="531"/>
        <v>836</v>
      </c>
      <c r="G6107" s="395"/>
      <c r="H6107" s="395"/>
      <c r="J6107" s="42"/>
    </row>
    <row r="6108" spans="1:10" s="393" customFormat="1" x14ac:dyDescent="0.25">
      <c r="A6108" s="402" t="s">
        <v>33</v>
      </c>
      <c r="B6108" s="34">
        <v>44147</v>
      </c>
      <c r="C6108" s="1">
        <v>86</v>
      </c>
      <c r="D6108" s="39">
        <f t="shared" si="530"/>
        <v>4466</v>
      </c>
      <c r="E6108" s="1">
        <v>2</v>
      </c>
      <c r="F6108" s="522">
        <f t="shared" si="531"/>
        <v>48</v>
      </c>
      <c r="G6108" s="395"/>
      <c r="H6108" s="395"/>
      <c r="J6108" s="42"/>
    </row>
    <row r="6109" spans="1:10" s="393" customFormat="1" x14ac:dyDescent="0.25">
      <c r="A6109" s="402" t="s">
        <v>21</v>
      </c>
      <c r="B6109" s="34">
        <v>44147</v>
      </c>
      <c r="C6109" s="1">
        <v>48</v>
      </c>
      <c r="D6109" s="39">
        <f t="shared" si="530"/>
        <v>8007</v>
      </c>
      <c r="E6109" s="1">
        <v>6</v>
      </c>
      <c r="F6109" s="522">
        <f t="shared" si="531"/>
        <v>298</v>
      </c>
      <c r="G6109" s="395"/>
      <c r="H6109" s="395"/>
      <c r="J6109" s="42"/>
    </row>
    <row r="6110" spans="1:10" s="393" customFormat="1" x14ac:dyDescent="0.25">
      <c r="A6110" s="402" t="s">
        <v>17</v>
      </c>
      <c r="B6110" s="34">
        <v>44147</v>
      </c>
      <c r="C6110" s="1">
        <v>380</v>
      </c>
      <c r="D6110" s="39">
        <f t="shared" si="530"/>
        <v>52274</v>
      </c>
      <c r="E6110" s="1">
        <v>7</v>
      </c>
      <c r="F6110" s="522">
        <f t="shared" si="531"/>
        <v>999</v>
      </c>
      <c r="G6110" s="395"/>
      <c r="H6110" s="395"/>
      <c r="J6110" s="42"/>
    </row>
    <row r="6111" spans="1:10" s="393" customFormat="1" x14ac:dyDescent="0.25">
      <c r="A6111" s="402" t="s">
        <v>23</v>
      </c>
      <c r="B6111" s="34">
        <v>44147</v>
      </c>
      <c r="C6111" s="1">
        <v>0</v>
      </c>
      <c r="D6111" s="39">
        <f t="shared" si="530"/>
        <v>359</v>
      </c>
      <c r="E6111" s="1"/>
      <c r="F6111" s="522">
        <f t="shared" si="531"/>
        <v>7</v>
      </c>
      <c r="G6111" s="395"/>
      <c r="H6111" s="395"/>
      <c r="J6111" s="42"/>
    </row>
    <row r="6112" spans="1:10" s="393" customFormat="1" x14ac:dyDescent="0.25">
      <c r="A6112" s="402" t="s">
        <v>19</v>
      </c>
      <c r="B6112" s="34">
        <v>44147</v>
      </c>
      <c r="C6112" s="1">
        <v>355</v>
      </c>
      <c r="D6112" s="39">
        <f t="shared" si="530"/>
        <v>26238</v>
      </c>
      <c r="E6112" s="1">
        <v>17</v>
      </c>
      <c r="F6112" s="522">
        <f t="shared" si="531"/>
        <v>483</v>
      </c>
      <c r="G6112" s="395"/>
      <c r="H6112" s="395"/>
      <c r="J6112" s="42"/>
    </row>
    <row r="6113" spans="1:10" s="393" customFormat="1" x14ac:dyDescent="0.25">
      <c r="A6113" s="402" t="s">
        <v>18</v>
      </c>
      <c r="B6113" s="34">
        <v>44147</v>
      </c>
      <c r="C6113" s="1">
        <v>429</v>
      </c>
      <c r="D6113" s="39">
        <f t="shared" si="530"/>
        <v>27760</v>
      </c>
      <c r="E6113" s="1">
        <v>8</v>
      </c>
      <c r="F6113" s="522">
        <f t="shared" si="531"/>
        <v>696</v>
      </c>
      <c r="G6113" s="395"/>
      <c r="H6113" s="395"/>
      <c r="J6113" s="42"/>
    </row>
    <row r="6114" spans="1:10" s="393" customFormat="1" x14ac:dyDescent="0.25">
      <c r="A6114" s="402" t="s">
        <v>34</v>
      </c>
      <c r="B6114" s="34">
        <v>44147</v>
      </c>
      <c r="C6114" s="1">
        <v>116</v>
      </c>
      <c r="D6114" s="39">
        <f t="shared" ref="D6114:D6120" si="532">C6114+D6090</f>
        <v>19909</v>
      </c>
      <c r="E6114" s="1">
        <v>1</v>
      </c>
      <c r="F6114" s="522">
        <f t="shared" si="531"/>
        <v>911</v>
      </c>
      <c r="G6114" s="395"/>
      <c r="H6114" s="395"/>
      <c r="J6114" s="42"/>
    </row>
    <row r="6115" spans="1:10" s="393" customFormat="1" x14ac:dyDescent="0.25">
      <c r="A6115" s="402" t="s">
        <v>35</v>
      </c>
      <c r="B6115" s="34">
        <v>44147</v>
      </c>
      <c r="C6115" s="1">
        <v>118</v>
      </c>
      <c r="D6115" s="39">
        <f t="shared" si="532"/>
        <v>4234</v>
      </c>
      <c r="E6115" s="1"/>
      <c r="F6115" s="522">
        <f t="shared" si="531"/>
        <v>123</v>
      </c>
      <c r="G6115" s="395"/>
      <c r="H6115" s="395"/>
      <c r="J6115" s="42"/>
    </row>
    <row r="6116" spans="1:10" s="393" customFormat="1" x14ac:dyDescent="0.25">
      <c r="A6116" s="402" t="s">
        <v>36</v>
      </c>
      <c r="B6116" s="34">
        <v>44147</v>
      </c>
      <c r="C6116" s="1">
        <v>346</v>
      </c>
      <c r="D6116" s="39">
        <f t="shared" si="532"/>
        <v>10530</v>
      </c>
      <c r="E6116" s="1">
        <v>6</v>
      </c>
      <c r="F6116" s="522">
        <f t="shared" si="531"/>
        <v>145</v>
      </c>
      <c r="G6116" s="395"/>
      <c r="H6116" s="395"/>
      <c r="J6116" s="42"/>
    </row>
    <row r="6117" spans="1:10" s="393" customFormat="1" x14ac:dyDescent="0.25">
      <c r="A6117" s="402" t="s">
        <v>37</v>
      </c>
      <c r="B6117" s="34">
        <v>44147</v>
      </c>
      <c r="C6117" s="1">
        <v>260</v>
      </c>
      <c r="D6117" s="39">
        <f t="shared" si="532"/>
        <v>12044</v>
      </c>
      <c r="E6117" s="1">
        <v>3</v>
      </c>
      <c r="F6117" s="522">
        <f t="shared" si="531"/>
        <v>185</v>
      </c>
      <c r="G6117" s="395"/>
      <c r="H6117" s="395"/>
      <c r="J6117" s="42"/>
    </row>
    <row r="6118" spans="1:10" s="393" customFormat="1" x14ac:dyDescent="0.25">
      <c r="A6118" s="402" t="s">
        <v>22</v>
      </c>
      <c r="B6118" s="34">
        <v>44147</v>
      </c>
      <c r="C6118" s="1">
        <v>1597</v>
      </c>
      <c r="D6118" s="39">
        <f t="shared" si="532"/>
        <v>124426</v>
      </c>
      <c r="E6118" s="1">
        <v>33</v>
      </c>
      <c r="F6118" s="522">
        <f t="shared" si="531"/>
        <v>1849</v>
      </c>
      <c r="G6118" s="395"/>
      <c r="H6118" s="395"/>
      <c r="J6118" s="42"/>
    </row>
    <row r="6119" spans="1:10" s="393" customFormat="1" x14ac:dyDescent="0.25">
      <c r="A6119" s="402" t="s">
        <v>38</v>
      </c>
      <c r="B6119" s="34">
        <v>44147</v>
      </c>
      <c r="C6119" s="1">
        <v>188</v>
      </c>
      <c r="D6119" s="39">
        <f t="shared" si="532"/>
        <v>12100</v>
      </c>
      <c r="E6119" s="1">
        <v>1</v>
      </c>
      <c r="F6119" s="522">
        <f t="shared" si="531"/>
        <v>152</v>
      </c>
      <c r="G6119" s="395"/>
      <c r="H6119" s="395"/>
      <c r="J6119" s="42"/>
    </row>
    <row r="6120" spans="1:10" s="393" customFormat="1" x14ac:dyDescent="0.25">
      <c r="A6120" s="402" t="s">
        <v>39</v>
      </c>
      <c r="B6120" s="34">
        <v>44147</v>
      </c>
      <c r="C6120" s="1">
        <v>214</v>
      </c>
      <c r="D6120" s="39">
        <f t="shared" si="532"/>
        <v>13881</v>
      </c>
      <c r="E6120" s="1">
        <v>16</v>
      </c>
      <c r="F6120" s="522">
        <f t="shared" si="531"/>
        <v>188</v>
      </c>
      <c r="G6120" s="395"/>
      <c r="H6120" s="395"/>
      <c r="J6120" s="42"/>
    </row>
    <row r="6121" spans="1:10" s="393" customFormat="1" ht="15.75" thickBot="1" x14ac:dyDescent="0.3">
      <c r="A6121" s="403" t="s">
        <v>40</v>
      </c>
      <c r="B6121" s="34">
        <v>44147</v>
      </c>
      <c r="C6121" s="1">
        <v>633</v>
      </c>
      <c r="D6121" s="67">
        <f>C6121+D6097</f>
        <v>57727</v>
      </c>
      <c r="E6121" s="1">
        <v>2</v>
      </c>
      <c r="F6121" s="632">
        <f t="shared" si="531"/>
        <v>960</v>
      </c>
      <c r="G6121" s="395"/>
      <c r="H6121" s="395"/>
      <c r="J6121" s="42"/>
    </row>
    <row r="6122" spans="1:10" s="393" customFormat="1" x14ac:dyDescent="0.25">
      <c r="A6122" s="397" t="s">
        <v>16</v>
      </c>
      <c r="B6122" s="34">
        <v>44148</v>
      </c>
      <c r="C6122" s="1">
        <v>2761</v>
      </c>
      <c r="D6122" s="175">
        <f t="shared" ref="D6122:D6185" si="533">C6122+D6098</f>
        <v>585508</v>
      </c>
      <c r="E6122" s="1">
        <f>53+34</f>
        <v>87</v>
      </c>
      <c r="F6122" s="630">
        <f t="shared" si="531"/>
        <v>19130</v>
      </c>
      <c r="G6122" s="395"/>
      <c r="H6122" s="395"/>
      <c r="J6122" s="42"/>
    </row>
    <row r="6123" spans="1:10" s="393" customFormat="1" x14ac:dyDescent="0.25">
      <c r="A6123" s="402" t="s">
        <v>43</v>
      </c>
      <c r="B6123" s="34">
        <v>44148</v>
      </c>
      <c r="C6123" s="1">
        <v>397</v>
      </c>
      <c r="D6123" s="39">
        <f t="shared" si="533"/>
        <v>152982</v>
      </c>
      <c r="E6123" s="1">
        <f>13+3</f>
        <v>16</v>
      </c>
      <c r="F6123" s="522">
        <f t="shared" ref="F6123:F6186" si="534">E6123+F6099</f>
        <v>5057</v>
      </c>
      <c r="G6123" s="395"/>
      <c r="H6123" s="395"/>
      <c r="J6123" s="42"/>
    </row>
    <row r="6124" spans="1:10" s="393" customFormat="1" x14ac:dyDescent="0.25">
      <c r="A6124" s="402" t="s">
        <v>28</v>
      </c>
      <c r="B6124" s="34">
        <v>44148</v>
      </c>
      <c r="C6124" s="1">
        <v>59</v>
      </c>
      <c r="D6124" s="39">
        <f t="shared" si="533"/>
        <v>1387</v>
      </c>
      <c r="E6124" s="1">
        <f>1+2</f>
        <v>3</v>
      </c>
      <c r="F6124" s="522">
        <f t="shared" si="534"/>
        <v>7</v>
      </c>
      <c r="G6124" s="395"/>
      <c r="H6124" s="395"/>
      <c r="J6124" s="42"/>
    </row>
    <row r="6125" spans="1:10" s="393" customFormat="1" x14ac:dyDescent="0.25">
      <c r="A6125" s="402" t="s">
        <v>15</v>
      </c>
      <c r="B6125" s="34">
        <v>44148</v>
      </c>
      <c r="C6125" s="1">
        <v>258</v>
      </c>
      <c r="D6125" s="39">
        <f t="shared" si="533"/>
        <v>15973</v>
      </c>
      <c r="E6125" s="1">
        <f>2</f>
        <v>2</v>
      </c>
      <c r="F6125" s="522">
        <f t="shared" si="534"/>
        <v>484</v>
      </c>
      <c r="G6125" s="395"/>
      <c r="H6125" s="395"/>
      <c r="J6125" s="42"/>
    </row>
    <row r="6126" spans="1:10" s="393" customFormat="1" x14ac:dyDescent="0.25">
      <c r="A6126" s="402" t="s">
        <v>29</v>
      </c>
      <c r="B6126" s="34">
        <v>44148</v>
      </c>
      <c r="C6126" s="1">
        <v>367</v>
      </c>
      <c r="D6126" s="39">
        <f t="shared" si="533"/>
        <v>18757</v>
      </c>
      <c r="E6126" s="1">
        <v>8</v>
      </c>
      <c r="F6126" s="522">
        <f t="shared" si="534"/>
        <v>318</v>
      </c>
      <c r="G6126" s="395"/>
      <c r="H6126" s="395"/>
      <c r="J6126" s="42"/>
    </row>
    <row r="6127" spans="1:10" s="393" customFormat="1" x14ac:dyDescent="0.25">
      <c r="A6127" s="402" t="s">
        <v>20</v>
      </c>
      <c r="B6127" s="34">
        <v>44148</v>
      </c>
      <c r="C6127" s="1">
        <v>1631</v>
      </c>
      <c r="D6127" s="39">
        <f t="shared" si="533"/>
        <v>100491</v>
      </c>
      <c r="E6127" s="1">
        <f>15+14</f>
        <v>29</v>
      </c>
      <c r="F6127" s="522">
        <f t="shared" si="534"/>
        <v>1612</v>
      </c>
      <c r="G6127" s="395"/>
      <c r="H6127" s="395"/>
      <c r="J6127" s="42"/>
    </row>
    <row r="6128" spans="1:10" s="393" customFormat="1" x14ac:dyDescent="0.25">
      <c r="A6128" s="402" t="s">
        <v>30</v>
      </c>
      <c r="B6128" s="34">
        <v>44148</v>
      </c>
      <c r="C6128" s="1">
        <v>64</v>
      </c>
      <c r="D6128" s="39">
        <f t="shared" si="533"/>
        <v>3479</v>
      </c>
      <c r="E6128" s="1">
        <f>3</f>
        <v>3</v>
      </c>
      <c r="F6128" s="522">
        <f t="shared" si="534"/>
        <v>68</v>
      </c>
      <c r="G6128" s="395"/>
      <c r="H6128" s="395"/>
      <c r="J6128" s="42"/>
    </row>
    <row r="6129" spans="1:10" x14ac:dyDescent="0.25">
      <c r="A6129" s="402" t="s">
        <v>31</v>
      </c>
      <c r="B6129" s="34">
        <v>44148</v>
      </c>
      <c r="C6129" s="1">
        <v>297</v>
      </c>
      <c r="D6129" s="39">
        <f t="shared" si="533"/>
        <v>19560</v>
      </c>
      <c r="E6129" s="1">
        <f>2+3</f>
        <v>5</v>
      </c>
      <c r="F6129" s="522">
        <f t="shared" si="534"/>
        <v>363</v>
      </c>
    </row>
    <row r="6130" spans="1:10" s="393" customFormat="1" x14ac:dyDescent="0.25">
      <c r="A6130" s="402" t="s">
        <v>41</v>
      </c>
      <c r="B6130" s="34">
        <v>44148</v>
      </c>
      <c r="C6130" s="1">
        <v>1</v>
      </c>
      <c r="D6130" s="39">
        <f t="shared" si="533"/>
        <v>167</v>
      </c>
      <c r="E6130" s="1"/>
      <c r="F6130" s="522">
        <f t="shared" si="534"/>
        <v>3</v>
      </c>
      <c r="G6130" s="395"/>
      <c r="H6130" s="395"/>
      <c r="J6130" s="42"/>
    </row>
    <row r="6131" spans="1:10" s="393" customFormat="1" x14ac:dyDescent="0.25">
      <c r="A6131" s="402" t="s">
        <v>32</v>
      </c>
      <c r="B6131" s="34">
        <v>44148</v>
      </c>
      <c r="C6131" s="1">
        <v>30</v>
      </c>
      <c r="D6131" s="39">
        <f t="shared" si="533"/>
        <v>18125</v>
      </c>
      <c r="E6131" s="1">
        <f>1</f>
        <v>1</v>
      </c>
      <c r="F6131" s="522">
        <f t="shared" si="534"/>
        <v>837</v>
      </c>
      <c r="G6131" s="395"/>
      <c r="H6131" s="395"/>
      <c r="J6131" s="42"/>
    </row>
    <row r="6132" spans="1:10" s="393" customFormat="1" x14ac:dyDescent="0.25">
      <c r="A6132" s="402" t="s">
        <v>33</v>
      </c>
      <c r="B6132" s="34">
        <v>44148</v>
      </c>
      <c r="C6132" s="1">
        <v>82</v>
      </c>
      <c r="D6132" s="39">
        <f t="shared" si="533"/>
        <v>4548</v>
      </c>
      <c r="E6132" s="1">
        <f>1</f>
        <v>1</v>
      </c>
      <c r="F6132" s="522">
        <f t="shared" si="534"/>
        <v>49</v>
      </c>
      <c r="G6132" s="395"/>
      <c r="H6132" s="395"/>
      <c r="J6132" s="42"/>
    </row>
    <row r="6133" spans="1:10" s="393" customFormat="1" x14ac:dyDescent="0.25">
      <c r="A6133" s="402" t="s">
        <v>21</v>
      </c>
      <c r="B6133" s="34">
        <v>44148</v>
      </c>
      <c r="C6133" s="1">
        <v>69</v>
      </c>
      <c r="D6133" s="39">
        <f t="shared" si="533"/>
        <v>8076</v>
      </c>
      <c r="E6133" s="1"/>
      <c r="F6133" s="522">
        <f t="shared" si="534"/>
        <v>298</v>
      </c>
      <c r="G6133" s="395"/>
      <c r="H6133" s="395"/>
      <c r="J6133" s="42"/>
    </row>
    <row r="6134" spans="1:10" s="393" customFormat="1" x14ac:dyDescent="0.25">
      <c r="A6134" s="402" t="s">
        <v>17</v>
      </c>
      <c r="B6134" s="34">
        <v>44148</v>
      </c>
      <c r="C6134" s="1">
        <v>425</v>
      </c>
      <c r="D6134" s="39">
        <f t="shared" si="533"/>
        <v>52699</v>
      </c>
      <c r="E6134" s="1">
        <f>6+2</f>
        <v>8</v>
      </c>
      <c r="F6134" s="522">
        <f t="shared" si="534"/>
        <v>1007</v>
      </c>
      <c r="G6134" s="395"/>
      <c r="H6134" s="395"/>
      <c r="J6134" s="42"/>
    </row>
    <row r="6135" spans="1:10" s="393" customFormat="1" x14ac:dyDescent="0.25">
      <c r="A6135" s="402" t="s">
        <v>23</v>
      </c>
      <c r="B6135" s="34">
        <v>44148</v>
      </c>
      <c r="C6135" s="1">
        <v>9</v>
      </c>
      <c r="D6135" s="39">
        <f t="shared" si="533"/>
        <v>368</v>
      </c>
      <c r="E6135" s="1"/>
      <c r="F6135" s="522">
        <f t="shared" si="534"/>
        <v>7</v>
      </c>
      <c r="G6135" s="395"/>
      <c r="H6135" s="395"/>
      <c r="J6135" s="42"/>
    </row>
    <row r="6136" spans="1:10" s="393" customFormat="1" x14ac:dyDescent="0.25">
      <c r="A6136" s="402" t="s">
        <v>19</v>
      </c>
      <c r="B6136" s="34">
        <v>44148</v>
      </c>
      <c r="C6136" s="1">
        <v>255</v>
      </c>
      <c r="D6136" s="39">
        <f t="shared" si="533"/>
        <v>26493</v>
      </c>
      <c r="E6136" s="1">
        <f>24+8</f>
        <v>32</v>
      </c>
      <c r="F6136" s="522">
        <f t="shared" si="534"/>
        <v>515</v>
      </c>
      <c r="G6136" s="395"/>
      <c r="H6136" s="395"/>
      <c r="J6136" s="42"/>
    </row>
    <row r="6137" spans="1:10" s="393" customFormat="1" x14ac:dyDescent="0.25">
      <c r="A6137" s="402" t="s">
        <v>18</v>
      </c>
      <c r="B6137" s="34">
        <v>44148</v>
      </c>
      <c r="C6137" s="1">
        <v>335</v>
      </c>
      <c r="D6137" s="39">
        <f t="shared" si="533"/>
        <v>28095</v>
      </c>
      <c r="E6137" s="1">
        <f>5+3</f>
        <v>8</v>
      </c>
      <c r="F6137" s="522">
        <f t="shared" si="534"/>
        <v>704</v>
      </c>
      <c r="G6137" s="395"/>
      <c r="H6137" s="395"/>
      <c r="J6137" s="42"/>
    </row>
    <row r="6138" spans="1:10" s="393" customFormat="1" x14ac:dyDescent="0.25">
      <c r="A6138" s="402" t="s">
        <v>34</v>
      </c>
      <c r="B6138" s="34">
        <v>44148</v>
      </c>
      <c r="C6138" s="1">
        <v>157</v>
      </c>
      <c r="D6138" s="39">
        <f t="shared" si="533"/>
        <v>20066</v>
      </c>
      <c r="E6138" s="1">
        <f>1+2</f>
        <v>3</v>
      </c>
      <c r="F6138" s="522">
        <f t="shared" si="534"/>
        <v>914</v>
      </c>
      <c r="G6138" s="395"/>
      <c r="H6138" s="395"/>
      <c r="J6138" s="42"/>
    </row>
    <row r="6139" spans="1:10" s="393" customFormat="1" x14ac:dyDescent="0.25">
      <c r="A6139" s="402" t="s">
        <v>35</v>
      </c>
      <c r="B6139" s="34">
        <v>44148</v>
      </c>
      <c r="C6139" s="1">
        <v>98</v>
      </c>
      <c r="D6139" s="39">
        <f t="shared" si="533"/>
        <v>4332</v>
      </c>
      <c r="E6139" s="1">
        <f>10+3</f>
        <v>13</v>
      </c>
      <c r="F6139" s="522">
        <f t="shared" si="534"/>
        <v>136</v>
      </c>
      <c r="G6139" s="395"/>
      <c r="H6139" s="395"/>
      <c r="J6139" s="42"/>
    </row>
    <row r="6140" spans="1:10" s="393" customFormat="1" x14ac:dyDescent="0.25">
      <c r="A6140" s="402" t="s">
        <v>36</v>
      </c>
      <c r="B6140" s="34">
        <v>44148</v>
      </c>
      <c r="C6140" s="1">
        <v>465</v>
      </c>
      <c r="D6140" s="39">
        <f t="shared" si="533"/>
        <v>10995</v>
      </c>
      <c r="E6140" s="1">
        <f>4+3</f>
        <v>7</v>
      </c>
      <c r="F6140" s="522">
        <f t="shared" si="534"/>
        <v>152</v>
      </c>
      <c r="G6140" s="395"/>
      <c r="H6140" s="395"/>
      <c r="J6140" s="42"/>
    </row>
    <row r="6141" spans="1:10" s="393" customFormat="1" x14ac:dyDescent="0.25">
      <c r="A6141" s="402" t="s">
        <v>37</v>
      </c>
      <c r="B6141" s="34">
        <v>44148</v>
      </c>
      <c r="C6141" s="1">
        <v>265</v>
      </c>
      <c r="D6141" s="39">
        <f t="shared" si="533"/>
        <v>12309</v>
      </c>
      <c r="E6141" s="1">
        <f>1</f>
        <v>1</v>
      </c>
      <c r="F6141" s="522">
        <f t="shared" si="534"/>
        <v>186</v>
      </c>
      <c r="G6141" s="395"/>
      <c r="H6141" s="395"/>
      <c r="J6141" s="42"/>
    </row>
    <row r="6142" spans="1:10" s="393" customFormat="1" x14ac:dyDescent="0.25">
      <c r="A6142" s="402" t="s">
        <v>22</v>
      </c>
      <c r="B6142" s="34">
        <v>44148</v>
      </c>
      <c r="C6142" s="1">
        <v>1683</v>
      </c>
      <c r="D6142" s="39">
        <f t="shared" si="533"/>
        <v>126109</v>
      </c>
      <c r="E6142" s="1">
        <f>6+2</f>
        <v>8</v>
      </c>
      <c r="F6142" s="522">
        <f t="shared" si="534"/>
        <v>1857</v>
      </c>
      <c r="G6142" s="395"/>
      <c r="H6142" s="395"/>
      <c r="J6142" s="42"/>
    </row>
    <row r="6143" spans="1:10" s="393" customFormat="1" x14ac:dyDescent="0.25">
      <c r="A6143" s="402" t="s">
        <v>38</v>
      </c>
      <c r="B6143" s="34">
        <v>44148</v>
      </c>
      <c r="C6143" s="1">
        <v>504</v>
      </c>
      <c r="D6143" s="39">
        <f t="shared" si="533"/>
        <v>12604</v>
      </c>
      <c r="E6143" s="1">
        <f>3</f>
        <v>3</v>
      </c>
      <c r="F6143" s="522">
        <f t="shared" si="534"/>
        <v>155</v>
      </c>
      <c r="G6143" s="395"/>
      <c r="H6143" s="395"/>
      <c r="J6143" s="42"/>
    </row>
    <row r="6144" spans="1:10" s="393" customFormat="1" x14ac:dyDescent="0.25">
      <c r="A6144" s="402" t="s">
        <v>39</v>
      </c>
      <c r="B6144" s="34">
        <v>44148</v>
      </c>
      <c r="C6144" s="1">
        <v>171</v>
      </c>
      <c r="D6144" s="39">
        <f t="shared" si="533"/>
        <v>14052</v>
      </c>
      <c r="E6144" s="1">
        <f>5+1</f>
        <v>6</v>
      </c>
      <c r="F6144" s="522">
        <f t="shared" si="534"/>
        <v>194</v>
      </c>
      <c r="G6144" s="395"/>
      <c r="H6144" s="395"/>
      <c r="J6144" s="42"/>
    </row>
    <row r="6145" spans="1:10" s="393" customFormat="1" ht="15.75" thickBot="1" x14ac:dyDescent="0.3">
      <c r="A6145" s="403" t="s">
        <v>40</v>
      </c>
      <c r="B6145" s="34">
        <v>44148</v>
      </c>
      <c r="C6145" s="1">
        <v>1476</v>
      </c>
      <c r="D6145" s="67">
        <f>C6145+D6121</f>
        <v>59203</v>
      </c>
      <c r="E6145" s="1">
        <f>7+4</f>
        <v>11</v>
      </c>
      <c r="F6145" s="632">
        <f t="shared" si="534"/>
        <v>971</v>
      </c>
      <c r="G6145" s="395"/>
      <c r="H6145" s="395"/>
      <c r="J6145" s="42"/>
    </row>
    <row r="6146" spans="1:10" s="393" customFormat="1" x14ac:dyDescent="0.25">
      <c r="A6146" s="397" t="s">
        <v>16</v>
      </c>
      <c r="B6146" s="34">
        <v>44149</v>
      </c>
      <c r="C6146" s="1">
        <v>2300</v>
      </c>
      <c r="D6146" s="175">
        <f t="shared" si="533"/>
        <v>587808</v>
      </c>
      <c r="E6146" s="1">
        <f>105+72</f>
        <v>177</v>
      </c>
      <c r="F6146" s="630">
        <f t="shared" si="534"/>
        <v>19307</v>
      </c>
      <c r="G6146" s="395"/>
      <c r="H6146" s="395"/>
      <c r="J6146" s="42"/>
    </row>
    <row r="6147" spans="1:10" s="393" customFormat="1" x14ac:dyDescent="0.25">
      <c r="A6147" s="402" t="s">
        <v>43</v>
      </c>
      <c r="B6147" s="34">
        <v>44149</v>
      </c>
      <c r="C6147" s="1">
        <v>506</v>
      </c>
      <c r="D6147" s="39">
        <f t="shared" si="533"/>
        <v>153488</v>
      </c>
      <c r="E6147" s="1">
        <f>6+8</f>
        <v>14</v>
      </c>
      <c r="F6147" s="522">
        <f t="shared" si="534"/>
        <v>5071</v>
      </c>
      <c r="G6147" s="395"/>
      <c r="H6147" s="395"/>
      <c r="J6147" s="42"/>
    </row>
    <row r="6148" spans="1:10" s="393" customFormat="1" x14ac:dyDescent="0.25">
      <c r="A6148" s="402" t="s">
        <v>28</v>
      </c>
      <c r="B6148" s="34">
        <v>44149</v>
      </c>
      <c r="C6148" s="1">
        <v>34</v>
      </c>
      <c r="D6148" s="39">
        <f t="shared" si="533"/>
        <v>1421</v>
      </c>
      <c r="E6148" s="1"/>
      <c r="F6148" s="522">
        <f t="shared" si="534"/>
        <v>7</v>
      </c>
      <c r="G6148" s="395"/>
      <c r="H6148" s="395"/>
      <c r="J6148" s="42"/>
    </row>
    <row r="6149" spans="1:10" s="393" customFormat="1" x14ac:dyDescent="0.25">
      <c r="A6149" s="402" t="s">
        <v>15</v>
      </c>
      <c r="B6149" s="34">
        <v>44149</v>
      </c>
      <c r="C6149" s="1">
        <v>215</v>
      </c>
      <c r="D6149" s="39">
        <f t="shared" si="533"/>
        <v>16188</v>
      </c>
      <c r="E6149" s="1">
        <f>2</f>
        <v>2</v>
      </c>
      <c r="F6149" s="522">
        <f t="shared" si="534"/>
        <v>486</v>
      </c>
      <c r="G6149" s="395"/>
      <c r="H6149" s="395"/>
      <c r="J6149" s="42"/>
    </row>
    <row r="6150" spans="1:10" s="393" customFormat="1" x14ac:dyDescent="0.25">
      <c r="A6150" s="402" t="s">
        <v>29</v>
      </c>
      <c r="B6150" s="34">
        <v>44149</v>
      </c>
      <c r="C6150" s="1">
        <v>275</v>
      </c>
      <c r="D6150" s="39">
        <f t="shared" si="533"/>
        <v>19032</v>
      </c>
      <c r="E6150" s="1">
        <f>1+1</f>
        <v>2</v>
      </c>
      <c r="F6150" s="522">
        <f t="shared" si="534"/>
        <v>320</v>
      </c>
      <c r="G6150" s="395"/>
      <c r="H6150" s="395"/>
      <c r="J6150" s="42"/>
    </row>
    <row r="6151" spans="1:10" s="393" customFormat="1" x14ac:dyDescent="0.25">
      <c r="A6151" s="402" t="s">
        <v>20</v>
      </c>
      <c r="B6151" s="34">
        <v>44149</v>
      </c>
      <c r="C6151" s="1">
        <v>1139</v>
      </c>
      <c r="D6151" s="39">
        <f t="shared" si="533"/>
        <v>101630</v>
      </c>
      <c r="E6151" s="1">
        <f>8+11</f>
        <v>19</v>
      </c>
      <c r="F6151" s="522">
        <f t="shared" si="534"/>
        <v>1631</v>
      </c>
      <c r="G6151" s="395"/>
      <c r="H6151" s="395"/>
      <c r="J6151" s="42"/>
    </row>
    <row r="6152" spans="1:10" s="393" customFormat="1" x14ac:dyDescent="0.25">
      <c r="A6152" s="402" t="s">
        <v>30</v>
      </c>
      <c r="B6152" s="34">
        <v>44149</v>
      </c>
      <c r="C6152" s="1">
        <v>144</v>
      </c>
      <c r="D6152" s="39">
        <f t="shared" si="533"/>
        <v>3623</v>
      </c>
      <c r="E6152" s="1">
        <f>1</f>
        <v>1</v>
      </c>
      <c r="F6152" s="522">
        <f t="shared" si="534"/>
        <v>69</v>
      </c>
      <c r="G6152" s="395"/>
      <c r="H6152" s="395"/>
      <c r="J6152" s="42"/>
    </row>
    <row r="6153" spans="1:10" x14ac:dyDescent="0.25">
      <c r="A6153" s="402" t="s">
        <v>31</v>
      </c>
      <c r="B6153" s="34">
        <v>44149</v>
      </c>
      <c r="C6153" s="1">
        <v>306</v>
      </c>
      <c r="D6153" s="39">
        <f t="shared" si="533"/>
        <v>19866</v>
      </c>
      <c r="E6153" s="1">
        <f>5+2</f>
        <v>7</v>
      </c>
      <c r="F6153" s="522">
        <f t="shared" si="534"/>
        <v>370</v>
      </c>
    </row>
    <row r="6154" spans="1:10" s="393" customFormat="1" x14ac:dyDescent="0.25">
      <c r="A6154" s="402" t="s">
        <v>41</v>
      </c>
      <c r="B6154" s="34">
        <v>44149</v>
      </c>
      <c r="C6154" s="1">
        <v>1</v>
      </c>
      <c r="D6154" s="39">
        <f t="shared" si="533"/>
        <v>168</v>
      </c>
      <c r="E6154" s="1"/>
      <c r="F6154" s="522">
        <f t="shared" si="534"/>
        <v>3</v>
      </c>
      <c r="G6154" s="395"/>
      <c r="H6154" s="395"/>
      <c r="J6154" s="42"/>
    </row>
    <row r="6155" spans="1:10" s="393" customFormat="1" x14ac:dyDescent="0.25">
      <c r="A6155" s="402" t="s">
        <v>32</v>
      </c>
      <c r="B6155" s="34">
        <v>44149</v>
      </c>
      <c r="C6155" s="1">
        <v>22</v>
      </c>
      <c r="D6155" s="39">
        <f t="shared" si="533"/>
        <v>18147</v>
      </c>
      <c r="E6155" s="1">
        <f>1</f>
        <v>1</v>
      </c>
      <c r="F6155" s="522">
        <f t="shared" si="534"/>
        <v>838</v>
      </c>
      <c r="G6155" s="395"/>
      <c r="H6155" s="395"/>
      <c r="J6155" s="42"/>
    </row>
    <row r="6156" spans="1:10" s="393" customFormat="1" x14ac:dyDescent="0.25">
      <c r="A6156" s="402" t="s">
        <v>33</v>
      </c>
      <c r="B6156" s="34">
        <v>44149</v>
      </c>
      <c r="C6156" s="1">
        <v>95</v>
      </c>
      <c r="D6156" s="39">
        <f t="shared" si="533"/>
        <v>4643</v>
      </c>
      <c r="E6156" s="1"/>
      <c r="F6156" s="522">
        <f t="shared" si="534"/>
        <v>49</v>
      </c>
      <c r="G6156" s="395"/>
      <c r="H6156" s="395"/>
      <c r="J6156" s="42"/>
    </row>
    <row r="6157" spans="1:10" s="393" customFormat="1" x14ac:dyDescent="0.25">
      <c r="A6157" s="402" t="s">
        <v>21</v>
      </c>
      <c r="B6157" s="34">
        <v>44149</v>
      </c>
      <c r="C6157" s="1">
        <v>80</v>
      </c>
      <c r="D6157" s="39">
        <f t="shared" si="533"/>
        <v>8156</v>
      </c>
      <c r="E6157" s="1"/>
      <c r="F6157" s="522">
        <f t="shared" si="534"/>
        <v>298</v>
      </c>
      <c r="G6157" s="395"/>
      <c r="H6157" s="395"/>
      <c r="J6157" s="42"/>
    </row>
    <row r="6158" spans="1:10" s="393" customFormat="1" x14ac:dyDescent="0.25">
      <c r="A6158" s="402" t="s">
        <v>17</v>
      </c>
      <c r="B6158" s="34">
        <v>44149</v>
      </c>
      <c r="C6158" s="1">
        <v>294</v>
      </c>
      <c r="D6158" s="39">
        <f t="shared" si="533"/>
        <v>52993</v>
      </c>
      <c r="E6158" s="1">
        <f>1+2</f>
        <v>3</v>
      </c>
      <c r="F6158" s="522">
        <f t="shared" si="534"/>
        <v>1010</v>
      </c>
      <c r="G6158" s="395"/>
      <c r="H6158" s="395"/>
      <c r="J6158" s="42"/>
    </row>
    <row r="6159" spans="1:10" s="393" customFormat="1" x14ac:dyDescent="0.25">
      <c r="A6159" s="402" t="s">
        <v>23</v>
      </c>
      <c r="B6159" s="34">
        <v>44149</v>
      </c>
      <c r="C6159" s="1">
        <v>4</v>
      </c>
      <c r="D6159" s="39">
        <f t="shared" si="533"/>
        <v>372</v>
      </c>
      <c r="E6159" s="1"/>
      <c r="F6159" s="522">
        <f t="shared" si="534"/>
        <v>7</v>
      </c>
      <c r="G6159" s="395"/>
      <c r="H6159" s="395"/>
      <c r="J6159" s="42"/>
    </row>
    <row r="6160" spans="1:10" s="393" customFormat="1" x14ac:dyDescent="0.25">
      <c r="A6160" s="402" t="s">
        <v>19</v>
      </c>
      <c r="B6160" s="34">
        <v>44149</v>
      </c>
      <c r="C6160" s="1">
        <v>181</v>
      </c>
      <c r="D6160" s="39">
        <f t="shared" si="533"/>
        <v>26674</v>
      </c>
      <c r="E6160" s="1"/>
      <c r="F6160" s="522">
        <f t="shared" si="534"/>
        <v>515</v>
      </c>
      <c r="G6160" s="395"/>
      <c r="H6160" s="395"/>
      <c r="J6160" s="42"/>
    </row>
    <row r="6161" spans="1:10" s="393" customFormat="1" x14ac:dyDescent="0.25">
      <c r="A6161" s="402" t="s">
        <v>18</v>
      </c>
      <c r="B6161" s="34">
        <v>44149</v>
      </c>
      <c r="C6161" s="1">
        <v>217</v>
      </c>
      <c r="D6161" s="39">
        <f t="shared" si="533"/>
        <v>28312</v>
      </c>
      <c r="E6161" s="1">
        <f>4+3</f>
        <v>7</v>
      </c>
      <c r="F6161" s="522">
        <f t="shared" si="534"/>
        <v>711</v>
      </c>
      <c r="G6161" s="395"/>
      <c r="H6161" s="395"/>
      <c r="J6161" s="42"/>
    </row>
    <row r="6162" spans="1:10" s="393" customFormat="1" x14ac:dyDescent="0.25">
      <c r="A6162" s="402" t="s">
        <v>34</v>
      </c>
      <c r="B6162" s="34">
        <v>44149</v>
      </c>
      <c r="C6162" s="1">
        <v>59</v>
      </c>
      <c r="D6162" s="39">
        <f t="shared" si="533"/>
        <v>20125</v>
      </c>
      <c r="E6162" s="1">
        <f>3+2</f>
        <v>5</v>
      </c>
      <c r="F6162" s="522">
        <f t="shared" si="534"/>
        <v>919</v>
      </c>
      <c r="G6162" s="395"/>
      <c r="H6162" s="395"/>
      <c r="J6162" s="42"/>
    </row>
    <row r="6163" spans="1:10" s="393" customFormat="1" x14ac:dyDescent="0.25">
      <c r="A6163" s="402" t="s">
        <v>35</v>
      </c>
      <c r="B6163" s="34">
        <v>44149</v>
      </c>
      <c r="C6163" s="1">
        <v>88</v>
      </c>
      <c r="D6163" s="39">
        <f t="shared" si="533"/>
        <v>4420</v>
      </c>
      <c r="E6163" s="1"/>
      <c r="F6163" s="522">
        <f t="shared" si="534"/>
        <v>136</v>
      </c>
      <c r="G6163" s="395"/>
      <c r="H6163" s="395"/>
      <c r="J6163" s="42"/>
    </row>
    <row r="6164" spans="1:10" s="393" customFormat="1" x14ac:dyDescent="0.25">
      <c r="A6164" s="402" t="s">
        <v>36</v>
      </c>
      <c r="B6164" s="34">
        <v>44149</v>
      </c>
      <c r="C6164" s="1">
        <v>199</v>
      </c>
      <c r="D6164" s="39">
        <f t="shared" si="533"/>
        <v>11194</v>
      </c>
      <c r="E6164" s="1"/>
      <c r="F6164" s="522">
        <f t="shared" si="534"/>
        <v>152</v>
      </c>
      <c r="G6164" s="395"/>
      <c r="H6164" s="395"/>
      <c r="J6164" s="42"/>
    </row>
    <row r="6165" spans="1:10" s="393" customFormat="1" x14ac:dyDescent="0.25">
      <c r="A6165" s="402" t="s">
        <v>37</v>
      </c>
      <c r="B6165" s="34">
        <v>44149</v>
      </c>
      <c r="C6165" s="1">
        <v>160</v>
      </c>
      <c r="D6165" s="39">
        <f t="shared" si="533"/>
        <v>12469</v>
      </c>
      <c r="E6165" s="1">
        <f>1</f>
        <v>1</v>
      </c>
      <c r="F6165" s="522">
        <f t="shared" si="534"/>
        <v>187</v>
      </c>
      <c r="G6165" s="395"/>
      <c r="H6165" s="395"/>
      <c r="J6165" s="42"/>
    </row>
    <row r="6166" spans="1:10" s="393" customFormat="1" x14ac:dyDescent="0.25">
      <c r="A6166" s="402" t="s">
        <v>22</v>
      </c>
      <c r="B6166" s="34">
        <v>44149</v>
      </c>
      <c r="C6166" s="1">
        <v>1339</v>
      </c>
      <c r="D6166" s="39">
        <f t="shared" si="533"/>
        <v>127448</v>
      </c>
      <c r="E6166" s="1">
        <f>7+5</f>
        <v>12</v>
      </c>
      <c r="F6166" s="522">
        <f t="shared" si="534"/>
        <v>1869</v>
      </c>
      <c r="G6166" s="395"/>
      <c r="H6166" s="395"/>
      <c r="J6166" s="42"/>
    </row>
    <row r="6167" spans="1:10" s="393" customFormat="1" x14ac:dyDescent="0.25">
      <c r="A6167" s="402" t="s">
        <v>38</v>
      </c>
      <c r="B6167" s="34">
        <v>44149</v>
      </c>
      <c r="C6167" s="1">
        <v>264</v>
      </c>
      <c r="D6167" s="39">
        <f t="shared" si="533"/>
        <v>12868</v>
      </c>
      <c r="E6167" s="1">
        <f>2</f>
        <v>2</v>
      </c>
      <c r="F6167" s="522">
        <f t="shared" si="534"/>
        <v>157</v>
      </c>
      <c r="G6167" s="395"/>
      <c r="H6167" s="395"/>
      <c r="J6167" s="42"/>
    </row>
    <row r="6168" spans="1:10" s="393" customFormat="1" x14ac:dyDescent="0.25">
      <c r="A6168" s="402" t="s">
        <v>39</v>
      </c>
      <c r="B6168" s="34">
        <v>44149</v>
      </c>
      <c r="C6168" s="1">
        <v>120</v>
      </c>
      <c r="D6168" s="39">
        <f t="shared" si="533"/>
        <v>14172</v>
      </c>
      <c r="E6168" s="1">
        <f>1</f>
        <v>1</v>
      </c>
      <c r="F6168" s="522">
        <f t="shared" si="534"/>
        <v>195</v>
      </c>
      <c r="G6168" s="395"/>
      <c r="H6168" s="395"/>
      <c r="J6168" s="42"/>
    </row>
    <row r="6169" spans="1:10" s="393" customFormat="1" ht="15.75" thickBot="1" x14ac:dyDescent="0.3">
      <c r="A6169" s="403" t="s">
        <v>40</v>
      </c>
      <c r="B6169" s="34">
        <v>44149</v>
      </c>
      <c r="C6169" s="1">
        <v>426</v>
      </c>
      <c r="D6169" s="67">
        <f>C6169+D6145</f>
        <v>59629</v>
      </c>
      <c r="E6169" s="1">
        <f>3+5</f>
        <v>8</v>
      </c>
      <c r="F6169" s="632">
        <f t="shared" si="534"/>
        <v>979</v>
      </c>
      <c r="G6169" s="395"/>
      <c r="H6169" s="395"/>
      <c r="J6169" s="42"/>
    </row>
    <row r="6170" spans="1:10" s="393" customFormat="1" x14ac:dyDescent="0.25">
      <c r="A6170" s="397" t="s">
        <v>16</v>
      </c>
      <c r="B6170" s="34">
        <v>44150</v>
      </c>
      <c r="C6170" s="1">
        <v>1446</v>
      </c>
      <c r="D6170" s="175">
        <f t="shared" si="533"/>
        <v>589254</v>
      </c>
      <c r="E6170" s="1">
        <f>37+32</f>
        <v>69</v>
      </c>
      <c r="F6170" s="630">
        <f t="shared" si="534"/>
        <v>19376</v>
      </c>
      <c r="G6170" s="395"/>
      <c r="H6170" s="395"/>
      <c r="J6170" s="42"/>
    </row>
    <row r="6171" spans="1:10" s="393" customFormat="1" x14ac:dyDescent="0.25">
      <c r="A6171" s="402" t="s">
        <v>43</v>
      </c>
      <c r="B6171" s="34">
        <v>44150</v>
      </c>
      <c r="C6171" s="1">
        <v>297</v>
      </c>
      <c r="D6171" s="39">
        <f t="shared" si="533"/>
        <v>153785</v>
      </c>
      <c r="E6171" s="1">
        <f>3+2</f>
        <v>5</v>
      </c>
      <c r="F6171" s="522">
        <f t="shared" si="534"/>
        <v>5076</v>
      </c>
      <c r="G6171" s="395"/>
      <c r="H6171" s="395"/>
      <c r="J6171" s="42"/>
    </row>
    <row r="6172" spans="1:10" s="393" customFormat="1" x14ac:dyDescent="0.25">
      <c r="A6172" s="402" t="s">
        <v>28</v>
      </c>
      <c r="B6172" s="34">
        <v>44150</v>
      </c>
      <c r="C6172" s="1">
        <v>45</v>
      </c>
      <c r="D6172" s="39">
        <f t="shared" si="533"/>
        <v>1466</v>
      </c>
      <c r="E6172" s="1"/>
      <c r="F6172" s="522">
        <f t="shared" si="534"/>
        <v>7</v>
      </c>
      <c r="G6172" s="395"/>
      <c r="H6172" s="395"/>
      <c r="J6172" s="42"/>
    </row>
    <row r="6173" spans="1:10" s="393" customFormat="1" x14ac:dyDescent="0.25">
      <c r="A6173" s="402" t="s">
        <v>15</v>
      </c>
      <c r="B6173" s="34">
        <v>44150</v>
      </c>
      <c r="C6173" s="1">
        <v>130</v>
      </c>
      <c r="D6173" s="39">
        <f t="shared" si="533"/>
        <v>16318</v>
      </c>
      <c r="E6173" s="1">
        <f>2+2</f>
        <v>4</v>
      </c>
      <c r="F6173" s="522">
        <f t="shared" si="534"/>
        <v>490</v>
      </c>
      <c r="G6173" s="395"/>
      <c r="H6173" s="395"/>
      <c r="J6173" s="42"/>
    </row>
    <row r="6174" spans="1:10" s="393" customFormat="1" x14ac:dyDescent="0.25">
      <c r="A6174" s="402" t="s">
        <v>29</v>
      </c>
      <c r="B6174" s="34">
        <v>44150</v>
      </c>
      <c r="C6174" s="1">
        <v>159</v>
      </c>
      <c r="D6174" s="39">
        <f t="shared" si="533"/>
        <v>19191</v>
      </c>
      <c r="E6174" s="1">
        <v>2</v>
      </c>
      <c r="F6174" s="522">
        <f t="shared" si="534"/>
        <v>322</v>
      </c>
      <c r="G6174" s="395"/>
      <c r="H6174" s="395"/>
      <c r="J6174" s="42"/>
    </row>
    <row r="6175" spans="1:10" s="393" customFormat="1" x14ac:dyDescent="0.25">
      <c r="A6175" s="402" t="s">
        <v>20</v>
      </c>
      <c r="B6175" s="34">
        <v>44150</v>
      </c>
      <c r="C6175" s="1">
        <v>832</v>
      </c>
      <c r="D6175" s="39">
        <f t="shared" si="533"/>
        <v>102462</v>
      </c>
      <c r="E6175" s="1">
        <f>9+5</f>
        <v>14</v>
      </c>
      <c r="F6175" s="522">
        <f t="shared" si="534"/>
        <v>1645</v>
      </c>
      <c r="G6175" s="395"/>
      <c r="H6175" s="395"/>
      <c r="J6175" s="42"/>
    </row>
    <row r="6176" spans="1:10" s="393" customFormat="1" x14ac:dyDescent="0.25">
      <c r="A6176" s="402" t="s">
        <v>30</v>
      </c>
      <c r="B6176" s="34">
        <v>44150</v>
      </c>
      <c r="C6176" s="1">
        <v>93</v>
      </c>
      <c r="D6176" s="39">
        <f t="shared" si="533"/>
        <v>3716</v>
      </c>
      <c r="E6176" s="1"/>
      <c r="F6176" s="522">
        <f t="shared" si="534"/>
        <v>69</v>
      </c>
      <c r="G6176" s="395"/>
      <c r="H6176" s="395"/>
      <c r="J6176" s="42"/>
    </row>
    <row r="6177" spans="1:10" x14ac:dyDescent="0.25">
      <c r="A6177" s="402" t="s">
        <v>31</v>
      </c>
      <c r="B6177" s="34">
        <v>44150</v>
      </c>
      <c r="C6177" s="1">
        <v>180</v>
      </c>
      <c r="D6177" s="39">
        <f t="shared" si="533"/>
        <v>20046</v>
      </c>
      <c r="E6177" s="1">
        <f>1+2</f>
        <v>3</v>
      </c>
      <c r="F6177" s="522">
        <f t="shared" si="534"/>
        <v>373</v>
      </c>
    </row>
    <row r="6178" spans="1:10" s="393" customFormat="1" x14ac:dyDescent="0.25">
      <c r="A6178" s="402" t="s">
        <v>41</v>
      </c>
      <c r="B6178" s="34">
        <v>44150</v>
      </c>
      <c r="C6178" s="1">
        <v>0</v>
      </c>
      <c r="D6178" s="39">
        <f t="shared" si="533"/>
        <v>168</v>
      </c>
      <c r="E6178" s="1"/>
      <c r="F6178" s="522">
        <f t="shared" si="534"/>
        <v>3</v>
      </c>
      <c r="G6178" s="395"/>
      <c r="H6178" s="395"/>
      <c r="J6178" s="42"/>
    </row>
    <row r="6179" spans="1:10" s="393" customFormat="1" x14ac:dyDescent="0.25">
      <c r="A6179" s="402" t="s">
        <v>32</v>
      </c>
      <c r="B6179" s="34">
        <v>44150</v>
      </c>
      <c r="C6179" s="1">
        <v>21</v>
      </c>
      <c r="D6179" s="39">
        <f t="shared" si="533"/>
        <v>18168</v>
      </c>
      <c r="E6179" s="1"/>
      <c r="F6179" s="522">
        <f t="shared" si="534"/>
        <v>838</v>
      </c>
      <c r="G6179" s="395"/>
      <c r="H6179" s="395"/>
      <c r="J6179" s="42"/>
    </row>
    <row r="6180" spans="1:10" s="393" customFormat="1" x14ac:dyDescent="0.25">
      <c r="A6180" s="402" t="s">
        <v>33</v>
      </c>
      <c r="B6180" s="34">
        <v>44150</v>
      </c>
      <c r="C6180" s="1">
        <v>65</v>
      </c>
      <c r="D6180" s="39">
        <f t="shared" si="533"/>
        <v>4708</v>
      </c>
      <c r="E6180" s="1"/>
      <c r="F6180" s="522">
        <f t="shared" si="534"/>
        <v>49</v>
      </c>
      <c r="G6180" s="395"/>
      <c r="H6180" s="395"/>
      <c r="J6180" s="42"/>
    </row>
    <row r="6181" spans="1:10" s="393" customFormat="1" x14ac:dyDescent="0.25">
      <c r="A6181" s="402" t="s">
        <v>21</v>
      </c>
      <c r="B6181" s="34">
        <v>44150</v>
      </c>
      <c r="C6181" s="1">
        <v>24</v>
      </c>
      <c r="D6181" s="39">
        <f t="shared" si="533"/>
        <v>8180</v>
      </c>
      <c r="E6181" s="1"/>
      <c r="F6181" s="522">
        <f t="shared" si="534"/>
        <v>298</v>
      </c>
      <c r="G6181" s="395"/>
      <c r="H6181" s="395"/>
      <c r="J6181" s="42"/>
    </row>
    <row r="6182" spans="1:10" s="393" customFormat="1" x14ac:dyDescent="0.25">
      <c r="A6182" s="402" t="s">
        <v>17</v>
      </c>
      <c r="B6182" s="34">
        <v>44150</v>
      </c>
      <c r="C6182" s="1">
        <v>94</v>
      </c>
      <c r="D6182" s="39">
        <f t="shared" si="533"/>
        <v>53087</v>
      </c>
      <c r="E6182" s="1">
        <f>2</f>
        <v>2</v>
      </c>
      <c r="F6182" s="522">
        <f t="shared" si="534"/>
        <v>1012</v>
      </c>
      <c r="G6182" s="395"/>
      <c r="H6182" s="395"/>
      <c r="J6182" s="42"/>
    </row>
    <row r="6183" spans="1:10" s="393" customFormat="1" x14ac:dyDescent="0.25">
      <c r="A6183" s="402" t="s">
        <v>23</v>
      </c>
      <c r="B6183" s="34">
        <v>44150</v>
      </c>
      <c r="C6183" s="1">
        <v>3</v>
      </c>
      <c r="D6183" s="39">
        <f t="shared" si="533"/>
        <v>375</v>
      </c>
      <c r="E6183" s="1"/>
      <c r="F6183" s="522">
        <f t="shared" si="534"/>
        <v>7</v>
      </c>
      <c r="G6183" s="395"/>
      <c r="H6183" s="395"/>
      <c r="J6183" s="42"/>
    </row>
    <row r="6184" spans="1:10" s="393" customFormat="1" x14ac:dyDescent="0.25">
      <c r="A6184" s="402" t="s">
        <v>19</v>
      </c>
      <c r="B6184" s="34">
        <v>44150</v>
      </c>
      <c r="C6184" s="1">
        <v>234</v>
      </c>
      <c r="D6184" s="39">
        <f t="shared" si="533"/>
        <v>26908</v>
      </c>
      <c r="E6184" s="1">
        <v>2</v>
      </c>
      <c r="F6184" s="522">
        <f t="shared" si="534"/>
        <v>517</v>
      </c>
      <c r="G6184" s="395"/>
      <c r="H6184" s="395"/>
      <c r="J6184" s="42"/>
    </row>
    <row r="6185" spans="1:10" s="393" customFormat="1" x14ac:dyDescent="0.25">
      <c r="A6185" s="402" t="s">
        <v>18</v>
      </c>
      <c r="B6185" s="34">
        <v>44150</v>
      </c>
      <c r="C6185" s="1">
        <v>132</v>
      </c>
      <c r="D6185" s="39">
        <f t="shared" si="533"/>
        <v>28444</v>
      </c>
      <c r="E6185" s="1">
        <f>4+2</f>
        <v>6</v>
      </c>
      <c r="F6185" s="522">
        <f t="shared" si="534"/>
        <v>717</v>
      </c>
      <c r="G6185" s="395"/>
      <c r="H6185" s="395"/>
      <c r="J6185" s="42"/>
    </row>
    <row r="6186" spans="1:10" s="393" customFormat="1" x14ac:dyDescent="0.25">
      <c r="A6186" s="402" t="s">
        <v>34</v>
      </c>
      <c r="B6186" s="34">
        <v>44150</v>
      </c>
      <c r="C6186" s="1">
        <v>67</v>
      </c>
      <c r="D6186" s="39">
        <f t="shared" ref="D6186:D6192" si="535">C6186+D6162</f>
        <v>20192</v>
      </c>
      <c r="E6186" s="1"/>
      <c r="F6186" s="522">
        <f t="shared" si="534"/>
        <v>919</v>
      </c>
      <c r="G6186" s="395"/>
      <c r="H6186" s="395"/>
      <c r="J6186" s="42"/>
    </row>
    <row r="6187" spans="1:10" s="393" customFormat="1" x14ac:dyDescent="0.25">
      <c r="A6187" s="402" t="s">
        <v>35</v>
      </c>
      <c r="B6187" s="34">
        <v>44150</v>
      </c>
      <c r="C6187" s="1">
        <v>29</v>
      </c>
      <c r="D6187" s="39">
        <f t="shared" si="535"/>
        <v>4449</v>
      </c>
      <c r="E6187" s="1"/>
      <c r="F6187" s="522">
        <f t="shared" ref="F6187:F6250" si="536">E6187+F6163</f>
        <v>136</v>
      </c>
      <c r="G6187" s="395"/>
      <c r="H6187" s="395"/>
      <c r="J6187" s="42"/>
    </row>
    <row r="6188" spans="1:10" s="393" customFormat="1" x14ac:dyDescent="0.25">
      <c r="A6188" s="402" t="s">
        <v>36</v>
      </c>
      <c r="B6188" s="34">
        <v>44150</v>
      </c>
      <c r="C6188" s="1">
        <v>180</v>
      </c>
      <c r="D6188" s="39">
        <f t="shared" si="535"/>
        <v>11374</v>
      </c>
      <c r="E6188" s="1"/>
      <c r="F6188" s="522">
        <f t="shared" si="536"/>
        <v>152</v>
      </c>
      <c r="G6188" s="395"/>
      <c r="H6188" s="395"/>
      <c r="J6188" s="42"/>
    </row>
    <row r="6189" spans="1:10" s="393" customFormat="1" x14ac:dyDescent="0.25">
      <c r="A6189" s="402" t="s">
        <v>37</v>
      </c>
      <c r="B6189" s="34">
        <v>44150</v>
      </c>
      <c r="C6189" s="1">
        <v>186</v>
      </c>
      <c r="D6189" s="39">
        <f t="shared" si="535"/>
        <v>12655</v>
      </c>
      <c r="E6189" s="1">
        <f>3+1</f>
        <v>4</v>
      </c>
      <c r="F6189" s="522">
        <f t="shared" si="536"/>
        <v>191</v>
      </c>
      <c r="G6189" s="395"/>
      <c r="H6189" s="395"/>
      <c r="J6189" s="42"/>
    </row>
    <row r="6190" spans="1:10" s="393" customFormat="1" x14ac:dyDescent="0.25">
      <c r="A6190" s="402" t="s">
        <v>22</v>
      </c>
      <c r="B6190" s="34">
        <v>44150</v>
      </c>
      <c r="C6190" s="1">
        <v>685</v>
      </c>
      <c r="D6190" s="39">
        <f t="shared" si="535"/>
        <v>128133</v>
      </c>
      <c r="E6190" s="1">
        <f>4+5</f>
        <v>9</v>
      </c>
      <c r="F6190" s="522">
        <f t="shared" si="536"/>
        <v>1878</v>
      </c>
      <c r="G6190" s="395"/>
      <c r="H6190" s="395"/>
      <c r="J6190" s="42"/>
    </row>
    <row r="6191" spans="1:10" s="393" customFormat="1" x14ac:dyDescent="0.25">
      <c r="A6191" s="402" t="s">
        <v>38</v>
      </c>
      <c r="B6191" s="34">
        <v>44150</v>
      </c>
      <c r="C6191" s="1">
        <v>251</v>
      </c>
      <c r="D6191" s="39">
        <f t="shared" si="535"/>
        <v>13119</v>
      </c>
      <c r="E6191" s="1"/>
      <c r="F6191" s="522">
        <f t="shared" si="536"/>
        <v>157</v>
      </c>
      <c r="G6191" s="395"/>
      <c r="H6191" s="395"/>
      <c r="J6191" s="42"/>
    </row>
    <row r="6192" spans="1:10" s="393" customFormat="1" x14ac:dyDescent="0.25">
      <c r="A6192" s="402" t="s">
        <v>39</v>
      </c>
      <c r="B6192" s="34">
        <v>44150</v>
      </c>
      <c r="C6192" s="1">
        <v>89</v>
      </c>
      <c r="D6192" s="39">
        <f t="shared" si="535"/>
        <v>14261</v>
      </c>
      <c r="E6192" s="1">
        <f>1</f>
        <v>1</v>
      </c>
      <c r="F6192" s="522">
        <f t="shared" si="536"/>
        <v>196</v>
      </c>
      <c r="G6192" s="395"/>
      <c r="H6192" s="395"/>
      <c r="J6192" s="42"/>
    </row>
    <row r="6193" spans="1:10" s="393" customFormat="1" ht="15.75" thickBot="1" x14ac:dyDescent="0.3">
      <c r="A6193" s="403" t="s">
        <v>40</v>
      </c>
      <c r="B6193" s="34">
        <v>44150</v>
      </c>
      <c r="C6193" s="1">
        <v>403</v>
      </c>
      <c r="D6193" s="67">
        <f>C6193+D6169</f>
        <v>60032</v>
      </c>
      <c r="E6193" s="1"/>
      <c r="F6193" s="632">
        <f t="shared" si="536"/>
        <v>979</v>
      </c>
      <c r="G6193" s="395"/>
      <c r="H6193" s="395"/>
      <c r="J6193" s="42"/>
    </row>
    <row r="6194" spans="1:10" s="393" customFormat="1" x14ac:dyDescent="0.25">
      <c r="A6194" s="397" t="s">
        <v>16</v>
      </c>
      <c r="B6194" s="34">
        <v>44151</v>
      </c>
      <c r="C6194" s="1">
        <v>2190</v>
      </c>
      <c r="D6194" s="175">
        <f t="shared" ref="D6194:D6257" si="537">C6194+D6170</f>
        <v>591444</v>
      </c>
      <c r="E6194" s="1">
        <f>65+40</f>
        <v>105</v>
      </c>
      <c r="F6194" s="630">
        <f t="shared" si="536"/>
        <v>19481</v>
      </c>
      <c r="G6194" s="395"/>
      <c r="H6194" s="395"/>
      <c r="J6194" s="42"/>
    </row>
    <row r="6195" spans="1:10" s="393" customFormat="1" x14ac:dyDescent="0.25">
      <c r="A6195" s="402" t="s">
        <v>43</v>
      </c>
      <c r="B6195" s="34">
        <v>44151</v>
      </c>
      <c r="C6195" s="1">
        <v>383</v>
      </c>
      <c r="D6195" s="39">
        <f t="shared" si="537"/>
        <v>154168</v>
      </c>
      <c r="E6195" s="1">
        <f>11+8</f>
        <v>19</v>
      </c>
      <c r="F6195" s="522">
        <f t="shared" si="536"/>
        <v>5095</v>
      </c>
      <c r="G6195" s="395"/>
      <c r="H6195" s="395"/>
      <c r="J6195" s="42"/>
    </row>
    <row r="6196" spans="1:10" s="393" customFormat="1" x14ac:dyDescent="0.25">
      <c r="A6196" s="402" t="s">
        <v>28</v>
      </c>
      <c r="B6196" s="34">
        <v>44151</v>
      </c>
      <c r="C6196" s="1">
        <v>98</v>
      </c>
      <c r="D6196" s="39">
        <f t="shared" si="537"/>
        <v>1564</v>
      </c>
      <c r="E6196" s="1"/>
      <c r="F6196" s="522">
        <f t="shared" si="536"/>
        <v>7</v>
      </c>
      <c r="G6196" s="395"/>
      <c r="H6196" s="395"/>
      <c r="J6196" s="42"/>
    </row>
    <row r="6197" spans="1:10" s="393" customFormat="1" x14ac:dyDescent="0.25">
      <c r="A6197" s="402" t="s">
        <v>15</v>
      </c>
      <c r="B6197" s="34">
        <v>44151</v>
      </c>
      <c r="C6197" s="1">
        <v>150</v>
      </c>
      <c r="D6197" s="39">
        <f t="shared" si="537"/>
        <v>16468</v>
      </c>
      <c r="E6197" s="1">
        <f>10+3</f>
        <v>13</v>
      </c>
      <c r="F6197" s="522">
        <f t="shared" si="536"/>
        <v>503</v>
      </c>
      <c r="G6197" s="395"/>
      <c r="H6197" s="395"/>
      <c r="J6197" s="42"/>
    </row>
    <row r="6198" spans="1:10" s="393" customFormat="1" x14ac:dyDescent="0.25">
      <c r="A6198" s="402" t="s">
        <v>29</v>
      </c>
      <c r="B6198" s="34">
        <v>44151</v>
      </c>
      <c r="C6198" s="1">
        <v>212</v>
      </c>
      <c r="D6198" s="39">
        <f t="shared" si="537"/>
        <v>19403</v>
      </c>
      <c r="E6198" s="1">
        <f>1+1</f>
        <v>2</v>
      </c>
      <c r="F6198" s="522">
        <f t="shared" si="536"/>
        <v>324</v>
      </c>
      <c r="G6198" s="395"/>
      <c r="H6198" s="395"/>
      <c r="J6198" s="42"/>
    </row>
    <row r="6199" spans="1:10" s="393" customFormat="1" x14ac:dyDescent="0.25">
      <c r="A6199" s="402" t="s">
        <v>20</v>
      </c>
      <c r="B6199" s="34">
        <v>44151</v>
      </c>
      <c r="C6199" s="1">
        <v>701</v>
      </c>
      <c r="D6199" s="39">
        <f t="shared" si="537"/>
        <v>103163</v>
      </c>
      <c r="E6199" s="1">
        <f>19+8</f>
        <v>27</v>
      </c>
      <c r="F6199" s="522">
        <f t="shared" si="536"/>
        <v>1672</v>
      </c>
      <c r="G6199" s="395"/>
      <c r="H6199" s="395"/>
      <c r="J6199" s="42"/>
    </row>
    <row r="6200" spans="1:10" s="393" customFormat="1" x14ac:dyDescent="0.25">
      <c r="A6200" s="402" t="s">
        <v>30</v>
      </c>
      <c r="B6200" s="34">
        <v>44151</v>
      </c>
      <c r="C6200" s="1">
        <v>122</v>
      </c>
      <c r="D6200" s="39">
        <f t="shared" si="537"/>
        <v>3838</v>
      </c>
      <c r="E6200" s="1"/>
      <c r="F6200" s="522">
        <f t="shared" si="536"/>
        <v>69</v>
      </c>
      <c r="G6200" s="395"/>
      <c r="H6200" s="395"/>
      <c r="J6200" s="42"/>
    </row>
    <row r="6201" spans="1:10" x14ac:dyDescent="0.25">
      <c r="A6201" s="402" t="s">
        <v>31</v>
      </c>
      <c r="B6201" s="34">
        <v>44151</v>
      </c>
      <c r="C6201" s="1">
        <v>157</v>
      </c>
      <c r="D6201" s="39">
        <f t="shared" si="537"/>
        <v>20203</v>
      </c>
      <c r="E6201" s="1">
        <f>6+5</f>
        <v>11</v>
      </c>
      <c r="F6201" s="522">
        <f t="shared" si="536"/>
        <v>384</v>
      </c>
    </row>
    <row r="6202" spans="1:10" s="393" customFormat="1" x14ac:dyDescent="0.25">
      <c r="A6202" s="402" t="s">
        <v>41</v>
      </c>
      <c r="B6202" s="34">
        <v>44151</v>
      </c>
      <c r="C6202" s="1">
        <v>2</v>
      </c>
      <c r="D6202" s="39">
        <f t="shared" si="537"/>
        <v>170</v>
      </c>
      <c r="E6202" s="1"/>
      <c r="F6202" s="522">
        <f t="shared" si="536"/>
        <v>3</v>
      </c>
      <c r="G6202" s="395"/>
      <c r="H6202" s="395"/>
      <c r="J6202" s="42"/>
    </row>
    <row r="6203" spans="1:10" s="393" customFormat="1" x14ac:dyDescent="0.25">
      <c r="A6203" s="402" t="s">
        <v>32</v>
      </c>
      <c r="B6203" s="34">
        <v>44151</v>
      </c>
      <c r="C6203" s="1">
        <v>24</v>
      </c>
      <c r="D6203" s="39">
        <f t="shared" si="537"/>
        <v>18192</v>
      </c>
      <c r="E6203" s="1"/>
      <c r="F6203" s="522">
        <f t="shared" si="536"/>
        <v>838</v>
      </c>
      <c r="G6203" s="395"/>
      <c r="H6203" s="395"/>
      <c r="J6203" s="42"/>
    </row>
    <row r="6204" spans="1:10" s="393" customFormat="1" x14ac:dyDescent="0.25">
      <c r="A6204" s="402" t="s">
        <v>33</v>
      </c>
      <c r="B6204" s="34">
        <v>44151</v>
      </c>
      <c r="C6204" s="1">
        <v>61</v>
      </c>
      <c r="D6204" s="39">
        <f t="shared" si="537"/>
        <v>4769</v>
      </c>
      <c r="E6204" s="1">
        <f>1+1</f>
        <v>2</v>
      </c>
      <c r="F6204" s="522">
        <f t="shared" si="536"/>
        <v>51</v>
      </c>
      <c r="G6204" s="395"/>
      <c r="H6204" s="395"/>
      <c r="J6204" s="42"/>
    </row>
    <row r="6205" spans="1:10" s="393" customFormat="1" x14ac:dyDescent="0.25">
      <c r="A6205" s="402" t="s">
        <v>21</v>
      </c>
      <c r="B6205" s="34">
        <v>44151</v>
      </c>
      <c r="C6205" s="1">
        <v>45</v>
      </c>
      <c r="D6205" s="39">
        <f t="shared" si="537"/>
        <v>8225</v>
      </c>
      <c r="E6205" s="1">
        <f>1</f>
        <v>1</v>
      </c>
      <c r="F6205" s="522">
        <f t="shared" si="536"/>
        <v>299</v>
      </c>
      <c r="G6205" s="395"/>
      <c r="H6205" s="395"/>
      <c r="J6205" s="42"/>
    </row>
    <row r="6206" spans="1:10" s="393" customFormat="1" x14ac:dyDescent="0.25">
      <c r="A6206" s="402" t="s">
        <v>17</v>
      </c>
      <c r="B6206" s="34">
        <v>44151</v>
      </c>
      <c r="C6206" s="1">
        <v>429</v>
      </c>
      <c r="D6206" s="39">
        <f t="shared" si="537"/>
        <v>53516</v>
      </c>
      <c r="E6206" s="1">
        <f>1+3+6</f>
        <v>10</v>
      </c>
      <c r="F6206" s="522">
        <f t="shared" si="536"/>
        <v>1022</v>
      </c>
      <c r="G6206" s="395"/>
      <c r="H6206" s="395"/>
      <c r="J6206" s="42"/>
    </row>
    <row r="6207" spans="1:10" s="393" customFormat="1" x14ac:dyDescent="0.25">
      <c r="A6207" s="402" t="s">
        <v>23</v>
      </c>
      <c r="B6207" s="34">
        <v>44151</v>
      </c>
      <c r="C6207" s="1">
        <v>16</v>
      </c>
      <c r="D6207" s="39">
        <f t="shared" si="537"/>
        <v>391</v>
      </c>
      <c r="E6207" s="1"/>
      <c r="F6207" s="522">
        <f t="shared" si="536"/>
        <v>7</v>
      </c>
      <c r="G6207" s="395"/>
      <c r="H6207" s="395"/>
      <c r="J6207" s="42"/>
    </row>
    <row r="6208" spans="1:10" s="393" customFormat="1" x14ac:dyDescent="0.25">
      <c r="A6208" s="402" t="s">
        <v>19</v>
      </c>
      <c r="B6208" s="34">
        <v>44151</v>
      </c>
      <c r="C6208" s="1">
        <v>403</v>
      </c>
      <c r="D6208" s="39">
        <f t="shared" si="537"/>
        <v>27311</v>
      </c>
      <c r="E6208" s="1">
        <f>4+1</f>
        <v>5</v>
      </c>
      <c r="F6208" s="522">
        <f t="shared" si="536"/>
        <v>522</v>
      </c>
      <c r="G6208" s="395"/>
      <c r="H6208" s="395"/>
      <c r="J6208" s="42"/>
    </row>
    <row r="6209" spans="1:10" s="393" customFormat="1" x14ac:dyDescent="0.25">
      <c r="A6209" s="402" t="s">
        <v>18</v>
      </c>
      <c r="B6209" s="34">
        <v>44151</v>
      </c>
      <c r="C6209" s="1">
        <v>198</v>
      </c>
      <c r="D6209" s="39">
        <f t="shared" si="537"/>
        <v>28642</v>
      </c>
      <c r="E6209" s="1">
        <f>2+7</f>
        <v>9</v>
      </c>
      <c r="F6209" s="522">
        <f t="shared" si="536"/>
        <v>726</v>
      </c>
      <c r="G6209" s="395"/>
      <c r="H6209" s="395"/>
      <c r="J6209" s="42"/>
    </row>
    <row r="6210" spans="1:10" s="393" customFormat="1" x14ac:dyDescent="0.25">
      <c r="A6210" s="402" t="s">
        <v>34</v>
      </c>
      <c r="B6210" s="34">
        <v>44151</v>
      </c>
      <c r="C6210" s="1">
        <v>43</v>
      </c>
      <c r="D6210" s="39">
        <f t="shared" si="537"/>
        <v>20235</v>
      </c>
      <c r="E6210" s="1">
        <f>3+2</f>
        <v>5</v>
      </c>
      <c r="F6210" s="522">
        <f t="shared" si="536"/>
        <v>924</v>
      </c>
      <c r="G6210" s="395"/>
      <c r="H6210" s="395"/>
      <c r="J6210" s="42"/>
    </row>
    <row r="6211" spans="1:10" s="393" customFormat="1" x14ac:dyDescent="0.25">
      <c r="A6211" s="402" t="s">
        <v>35</v>
      </c>
      <c r="B6211" s="34">
        <v>44151</v>
      </c>
      <c r="C6211" s="1">
        <v>67</v>
      </c>
      <c r="D6211" s="39">
        <f t="shared" si="537"/>
        <v>4516</v>
      </c>
      <c r="E6211" s="1">
        <f>4+3</f>
        <v>7</v>
      </c>
      <c r="F6211" s="522">
        <f t="shared" si="536"/>
        <v>143</v>
      </c>
      <c r="G6211" s="395"/>
      <c r="H6211" s="395"/>
      <c r="J6211" s="42"/>
    </row>
    <row r="6212" spans="1:10" s="393" customFormat="1" x14ac:dyDescent="0.25">
      <c r="A6212" s="402" t="s">
        <v>36</v>
      </c>
      <c r="B6212" s="34">
        <v>44151</v>
      </c>
      <c r="C6212" s="1">
        <v>234</v>
      </c>
      <c r="D6212" s="39">
        <f t="shared" si="537"/>
        <v>11608</v>
      </c>
      <c r="E6212" s="1"/>
      <c r="F6212" s="522">
        <f t="shared" si="536"/>
        <v>152</v>
      </c>
      <c r="G6212" s="395"/>
      <c r="H6212" s="395"/>
      <c r="J6212" s="42"/>
    </row>
    <row r="6213" spans="1:10" s="393" customFormat="1" x14ac:dyDescent="0.25">
      <c r="A6213" s="402" t="s">
        <v>37</v>
      </c>
      <c r="B6213" s="34">
        <v>44151</v>
      </c>
      <c r="C6213" s="1">
        <v>123</v>
      </c>
      <c r="D6213" s="39">
        <f t="shared" si="537"/>
        <v>12778</v>
      </c>
      <c r="E6213" s="1">
        <f>1+1</f>
        <v>2</v>
      </c>
      <c r="F6213" s="522">
        <f t="shared" si="536"/>
        <v>193</v>
      </c>
      <c r="G6213" s="395"/>
      <c r="H6213" s="395"/>
      <c r="J6213" s="42"/>
    </row>
    <row r="6214" spans="1:10" s="393" customFormat="1" x14ac:dyDescent="0.25">
      <c r="A6214" s="402" t="s">
        <v>22</v>
      </c>
      <c r="B6214" s="34">
        <v>44151</v>
      </c>
      <c r="C6214" s="1">
        <v>1319</v>
      </c>
      <c r="D6214" s="39">
        <f t="shared" si="537"/>
        <v>129452</v>
      </c>
      <c r="E6214" s="1">
        <f>11+25</f>
        <v>36</v>
      </c>
      <c r="F6214" s="522">
        <f t="shared" si="536"/>
        <v>1914</v>
      </c>
      <c r="G6214" s="395"/>
      <c r="H6214" s="395"/>
      <c r="J6214" s="42"/>
    </row>
    <row r="6215" spans="1:10" s="393" customFormat="1" x14ac:dyDescent="0.25">
      <c r="A6215" s="402" t="s">
        <v>38</v>
      </c>
      <c r="B6215" s="34">
        <v>44151</v>
      </c>
      <c r="C6215" s="1">
        <v>192</v>
      </c>
      <c r="D6215" s="39">
        <f t="shared" si="537"/>
        <v>13311</v>
      </c>
      <c r="E6215" s="1">
        <f>2+1</f>
        <v>3</v>
      </c>
      <c r="F6215" s="522">
        <f t="shared" si="536"/>
        <v>160</v>
      </c>
      <c r="G6215" s="395"/>
      <c r="H6215" s="395"/>
      <c r="J6215" s="42"/>
    </row>
    <row r="6216" spans="1:10" s="393" customFormat="1" x14ac:dyDescent="0.25">
      <c r="A6216" s="402" t="s">
        <v>39</v>
      </c>
      <c r="B6216" s="34">
        <v>44151</v>
      </c>
      <c r="C6216" s="1">
        <v>144</v>
      </c>
      <c r="D6216" s="39">
        <f t="shared" si="537"/>
        <v>14405</v>
      </c>
      <c r="E6216" s="1">
        <f>3+6</f>
        <v>9</v>
      </c>
      <c r="F6216" s="522">
        <f t="shared" si="536"/>
        <v>205</v>
      </c>
      <c r="G6216" s="395"/>
      <c r="H6216" s="395"/>
      <c r="J6216" s="42"/>
    </row>
    <row r="6217" spans="1:10" s="393" customFormat="1" ht="15.75" thickBot="1" x14ac:dyDescent="0.3">
      <c r="A6217" s="403" t="s">
        <v>40</v>
      </c>
      <c r="B6217" s="34">
        <v>44151</v>
      </c>
      <c r="C6217" s="1">
        <v>580</v>
      </c>
      <c r="D6217" s="67">
        <f>C6217+D6193</f>
        <v>60612</v>
      </c>
      <c r="E6217" s="1">
        <f>17+9</f>
        <v>26</v>
      </c>
      <c r="F6217" s="632">
        <f t="shared" si="536"/>
        <v>1005</v>
      </c>
      <c r="G6217" s="395"/>
      <c r="H6217" s="395"/>
      <c r="J6217" s="42"/>
    </row>
    <row r="6218" spans="1:10" s="393" customFormat="1" x14ac:dyDescent="0.25">
      <c r="A6218" s="397" t="s">
        <v>16</v>
      </c>
      <c r="B6218" s="34">
        <v>44152</v>
      </c>
      <c r="C6218" s="1">
        <v>2804</v>
      </c>
      <c r="D6218" s="175">
        <f t="shared" si="537"/>
        <v>594248</v>
      </c>
      <c r="E6218" s="1">
        <f>3+91+73</f>
        <v>167</v>
      </c>
      <c r="F6218" s="630">
        <f t="shared" si="536"/>
        <v>19648</v>
      </c>
      <c r="G6218" s="395"/>
      <c r="H6218" s="395"/>
      <c r="J6218" s="42"/>
    </row>
    <row r="6219" spans="1:10" s="393" customFormat="1" x14ac:dyDescent="0.25">
      <c r="A6219" s="402" t="s">
        <v>43</v>
      </c>
      <c r="B6219" s="34">
        <v>44152</v>
      </c>
      <c r="C6219" s="1">
        <v>428</v>
      </c>
      <c r="D6219" s="39">
        <f t="shared" si="537"/>
        <v>154596</v>
      </c>
      <c r="E6219" s="1">
        <f>5+6</f>
        <v>11</v>
      </c>
      <c r="F6219" s="522">
        <f t="shared" si="536"/>
        <v>5106</v>
      </c>
      <c r="G6219" s="395"/>
      <c r="H6219" s="395"/>
      <c r="J6219" s="42"/>
    </row>
    <row r="6220" spans="1:10" s="393" customFormat="1" x14ac:dyDescent="0.25">
      <c r="A6220" s="402" t="s">
        <v>28</v>
      </c>
      <c r="B6220" s="34">
        <v>44152</v>
      </c>
      <c r="C6220" s="1">
        <v>17</v>
      </c>
      <c r="D6220" s="39">
        <f t="shared" si="537"/>
        <v>1581</v>
      </c>
      <c r="E6220" s="1"/>
      <c r="F6220" s="522">
        <f t="shared" si="536"/>
        <v>7</v>
      </c>
      <c r="G6220" s="395"/>
      <c r="H6220" s="395"/>
      <c r="J6220" s="42"/>
    </row>
    <row r="6221" spans="1:10" s="393" customFormat="1" x14ac:dyDescent="0.25">
      <c r="A6221" s="402" t="s">
        <v>15</v>
      </c>
      <c r="B6221" s="34">
        <v>44152</v>
      </c>
      <c r="C6221" s="1">
        <v>259</v>
      </c>
      <c r="D6221" s="39">
        <f t="shared" si="537"/>
        <v>16727</v>
      </c>
      <c r="E6221" s="1">
        <f>8+5</f>
        <v>13</v>
      </c>
      <c r="F6221" s="522">
        <f t="shared" si="536"/>
        <v>516</v>
      </c>
      <c r="G6221" s="395"/>
      <c r="H6221" s="395"/>
      <c r="J6221" s="42"/>
    </row>
    <row r="6222" spans="1:10" s="393" customFormat="1" x14ac:dyDescent="0.25">
      <c r="A6222" s="402" t="s">
        <v>29</v>
      </c>
      <c r="B6222" s="34">
        <v>44152</v>
      </c>
      <c r="C6222" s="1">
        <v>344</v>
      </c>
      <c r="D6222" s="39">
        <f t="shared" si="537"/>
        <v>19747</v>
      </c>
      <c r="E6222" s="1">
        <f>6+2</f>
        <v>8</v>
      </c>
      <c r="F6222" s="522">
        <f t="shared" si="536"/>
        <v>332</v>
      </c>
      <c r="G6222" s="395"/>
      <c r="H6222" s="395"/>
      <c r="J6222" s="42"/>
    </row>
    <row r="6223" spans="1:10" s="393" customFormat="1" x14ac:dyDescent="0.25">
      <c r="A6223" s="402" t="s">
        <v>20</v>
      </c>
      <c r="B6223" s="34">
        <v>44152</v>
      </c>
      <c r="C6223" s="1">
        <v>1309</v>
      </c>
      <c r="D6223" s="39">
        <f t="shared" si="537"/>
        <v>104472</v>
      </c>
      <c r="E6223" s="1">
        <f>21+6</f>
        <v>27</v>
      </c>
      <c r="F6223" s="522">
        <f t="shared" si="536"/>
        <v>1699</v>
      </c>
      <c r="G6223" s="395"/>
      <c r="H6223" s="395"/>
      <c r="J6223" s="42"/>
    </row>
    <row r="6224" spans="1:10" s="393" customFormat="1" x14ac:dyDescent="0.25">
      <c r="A6224" s="402" t="s">
        <v>30</v>
      </c>
      <c r="B6224" s="34">
        <v>44152</v>
      </c>
      <c r="C6224" s="1">
        <v>138</v>
      </c>
      <c r="D6224" s="39">
        <f t="shared" si="537"/>
        <v>3976</v>
      </c>
      <c r="E6224" s="1">
        <f>8+3</f>
        <v>11</v>
      </c>
      <c r="F6224" s="522">
        <f t="shared" si="536"/>
        <v>80</v>
      </c>
      <c r="G6224" s="395"/>
      <c r="H6224" s="395"/>
      <c r="J6224" s="42"/>
    </row>
    <row r="6225" spans="1:10" x14ac:dyDescent="0.25">
      <c r="A6225" s="402" t="s">
        <v>31</v>
      </c>
      <c r="B6225" s="34">
        <v>44152</v>
      </c>
      <c r="C6225" s="1">
        <v>348</v>
      </c>
      <c r="D6225" s="39">
        <f t="shared" si="537"/>
        <v>20551</v>
      </c>
      <c r="E6225" s="1">
        <f>4+4</f>
        <v>8</v>
      </c>
      <c r="F6225" s="522">
        <f t="shared" si="536"/>
        <v>392</v>
      </c>
    </row>
    <row r="6226" spans="1:10" s="393" customFormat="1" x14ac:dyDescent="0.25">
      <c r="A6226" s="402" t="s">
        <v>41</v>
      </c>
      <c r="B6226" s="34">
        <v>44152</v>
      </c>
      <c r="C6226" s="1">
        <v>0</v>
      </c>
      <c r="D6226" s="39">
        <f t="shared" si="537"/>
        <v>170</v>
      </c>
      <c r="E6226" s="1"/>
      <c r="F6226" s="522">
        <f t="shared" si="536"/>
        <v>3</v>
      </c>
      <c r="G6226" s="395"/>
      <c r="H6226" s="395"/>
      <c r="J6226" s="42"/>
    </row>
    <row r="6227" spans="1:10" s="393" customFormat="1" x14ac:dyDescent="0.25">
      <c r="A6227" s="402" t="s">
        <v>32</v>
      </c>
      <c r="B6227" s="34">
        <v>44152</v>
      </c>
      <c r="C6227" s="1">
        <v>21</v>
      </c>
      <c r="D6227" s="39">
        <f t="shared" si="537"/>
        <v>18213</v>
      </c>
      <c r="E6227" s="1">
        <f>1</f>
        <v>1</v>
      </c>
      <c r="F6227" s="522">
        <f t="shared" si="536"/>
        <v>839</v>
      </c>
      <c r="G6227" s="395"/>
      <c r="H6227" s="395"/>
      <c r="J6227" s="42"/>
    </row>
    <row r="6228" spans="1:10" s="393" customFormat="1" x14ac:dyDescent="0.25">
      <c r="A6228" s="402" t="s">
        <v>33</v>
      </c>
      <c r="B6228" s="34">
        <v>44152</v>
      </c>
      <c r="C6228" s="1">
        <v>65</v>
      </c>
      <c r="D6228" s="39">
        <f t="shared" si="537"/>
        <v>4834</v>
      </c>
      <c r="E6228" s="1">
        <f>5+6</f>
        <v>11</v>
      </c>
      <c r="F6228" s="522">
        <f t="shared" si="536"/>
        <v>62</v>
      </c>
      <c r="G6228" s="395"/>
      <c r="H6228" s="395"/>
      <c r="J6228" s="42"/>
    </row>
    <row r="6229" spans="1:10" s="393" customFormat="1" x14ac:dyDescent="0.25">
      <c r="A6229" s="402" t="s">
        <v>21</v>
      </c>
      <c r="B6229" s="34">
        <v>44152</v>
      </c>
      <c r="C6229" s="1">
        <v>18</v>
      </c>
      <c r="D6229" s="39">
        <f t="shared" si="537"/>
        <v>8243</v>
      </c>
      <c r="E6229" s="1">
        <f>1</f>
        <v>1</v>
      </c>
      <c r="F6229" s="522">
        <f t="shared" si="536"/>
        <v>300</v>
      </c>
      <c r="G6229" s="395"/>
      <c r="H6229" s="395"/>
      <c r="J6229" s="42"/>
    </row>
    <row r="6230" spans="1:10" s="393" customFormat="1" x14ac:dyDescent="0.25">
      <c r="A6230" s="402" t="s">
        <v>17</v>
      </c>
      <c r="B6230" s="34">
        <v>44152</v>
      </c>
      <c r="C6230" s="1">
        <v>396</v>
      </c>
      <c r="D6230" s="39">
        <f t="shared" si="537"/>
        <v>53912</v>
      </c>
      <c r="E6230" s="1">
        <f>4+3</f>
        <v>7</v>
      </c>
      <c r="F6230" s="522">
        <f t="shared" si="536"/>
        <v>1029</v>
      </c>
      <c r="G6230" s="395"/>
      <c r="H6230" s="395"/>
      <c r="J6230" s="42"/>
    </row>
    <row r="6231" spans="1:10" s="393" customFormat="1" x14ac:dyDescent="0.25">
      <c r="A6231" s="402" t="s">
        <v>23</v>
      </c>
      <c r="B6231" s="34">
        <v>44152</v>
      </c>
      <c r="C6231" s="1">
        <v>6</v>
      </c>
      <c r="D6231" s="39">
        <f t="shared" si="537"/>
        <v>397</v>
      </c>
      <c r="E6231" s="1"/>
      <c r="F6231" s="522">
        <f t="shared" si="536"/>
        <v>7</v>
      </c>
      <c r="G6231" s="395"/>
      <c r="H6231" s="395"/>
      <c r="J6231" s="42"/>
    </row>
    <row r="6232" spans="1:10" s="393" customFormat="1" x14ac:dyDescent="0.25">
      <c r="A6232" s="402" t="s">
        <v>19</v>
      </c>
      <c r="B6232" s="34">
        <v>44152</v>
      </c>
      <c r="C6232" s="1">
        <v>999</v>
      </c>
      <c r="D6232" s="39">
        <f t="shared" si="537"/>
        <v>28310</v>
      </c>
      <c r="E6232" s="1">
        <f>18+11</f>
        <v>29</v>
      </c>
      <c r="F6232" s="522">
        <f t="shared" si="536"/>
        <v>551</v>
      </c>
      <c r="G6232" s="395"/>
      <c r="H6232" s="395"/>
      <c r="J6232" s="42"/>
    </row>
    <row r="6233" spans="1:10" s="393" customFormat="1" x14ac:dyDescent="0.25">
      <c r="A6233" s="402" t="s">
        <v>18</v>
      </c>
      <c r="B6233" s="34">
        <v>44152</v>
      </c>
      <c r="C6233" s="1">
        <v>295</v>
      </c>
      <c r="D6233" s="39">
        <f t="shared" si="537"/>
        <v>28937</v>
      </c>
      <c r="E6233" s="1">
        <f>2+3</f>
        <v>5</v>
      </c>
      <c r="F6233" s="522">
        <f t="shared" si="536"/>
        <v>731</v>
      </c>
      <c r="G6233" s="395"/>
      <c r="H6233" s="395"/>
      <c r="J6233" s="42"/>
    </row>
    <row r="6234" spans="1:10" s="393" customFormat="1" x14ac:dyDescent="0.25">
      <c r="A6234" s="402" t="s">
        <v>34</v>
      </c>
      <c r="B6234" s="34">
        <v>44152</v>
      </c>
      <c r="C6234" s="1">
        <v>92</v>
      </c>
      <c r="D6234" s="39">
        <f t="shared" si="537"/>
        <v>20327</v>
      </c>
      <c r="E6234" s="1">
        <f>3+1</f>
        <v>4</v>
      </c>
      <c r="F6234" s="522">
        <f t="shared" si="536"/>
        <v>928</v>
      </c>
      <c r="G6234" s="395"/>
      <c r="H6234" s="395"/>
      <c r="J6234" s="42"/>
    </row>
    <row r="6235" spans="1:10" s="393" customFormat="1" x14ac:dyDescent="0.25">
      <c r="A6235" s="402" t="s">
        <v>35</v>
      </c>
      <c r="B6235" s="34">
        <v>44152</v>
      </c>
      <c r="C6235" s="1">
        <v>172</v>
      </c>
      <c r="D6235" s="39">
        <f t="shared" si="537"/>
        <v>4688</v>
      </c>
      <c r="E6235" s="1"/>
      <c r="F6235" s="522">
        <f t="shared" si="536"/>
        <v>143</v>
      </c>
      <c r="G6235" s="395"/>
      <c r="H6235" s="395"/>
      <c r="J6235" s="42"/>
    </row>
    <row r="6236" spans="1:10" s="393" customFormat="1" x14ac:dyDescent="0.25">
      <c r="A6236" s="402" t="s">
        <v>36</v>
      </c>
      <c r="B6236" s="34">
        <v>44152</v>
      </c>
      <c r="C6236" s="1">
        <v>233</v>
      </c>
      <c r="D6236" s="39">
        <f t="shared" si="537"/>
        <v>11841</v>
      </c>
      <c r="E6236" s="1">
        <f>3+2</f>
        <v>5</v>
      </c>
      <c r="F6236" s="522">
        <f t="shared" si="536"/>
        <v>157</v>
      </c>
      <c r="G6236" s="395"/>
      <c r="H6236" s="395"/>
      <c r="J6236" s="42"/>
    </row>
    <row r="6237" spans="1:10" s="393" customFormat="1" x14ac:dyDescent="0.25">
      <c r="A6237" s="402" t="s">
        <v>37</v>
      </c>
      <c r="B6237" s="34">
        <v>44152</v>
      </c>
      <c r="C6237" s="1">
        <v>267</v>
      </c>
      <c r="D6237" s="39">
        <f t="shared" si="537"/>
        <v>13045</v>
      </c>
      <c r="E6237" s="1">
        <v>17</v>
      </c>
      <c r="F6237" s="522">
        <f t="shared" si="536"/>
        <v>210</v>
      </c>
      <c r="G6237" s="395"/>
      <c r="H6237" s="395"/>
      <c r="J6237" s="42"/>
    </row>
    <row r="6238" spans="1:10" s="393" customFormat="1" x14ac:dyDescent="0.25">
      <c r="A6238" s="402" t="s">
        <v>22</v>
      </c>
      <c r="B6238" s="34">
        <v>44152</v>
      </c>
      <c r="C6238" s="1">
        <v>1477</v>
      </c>
      <c r="D6238" s="39">
        <f t="shared" si="537"/>
        <v>130929</v>
      </c>
      <c r="E6238" s="1">
        <f>14+19</f>
        <v>33</v>
      </c>
      <c r="F6238" s="522">
        <f t="shared" si="536"/>
        <v>1947</v>
      </c>
      <c r="G6238" s="395"/>
      <c r="H6238" s="395"/>
      <c r="J6238" s="42"/>
    </row>
    <row r="6239" spans="1:10" s="393" customFormat="1" x14ac:dyDescent="0.25">
      <c r="A6239" s="402" t="s">
        <v>38</v>
      </c>
      <c r="B6239" s="34">
        <v>44152</v>
      </c>
      <c r="C6239" s="1">
        <v>113</v>
      </c>
      <c r="D6239" s="39">
        <f t="shared" si="537"/>
        <v>13424</v>
      </c>
      <c r="E6239" s="1">
        <f>3</f>
        <v>3</v>
      </c>
      <c r="F6239" s="522">
        <f t="shared" si="536"/>
        <v>163</v>
      </c>
      <c r="G6239" s="395"/>
      <c r="H6239" s="395"/>
      <c r="J6239" s="42"/>
    </row>
    <row r="6240" spans="1:10" s="393" customFormat="1" x14ac:dyDescent="0.25">
      <c r="A6240" s="402" t="s">
        <v>39</v>
      </c>
      <c r="B6240" s="34">
        <v>44152</v>
      </c>
      <c r="C6240" s="1">
        <v>132</v>
      </c>
      <c r="D6240" s="39">
        <f t="shared" si="537"/>
        <v>14537</v>
      </c>
      <c r="E6240" s="1">
        <f>2</f>
        <v>2</v>
      </c>
      <c r="F6240" s="522">
        <f t="shared" si="536"/>
        <v>207</v>
      </c>
      <c r="G6240" s="395"/>
      <c r="H6240" s="395"/>
      <c r="J6240" s="42"/>
    </row>
    <row r="6241" spans="1:10" s="393" customFormat="1" ht="15.75" thickBot="1" x14ac:dyDescent="0.3">
      <c r="A6241" s="403" t="s">
        <v>40</v>
      </c>
      <c r="B6241" s="34">
        <v>44152</v>
      </c>
      <c r="C6241" s="1">
        <v>688</v>
      </c>
      <c r="D6241" s="67">
        <f>C6241+D6217</f>
        <v>61300</v>
      </c>
      <c r="E6241" s="1">
        <f>9+6</f>
        <v>15</v>
      </c>
      <c r="F6241" s="632">
        <f t="shared" si="536"/>
        <v>1020</v>
      </c>
      <c r="G6241" s="395"/>
      <c r="H6241" s="395"/>
      <c r="J6241" s="42"/>
    </row>
    <row r="6242" spans="1:10" s="393" customFormat="1" x14ac:dyDescent="0.25">
      <c r="A6242" s="397" t="s">
        <v>16</v>
      </c>
      <c r="B6242" s="34">
        <v>44153</v>
      </c>
      <c r="C6242" s="1">
        <v>2826</v>
      </c>
      <c r="D6242" s="175">
        <f t="shared" si="537"/>
        <v>597074</v>
      </c>
      <c r="E6242" s="1">
        <f>39+29</f>
        <v>68</v>
      </c>
      <c r="F6242" s="630">
        <f t="shared" si="536"/>
        <v>19716</v>
      </c>
      <c r="G6242" s="395"/>
      <c r="H6242" s="395"/>
      <c r="J6242" s="42"/>
    </row>
    <row r="6243" spans="1:10" s="393" customFormat="1" x14ac:dyDescent="0.25">
      <c r="A6243" s="402" t="s">
        <v>43</v>
      </c>
      <c r="B6243" s="34">
        <v>44153</v>
      </c>
      <c r="C6243" s="1">
        <v>384</v>
      </c>
      <c r="D6243" s="39">
        <f t="shared" si="537"/>
        <v>154980</v>
      </c>
      <c r="E6243" s="1">
        <f>8+13</f>
        <v>21</v>
      </c>
      <c r="F6243" s="522">
        <f t="shared" si="536"/>
        <v>5127</v>
      </c>
      <c r="G6243" s="395"/>
      <c r="H6243" s="395"/>
      <c r="J6243" s="42"/>
    </row>
    <row r="6244" spans="1:10" s="393" customFormat="1" x14ac:dyDescent="0.25">
      <c r="A6244" s="402" t="s">
        <v>28</v>
      </c>
      <c r="B6244" s="34">
        <v>44153</v>
      </c>
      <c r="C6244" s="1">
        <v>23</v>
      </c>
      <c r="D6244" s="39">
        <f t="shared" si="537"/>
        <v>1604</v>
      </c>
      <c r="E6244" s="1">
        <v>1</v>
      </c>
      <c r="F6244" s="522">
        <f t="shared" si="536"/>
        <v>8</v>
      </c>
      <c r="G6244" s="395"/>
      <c r="H6244" s="395"/>
      <c r="J6244" s="42"/>
    </row>
    <row r="6245" spans="1:10" s="393" customFormat="1" x14ac:dyDescent="0.25">
      <c r="A6245" s="402" t="s">
        <v>15</v>
      </c>
      <c r="B6245" s="34">
        <v>44153</v>
      </c>
      <c r="C6245" s="1">
        <v>230</v>
      </c>
      <c r="D6245" s="39">
        <f t="shared" si="537"/>
        <v>16957</v>
      </c>
      <c r="E6245" s="1">
        <f>2+1</f>
        <v>3</v>
      </c>
      <c r="F6245" s="522">
        <f t="shared" si="536"/>
        <v>519</v>
      </c>
      <c r="G6245" s="395"/>
      <c r="H6245" s="395"/>
      <c r="J6245" s="42"/>
    </row>
    <row r="6246" spans="1:10" s="393" customFormat="1" x14ac:dyDescent="0.25">
      <c r="A6246" s="402" t="s">
        <v>29</v>
      </c>
      <c r="B6246" s="34">
        <v>44153</v>
      </c>
      <c r="C6246" s="1">
        <v>366</v>
      </c>
      <c r="D6246" s="39">
        <f t="shared" si="537"/>
        <v>20113</v>
      </c>
      <c r="E6246" s="1">
        <f>5+2</f>
        <v>7</v>
      </c>
      <c r="F6246" s="522">
        <f t="shared" si="536"/>
        <v>339</v>
      </c>
      <c r="G6246" s="395"/>
      <c r="H6246" s="395"/>
      <c r="J6246" s="42"/>
    </row>
    <row r="6247" spans="1:10" s="393" customFormat="1" x14ac:dyDescent="0.25">
      <c r="A6247" s="402" t="s">
        <v>20</v>
      </c>
      <c r="B6247" s="34">
        <v>44153</v>
      </c>
      <c r="C6247" s="1">
        <v>1381</v>
      </c>
      <c r="D6247" s="39">
        <f t="shared" si="537"/>
        <v>105853</v>
      </c>
      <c r="E6247" s="1">
        <f>19+12</f>
        <v>31</v>
      </c>
      <c r="F6247" s="522">
        <f t="shared" si="536"/>
        <v>1730</v>
      </c>
      <c r="G6247" s="395"/>
      <c r="H6247" s="395"/>
      <c r="J6247" s="42"/>
    </row>
    <row r="6248" spans="1:10" s="393" customFormat="1" x14ac:dyDescent="0.25">
      <c r="A6248" s="402" t="s">
        <v>30</v>
      </c>
      <c r="B6248" s="34">
        <v>44153</v>
      </c>
      <c r="C6248" s="1">
        <v>272</v>
      </c>
      <c r="D6248" s="39">
        <f t="shared" si="537"/>
        <v>4248</v>
      </c>
      <c r="E6248" s="1">
        <f>3+3</f>
        <v>6</v>
      </c>
      <c r="F6248" s="522">
        <f t="shared" si="536"/>
        <v>86</v>
      </c>
      <c r="G6248" s="395"/>
      <c r="H6248" s="395"/>
      <c r="J6248" s="42"/>
    </row>
    <row r="6249" spans="1:10" x14ac:dyDescent="0.25">
      <c r="A6249" s="402" t="s">
        <v>31</v>
      </c>
      <c r="B6249" s="34">
        <v>44153</v>
      </c>
      <c r="C6249" s="1">
        <v>374</v>
      </c>
      <c r="D6249" s="39">
        <f t="shared" si="537"/>
        <v>20925</v>
      </c>
      <c r="E6249" s="1">
        <v>4</v>
      </c>
      <c r="F6249" s="522">
        <f t="shared" si="536"/>
        <v>396</v>
      </c>
    </row>
    <row r="6250" spans="1:10" s="393" customFormat="1" x14ac:dyDescent="0.25">
      <c r="A6250" s="402" t="s">
        <v>41</v>
      </c>
      <c r="B6250" s="34">
        <v>44153</v>
      </c>
      <c r="C6250" s="1">
        <v>3</v>
      </c>
      <c r="D6250" s="39">
        <f t="shared" si="537"/>
        <v>173</v>
      </c>
      <c r="E6250" s="1"/>
      <c r="F6250" s="522">
        <f t="shared" si="536"/>
        <v>3</v>
      </c>
      <c r="G6250" s="395"/>
      <c r="H6250" s="395"/>
      <c r="J6250" s="42"/>
    </row>
    <row r="6251" spans="1:10" s="393" customFormat="1" x14ac:dyDescent="0.25">
      <c r="A6251" s="402" t="s">
        <v>32</v>
      </c>
      <c r="B6251" s="34">
        <v>44153</v>
      </c>
      <c r="C6251" s="1">
        <v>27</v>
      </c>
      <c r="D6251" s="39">
        <f t="shared" si="537"/>
        <v>18240</v>
      </c>
      <c r="E6251" s="1">
        <f>1</f>
        <v>1</v>
      </c>
      <c r="F6251" s="522">
        <f t="shared" ref="F6251:F6314" si="538">E6251+F6227</f>
        <v>840</v>
      </c>
      <c r="G6251" s="395"/>
      <c r="H6251" s="395"/>
      <c r="J6251" s="42"/>
    </row>
    <row r="6252" spans="1:10" s="393" customFormat="1" x14ac:dyDescent="0.25">
      <c r="A6252" s="402" t="s">
        <v>33</v>
      </c>
      <c r="B6252" s="34">
        <v>44153</v>
      </c>
      <c r="C6252" s="1">
        <v>75</v>
      </c>
      <c r="D6252" s="39">
        <f t="shared" si="537"/>
        <v>4909</v>
      </c>
      <c r="E6252" s="1">
        <f>2</f>
        <v>2</v>
      </c>
      <c r="F6252" s="522">
        <f t="shared" si="538"/>
        <v>64</v>
      </c>
      <c r="G6252" s="395"/>
      <c r="H6252" s="395"/>
      <c r="J6252" s="42"/>
    </row>
    <row r="6253" spans="1:10" s="393" customFormat="1" x14ac:dyDescent="0.25">
      <c r="A6253" s="402" t="s">
        <v>21</v>
      </c>
      <c r="B6253" s="34">
        <v>44153</v>
      </c>
      <c r="C6253" s="1">
        <v>51</v>
      </c>
      <c r="D6253" s="39">
        <f t="shared" si="537"/>
        <v>8294</v>
      </c>
      <c r="E6253" s="1">
        <f>1</f>
        <v>1</v>
      </c>
      <c r="F6253" s="522">
        <f t="shared" si="538"/>
        <v>301</v>
      </c>
      <c r="G6253" s="395"/>
      <c r="H6253" s="395"/>
      <c r="J6253" s="42"/>
    </row>
    <row r="6254" spans="1:10" s="393" customFormat="1" x14ac:dyDescent="0.25">
      <c r="A6254" s="402" t="s">
        <v>17</v>
      </c>
      <c r="B6254" s="34">
        <v>44153</v>
      </c>
      <c r="C6254" s="1">
        <v>339</v>
      </c>
      <c r="D6254" s="39">
        <f t="shared" si="537"/>
        <v>54251</v>
      </c>
      <c r="E6254" s="1">
        <f>15+9</f>
        <v>24</v>
      </c>
      <c r="F6254" s="522">
        <f t="shared" si="538"/>
        <v>1053</v>
      </c>
      <c r="G6254" s="395"/>
      <c r="H6254" s="395"/>
      <c r="J6254" s="42"/>
    </row>
    <row r="6255" spans="1:10" s="393" customFormat="1" x14ac:dyDescent="0.25">
      <c r="A6255" s="402" t="s">
        <v>23</v>
      </c>
      <c r="B6255" s="34">
        <v>44153</v>
      </c>
      <c r="C6255" s="1">
        <v>10</v>
      </c>
      <c r="D6255" s="39">
        <f t="shared" si="537"/>
        <v>407</v>
      </c>
      <c r="E6255" s="1"/>
      <c r="F6255" s="522">
        <f t="shared" si="538"/>
        <v>7</v>
      </c>
      <c r="G6255" s="395"/>
      <c r="H6255" s="395"/>
      <c r="J6255" s="42"/>
    </row>
    <row r="6256" spans="1:10" s="393" customFormat="1" x14ac:dyDescent="0.25">
      <c r="A6256" s="402" t="s">
        <v>19</v>
      </c>
      <c r="B6256" s="34">
        <v>44153</v>
      </c>
      <c r="C6256" s="1">
        <v>348</v>
      </c>
      <c r="D6256" s="39">
        <f t="shared" si="537"/>
        <v>28658</v>
      </c>
      <c r="E6256" s="1">
        <v>13</v>
      </c>
      <c r="F6256" s="522">
        <f t="shared" si="538"/>
        <v>564</v>
      </c>
      <c r="G6256" s="395"/>
      <c r="H6256" s="395"/>
      <c r="J6256" s="42"/>
    </row>
    <row r="6257" spans="1:10" s="393" customFormat="1" x14ac:dyDescent="0.25">
      <c r="A6257" s="402" t="s">
        <v>18</v>
      </c>
      <c r="B6257" s="34">
        <v>44153</v>
      </c>
      <c r="C6257" s="1">
        <v>299</v>
      </c>
      <c r="D6257" s="39">
        <f t="shared" si="537"/>
        <v>29236</v>
      </c>
      <c r="E6257" s="1">
        <f>4+4</f>
        <v>8</v>
      </c>
      <c r="F6257" s="522">
        <f t="shared" si="538"/>
        <v>739</v>
      </c>
      <c r="G6257" s="395"/>
      <c r="H6257" s="395"/>
      <c r="J6257" s="42"/>
    </row>
    <row r="6258" spans="1:10" s="393" customFormat="1" x14ac:dyDescent="0.25">
      <c r="A6258" s="402" t="s">
        <v>34</v>
      </c>
      <c r="B6258" s="34">
        <v>44153</v>
      </c>
      <c r="C6258" s="1">
        <v>112</v>
      </c>
      <c r="D6258" s="39">
        <f t="shared" ref="D6258:D6264" si="539">C6258+D6234</f>
        <v>20439</v>
      </c>
      <c r="E6258" s="1">
        <f>5+4</f>
        <v>9</v>
      </c>
      <c r="F6258" s="522">
        <f t="shared" si="538"/>
        <v>937</v>
      </c>
      <c r="G6258" s="395"/>
      <c r="H6258" s="395"/>
      <c r="J6258" s="42"/>
    </row>
    <row r="6259" spans="1:10" s="393" customFormat="1" x14ac:dyDescent="0.25">
      <c r="A6259" s="402" t="s">
        <v>35</v>
      </c>
      <c r="B6259" s="34">
        <v>44153</v>
      </c>
      <c r="C6259" s="1">
        <v>174</v>
      </c>
      <c r="D6259" s="39">
        <f t="shared" si="539"/>
        <v>4862</v>
      </c>
      <c r="E6259" s="1"/>
      <c r="F6259" s="522">
        <f t="shared" si="538"/>
        <v>143</v>
      </c>
      <c r="G6259" s="395"/>
      <c r="H6259" s="395"/>
      <c r="J6259" s="42"/>
    </row>
    <row r="6260" spans="1:10" s="393" customFormat="1" x14ac:dyDescent="0.25">
      <c r="A6260" s="402" t="s">
        <v>36</v>
      </c>
      <c r="B6260" s="34">
        <v>44153</v>
      </c>
      <c r="C6260" s="1">
        <v>219</v>
      </c>
      <c r="D6260" s="39">
        <f t="shared" si="539"/>
        <v>12060</v>
      </c>
      <c r="E6260" s="1">
        <f>4+2</f>
        <v>6</v>
      </c>
      <c r="F6260" s="522">
        <f t="shared" si="538"/>
        <v>163</v>
      </c>
      <c r="G6260" s="395"/>
      <c r="H6260" s="395"/>
      <c r="J6260" s="42"/>
    </row>
    <row r="6261" spans="1:10" s="393" customFormat="1" x14ac:dyDescent="0.25">
      <c r="A6261" s="402" t="s">
        <v>37</v>
      </c>
      <c r="B6261" s="34">
        <v>44153</v>
      </c>
      <c r="C6261" s="1">
        <v>268</v>
      </c>
      <c r="D6261" s="39">
        <f t="shared" si="539"/>
        <v>13313</v>
      </c>
      <c r="E6261" s="1">
        <f>4+2</f>
        <v>6</v>
      </c>
      <c r="F6261" s="522">
        <f t="shared" si="538"/>
        <v>216</v>
      </c>
      <c r="G6261" s="395"/>
      <c r="H6261" s="395"/>
      <c r="J6261" s="42"/>
    </row>
    <row r="6262" spans="1:10" s="393" customFormat="1" x14ac:dyDescent="0.25">
      <c r="A6262" s="402" t="s">
        <v>22</v>
      </c>
      <c r="B6262" s="34">
        <v>44153</v>
      </c>
      <c r="C6262" s="1">
        <v>1657</v>
      </c>
      <c r="D6262" s="39">
        <f t="shared" si="539"/>
        <v>132586</v>
      </c>
      <c r="E6262" s="1">
        <f>13+10</f>
        <v>23</v>
      </c>
      <c r="F6262" s="522">
        <f t="shared" si="538"/>
        <v>1970</v>
      </c>
      <c r="G6262" s="395"/>
      <c r="H6262" s="395"/>
      <c r="J6262" s="42"/>
    </row>
    <row r="6263" spans="1:10" s="393" customFormat="1" x14ac:dyDescent="0.25">
      <c r="A6263" s="402" t="s">
        <v>38</v>
      </c>
      <c r="B6263" s="34">
        <v>44153</v>
      </c>
      <c r="C6263" s="1">
        <v>229</v>
      </c>
      <c r="D6263" s="39">
        <f t="shared" si="539"/>
        <v>13653</v>
      </c>
      <c r="E6263" s="1"/>
      <c r="F6263" s="522">
        <f t="shared" si="538"/>
        <v>163</v>
      </c>
      <c r="G6263" s="395"/>
      <c r="H6263" s="395"/>
      <c r="J6263" s="42"/>
    </row>
    <row r="6264" spans="1:10" s="393" customFormat="1" x14ac:dyDescent="0.25">
      <c r="A6264" s="402" t="s">
        <v>39</v>
      </c>
      <c r="B6264" s="34">
        <v>44153</v>
      </c>
      <c r="C6264" s="1">
        <v>132</v>
      </c>
      <c r="D6264" s="39">
        <f t="shared" si="539"/>
        <v>14669</v>
      </c>
      <c r="E6264" s="1">
        <f>2+2</f>
        <v>4</v>
      </c>
      <c r="F6264" s="522">
        <f t="shared" si="538"/>
        <v>211</v>
      </c>
      <c r="G6264" s="395"/>
      <c r="H6264" s="395"/>
      <c r="J6264" s="42"/>
    </row>
    <row r="6265" spans="1:10" s="393" customFormat="1" ht="15.75" thickBot="1" x14ac:dyDescent="0.3">
      <c r="A6265" s="403" t="s">
        <v>40</v>
      </c>
      <c r="B6265" s="34">
        <v>44153</v>
      </c>
      <c r="C6265" s="234">
        <v>533</v>
      </c>
      <c r="D6265" s="67">
        <f>C6265+D6241</f>
        <v>61833</v>
      </c>
      <c r="E6265" s="234">
        <v>1</v>
      </c>
      <c r="F6265" s="632">
        <f t="shared" si="538"/>
        <v>1021</v>
      </c>
      <c r="G6265" s="395"/>
      <c r="H6265" s="395"/>
      <c r="J6265" s="42"/>
    </row>
    <row r="6266" spans="1:10" s="393" customFormat="1" x14ac:dyDescent="0.25">
      <c r="A6266" s="397" t="s">
        <v>16</v>
      </c>
      <c r="B6266" s="276">
        <v>44154</v>
      </c>
      <c r="C6266" s="43">
        <v>2743</v>
      </c>
      <c r="D6266" s="175">
        <f t="shared" ref="D6266:D6329" si="540">C6266+D6242</f>
        <v>599817</v>
      </c>
      <c r="E6266" s="43">
        <f>29+18</f>
        <v>47</v>
      </c>
      <c r="F6266" s="630">
        <f t="shared" si="538"/>
        <v>19763</v>
      </c>
      <c r="G6266" s="395"/>
      <c r="H6266" s="395"/>
      <c r="J6266" s="42"/>
    </row>
    <row r="6267" spans="1:10" s="393" customFormat="1" x14ac:dyDescent="0.25">
      <c r="A6267" s="402" t="s">
        <v>43</v>
      </c>
      <c r="B6267" s="34">
        <v>44154</v>
      </c>
      <c r="C6267" s="1">
        <v>479</v>
      </c>
      <c r="D6267" s="39">
        <f t="shared" si="540"/>
        <v>155459</v>
      </c>
      <c r="E6267" s="1">
        <f>1+3</f>
        <v>4</v>
      </c>
      <c r="F6267" s="522">
        <f t="shared" si="538"/>
        <v>5131</v>
      </c>
      <c r="G6267" s="395"/>
      <c r="H6267" s="395"/>
      <c r="J6267" s="42"/>
    </row>
    <row r="6268" spans="1:10" s="393" customFormat="1" x14ac:dyDescent="0.25">
      <c r="A6268" s="402" t="s">
        <v>28</v>
      </c>
      <c r="B6268" s="34">
        <v>44154</v>
      </c>
      <c r="C6268" s="1">
        <v>30</v>
      </c>
      <c r="D6268" s="39">
        <f t="shared" si="540"/>
        <v>1634</v>
      </c>
      <c r="E6268" s="1"/>
      <c r="F6268" s="522">
        <f t="shared" si="538"/>
        <v>8</v>
      </c>
      <c r="G6268" s="395"/>
      <c r="H6268" s="395"/>
      <c r="J6268" s="42"/>
    </row>
    <row r="6269" spans="1:10" s="393" customFormat="1" x14ac:dyDescent="0.25">
      <c r="A6269" s="402" t="s">
        <v>15</v>
      </c>
      <c r="B6269" s="34">
        <v>44154</v>
      </c>
      <c r="C6269" s="1">
        <v>290</v>
      </c>
      <c r="D6269" s="39">
        <f t="shared" si="540"/>
        <v>17247</v>
      </c>
      <c r="E6269" s="1">
        <v>1</v>
      </c>
      <c r="F6269" s="522">
        <f t="shared" si="538"/>
        <v>520</v>
      </c>
      <c r="G6269" s="395"/>
      <c r="H6269" s="395"/>
      <c r="J6269" s="42"/>
    </row>
    <row r="6270" spans="1:10" s="393" customFormat="1" x14ac:dyDescent="0.25">
      <c r="A6270" s="402" t="s">
        <v>29</v>
      </c>
      <c r="B6270" s="34">
        <v>44154</v>
      </c>
      <c r="C6270" s="1">
        <v>324</v>
      </c>
      <c r="D6270" s="39">
        <f t="shared" si="540"/>
        <v>20437</v>
      </c>
      <c r="E6270" s="1">
        <f>7+5</f>
        <v>12</v>
      </c>
      <c r="F6270" s="522">
        <f t="shared" si="538"/>
        <v>351</v>
      </c>
      <c r="G6270" s="395"/>
      <c r="H6270" s="395"/>
      <c r="J6270" s="42"/>
    </row>
    <row r="6271" spans="1:10" s="393" customFormat="1" x14ac:dyDescent="0.25">
      <c r="A6271" s="402" t="s">
        <v>20</v>
      </c>
      <c r="B6271" s="34">
        <v>44154</v>
      </c>
      <c r="C6271" s="1">
        <v>1051</v>
      </c>
      <c r="D6271" s="39">
        <f t="shared" si="540"/>
        <v>106904</v>
      </c>
      <c r="E6271" s="1">
        <f>10+6</f>
        <v>16</v>
      </c>
      <c r="F6271" s="522">
        <f t="shared" si="538"/>
        <v>1746</v>
      </c>
      <c r="G6271" s="395"/>
      <c r="H6271" s="395"/>
      <c r="J6271" s="42"/>
    </row>
    <row r="6272" spans="1:10" s="393" customFormat="1" x14ac:dyDescent="0.25">
      <c r="A6272" s="402" t="s">
        <v>30</v>
      </c>
      <c r="B6272" s="34">
        <v>44154</v>
      </c>
      <c r="C6272" s="1">
        <v>261</v>
      </c>
      <c r="D6272" s="39">
        <f t="shared" si="540"/>
        <v>4509</v>
      </c>
      <c r="E6272" s="1"/>
      <c r="F6272" s="522">
        <f t="shared" si="538"/>
        <v>86</v>
      </c>
      <c r="G6272" s="395"/>
      <c r="H6272" s="395"/>
      <c r="J6272" s="42"/>
    </row>
    <row r="6273" spans="1:10" x14ac:dyDescent="0.25">
      <c r="A6273" s="402" t="s">
        <v>31</v>
      </c>
      <c r="B6273" s="34">
        <v>44154</v>
      </c>
      <c r="C6273" s="1">
        <v>324</v>
      </c>
      <c r="D6273" s="39">
        <f t="shared" si="540"/>
        <v>21249</v>
      </c>
      <c r="E6273" s="1">
        <f>5+1</f>
        <v>6</v>
      </c>
      <c r="F6273" s="522">
        <f t="shared" si="538"/>
        <v>402</v>
      </c>
    </row>
    <row r="6274" spans="1:10" s="393" customFormat="1" x14ac:dyDescent="0.25">
      <c r="A6274" s="402" t="s">
        <v>41</v>
      </c>
      <c r="B6274" s="34">
        <v>44154</v>
      </c>
      <c r="C6274" s="1">
        <v>1</v>
      </c>
      <c r="D6274" s="39">
        <f t="shared" si="540"/>
        <v>174</v>
      </c>
      <c r="E6274" s="1"/>
      <c r="F6274" s="522">
        <f t="shared" si="538"/>
        <v>3</v>
      </c>
      <c r="G6274" s="395"/>
      <c r="H6274" s="395"/>
      <c r="J6274" s="42"/>
    </row>
    <row r="6275" spans="1:10" s="393" customFormat="1" x14ac:dyDescent="0.25">
      <c r="A6275" s="402" t="s">
        <v>32</v>
      </c>
      <c r="B6275" s="34">
        <v>44154</v>
      </c>
      <c r="C6275" s="1">
        <v>12</v>
      </c>
      <c r="D6275" s="39">
        <f t="shared" si="540"/>
        <v>18252</v>
      </c>
      <c r="E6275" s="1"/>
      <c r="F6275" s="522">
        <f t="shared" si="538"/>
        <v>840</v>
      </c>
      <c r="G6275" s="395"/>
      <c r="H6275" s="395"/>
      <c r="J6275" s="42"/>
    </row>
    <row r="6276" spans="1:10" s="393" customFormat="1" x14ac:dyDescent="0.25">
      <c r="A6276" s="402" t="s">
        <v>33</v>
      </c>
      <c r="B6276" s="34">
        <v>44154</v>
      </c>
      <c r="C6276" s="1">
        <v>63</v>
      </c>
      <c r="D6276" s="39">
        <f t="shared" si="540"/>
        <v>4972</v>
      </c>
      <c r="E6276" s="1"/>
      <c r="F6276" s="522">
        <f t="shared" si="538"/>
        <v>64</v>
      </c>
      <c r="G6276" s="395"/>
      <c r="H6276" s="395"/>
      <c r="J6276" s="42"/>
    </row>
    <row r="6277" spans="1:10" s="393" customFormat="1" x14ac:dyDescent="0.25">
      <c r="A6277" s="402" t="s">
        <v>21</v>
      </c>
      <c r="B6277" s="34">
        <v>44154</v>
      </c>
      <c r="C6277" s="1">
        <v>68</v>
      </c>
      <c r="D6277" s="39">
        <f t="shared" si="540"/>
        <v>8362</v>
      </c>
      <c r="E6277" s="1">
        <f>2+1</f>
        <v>3</v>
      </c>
      <c r="F6277" s="522">
        <f t="shared" si="538"/>
        <v>304</v>
      </c>
      <c r="G6277" s="395"/>
      <c r="H6277" s="395"/>
      <c r="J6277" s="42"/>
    </row>
    <row r="6278" spans="1:10" s="393" customFormat="1" x14ac:dyDescent="0.25">
      <c r="A6278" s="402" t="s">
        <v>17</v>
      </c>
      <c r="B6278" s="34">
        <v>44154</v>
      </c>
      <c r="C6278" s="1">
        <v>243</v>
      </c>
      <c r="D6278" s="39">
        <f t="shared" si="540"/>
        <v>54494</v>
      </c>
      <c r="E6278" s="1">
        <f>3+2</f>
        <v>5</v>
      </c>
      <c r="F6278" s="522">
        <f t="shared" si="538"/>
        <v>1058</v>
      </c>
      <c r="G6278" s="395"/>
      <c r="H6278" s="395"/>
      <c r="J6278" s="42"/>
    </row>
    <row r="6279" spans="1:10" s="393" customFormat="1" x14ac:dyDescent="0.25">
      <c r="A6279" s="402" t="s">
        <v>23</v>
      </c>
      <c r="B6279" s="34">
        <v>44154</v>
      </c>
      <c r="C6279" s="1">
        <v>24</v>
      </c>
      <c r="D6279" s="39">
        <f t="shared" si="540"/>
        <v>431</v>
      </c>
      <c r="E6279" s="1"/>
      <c r="F6279" s="522">
        <f t="shared" si="538"/>
        <v>7</v>
      </c>
      <c r="G6279" s="395"/>
      <c r="H6279" s="395"/>
      <c r="J6279" s="42"/>
    </row>
    <row r="6280" spans="1:10" s="393" customFormat="1" x14ac:dyDescent="0.25">
      <c r="A6280" s="402" t="s">
        <v>19</v>
      </c>
      <c r="B6280" s="34">
        <v>44154</v>
      </c>
      <c r="C6280" s="1">
        <v>280</v>
      </c>
      <c r="D6280" s="39">
        <f t="shared" si="540"/>
        <v>28938</v>
      </c>
      <c r="E6280" s="1">
        <f>6+1</f>
        <v>7</v>
      </c>
      <c r="F6280" s="522">
        <f t="shared" si="538"/>
        <v>571</v>
      </c>
      <c r="G6280" s="395"/>
      <c r="H6280" s="395"/>
      <c r="J6280" s="42"/>
    </row>
    <row r="6281" spans="1:10" s="393" customFormat="1" x14ac:dyDescent="0.25">
      <c r="A6281" s="402" t="s">
        <v>18</v>
      </c>
      <c r="B6281" s="34">
        <v>44154</v>
      </c>
      <c r="C6281" s="1">
        <v>309</v>
      </c>
      <c r="D6281" s="39">
        <f t="shared" si="540"/>
        <v>29545</v>
      </c>
      <c r="E6281" s="1">
        <f>7+3</f>
        <v>10</v>
      </c>
      <c r="F6281" s="522">
        <f t="shared" si="538"/>
        <v>749</v>
      </c>
      <c r="G6281" s="395"/>
      <c r="H6281" s="395"/>
      <c r="J6281" s="42"/>
    </row>
    <row r="6282" spans="1:10" s="393" customFormat="1" x14ac:dyDescent="0.25">
      <c r="A6282" s="402" t="s">
        <v>34</v>
      </c>
      <c r="B6282" s="34">
        <v>44154</v>
      </c>
      <c r="C6282" s="1">
        <v>73</v>
      </c>
      <c r="D6282" s="39">
        <f t="shared" si="540"/>
        <v>20512</v>
      </c>
      <c r="E6282" s="1">
        <f>5+1</f>
        <v>6</v>
      </c>
      <c r="F6282" s="522">
        <f t="shared" si="538"/>
        <v>943</v>
      </c>
      <c r="G6282" s="395"/>
      <c r="H6282" s="395"/>
      <c r="J6282" s="42"/>
    </row>
    <row r="6283" spans="1:10" s="393" customFormat="1" x14ac:dyDescent="0.25">
      <c r="A6283" s="402" t="s">
        <v>35</v>
      </c>
      <c r="B6283" s="34">
        <v>44154</v>
      </c>
      <c r="C6283" s="1">
        <v>220</v>
      </c>
      <c r="D6283" s="39">
        <f t="shared" si="540"/>
        <v>5082</v>
      </c>
      <c r="E6283" s="1"/>
      <c r="F6283" s="522">
        <f t="shared" si="538"/>
        <v>143</v>
      </c>
      <c r="G6283" s="395"/>
      <c r="H6283" s="395"/>
      <c r="J6283" s="42"/>
    </row>
    <row r="6284" spans="1:10" s="393" customFormat="1" x14ac:dyDescent="0.25">
      <c r="A6284" s="402" t="s">
        <v>36</v>
      </c>
      <c r="B6284" s="34">
        <v>44154</v>
      </c>
      <c r="C6284" s="1">
        <v>349</v>
      </c>
      <c r="D6284" s="39">
        <f t="shared" si="540"/>
        <v>12409</v>
      </c>
      <c r="E6284" s="1">
        <f>3+3</f>
        <v>6</v>
      </c>
      <c r="F6284" s="522">
        <f t="shared" si="538"/>
        <v>169</v>
      </c>
      <c r="G6284" s="395"/>
      <c r="H6284" s="395"/>
      <c r="J6284" s="42"/>
    </row>
    <row r="6285" spans="1:10" s="393" customFormat="1" x14ac:dyDescent="0.25">
      <c r="A6285" s="402" t="s">
        <v>37</v>
      </c>
      <c r="B6285" s="34">
        <v>44154</v>
      </c>
      <c r="C6285" s="1">
        <v>286</v>
      </c>
      <c r="D6285" s="39">
        <f t="shared" si="540"/>
        <v>13599</v>
      </c>
      <c r="E6285" s="1">
        <f>4+1</f>
        <v>5</v>
      </c>
      <c r="F6285" s="522">
        <f t="shared" si="538"/>
        <v>221</v>
      </c>
      <c r="G6285" s="395"/>
      <c r="H6285" s="395"/>
      <c r="J6285" s="42"/>
    </row>
    <row r="6286" spans="1:10" s="393" customFormat="1" x14ac:dyDescent="0.25">
      <c r="A6286" s="402" t="s">
        <v>22</v>
      </c>
      <c r="B6286" s="34">
        <v>44154</v>
      </c>
      <c r="C6286" s="1">
        <v>1666</v>
      </c>
      <c r="D6286" s="39">
        <f t="shared" si="540"/>
        <v>134252</v>
      </c>
      <c r="E6286" s="1">
        <f>21+13</f>
        <v>34</v>
      </c>
      <c r="F6286" s="522">
        <f t="shared" si="538"/>
        <v>2004</v>
      </c>
      <c r="G6286" s="395"/>
      <c r="H6286" s="395"/>
      <c r="J6286" s="42"/>
    </row>
    <row r="6287" spans="1:10" s="393" customFormat="1" x14ac:dyDescent="0.25">
      <c r="A6287" s="402" t="s">
        <v>38</v>
      </c>
      <c r="B6287" s="34">
        <v>44154</v>
      </c>
      <c r="C6287" s="1">
        <v>258</v>
      </c>
      <c r="D6287" s="39">
        <f t="shared" si="540"/>
        <v>13911</v>
      </c>
      <c r="E6287" s="1">
        <f>5+5</f>
        <v>10</v>
      </c>
      <c r="F6287" s="522">
        <f t="shared" si="538"/>
        <v>173</v>
      </c>
      <c r="G6287" s="395"/>
      <c r="H6287" s="395"/>
      <c r="J6287" s="42"/>
    </row>
    <row r="6288" spans="1:10" s="393" customFormat="1" x14ac:dyDescent="0.25">
      <c r="A6288" s="402" t="s">
        <v>39</v>
      </c>
      <c r="B6288" s="34">
        <v>44154</v>
      </c>
      <c r="C6288" s="1">
        <v>169</v>
      </c>
      <c r="D6288" s="39">
        <f t="shared" si="540"/>
        <v>14838</v>
      </c>
      <c r="E6288" s="1">
        <f>2+2</f>
        <v>4</v>
      </c>
      <c r="F6288" s="522">
        <f t="shared" si="538"/>
        <v>215</v>
      </c>
      <c r="G6288" s="395"/>
      <c r="H6288" s="395"/>
      <c r="J6288" s="42"/>
    </row>
    <row r="6289" spans="1:10" s="393" customFormat="1" ht="15.75" thickBot="1" x14ac:dyDescent="0.3">
      <c r="A6289" s="404" t="s">
        <v>40</v>
      </c>
      <c r="B6289" s="268">
        <v>44154</v>
      </c>
      <c r="C6289" s="44">
        <v>574</v>
      </c>
      <c r="D6289" s="177">
        <f>C6289+D6265</f>
        <v>62407</v>
      </c>
      <c r="E6289" s="44">
        <f>7+4</f>
        <v>11</v>
      </c>
      <c r="F6289" s="631">
        <f t="shared" si="538"/>
        <v>1032</v>
      </c>
      <c r="G6289" s="395"/>
      <c r="H6289" s="395"/>
      <c r="J6289" s="42"/>
    </row>
    <row r="6290" spans="1:10" s="393" customFormat="1" x14ac:dyDescent="0.25">
      <c r="A6290" s="397" t="s">
        <v>16</v>
      </c>
      <c r="B6290" s="269">
        <v>44155</v>
      </c>
      <c r="C6290" s="227">
        <v>2305</v>
      </c>
      <c r="D6290" s="175">
        <f t="shared" si="540"/>
        <v>602122</v>
      </c>
      <c r="E6290" s="227">
        <v>132</v>
      </c>
      <c r="F6290" s="630">
        <f t="shared" si="538"/>
        <v>19895</v>
      </c>
      <c r="G6290" s="395"/>
      <c r="H6290" s="395"/>
      <c r="J6290" s="42"/>
    </row>
    <row r="6291" spans="1:10" s="393" customFormat="1" x14ac:dyDescent="0.25">
      <c r="A6291" s="402" t="s">
        <v>43</v>
      </c>
      <c r="B6291" s="269">
        <v>44155</v>
      </c>
      <c r="C6291" s="1">
        <v>410</v>
      </c>
      <c r="D6291" s="39">
        <f t="shared" si="540"/>
        <v>155869</v>
      </c>
      <c r="E6291" s="1">
        <v>23</v>
      </c>
      <c r="F6291" s="522">
        <f t="shared" si="538"/>
        <v>5154</v>
      </c>
      <c r="G6291" s="395"/>
      <c r="H6291" s="395"/>
      <c r="J6291" s="42"/>
    </row>
    <row r="6292" spans="1:10" s="393" customFormat="1" x14ac:dyDescent="0.25">
      <c r="A6292" s="402" t="s">
        <v>28</v>
      </c>
      <c r="B6292" s="269">
        <v>44155</v>
      </c>
      <c r="C6292" s="1">
        <v>12</v>
      </c>
      <c r="D6292" s="39">
        <f t="shared" si="540"/>
        <v>1646</v>
      </c>
      <c r="E6292" s="1"/>
      <c r="F6292" s="522">
        <f t="shared" si="538"/>
        <v>8</v>
      </c>
      <c r="G6292" s="395"/>
      <c r="H6292" s="395"/>
      <c r="J6292" s="42"/>
    </row>
    <row r="6293" spans="1:10" s="393" customFormat="1" x14ac:dyDescent="0.25">
      <c r="A6293" s="402" t="s">
        <v>15</v>
      </c>
      <c r="B6293" s="269">
        <v>44155</v>
      </c>
      <c r="C6293" s="1">
        <v>256</v>
      </c>
      <c r="D6293" s="39">
        <f t="shared" si="540"/>
        <v>17503</v>
      </c>
      <c r="E6293" s="1">
        <v>5</v>
      </c>
      <c r="F6293" s="522">
        <f t="shared" si="538"/>
        <v>525</v>
      </c>
      <c r="G6293" s="395"/>
      <c r="H6293" s="395"/>
      <c r="J6293" s="42"/>
    </row>
    <row r="6294" spans="1:10" s="393" customFormat="1" x14ac:dyDescent="0.25">
      <c r="A6294" s="402" t="s">
        <v>29</v>
      </c>
      <c r="B6294" s="269">
        <v>44155</v>
      </c>
      <c r="C6294" s="1">
        <v>343</v>
      </c>
      <c r="D6294" s="39">
        <f t="shared" si="540"/>
        <v>20780</v>
      </c>
      <c r="E6294" s="1">
        <v>5</v>
      </c>
      <c r="F6294" s="522">
        <f t="shared" si="538"/>
        <v>356</v>
      </c>
      <c r="G6294" s="395"/>
      <c r="H6294" s="395"/>
      <c r="J6294" s="42"/>
    </row>
    <row r="6295" spans="1:10" s="393" customFormat="1" x14ac:dyDescent="0.25">
      <c r="A6295" s="402" t="s">
        <v>20</v>
      </c>
      <c r="B6295" s="269">
        <v>44155</v>
      </c>
      <c r="C6295" s="1">
        <v>982</v>
      </c>
      <c r="D6295" s="39">
        <f t="shared" si="540"/>
        <v>107886</v>
      </c>
      <c r="E6295" s="1">
        <v>15</v>
      </c>
      <c r="F6295" s="522">
        <f t="shared" si="538"/>
        <v>1761</v>
      </c>
      <c r="G6295" s="395"/>
      <c r="H6295" s="395"/>
      <c r="J6295" s="42"/>
    </row>
    <row r="6296" spans="1:10" s="393" customFormat="1" x14ac:dyDescent="0.25">
      <c r="A6296" s="402" t="s">
        <v>30</v>
      </c>
      <c r="B6296" s="269">
        <v>44155</v>
      </c>
      <c r="C6296" s="1">
        <v>164</v>
      </c>
      <c r="D6296" s="39">
        <f t="shared" si="540"/>
        <v>4673</v>
      </c>
      <c r="E6296" s="1"/>
      <c r="F6296" s="522">
        <f t="shared" si="538"/>
        <v>86</v>
      </c>
      <c r="G6296" s="395"/>
      <c r="H6296" s="395"/>
      <c r="J6296" s="42"/>
    </row>
    <row r="6297" spans="1:10" x14ac:dyDescent="0.25">
      <c r="A6297" s="402" t="s">
        <v>31</v>
      </c>
      <c r="B6297" s="269">
        <v>44155</v>
      </c>
      <c r="C6297" s="1">
        <v>253</v>
      </c>
      <c r="D6297" s="39">
        <f t="shared" si="540"/>
        <v>21502</v>
      </c>
      <c r="E6297" s="1">
        <v>9</v>
      </c>
      <c r="F6297" s="522">
        <f t="shared" si="538"/>
        <v>411</v>
      </c>
    </row>
    <row r="6298" spans="1:10" s="393" customFormat="1" x14ac:dyDescent="0.25">
      <c r="A6298" s="402" t="s">
        <v>41</v>
      </c>
      <c r="B6298" s="269">
        <v>44155</v>
      </c>
      <c r="C6298" s="1">
        <v>3</v>
      </c>
      <c r="D6298" s="39">
        <f t="shared" si="540"/>
        <v>177</v>
      </c>
      <c r="E6298" s="1"/>
      <c r="F6298" s="522">
        <f t="shared" si="538"/>
        <v>3</v>
      </c>
      <c r="G6298" s="395"/>
      <c r="H6298" s="395"/>
      <c r="J6298" s="42"/>
    </row>
    <row r="6299" spans="1:10" s="393" customFormat="1" x14ac:dyDescent="0.25">
      <c r="A6299" s="402" t="s">
        <v>32</v>
      </c>
      <c r="B6299" s="269">
        <v>44155</v>
      </c>
      <c r="C6299" s="1">
        <v>21</v>
      </c>
      <c r="D6299" s="39">
        <f t="shared" si="540"/>
        <v>18273</v>
      </c>
      <c r="E6299" s="1">
        <v>1</v>
      </c>
      <c r="F6299" s="522">
        <f t="shared" si="538"/>
        <v>841</v>
      </c>
      <c r="G6299" s="395"/>
      <c r="H6299" s="395"/>
      <c r="J6299" s="42"/>
    </row>
    <row r="6300" spans="1:10" s="393" customFormat="1" x14ac:dyDescent="0.25">
      <c r="A6300" s="402" t="s">
        <v>33</v>
      </c>
      <c r="B6300" s="269">
        <v>44155</v>
      </c>
      <c r="C6300" s="1">
        <v>88</v>
      </c>
      <c r="D6300" s="39">
        <f t="shared" si="540"/>
        <v>5060</v>
      </c>
      <c r="E6300" s="1">
        <v>4</v>
      </c>
      <c r="F6300" s="522">
        <f t="shared" si="538"/>
        <v>68</v>
      </c>
      <c r="G6300" s="395"/>
      <c r="H6300" s="395"/>
      <c r="J6300" s="42"/>
    </row>
    <row r="6301" spans="1:10" s="393" customFormat="1" x14ac:dyDescent="0.25">
      <c r="A6301" s="402" t="s">
        <v>21</v>
      </c>
      <c r="B6301" s="269">
        <v>44155</v>
      </c>
      <c r="C6301" s="1">
        <v>58</v>
      </c>
      <c r="D6301" s="39">
        <f t="shared" si="540"/>
        <v>8420</v>
      </c>
      <c r="E6301" s="1"/>
      <c r="F6301" s="522">
        <f t="shared" si="538"/>
        <v>304</v>
      </c>
      <c r="G6301" s="395"/>
      <c r="H6301" s="395"/>
      <c r="J6301" s="42"/>
    </row>
    <row r="6302" spans="1:10" s="393" customFormat="1" x14ac:dyDescent="0.25">
      <c r="A6302" s="402" t="s">
        <v>17</v>
      </c>
      <c r="B6302" s="269">
        <v>44155</v>
      </c>
      <c r="C6302" s="1">
        <v>317</v>
      </c>
      <c r="D6302" s="39">
        <f t="shared" si="540"/>
        <v>54811</v>
      </c>
      <c r="E6302" s="1">
        <v>6</v>
      </c>
      <c r="F6302" s="522">
        <f t="shared" si="538"/>
        <v>1064</v>
      </c>
      <c r="G6302" s="395"/>
      <c r="H6302" s="395"/>
      <c r="J6302" s="42"/>
    </row>
    <row r="6303" spans="1:10" s="393" customFormat="1" x14ac:dyDescent="0.25">
      <c r="A6303" s="402" t="s">
        <v>23</v>
      </c>
      <c r="B6303" s="269">
        <v>44155</v>
      </c>
      <c r="C6303" s="1">
        <v>3</v>
      </c>
      <c r="D6303" s="39">
        <f t="shared" si="540"/>
        <v>434</v>
      </c>
      <c r="E6303" s="1"/>
      <c r="F6303" s="522">
        <f t="shared" si="538"/>
        <v>7</v>
      </c>
      <c r="G6303" s="395"/>
      <c r="H6303" s="395"/>
      <c r="J6303" s="42"/>
    </row>
    <row r="6304" spans="1:10" s="393" customFormat="1" x14ac:dyDescent="0.25">
      <c r="A6304" s="402" t="s">
        <v>19</v>
      </c>
      <c r="B6304" s="269">
        <v>44155</v>
      </c>
      <c r="C6304" s="1">
        <v>321</v>
      </c>
      <c r="D6304" s="39">
        <f t="shared" si="540"/>
        <v>29259</v>
      </c>
      <c r="E6304" s="1">
        <v>1</v>
      </c>
      <c r="F6304" s="522">
        <f t="shared" si="538"/>
        <v>572</v>
      </c>
      <c r="G6304" s="395"/>
      <c r="H6304" s="395"/>
      <c r="J6304" s="42"/>
    </row>
    <row r="6305" spans="1:10" s="393" customFormat="1" x14ac:dyDescent="0.25">
      <c r="A6305" s="402" t="s">
        <v>18</v>
      </c>
      <c r="B6305" s="269">
        <v>44155</v>
      </c>
      <c r="C6305" s="1">
        <v>201</v>
      </c>
      <c r="D6305" s="39">
        <f t="shared" si="540"/>
        <v>29746</v>
      </c>
      <c r="E6305" s="1">
        <v>1</v>
      </c>
      <c r="F6305" s="522">
        <f t="shared" si="538"/>
        <v>750</v>
      </c>
      <c r="G6305" s="395"/>
      <c r="H6305" s="395"/>
      <c r="J6305" s="42"/>
    </row>
    <row r="6306" spans="1:10" s="393" customFormat="1" x14ac:dyDescent="0.25">
      <c r="A6306" s="402" t="s">
        <v>34</v>
      </c>
      <c r="B6306" s="269">
        <v>44155</v>
      </c>
      <c r="C6306" s="1">
        <v>166</v>
      </c>
      <c r="D6306" s="39">
        <f t="shared" si="540"/>
        <v>20678</v>
      </c>
      <c r="E6306" s="1">
        <v>3</v>
      </c>
      <c r="F6306" s="522">
        <f t="shared" si="538"/>
        <v>946</v>
      </c>
      <c r="G6306" s="395"/>
      <c r="H6306" s="395"/>
      <c r="J6306" s="42"/>
    </row>
    <row r="6307" spans="1:10" s="393" customFormat="1" x14ac:dyDescent="0.25">
      <c r="A6307" s="402" t="s">
        <v>35</v>
      </c>
      <c r="B6307" s="269">
        <v>44155</v>
      </c>
      <c r="C6307" s="1">
        <v>471</v>
      </c>
      <c r="D6307" s="39">
        <f t="shared" si="540"/>
        <v>5553</v>
      </c>
      <c r="E6307" s="1"/>
      <c r="F6307" s="522">
        <f t="shared" si="538"/>
        <v>143</v>
      </c>
      <c r="G6307" s="395"/>
      <c r="H6307" s="395"/>
      <c r="J6307" s="42"/>
    </row>
    <row r="6308" spans="1:10" s="393" customFormat="1" x14ac:dyDescent="0.25">
      <c r="A6308" s="402" t="s">
        <v>36</v>
      </c>
      <c r="B6308" s="269">
        <v>44155</v>
      </c>
      <c r="C6308" s="1">
        <v>378</v>
      </c>
      <c r="D6308" s="39">
        <f t="shared" si="540"/>
        <v>12787</v>
      </c>
      <c r="E6308" s="1">
        <v>8</v>
      </c>
      <c r="F6308" s="522">
        <f t="shared" si="538"/>
        <v>177</v>
      </c>
      <c r="G6308" s="395"/>
      <c r="H6308" s="395"/>
      <c r="J6308" s="42"/>
    </row>
    <row r="6309" spans="1:10" s="393" customFormat="1" x14ac:dyDescent="0.25">
      <c r="A6309" s="402" t="s">
        <v>37</v>
      </c>
      <c r="B6309" s="269">
        <v>44155</v>
      </c>
      <c r="C6309" s="1">
        <v>248</v>
      </c>
      <c r="D6309" s="39">
        <f t="shared" si="540"/>
        <v>13847</v>
      </c>
      <c r="E6309" s="1">
        <v>3</v>
      </c>
      <c r="F6309" s="522">
        <f t="shared" si="538"/>
        <v>224</v>
      </c>
      <c r="G6309" s="395"/>
      <c r="H6309" s="395"/>
      <c r="J6309" s="42"/>
    </row>
    <row r="6310" spans="1:10" s="393" customFormat="1" x14ac:dyDescent="0.25">
      <c r="A6310" s="402" t="s">
        <v>22</v>
      </c>
      <c r="B6310" s="269">
        <v>44155</v>
      </c>
      <c r="C6310" s="1">
        <v>1757</v>
      </c>
      <c r="D6310" s="39">
        <f t="shared" si="540"/>
        <v>136009</v>
      </c>
      <c r="E6310" s="1">
        <v>18</v>
      </c>
      <c r="F6310" s="522">
        <f t="shared" si="538"/>
        <v>2022</v>
      </c>
      <c r="G6310" s="395"/>
      <c r="H6310" s="395"/>
      <c r="J6310" s="42"/>
    </row>
    <row r="6311" spans="1:10" s="393" customFormat="1" x14ac:dyDescent="0.25">
      <c r="A6311" s="402" t="s">
        <v>38</v>
      </c>
      <c r="B6311" s="269">
        <v>44155</v>
      </c>
      <c r="C6311" s="1">
        <v>252</v>
      </c>
      <c r="D6311" s="39">
        <f t="shared" si="540"/>
        <v>14163</v>
      </c>
      <c r="E6311" s="1"/>
      <c r="F6311" s="522">
        <f t="shared" si="538"/>
        <v>173</v>
      </c>
      <c r="G6311" s="395"/>
      <c r="H6311" s="395"/>
      <c r="J6311" s="42"/>
    </row>
    <row r="6312" spans="1:10" s="393" customFormat="1" x14ac:dyDescent="0.25">
      <c r="A6312" s="402" t="s">
        <v>39</v>
      </c>
      <c r="B6312" s="269">
        <v>44155</v>
      </c>
      <c r="C6312" s="1">
        <v>127</v>
      </c>
      <c r="D6312" s="39">
        <f t="shared" si="540"/>
        <v>14965</v>
      </c>
      <c r="E6312" s="1">
        <v>2</v>
      </c>
      <c r="F6312" s="522">
        <f t="shared" si="538"/>
        <v>217</v>
      </c>
      <c r="G6312" s="395"/>
      <c r="H6312" s="395"/>
      <c r="J6312" s="42"/>
    </row>
    <row r="6313" spans="1:10" s="393" customFormat="1" ht="15.75" thickBot="1" x14ac:dyDescent="0.3">
      <c r="A6313" s="404" t="s">
        <v>40</v>
      </c>
      <c r="B6313" s="269">
        <v>44155</v>
      </c>
      <c r="C6313" s="1">
        <v>472</v>
      </c>
      <c r="D6313" s="177">
        <f>C6313+D6289</f>
        <v>62879</v>
      </c>
      <c r="E6313" s="1">
        <v>24</v>
      </c>
      <c r="F6313" s="631">
        <f t="shared" si="538"/>
        <v>1056</v>
      </c>
      <c r="G6313" s="395"/>
      <c r="H6313" s="395"/>
      <c r="J6313" s="42"/>
    </row>
    <row r="6314" spans="1:10" s="393" customFormat="1" x14ac:dyDescent="0.25">
      <c r="A6314" s="397" t="s">
        <v>16</v>
      </c>
      <c r="B6314" s="269">
        <v>44156</v>
      </c>
      <c r="C6314" s="1">
        <v>1894</v>
      </c>
      <c r="D6314" s="175">
        <f t="shared" si="540"/>
        <v>604016</v>
      </c>
      <c r="E6314" s="1">
        <f>24+17</f>
        <v>41</v>
      </c>
      <c r="F6314" s="630">
        <f t="shared" si="538"/>
        <v>19936</v>
      </c>
      <c r="G6314" s="395"/>
      <c r="H6314" s="395"/>
      <c r="J6314" s="42"/>
    </row>
    <row r="6315" spans="1:10" s="393" customFormat="1" x14ac:dyDescent="0.25">
      <c r="A6315" s="402" t="s">
        <v>43</v>
      </c>
      <c r="B6315" s="269">
        <v>44156</v>
      </c>
      <c r="C6315" s="1">
        <v>350</v>
      </c>
      <c r="D6315" s="39">
        <f t="shared" si="540"/>
        <v>156219</v>
      </c>
      <c r="E6315" s="1">
        <f>3+1</f>
        <v>4</v>
      </c>
      <c r="F6315" s="522">
        <f t="shared" ref="F6315:F6378" si="541">E6315+F6291</f>
        <v>5158</v>
      </c>
      <c r="G6315" s="395"/>
      <c r="H6315" s="395"/>
      <c r="J6315" s="42"/>
    </row>
    <row r="6316" spans="1:10" s="393" customFormat="1" x14ac:dyDescent="0.25">
      <c r="A6316" s="402" t="s">
        <v>28</v>
      </c>
      <c r="B6316" s="269">
        <v>44156</v>
      </c>
      <c r="C6316" s="1">
        <v>25</v>
      </c>
      <c r="D6316" s="39">
        <f t="shared" si="540"/>
        <v>1671</v>
      </c>
      <c r="E6316" s="1">
        <f>5</f>
        <v>5</v>
      </c>
      <c r="F6316" s="522">
        <f t="shared" si="541"/>
        <v>13</v>
      </c>
      <c r="G6316" s="395"/>
      <c r="H6316" s="395"/>
      <c r="J6316" s="42"/>
    </row>
    <row r="6317" spans="1:10" s="393" customFormat="1" x14ac:dyDescent="0.25">
      <c r="A6317" s="402" t="s">
        <v>15</v>
      </c>
      <c r="B6317" s="269">
        <v>44156</v>
      </c>
      <c r="C6317" s="1">
        <v>156</v>
      </c>
      <c r="D6317" s="39">
        <f t="shared" si="540"/>
        <v>17659</v>
      </c>
      <c r="E6317" s="1"/>
      <c r="F6317" s="522">
        <f t="shared" si="541"/>
        <v>525</v>
      </c>
      <c r="G6317" s="395"/>
      <c r="H6317" s="395"/>
      <c r="J6317" s="42"/>
    </row>
    <row r="6318" spans="1:10" s="393" customFormat="1" x14ac:dyDescent="0.25">
      <c r="A6318" s="402" t="s">
        <v>29</v>
      </c>
      <c r="B6318" s="269">
        <v>44156</v>
      </c>
      <c r="C6318" s="1">
        <v>241</v>
      </c>
      <c r="D6318" s="39">
        <f t="shared" si="540"/>
        <v>21021</v>
      </c>
      <c r="E6318" s="1">
        <f>1</f>
        <v>1</v>
      </c>
      <c r="F6318" s="522">
        <f t="shared" si="541"/>
        <v>357</v>
      </c>
      <c r="G6318" s="395"/>
      <c r="H6318" s="395"/>
      <c r="J6318" s="42"/>
    </row>
    <row r="6319" spans="1:10" s="393" customFormat="1" x14ac:dyDescent="0.25">
      <c r="A6319" s="402" t="s">
        <v>20</v>
      </c>
      <c r="B6319" s="269">
        <v>44156</v>
      </c>
      <c r="C6319" s="1">
        <v>888</v>
      </c>
      <c r="D6319" s="39">
        <f t="shared" si="540"/>
        <v>108774</v>
      </c>
      <c r="E6319" s="1">
        <f>6+4</f>
        <v>10</v>
      </c>
      <c r="F6319" s="522">
        <f t="shared" si="541"/>
        <v>1771</v>
      </c>
      <c r="G6319" s="395"/>
      <c r="H6319" s="395"/>
      <c r="J6319" s="42"/>
    </row>
    <row r="6320" spans="1:10" s="393" customFormat="1" x14ac:dyDescent="0.25">
      <c r="A6320" s="402" t="s">
        <v>30</v>
      </c>
      <c r="B6320" s="269">
        <v>44156</v>
      </c>
      <c r="C6320" s="1">
        <v>96</v>
      </c>
      <c r="D6320" s="39">
        <f t="shared" si="540"/>
        <v>4769</v>
      </c>
      <c r="E6320" s="1"/>
      <c r="F6320" s="522">
        <f t="shared" si="541"/>
        <v>86</v>
      </c>
      <c r="G6320" s="395"/>
      <c r="H6320" s="395"/>
      <c r="J6320" s="42"/>
    </row>
    <row r="6321" spans="1:10" x14ac:dyDescent="0.25">
      <c r="A6321" s="402" t="s">
        <v>31</v>
      </c>
      <c r="B6321" s="269">
        <v>44156</v>
      </c>
      <c r="C6321" s="1">
        <v>216</v>
      </c>
      <c r="D6321" s="39">
        <f t="shared" si="540"/>
        <v>21718</v>
      </c>
      <c r="E6321" s="1">
        <f>4+1</f>
        <v>5</v>
      </c>
      <c r="F6321" s="522">
        <f t="shared" si="541"/>
        <v>416</v>
      </c>
    </row>
    <row r="6322" spans="1:10" s="393" customFormat="1" x14ac:dyDescent="0.25">
      <c r="A6322" s="402" t="s">
        <v>41</v>
      </c>
      <c r="B6322" s="269">
        <v>44156</v>
      </c>
      <c r="C6322" s="1">
        <v>2</v>
      </c>
      <c r="D6322" s="39">
        <f t="shared" si="540"/>
        <v>179</v>
      </c>
      <c r="E6322" s="1"/>
      <c r="F6322" s="522">
        <f t="shared" si="541"/>
        <v>3</v>
      </c>
      <c r="G6322" s="395"/>
      <c r="H6322" s="395"/>
      <c r="J6322" s="42"/>
    </row>
    <row r="6323" spans="1:10" s="393" customFormat="1" x14ac:dyDescent="0.25">
      <c r="A6323" s="402" t="s">
        <v>32</v>
      </c>
      <c r="B6323" s="269">
        <v>44156</v>
      </c>
      <c r="C6323" s="1">
        <v>12</v>
      </c>
      <c r="D6323" s="39">
        <f t="shared" si="540"/>
        <v>18285</v>
      </c>
      <c r="E6323" s="1">
        <f>1</f>
        <v>1</v>
      </c>
      <c r="F6323" s="522">
        <f t="shared" si="541"/>
        <v>842</v>
      </c>
      <c r="G6323" s="395"/>
      <c r="H6323" s="395"/>
      <c r="J6323" s="42"/>
    </row>
    <row r="6324" spans="1:10" s="393" customFormat="1" x14ac:dyDescent="0.25">
      <c r="A6324" s="402" t="s">
        <v>33</v>
      </c>
      <c r="B6324" s="269">
        <v>44156</v>
      </c>
      <c r="C6324" s="1">
        <v>57</v>
      </c>
      <c r="D6324" s="39">
        <f t="shared" si="540"/>
        <v>5117</v>
      </c>
      <c r="E6324" s="1">
        <v>2</v>
      </c>
      <c r="F6324" s="522">
        <f t="shared" si="541"/>
        <v>70</v>
      </c>
      <c r="G6324" s="395"/>
      <c r="H6324" s="395"/>
      <c r="J6324" s="42"/>
    </row>
    <row r="6325" spans="1:10" s="393" customFormat="1" x14ac:dyDescent="0.25">
      <c r="A6325" s="402" t="s">
        <v>21</v>
      </c>
      <c r="B6325" s="269">
        <v>44156</v>
      </c>
      <c r="C6325" s="1">
        <v>63</v>
      </c>
      <c r="D6325" s="39">
        <f t="shared" si="540"/>
        <v>8483</v>
      </c>
      <c r="E6325" s="1">
        <v>5</v>
      </c>
      <c r="F6325" s="522">
        <f t="shared" si="541"/>
        <v>309</v>
      </c>
      <c r="G6325" s="395"/>
      <c r="H6325" s="395"/>
      <c r="J6325" s="42"/>
    </row>
    <row r="6326" spans="1:10" s="393" customFormat="1" x14ac:dyDescent="0.25">
      <c r="A6326" s="402" t="s">
        <v>17</v>
      </c>
      <c r="B6326" s="269">
        <v>44156</v>
      </c>
      <c r="C6326" s="1">
        <v>226</v>
      </c>
      <c r="D6326" s="39">
        <f t="shared" si="540"/>
        <v>55037</v>
      </c>
      <c r="E6326" s="1">
        <v>2</v>
      </c>
      <c r="F6326" s="522">
        <f t="shared" si="541"/>
        <v>1066</v>
      </c>
      <c r="G6326" s="395"/>
      <c r="H6326" s="395"/>
      <c r="J6326" s="42"/>
    </row>
    <row r="6327" spans="1:10" s="393" customFormat="1" x14ac:dyDescent="0.25">
      <c r="A6327" s="402" t="s">
        <v>23</v>
      </c>
      <c r="B6327" s="269">
        <v>44156</v>
      </c>
      <c r="C6327" s="1">
        <v>1</v>
      </c>
      <c r="D6327" s="39">
        <f t="shared" si="540"/>
        <v>435</v>
      </c>
      <c r="E6327" s="1">
        <f>1</f>
        <v>1</v>
      </c>
      <c r="F6327" s="522">
        <f t="shared" si="541"/>
        <v>8</v>
      </c>
      <c r="G6327" s="395"/>
      <c r="H6327" s="395"/>
      <c r="J6327" s="42"/>
    </row>
    <row r="6328" spans="1:10" s="393" customFormat="1" x14ac:dyDescent="0.25">
      <c r="A6328" s="402" t="s">
        <v>19</v>
      </c>
      <c r="B6328" s="269">
        <v>44156</v>
      </c>
      <c r="C6328" s="1">
        <v>235</v>
      </c>
      <c r="D6328" s="39">
        <f t="shared" si="540"/>
        <v>29494</v>
      </c>
      <c r="E6328" s="1"/>
      <c r="F6328" s="522">
        <f t="shared" si="541"/>
        <v>572</v>
      </c>
      <c r="G6328" s="395"/>
      <c r="H6328" s="395"/>
      <c r="J6328" s="42"/>
    </row>
    <row r="6329" spans="1:10" s="393" customFormat="1" x14ac:dyDescent="0.25">
      <c r="A6329" s="402" t="s">
        <v>18</v>
      </c>
      <c r="B6329" s="269">
        <v>44156</v>
      </c>
      <c r="C6329" s="1">
        <v>169</v>
      </c>
      <c r="D6329" s="39">
        <f t="shared" si="540"/>
        <v>29915</v>
      </c>
      <c r="E6329" s="1">
        <v>1</v>
      </c>
      <c r="F6329" s="522">
        <f t="shared" si="541"/>
        <v>751</v>
      </c>
      <c r="G6329" s="395"/>
      <c r="H6329" s="395"/>
      <c r="J6329" s="42"/>
    </row>
    <row r="6330" spans="1:10" s="393" customFormat="1" x14ac:dyDescent="0.25">
      <c r="A6330" s="402" t="s">
        <v>34</v>
      </c>
      <c r="B6330" s="269">
        <v>44156</v>
      </c>
      <c r="C6330" s="1">
        <v>48</v>
      </c>
      <c r="D6330" s="39">
        <f t="shared" ref="D6330:D6336" si="542">C6330+D6306</f>
        <v>20726</v>
      </c>
      <c r="E6330" s="1">
        <f>1</f>
        <v>1</v>
      </c>
      <c r="F6330" s="522">
        <f t="shared" si="541"/>
        <v>947</v>
      </c>
      <c r="G6330" s="395"/>
      <c r="H6330" s="395"/>
      <c r="J6330" s="42"/>
    </row>
    <row r="6331" spans="1:10" s="393" customFormat="1" x14ac:dyDescent="0.25">
      <c r="A6331" s="402" t="s">
        <v>35</v>
      </c>
      <c r="B6331" s="269">
        <v>44156</v>
      </c>
      <c r="C6331" s="1">
        <v>115</v>
      </c>
      <c r="D6331" s="39">
        <f t="shared" si="542"/>
        <v>5668</v>
      </c>
      <c r="E6331" s="1"/>
      <c r="F6331" s="522">
        <f t="shared" si="541"/>
        <v>143</v>
      </c>
      <c r="G6331" s="395"/>
      <c r="H6331" s="395"/>
      <c r="J6331" s="42"/>
    </row>
    <row r="6332" spans="1:10" s="393" customFormat="1" x14ac:dyDescent="0.25">
      <c r="A6332" s="402" t="s">
        <v>36</v>
      </c>
      <c r="B6332" s="269">
        <v>44156</v>
      </c>
      <c r="C6332" s="1">
        <v>250</v>
      </c>
      <c r="D6332" s="39">
        <f t="shared" si="542"/>
        <v>13037</v>
      </c>
      <c r="E6332" s="1">
        <f>1</f>
        <v>1</v>
      </c>
      <c r="F6332" s="522">
        <f t="shared" si="541"/>
        <v>178</v>
      </c>
      <c r="G6332" s="395"/>
      <c r="H6332" s="395"/>
      <c r="J6332" s="42"/>
    </row>
    <row r="6333" spans="1:10" s="393" customFormat="1" x14ac:dyDescent="0.25">
      <c r="A6333" s="402" t="s">
        <v>37</v>
      </c>
      <c r="B6333" s="269">
        <v>44156</v>
      </c>
      <c r="C6333" s="1">
        <v>163</v>
      </c>
      <c r="D6333" s="39">
        <f t="shared" si="542"/>
        <v>14010</v>
      </c>
      <c r="E6333" s="1">
        <v>7</v>
      </c>
      <c r="F6333" s="522">
        <f t="shared" si="541"/>
        <v>231</v>
      </c>
      <c r="G6333" s="395"/>
      <c r="H6333" s="395"/>
      <c r="J6333" s="42"/>
    </row>
    <row r="6334" spans="1:10" s="393" customFormat="1" x14ac:dyDescent="0.25">
      <c r="A6334" s="402" t="s">
        <v>22</v>
      </c>
      <c r="B6334" s="269">
        <v>44156</v>
      </c>
      <c r="C6334" s="1">
        <v>1254</v>
      </c>
      <c r="D6334" s="39">
        <f t="shared" si="542"/>
        <v>137263</v>
      </c>
      <c r="E6334" s="1">
        <f>12+9</f>
        <v>21</v>
      </c>
      <c r="F6334" s="522">
        <f t="shared" si="541"/>
        <v>2043</v>
      </c>
      <c r="G6334" s="395"/>
      <c r="H6334" s="395"/>
      <c r="J6334" s="42"/>
    </row>
    <row r="6335" spans="1:10" s="393" customFormat="1" x14ac:dyDescent="0.25">
      <c r="A6335" s="402" t="s">
        <v>38</v>
      </c>
      <c r="B6335" s="269">
        <v>44156</v>
      </c>
      <c r="C6335" s="1">
        <v>201</v>
      </c>
      <c r="D6335" s="39">
        <f t="shared" si="542"/>
        <v>14364</v>
      </c>
      <c r="E6335" s="1"/>
      <c r="F6335" s="522">
        <f t="shared" si="541"/>
        <v>173</v>
      </c>
      <c r="G6335" s="395"/>
      <c r="H6335" s="395"/>
      <c r="J6335" s="42"/>
    </row>
    <row r="6336" spans="1:10" s="393" customFormat="1" x14ac:dyDescent="0.25">
      <c r="A6336" s="402" t="s">
        <v>39</v>
      </c>
      <c r="B6336" s="269">
        <v>44156</v>
      </c>
      <c r="C6336" s="1">
        <v>221</v>
      </c>
      <c r="D6336" s="39">
        <f t="shared" si="542"/>
        <v>15186</v>
      </c>
      <c r="E6336" s="1">
        <f>2</f>
        <v>2</v>
      </c>
      <c r="F6336" s="522">
        <f t="shared" si="541"/>
        <v>219</v>
      </c>
      <c r="G6336" s="395"/>
      <c r="H6336" s="395"/>
      <c r="J6336" s="42"/>
    </row>
    <row r="6337" spans="1:10" s="393" customFormat="1" ht="15.75" thickBot="1" x14ac:dyDescent="0.3">
      <c r="A6337" s="404" t="s">
        <v>40</v>
      </c>
      <c r="B6337" s="269">
        <v>44156</v>
      </c>
      <c r="C6337" s="1">
        <v>257</v>
      </c>
      <c r="D6337" s="177">
        <f>C6337+D6313</f>
        <v>63136</v>
      </c>
      <c r="E6337" s="1">
        <v>2</v>
      </c>
      <c r="F6337" s="631">
        <f t="shared" si="541"/>
        <v>1058</v>
      </c>
      <c r="G6337" s="395"/>
      <c r="H6337" s="395"/>
      <c r="J6337" s="42"/>
    </row>
    <row r="6338" spans="1:10" s="393" customFormat="1" x14ac:dyDescent="0.25">
      <c r="A6338" s="397" t="s">
        <v>16</v>
      </c>
      <c r="B6338" s="269">
        <v>44157</v>
      </c>
      <c r="C6338" s="1">
        <v>998</v>
      </c>
      <c r="D6338" s="175">
        <f t="shared" ref="D6338:D6401" si="543">C6338+D6314</f>
        <v>605014</v>
      </c>
      <c r="E6338" s="1">
        <f>17+16</f>
        <v>33</v>
      </c>
      <c r="F6338" s="630">
        <f t="shared" si="541"/>
        <v>19969</v>
      </c>
      <c r="G6338" s="395"/>
      <c r="H6338" s="395"/>
      <c r="J6338" s="42"/>
    </row>
    <row r="6339" spans="1:10" s="393" customFormat="1" x14ac:dyDescent="0.25">
      <c r="A6339" s="402" t="s">
        <v>43</v>
      </c>
      <c r="B6339" s="269">
        <v>44157</v>
      </c>
      <c r="C6339" s="1">
        <v>195</v>
      </c>
      <c r="D6339" s="39">
        <f t="shared" si="543"/>
        <v>156414</v>
      </c>
      <c r="E6339" s="1">
        <f>3+1</f>
        <v>4</v>
      </c>
      <c r="F6339" s="522">
        <f t="shared" si="541"/>
        <v>5162</v>
      </c>
      <c r="G6339" s="395"/>
      <c r="H6339" s="395"/>
      <c r="J6339" s="42"/>
    </row>
    <row r="6340" spans="1:10" s="393" customFormat="1" x14ac:dyDescent="0.25">
      <c r="A6340" s="402" t="s">
        <v>28</v>
      </c>
      <c r="B6340" s="269">
        <v>44157</v>
      </c>
      <c r="C6340" s="1">
        <v>37</v>
      </c>
      <c r="D6340" s="39">
        <f t="shared" si="543"/>
        <v>1708</v>
      </c>
      <c r="E6340" s="1"/>
      <c r="F6340" s="522">
        <f t="shared" si="541"/>
        <v>13</v>
      </c>
      <c r="G6340" s="395"/>
      <c r="H6340" s="395"/>
      <c r="J6340" s="42"/>
    </row>
    <row r="6341" spans="1:10" s="393" customFormat="1" x14ac:dyDescent="0.25">
      <c r="A6341" s="402" t="s">
        <v>15</v>
      </c>
      <c r="B6341" s="269">
        <v>44157</v>
      </c>
      <c r="C6341" s="1">
        <v>119</v>
      </c>
      <c r="D6341" s="39">
        <f t="shared" si="543"/>
        <v>17778</v>
      </c>
      <c r="E6341" s="1">
        <f>1+1</f>
        <v>2</v>
      </c>
      <c r="F6341" s="522">
        <f t="shared" si="541"/>
        <v>527</v>
      </c>
      <c r="G6341" s="395"/>
      <c r="H6341" s="395"/>
      <c r="J6341" s="42"/>
    </row>
    <row r="6342" spans="1:10" s="393" customFormat="1" x14ac:dyDescent="0.25">
      <c r="A6342" s="402" t="s">
        <v>29</v>
      </c>
      <c r="B6342" s="269">
        <v>44157</v>
      </c>
      <c r="C6342" s="1">
        <v>146</v>
      </c>
      <c r="D6342" s="39">
        <f t="shared" si="543"/>
        <v>21167</v>
      </c>
      <c r="E6342" s="1"/>
      <c r="F6342" s="522">
        <f t="shared" si="541"/>
        <v>357</v>
      </c>
      <c r="G6342" s="395"/>
      <c r="H6342" s="395"/>
      <c r="J6342" s="42"/>
    </row>
    <row r="6343" spans="1:10" s="393" customFormat="1" x14ac:dyDescent="0.25">
      <c r="A6343" s="402" t="s">
        <v>20</v>
      </c>
      <c r="B6343" s="269">
        <v>44157</v>
      </c>
      <c r="C6343" s="1">
        <v>452</v>
      </c>
      <c r="D6343" s="39">
        <f t="shared" si="543"/>
        <v>109226</v>
      </c>
      <c r="E6343" s="1">
        <f>3+2</f>
        <v>5</v>
      </c>
      <c r="F6343" s="522">
        <f t="shared" si="541"/>
        <v>1776</v>
      </c>
      <c r="G6343" s="395"/>
      <c r="H6343" s="395"/>
      <c r="J6343" s="42"/>
    </row>
    <row r="6344" spans="1:10" s="393" customFormat="1" x14ac:dyDescent="0.25">
      <c r="A6344" s="402" t="s">
        <v>30</v>
      </c>
      <c r="B6344" s="269">
        <v>44157</v>
      </c>
      <c r="C6344" s="1">
        <v>27</v>
      </c>
      <c r="D6344" s="39">
        <f t="shared" si="543"/>
        <v>4796</v>
      </c>
      <c r="E6344" s="1"/>
      <c r="F6344" s="522">
        <f t="shared" si="541"/>
        <v>86</v>
      </c>
      <c r="G6344" s="395"/>
      <c r="H6344" s="395"/>
      <c r="J6344" s="42"/>
    </row>
    <row r="6345" spans="1:10" x14ac:dyDescent="0.25">
      <c r="A6345" s="402" t="s">
        <v>31</v>
      </c>
      <c r="B6345" s="269">
        <v>44157</v>
      </c>
      <c r="C6345" s="1">
        <v>159</v>
      </c>
      <c r="D6345" s="39">
        <f t="shared" si="543"/>
        <v>21877</v>
      </c>
      <c r="E6345" s="1">
        <f>2</f>
        <v>2</v>
      </c>
      <c r="F6345" s="522">
        <f t="shared" si="541"/>
        <v>418</v>
      </c>
    </row>
    <row r="6346" spans="1:10" s="393" customFormat="1" x14ac:dyDescent="0.25">
      <c r="A6346" s="402" t="s">
        <v>41</v>
      </c>
      <c r="B6346" s="269">
        <v>44157</v>
      </c>
      <c r="C6346" s="1">
        <v>1</v>
      </c>
      <c r="D6346" s="39">
        <f t="shared" si="543"/>
        <v>180</v>
      </c>
      <c r="E6346" s="1"/>
      <c r="F6346" s="522">
        <f t="shared" si="541"/>
        <v>3</v>
      </c>
      <c r="G6346" s="395"/>
      <c r="H6346" s="395"/>
      <c r="J6346" s="42"/>
    </row>
    <row r="6347" spans="1:10" s="393" customFormat="1" x14ac:dyDescent="0.25">
      <c r="A6347" s="402" t="s">
        <v>32</v>
      </c>
      <c r="B6347" s="269">
        <v>44157</v>
      </c>
      <c r="C6347" s="1">
        <v>9</v>
      </c>
      <c r="D6347" s="39">
        <f t="shared" si="543"/>
        <v>18294</v>
      </c>
      <c r="E6347" s="1"/>
      <c r="F6347" s="522">
        <f t="shared" si="541"/>
        <v>842</v>
      </c>
      <c r="G6347" s="395"/>
      <c r="H6347" s="395"/>
      <c r="J6347" s="42"/>
    </row>
    <row r="6348" spans="1:10" s="393" customFormat="1" x14ac:dyDescent="0.25">
      <c r="A6348" s="402" t="s">
        <v>33</v>
      </c>
      <c r="B6348" s="269">
        <v>44157</v>
      </c>
      <c r="C6348" s="1">
        <v>82</v>
      </c>
      <c r="D6348" s="39">
        <f t="shared" si="543"/>
        <v>5199</v>
      </c>
      <c r="E6348" s="1"/>
      <c r="F6348" s="522">
        <f t="shared" si="541"/>
        <v>70</v>
      </c>
      <c r="G6348" s="395"/>
      <c r="H6348" s="395"/>
      <c r="J6348" s="42"/>
    </row>
    <row r="6349" spans="1:10" s="393" customFormat="1" x14ac:dyDescent="0.25">
      <c r="A6349" s="402" t="s">
        <v>21</v>
      </c>
      <c r="B6349" s="269">
        <v>44157</v>
      </c>
      <c r="C6349" s="1">
        <v>28</v>
      </c>
      <c r="D6349" s="39">
        <f t="shared" si="543"/>
        <v>8511</v>
      </c>
      <c r="E6349" s="1">
        <f>1</f>
        <v>1</v>
      </c>
      <c r="F6349" s="522">
        <f t="shared" si="541"/>
        <v>310</v>
      </c>
      <c r="G6349" s="395"/>
      <c r="H6349" s="395"/>
      <c r="J6349" s="42"/>
    </row>
    <row r="6350" spans="1:10" s="393" customFormat="1" x14ac:dyDescent="0.25">
      <c r="A6350" s="402" t="s">
        <v>17</v>
      </c>
      <c r="B6350" s="269">
        <v>44157</v>
      </c>
      <c r="C6350" s="1">
        <v>152</v>
      </c>
      <c r="D6350" s="39">
        <f t="shared" si="543"/>
        <v>55189</v>
      </c>
      <c r="E6350" s="1">
        <f>2</f>
        <v>2</v>
      </c>
      <c r="F6350" s="522">
        <f t="shared" si="541"/>
        <v>1068</v>
      </c>
      <c r="G6350" s="395"/>
      <c r="H6350" s="395"/>
      <c r="J6350" s="42"/>
    </row>
    <row r="6351" spans="1:10" s="393" customFormat="1" x14ac:dyDescent="0.25">
      <c r="A6351" s="402" t="s">
        <v>23</v>
      </c>
      <c r="B6351" s="269">
        <v>44157</v>
      </c>
      <c r="C6351" s="1">
        <v>1</v>
      </c>
      <c r="D6351" s="39">
        <f t="shared" si="543"/>
        <v>436</v>
      </c>
      <c r="E6351" s="1"/>
      <c r="F6351" s="522">
        <f t="shared" si="541"/>
        <v>8</v>
      </c>
      <c r="G6351" s="395"/>
      <c r="H6351" s="395"/>
      <c r="J6351" s="42"/>
    </row>
    <row r="6352" spans="1:10" s="393" customFormat="1" x14ac:dyDescent="0.25">
      <c r="A6352" s="402" t="s">
        <v>19</v>
      </c>
      <c r="B6352" s="269">
        <v>44157</v>
      </c>
      <c r="C6352" s="1">
        <v>169</v>
      </c>
      <c r="D6352" s="39">
        <f t="shared" si="543"/>
        <v>29663</v>
      </c>
      <c r="E6352" s="1">
        <f>9+8</f>
        <v>17</v>
      </c>
      <c r="F6352" s="522">
        <f t="shared" si="541"/>
        <v>589</v>
      </c>
      <c r="G6352" s="395"/>
      <c r="H6352" s="395"/>
      <c r="J6352" s="42"/>
    </row>
    <row r="6353" spans="1:10" s="393" customFormat="1" x14ac:dyDescent="0.25">
      <c r="A6353" s="402" t="s">
        <v>18</v>
      </c>
      <c r="B6353" s="269">
        <v>44157</v>
      </c>
      <c r="C6353" s="1">
        <v>141</v>
      </c>
      <c r="D6353" s="39">
        <f t="shared" si="543"/>
        <v>30056</v>
      </c>
      <c r="E6353" s="1"/>
      <c r="F6353" s="522">
        <f t="shared" si="541"/>
        <v>751</v>
      </c>
      <c r="G6353" s="395"/>
      <c r="H6353" s="395"/>
      <c r="J6353" s="42"/>
    </row>
    <row r="6354" spans="1:10" s="393" customFormat="1" x14ac:dyDescent="0.25">
      <c r="A6354" s="402" t="s">
        <v>34</v>
      </c>
      <c r="B6354" s="269">
        <v>44157</v>
      </c>
      <c r="C6354" s="1">
        <v>28</v>
      </c>
      <c r="D6354" s="39">
        <f t="shared" si="543"/>
        <v>20754</v>
      </c>
      <c r="E6354" s="1">
        <f>1</f>
        <v>1</v>
      </c>
      <c r="F6354" s="522">
        <f t="shared" si="541"/>
        <v>948</v>
      </c>
      <c r="G6354" s="395"/>
      <c r="H6354" s="395"/>
      <c r="J6354" s="42"/>
    </row>
    <row r="6355" spans="1:10" s="393" customFormat="1" x14ac:dyDescent="0.25">
      <c r="A6355" s="402" t="s">
        <v>35</v>
      </c>
      <c r="B6355" s="269">
        <v>44157</v>
      </c>
      <c r="C6355" s="1">
        <v>62</v>
      </c>
      <c r="D6355" s="39">
        <f t="shared" si="543"/>
        <v>5730</v>
      </c>
      <c r="E6355" s="1"/>
      <c r="F6355" s="522">
        <f t="shared" si="541"/>
        <v>143</v>
      </c>
      <c r="G6355" s="395"/>
      <c r="H6355" s="395"/>
      <c r="J6355" s="42"/>
    </row>
    <row r="6356" spans="1:10" s="393" customFormat="1" x14ac:dyDescent="0.25">
      <c r="A6356" s="402" t="s">
        <v>36</v>
      </c>
      <c r="B6356" s="269">
        <v>44157</v>
      </c>
      <c r="C6356" s="1">
        <v>126</v>
      </c>
      <c r="D6356" s="39">
        <f t="shared" si="543"/>
        <v>13163</v>
      </c>
      <c r="E6356" s="1">
        <v>1</v>
      </c>
      <c r="F6356" s="522">
        <f t="shared" si="541"/>
        <v>179</v>
      </c>
      <c r="G6356" s="395"/>
      <c r="H6356" s="395"/>
      <c r="J6356" s="42"/>
    </row>
    <row r="6357" spans="1:10" s="393" customFormat="1" x14ac:dyDescent="0.25">
      <c r="A6357" s="402" t="s">
        <v>37</v>
      </c>
      <c r="B6357" s="269">
        <v>44157</v>
      </c>
      <c r="C6357" s="1">
        <v>189</v>
      </c>
      <c r="D6357" s="39">
        <f t="shared" si="543"/>
        <v>14199</v>
      </c>
      <c r="E6357" s="1"/>
      <c r="F6357" s="522">
        <f t="shared" si="541"/>
        <v>231</v>
      </c>
      <c r="G6357" s="395"/>
      <c r="H6357" s="395"/>
      <c r="J6357" s="42"/>
    </row>
    <row r="6358" spans="1:10" s="393" customFormat="1" x14ac:dyDescent="0.25">
      <c r="A6358" s="402" t="s">
        <v>22</v>
      </c>
      <c r="B6358" s="269">
        <v>44157</v>
      </c>
      <c r="C6358" s="1">
        <v>634</v>
      </c>
      <c r="D6358" s="39">
        <f t="shared" si="543"/>
        <v>137897</v>
      </c>
      <c r="E6358" s="1">
        <f>19+12</f>
        <v>31</v>
      </c>
      <c r="F6358" s="522">
        <f t="shared" si="541"/>
        <v>2074</v>
      </c>
      <c r="G6358" s="395"/>
      <c r="H6358" s="395"/>
      <c r="J6358" s="42"/>
    </row>
    <row r="6359" spans="1:10" s="393" customFormat="1" x14ac:dyDescent="0.25">
      <c r="A6359" s="402" t="s">
        <v>38</v>
      </c>
      <c r="B6359" s="269">
        <v>44157</v>
      </c>
      <c r="C6359" s="1">
        <v>194</v>
      </c>
      <c r="D6359" s="39">
        <f t="shared" si="543"/>
        <v>14558</v>
      </c>
      <c r="E6359" s="1"/>
      <c r="F6359" s="522">
        <f t="shared" si="541"/>
        <v>173</v>
      </c>
      <c r="G6359" s="395"/>
      <c r="H6359" s="395"/>
      <c r="J6359" s="42"/>
    </row>
    <row r="6360" spans="1:10" s="393" customFormat="1" x14ac:dyDescent="0.25">
      <c r="A6360" s="402" t="s">
        <v>39</v>
      </c>
      <c r="B6360" s="269">
        <v>44157</v>
      </c>
      <c r="C6360" s="1">
        <v>77</v>
      </c>
      <c r="D6360" s="39">
        <f t="shared" si="543"/>
        <v>15263</v>
      </c>
      <c r="E6360" s="1">
        <v>1</v>
      </c>
      <c r="F6360" s="522">
        <f t="shared" si="541"/>
        <v>220</v>
      </c>
      <c r="G6360" s="395"/>
      <c r="H6360" s="395"/>
      <c r="J6360" s="42"/>
    </row>
    <row r="6361" spans="1:10" s="393" customFormat="1" ht="15.75" thickBot="1" x14ac:dyDescent="0.3">
      <c r="A6361" s="404" t="s">
        <v>40</v>
      </c>
      <c r="B6361" s="269">
        <v>44157</v>
      </c>
      <c r="C6361" s="1">
        <v>158</v>
      </c>
      <c r="D6361" s="177">
        <f>C6361+D6337</f>
        <v>63294</v>
      </c>
      <c r="E6361" s="1"/>
      <c r="F6361" s="631">
        <f t="shared" si="541"/>
        <v>1058</v>
      </c>
      <c r="G6361" s="395"/>
      <c r="H6361" s="395"/>
      <c r="J6361" s="42"/>
    </row>
    <row r="6362" spans="1:10" s="393" customFormat="1" x14ac:dyDescent="0.25">
      <c r="A6362" s="397" t="s">
        <v>16</v>
      </c>
      <c r="B6362" s="269">
        <v>44158</v>
      </c>
      <c r="C6362" s="1">
        <v>954</v>
      </c>
      <c r="D6362" s="175">
        <f t="shared" si="543"/>
        <v>605968</v>
      </c>
      <c r="E6362" s="1">
        <f>18+16</f>
        <v>34</v>
      </c>
      <c r="F6362" s="630">
        <f t="shared" si="541"/>
        <v>20003</v>
      </c>
      <c r="G6362" s="395"/>
      <c r="H6362" s="395"/>
      <c r="J6362" s="42"/>
    </row>
    <row r="6363" spans="1:10" s="393" customFormat="1" x14ac:dyDescent="0.25">
      <c r="A6363" s="402" t="s">
        <v>43</v>
      </c>
      <c r="B6363" s="269">
        <v>44158</v>
      </c>
      <c r="C6363" s="1">
        <v>239</v>
      </c>
      <c r="D6363" s="39">
        <f t="shared" si="543"/>
        <v>156653</v>
      </c>
      <c r="E6363" s="1">
        <f>2+1</f>
        <v>3</v>
      </c>
      <c r="F6363" s="522">
        <f t="shared" si="541"/>
        <v>5165</v>
      </c>
      <c r="G6363" s="395"/>
      <c r="H6363" s="395"/>
      <c r="J6363" s="42"/>
    </row>
    <row r="6364" spans="1:10" s="393" customFormat="1" x14ac:dyDescent="0.25">
      <c r="A6364" s="402" t="s">
        <v>28</v>
      </c>
      <c r="B6364" s="269">
        <v>44158</v>
      </c>
      <c r="C6364" s="1">
        <v>4</v>
      </c>
      <c r="D6364" s="39">
        <f t="shared" si="543"/>
        <v>1712</v>
      </c>
      <c r="E6364" s="1"/>
      <c r="F6364" s="522">
        <f t="shared" si="541"/>
        <v>13</v>
      </c>
      <c r="G6364" s="395"/>
      <c r="H6364" s="395"/>
      <c r="J6364" s="42"/>
    </row>
    <row r="6365" spans="1:10" s="393" customFormat="1" x14ac:dyDescent="0.25">
      <c r="A6365" s="402" t="s">
        <v>15</v>
      </c>
      <c r="B6365" s="269">
        <v>44158</v>
      </c>
      <c r="C6365" s="1">
        <v>127</v>
      </c>
      <c r="D6365" s="39">
        <f t="shared" si="543"/>
        <v>17905</v>
      </c>
      <c r="E6365" s="1">
        <f>1</f>
        <v>1</v>
      </c>
      <c r="F6365" s="522">
        <f t="shared" si="541"/>
        <v>528</v>
      </c>
      <c r="G6365" s="395"/>
      <c r="H6365" s="395"/>
      <c r="J6365" s="42"/>
    </row>
    <row r="6366" spans="1:10" s="393" customFormat="1" x14ac:dyDescent="0.25">
      <c r="A6366" s="402" t="s">
        <v>29</v>
      </c>
      <c r="B6366" s="269">
        <v>44158</v>
      </c>
      <c r="C6366" s="1">
        <v>104</v>
      </c>
      <c r="D6366" s="39">
        <f t="shared" si="543"/>
        <v>21271</v>
      </c>
      <c r="E6366" s="1">
        <f>1+1</f>
        <v>2</v>
      </c>
      <c r="F6366" s="522">
        <f t="shared" si="541"/>
        <v>359</v>
      </c>
      <c r="G6366" s="395"/>
      <c r="H6366" s="395"/>
      <c r="J6366" s="42"/>
    </row>
    <row r="6367" spans="1:10" s="393" customFormat="1" x14ac:dyDescent="0.25">
      <c r="A6367" s="402" t="s">
        <v>20</v>
      </c>
      <c r="B6367" s="269">
        <v>44158</v>
      </c>
      <c r="C6367" s="1">
        <v>365</v>
      </c>
      <c r="D6367" s="39">
        <f t="shared" si="543"/>
        <v>109591</v>
      </c>
      <c r="E6367" s="1">
        <f>9+4</f>
        <v>13</v>
      </c>
      <c r="F6367" s="522">
        <f t="shared" si="541"/>
        <v>1789</v>
      </c>
      <c r="G6367" s="395"/>
      <c r="H6367" s="395"/>
      <c r="J6367" s="42"/>
    </row>
    <row r="6368" spans="1:10" s="393" customFormat="1" x14ac:dyDescent="0.25">
      <c r="A6368" s="402" t="s">
        <v>30</v>
      </c>
      <c r="B6368" s="269">
        <v>44158</v>
      </c>
      <c r="C6368" s="1">
        <v>121</v>
      </c>
      <c r="D6368" s="39">
        <f t="shared" si="543"/>
        <v>4917</v>
      </c>
      <c r="E6368" s="1"/>
      <c r="F6368" s="522">
        <f t="shared" si="541"/>
        <v>86</v>
      </c>
      <c r="G6368" s="395"/>
      <c r="H6368" s="395"/>
      <c r="J6368" s="42"/>
    </row>
    <row r="6369" spans="1:10" x14ac:dyDescent="0.25">
      <c r="A6369" s="402" t="s">
        <v>31</v>
      </c>
      <c r="B6369" s="269">
        <v>44158</v>
      </c>
      <c r="C6369" s="1">
        <v>22</v>
      </c>
      <c r="D6369" s="39">
        <f t="shared" si="543"/>
        <v>21899</v>
      </c>
      <c r="E6369" s="1">
        <f>2</f>
        <v>2</v>
      </c>
      <c r="F6369" s="522">
        <f t="shared" si="541"/>
        <v>420</v>
      </c>
    </row>
    <row r="6370" spans="1:10" s="393" customFormat="1" x14ac:dyDescent="0.25">
      <c r="A6370" s="402" t="s">
        <v>41</v>
      </c>
      <c r="B6370" s="269">
        <v>44158</v>
      </c>
      <c r="C6370" s="1">
        <v>9</v>
      </c>
      <c r="D6370" s="39">
        <f t="shared" si="543"/>
        <v>189</v>
      </c>
      <c r="E6370" s="1"/>
      <c r="F6370" s="522">
        <f t="shared" si="541"/>
        <v>3</v>
      </c>
      <c r="G6370" s="395"/>
      <c r="H6370" s="395"/>
      <c r="J6370" s="42"/>
    </row>
    <row r="6371" spans="1:10" s="393" customFormat="1" x14ac:dyDescent="0.25">
      <c r="A6371" s="402" t="s">
        <v>32</v>
      </c>
      <c r="B6371" s="269">
        <v>44158</v>
      </c>
      <c r="C6371" s="1">
        <v>3</v>
      </c>
      <c r="D6371" s="39">
        <f t="shared" si="543"/>
        <v>18297</v>
      </c>
      <c r="E6371" s="1">
        <f>2+1</f>
        <v>3</v>
      </c>
      <c r="F6371" s="522">
        <f t="shared" si="541"/>
        <v>845</v>
      </c>
      <c r="G6371" s="395"/>
      <c r="H6371" s="395"/>
      <c r="J6371" s="42"/>
    </row>
    <row r="6372" spans="1:10" s="393" customFormat="1" x14ac:dyDescent="0.25">
      <c r="A6372" s="402" t="s">
        <v>33</v>
      </c>
      <c r="B6372" s="269">
        <v>44158</v>
      </c>
      <c r="C6372" s="1">
        <v>38</v>
      </c>
      <c r="D6372" s="39">
        <f t="shared" si="543"/>
        <v>5237</v>
      </c>
      <c r="E6372" s="1">
        <f>2</f>
        <v>2</v>
      </c>
      <c r="F6372" s="522">
        <f t="shared" si="541"/>
        <v>72</v>
      </c>
      <c r="G6372" s="395"/>
      <c r="H6372" s="395"/>
      <c r="J6372" s="42"/>
    </row>
    <row r="6373" spans="1:10" s="393" customFormat="1" x14ac:dyDescent="0.25">
      <c r="A6373" s="402" t="s">
        <v>21</v>
      </c>
      <c r="B6373" s="269">
        <v>44158</v>
      </c>
      <c r="C6373" s="1">
        <v>43</v>
      </c>
      <c r="D6373" s="39">
        <f t="shared" si="543"/>
        <v>8554</v>
      </c>
      <c r="E6373" s="1"/>
      <c r="F6373" s="522">
        <f t="shared" si="541"/>
        <v>310</v>
      </c>
      <c r="G6373" s="395"/>
      <c r="H6373" s="395"/>
      <c r="J6373" s="42"/>
    </row>
    <row r="6374" spans="1:10" s="393" customFormat="1" x14ac:dyDescent="0.25">
      <c r="A6374" s="402" t="s">
        <v>17</v>
      </c>
      <c r="B6374" s="269">
        <v>44158</v>
      </c>
      <c r="C6374" s="1">
        <v>113</v>
      </c>
      <c r="D6374" s="39">
        <f t="shared" si="543"/>
        <v>55302</v>
      </c>
      <c r="E6374" s="1">
        <f>4+1</f>
        <v>5</v>
      </c>
      <c r="F6374" s="522">
        <f t="shared" si="541"/>
        <v>1073</v>
      </c>
      <c r="G6374" s="395"/>
      <c r="H6374" s="395"/>
      <c r="J6374" s="42"/>
    </row>
    <row r="6375" spans="1:10" s="393" customFormat="1" x14ac:dyDescent="0.25">
      <c r="A6375" s="402" t="s">
        <v>23</v>
      </c>
      <c r="B6375" s="269">
        <v>44158</v>
      </c>
      <c r="C6375" s="1">
        <v>12</v>
      </c>
      <c r="D6375" s="39">
        <f t="shared" si="543"/>
        <v>448</v>
      </c>
      <c r="E6375" s="1"/>
      <c r="F6375" s="522">
        <f t="shared" si="541"/>
        <v>8</v>
      </c>
      <c r="G6375" s="395"/>
      <c r="H6375" s="395"/>
      <c r="J6375" s="42"/>
    </row>
    <row r="6376" spans="1:10" s="393" customFormat="1" x14ac:dyDescent="0.25">
      <c r="A6376" s="402" t="s">
        <v>19</v>
      </c>
      <c r="B6376" s="269">
        <v>44158</v>
      </c>
      <c r="C6376" s="1">
        <v>356</v>
      </c>
      <c r="D6376" s="39">
        <f t="shared" si="543"/>
        <v>30019</v>
      </c>
      <c r="E6376" s="1">
        <f>1+1</f>
        <v>2</v>
      </c>
      <c r="F6376" s="522">
        <f t="shared" si="541"/>
        <v>591</v>
      </c>
      <c r="G6376" s="395"/>
      <c r="H6376" s="395"/>
      <c r="J6376" s="42"/>
    </row>
    <row r="6377" spans="1:10" s="393" customFormat="1" x14ac:dyDescent="0.25">
      <c r="A6377" s="402" t="s">
        <v>18</v>
      </c>
      <c r="B6377" s="269">
        <v>44158</v>
      </c>
      <c r="C6377" s="1">
        <v>92</v>
      </c>
      <c r="D6377" s="39">
        <f t="shared" si="543"/>
        <v>30148</v>
      </c>
      <c r="E6377" s="1">
        <f>2+1</f>
        <v>3</v>
      </c>
      <c r="F6377" s="522">
        <f t="shared" si="541"/>
        <v>754</v>
      </c>
      <c r="G6377" s="395"/>
      <c r="H6377" s="395"/>
      <c r="J6377" s="42"/>
    </row>
    <row r="6378" spans="1:10" s="393" customFormat="1" x14ac:dyDescent="0.25">
      <c r="A6378" s="402" t="s">
        <v>34</v>
      </c>
      <c r="B6378" s="269">
        <v>44158</v>
      </c>
      <c r="C6378" s="1">
        <v>17</v>
      </c>
      <c r="D6378" s="39">
        <f t="shared" si="543"/>
        <v>20771</v>
      </c>
      <c r="E6378" s="1"/>
      <c r="F6378" s="522">
        <f t="shared" si="541"/>
        <v>948</v>
      </c>
      <c r="G6378" s="395"/>
      <c r="H6378" s="395"/>
      <c r="J6378" s="42"/>
    </row>
    <row r="6379" spans="1:10" s="393" customFormat="1" x14ac:dyDescent="0.25">
      <c r="A6379" s="402" t="s">
        <v>35</v>
      </c>
      <c r="B6379" s="269">
        <v>44158</v>
      </c>
      <c r="C6379" s="1">
        <v>48</v>
      </c>
      <c r="D6379" s="39">
        <f t="shared" si="543"/>
        <v>5778</v>
      </c>
      <c r="E6379" s="1"/>
      <c r="F6379" s="522">
        <f t="shared" ref="F6379:F6442" si="544">E6379+F6355</f>
        <v>143</v>
      </c>
      <c r="G6379" s="395"/>
      <c r="H6379" s="395"/>
      <c r="J6379" s="42"/>
    </row>
    <row r="6380" spans="1:10" s="393" customFormat="1" x14ac:dyDescent="0.25">
      <c r="A6380" s="402" t="s">
        <v>36</v>
      </c>
      <c r="B6380" s="269">
        <v>44158</v>
      </c>
      <c r="C6380" s="1">
        <v>46</v>
      </c>
      <c r="D6380" s="39">
        <f t="shared" si="543"/>
        <v>13209</v>
      </c>
      <c r="E6380" s="1">
        <f>2</f>
        <v>2</v>
      </c>
      <c r="F6380" s="522">
        <f t="shared" si="544"/>
        <v>181</v>
      </c>
      <c r="G6380" s="395"/>
      <c r="H6380" s="395"/>
      <c r="J6380" s="42"/>
    </row>
    <row r="6381" spans="1:10" s="393" customFormat="1" x14ac:dyDescent="0.25">
      <c r="A6381" s="402" t="s">
        <v>37</v>
      </c>
      <c r="B6381" s="269">
        <v>44158</v>
      </c>
      <c r="C6381" s="1">
        <v>110</v>
      </c>
      <c r="D6381" s="39">
        <f t="shared" si="543"/>
        <v>14309</v>
      </c>
      <c r="E6381" s="1">
        <f>6+1</f>
        <v>7</v>
      </c>
      <c r="F6381" s="522">
        <f t="shared" si="544"/>
        <v>238</v>
      </c>
      <c r="G6381" s="395"/>
      <c r="H6381" s="395"/>
      <c r="J6381" s="42"/>
    </row>
    <row r="6382" spans="1:10" s="393" customFormat="1" x14ac:dyDescent="0.25">
      <c r="A6382" s="402" t="s">
        <v>22</v>
      </c>
      <c r="B6382" s="269">
        <v>44158</v>
      </c>
      <c r="C6382" s="1">
        <v>1021</v>
      </c>
      <c r="D6382" s="39">
        <f t="shared" si="543"/>
        <v>138918</v>
      </c>
      <c r="E6382" s="1">
        <v>23</v>
      </c>
      <c r="F6382" s="522">
        <f t="shared" si="544"/>
        <v>2097</v>
      </c>
      <c r="G6382" s="395"/>
      <c r="H6382" s="395"/>
      <c r="J6382" s="42"/>
    </row>
    <row r="6383" spans="1:10" s="393" customFormat="1" x14ac:dyDescent="0.25">
      <c r="A6383" s="402" t="s">
        <v>38</v>
      </c>
      <c r="B6383" s="269">
        <v>44158</v>
      </c>
      <c r="C6383" s="1">
        <v>81</v>
      </c>
      <c r="D6383" s="39">
        <f t="shared" si="543"/>
        <v>14639</v>
      </c>
      <c r="E6383" s="1">
        <f>1+1</f>
        <v>2</v>
      </c>
      <c r="F6383" s="522">
        <f t="shared" si="544"/>
        <v>175</v>
      </c>
      <c r="G6383" s="395"/>
      <c r="H6383" s="395"/>
      <c r="J6383" s="42"/>
    </row>
    <row r="6384" spans="1:10" s="393" customFormat="1" x14ac:dyDescent="0.25">
      <c r="A6384" s="402" t="s">
        <v>39</v>
      </c>
      <c r="B6384" s="269">
        <v>44158</v>
      </c>
      <c r="C6384" s="1">
        <v>152</v>
      </c>
      <c r="D6384" s="39">
        <f t="shared" si="543"/>
        <v>15415</v>
      </c>
      <c r="E6384" s="1"/>
      <c r="F6384" s="522">
        <f t="shared" si="544"/>
        <v>220</v>
      </c>
      <c r="G6384" s="395"/>
      <c r="H6384" s="395"/>
      <c r="J6384" s="42"/>
    </row>
    <row r="6385" spans="1:10" s="393" customFormat="1" ht="15.75" thickBot="1" x14ac:dyDescent="0.3">
      <c r="A6385" s="404" t="s">
        <v>40</v>
      </c>
      <c r="B6385" s="269">
        <v>44158</v>
      </c>
      <c r="C6385" s="1">
        <v>188</v>
      </c>
      <c r="D6385" s="177">
        <f>C6385+D6361</f>
        <v>63482</v>
      </c>
      <c r="E6385" s="1">
        <f>7+8</f>
        <v>15</v>
      </c>
      <c r="F6385" s="631">
        <f t="shared" si="544"/>
        <v>1073</v>
      </c>
      <c r="G6385" s="395"/>
      <c r="H6385" s="395"/>
      <c r="J6385" s="42"/>
    </row>
    <row r="6386" spans="1:10" s="393" customFormat="1" x14ac:dyDescent="0.25">
      <c r="A6386" s="397" t="s">
        <v>16</v>
      </c>
      <c r="B6386" s="269">
        <v>44159</v>
      </c>
      <c r="C6386" s="1">
        <v>1929</v>
      </c>
      <c r="D6386" s="175">
        <f t="shared" si="543"/>
        <v>607897</v>
      </c>
      <c r="E6386" s="1">
        <f>76+76</f>
        <v>152</v>
      </c>
      <c r="F6386" s="630">
        <f t="shared" si="544"/>
        <v>20155</v>
      </c>
      <c r="G6386" s="395"/>
      <c r="H6386" s="395"/>
      <c r="J6386" s="42"/>
    </row>
    <row r="6387" spans="1:10" s="393" customFormat="1" x14ac:dyDescent="0.25">
      <c r="A6387" s="402" t="s">
        <v>43</v>
      </c>
      <c r="B6387" s="269">
        <v>44159</v>
      </c>
      <c r="C6387" s="1">
        <v>250</v>
      </c>
      <c r="D6387" s="39">
        <f t="shared" si="543"/>
        <v>156903</v>
      </c>
      <c r="E6387" s="1">
        <f>4+8</f>
        <v>12</v>
      </c>
      <c r="F6387" s="522">
        <f t="shared" si="544"/>
        <v>5177</v>
      </c>
      <c r="G6387" s="395"/>
      <c r="H6387" s="395"/>
      <c r="J6387" s="42"/>
    </row>
    <row r="6388" spans="1:10" s="393" customFormat="1" x14ac:dyDescent="0.25">
      <c r="A6388" s="402" t="s">
        <v>28</v>
      </c>
      <c r="B6388" s="269">
        <v>44159</v>
      </c>
      <c r="C6388" s="1">
        <v>13</v>
      </c>
      <c r="D6388" s="39">
        <f t="shared" si="543"/>
        <v>1725</v>
      </c>
      <c r="E6388" s="1"/>
      <c r="F6388" s="522">
        <f t="shared" si="544"/>
        <v>13</v>
      </c>
      <c r="G6388" s="395"/>
      <c r="H6388" s="395"/>
      <c r="J6388" s="42"/>
    </row>
    <row r="6389" spans="1:10" s="393" customFormat="1" x14ac:dyDescent="0.25">
      <c r="A6389" s="402" t="s">
        <v>15</v>
      </c>
      <c r="B6389" s="269">
        <v>44159</v>
      </c>
      <c r="C6389" s="1">
        <v>177</v>
      </c>
      <c r="D6389" s="39">
        <f t="shared" si="543"/>
        <v>18082</v>
      </c>
      <c r="E6389" s="1">
        <f>4+1</f>
        <v>5</v>
      </c>
      <c r="F6389" s="522">
        <f t="shared" si="544"/>
        <v>533</v>
      </c>
      <c r="G6389" s="395"/>
      <c r="H6389" s="395"/>
      <c r="J6389" s="42"/>
    </row>
    <row r="6390" spans="1:10" s="393" customFormat="1" x14ac:dyDescent="0.25">
      <c r="A6390" s="402" t="s">
        <v>29</v>
      </c>
      <c r="B6390" s="269">
        <v>44159</v>
      </c>
      <c r="C6390" s="1">
        <v>227</v>
      </c>
      <c r="D6390" s="39">
        <f t="shared" si="543"/>
        <v>21498</v>
      </c>
      <c r="E6390" s="1">
        <f>1+1</f>
        <v>2</v>
      </c>
      <c r="F6390" s="522">
        <f t="shared" si="544"/>
        <v>361</v>
      </c>
      <c r="G6390" s="395"/>
      <c r="H6390" s="395"/>
      <c r="J6390" s="42"/>
    </row>
    <row r="6391" spans="1:10" s="393" customFormat="1" x14ac:dyDescent="0.25">
      <c r="A6391" s="402" t="s">
        <v>20</v>
      </c>
      <c r="B6391" s="269">
        <v>44159</v>
      </c>
      <c r="C6391" s="1">
        <v>471</v>
      </c>
      <c r="D6391" s="39">
        <f t="shared" si="543"/>
        <v>110062</v>
      </c>
      <c r="E6391" s="1">
        <f>22+11</f>
        <v>33</v>
      </c>
      <c r="F6391" s="522">
        <f t="shared" si="544"/>
        <v>1822</v>
      </c>
      <c r="G6391" s="395"/>
      <c r="H6391" s="395"/>
      <c r="J6391" s="42"/>
    </row>
    <row r="6392" spans="1:10" s="393" customFormat="1" x14ac:dyDescent="0.25">
      <c r="A6392" s="402" t="s">
        <v>30</v>
      </c>
      <c r="B6392" s="269">
        <v>44159</v>
      </c>
      <c r="C6392" s="1">
        <v>92</v>
      </c>
      <c r="D6392" s="39">
        <f t="shared" si="543"/>
        <v>5009</v>
      </c>
      <c r="E6392" s="1"/>
      <c r="F6392" s="522">
        <f t="shared" si="544"/>
        <v>86</v>
      </c>
      <c r="G6392" s="395"/>
      <c r="H6392" s="395"/>
      <c r="J6392" s="42"/>
    </row>
    <row r="6393" spans="1:10" x14ac:dyDescent="0.25">
      <c r="A6393" s="402" t="s">
        <v>31</v>
      </c>
      <c r="B6393" s="269">
        <v>44159</v>
      </c>
      <c r="C6393" s="1">
        <v>177</v>
      </c>
      <c r="D6393" s="39">
        <f t="shared" si="543"/>
        <v>22076</v>
      </c>
      <c r="E6393" s="1">
        <f>8+6</f>
        <v>14</v>
      </c>
      <c r="F6393" s="522">
        <f t="shared" si="544"/>
        <v>434</v>
      </c>
    </row>
    <row r="6394" spans="1:10" s="393" customFormat="1" x14ac:dyDescent="0.25">
      <c r="A6394" s="402" t="s">
        <v>41</v>
      </c>
      <c r="B6394" s="269">
        <v>44159</v>
      </c>
      <c r="C6394" s="1">
        <v>2</v>
      </c>
      <c r="D6394" s="39">
        <f t="shared" si="543"/>
        <v>191</v>
      </c>
      <c r="E6394" s="1"/>
      <c r="F6394" s="522">
        <f t="shared" si="544"/>
        <v>3</v>
      </c>
      <c r="G6394" s="395"/>
      <c r="H6394" s="395"/>
      <c r="J6394" s="42"/>
    </row>
    <row r="6395" spans="1:10" s="393" customFormat="1" x14ac:dyDescent="0.25">
      <c r="A6395" s="402" t="s">
        <v>32</v>
      </c>
      <c r="B6395" s="269">
        <v>44159</v>
      </c>
      <c r="C6395" s="1">
        <v>20</v>
      </c>
      <c r="D6395" s="39">
        <f t="shared" si="543"/>
        <v>18317</v>
      </c>
      <c r="E6395" s="1"/>
      <c r="F6395" s="522">
        <f t="shared" si="544"/>
        <v>845</v>
      </c>
      <c r="G6395" s="395"/>
      <c r="H6395" s="395"/>
      <c r="J6395" s="42"/>
    </row>
    <row r="6396" spans="1:10" s="393" customFormat="1" x14ac:dyDescent="0.25">
      <c r="A6396" s="402" t="s">
        <v>33</v>
      </c>
      <c r="B6396" s="269">
        <v>44159</v>
      </c>
      <c r="C6396" s="1">
        <v>61</v>
      </c>
      <c r="D6396" s="39">
        <f t="shared" si="543"/>
        <v>5298</v>
      </c>
      <c r="E6396" s="1">
        <f>1</f>
        <v>1</v>
      </c>
      <c r="F6396" s="522">
        <f t="shared" si="544"/>
        <v>73</v>
      </c>
      <c r="G6396" s="395"/>
      <c r="H6396" s="395"/>
      <c r="J6396" s="42"/>
    </row>
    <row r="6397" spans="1:10" s="393" customFormat="1" x14ac:dyDescent="0.25">
      <c r="A6397" s="402" t="s">
        <v>21</v>
      </c>
      <c r="B6397" s="269">
        <v>44159</v>
      </c>
      <c r="C6397" s="1">
        <v>16</v>
      </c>
      <c r="D6397" s="39">
        <f t="shared" si="543"/>
        <v>8570</v>
      </c>
      <c r="E6397" s="1"/>
      <c r="F6397" s="522">
        <f t="shared" si="544"/>
        <v>310</v>
      </c>
      <c r="G6397" s="395"/>
      <c r="H6397" s="395"/>
      <c r="J6397" s="42"/>
    </row>
    <row r="6398" spans="1:10" s="393" customFormat="1" x14ac:dyDescent="0.25">
      <c r="A6398" s="402" t="s">
        <v>17</v>
      </c>
      <c r="B6398" s="269">
        <v>44159</v>
      </c>
      <c r="C6398" s="1">
        <v>198</v>
      </c>
      <c r="D6398" s="39">
        <f t="shared" si="543"/>
        <v>55500</v>
      </c>
      <c r="E6398" s="1">
        <f>1+2</f>
        <v>3</v>
      </c>
      <c r="F6398" s="522">
        <f t="shared" si="544"/>
        <v>1076</v>
      </c>
      <c r="G6398" s="395"/>
      <c r="H6398" s="395"/>
      <c r="J6398" s="42"/>
    </row>
    <row r="6399" spans="1:10" s="393" customFormat="1" x14ac:dyDescent="0.25">
      <c r="A6399" s="402" t="s">
        <v>23</v>
      </c>
      <c r="B6399" s="269">
        <v>44159</v>
      </c>
      <c r="C6399" s="1">
        <v>10</v>
      </c>
      <c r="D6399" s="39">
        <f t="shared" si="543"/>
        <v>458</v>
      </c>
      <c r="E6399" s="1"/>
      <c r="F6399" s="522">
        <f t="shared" si="544"/>
        <v>8</v>
      </c>
      <c r="G6399" s="395"/>
      <c r="H6399" s="395"/>
      <c r="J6399" s="42"/>
    </row>
    <row r="6400" spans="1:10" s="393" customFormat="1" x14ac:dyDescent="0.25">
      <c r="A6400" s="402" t="s">
        <v>19</v>
      </c>
      <c r="B6400" s="269">
        <v>44159</v>
      </c>
      <c r="C6400" s="1">
        <v>485</v>
      </c>
      <c r="D6400" s="39">
        <f t="shared" si="543"/>
        <v>30504</v>
      </c>
      <c r="E6400" s="1"/>
      <c r="F6400" s="522">
        <f t="shared" si="544"/>
        <v>591</v>
      </c>
      <c r="G6400" s="395"/>
      <c r="H6400" s="395"/>
      <c r="J6400" s="42"/>
    </row>
    <row r="6401" spans="1:10" s="393" customFormat="1" x14ac:dyDescent="0.25">
      <c r="A6401" s="402" t="s">
        <v>18</v>
      </c>
      <c r="B6401" s="269">
        <v>44159</v>
      </c>
      <c r="C6401" s="1">
        <v>234</v>
      </c>
      <c r="D6401" s="39">
        <f t="shared" si="543"/>
        <v>30382</v>
      </c>
      <c r="E6401" s="1">
        <f>1</f>
        <v>1</v>
      </c>
      <c r="F6401" s="522">
        <f t="shared" si="544"/>
        <v>755</v>
      </c>
      <c r="G6401" s="395"/>
      <c r="H6401" s="395"/>
      <c r="J6401" s="42"/>
    </row>
    <row r="6402" spans="1:10" s="393" customFormat="1" x14ac:dyDescent="0.25">
      <c r="A6402" s="402" t="s">
        <v>34</v>
      </c>
      <c r="B6402" s="269">
        <v>44159</v>
      </c>
      <c r="C6402" s="1">
        <v>97</v>
      </c>
      <c r="D6402" s="39">
        <f t="shared" ref="D6402:D6408" si="545">C6402+D6378</f>
        <v>20868</v>
      </c>
      <c r="E6402" s="1">
        <f>6+4</f>
        <v>10</v>
      </c>
      <c r="F6402" s="522">
        <f t="shared" si="544"/>
        <v>958</v>
      </c>
      <c r="G6402" s="395"/>
      <c r="H6402" s="395"/>
      <c r="J6402" s="42"/>
    </row>
    <row r="6403" spans="1:10" s="393" customFormat="1" x14ac:dyDescent="0.25">
      <c r="A6403" s="402" t="s">
        <v>35</v>
      </c>
      <c r="B6403" s="269">
        <v>44159</v>
      </c>
      <c r="C6403" s="1">
        <v>493</v>
      </c>
      <c r="D6403" s="39">
        <f t="shared" si="545"/>
        <v>6271</v>
      </c>
      <c r="E6403" s="1"/>
      <c r="F6403" s="522">
        <f t="shared" si="544"/>
        <v>143</v>
      </c>
      <c r="G6403" s="395"/>
      <c r="H6403" s="395"/>
      <c r="J6403" s="42"/>
    </row>
    <row r="6404" spans="1:10" s="393" customFormat="1" x14ac:dyDescent="0.25">
      <c r="A6404" s="402" t="s">
        <v>36</v>
      </c>
      <c r="B6404" s="269">
        <v>44159</v>
      </c>
      <c r="C6404" s="1">
        <v>178</v>
      </c>
      <c r="D6404" s="39">
        <f t="shared" si="545"/>
        <v>13387</v>
      </c>
      <c r="E6404" s="1">
        <f>6+1</f>
        <v>7</v>
      </c>
      <c r="F6404" s="522">
        <f t="shared" si="544"/>
        <v>188</v>
      </c>
      <c r="G6404" s="395"/>
      <c r="H6404" s="395"/>
      <c r="J6404" s="42"/>
    </row>
    <row r="6405" spans="1:10" s="393" customFormat="1" x14ac:dyDescent="0.25">
      <c r="A6405" s="402" t="s">
        <v>37</v>
      </c>
      <c r="B6405" s="269">
        <v>44159</v>
      </c>
      <c r="C6405" s="1">
        <v>208</v>
      </c>
      <c r="D6405" s="39">
        <f t="shared" si="545"/>
        <v>14517</v>
      </c>
      <c r="E6405" s="1">
        <f>5+4</f>
        <v>9</v>
      </c>
      <c r="F6405" s="522">
        <f t="shared" si="544"/>
        <v>247</v>
      </c>
      <c r="G6405" s="395"/>
      <c r="H6405" s="395"/>
      <c r="J6405" s="42"/>
    </row>
    <row r="6406" spans="1:10" s="393" customFormat="1" x14ac:dyDescent="0.25">
      <c r="A6406" s="402" t="s">
        <v>22</v>
      </c>
      <c r="B6406" s="269">
        <v>44159</v>
      </c>
      <c r="C6406" s="1">
        <v>1187</v>
      </c>
      <c r="D6406" s="39">
        <f t="shared" si="545"/>
        <v>140105</v>
      </c>
      <c r="E6406" s="1">
        <f>15+17</f>
        <v>32</v>
      </c>
      <c r="F6406" s="522">
        <f t="shared" si="544"/>
        <v>2129</v>
      </c>
      <c r="G6406" s="395"/>
      <c r="H6406" s="395"/>
      <c r="J6406" s="42"/>
    </row>
    <row r="6407" spans="1:10" s="393" customFormat="1" x14ac:dyDescent="0.25">
      <c r="A6407" s="402" t="s">
        <v>38</v>
      </c>
      <c r="B6407" s="269">
        <v>44159</v>
      </c>
      <c r="C6407" s="1">
        <v>75</v>
      </c>
      <c r="D6407" s="39">
        <f t="shared" si="545"/>
        <v>14714</v>
      </c>
      <c r="E6407" s="1">
        <f>1+4</f>
        <v>5</v>
      </c>
      <c r="F6407" s="522">
        <f t="shared" si="544"/>
        <v>180</v>
      </c>
      <c r="G6407" s="395"/>
      <c r="H6407" s="395"/>
      <c r="J6407" s="42"/>
    </row>
    <row r="6408" spans="1:10" s="393" customFormat="1" x14ac:dyDescent="0.25">
      <c r="A6408" s="402" t="s">
        <v>39</v>
      </c>
      <c r="B6408" s="269">
        <v>44159</v>
      </c>
      <c r="C6408" s="1">
        <v>109</v>
      </c>
      <c r="D6408" s="39">
        <f t="shared" si="545"/>
        <v>15524</v>
      </c>
      <c r="E6408" s="1">
        <f>2</f>
        <v>2</v>
      </c>
      <c r="F6408" s="522">
        <f t="shared" si="544"/>
        <v>222</v>
      </c>
      <c r="G6408" s="395"/>
      <c r="H6408" s="395"/>
      <c r="J6408" s="42"/>
    </row>
    <row r="6409" spans="1:10" s="393" customFormat="1" ht="15.75" thickBot="1" x14ac:dyDescent="0.3">
      <c r="A6409" s="404" t="s">
        <v>40</v>
      </c>
      <c r="B6409" s="269">
        <v>44159</v>
      </c>
      <c r="C6409" s="1">
        <v>455</v>
      </c>
      <c r="D6409" s="177">
        <f>C6409+D6385</f>
        <v>63937</v>
      </c>
      <c r="E6409" s="1">
        <f>16+7</f>
        <v>23</v>
      </c>
      <c r="F6409" s="631">
        <f t="shared" si="544"/>
        <v>1096</v>
      </c>
      <c r="G6409" s="395"/>
      <c r="H6409" s="395"/>
      <c r="J6409" s="42"/>
    </row>
    <row r="6410" spans="1:10" s="393" customFormat="1" x14ac:dyDescent="0.25">
      <c r="A6410" s="397" t="s">
        <v>16</v>
      </c>
      <c r="B6410" s="269">
        <v>44160</v>
      </c>
      <c r="C6410" s="1">
        <v>2262</v>
      </c>
      <c r="D6410" s="175">
        <f t="shared" ref="D6410:D6473" si="546">C6410+D6386</f>
        <v>610159</v>
      </c>
      <c r="E6410" s="1">
        <v>76</v>
      </c>
      <c r="F6410" s="630">
        <f t="shared" si="544"/>
        <v>20231</v>
      </c>
      <c r="G6410" s="395"/>
      <c r="H6410" s="395"/>
      <c r="J6410" s="42"/>
    </row>
    <row r="6411" spans="1:10" s="393" customFormat="1" x14ac:dyDescent="0.25">
      <c r="A6411" s="402" t="s">
        <v>43</v>
      </c>
      <c r="B6411" s="269">
        <v>44160</v>
      </c>
      <c r="C6411" s="1">
        <v>324</v>
      </c>
      <c r="D6411" s="39">
        <f t="shared" si="546"/>
        <v>157227</v>
      </c>
      <c r="E6411" s="1">
        <v>11</v>
      </c>
      <c r="F6411" s="522">
        <f t="shared" si="544"/>
        <v>5188</v>
      </c>
      <c r="G6411" s="395"/>
      <c r="H6411" s="395"/>
      <c r="J6411" s="42"/>
    </row>
    <row r="6412" spans="1:10" s="393" customFormat="1" x14ac:dyDescent="0.25">
      <c r="A6412" s="402" t="s">
        <v>28</v>
      </c>
      <c r="B6412" s="269">
        <v>44160</v>
      </c>
      <c r="C6412" s="1">
        <v>12</v>
      </c>
      <c r="D6412" s="39">
        <f t="shared" si="546"/>
        <v>1737</v>
      </c>
      <c r="E6412" s="1"/>
      <c r="F6412" s="522">
        <f t="shared" si="544"/>
        <v>13</v>
      </c>
      <c r="G6412" s="395"/>
      <c r="H6412" s="395"/>
      <c r="J6412" s="42"/>
    </row>
    <row r="6413" spans="1:10" s="393" customFormat="1" x14ac:dyDescent="0.25">
      <c r="A6413" s="402" t="s">
        <v>15</v>
      </c>
      <c r="B6413" s="269">
        <v>44160</v>
      </c>
      <c r="C6413" s="1">
        <v>166</v>
      </c>
      <c r="D6413" s="39">
        <f t="shared" si="546"/>
        <v>18248</v>
      </c>
      <c r="E6413" s="1">
        <v>1</v>
      </c>
      <c r="F6413" s="522">
        <f t="shared" si="544"/>
        <v>534</v>
      </c>
      <c r="G6413" s="395"/>
      <c r="H6413" s="395"/>
      <c r="J6413" s="42"/>
    </row>
    <row r="6414" spans="1:10" s="393" customFormat="1" x14ac:dyDescent="0.25">
      <c r="A6414" s="402" t="s">
        <v>29</v>
      </c>
      <c r="B6414" s="269">
        <v>44160</v>
      </c>
      <c r="C6414" s="1">
        <v>259</v>
      </c>
      <c r="D6414" s="39">
        <f t="shared" si="546"/>
        <v>21757</v>
      </c>
      <c r="E6414" s="1">
        <v>1</v>
      </c>
      <c r="F6414" s="522">
        <f t="shared" si="544"/>
        <v>362</v>
      </c>
      <c r="G6414" s="395"/>
      <c r="H6414" s="395"/>
      <c r="J6414" s="42"/>
    </row>
    <row r="6415" spans="1:10" s="393" customFormat="1" x14ac:dyDescent="0.25">
      <c r="A6415" s="402" t="s">
        <v>20</v>
      </c>
      <c r="B6415" s="269">
        <v>44160</v>
      </c>
      <c r="C6415" s="1">
        <v>881</v>
      </c>
      <c r="D6415" s="39">
        <f t="shared" si="546"/>
        <v>110943</v>
      </c>
      <c r="E6415" s="1">
        <v>36</v>
      </c>
      <c r="F6415" s="522">
        <f t="shared" si="544"/>
        <v>1858</v>
      </c>
      <c r="G6415" s="395"/>
      <c r="H6415" s="395"/>
      <c r="J6415" s="42"/>
    </row>
    <row r="6416" spans="1:10" s="393" customFormat="1" x14ac:dyDescent="0.25">
      <c r="A6416" s="402" t="s">
        <v>30</v>
      </c>
      <c r="B6416" s="269">
        <v>44160</v>
      </c>
      <c r="C6416" s="1">
        <v>125</v>
      </c>
      <c r="D6416" s="39">
        <f t="shared" si="546"/>
        <v>5134</v>
      </c>
      <c r="E6416" s="1"/>
      <c r="F6416" s="522">
        <f t="shared" si="544"/>
        <v>86</v>
      </c>
      <c r="G6416" s="395"/>
      <c r="H6416" s="395"/>
      <c r="J6416" s="42"/>
    </row>
    <row r="6417" spans="1:10" x14ac:dyDescent="0.25">
      <c r="A6417" s="402" t="s">
        <v>31</v>
      </c>
      <c r="B6417" s="269">
        <v>44160</v>
      </c>
      <c r="C6417" s="1">
        <v>191</v>
      </c>
      <c r="D6417" s="39">
        <f t="shared" si="546"/>
        <v>22267</v>
      </c>
      <c r="E6417" s="1">
        <v>18</v>
      </c>
      <c r="F6417" s="522">
        <f t="shared" si="544"/>
        <v>452</v>
      </c>
    </row>
    <row r="6418" spans="1:10" s="393" customFormat="1" x14ac:dyDescent="0.25">
      <c r="A6418" s="402" t="s">
        <v>41</v>
      </c>
      <c r="B6418" s="269">
        <v>44160</v>
      </c>
      <c r="C6418" s="1">
        <v>-13</v>
      </c>
      <c r="D6418" s="39">
        <f t="shared" si="546"/>
        <v>178</v>
      </c>
      <c r="E6418" s="1"/>
      <c r="F6418" s="522">
        <f t="shared" si="544"/>
        <v>3</v>
      </c>
      <c r="G6418" s="395"/>
      <c r="H6418" s="395"/>
      <c r="J6418" s="42"/>
    </row>
    <row r="6419" spans="1:10" s="393" customFormat="1" x14ac:dyDescent="0.25">
      <c r="A6419" s="402" t="s">
        <v>32</v>
      </c>
      <c r="B6419" s="269">
        <v>44160</v>
      </c>
      <c r="C6419" s="1">
        <v>15</v>
      </c>
      <c r="D6419" s="39">
        <f t="shared" si="546"/>
        <v>18332</v>
      </c>
      <c r="E6419" s="1"/>
      <c r="F6419" s="522">
        <f t="shared" si="544"/>
        <v>845</v>
      </c>
      <c r="G6419" s="395"/>
      <c r="H6419" s="395"/>
      <c r="J6419" s="42"/>
    </row>
    <row r="6420" spans="1:10" s="393" customFormat="1" x14ac:dyDescent="0.25">
      <c r="A6420" s="402" t="s">
        <v>33</v>
      </c>
      <c r="B6420" s="269">
        <v>44160</v>
      </c>
      <c r="C6420" s="1">
        <v>105</v>
      </c>
      <c r="D6420" s="39">
        <f t="shared" si="546"/>
        <v>5403</v>
      </c>
      <c r="E6420" s="1">
        <v>2</v>
      </c>
      <c r="F6420" s="522">
        <f t="shared" si="544"/>
        <v>75</v>
      </c>
      <c r="G6420" s="395"/>
      <c r="H6420" s="395"/>
      <c r="J6420" s="42"/>
    </row>
    <row r="6421" spans="1:10" s="393" customFormat="1" x14ac:dyDescent="0.25">
      <c r="A6421" s="402" t="s">
        <v>21</v>
      </c>
      <c r="B6421" s="269">
        <v>44160</v>
      </c>
      <c r="C6421" s="1">
        <v>18</v>
      </c>
      <c r="D6421" s="39">
        <f t="shared" si="546"/>
        <v>8588</v>
      </c>
      <c r="E6421" s="1"/>
      <c r="F6421" s="522">
        <f t="shared" si="544"/>
        <v>310</v>
      </c>
      <c r="G6421" s="395"/>
      <c r="H6421" s="395"/>
      <c r="J6421" s="42"/>
    </row>
    <row r="6422" spans="1:10" s="393" customFormat="1" x14ac:dyDescent="0.25">
      <c r="A6422" s="402" t="s">
        <v>17</v>
      </c>
      <c r="B6422" s="269">
        <v>44160</v>
      </c>
      <c r="C6422" s="1">
        <v>264</v>
      </c>
      <c r="D6422" s="39">
        <f t="shared" si="546"/>
        <v>55764</v>
      </c>
      <c r="E6422" s="1">
        <v>4</v>
      </c>
      <c r="F6422" s="522">
        <f t="shared" si="544"/>
        <v>1080</v>
      </c>
      <c r="G6422" s="395"/>
      <c r="H6422" s="395"/>
      <c r="J6422" s="42"/>
    </row>
    <row r="6423" spans="1:10" s="393" customFormat="1" x14ac:dyDescent="0.25">
      <c r="A6423" s="402" t="s">
        <v>23</v>
      </c>
      <c r="B6423" s="269">
        <v>44160</v>
      </c>
      <c r="C6423" s="1">
        <v>8</v>
      </c>
      <c r="D6423" s="39">
        <f t="shared" si="546"/>
        <v>466</v>
      </c>
      <c r="E6423" s="1">
        <v>1</v>
      </c>
      <c r="F6423" s="522">
        <f t="shared" si="544"/>
        <v>9</v>
      </c>
      <c r="G6423" s="395"/>
      <c r="H6423" s="395"/>
      <c r="J6423" s="42"/>
    </row>
    <row r="6424" spans="1:10" s="393" customFormat="1" x14ac:dyDescent="0.25">
      <c r="A6424" s="402" t="s">
        <v>19</v>
      </c>
      <c r="B6424" s="269">
        <v>44160</v>
      </c>
      <c r="C6424" s="1">
        <v>394</v>
      </c>
      <c r="D6424" s="39">
        <f t="shared" si="546"/>
        <v>30898</v>
      </c>
      <c r="E6424" s="1">
        <v>20</v>
      </c>
      <c r="F6424" s="522">
        <f t="shared" si="544"/>
        <v>611</v>
      </c>
      <c r="G6424" s="395"/>
      <c r="H6424" s="395"/>
      <c r="J6424" s="42"/>
    </row>
    <row r="6425" spans="1:10" s="393" customFormat="1" x14ac:dyDescent="0.25">
      <c r="A6425" s="402" t="s">
        <v>18</v>
      </c>
      <c r="B6425" s="269">
        <v>44160</v>
      </c>
      <c r="C6425" s="1">
        <v>350</v>
      </c>
      <c r="D6425" s="39">
        <f t="shared" si="546"/>
        <v>30732</v>
      </c>
      <c r="E6425" s="1">
        <v>6</v>
      </c>
      <c r="F6425" s="522">
        <f t="shared" si="544"/>
        <v>761</v>
      </c>
      <c r="G6425" s="395"/>
      <c r="H6425" s="395"/>
      <c r="J6425" s="42"/>
    </row>
    <row r="6426" spans="1:10" s="393" customFormat="1" x14ac:dyDescent="0.25">
      <c r="A6426" s="402" t="s">
        <v>34</v>
      </c>
      <c r="B6426" s="269">
        <v>44160</v>
      </c>
      <c r="C6426" s="1">
        <v>84</v>
      </c>
      <c r="D6426" s="39">
        <f t="shared" si="546"/>
        <v>20952</v>
      </c>
      <c r="E6426" s="1">
        <v>2</v>
      </c>
      <c r="F6426" s="522">
        <f t="shared" si="544"/>
        <v>960</v>
      </c>
      <c r="G6426" s="395"/>
      <c r="H6426" s="395"/>
      <c r="J6426" s="42"/>
    </row>
    <row r="6427" spans="1:10" s="393" customFormat="1" x14ac:dyDescent="0.25">
      <c r="A6427" s="402" t="s">
        <v>35</v>
      </c>
      <c r="B6427" s="269">
        <v>44160</v>
      </c>
      <c r="C6427" s="1">
        <v>451</v>
      </c>
      <c r="D6427" s="39">
        <f t="shared" si="546"/>
        <v>6722</v>
      </c>
      <c r="E6427" s="1">
        <v>28</v>
      </c>
      <c r="F6427" s="522">
        <f t="shared" si="544"/>
        <v>171</v>
      </c>
      <c r="G6427" s="395"/>
      <c r="H6427" s="395"/>
      <c r="J6427" s="42"/>
    </row>
    <row r="6428" spans="1:10" s="393" customFormat="1" x14ac:dyDescent="0.25">
      <c r="A6428" s="402" t="s">
        <v>36</v>
      </c>
      <c r="B6428" s="269">
        <v>44160</v>
      </c>
      <c r="C6428" s="1">
        <v>185</v>
      </c>
      <c r="D6428" s="39">
        <f t="shared" si="546"/>
        <v>13572</v>
      </c>
      <c r="E6428" s="1">
        <v>2</v>
      </c>
      <c r="F6428" s="522">
        <f t="shared" si="544"/>
        <v>190</v>
      </c>
      <c r="G6428" s="395"/>
      <c r="H6428" s="395"/>
      <c r="J6428" s="42"/>
    </row>
    <row r="6429" spans="1:10" s="393" customFormat="1" x14ac:dyDescent="0.25">
      <c r="A6429" s="402" t="s">
        <v>37</v>
      </c>
      <c r="B6429" s="269">
        <v>44160</v>
      </c>
      <c r="C6429" s="1">
        <v>327</v>
      </c>
      <c r="D6429" s="39">
        <f t="shared" si="546"/>
        <v>14844</v>
      </c>
      <c r="E6429" s="1">
        <v>7</v>
      </c>
      <c r="F6429" s="522">
        <f t="shared" si="544"/>
        <v>254</v>
      </c>
      <c r="G6429" s="395"/>
      <c r="H6429" s="395"/>
      <c r="J6429" s="42"/>
    </row>
    <row r="6430" spans="1:10" s="393" customFormat="1" x14ac:dyDescent="0.25">
      <c r="A6430" s="402" t="s">
        <v>22</v>
      </c>
      <c r="B6430" s="269">
        <v>44160</v>
      </c>
      <c r="C6430" s="1">
        <v>1490</v>
      </c>
      <c r="D6430" s="39">
        <f t="shared" si="546"/>
        <v>141595</v>
      </c>
      <c r="E6430" s="1">
        <v>31</v>
      </c>
      <c r="F6430" s="522">
        <f t="shared" si="544"/>
        <v>2160</v>
      </c>
      <c r="G6430" s="395"/>
      <c r="H6430" s="395"/>
      <c r="J6430" s="42"/>
    </row>
    <row r="6431" spans="1:10" s="393" customFormat="1" x14ac:dyDescent="0.25">
      <c r="A6431" s="402" t="s">
        <v>38</v>
      </c>
      <c r="B6431" s="269">
        <v>44160</v>
      </c>
      <c r="C6431" s="1">
        <v>154</v>
      </c>
      <c r="D6431" s="39">
        <f t="shared" si="546"/>
        <v>14868</v>
      </c>
      <c r="E6431" s="1">
        <v>2</v>
      </c>
      <c r="F6431" s="522">
        <f t="shared" si="544"/>
        <v>182</v>
      </c>
      <c r="G6431" s="395"/>
      <c r="H6431" s="395"/>
      <c r="J6431" s="42"/>
    </row>
    <row r="6432" spans="1:10" s="393" customFormat="1" x14ac:dyDescent="0.25">
      <c r="A6432" s="402" t="s">
        <v>39</v>
      </c>
      <c r="B6432" s="269">
        <v>44160</v>
      </c>
      <c r="C6432" s="1">
        <v>177</v>
      </c>
      <c r="D6432" s="39">
        <f t="shared" si="546"/>
        <v>15701</v>
      </c>
      <c r="E6432" s="1">
        <v>4</v>
      </c>
      <c r="F6432" s="522">
        <f t="shared" si="544"/>
        <v>226</v>
      </c>
      <c r="G6432" s="395"/>
      <c r="H6432" s="395"/>
      <c r="J6432" s="42"/>
    </row>
    <row r="6433" spans="1:10" s="393" customFormat="1" ht="15.75" thickBot="1" x14ac:dyDescent="0.3">
      <c r="A6433" s="404" t="s">
        <v>40</v>
      </c>
      <c r="B6433" s="269">
        <v>44160</v>
      </c>
      <c r="C6433" s="1">
        <v>364</v>
      </c>
      <c r="D6433" s="177">
        <f>C6433+D6409</f>
        <v>64301</v>
      </c>
      <c r="E6433" s="1">
        <v>30</v>
      </c>
      <c r="F6433" s="631">
        <f t="shared" si="544"/>
        <v>1126</v>
      </c>
      <c r="G6433" s="395"/>
      <c r="H6433" s="395"/>
      <c r="J6433" s="42"/>
    </row>
    <row r="6434" spans="1:10" s="393" customFormat="1" x14ac:dyDescent="0.25">
      <c r="A6434" s="397" t="s">
        <v>16</v>
      </c>
      <c r="B6434" s="269">
        <v>44161</v>
      </c>
      <c r="C6434" s="1">
        <v>2589</v>
      </c>
      <c r="D6434" s="175">
        <f t="shared" si="546"/>
        <v>612748</v>
      </c>
      <c r="E6434" s="1">
        <v>64</v>
      </c>
      <c r="F6434" s="630">
        <f t="shared" si="544"/>
        <v>20295</v>
      </c>
      <c r="G6434" s="395"/>
      <c r="H6434" s="395"/>
      <c r="J6434" s="42"/>
    </row>
    <row r="6435" spans="1:10" s="393" customFormat="1" x14ac:dyDescent="0.25">
      <c r="A6435" s="402" t="s">
        <v>43</v>
      </c>
      <c r="B6435" s="269">
        <v>44161</v>
      </c>
      <c r="C6435" s="1">
        <v>344</v>
      </c>
      <c r="D6435" s="39">
        <f t="shared" si="546"/>
        <v>157571</v>
      </c>
      <c r="E6435" s="1">
        <v>13</v>
      </c>
      <c r="F6435" s="522">
        <f t="shared" si="544"/>
        <v>5201</v>
      </c>
      <c r="G6435" s="395"/>
      <c r="H6435" s="395"/>
      <c r="J6435" s="42"/>
    </row>
    <row r="6436" spans="1:10" s="393" customFormat="1" x14ac:dyDescent="0.25">
      <c r="A6436" s="402" t="s">
        <v>28</v>
      </c>
      <c r="B6436" s="269">
        <v>44161</v>
      </c>
      <c r="C6436" s="1">
        <v>42</v>
      </c>
      <c r="D6436" s="39">
        <f t="shared" si="546"/>
        <v>1779</v>
      </c>
      <c r="E6436" s="1">
        <v>2</v>
      </c>
      <c r="F6436" s="522">
        <f t="shared" si="544"/>
        <v>15</v>
      </c>
      <c r="G6436" s="395"/>
      <c r="H6436" s="395"/>
      <c r="J6436" s="42"/>
    </row>
    <row r="6437" spans="1:10" s="393" customFormat="1" x14ac:dyDescent="0.25">
      <c r="A6437" s="402" t="s">
        <v>15</v>
      </c>
      <c r="B6437" s="269">
        <v>44161</v>
      </c>
      <c r="C6437" s="1">
        <v>250</v>
      </c>
      <c r="D6437" s="39">
        <f t="shared" si="546"/>
        <v>18498</v>
      </c>
      <c r="E6437" s="1">
        <v>9</v>
      </c>
      <c r="F6437" s="522">
        <f t="shared" si="544"/>
        <v>543</v>
      </c>
      <c r="G6437" s="395"/>
      <c r="H6437" s="395"/>
      <c r="J6437" s="42"/>
    </row>
    <row r="6438" spans="1:10" s="393" customFormat="1" x14ac:dyDescent="0.25">
      <c r="A6438" s="402" t="s">
        <v>29</v>
      </c>
      <c r="B6438" s="269">
        <v>44161</v>
      </c>
      <c r="C6438" s="1">
        <v>266</v>
      </c>
      <c r="D6438" s="39">
        <f t="shared" si="546"/>
        <v>22023</v>
      </c>
      <c r="E6438" s="1"/>
      <c r="F6438" s="522">
        <f t="shared" si="544"/>
        <v>362</v>
      </c>
      <c r="G6438" s="395"/>
      <c r="H6438" s="395"/>
      <c r="J6438" s="42"/>
    </row>
    <row r="6439" spans="1:10" s="393" customFormat="1" x14ac:dyDescent="0.25">
      <c r="A6439" s="402" t="s">
        <v>20</v>
      </c>
      <c r="B6439" s="269">
        <v>44161</v>
      </c>
      <c r="C6439" s="1">
        <v>942</v>
      </c>
      <c r="D6439" s="39">
        <f t="shared" si="546"/>
        <v>111885</v>
      </c>
      <c r="E6439" s="1">
        <v>25</v>
      </c>
      <c r="F6439" s="522">
        <f t="shared" si="544"/>
        <v>1883</v>
      </c>
      <c r="G6439" s="395"/>
      <c r="H6439" s="395"/>
      <c r="J6439" s="42"/>
    </row>
    <row r="6440" spans="1:10" s="393" customFormat="1" x14ac:dyDescent="0.25">
      <c r="A6440" s="402" t="s">
        <v>30</v>
      </c>
      <c r="B6440" s="269">
        <v>44161</v>
      </c>
      <c r="C6440" s="1">
        <v>150</v>
      </c>
      <c r="D6440" s="39">
        <f t="shared" si="546"/>
        <v>5284</v>
      </c>
      <c r="E6440" s="1"/>
      <c r="F6440" s="522">
        <f t="shared" si="544"/>
        <v>86</v>
      </c>
      <c r="G6440" s="395"/>
      <c r="H6440" s="395"/>
      <c r="J6440" s="42"/>
    </row>
    <row r="6441" spans="1:10" x14ac:dyDescent="0.25">
      <c r="A6441" s="402" t="s">
        <v>31</v>
      </c>
      <c r="B6441" s="269">
        <v>44161</v>
      </c>
      <c r="C6441" s="1">
        <v>288</v>
      </c>
      <c r="D6441" s="39">
        <f t="shared" si="546"/>
        <v>22555</v>
      </c>
      <c r="E6441" s="1">
        <v>9</v>
      </c>
      <c r="F6441" s="522">
        <f t="shared" si="544"/>
        <v>461</v>
      </c>
    </row>
    <row r="6442" spans="1:10" s="393" customFormat="1" x14ac:dyDescent="0.25">
      <c r="A6442" s="402" t="s">
        <v>41</v>
      </c>
      <c r="B6442" s="269">
        <v>44161</v>
      </c>
      <c r="C6442" s="1">
        <v>0</v>
      </c>
      <c r="D6442" s="39">
        <f t="shared" si="546"/>
        <v>178</v>
      </c>
      <c r="E6442" s="1"/>
      <c r="F6442" s="522">
        <f t="shared" si="544"/>
        <v>3</v>
      </c>
      <c r="G6442" s="395"/>
      <c r="H6442" s="395"/>
      <c r="J6442" s="42"/>
    </row>
    <row r="6443" spans="1:10" s="393" customFormat="1" x14ac:dyDescent="0.25">
      <c r="A6443" s="402" t="s">
        <v>32</v>
      </c>
      <c r="B6443" s="269">
        <v>44161</v>
      </c>
      <c r="C6443" s="1">
        <v>6</v>
      </c>
      <c r="D6443" s="39">
        <f t="shared" si="546"/>
        <v>18338</v>
      </c>
      <c r="E6443" s="1">
        <v>2</v>
      </c>
      <c r="F6443" s="522">
        <f t="shared" ref="F6443:F6506" si="547">E6443+F6419</f>
        <v>847</v>
      </c>
      <c r="G6443" s="395"/>
      <c r="H6443" s="395"/>
      <c r="J6443" s="42"/>
    </row>
    <row r="6444" spans="1:10" s="393" customFormat="1" x14ac:dyDescent="0.25">
      <c r="A6444" s="402" t="s">
        <v>33</v>
      </c>
      <c r="B6444" s="269">
        <v>44161</v>
      </c>
      <c r="C6444" s="1">
        <v>81</v>
      </c>
      <c r="D6444" s="39">
        <f t="shared" si="546"/>
        <v>5484</v>
      </c>
      <c r="E6444" s="1"/>
      <c r="F6444" s="522">
        <f t="shared" si="547"/>
        <v>75</v>
      </c>
      <c r="G6444" s="395"/>
      <c r="H6444" s="395"/>
      <c r="J6444" s="42"/>
    </row>
    <row r="6445" spans="1:10" s="393" customFormat="1" x14ac:dyDescent="0.25">
      <c r="A6445" s="402" t="s">
        <v>21</v>
      </c>
      <c r="B6445" s="269">
        <v>44161</v>
      </c>
      <c r="C6445" s="1">
        <v>13</v>
      </c>
      <c r="D6445" s="39">
        <f t="shared" si="546"/>
        <v>8601</v>
      </c>
      <c r="E6445" s="1">
        <v>4</v>
      </c>
      <c r="F6445" s="522">
        <f t="shared" si="547"/>
        <v>314</v>
      </c>
      <c r="G6445" s="395"/>
      <c r="H6445" s="395"/>
      <c r="J6445" s="42"/>
    </row>
    <row r="6446" spans="1:10" s="393" customFormat="1" x14ac:dyDescent="0.25">
      <c r="A6446" s="402" t="s">
        <v>17</v>
      </c>
      <c r="B6446" s="269">
        <v>44161</v>
      </c>
      <c r="C6446" s="1">
        <v>202</v>
      </c>
      <c r="D6446" s="39">
        <f t="shared" si="546"/>
        <v>55966</v>
      </c>
      <c r="E6446" s="1">
        <v>20</v>
      </c>
      <c r="F6446" s="522">
        <f t="shared" si="547"/>
        <v>1100</v>
      </c>
      <c r="G6446" s="395"/>
      <c r="H6446" s="395"/>
      <c r="J6446" s="42"/>
    </row>
    <row r="6447" spans="1:10" s="393" customFormat="1" x14ac:dyDescent="0.25">
      <c r="A6447" s="402" t="s">
        <v>23</v>
      </c>
      <c r="B6447" s="269">
        <v>44161</v>
      </c>
      <c r="C6447" s="1">
        <v>16</v>
      </c>
      <c r="D6447" s="39">
        <f t="shared" si="546"/>
        <v>482</v>
      </c>
      <c r="E6447" s="1"/>
      <c r="F6447" s="522">
        <f t="shared" si="547"/>
        <v>9</v>
      </c>
      <c r="G6447" s="395"/>
      <c r="H6447" s="395"/>
      <c r="J6447" s="42"/>
    </row>
    <row r="6448" spans="1:10" s="393" customFormat="1" x14ac:dyDescent="0.25">
      <c r="A6448" s="402" t="s">
        <v>19</v>
      </c>
      <c r="B6448" s="269">
        <v>44161</v>
      </c>
      <c r="C6448" s="1">
        <v>361</v>
      </c>
      <c r="D6448" s="39">
        <f t="shared" si="546"/>
        <v>31259</v>
      </c>
      <c r="E6448" s="1">
        <v>2</v>
      </c>
      <c r="F6448" s="522">
        <f t="shared" si="547"/>
        <v>613</v>
      </c>
      <c r="G6448" s="395"/>
      <c r="H6448" s="395"/>
      <c r="J6448" s="42"/>
    </row>
    <row r="6449" spans="1:10" s="393" customFormat="1" x14ac:dyDescent="0.25">
      <c r="A6449" s="402" t="s">
        <v>18</v>
      </c>
      <c r="B6449" s="269">
        <v>44161</v>
      </c>
      <c r="C6449" s="1">
        <v>336</v>
      </c>
      <c r="D6449" s="39">
        <f t="shared" si="546"/>
        <v>31068</v>
      </c>
      <c r="E6449" s="1">
        <v>5</v>
      </c>
      <c r="F6449" s="522">
        <f t="shared" si="547"/>
        <v>766</v>
      </c>
      <c r="G6449" s="395"/>
      <c r="H6449" s="395"/>
      <c r="J6449" s="42"/>
    </row>
    <row r="6450" spans="1:10" s="393" customFormat="1" x14ac:dyDescent="0.25">
      <c r="A6450" s="402" t="s">
        <v>34</v>
      </c>
      <c r="B6450" s="269">
        <v>44161</v>
      </c>
      <c r="C6450" s="1">
        <v>77</v>
      </c>
      <c r="D6450" s="39">
        <f t="shared" si="546"/>
        <v>21029</v>
      </c>
      <c r="E6450" s="1">
        <v>6</v>
      </c>
      <c r="F6450" s="522">
        <f t="shared" si="547"/>
        <v>966</v>
      </c>
      <c r="G6450" s="395"/>
      <c r="H6450" s="395"/>
      <c r="J6450" s="42"/>
    </row>
    <row r="6451" spans="1:10" s="393" customFormat="1" x14ac:dyDescent="0.25">
      <c r="A6451" s="402" t="s">
        <v>35</v>
      </c>
      <c r="B6451" s="269">
        <v>44161</v>
      </c>
      <c r="C6451" s="1">
        <v>226</v>
      </c>
      <c r="D6451" s="39">
        <f t="shared" si="546"/>
        <v>6948</v>
      </c>
      <c r="E6451" s="1"/>
      <c r="F6451" s="522">
        <f t="shared" si="547"/>
        <v>171</v>
      </c>
      <c r="G6451" s="395"/>
      <c r="H6451" s="395"/>
      <c r="J6451" s="42"/>
    </row>
    <row r="6452" spans="1:10" s="393" customFormat="1" x14ac:dyDescent="0.25">
      <c r="A6452" s="402" t="s">
        <v>36</v>
      </c>
      <c r="B6452" s="269">
        <v>44161</v>
      </c>
      <c r="C6452" s="1">
        <v>256</v>
      </c>
      <c r="D6452" s="39">
        <f t="shared" si="546"/>
        <v>13828</v>
      </c>
      <c r="E6452" s="1">
        <v>13</v>
      </c>
      <c r="F6452" s="522">
        <f t="shared" si="547"/>
        <v>203</v>
      </c>
      <c r="G6452" s="395"/>
      <c r="H6452" s="395"/>
      <c r="J6452" s="42"/>
    </row>
    <row r="6453" spans="1:10" s="393" customFormat="1" x14ac:dyDescent="0.25">
      <c r="A6453" s="402" t="s">
        <v>37</v>
      </c>
      <c r="B6453" s="269">
        <v>44161</v>
      </c>
      <c r="C6453" s="1">
        <v>236</v>
      </c>
      <c r="D6453" s="39">
        <f t="shared" si="546"/>
        <v>15080</v>
      </c>
      <c r="E6453" s="1">
        <v>7</v>
      </c>
      <c r="F6453" s="522">
        <f t="shared" si="547"/>
        <v>261</v>
      </c>
      <c r="G6453" s="395"/>
      <c r="H6453" s="395"/>
      <c r="J6453" s="42"/>
    </row>
    <row r="6454" spans="1:10" s="393" customFormat="1" x14ac:dyDescent="0.25">
      <c r="A6454" s="402" t="s">
        <v>22</v>
      </c>
      <c r="B6454" s="269">
        <v>44161</v>
      </c>
      <c r="C6454" s="1">
        <v>1446</v>
      </c>
      <c r="D6454" s="39">
        <f t="shared" si="546"/>
        <v>143041</v>
      </c>
      <c r="E6454" s="1">
        <v>25</v>
      </c>
      <c r="F6454" s="522">
        <f t="shared" si="547"/>
        <v>2185</v>
      </c>
      <c r="G6454" s="395"/>
      <c r="H6454" s="395"/>
      <c r="J6454" s="42"/>
    </row>
    <row r="6455" spans="1:10" s="393" customFormat="1" x14ac:dyDescent="0.25">
      <c r="A6455" s="402" t="s">
        <v>38</v>
      </c>
      <c r="B6455" s="269">
        <v>44161</v>
      </c>
      <c r="C6455" s="1">
        <v>272</v>
      </c>
      <c r="D6455" s="39">
        <f t="shared" si="546"/>
        <v>15140</v>
      </c>
      <c r="E6455" s="1">
        <v>5</v>
      </c>
      <c r="F6455" s="522">
        <f t="shared" si="547"/>
        <v>187</v>
      </c>
      <c r="G6455" s="395"/>
      <c r="H6455" s="395"/>
      <c r="J6455" s="42"/>
    </row>
    <row r="6456" spans="1:10" s="393" customFormat="1" x14ac:dyDescent="0.25">
      <c r="A6456" s="402" t="s">
        <v>39</v>
      </c>
      <c r="B6456" s="269">
        <v>44161</v>
      </c>
      <c r="C6456" s="1">
        <v>153</v>
      </c>
      <c r="D6456" s="39">
        <f t="shared" si="546"/>
        <v>15854</v>
      </c>
      <c r="E6456" s="1">
        <v>3</v>
      </c>
      <c r="F6456" s="522">
        <f t="shared" si="547"/>
        <v>229</v>
      </c>
      <c r="G6456" s="395"/>
      <c r="H6456" s="395"/>
      <c r="J6456" s="42"/>
    </row>
    <row r="6457" spans="1:10" s="393" customFormat="1" ht="15.75" thickBot="1" x14ac:dyDescent="0.3">
      <c r="A6457" s="403" t="s">
        <v>40</v>
      </c>
      <c r="B6457" s="270">
        <v>44161</v>
      </c>
      <c r="C6457" s="234">
        <v>491</v>
      </c>
      <c r="D6457" s="67">
        <f>C6457+D6433</f>
        <v>64792</v>
      </c>
      <c r="E6457" s="234">
        <v>15</v>
      </c>
      <c r="F6457" s="632">
        <f t="shared" si="547"/>
        <v>1141</v>
      </c>
      <c r="G6457" s="395"/>
      <c r="H6457" s="395"/>
      <c r="J6457" s="42"/>
    </row>
    <row r="6458" spans="1:10" s="393" customFormat="1" x14ac:dyDescent="0.25">
      <c r="A6458" s="397" t="s">
        <v>16</v>
      </c>
      <c r="B6458" s="267">
        <v>44162</v>
      </c>
      <c r="C6458" s="43">
        <v>2124</v>
      </c>
      <c r="D6458" s="175">
        <f t="shared" si="546"/>
        <v>614872</v>
      </c>
      <c r="E6458" s="43">
        <v>138</v>
      </c>
      <c r="F6458" s="630">
        <f t="shared" si="547"/>
        <v>20433</v>
      </c>
      <c r="G6458" s="395"/>
      <c r="H6458" s="395"/>
      <c r="J6458" s="42"/>
    </row>
    <row r="6459" spans="1:10" s="393" customFormat="1" x14ac:dyDescent="0.25">
      <c r="A6459" s="402" t="s">
        <v>43</v>
      </c>
      <c r="B6459" s="269">
        <v>44162</v>
      </c>
      <c r="C6459" s="1">
        <v>414</v>
      </c>
      <c r="D6459" s="39">
        <f t="shared" si="546"/>
        <v>157985</v>
      </c>
      <c r="E6459" s="1">
        <v>7</v>
      </c>
      <c r="F6459" s="522">
        <f t="shared" si="547"/>
        <v>5208</v>
      </c>
      <c r="G6459" s="395"/>
      <c r="H6459" s="395"/>
      <c r="J6459" s="42"/>
    </row>
    <row r="6460" spans="1:10" s="393" customFormat="1" x14ac:dyDescent="0.25">
      <c r="A6460" s="402" t="s">
        <v>28</v>
      </c>
      <c r="B6460" s="269">
        <v>44162</v>
      </c>
      <c r="C6460" s="1">
        <v>3</v>
      </c>
      <c r="D6460" s="39">
        <f t="shared" si="546"/>
        <v>1782</v>
      </c>
      <c r="E6460" s="1"/>
      <c r="F6460" s="522">
        <f t="shared" si="547"/>
        <v>15</v>
      </c>
      <c r="G6460" s="395"/>
      <c r="H6460" s="395"/>
      <c r="J6460" s="42"/>
    </row>
    <row r="6461" spans="1:10" s="393" customFormat="1" x14ac:dyDescent="0.25">
      <c r="A6461" s="402" t="s">
        <v>15</v>
      </c>
      <c r="B6461" s="269">
        <v>44162</v>
      </c>
      <c r="C6461" s="1">
        <v>258</v>
      </c>
      <c r="D6461" s="39">
        <f t="shared" si="546"/>
        <v>18756</v>
      </c>
      <c r="E6461" s="1">
        <v>5</v>
      </c>
      <c r="F6461" s="522">
        <f t="shared" si="547"/>
        <v>548</v>
      </c>
      <c r="G6461" s="395"/>
      <c r="H6461" s="395"/>
      <c r="J6461" s="42"/>
    </row>
    <row r="6462" spans="1:10" s="393" customFormat="1" x14ac:dyDescent="0.25">
      <c r="A6462" s="402" t="s">
        <v>29</v>
      </c>
      <c r="B6462" s="269">
        <v>44162</v>
      </c>
      <c r="C6462" s="1">
        <v>264</v>
      </c>
      <c r="D6462" s="39">
        <f t="shared" si="546"/>
        <v>22287</v>
      </c>
      <c r="E6462" s="1">
        <v>9</v>
      </c>
      <c r="F6462" s="522">
        <f t="shared" si="547"/>
        <v>371</v>
      </c>
      <c r="G6462" s="395"/>
      <c r="H6462" s="395"/>
      <c r="J6462" s="42"/>
    </row>
    <row r="6463" spans="1:10" s="393" customFormat="1" x14ac:dyDescent="0.25">
      <c r="A6463" s="402" t="s">
        <v>20</v>
      </c>
      <c r="B6463" s="269">
        <v>44162</v>
      </c>
      <c r="C6463" s="1">
        <v>834</v>
      </c>
      <c r="D6463" s="39">
        <f t="shared" si="546"/>
        <v>112719</v>
      </c>
      <c r="E6463" s="1">
        <v>36</v>
      </c>
      <c r="F6463" s="522">
        <f t="shared" si="547"/>
        <v>1919</v>
      </c>
      <c r="G6463" s="395"/>
      <c r="H6463" s="395"/>
      <c r="J6463" s="42"/>
    </row>
    <row r="6464" spans="1:10" s="393" customFormat="1" x14ac:dyDescent="0.25">
      <c r="A6464" s="402" t="s">
        <v>30</v>
      </c>
      <c r="B6464" s="269">
        <v>44162</v>
      </c>
      <c r="C6464" s="1">
        <v>158</v>
      </c>
      <c r="D6464" s="39">
        <f t="shared" si="546"/>
        <v>5442</v>
      </c>
      <c r="E6464" s="1"/>
      <c r="F6464" s="522">
        <f t="shared" si="547"/>
        <v>86</v>
      </c>
      <c r="G6464" s="395"/>
      <c r="H6464" s="395"/>
      <c r="J6464" s="42"/>
    </row>
    <row r="6465" spans="1:10" x14ac:dyDescent="0.25">
      <c r="A6465" s="402" t="s">
        <v>31</v>
      </c>
      <c r="B6465" s="269">
        <v>44162</v>
      </c>
      <c r="C6465" s="1">
        <v>298</v>
      </c>
      <c r="D6465" s="39">
        <f t="shared" si="546"/>
        <v>22853</v>
      </c>
      <c r="E6465" s="1">
        <v>3</v>
      </c>
      <c r="F6465" s="522">
        <f t="shared" si="547"/>
        <v>464</v>
      </c>
    </row>
    <row r="6466" spans="1:10" s="393" customFormat="1" x14ac:dyDescent="0.25">
      <c r="A6466" s="402" t="s">
        <v>41</v>
      </c>
      <c r="B6466" s="269">
        <v>44162</v>
      </c>
      <c r="C6466" s="1">
        <v>1</v>
      </c>
      <c r="D6466" s="39">
        <f t="shared" si="546"/>
        <v>179</v>
      </c>
      <c r="E6466" s="1"/>
      <c r="F6466" s="522">
        <f t="shared" si="547"/>
        <v>3</v>
      </c>
      <c r="G6466" s="395"/>
      <c r="H6466" s="395"/>
      <c r="J6466" s="42"/>
    </row>
    <row r="6467" spans="1:10" s="393" customFormat="1" x14ac:dyDescent="0.25">
      <c r="A6467" s="402" t="s">
        <v>32</v>
      </c>
      <c r="B6467" s="269">
        <v>44162</v>
      </c>
      <c r="C6467" s="1">
        <v>22</v>
      </c>
      <c r="D6467" s="39">
        <f t="shared" si="546"/>
        <v>18360</v>
      </c>
      <c r="E6467" s="1">
        <v>1</v>
      </c>
      <c r="F6467" s="522">
        <f t="shared" si="547"/>
        <v>848</v>
      </c>
      <c r="G6467" s="395"/>
      <c r="H6467" s="395"/>
      <c r="J6467" s="42"/>
    </row>
    <row r="6468" spans="1:10" s="393" customFormat="1" x14ac:dyDescent="0.25">
      <c r="A6468" s="402" t="s">
        <v>33</v>
      </c>
      <c r="B6468" s="269">
        <v>44162</v>
      </c>
      <c r="C6468" s="1">
        <v>105</v>
      </c>
      <c r="D6468" s="39">
        <f t="shared" si="546"/>
        <v>5589</v>
      </c>
      <c r="E6468" s="1"/>
      <c r="F6468" s="522">
        <f t="shared" si="547"/>
        <v>75</v>
      </c>
      <c r="G6468" s="395"/>
      <c r="H6468" s="395"/>
      <c r="J6468" s="42"/>
    </row>
    <row r="6469" spans="1:10" s="393" customFormat="1" x14ac:dyDescent="0.25">
      <c r="A6469" s="402" t="s">
        <v>21</v>
      </c>
      <c r="B6469" s="269">
        <v>44162</v>
      </c>
      <c r="C6469" s="1">
        <v>29</v>
      </c>
      <c r="D6469" s="39">
        <f t="shared" si="546"/>
        <v>8630</v>
      </c>
      <c r="E6469" s="1">
        <v>2</v>
      </c>
      <c r="F6469" s="522">
        <f t="shared" si="547"/>
        <v>316</v>
      </c>
      <c r="G6469" s="395"/>
      <c r="H6469" s="395"/>
      <c r="J6469" s="42"/>
    </row>
    <row r="6470" spans="1:10" s="393" customFormat="1" x14ac:dyDescent="0.25">
      <c r="A6470" s="402" t="s">
        <v>17</v>
      </c>
      <c r="B6470" s="269">
        <v>44162</v>
      </c>
      <c r="C6470" s="1">
        <v>202</v>
      </c>
      <c r="D6470" s="39">
        <f t="shared" si="546"/>
        <v>56168</v>
      </c>
      <c r="E6470" s="1">
        <v>5</v>
      </c>
      <c r="F6470" s="522">
        <f t="shared" si="547"/>
        <v>1105</v>
      </c>
      <c r="G6470" s="395"/>
      <c r="H6470" s="395"/>
      <c r="J6470" s="42"/>
    </row>
    <row r="6471" spans="1:10" s="393" customFormat="1" x14ac:dyDescent="0.25">
      <c r="A6471" s="402" t="s">
        <v>23</v>
      </c>
      <c r="B6471" s="269">
        <v>44162</v>
      </c>
      <c r="C6471" s="1">
        <v>4</v>
      </c>
      <c r="D6471" s="39">
        <f t="shared" si="546"/>
        <v>486</v>
      </c>
      <c r="E6471" s="1"/>
      <c r="F6471" s="522">
        <f t="shared" si="547"/>
        <v>9</v>
      </c>
      <c r="G6471" s="395"/>
      <c r="H6471" s="395"/>
      <c r="J6471" s="42"/>
    </row>
    <row r="6472" spans="1:10" s="393" customFormat="1" x14ac:dyDescent="0.25">
      <c r="A6472" s="402" t="s">
        <v>19</v>
      </c>
      <c r="B6472" s="269">
        <v>44162</v>
      </c>
      <c r="C6472" s="1">
        <v>204</v>
      </c>
      <c r="D6472" s="39">
        <f t="shared" si="546"/>
        <v>31463</v>
      </c>
      <c r="E6472" s="1"/>
      <c r="F6472" s="522">
        <f t="shared" si="547"/>
        <v>613</v>
      </c>
      <c r="G6472" s="395"/>
      <c r="H6472" s="395"/>
      <c r="J6472" s="42"/>
    </row>
    <row r="6473" spans="1:10" s="393" customFormat="1" x14ac:dyDescent="0.25">
      <c r="A6473" s="402" t="s">
        <v>18</v>
      </c>
      <c r="B6473" s="269">
        <v>44162</v>
      </c>
      <c r="C6473" s="1">
        <v>202</v>
      </c>
      <c r="D6473" s="39">
        <f t="shared" si="546"/>
        <v>31270</v>
      </c>
      <c r="E6473" s="1">
        <v>3</v>
      </c>
      <c r="F6473" s="522">
        <f t="shared" si="547"/>
        <v>769</v>
      </c>
      <c r="G6473" s="395"/>
      <c r="H6473" s="395"/>
      <c r="J6473" s="42"/>
    </row>
    <row r="6474" spans="1:10" s="393" customFormat="1" x14ac:dyDescent="0.25">
      <c r="A6474" s="402" t="s">
        <v>34</v>
      </c>
      <c r="B6474" s="269">
        <v>44162</v>
      </c>
      <c r="C6474" s="1">
        <v>51</v>
      </c>
      <c r="D6474" s="39">
        <f t="shared" ref="D6474:D6480" si="548">C6474+D6450</f>
        <v>21080</v>
      </c>
      <c r="E6474" s="1">
        <v>8</v>
      </c>
      <c r="F6474" s="522">
        <f t="shared" si="547"/>
        <v>974</v>
      </c>
      <c r="G6474" s="395"/>
      <c r="H6474" s="395"/>
      <c r="J6474" s="42"/>
    </row>
    <row r="6475" spans="1:10" s="393" customFormat="1" x14ac:dyDescent="0.25">
      <c r="A6475" s="402" t="s">
        <v>35</v>
      </c>
      <c r="B6475" s="269">
        <v>44162</v>
      </c>
      <c r="C6475" s="1">
        <v>234</v>
      </c>
      <c r="D6475" s="39">
        <f t="shared" si="548"/>
        <v>7182</v>
      </c>
      <c r="E6475" s="1"/>
      <c r="F6475" s="522">
        <f t="shared" si="547"/>
        <v>171</v>
      </c>
      <c r="G6475" s="395"/>
      <c r="H6475" s="395"/>
      <c r="J6475" s="42"/>
    </row>
    <row r="6476" spans="1:10" s="393" customFormat="1" x14ac:dyDescent="0.25">
      <c r="A6476" s="402" t="s">
        <v>36</v>
      </c>
      <c r="B6476" s="269">
        <v>44162</v>
      </c>
      <c r="C6476" s="1">
        <v>114</v>
      </c>
      <c r="D6476" s="39">
        <f t="shared" si="548"/>
        <v>13942</v>
      </c>
      <c r="E6476" s="1">
        <v>4</v>
      </c>
      <c r="F6476" s="522">
        <f t="shared" si="547"/>
        <v>207</v>
      </c>
      <c r="G6476" s="395"/>
      <c r="H6476" s="395"/>
      <c r="J6476" s="42"/>
    </row>
    <row r="6477" spans="1:10" s="393" customFormat="1" x14ac:dyDescent="0.25">
      <c r="A6477" s="402" t="s">
        <v>37</v>
      </c>
      <c r="B6477" s="269">
        <v>44162</v>
      </c>
      <c r="C6477" s="1">
        <v>293</v>
      </c>
      <c r="D6477" s="39">
        <f t="shared" si="548"/>
        <v>15373</v>
      </c>
      <c r="E6477" s="1">
        <v>6</v>
      </c>
      <c r="F6477" s="522">
        <f t="shared" si="547"/>
        <v>267</v>
      </c>
      <c r="G6477" s="395"/>
      <c r="H6477" s="395"/>
      <c r="J6477" s="42"/>
    </row>
    <row r="6478" spans="1:10" s="393" customFormat="1" x14ac:dyDescent="0.25">
      <c r="A6478" s="402" t="s">
        <v>22</v>
      </c>
      <c r="B6478" s="269">
        <v>44162</v>
      </c>
      <c r="C6478" s="1">
        <v>1390</v>
      </c>
      <c r="D6478" s="39">
        <f t="shared" si="548"/>
        <v>144431</v>
      </c>
      <c r="E6478" s="1">
        <v>22</v>
      </c>
      <c r="F6478" s="522">
        <f t="shared" si="547"/>
        <v>2207</v>
      </c>
      <c r="G6478" s="395"/>
      <c r="H6478" s="395"/>
      <c r="J6478" s="42"/>
    </row>
    <row r="6479" spans="1:10" s="393" customFormat="1" x14ac:dyDescent="0.25">
      <c r="A6479" s="402" t="s">
        <v>38</v>
      </c>
      <c r="B6479" s="269">
        <v>44162</v>
      </c>
      <c r="C6479" s="1">
        <v>158</v>
      </c>
      <c r="D6479" s="39">
        <f t="shared" si="548"/>
        <v>15298</v>
      </c>
      <c r="E6479" s="1">
        <v>1</v>
      </c>
      <c r="F6479" s="522">
        <f t="shared" si="547"/>
        <v>188</v>
      </c>
      <c r="G6479" s="395"/>
      <c r="H6479" s="395"/>
      <c r="J6479" s="42"/>
    </row>
    <row r="6480" spans="1:10" s="393" customFormat="1" x14ac:dyDescent="0.25">
      <c r="A6480" s="402" t="s">
        <v>39</v>
      </c>
      <c r="B6480" s="269">
        <v>44162</v>
      </c>
      <c r="C6480" s="1">
        <v>86</v>
      </c>
      <c r="D6480" s="39">
        <f t="shared" si="548"/>
        <v>15940</v>
      </c>
      <c r="E6480" s="1">
        <v>1</v>
      </c>
      <c r="F6480" s="522">
        <f t="shared" si="547"/>
        <v>230</v>
      </c>
      <c r="G6480" s="395"/>
      <c r="H6480" s="395"/>
      <c r="J6480" s="42"/>
    </row>
    <row r="6481" spans="1:10" s="393" customFormat="1" ht="15.75" thickBot="1" x14ac:dyDescent="0.3">
      <c r="A6481" s="404" t="s">
        <v>40</v>
      </c>
      <c r="B6481" s="271">
        <v>44162</v>
      </c>
      <c r="C6481" s="44">
        <v>398</v>
      </c>
      <c r="D6481" s="177">
        <f>C6481+D6457</f>
        <v>65190</v>
      </c>
      <c r="E6481" s="44">
        <v>25</v>
      </c>
      <c r="F6481" s="631">
        <f t="shared" si="547"/>
        <v>1166</v>
      </c>
      <c r="G6481" s="395"/>
      <c r="H6481" s="395"/>
      <c r="J6481" s="42"/>
    </row>
    <row r="6482" spans="1:10" s="393" customFormat="1" ht="15.75" thickBot="1" x14ac:dyDescent="0.3">
      <c r="A6482" s="397" t="s">
        <v>16</v>
      </c>
      <c r="B6482" s="271">
        <v>44163</v>
      </c>
      <c r="C6482" s="227">
        <v>1531</v>
      </c>
      <c r="D6482" s="175">
        <f t="shared" ref="D6482:D6545" si="549">C6482+D6458</f>
        <v>616403</v>
      </c>
      <c r="E6482" s="227">
        <v>61</v>
      </c>
      <c r="F6482" s="630">
        <f t="shared" si="547"/>
        <v>20494</v>
      </c>
      <c r="G6482" s="395"/>
      <c r="H6482" s="395"/>
      <c r="J6482" s="42"/>
    </row>
    <row r="6483" spans="1:10" s="393" customFormat="1" ht="15.75" thickBot="1" x14ac:dyDescent="0.3">
      <c r="A6483" s="402" t="s">
        <v>43</v>
      </c>
      <c r="B6483" s="271">
        <v>44163</v>
      </c>
      <c r="C6483" s="1">
        <v>282</v>
      </c>
      <c r="D6483" s="39">
        <f t="shared" si="549"/>
        <v>158267</v>
      </c>
      <c r="E6483" s="1">
        <v>8</v>
      </c>
      <c r="F6483" s="522">
        <f t="shared" si="547"/>
        <v>5216</v>
      </c>
      <c r="G6483" s="395"/>
      <c r="H6483" s="395"/>
      <c r="J6483" s="42"/>
    </row>
    <row r="6484" spans="1:10" s="393" customFormat="1" ht="15.75" thickBot="1" x14ac:dyDescent="0.3">
      <c r="A6484" s="402" t="s">
        <v>28</v>
      </c>
      <c r="B6484" s="271">
        <v>44163</v>
      </c>
      <c r="C6484" s="1">
        <v>31</v>
      </c>
      <c r="D6484" s="39">
        <f t="shared" si="549"/>
        <v>1813</v>
      </c>
      <c r="E6484" s="1"/>
      <c r="F6484" s="522">
        <f t="shared" si="547"/>
        <v>15</v>
      </c>
      <c r="G6484" s="395"/>
      <c r="H6484" s="395"/>
      <c r="J6484" s="42"/>
    </row>
    <row r="6485" spans="1:10" s="393" customFormat="1" ht="15.75" thickBot="1" x14ac:dyDescent="0.3">
      <c r="A6485" s="402" t="s">
        <v>15</v>
      </c>
      <c r="B6485" s="271">
        <v>44163</v>
      </c>
      <c r="C6485" s="1">
        <v>202</v>
      </c>
      <c r="D6485" s="39">
        <f t="shared" si="549"/>
        <v>18958</v>
      </c>
      <c r="E6485" s="1">
        <v>5</v>
      </c>
      <c r="F6485" s="522">
        <f t="shared" si="547"/>
        <v>553</v>
      </c>
      <c r="G6485" s="395"/>
      <c r="H6485" s="395"/>
      <c r="J6485" s="42"/>
    </row>
    <row r="6486" spans="1:10" s="393" customFormat="1" ht="15.75" thickBot="1" x14ac:dyDescent="0.3">
      <c r="A6486" s="402" t="s">
        <v>29</v>
      </c>
      <c r="B6486" s="271">
        <v>44163</v>
      </c>
      <c r="C6486" s="1">
        <v>230</v>
      </c>
      <c r="D6486" s="39">
        <f t="shared" si="549"/>
        <v>22517</v>
      </c>
      <c r="E6486" s="1">
        <v>2</v>
      </c>
      <c r="F6486" s="522">
        <f t="shared" si="547"/>
        <v>373</v>
      </c>
      <c r="G6486" s="395"/>
      <c r="H6486" s="395"/>
      <c r="J6486" s="42"/>
    </row>
    <row r="6487" spans="1:10" s="393" customFormat="1" ht="15.75" thickBot="1" x14ac:dyDescent="0.3">
      <c r="A6487" s="402" t="s">
        <v>20</v>
      </c>
      <c r="B6487" s="271">
        <v>44163</v>
      </c>
      <c r="C6487" s="1">
        <v>711</v>
      </c>
      <c r="D6487" s="39">
        <f t="shared" si="549"/>
        <v>113430</v>
      </c>
      <c r="E6487" s="1">
        <v>10</v>
      </c>
      <c r="F6487" s="522">
        <f t="shared" si="547"/>
        <v>1929</v>
      </c>
      <c r="G6487" s="395"/>
      <c r="H6487" s="395"/>
      <c r="J6487" s="42"/>
    </row>
    <row r="6488" spans="1:10" s="393" customFormat="1" ht="15.75" thickBot="1" x14ac:dyDescent="0.3">
      <c r="A6488" s="402" t="s">
        <v>30</v>
      </c>
      <c r="B6488" s="271">
        <v>44163</v>
      </c>
      <c r="C6488" s="1">
        <v>231</v>
      </c>
      <c r="D6488" s="39">
        <f t="shared" si="549"/>
        <v>5673</v>
      </c>
      <c r="E6488" s="1"/>
      <c r="F6488" s="522">
        <f t="shared" si="547"/>
        <v>86</v>
      </c>
      <c r="G6488" s="395"/>
      <c r="H6488" s="395"/>
      <c r="J6488" s="42"/>
    </row>
    <row r="6489" spans="1:10" ht="15.75" thickBot="1" x14ac:dyDescent="0.3">
      <c r="A6489" s="402" t="s">
        <v>31</v>
      </c>
      <c r="B6489" s="271">
        <v>44163</v>
      </c>
      <c r="C6489" s="1">
        <v>222</v>
      </c>
      <c r="D6489" s="39">
        <f t="shared" si="549"/>
        <v>23075</v>
      </c>
      <c r="F6489" s="522">
        <f t="shared" si="547"/>
        <v>464</v>
      </c>
    </row>
    <row r="6490" spans="1:10" s="393" customFormat="1" ht="15.75" thickBot="1" x14ac:dyDescent="0.3">
      <c r="A6490" s="402" t="s">
        <v>41</v>
      </c>
      <c r="B6490" s="271">
        <v>44163</v>
      </c>
      <c r="C6490" s="1">
        <v>3</v>
      </c>
      <c r="D6490" s="39">
        <f t="shared" si="549"/>
        <v>182</v>
      </c>
      <c r="E6490" s="1"/>
      <c r="F6490" s="522">
        <f t="shared" si="547"/>
        <v>3</v>
      </c>
      <c r="G6490" s="395"/>
      <c r="H6490" s="395"/>
      <c r="J6490" s="42"/>
    </row>
    <row r="6491" spans="1:10" s="393" customFormat="1" ht="15.75" thickBot="1" x14ac:dyDescent="0.3">
      <c r="A6491" s="402" t="s">
        <v>32</v>
      </c>
      <c r="B6491" s="271">
        <v>44163</v>
      </c>
      <c r="C6491" s="1">
        <v>8</v>
      </c>
      <c r="D6491" s="39">
        <f t="shared" si="549"/>
        <v>18368</v>
      </c>
      <c r="E6491" s="1"/>
      <c r="F6491" s="522">
        <f t="shared" si="547"/>
        <v>848</v>
      </c>
      <c r="G6491" s="395"/>
      <c r="H6491" s="395"/>
      <c r="J6491" s="42"/>
    </row>
    <row r="6492" spans="1:10" s="393" customFormat="1" ht="15.75" thickBot="1" x14ac:dyDescent="0.3">
      <c r="A6492" s="402" t="s">
        <v>33</v>
      </c>
      <c r="B6492" s="271">
        <v>44163</v>
      </c>
      <c r="C6492" s="1">
        <v>60</v>
      </c>
      <c r="D6492" s="39">
        <f t="shared" si="549"/>
        <v>5649</v>
      </c>
      <c r="E6492" s="1"/>
      <c r="F6492" s="522">
        <f t="shared" si="547"/>
        <v>75</v>
      </c>
      <c r="G6492" s="395"/>
      <c r="H6492" s="395"/>
      <c r="J6492" s="42"/>
    </row>
    <row r="6493" spans="1:10" s="393" customFormat="1" ht="15.75" thickBot="1" x14ac:dyDescent="0.3">
      <c r="A6493" s="402" t="s">
        <v>21</v>
      </c>
      <c r="B6493" s="271">
        <v>44163</v>
      </c>
      <c r="C6493" s="1">
        <v>38</v>
      </c>
      <c r="D6493" s="39">
        <f t="shared" si="549"/>
        <v>8668</v>
      </c>
      <c r="E6493" s="1"/>
      <c r="F6493" s="522">
        <f t="shared" si="547"/>
        <v>316</v>
      </c>
      <c r="G6493" s="395"/>
      <c r="H6493" s="395"/>
      <c r="J6493" s="42"/>
    </row>
    <row r="6494" spans="1:10" s="393" customFormat="1" ht="15.75" thickBot="1" x14ac:dyDescent="0.3">
      <c r="A6494" s="402" t="s">
        <v>17</v>
      </c>
      <c r="B6494" s="271">
        <v>44163</v>
      </c>
      <c r="C6494" s="1">
        <v>180</v>
      </c>
      <c r="D6494" s="39">
        <f t="shared" si="549"/>
        <v>56348</v>
      </c>
      <c r="E6494" s="1">
        <v>1</v>
      </c>
      <c r="F6494" s="522">
        <f t="shared" si="547"/>
        <v>1106</v>
      </c>
      <c r="G6494" s="395"/>
      <c r="H6494" s="395"/>
      <c r="J6494" s="42"/>
    </row>
    <row r="6495" spans="1:10" s="393" customFormat="1" ht="15.75" thickBot="1" x14ac:dyDescent="0.3">
      <c r="A6495" s="402" t="s">
        <v>23</v>
      </c>
      <c r="B6495" s="271">
        <v>44163</v>
      </c>
      <c r="C6495" s="1">
        <v>7</v>
      </c>
      <c r="D6495" s="39">
        <f t="shared" si="549"/>
        <v>493</v>
      </c>
      <c r="E6495" s="1"/>
      <c r="F6495" s="522">
        <f t="shared" si="547"/>
        <v>9</v>
      </c>
      <c r="G6495" s="395"/>
      <c r="H6495" s="395"/>
      <c r="J6495" s="42"/>
    </row>
    <row r="6496" spans="1:10" s="393" customFormat="1" ht="15.75" thickBot="1" x14ac:dyDescent="0.3">
      <c r="A6496" s="402" t="s">
        <v>19</v>
      </c>
      <c r="B6496" s="271">
        <v>44163</v>
      </c>
      <c r="C6496" s="1">
        <v>255</v>
      </c>
      <c r="D6496" s="39">
        <f t="shared" si="549"/>
        <v>31718</v>
      </c>
      <c r="E6496" s="1">
        <v>1</v>
      </c>
      <c r="F6496" s="522">
        <f t="shared" si="547"/>
        <v>614</v>
      </c>
      <c r="G6496" s="395"/>
      <c r="H6496" s="395"/>
      <c r="J6496" s="42"/>
    </row>
    <row r="6497" spans="1:10" s="393" customFormat="1" ht="15.75" thickBot="1" x14ac:dyDescent="0.3">
      <c r="A6497" s="402" t="s">
        <v>18</v>
      </c>
      <c r="B6497" s="271">
        <v>44163</v>
      </c>
      <c r="C6497" s="1">
        <v>143</v>
      </c>
      <c r="D6497" s="39">
        <f t="shared" si="549"/>
        <v>31413</v>
      </c>
      <c r="E6497" s="1">
        <v>4</v>
      </c>
      <c r="F6497" s="522">
        <f t="shared" si="547"/>
        <v>773</v>
      </c>
      <c r="G6497" s="395"/>
      <c r="H6497" s="395"/>
      <c r="J6497" s="42"/>
    </row>
    <row r="6498" spans="1:10" s="393" customFormat="1" ht="15.75" thickBot="1" x14ac:dyDescent="0.3">
      <c r="A6498" s="402" t="s">
        <v>34</v>
      </c>
      <c r="B6498" s="271">
        <v>44163</v>
      </c>
      <c r="C6498" s="1">
        <v>32</v>
      </c>
      <c r="D6498" s="39">
        <f t="shared" si="549"/>
        <v>21112</v>
      </c>
      <c r="E6498" s="1">
        <v>2</v>
      </c>
      <c r="F6498" s="522">
        <f t="shared" si="547"/>
        <v>976</v>
      </c>
      <c r="G6498" s="395"/>
      <c r="H6498" s="395"/>
      <c r="J6498" s="42"/>
    </row>
    <row r="6499" spans="1:10" s="393" customFormat="1" ht="15.75" thickBot="1" x14ac:dyDescent="0.3">
      <c r="A6499" s="402" t="s">
        <v>35</v>
      </c>
      <c r="B6499" s="271">
        <v>44163</v>
      </c>
      <c r="C6499" s="1">
        <v>72</v>
      </c>
      <c r="D6499" s="39">
        <f t="shared" si="549"/>
        <v>7254</v>
      </c>
      <c r="E6499" s="1"/>
      <c r="F6499" s="522">
        <f t="shared" si="547"/>
        <v>171</v>
      </c>
      <c r="G6499" s="395"/>
      <c r="H6499" s="395"/>
      <c r="J6499" s="42"/>
    </row>
    <row r="6500" spans="1:10" s="393" customFormat="1" ht="15.75" thickBot="1" x14ac:dyDescent="0.3">
      <c r="A6500" s="402" t="s">
        <v>36</v>
      </c>
      <c r="B6500" s="271">
        <v>44163</v>
      </c>
      <c r="C6500" s="1">
        <v>154</v>
      </c>
      <c r="D6500" s="39">
        <f t="shared" si="549"/>
        <v>14096</v>
      </c>
      <c r="E6500" s="1">
        <v>1</v>
      </c>
      <c r="F6500" s="522">
        <f t="shared" si="547"/>
        <v>208</v>
      </c>
      <c r="G6500" s="395"/>
      <c r="H6500" s="395"/>
      <c r="J6500" s="42"/>
    </row>
    <row r="6501" spans="1:10" s="393" customFormat="1" ht="15.75" thickBot="1" x14ac:dyDescent="0.3">
      <c r="A6501" s="402" t="s">
        <v>37</v>
      </c>
      <c r="B6501" s="271">
        <v>44163</v>
      </c>
      <c r="C6501" s="1">
        <v>188</v>
      </c>
      <c r="D6501" s="39">
        <f t="shared" si="549"/>
        <v>15561</v>
      </c>
      <c r="E6501" s="1">
        <v>1</v>
      </c>
      <c r="F6501" s="522">
        <f t="shared" si="547"/>
        <v>268</v>
      </c>
      <c r="G6501" s="395"/>
      <c r="H6501" s="395"/>
      <c r="J6501" s="42"/>
    </row>
    <row r="6502" spans="1:10" s="393" customFormat="1" ht="15.75" thickBot="1" x14ac:dyDescent="0.3">
      <c r="A6502" s="402" t="s">
        <v>22</v>
      </c>
      <c r="B6502" s="271">
        <v>44163</v>
      </c>
      <c r="C6502" s="1">
        <v>1070</v>
      </c>
      <c r="D6502" s="39">
        <f t="shared" si="549"/>
        <v>145501</v>
      </c>
      <c r="E6502" s="1">
        <v>10</v>
      </c>
      <c r="F6502" s="522">
        <f t="shared" si="547"/>
        <v>2217</v>
      </c>
      <c r="G6502" s="395"/>
      <c r="H6502" s="395"/>
      <c r="J6502" s="42"/>
    </row>
    <row r="6503" spans="1:10" s="393" customFormat="1" ht="15.75" thickBot="1" x14ac:dyDescent="0.3">
      <c r="A6503" s="402" t="s">
        <v>38</v>
      </c>
      <c r="B6503" s="271">
        <v>44163</v>
      </c>
      <c r="C6503" s="1">
        <v>141</v>
      </c>
      <c r="D6503" s="39">
        <f t="shared" si="549"/>
        <v>15439</v>
      </c>
      <c r="E6503" s="1"/>
      <c r="F6503" s="522">
        <f t="shared" si="547"/>
        <v>188</v>
      </c>
      <c r="G6503" s="395"/>
      <c r="H6503" s="395"/>
      <c r="J6503" s="42"/>
    </row>
    <row r="6504" spans="1:10" s="393" customFormat="1" ht="15.75" thickBot="1" x14ac:dyDescent="0.3">
      <c r="A6504" s="402" t="s">
        <v>39</v>
      </c>
      <c r="B6504" s="271">
        <v>44163</v>
      </c>
      <c r="C6504" s="1">
        <v>67</v>
      </c>
      <c r="D6504" s="39">
        <f t="shared" si="549"/>
        <v>16007</v>
      </c>
      <c r="E6504" s="1"/>
      <c r="F6504" s="522">
        <f t="shared" si="547"/>
        <v>230</v>
      </c>
      <c r="G6504" s="395"/>
      <c r="H6504" s="395"/>
      <c r="J6504" s="42"/>
    </row>
    <row r="6505" spans="1:10" s="393" customFormat="1" ht="15.75" thickBot="1" x14ac:dyDescent="0.3">
      <c r="A6505" s="404" t="s">
        <v>40</v>
      </c>
      <c r="B6505" s="271">
        <v>44163</v>
      </c>
      <c r="C6505" s="1">
        <v>240</v>
      </c>
      <c r="D6505" s="177">
        <f>C6505+D6481</f>
        <v>65430</v>
      </c>
      <c r="E6505" s="1"/>
      <c r="F6505" s="631">
        <f t="shared" si="547"/>
        <v>1166</v>
      </c>
      <c r="G6505" s="395"/>
      <c r="H6505" s="395"/>
      <c r="J6505" s="42"/>
    </row>
    <row r="6506" spans="1:10" s="393" customFormat="1" ht="15.75" thickBot="1" x14ac:dyDescent="0.3">
      <c r="A6506" s="394" t="s">
        <v>16</v>
      </c>
      <c r="B6506" s="271">
        <v>44164</v>
      </c>
      <c r="C6506" s="1">
        <v>868</v>
      </c>
      <c r="D6506" s="175">
        <f t="shared" si="549"/>
        <v>617271</v>
      </c>
      <c r="E6506" s="1">
        <f>34+36</f>
        <v>70</v>
      </c>
      <c r="F6506" s="630">
        <f t="shared" si="547"/>
        <v>20564</v>
      </c>
      <c r="G6506" s="395"/>
      <c r="H6506" s="395"/>
      <c r="J6506" s="42"/>
    </row>
    <row r="6507" spans="1:10" s="393" customFormat="1" ht="15.75" thickBot="1" x14ac:dyDescent="0.3">
      <c r="A6507" s="394" t="s">
        <v>43</v>
      </c>
      <c r="B6507" s="271">
        <v>44164</v>
      </c>
      <c r="C6507" s="1">
        <v>217</v>
      </c>
      <c r="D6507" s="39">
        <f t="shared" si="549"/>
        <v>158484</v>
      </c>
      <c r="E6507" s="1">
        <f>2+4</f>
        <v>6</v>
      </c>
      <c r="F6507" s="522">
        <f t="shared" ref="F6507:F6570" si="550">E6507+F6483</f>
        <v>5222</v>
      </c>
      <c r="G6507" s="395"/>
      <c r="H6507" s="395"/>
      <c r="J6507" s="42"/>
    </row>
    <row r="6508" spans="1:10" s="393" customFormat="1" ht="15.75" thickBot="1" x14ac:dyDescent="0.3">
      <c r="A6508" s="394" t="s">
        <v>28</v>
      </c>
      <c r="B6508" s="271">
        <v>44164</v>
      </c>
      <c r="C6508" s="1">
        <v>37</v>
      </c>
      <c r="D6508" s="39">
        <f t="shared" si="549"/>
        <v>1850</v>
      </c>
      <c r="E6508" s="1"/>
      <c r="F6508" s="522">
        <f t="shared" si="550"/>
        <v>15</v>
      </c>
      <c r="G6508" s="395"/>
      <c r="H6508" s="395"/>
      <c r="J6508" s="42"/>
    </row>
    <row r="6509" spans="1:10" s="393" customFormat="1" ht="15.75" thickBot="1" x14ac:dyDescent="0.3">
      <c r="A6509" s="394" t="s">
        <v>15</v>
      </c>
      <c r="B6509" s="271">
        <v>44164</v>
      </c>
      <c r="C6509" s="1">
        <v>163</v>
      </c>
      <c r="D6509" s="39">
        <f t="shared" si="549"/>
        <v>19121</v>
      </c>
      <c r="E6509" s="1">
        <f>1+3</f>
        <v>4</v>
      </c>
      <c r="F6509" s="522">
        <f t="shared" si="550"/>
        <v>557</v>
      </c>
      <c r="G6509" s="395"/>
      <c r="H6509" s="395"/>
      <c r="J6509" s="42"/>
    </row>
    <row r="6510" spans="1:10" s="393" customFormat="1" ht="15.75" thickBot="1" x14ac:dyDescent="0.3">
      <c r="A6510" s="394" t="s">
        <v>29</v>
      </c>
      <c r="B6510" s="271">
        <v>44164</v>
      </c>
      <c r="C6510" s="1">
        <v>114</v>
      </c>
      <c r="D6510" s="39">
        <f t="shared" si="549"/>
        <v>22631</v>
      </c>
      <c r="E6510" s="1">
        <f>1+2</f>
        <v>3</v>
      </c>
      <c r="F6510" s="522">
        <f t="shared" si="550"/>
        <v>376</v>
      </c>
      <c r="G6510" s="395"/>
      <c r="H6510" s="395"/>
      <c r="J6510" s="42"/>
    </row>
    <row r="6511" spans="1:10" s="393" customFormat="1" ht="15.75" thickBot="1" x14ac:dyDescent="0.3">
      <c r="A6511" s="394" t="s">
        <v>20</v>
      </c>
      <c r="B6511" s="271">
        <v>44164</v>
      </c>
      <c r="C6511" s="1">
        <v>427</v>
      </c>
      <c r="D6511" s="39">
        <f t="shared" si="549"/>
        <v>113857</v>
      </c>
      <c r="E6511" s="1">
        <f>12+9</f>
        <v>21</v>
      </c>
      <c r="F6511" s="522">
        <f t="shared" si="550"/>
        <v>1950</v>
      </c>
      <c r="G6511" s="395"/>
      <c r="H6511" s="395"/>
      <c r="J6511" s="42"/>
    </row>
    <row r="6512" spans="1:10" s="393" customFormat="1" ht="15.75" thickBot="1" x14ac:dyDescent="0.3">
      <c r="A6512" s="394" t="s">
        <v>30</v>
      </c>
      <c r="B6512" s="271">
        <v>44164</v>
      </c>
      <c r="C6512" s="1">
        <v>1130</v>
      </c>
      <c r="D6512" s="39">
        <f t="shared" si="549"/>
        <v>6803</v>
      </c>
      <c r="E6512" s="1"/>
      <c r="F6512" s="522">
        <f t="shared" si="550"/>
        <v>86</v>
      </c>
      <c r="G6512" s="395"/>
      <c r="H6512" s="395"/>
      <c r="J6512" s="42"/>
    </row>
    <row r="6513" spans="1:10" ht="15.75" thickBot="1" x14ac:dyDescent="0.3">
      <c r="A6513" s="394" t="s">
        <v>31</v>
      </c>
      <c r="B6513" s="271">
        <v>44164</v>
      </c>
      <c r="C6513" s="1">
        <v>174</v>
      </c>
      <c r="D6513" s="39">
        <f t="shared" si="549"/>
        <v>23249</v>
      </c>
      <c r="E6513" s="1">
        <f>1</f>
        <v>1</v>
      </c>
      <c r="F6513" s="522">
        <f t="shared" si="550"/>
        <v>465</v>
      </c>
    </row>
    <row r="6514" spans="1:10" s="393" customFormat="1" ht="15.75" thickBot="1" x14ac:dyDescent="0.3">
      <c r="A6514" s="394" t="s">
        <v>41</v>
      </c>
      <c r="B6514" s="271">
        <v>44164</v>
      </c>
      <c r="C6514" s="1">
        <v>0</v>
      </c>
      <c r="D6514" s="39">
        <f t="shared" si="549"/>
        <v>182</v>
      </c>
      <c r="E6514" s="1"/>
      <c r="F6514" s="522">
        <f t="shared" si="550"/>
        <v>3</v>
      </c>
      <c r="G6514" s="395"/>
      <c r="H6514" s="395"/>
      <c r="J6514" s="42"/>
    </row>
    <row r="6515" spans="1:10" s="393" customFormat="1" ht="15.75" thickBot="1" x14ac:dyDescent="0.3">
      <c r="A6515" s="394" t="s">
        <v>32</v>
      </c>
      <c r="B6515" s="271">
        <v>44164</v>
      </c>
      <c r="C6515" s="1">
        <v>2</v>
      </c>
      <c r="D6515" s="39">
        <f t="shared" si="549"/>
        <v>18370</v>
      </c>
      <c r="E6515" s="1"/>
      <c r="F6515" s="522">
        <f t="shared" si="550"/>
        <v>848</v>
      </c>
      <c r="G6515" s="395"/>
      <c r="H6515" s="395"/>
      <c r="J6515" s="42"/>
    </row>
    <row r="6516" spans="1:10" s="393" customFormat="1" ht="15.75" thickBot="1" x14ac:dyDescent="0.3">
      <c r="A6516" s="394" t="s">
        <v>33</v>
      </c>
      <c r="B6516" s="271">
        <v>44164</v>
      </c>
      <c r="C6516" s="1">
        <v>61</v>
      </c>
      <c r="D6516" s="39">
        <f t="shared" si="549"/>
        <v>5710</v>
      </c>
      <c r="E6516" s="1"/>
      <c r="F6516" s="522">
        <f t="shared" si="550"/>
        <v>75</v>
      </c>
      <c r="G6516" s="395"/>
      <c r="H6516" s="395"/>
      <c r="J6516" s="42"/>
    </row>
    <row r="6517" spans="1:10" s="393" customFormat="1" ht="15.75" thickBot="1" x14ac:dyDescent="0.3">
      <c r="A6517" s="394" t="s">
        <v>21</v>
      </c>
      <c r="B6517" s="271">
        <v>44164</v>
      </c>
      <c r="C6517" s="1">
        <v>26</v>
      </c>
      <c r="D6517" s="39">
        <f t="shared" si="549"/>
        <v>8694</v>
      </c>
      <c r="E6517" s="1"/>
      <c r="F6517" s="522">
        <f t="shared" si="550"/>
        <v>316</v>
      </c>
      <c r="G6517" s="395"/>
      <c r="H6517" s="395"/>
      <c r="J6517" s="42"/>
    </row>
    <row r="6518" spans="1:10" s="393" customFormat="1" ht="15.75" thickBot="1" x14ac:dyDescent="0.3">
      <c r="A6518" s="394" t="s">
        <v>17</v>
      </c>
      <c r="B6518" s="271">
        <v>44164</v>
      </c>
      <c r="C6518" s="1">
        <v>47</v>
      </c>
      <c r="D6518" s="39">
        <f t="shared" si="549"/>
        <v>56395</v>
      </c>
      <c r="E6518" s="1">
        <f>1</f>
        <v>1</v>
      </c>
      <c r="F6518" s="522">
        <f t="shared" si="550"/>
        <v>1107</v>
      </c>
      <c r="G6518" s="395"/>
      <c r="H6518" s="395"/>
      <c r="J6518" s="42"/>
    </row>
    <row r="6519" spans="1:10" s="393" customFormat="1" ht="15.75" thickBot="1" x14ac:dyDescent="0.3">
      <c r="A6519" s="394" t="s">
        <v>23</v>
      </c>
      <c r="B6519" s="271">
        <v>44164</v>
      </c>
      <c r="C6519" s="1">
        <v>2</v>
      </c>
      <c r="D6519" s="39">
        <f t="shared" si="549"/>
        <v>495</v>
      </c>
      <c r="E6519" s="1"/>
      <c r="F6519" s="522">
        <f t="shared" si="550"/>
        <v>9</v>
      </c>
      <c r="G6519" s="395"/>
      <c r="H6519" s="395"/>
      <c r="J6519" s="42"/>
    </row>
    <row r="6520" spans="1:10" s="393" customFormat="1" ht="15.75" thickBot="1" x14ac:dyDescent="0.3">
      <c r="A6520" s="394" t="s">
        <v>19</v>
      </c>
      <c r="B6520" s="271">
        <v>44164</v>
      </c>
      <c r="C6520" s="1">
        <v>122</v>
      </c>
      <c r="D6520" s="39">
        <f t="shared" si="549"/>
        <v>31840</v>
      </c>
      <c r="E6520" s="1">
        <f>3+2</f>
        <v>5</v>
      </c>
      <c r="F6520" s="522">
        <f t="shared" si="550"/>
        <v>619</v>
      </c>
      <c r="G6520" s="395"/>
      <c r="H6520" s="395"/>
      <c r="J6520" s="42"/>
    </row>
    <row r="6521" spans="1:10" s="393" customFormat="1" ht="15.75" thickBot="1" x14ac:dyDescent="0.3">
      <c r="A6521" s="394" t="s">
        <v>18</v>
      </c>
      <c r="B6521" s="271">
        <v>44164</v>
      </c>
      <c r="C6521" s="1">
        <v>108</v>
      </c>
      <c r="D6521" s="39">
        <f t="shared" si="549"/>
        <v>31521</v>
      </c>
      <c r="E6521" s="1">
        <f>2</f>
        <v>2</v>
      </c>
      <c r="F6521" s="522">
        <f t="shared" si="550"/>
        <v>775</v>
      </c>
      <c r="G6521" s="395"/>
      <c r="H6521" s="395"/>
      <c r="J6521" s="42"/>
    </row>
    <row r="6522" spans="1:10" s="393" customFormat="1" ht="15.75" thickBot="1" x14ac:dyDescent="0.3">
      <c r="A6522" s="394" t="s">
        <v>34</v>
      </c>
      <c r="B6522" s="271">
        <v>44164</v>
      </c>
      <c r="C6522" s="1">
        <v>28</v>
      </c>
      <c r="D6522" s="39">
        <f t="shared" si="549"/>
        <v>21140</v>
      </c>
      <c r="E6522" s="1">
        <v>1</v>
      </c>
      <c r="F6522" s="522">
        <f t="shared" si="550"/>
        <v>977</v>
      </c>
      <c r="G6522" s="395"/>
      <c r="H6522" s="395"/>
      <c r="J6522" s="42"/>
    </row>
    <row r="6523" spans="1:10" s="393" customFormat="1" ht="15.75" thickBot="1" x14ac:dyDescent="0.3">
      <c r="A6523" s="394" t="s">
        <v>35</v>
      </c>
      <c r="B6523" s="271">
        <v>44164</v>
      </c>
      <c r="C6523" s="1">
        <v>65</v>
      </c>
      <c r="D6523" s="39">
        <f t="shared" si="549"/>
        <v>7319</v>
      </c>
      <c r="E6523" s="1"/>
      <c r="F6523" s="522">
        <f t="shared" si="550"/>
        <v>171</v>
      </c>
      <c r="G6523" s="395"/>
      <c r="H6523" s="395"/>
      <c r="J6523" s="42"/>
    </row>
    <row r="6524" spans="1:10" s="393" customFormat="1" ht="15.75" thickBot="1" x14ac:dyDescent="0.3">
      <c r="A6524" s="394" t="s">
        <v>36</v>
      </c>
      <c r="B6524" s="271">
        <v>44164</v>
      </c>
      <c r="C6524" s="1">
        <v>192</v>
      </c>
      <c r="D6524" s="39">
        <f t="shared" si="549"/>
        <v>14288</v>
      </c>
      <c r="E6524" s="1">
        <f>2+2</f>
        <v>4</v>
      </c>
      <c r="F6524" s="522">
        <f t="shared" si="550"/>
        <v>212</v>
      </c>
      <c r="G6524" s="395"/>
      <c r="H6524" s="395"/>
      <c r="J6524" s="42"/>
    </row>
    <row r="6525" spans="1:10" s="393" customFormat="1" ht="15.75" thickBot="1" x14ac:dyDescent="0.3">
      <c r="A6525" s="394" t="s">
        <v>37</v>
      </c>
      <c r="B6525" s="271">
        <v>44164</v>
      </c>
      <c r="C6525" s="1">
        <v>211</v>
      </c>
      <c r="D6525" s="39">
        <f t="shared" si="549"/>
        <v>15772</v>
      </c>
      <c r="E6525" s="1">
        <f>4</f>
        <v>4</v>
      </c>
      <c r="F6525" s="522">
        <f t="shared" si="550"/>
        <v>272</v>
      </c>
      <c r="G6525" s="395"/>
      <c r="H6525" s="395"/>
      <c r="J6525" s="42"/>
    </row>
    <row r="6526" spans="1:10" s="393" customFormat="1" ht="15.75" thickBot="1" x14ac:dyDescent="0.3">
      <c r="A6526" s="394" t="s">
        <v>22</v>
      </c>
      <c r="B6526" s="271">
        <v>44164</v>
      </c>
      <c r="C6526" s="1">
        <v>1004</v>
      </c>
      <c r="D6526" s="39">
        <f t="shared" si="549"/>
        <v>146505</v>
      </c>
      <c r="E6526" s="1">
        <f>11+7</f>
        <v>18</v>
      </c>
      <c r="F6526" s="522">
        <f t="shared" si="550"/>
        <v>2235</v>
      </c>
      <c r="G6526" s="395"/>
      <c r="H6526" s="395"/>
      <c r="J6526" s="42"/>
    </row>
    <row r="6527" spans="1:10" s="393" customFormat="1" ht="15.75" thickBot="1" x14ac:dyDescent="0.3">
      <c r="A6527" s="394" t="s">
        <v>38</v>
      </c>
      <c r="B6527" s="271">
        <v>44164</v>
      </c>
      <c r="C6527" s="1">
        <v>151</v>
      </c>
      <c r="D6527" s="39">
        <f t="shared" si="549"/>
        <v>15590</v>
      </c>
      <c r="E6527" s="1"/>
      <c r="F6527" s="522">
        <f t="shared" si="550"/>
        <v>188</v>
      </c>
      <c r="G6527" s="395"/>
      <c r="H6527" s="395"/>
      <c r="J6527" s="42"/>
    </row>
    <row r="6528" spans="1:10" s="393" customFormat="1" ht="15.75" thickBot="1" x14ac:dyDescent="0.3">
      <c r="A6528" s="394" t="s">
        <v>39</v>
      </c>
      <c r="B6528" s="271">
        <v>44164</v>
      </c>
      <c r="C6528" s="1">
        <v>83</v>
      </c>
      <c r="D6528" s="39">
        <f t="shared" si="549"/>
        <v>16090</v>
      </c>
      <c r="E6528" s="1"/>
      <c r="F6528" s="522">
        <f t="shared" si="550"/>
        <v>230</v>
      </c>
      <c r="G6528" s="395"/>
      <c r="H6528" s="395"/>
      <c r="J6528" s="42"/>
    </row>
    <row r="6529" spans="1:10" s="393" customFormat="1" ht="15.75" thickBot="1" x14ac:dyDescent="0.3">
      <c r="A6529" s="394" t="s">
        <v>40</v>
      </c>
      <c r="B6529" s="271">
        <v>44164</v>
      </c>
      <c r="C6529" s="1">
        <v>200</v>
      </c>
      <c r="D6529" s="177">
        <f>C6529+D6505</f>
        <v>65630</v>
      </c>
      <c r="E6529" s="1">
        <f>5+6</f>
        <v>11</v>
      </c>
      <c r="F6529" s="631">
        <f t="shared" si="550"/>
        <v>1177</v>
      </c>
      <c r="G6529" s="395"/>
      <c r="H6529" s="395"/>
      <c r="J6529" s="42"/>
    </row>
    <row r="6530" spans="1:10" s="393" customFormat="1" ht="15.75" thickBot="1" x14ac:dyDescent="0.3">
      <c r="A6530" s="394" t="s">
        <v>16</v>
      </c>
      <c r="B6530" s="271">
        <v>44165</v>
      </c>
      <c r="C6530" s="1">
        <v>1455</v>
      </c>
      <c r="D6530" s="175">
        <f t="shared" si="549"/>
        <v>618726</v>
      </c>
      <c r="E6530" s="1">
        <v>135</v>
      </c>
      <c r="F6530" s="630">
        <f t="shared" si="550"/>
        <v>20699</v>
      </c>
      <c r="G6530" s="395"/>
      <c r="H6530" s="395"/>
      <c r="J6530" s="42"/>
    </row>
    <row r="6531" spans="1:10" s="393" customFormat="1" ht="15.75" thickBot="1" x14ac:dyDescent="0.3">
      <c r="A6531" s="394" t="s">
        <v>43</v>
      </c>
      <c r="B6531" s="271">
        <v>44165</v>
      </c>
      <c r="C6531" s="1">
        <v>321</v>
      </c>
      <c r="D6531" s="39">
        <f t="shared" si="549"/>
        <v>158805</v>
      </c>
      <c r="E6531" s="1">
        <v>15</v>
      </c>
      <c r="F6531" s="522">
        <f t="shared" si="550"/>
        <v>5237</v>
      </c>
      <c r="G6531" s="395"/>
      <c r="H6531" s="395"/>
      <c r="J6531" s="42"/>
    </row>
    <row r="6532" spans="1:10" s="393" customFormat="1" ht="15.75" thickBot="1" x14ac:dyDescent="0.3">
      <c r="A6532" s="394" t="s">
        <v>28</v>
      </c>
      <c r="B6532" s="271">
        <v>44165</v>
      </c>
      <c r="C6532" s="1">
        <v>17</v>
      </c>
      <c r="D6532" s="39">
        <f t="shared" si="549"/>
        <v>1867</v>
      </c>
      <c r="E6532" s="1"/>
      <c r="F6532" s="522">
        <f t="shared" si="550"/>
        <v>15</v>
      </c>
      <c r="G6532" s="395"/>
      <c r="H6532" s="395"/>
      <c r="J6532" s="42"/>
    </row>
    <row r="6533" spans="1:10" s="393" customFormat="1" ht="15.75" thickBot="1" x14ac:dyDescent="0.3">
      <c r="A6533" s="394" t="s">
        <v>15</v>
      </c>
      <c r="B6533" s="271">
        <v>44165</v>
      </c>
      <c r="C6533" s="1">
        <v>236</v>
      </c>
      <c r="D6533" s="39">
        <f t="shared" si="549"/>
        <v>19357</v>
      </c>
      <c r="E6533" s="1">
        <v>5</v>
      </c>
      <c r="F6533" s="522">
        <f t="shared" si="550"/>
        <v>562</v>
      </c>
      <c r="G6533" s="395"/>
      <c r="H6533" s="395"/>
      <c r="J6533" s="42"/>
    </row>
    <row r="6534" spans="1:10" s="393" customFormat="1" ht="15.75" thickBot="1" x14ac:dyDescent="0.3">
      <c r="A6534" s="394" t="s">
        <v>29</v>
      </c>
      <c r="B6534" s="271">
        <v>44165</v>
      </c>
      <c r="C6534" s="1">
        <v>220</v>
      </c>
      <c r="D6534" s="39">
        <f t="shared" si="549"/>
        <v>22851</v>
      </c>
      <c r="E6534" s="1">
        <v>1</v>
      </c>
      <c r="F6534" s="522">
        <f t="shared" si="550"/>
        <v>377</v>
      </c>
      <c r="G6534" s="395"/>
      <c r="H6534" s="395"/>
      <c r="J6534" s="42"/>
    </row>
    <row r="6535" spans="1:10" s="393" customFormat="1" ht="15.75" thickBot="1" x14ac:dyDescent="0.3">
      <c r="A6535" s="394" t="s">
        <v>20</v>
      </c>
      <c r="B6535" s="271">
        <v>44165</v>
      </c>
      <c r="C6535" s="1">
        <v>350</v>
      </c>
      <c r="D6535" s="39">
        <f t="shared" si="549"/>
        <v>114207</v>
      </c>
      <c r="E6535" s="1">
        <v>22</v>
      </c>
      <c r="F6535" s="522">
        <f t="shared" si="550"/>
        <v>1972</v>
      </c>
      <c r="G6535" s="395"/>
      <c r="H6535" s="395"/>
      <c r="J6535" s="42"/>
    </row>
    <row r="6536" spans="1:10" s="393" customFormat="1" ht="15.75" thickBot="1" x14ac:dyDescent="0.3">
      <c r="A6536" s="394" t="s">
        <v>30</v>
      </c>
      <c r="B6536" s="271">
        <v>44165</v>
      </c>
      <c r="C6536" s="1">
        <v>295</v>
      </c>
      <c r="D6536" s="39">
        <f t="shared" si="549"/>
        <v>7098</v>
      </c>
      <c r="E6536" s="1"/>
      <c r="F6536" s="522">
        <f t="shared" si="550"/>
        <v>86</v>
      </c>
      <c r="G6536" s="395"/>
      <c r="H6536" s="395"/>
      <c r="J6536" s="42"/>
    </row>
    <row r="6537" spans="1:10" ht="15.75" thickBot="1" x14ac:dyDescent="0.3">
      <c r="A6537" s="394" t="s">
        <v>31</v>
      </c>
      <c r="B6537" s="271">
        <v>44165</v>
      </c>
      <c r="C6537" s="1">
        <v>116</v>
      </c>
      <c r="D6537" s="39">
        <f t="shared" si="549"/>
        <v>23365</v>
      </c>
      <c r="E6537" s="1">
        <v>4</v>
      </c>
      <c r="F6537" s="522">
        <f t="shared" si="550"/>
        <v>469</v>
      </c>
    </row>
    <row r="6538" spans="1:10" s="393" customFormat="1" ht="15.75" thickBot="1" x14ac:dyDescent="0.3">
      <c r="A6538" s="394" t="s">
        <v>41</v>
      </c>
      <c r="B6538" s="271">
        <v>44165</v>
      </c>
      <c r="C6538" s="1">
        <v>0</v>
      </c>
      <c r="D6538" s="39">
        <f t="shared" si="549"/>
        <v>182</v>
      </c>
      <c r="E6538" s="1"/>
      <c r="F6538" s="522">
        <f t="shared" si="550"/>
        <v>3</v>
      </c>
      <c r="G6538" s="395"/>
      <c r="H6538" s="395"/>
      <c r="J6538" s="42"/>
    </row>
    <row r="6539" spans="1:10" s="393" customFormat="1" ht="15.75" thickBot="1" x14ac:dyDescent="0.3">
      <c r="A6539" s="394" t="s">
        <v>32</v>
      </c>
      <c r="B6539" s="271">
        <v>44165</v>
      </c>
      <c r="C6539" s="1">
        <v>11</v>
      </c>
      <c r="D6539" s="39">
        <f t="shared" si="549"/>
        <v>18381</v>
      </c>
      <c r="E6539" s="1"/>
      <c r="F6539" s="522">
        <f t="shared" si="550"/>
        <v>848</v>
      </c>
      <c r="G6539" s="395"/>
      <c r="H6539" s="395"/>
      <c r="J6539" s="42"/>
    </row>
    <row r="6540" spans="1:10" s="393" customFormat="1" ht="15.75" thickBot="1" x14ac:dyDescent="0.3">
      <c r="A6540" s="394" t="s">
        <v>33</v>
      </c>
      <c r="B6540" s="271">
        <v>44165</v>
      </c>
      <c r="C6540" s="1">
        <v>60</v>
      </c>
      <c r="D6540" s="39">
        <f t="shared" si="549"/>
        <v>5770</v>
      </c>
      <c r="E6540" s="1">
        <v>8</v>
      </c>
      <c r="F6540" s="522">
        <f t="shared" si="550"/>
        <v>83</v>
      </c>
      <c r="G6540" s="395"/>
      <c r="H6540" s="395"/>
      <c r="J6540" s="42"/>
    </row>
    <row r="6541" spans="1:10" s="393" customFormat="1" ht="15.75" thickBot="1" x14ac:dyDescent="0.3">
      <c r="A6541" s="394" t="s">
        <v>21</v>
      </c>
      <c r="B6541" s="271">
        <v>44165</v>
      </c>
      <c r="C6541" s="1">
        <v>28</v>
      </c>
      <c r="D6541" s="39">
        <f t="shared" si="549"/>
        <v>8722</v>
      </c>
      <c r="E6541" s="1"/>
      <c r="F6541" s="522">
        <f t="shared" si="550"/>
        <v>316</v>
      </c>
      <c r="G6541" s="395"/>
      <c r="H6541" s="395"/>
      <c r="J6541" s="42"/>
    </row>
    <row r="6542" spans="1:10" s="393" customFormat="1" ht="15.75" thickBot="1" x14ac:dyDescent="0.3">
      <c r="A6542" s="394" t="s">
        <v>17</v>
      </c>
      <c r="B6542" s="271">
        <v>44165</v>
      </c>
      <c r="C6542" s="1">
        <v>151</v>
      </c>
      <c r="D6542" s="39">
        <f t="shared" si="549"/>
        <v>56546</v>
      </c>
      <c r="E6542" s="1">
        <v>1</v>
      </c>
      <c r="F6542" s="522">
        <f t="shared" si="550"/>
        <v>1108</v>
      </c>
      <c r="G6542" s="395"/>
      <c r="H6542" s="395"/>
      <c r="J6542" s="42"/>
    </row>
    <row r="6543" spans="1:10" s="393" customFormat="1" ht="15.75" thickBot="1" x14ac:dyDescent="0.3">
      <c r="A6543" s="394" t="s">
        <v>23</v>
      </c>
      <c r="B6543" s="271">
        <v>44165</v>
      </c>
      <c r="C6543" s="1">
        <v>5</v>
      </c>
      <c r="D6543" s="39">
        <f t="shared" si="549"/>
        <v>500</v>
      </c>
      <c r="E6543" s="1"/>
      <c r="F6543" s="522">
        <f t="shared" si="550"/>
        <v>9</v>
      </c>
      <c r="G6543" s="395"/>
      <c r="H6543" s="395"/>
      <c r="J6543" s="42"/>
    </row>
    <row r="6544" spans="1:10" s="393" customFormat="1" ht="15.75" thickBot="1" x14ac:dyDescent="0.3">
      <c r="A6544" s="394" t="s">
        <v>19</v>
      </c>
      <c r="B6544" s="271">
        <v>44165</v>
      </c>
      <c r="C6544" s="1">
        <v>228</v>
      </c>
      <c r="D6544" s="39">
        <f t="shared" si="549"/>
        <v>32068</v>
      </c>
      <c r="E6544" s="1"/>
      <c r="F6544" s="522">
        <f t="shared" si="550"/>
        <v>619</v>
      </c>
      <c r="G6544" s="395"/>
      <c r="H6544" s="395"/>
      <c r="J6544" s="42"/>
    </row>
    <row r="6545" spans="1:10" s="393" customFormat="1" ht="15.75" thickBot="1" x14ac:dyDescent="0.3">
      <c r="A6545" s="394" t="s">
        <v>18</v>
      </c>
      <c r="B6545" s="271">
        <v>44165</v>
      </c>
      <c r="C6545" s="1">
        <v>184</v>
      </c>
      <c r="D6545" s="39">
        <f t="shared" si="549"/>
        <v>31705</v>
      </c>
      <c r="E6545" s="1">
        <v>5</v>
      </c>
      <c r="F6545" s="522">
        <f t="shared" si="550"/>
        <v>780</v>
      </c>
      <c r="G6545" s="395"/>
      <c r="H6545" s="395"/>
      <c r="J6545" s="42"/>
    </row>
    <row r="6546" spans="1:10" s="393" customFormat="1" ht="15.75" thickBot="1" x14ac:dyDescent="0.3">
      <c r="A6546" s="394" t="s">
        <v>34</v>
      </c>
      <c r="B6546" s="271">
        <v>44165</v>
      </c>
      <c r="C6546" s="1">
        <v>19</v>
      </c>
      <c r="D6546" s="39">
        <f t="shared" ref="D6546:D6552" si="551">C6546+D6522</f>
        <v>21159</v>
      </c>
      <c r="E6546" s="1">
        <v>3</v>
      </c>
      <c r="F6546" s="522">
        <f t="shared" si="550"/>
        <v>980</v>
      </c>
      <c r="G6546" s="395"/>
      <c r="H6546" s="395"/>
      <c r="J6546" s="42"/>
    </row>
    <row r="6547" spans="1:10" s="393" customFormat="1" ht="15.75" thickBot="1" x14ac:dyDescent="0.3">
      <c r="A6547" s="394" t="s">
        <v>35</v>
      </c>
      <c r="B6547" s="271">
        <v>44165</v>
      </c>
      <c r="C6547" s="1">
        <v>147</v>
      </c>
      <c r="D6547" s="39">
        <f t="shared" si="551"/>
        <v>7466</v>
      </c>
      <c r="E6547" s="1"/>
      <c r="F6547" s="522">
        <f t="shared" si="550"/>
        <v>171</v>
      </c>
      <c r="G6547" s="395"/>
      <c r="H6547" s="395"/>
      <c r="J6547" s="42"/>
    </row>
    <row r="6548" spans="1:10" s="393" customFormat="1" ht="15.75" thickBot="1" x14ac:dyDescent="0.3">
      <c r="A6548" s="394" t="s">
        <v>36</v>
      </c>
      <c r="B6548" s="271">
        <v>44165</v>
      </c>
      <c r="C6548" s="1">
        <v>167</v>
      </c>
      <c r="D6548" s="39">
        <f t="shared" si="551"/>
        <v>14455</v>
      </c>
      <c r="E6548" s="1"/>
      <c r="F6548" s="522">
        <f t="shared" si="550"/>
        <v>212</v>
      </c>
      <c r="G6548" s="395"/>
      <c r="H6548" s="395"/>
      <c r="J6548" s="42"/>
    </row>
    <row r="6549" spans="1:10" s="393" customFormat="1" ht="15.75" thickBot="1" x14ac:dyDescent="0.3">
      <c r="A6549" s="394" t="s">
        <v>37</v>
      </c>
      <c r="B6549" s="271">
        <v>44165</v>
      </c>
      <c r="C6549" s="1">
        <v>154</v>
      </c>
      <c r="D6549" s="39">
        <f t="shared" si="551"/>
        <v>15926</v>
      </c>
      <c r="E6549" s="1">
        <v>2</v>
      </c>
      <c r="F6549" s="522">
        <f t="shared" si="550"/>
        <v>274</v>
      </c>
      <c r="G6549" s="395"/>
      <c r="H6549" s="395"/>
      <c r="J6549" s="42"/>
    </row>
    <row r="6550" spans="1:10" s="393" customFormat="1" ht="15.75" thickBot="1" x14ac:dyDescent="0.3">
      <c r="A6550" s="394" t="s">
        <v>22</v>
      </c>
      <c r="B6550" s="271">
        <v>44165</v>
      </c>
      <c r="C6550" s="1">
        <v>1115</v>
      </c>
      <c r="D6550" s="39">
        <f t="shared" si="551"/>
        <v>147620</v>
      </c>
      <c r="E6550" s="1">
        <v>44</v>
      </c>
      <c r="F6550" s="522">
        <f t="shared" si="550"/>
        <v>2279</v>
      </c>
      <c r="G6550" s="395"/>
      <c r="H6550" s="395"/>
      <c r="J6550" s="42"/>
    </row>
    <row r="6551" spans="1:10" s="393" customFormat="1" ht="15.75" thickBot="1" x14ac:dyDescent="0.3">
      <c r="A6551" s="394" t="s">
        <v>38</v>
      </c>
      <c r="B6551" s="271">
        <v>44165</v>
      </c>
      <c r="C6551" s="1">
        <v>53</v>
      </c>
      <c r="D6551" s="39">
        <f t="shared" si="551"/>
        <v>15643</v>
      </c>
      <c r="E6551" s="1">
        <v>1</v>
      </c>
      <c r="F6551" s="522">
        <f t="shared" si="550"/>
        <v>189</v>
      </c>
      <c r="G6551" s="395"/>
      <c r="H6551" s="395"/>
      <c r="J6551" s="42"/>
    </row>
    <row r="6552" spans="1:10" s="393" customFormat="1" ht="15.75" thickBot="1" x14ac:dyDescent="0.3">
      <c r="A6552" s="394" t="s">
        <v>39</v>
      </c>
      <c r="B6552" s="271">
        <v>44165</v>
      </c>
      <c r="C6552" s="1">
        <v>91</v>
      </c>
      <c r="D6552" s="39">
        <f t="shared" si="551"/>
        <v>16181</v>
      </c>
      <c r="E6552" s="1">
        <v>3</v>
      </c>
      <c r="F6552" s="522">
        <f t="shared" si="550"/>
        <v>233</v>
      </c>
      <c r="G6552" s="395"/>
      <c r="H6552" s="395"/>
      <c r="J6552" s="42"/>
    </row>
    <row r="6553" spans="1:10" s="393" customFormat="1" ht="15.75" thickBot="1" x14ac:dyDescent="0.3">
      <c r="A6553" s="394" t="s">
        <v>40</v>
      </c>
      <c r="B6553" s="271">
        <v>44165</v>
      </c>
      <c r="C6553" s="1">
        <v>303</v>
      </c>
      <c r="D6553" s="177">
        <f>C6553+D6529</f>
        <v>65933</v>
      </c>
      <c r="E6553" s="1">
        <v>7</v>
      </c>
      <c r="F6553" s="631">
        <f t="shared" si="550"/>
        <v>1184</v>
      </c>
      <c r="G6553" s="395"/>
      <c r="H6553" s="395"/>
      <c r="J6553" s="42"/>
    </row>
    <row r="6554" spans="1:10" s="393" customFormat="1" ht="15.75" thickBot="1" x14ac:dyDescent="0.3">
      <c r="A6554" s="394" t="s">
        <v>16</v>
      </c>
      <c r="B6554" s="271">
        <v>44166</v>
      </c>
      <c r="C6554" s="1">
        <v>2128</v>
      </c>
      <c r="D6554" s="175">
        <f t="shared" ref="D6554:D6617" si="552">C6554+D6530</f>
        <v>620854</v>
      </c>
      <c r="E6554" s="1">
        <v>59</v>
      </c>
      <c r="F6554" s="630">
        <f t="shared" si="550"/>
        <v>20758</v>
      </c>
      <c r="G6554" s="395"/>
      <c r="H6554" s="395"/>
      <c r="J6554" s="42"/>
    </row>
    <row r="6555" spans="1:10" s="393" customFormat="1" ht="15.75" thickBot="1" x14ac:dyDescent="0.3">
      <c r="A6555" s="394" t="s">
        <v>43</v>
      </c>
      <c r="B6555" s="271">
        <v>44166</v>
      </c>
      <c r="C6555" s="1">
        <v>398</v>
      </c>
      <c r="D6555" s="39">
        <f t="shared" si="552"/>
        <v>159203</v>
      </c>
      <c r="E6555" s="1">
        <v>23</v>
      </c>
      <c r="F6555" s="522">
        <f t="shared" si="550"/>
        <v>5260</v>
      </c>
      <c r="G6555" s="395"/>
      <c r="H6555" s="395"/>
      <c r="J6555" s="42"/>
    </row>
    <row r="6556" spans="1:10" s="393" customFormat="1" ht="15.75" thickBot="1" x14ac:dyDescent="0.3">
      <c r="A6556" s="394" t="s">
        <v>28</v>
      </c>
      <c r="B6556" s="271">
        <v>44166</v>
      </c>
      <c r="C6556" s="1">
        <v>16</v>
      </c>
      <c r="D6556" s="39">
        <f t="shared" si="552"/>
        <v>1883</v>
      </c>
      <c r="E6556" s="1"/>
      <c r="F6556" s="522">
        <f t="shared" si="550"/>
        <v>15</v>
      </c>
      <c r="G6556" s="395"/>
      <c r="H6556" s="395"/>
      <c r="J6556" s="42"/>
    </row>
    <row r="6557" spans="1:10" s="393" customFormat="1" ht="15.75" thickBot="1" x14ac:dyDescent="0.3">
      <c r="A6557" s="394" t="s">
        <v>15</v>
      </c>
      <c r="B6557" s="271">
        <v>44166</v>
      </c>
      <c r="C6557" s="1">
        <v>238</v>
      </c>
      <c r="D6557" s="39">
        <f t="shared" si="552"/>
        <v>19595</v>
      </c>
      <c r="E6557" s="1">
        <v>4</v>
      </c>
      <c r="F6557" s="522">
        <f t="shared" si="550"/>
        <v>566</v>
      </c>
      <c r="G6557" s="395"/>
      <c r="H6557" s="395"/>
      <c r="J6557" s="42"/>
    </row>
    <row r="6558" spans="1:10" s="393" customFormat="1" ht="15.75" thickBot="1" x14ac:dyDescent="0.3">
      <c r="A6558" s="394" t="s">
        <v>29</v>
      </c>
      <c r="B6558" s="271">
        <v>44166</v>
      </c>
      <c r="C6558" s="1">
        <v>438</v>
      </c>
      <c r="D6558" s="39">
        <f t="shared" si="552"/>
        <v>23289</v>
      </c>
      <c r="E6558" s="1">
        <v>4</v>
      </c>
      <c r="F6558" s="522">
        <f t="shared" si="550"/>
        <v>381</v>
      </c>
      <c r="G6558" s="395"/>
      <c r="H6558" s="395"/>
      <c r="J6558" s="42"/>
    </row>
    <row r="6559" spans="1:10" s="393" customFormat="1" ht="15.75" thickBot="1" x14ac:dyDescent="0.3">
      <c r="A6559" s="394" t="s">
        <v>20</v>
      </c>
      <c r="B6559" s="271">
        <v>44166</v>
      </c>
      <c r="C6559" s="1">
        <v>715</v>
      </c>
      <c r="D6559" s="39">
        <f t="shared" si="552"/>
        <v>114922</v>
      </c>
      <c r="E6559" s="1">
        <v>36</v>
      </c>
      <c r="F6559" s="522">
        <f t="shared" si="550"/>
        <v>2008</v>
      </c>
      <c r="G6559" s="395"/>
      <c r="H6559" s="395"/>
      <c r="J6559" s="42"/>
    </row>
    <row r="6560" spans="1:10" s="393" customFormat="1" ht="15.75" thickBot="1" x14ac:dyDescent="0.3">
      <c r="A6560" s="394" t="s">
        <v>30</v>
      </c>
      <c r="B6560" s="271">
        <v>44166</v>
      </c>
      <c r="C6560" s="1">
        <v>193</v>
      </c>
      <c r="D6560" s="39">
        <f t="shared" si="552"/>
        <v>7291</v>
      </c>
      <c r="E6560" s="1">
        <v>2</v>
      </c>
      <c r="F6560" s="522">
        <f t="shared" si="550"/>
        <v>88</v>
      </c>
      <c r="G6560" s="395"/>
      <c r="H6560" s="395"/>
      <c r="J6560" s="42"/>
    </row>
    <row r="6561" spans="1:10" ht="15.75" thickBot="1" x14ac:dyDescent="0.3">
      <c r="A6561" s="394" t="s">
        <v>31</v>
      </c>
      <c r="B6561" s="271">
        <v>44166</v>
      </c>
      <c r="C6561" s="1">
        <v>139</v>
      </c>
      <c r="D6561" s="39">
        <f t="shared" si="552"/>
        <v>23504</v>
      </c>
      <c r="E6561" s="1">
        <v>2</v>
      </c>
      <c r="F6561" s="522">
        <f t="shared" si="550"/>
        <v>471</v>
      </c>
    </row>
    <row r="6562" spans="1:10" s="393" customFormat="1" ht="15.75" thickBot="1" x14ac:dyDescent="0.3">
      <c r="A6562" s="394" t="s">
        <v>41</v>
      </c>
      <c r="B6562" s="271">
        <v>44166</v>
      </c>
      <c r="C6562" s="1">
        <v>1</v>
      </c>
      <c r="D6562" s="39">
        <f t="shared" si="552"/>
        <v>183</v>
      </c>
      <c r="E6562" s="1"/>
      <c r="F6562" s="522">
        <f t="shared" si="550"/>
        <v>3</v>
      </c>
      <c r="G6562" s="395"/>
      <c r="H6562" s="395"/>
      <c r="J6562" s="42"/>
    </row>
    <row r="6563" spans="1:10" s="393" customFormat="1" ht="15.75" thickBot="1" x14ac:dyDescent="0.3">
      <c r="A6563" s="394" t="s">
        <v>32</v>
      </c>
      <c r="B6563" s="271">
        <v>44166</v>
      </c>
      <c r="C6563" s="1">
        <v>16</v>
      </c>
      <c r="D6563" s="39">
        <f t="shared" si="552"/>
        <v>18397</v>
      </c>
      <c r="E6563" s="1">
        <v>2</v>
      </c>
      <c r="F6563" s="522">
        <f t="shared" si="550"/>
        <v>850</v>
      </c>
      <c r="G6563" s="395"/>
      <c r="H6563" s="395"/>
      <c r="J6563" s="42"/>
    </row>
    <row r="6564" spans="1:10" s="393" customFormat="1" ht="15.75" thickBot="1" x14ac:dyDescent="0.3">
      <c r="A6564" s="394" t="s">
        <v>33</v>
      </c>
      <c r="B6564" s="271">
        <v>44166</v>
      </c>
      <c r="C6564" s="1">
        <v>103</v>
      </c>
      <c r="D6564" s="39">
        <f t="shared" si="552"/>
        <v>5873</v>
      </c>
      <c r="E6564" s="1">
        <v>2</v>
      </c>
      <c r="F6564" s="522">
        <f t="shared" si="550"/>
        <v>85</v>
      </c>
      <c r="G6564" s="395"/>
      <c r="H6564" s="395"/>
      <c r="J6564" s="42"/>
    </row>
    <row r="6565" spans="1:10" s="393" customFormat="1" ht="15.75" thickBot="1" x14ac:dyDescent="0.3">
      <c r="A6565" s="394" t="s">
        <v>21</v>
      </c>
      <c r="B6565" s="271">
        <v>44166</v>
      </c>
      <c r="C6565" s="1">
        <v>13</v>
      </c>
      <c r="D6565" s="39">
        <f t="shared" si="552"/>
        <v>8735</v>
      </c>
      <c r="E6565" s="1"/>
      <c r="F6565" s="522">
        <f t="shared" si="550"/>
        <v>316</v>
      </c>
      <c r="G6565" s="395"/>
      <c r="H6565" s="395"/>
      <c r="J6565" s="42"/>
    </row>
    <row r="6566" spans="1:10" s="393" customFormat="1" ht="15.75" thickBot="1" x14ac:dyDescent="0.3">
      <c r="A6566" s="394" t="s">
        <v>17</v>
      </c>
      <c r="B6566" s="271">
        <v>44166</v>
      </c>
      <c r="C6566" s="1">
        <v>263</v>
      </c>
      <c r="D6566" s="39">
        <f t="shared" si="552"/>
        <v>56809</v>
      </c>
      <c r="E6566" s="1">
        <v>2</v>
      </c>
      <c r="F6566" s="522">
        <f t="shared" si="550"/>
        <v>1110</v>
      </c>
      <c r="G6566" s="395"/>
      <c r="H6566" s="395"/>
      <c r="J6566" s="42"/>
    </row>
    <row r="6567" spans="1:10" s="393" customFormat="1" ht="15.75" thickBot="1" x14ac:dyDescent="0.3">
      <c r="A6567" s="394" t="s">
        <v>23</v>
      </c>
      <c r="B6567" s="271">
        <v>44166</v>
      </c>
      <c r="C6567" s="1">
        <v>19</v>
      </c>
      <c r="D6567" s="39">
        <f t="shared" si="552"/>
        <v>519</v>
      </c>
      <c r="E6567" s="1"/>
      <c r="F6567" s="522">
        <f t="shared" si="550"/>
        <v>9</v>
      </c>
      <c r="G6567" s="395"/>
      <c r="H6567" s="395"/>
      <c r="J6567" s="42"/>
    </row>
    <row r="6568" spans="1:10" s="393" customFormat="1" ht="15.75" thickBot="1" x14ac:dyDescent="0.3">
      <c r="A6568" s="394" t="s">
        <v>19</v>
      </c>
      <c r="B6568" s="271">
        <v>44166</v>
      </c>
      <c r="C6568" s="1">
        <v>344</v>
      </c>
      <c r="D6568" s="39">
        <f t="shared" si="552"/>
        <v>32412</v>
      </c>
      <c r="E6568" s="1"/>
      <c r="F6568" s="522">
        <f t="shared" si="550"/>
        <v>619</v>
      </c>
      <c r="G6568" s="395"/>
      <c r="H6568" s="395"/>
      <c r="J6568" s="42"/>
    </row>
    <row r="6569" spans="1:10" s="393" customFormat="1" ht="15.75" thickBot="1" x14ac:dyDescent="0.3">
      <c r="A6569" s="394" t="s">
        <v>18</v>
      </c>
      <c r="B6569" s="271">
        <v>44166</v>
      </c>
      <c r="C6569" s="1">
        <v>244</v>
      </c>
      <c r="D6569" s="39">
        <f t="shared" si="552"/>
        <v>31949</v>
      </c>
      <c r="E6569" s="1">
        <v>11</v>
      </c>
      <c r="F6569" s="522">
        <f t="shared" si="550"/>
        <v>791</v>
      </c>
      <c r="G6569" s="395"/>
      <c r="H6569" s="395"/>
      <c r="J6569" s="42"/>
    </row>
    <row r="6570" spans="1:10" s="393" customFormat="1" ht="15.75" thickBot="1" x14ac:dyDescent="0.3">
      <c r="A6570" s="394" t="s">
        <v>34</v>
      </c>
      <c r="B6570" s="271">
        <v>44166</v>
      </c>
      <c r="C6570" s="1">
        <v>43</v>
      </c>
      <c r="D6570" s="39">
        <f t="shared" si="552"/>
        <v>21202</v>
      </c>
      <c r="E6570" s="1">
        <v>3</v>
      </c>
      <c r="F6570" s="522">
        <f t="shared" si="550"/>
        <v>983</v>
      </c>
      <c r="G6570" s="395"/>
      <c r="H6570" s="395"/>
      <c r="J6570" s="42"/>
    </row>
    <row r="6571" spans="1:10" s="393" customFormat="1" ht="15.75" thickBot="1" x14ac:dyDescent="0.3">
      <c r="A6571" s="394" t="s">
        <v>35</v>
      </c>
      <c r="B6571" s="271">
        <v>44166</v>
      </c>
      <c r="C6571" s="1">
        <v>351</v>
      </c>
      <c r="D6571" s="39">
        <f t="shared" si="552"/>
        <v>7817</v>
      </c>
      <c r="E6571" s="1">
        <v>2</v>
      </c>
      <c r="F6571" s="522">
        <f t="shared" ref="F6571:F6625" si="553">E6571+F6547</f>
        <v>173</v>
      </c>
      <c r="G6571" s="395"/>
      <c r="H6571" s="395"/>
      <c r="J6571" s="42"/>
    </row>
    <row r="6572" spans="1:10" s="393" customFormat="1" ht="15.75" thickBot="1" x14ac:dyDescent="0.3">
      <c r="A6572" s="394" t="s">
        <v>36</v>
      </c>
      <c r="B6572" s="271">
        <v>44166</v>
      </c>
      <c r="C6572" s="1">
        <v>253</v>
      </c>
      <c r="D6572" s="39">
        <f t="shared" si="552"/>
        <v>14708</v>
      </c>
      <c r="E6572" s="1">
        <v>3</v>
      </c>
      <c r="F6572" s="522">
        <f t="shared" si="553"/>
        <v>215</v>
      </c>
      <c r="G6572" s="395"/>
      <c r="H6572" s="395"/>
      <c r="J6572" s="42"/>
    </row>
    <row r="6573" spans="1:10" s="393" customFormat="1" ht="15.75" thickBot="1" x14ac:dyDescent="0.3">
      <c r="A6573" s="394" t="s">
        <v>37</v>
      </c>
      <c r="B6573" s="271">
        <v>44166</v>
      </c>
      <c r="C6573" s="1">
        <v>315</v>
      </c>
      <c r="D6573" s="39">
        <f t="shared" si="552"/>
        <v>16241</v>
      </c>
      <c r="E6573" s="1">
        <v>6</v>
      </c>
      <c r="F6573" s="522">
        <f t="shared" si="553"/>
        <v>280</v>
      </c>
      <c r="G6573" s="395"/>
      <c r="H6573" s="395"/>
      <c r="J6573" s="42"/>
    </row>
    <row r="6574" spans="1:10" s="393" customFormat="1" ht="15.75" thickBot="1" x14ac:dyDescent="0.3">
      <c r="A6574" s="394" t="s">
        <v>22</v>
      </c>
      <c r="B6574" s="271">
        <v>44166</v>
      </c>
      <c r="C6574" s="1">
        <v>1355</v>
      </c>
      <c r="D6574" s="39">
        <f t="shared" si="552"/>
        <v>148975</v>
      </c>
      <c r="E6574" s="1">
        <v>9</v>
      </c>
      <c r="F6574" s="522">
        <f t="shared" si="553"/>
        <v>2288</v>
      </c>
      <c r="G6574" s="395"/>
      <c r="H6574" s="395"/>
      <c r="J6574" s="42"/>
    </row>
    <row r="6575" spans="1:10" s="393" customFormat="1" ht="15.75" thickBot="1" x14ac:dyDescent="0.3">
      <c r="A6575" s="394" t="s">
        <v>38</v>
      </c>
      <c r="B6575" s="271">
        <v>44166</v>
      </c>
      <c r="C6575" s="1">
        <v>71</v>
      </c>
      <c r="D6575" s="39">
        <f t="shared" si="552"/>
        <v>15714</v>
      </c>
      <c r="E6575" s="1">
        <v>1</v>
      </c>
      <c r="F6575" s="522">
        <f t="shared" si="553"/>
        <v>190</v>
      </c>
      <c r="G6575" s="395"/>
      <c r="H6575" s="395"/>
      <c r="J6575" s="42"/>
    </row>
    <row r="6576" spans="1:10" s="393" customFormat="1" ht="15.75" thickBot="1" x14ac:dyDescent="0.3">
      <c r="A6576" s="394" t="s">
        <v>39</v>
      </c>
      <c r="B6576" s="271">
        <v>44166</v>
      </c>
      <c r="C6576" s="1">
        <v>79</v>
      </c>
      <c r="D6576" s="39">
        <f t="shared" si="552"/>
        <v>16260</v>
      </c>
      <c r="E6576" s="1">
        <v>2</v>
      </c>
      <c r="F6576" s="522">
        <f t="shared" si="553"/>
        <v>235</v>
      </c>
      <c r="G6576" s="395"/>
      <c r="H6576" s="395"/>
      <c r="J6576" s="42"/>
    </row>
    <row r="6577" spans="1:10" s="393" customFormat="1" ht="15.75" thickBot="1" x14ac:dyDescent="0.3">
      <c r="A6577" s="394" t="s">
        <v>40</v>
      </c>
      <c r="B6577" s="271">
        <v>44166</v>
      </c>
      <c r="C6577" s="1">
        <v>302</v>
      </c>
      <c r="D6577" s="177">
        <f>C6577+D6553</f>
        <v>66235</v>
      </c>
      <c r="E6577" s="1">
        <v>26</v>
      </c>
      <c r="F6577" s="631">
        <f t="shared" si="553"/>
        <v>1210</v>
      </c>
      <c r="G6577" s="395"/>
      <c r="H6577" s="395"/>
      <c r="J6577" s="42"/>
    </row>
    <row r="6578" spans="1:10" s="393" customFormat="1" ht="15.75" thickBot="1" x14ac:dyDescent="0.3">
      <c r="A6578" s="394" t="s">
        <v>16</v>
      </c>
      <c r="B6578" s="271">
        <v>44167</v>
      </c>
      <c r="C6578" s="1">
        <v>1924</v>
      </c>
      <c r="D6578" s="175">
        <f t="shared" si="552"/>
        <v>622778</v>
      </c>
      <c r="E6578" s="1">
        <v>82</v>
      </c>
      <c r="F6578" s="630">
        <f t="shared" si="553"/>
        <v>20840</v>
      </c>
      <c r="G6578" s="395"/>
      <c r="H6578" s="395"/>
      <c r="J6578" s="42"/>
    </row>
    <row r="6579" spans="1:10" s="393" customFormat="1" ht="15.75" thickBot="1" x14ac:dyDescent="0.3">
      <c r="A6579" s="394" t="s">
        <v>43</v>
      </c>
      <c r="B6579" s="271">
        <v>44167</v>
      </c>
      <c r="C6579" s="1">
        <v>306</v>
      </c>
      <c r="D6579" s="39">
        <f t="shared" si="552"/>
        <v>159509</v>
      </c>
      <c r="E6579" s="1">
        <v>12</v>
      </c>
      <c r="F6579" s="522">
        <f t="shared" si="553"/>
        <v>5272</v>
      </c>
      <c r="G6579" s="395"/>
      <c r="H6579" s="395"/>
      <c r="J6579" s="42"/>
    </row>
    <row r="6580" spans="1:10" s="393" customFormat="1" ht="15.75" thickBot="1" x14ac:dyDescent="0.3">
      <c r="A6580" s="394" t="s">
        <v>28</v>
      </c>
      <c r="B6580" s="271">
        <v>44167</v>
      </c>
      <c r="C6580" s="1">
        <v>8</v>
      </c>
      <c r="D6580" s="39">
        <f t="shared" si="552"/>
        <v>1891</v>
      </c>
      <c r="E6580" s="1">
        <v>1</v>
      </c>
      <c r="F6580" s="522">
        <f t="shared" si="553"/>
        <v>16</v>
      </c>
      <c r="G6580" s="395"/>
      <c r="H6580" s="395"/>
      <c r="J6580" s="42"/>
    </row>
    <row r="6581" spans="1:10" s="393" customFormat="1" ht="15.75" thickBot="1" x14ac:dyDescent="0.3">
      <c r="A6581" s="394" t="s">
        <v>15</v>
      </c>
      <c r="B6581" s="271">
        <v>44167</v>
      </c>
      <c r="C6581" s="1">
        <v>198</v>
      </c>
      <c r="D6581" s="39">
        <f t="shared" si="552"/>
        <v>19793</v>
      </c>
      <c r="E6581" s="1">
        <v>6</v>
      </c>
      <c r="F6581" s="522">
        <f t="shared" si="553"/>
        <v>572</v>
      </c>
      <c r="G6581" s="395"/>
      <c r="H6581" s="395"/>
      <c r="J6581" s="42"/>
    </row>
    <row r="6582" spans="1:10" s="393" customFormat="1" ht="15.75" thickBot="1" x14ac:dyDescent="0.3">
      <c r="A6582" s="394" t="s">
        <v>29</v>
      </c>
      <c r="B6582" s="271">
        <v>44167</v>
      </c>
      <c r="C6582" s="1">
        <v>256</v>
      </c>
      <c r="D6582" s="39">
        <f t="shared" si="552"/>
        <v>23545</v>
      </c>
      <c r="E6582" s="1">
        <v>8</v>
      </c>
      <c r="F6582" s="522">
        <f t="shared" si="553"/>
        <v>389</v>
      </c>
      <c r="G6582" s="395"/>
      <c r="H6582" s="395"/>
      <c r="J6582" s="42"/>
    </row>
    <row r="6583" spans="1:10" s="393" customFormat="1" ht="15.75" thickBot="1" x14ac:dyDescent="0.3">
      <c r="A6583" s="394" t="s">
        <v>20</v>
      </c>
      <c r="B6583" s="271">
        <v>44167</v>
      </c>
      <c r="C6583" s="1">
        <v>790</v>
      </c>
      <c r="D6583" s="39">
        <f t="shared" si="552"/>
        <v>115712</v>
      </c>
      <c r="E6583" s="1">
        <v>22</v>
      </c>
      <c r="F6583" s="522">
        <f t="shared" si="553"/>
        <v>2030</v>
      </c>
      <c r="G6583" s="395"/>
      <c r="H6583" s="395"/>
      <c r="J6583" s="42"/>
    </row>
    <row r="6584" spans="1:10" s="393" customFormat="1" ht="15.75" thickBot="1" x14ac:dyDescent="0.3">
      <c r="A6584" s="394" t="s">
        <v>30</v>
      </c>
      <c r="B6584" s="271">
        <v>44167</v>
      </c>
      <c r="C6584" s="1">
        <v>211</v>
      </c>
      <c r="D6584" s="39">
        <f t="shared" si="552"/>
        <v>7502</v>
      </c>
      <c r="E6584" s="1"/>
      <c r="F6584" s="522">
        <f t="shared" si="553"/>
        <v>88</v>
      </c>
      <c r="G6584" s="395"/>
      <c r="H6584" s="395"/>
      <c r="J6584" s="42"/>
    </row>
    <row r="6585" spans="1:10" ht="15.75" thickBot="1" x14ac:dyDescent="0.3">
      <c r="A6585" s="394" t="s">
        <v>31</v>
      </c>
      <c r="B6585" s="271">
        <v>44167</v>
      </c>
      <c r="C6585" s="1">
        <v>296</v>
      </c>
      <c r="D6585" s="39">
        <f t="shared" si="552"/>
        <v>23800</v>
      </c>
      <c r="E6585" s="1">
        <v>4</v>
      </c>
      <c r="F6585" s="522">
        <f t="shared" si="553"/>
        <v>475</v>
      </c>
    </row>
    <row r="6586" spans="1:10" s="393" customFormat="1" ht="15.75" thickBot="1" x14ac:dyDescent="0.3">
      <c r="A6586" s="394" t="s">
        <v>41</v>
      </c>
      <c r="B6586" s="271">
        <v>44167</v>
      </c>
      <c r="C6586" s="1">
        <v>4</v>
      </c>
      <c r="D6586" s="39">
        <f t="shared" si="552"/>
        <v>187</v>
      </c>
      <c r="E6586" s="1"/>
      <c r="F6586" s="522">
        <f t="shared" si="553"/>
        <v>3</v>
      </c>
      <c r="G6586" s="395"/>
      <c r="H6586" s="395"/>
      <c r="J6586" s="42"/>
    </row>
    <row r="6587" spans="1:10" s="393" customFormat="1" ht="15.75" thickBot="1" x14ac:dyDescent="0.3">
      <c r="A6587" s="394" t="s">
        <v>32</v>
      </c>
      <c r="B6587" s="271">
        <v>44167</v>
      </c>
      <c r="C6587" s="1">
        <v>6</v>
      </c>
      <c r="D6587" s="39">
        <f t="shared" si="552"/>
        <v>18403</v>
      </c>
      <c r="E6587" s="1"/>
      <c r="F6587" s="522">
        <f t="shared" si="553"/>
        <v>850</v>
      </c>
      <c r="G6587" s="395"/>
      <c r="H6587" s="395"/>
      <c r="J6587" s="42"/>
    </row>
    <row r="6588" spans="1:10" s="393" customFormat="1" ht="15.75" thickBot="1" x14ac:dyDescent="0.3">
      <c r="A6588" s="394" t="s">
        <v>33</v>
      </c>
      <c r="B6588" s="271">
        <v>44167</v>
      </c>
      <c r="C6588" s="1">
        <v>104</v>
      </c>
      <c r="D6588" s="39">
        <f t="shared" si="552"/>
        <v>5977</v>
      </c>
      <c r="E6588" s="1"/>
      <c r="F6588" s="522">
        <f t="shared" si="553"/>
        <v>85</v>
      </c>
      <c r="G6588" s="395"/>
      <c r="H6588" s="395"/>
      <c r="J6588" s="42"/>
    </row>
    <row r="6589" spans="1:10" s="393" customFormat="1" ht="15.75" thickBot="1" x14ac:dyDescent="0.3">
      <c r="A6589" s="394" t="s">
        <v>21</v>
      </c>
      <c r="B6589" s="271">
        <v>44167</v>
      </c>
      <c r="C6589" s="1">
        <v>33</v>
      </c>
      <c r="D6589" s="39">
        <f t="shared" si="552"/>
        <v>8768</v>
      </c>
      <c r="E6589" s="1">
        <v>1</v>
      </c>
      <c r="F6589" s="522">
        <f t="shared" si="553"/>
        <v>317</v>
      </c>
      <c r="G6589" s="395"/>
      <c r="H6589" s="395"/>
      <c r="J6589" s="42"/>
    </row>
    <row r="6590" spans="1:10" s="393" customFormat="1" ht="15.75" thickBot="1" x14ac:dyDescent="0.3">
      <c r="A6590" s="394" t="s">
        <v>17</v>
      </c>
      <c r="B6590" s="271">
        <v>44167</v>
      </c>
      <c r="C6590" s="1">
        <v>214</v>
      </c>
      <c r="D6590" s="39">
        <f t="shared" si="552"/>
        <v>57023</v>
      </c>
      <c r="E6590" s="1">
        <v>2</v>
      </c>
      <c r="F6590" s="522">
        <f t="shared" si="553"/>
        <v>1112</v>
      </c>
      <c r="G6590" s="395"/>
      <c r="H6590" s="395"/>
      <c r="J6590" s="42"/>
    </row>
    <row r="6591" spans="1:10" s="393" customFormat="1" ht="15.75" thickBot="1" x14ac:dyDescent="0.3">
      <c r="A6591" s="394" t="s">
        <v>23</v>
      </c>
      <c r="B6591" s="271">
        <v>44167</v>
      </c>
      <c r="C6591" s="1">
        <v>14</v>
      </c>
      <c r="D6591" s="39">
        <f t="shared" si="552"/>
        <v>533</v>
      </c>
      <c r="E6591" s="1"/>
      <c r="F6591" s="522">
        <f t="shared" si="553"/>
        <v>9</v>
      </c>
      <c r="G6591" s="395"/>
      <c r="H6591" s="395"/>
      <c r="J6591" s="42"/>
    </row>
    <row r="6592" spans="1:10" s="393" customFormat="1" ht="15.75" thickBot="1" x14ac:dyDescent="0.3">
      <c r="A6592" s="394" t="s">
        <v>19</v>
      </c>
      <c r="B6592" s="271">
        <v>44167</v>
      </c>
      <c r="C6592" s="1">
        <v>389</v>
      </c>
      <c r="D6592" s="39">
        <f t="shared" si="552"/>
        <v>32801</v>
      </c>
      <c r="E6592" s="1">
        <v>23</v>
      </c>
      <c r="F6592" s="522">
        <f t="shared" si="553"/>
        <v>642</v>
      </c>
      <c r="G6592" s="395"/>
      <c r="H6592" s="395"/>
      <c r="J6592" s="42"/>
    </row>
    <row r="6593" spans="1:10" s="393" customFormat="1" ht="15.75" thickBot="1" x14ac:dyDescent="0.3">
      <c r="A6593" s="394" t="s">
        <v>18</v>
      </c>
      <c r="B6593" s="271">
        <v>44167</v>
      </c>
      <c r="C6593" s="1">
        <v>258</v>
      </c>
      <c r="D6593" s="39">
        <f t="shared" si="552"/>
        <v>32207</v>
      </c>
      <c r="E6593" s="1">
        <v>3</v>
      </c>
      <c r="F6593" s="522">
        <f t="shared" si="553"/>
        <v>794</v>
      </c>
      <c r="G6593" s="395"/>
      <c r="H6593" s="395"/>
      <c r="J6593" s="42"/>
    </row>
    <row r="6594" spans="1:10" s="393" customFormat="1" ht="15.75" thickBot="1" x14ac:dyDescent="0.3">
      <c r="A6594" s="394" t="s">
        <v>34</v>
      </c>
      <c r="B6594" s="271">
        <v>44167</v>
      </c>
      <c r="C6594" s="1">
        <v>49</v>
      </c>
      <c r="D6594" s="39">
        <f t="shared" si="552"/>
        <v>21251</v>
      </c>
      <c r="E6594" s="1">
        <v>1</v>
      </c>
      <c r="F6594" s="522">
        <f t="shared" si="553"/>
        <v>984</v>
      </c>
      <c r="G6594" s="395"/>
      <c r="H6594" s="395"/>
      <c r="J6594" s="42"/>
    </row>
    <row r="6595" spans="1:10" s="393" customFormat="1" ht="15.75" thickBot="1" x14ac:dyDescent="0.3">
      <c r="A6595" s="394" t="s">
        <v>35</v>
      </c>
      <c r="B6595" s="271">
        <v>44167</v>
      </c>
      <c r="C6595" s="1">
        <v>250</v>
      </c>
      <c r="D6595" s="39">
        <f t="shared" si="552"/>
        <v>8067</v>
      </c>
      <c r="E6595" s="1"/>
      <c r="F6595" s="522">
        <f t="shared" si="553"/>
        <v>173</v>
      </c>
      <c r="G6595" s="395"/>
      <c r="H6595" s="395"/>
      <c r="J6595" s="42"/>
    </row>
    <row r="6596" spans="1:10" s="393" customFormat="1" ht="15.75" thickBot="1" x14ac:dyDescent="0.3">
      <c r="A6596" s="394" t="s">
        <v>36</v>
      </c>
      <c r="B6596" s="271">
        <v>44167</v>
      </c>
      <c r="C6596" s="1">
        <v>101</v>
      </c>
      <c r="D6596" s="39">
        <f t="shared" si="552"/>
        <v>14809</v>
      </c>
      <c r="E6596" s="1">
        <v>5</v>
      </c>
      <c r="F6596" s="522">
        <f t="shared" si="553"/>
        <v>220</v>
      </c>
      <c r="G6596" s="395"/>
      <c r="H6596" s="395"/>
      <c r="J6596" s="42"/>
    </row>
    <row r="6597" spans="1:10" s="393" customFormat="1" ht="15.75" thickBot="1" x14ac:dyDescent="0.3">
      <c r="A6597" s="394" t="s">
        <v>37</v>
      </c>
      <c r="B6597" s="271">
        <v>44167</v>
      </c>
      <c r="C6597" s="1">
        <v>237</v>
      </c>
      <c r="D6597" s="39">
        <f t="shared" si="552"/>
        <v>16478</v>
      </c>
      <c r="E6597" s="1">
        <v>4</v>
      </c>
      <c r="F6597" s="522">
        <f t="shared" si="553"/>
        <v>284</v>
      </c>
      <c r="G6597" s="395"/>
      <c r="H6597" s="395"/>
      <c r="J6597" s="42"/>
    </row>
    <row r="6598" spans="1:10" s="393" customFormat="1" ht="15.75" thickBot="1" x14ac:dyDescent="0.3">
      <c r="A6598" s="394" t="s">
        <v>22</v>
      </c>
      <c r="B6598" s="271">
        <v>44167</v>
      </c>
      <c r="C6598" s="1">
        <v>1377</v>
      </c>
      <c r="D6598" s="39">
        <f t="shared" si="552"/>
        <v>150352</v>
      </c>
      <c r="E6598" s="1">
        <v>41</v>
      </c>
      <c r="F6598" s="522">
        <f t="shared" si="553"/>
        <v>2329</v>
      </c>
      <c r="G6598" s="395"/>
      <c r="H6598" s="395"/>
      <c r="J6598" s="42"/>
    </row>
    <row r="6599" spans="1:10" s="393" customFormat="1" ht="15.75" thickBot="1" x14ac:dyDescent="0.3">
      <c r="A6599" s="394" t="s">
        <v>38</v>
      </c>
      <c r="B6599" s="271">
        <v>44167</v>
      </c>
      <c r="C6599" s="1">
        <v>129</v>
      </c>
      <c r="D6599" s="39">
        <f t="shared" si="552"/>
        <v>15843</v>
      </c>
      <c r="E6599" s="1">
        <v>1</v>
      </c>
      <c r="F6599" s="522">
        <f t="shared" si="553"/>
        <v>191</v>
      </c>
      <c r="G6599" s="395"/>
      <c r="H6599" s="395"/>
      <c r="J6599" s="42"/>
    </row>
    <row r="6600" spans="1:10" s="393" customFormat="1" ht="15.75" thickBot="1" x14ac:dyDescent="0.3">
      <c r="A6600" s="394" t="s">
        <v>39</v>
      </c>
      <c r="B6600" s="271">
        <v>44167</v>
      </c>
      <c r="C6600" s="1">
        <v>128</v>
      </c>
      <c r="D6600" s="39">
        <f t="shared" si="552"/>
        <v>16388</v>
      </c>
      <c r="E6600" s="1"/>
      <c r="F6600" s="522">
        <f t="shared" si="553"/>
        <v>235</v>
      </c>
      <c r="G6600" s="395"/>
      <c r="H6600" s="395"/>
      <c r="J6600" s="42"/>
    </row>
    <row r="6601" spans="1:10" s="393" customFormat="1" ht="15.75" thickBot="1" x14ac:dyDescent="0.3">
      <c r="A6601" s="392" t="s">
        <v>40</v>
      </c>
      <c r="B6601" s="270">
        <v>44167</v>
      </c>
      <c r="C6601" s="234">
        <v>251</v>
      </c>
      <c r="D6601" s="67">
        <f>C6601+D6577</f>
        <v>66486</v>
      </c>
      <c r="E6601" s="234">
        <v>12</v>
      </c>
      <c r="F6601" s="632">
        <f t="shared" si="553"/>
        <v>1222</v>
      </c>
      <c r="G6601" s="395"/>
      <c r="H6601" s="395"/>
      <c r="J6601" s="42"/>
    </row>
    <row r="6602" spans="1:10" s="393" customFormat="1" x14ac:dyDescent="0.25">
      <c r="A6602" s="397" t="s">
        <v>16</v>
      </c>
      <c r="B6602" s="267">
        <v>44168</v>
      </c>
      <c r="C6602" s="43">
        <v>1816</v>
      </c>
      <c r="D6602" s="175">
        <f t="shared" si="552"/>
        <v>624594</v>
      </c>
      <c r="E6602" s="43">
        <v>39</v>
      </c>
      <c r="F6602" s="630">
        <f t="shared" si="553"/>
        <v>20879</v>
      </c>
      <c r="G6602" s="395"/>
      <c r="H6602" s="395"/>
      <c r="J6602" s="42"/>
    </row>
    <row r="6603" spans="1:10" s="393" customFormat="1" x14ac:dyDescent="0.25">
      <c r="A6603" s="402" t="s">
        <v>43</v>
      </c>
      <c r="B6603" s="2">
        <v>44168</v>
      </c>
      <c r="C6603" s="1">
        <v>372</v>
      </c>
      <c r="D6603" s="39">
        <f t="shared" si="552"/>
        <v>159881</v>
      </c>
      <c r="E6603" s="1">
        <v>5</v>
      </c>
      <c r="F6603" s="522">
        <f t="shared" si="553"/>
        <v>5277</v>
      </c>
      <c r="G6603" s="395"/>
      <c r="H6603" s="395"/>
      <c r="J6603" s="42"/>
    </row>
    <row r="6604" spans="1:10" s="393" customFormat="1" x14ac:dyDescent="0.25">
      <c r="A6604" s="402" t="s">
        <v>28</v>
      </c>
      <c r="B6604" s="2">
        <v>44168</v>
      </c>
      <c r="C6604" s="1">
        <v>17</v>
      </c>
      <c r="D6604" s="39">
        <f t="shared" si="552"/>
        <v>1908</v>
      </c>
      <c r="E6604" s="1">
        <v>1</v>
      </c>
      <c r="F6604" s="522">
        <f t="shared" si="553"/>
        <v>17</v>
      </c>
      <c r="G6604" s="395"/>
      <c r="H6604" s="395"/>
      <c r="J6604" s="42"/>
    </row>
    <row r="6605" spans="1:10" s="393" customFormat="1" x14ac:dyDescent="0.25">
      <c r="A6605" s="402" t="s">
        <v>15</v>
      </c>
      <c r="B6605" s="2">
        <v>44168</v>
      </c>
      <c r="C6605" s="1">
        <v>335</v>
      </c>
      <c r="D6605" s="39">
        <f t="shared" si="552"/>
        <v>20128</v>
      </c>
      <c r="E6605" s="1">
        <v>4</v>
      </c>
      <c r="F6605" s="522">
        <f t="shared" si="553"/>
        <v>576</v>
      </c>
      <c r="G6605" s="395"/>
      <c r="H6605" s="395"/>
      <c r="J6605" s="42"/>
    </row>
    <row r="6606" spans="1:10" s="393" customFormat="1" x14ac:dyDescent="0.25">
      <c r="A6606" s="402" t="s">
        <v>29</v>
      </c>
      <c r="B6606" s="2">
        <v>44168</v>
      </c>
      <c r="C6606" s="1">
        <v>316</v>
      </c>
      <c r="D6606" s="39">
        <f t="shared" si="552"/>
        <v>23861</v>
      </c>
      <c r="E6606" s="1">
        <v>9</v>
      </c>
      <c r="F6606" s="522">
        <f t="shared" si="553"/>
        <v>398</v>
      </c>
      <c r="G6606" s="395"/>
      <c r="H6606" s="395"/>
      <c r="J6606" s="42"/>
    </row>
    <row r="6607" spans="1:10" s="393" customFormat="1" x14ac:dyDescent="0.25">
      <c r="A6607" s="402" t="s">
        <v>20</v>
      </c>
      <c r="B6607" s="2">
        <v>44168</v>
      </c>
      <c r="C6607" s="1">
        <v>532</v>
      </c>
      <c r="D6607" s="39">
        <f t="shared" si="552"/>
        <v>116244</v>
      </c>
      <c r="E6607" s="1">
        <v>8</v>
      </c>
      <c r="F6607" s="522">
        <f t="shared" si="553"/>
        <v>2038</v>
      </c>
      <c r="G6607" s="395"/>
      <c r="H6607" s="395"/>
      <c r="J6607" s="42"/>
    </row>
    <row r="6608" spans="1:10" s="393" customFormat="1" x14ac:dyDescent="0.25">
      <c r="A6608" s="402" t="s">
        <v>30</v>
      </c>
      <c r="B6608" s="2">
        <v>44168</v>
      </c>
      <c r="C6608" s="1">
        <v>374</v>
      </c>
      <c r="D6608" s="39">
        <f t="shared" si="552"/>
        <v>7876</v>
      </c>
      <c r="E6608" s="1"/>
      <c r="F6608" s="522">
        <f t="shared" si="553"/>
        <v>88</v>
      </c>
      <c r="G6608" s="395"/>
      <c r="H6608" s="395"/>
      <c r="J6608" s="42"/>
    </row>
    <row r="6609" spans="1:10" x14ac:dyDescent="0.25">
      <c r="A6609" s="402" t="s">
        <v>31</v>
      </c>
      <c r="B6609" s="2">
        <v>44168</v>
      </c>
      <c r="C6609" s="1">
        <v>184</v>
      </c>
      <c r="D6609" s="39">
        <f t="shared" si="552"/>
        <v>23984</v>
      </c>
      <c r="E6609" s="1">
        <v>3</v>
      </c>
      <c r="F6609" s="522">
        <f t="shared" si="553"/>
        <v>478</v>
      </c>
    </row>
    <row r="6610" spans="1:10" s="393" customFormat="1" x14ac:dyDescent="0.25">
      <c r="A6610" s="402" t="s">
        <v>41</v>
      </c>
      <c r="B6610" s="2">
        <v>44168</v>
      </c>
      <c r="C6610" s="1">
        <v>2</v>
      </c>
      <c r="D6610" s="39">
        <f t="shared" si="552"/>
        <v>189</v>
      </c>
      <c r="E6610" s="1"/>
      <c r="F6610" s="522">
        <f t="shared" si="553"/>
        <v>3</v>
      </c>
      <c r="G6610" s="395"/>
      <c r="H6610" s="395"/>
      <c r="J6610" s="42"/>
    </row>
    <row r="6611" spans="1:10" s="393" customFormat="1" x14ac:dyDescent="0.25">
      <c r="A6611" s="402" t="s">
        <v>32</v>
      </c>
      <c r="B6611" s="2">
        <v>44168</v>
      </c>
      <c r="C6611" s="1">
        <v>7</v>
      </c>
      <c r="D6611" s="39">
        <f t="shared" si="552"/>
        <v>18410</v>
      </c>
      <c r="E6611" s="1"/>
      <c r="F6611" s="522">
        <f t="shared" si="553"/>
        <v>850</v>
      </c>
      <c r="G6611" s="395"/>
      <c r="H6611" s="395"/>
      <c r="J6611" s="42"/>
    </row>
    <row r="6612" spans="1:10" s="393" customFormat="1" x14ac:dyDescent="0.25">
      <c r="A6612" s="402" t="s">
        <v>33</v>
      </c>
      <c r="B6612" s="2">
        <v>44168</v>
      </c>
      <c r="C6612" s="1">
        <v>97</v>
      </c>
      <c r="D6612" s="39">
        <f t="shared" si="552"/>
        <v>6074</v>
      </c>
      <c r="E6612" s="1">
        <v>2</v>
      </c>
      <c r="F6612" s="522">
        <f t="shared" si="553"/>
        <v>87</v>
      </c>
      <c r="G6612" s="395"/>
      <c r="H6612" s="395"/>
      <c r="J6612" s="42"/>
    </row>
    <row r="6613" spans="1:10" s="393" customFormat="1" x14ac:dyDescent="0.25">
      <c r="A6613" s="402" t="s">
        <v>21</v>
      </c>
      <c r="B6613" s="2">
        <v>44168</v>
      </c>
      <c r="C6613" s="1">
        <v>32</v>
      </c>
      <c r="D6613" s="39">
        <f t="shared" si="552"/>
        <v>8800</v>
      </c>
      <c r="E6613" s="1">
        <v>3</v>
      </c>
      <c r="F6613" s="522">
        <f t="shared" si="553"/>
        <v>320</v>
      </c>
      <c r="G6613" s="395"/>
      <c r="H6613" s="395"/>
      <c r="J6613" s="42"/>
    </row>
    <row r="6614" spans="1:10" s="393" customFormat="1" x14ac:dyDescent="0.25">
      <c r="A6614" s="402" t="s">
        <v>17</v>
      </c>
      <c r="B6614" s="2">
        <v>44168</v>
      </c>
      <c r="C6614" s="1">
        <v>242</v>
      </c>
      <c r="D6614" s="39">
        <f t="shared" si="552"/>
        <v>57265</v>
      </c>
      <c r="E6614" s="1">
        <v>8</v>
      </c>
      <c r="F6614" s="522">
        <f t="shared" si="553"/>
        <v>1120</v>
      </c>
      <c r="G6614" s="395"/>
      <c r="H6614" s="395"/>
      <c r="J6614" s="42"/>
    </row>
    <row r="6615" spans="1:10" s="393" customFormat="1" x14ac:dyDescent="0.25">
      <c r="A6615" s="402" t="s">
        <v>23</v>
      </c>
      <c r="B6615" s="2">
        <v>44168</v>
      </c>
      <c r="C6615" s="1">
        <v>9</v>
      </c>
      <c r="D6615" s="39">
        <f t="shared" si="552"/>
        <v>542</v>
      </c>
      <c r="E6615" s="1"/>
      <c r="F6615" s="522">
        <f t="shared" si="553"/>
        <v>9</v>
      </c>
      <c r="G6615" s="395"/>
      <c r="H6615" s="395"/>
      <c r="J6615" s="42"/>
    </row>
    <row r="6616" spans="1:10" s="393" customFormat="1" x14ac:dyDescent="0.25">
      <c r="A6616" s="402" t="s">
        <v>19</v>
      </c>
      <c r="B6616" s="2">
        <v>44168</v>
      </c>
      <c r="C6616" s="1">
        <v>554</v>
      </c>
      <c r="D6616" s="39">
        <f t="shared" si="552"/>
        <v>33355</v>
      </c>
      <c r="E6616" s="1"/>
      <c r="F6616" s="522">
        <f t="shared" si="553"/>
        <v>642</v>
      </c>
      <c r="G6616" s="395"/>
      <c r="H6616" s="395"/>
      <c r="J6616" s="42"/>
    </row>
    <row r="6617" spans="1:10" s="393" customFormat="1" x14ac:dyDescent="0.25">
      <c r="A6617" s="402" t="s">
        <v>18</v>
      </c>
      <c r="B6617" s="2">
        <v>44168</v>
      </c>
      <c r="C6617" s="1">
        <v>209</v>
      </c>
      <c r="D6617" s="39">
        <f t="shared" si="552"/>
        <v>32416</v>
      </c>
      <c r="E6617" s="1">
        <v>2</v>
      </c>
      <c r="F6617" s="522">
        <f t="shared" si="553"/>
        <v>796</v>
      </c>
      <c r="G6617" s="395"/>
      <c r="H6617" s="395"/>
      <c r="J6617" s="42"/>
    </row>
    <row r="6618" spans="1:10" s="393" customFormat="1" x14ac:dyDescent="0.25">
      <c r="A6618" s="402" t="s">
        <v>34</v>
      </c>
      <c r="B6618" s="2">
        <v>44168</v>
      </c>
      <c r="C6618" s="1">
        <v>81</v>
      </c>
      <c r="D6618" s="39">
        <f t="shared" ref="D6618:D6624" si="554">C6618+D6594</f>
        <v>21332</v>
      </c>
      <c r="E6618" s="1">
        <v>2</v>
      </c>
      <c r="F6618" s="522">
        <f t="shared" si="553"/>
        <v>986</v>
      </c>
      <c r="G6618" s="395"/>
      <c r="H6618" s="395"/>
      <c r="J6618" s="42"/>
    </row>
    <row r="6619" spans="1:10" s="393" customFormat="1" x14ac:dyDescent="0.25">
      <c r="A6619" s="402" t="s">
        <v>35</v>
      </c>
      <c r="B6619" s="2">
        <v>44168</v>
      </c>
      <c r="C6619" s="1">
        <v>168</v>
      </c>
      <c r="D6619" s="39">
        <f t="shared" si="554"/>
        <v>8235</v>
      </c>
      <c r="E6619" s="1"/>
      <c r="F6619" s="522">
        <f t="shared" si="553"/>
        <v>173</v>
      </c>
      <c r="G6619" s="395"/>
      <c r="H6619" s="395"/>
      <c r="J6619" s="42"/>
    </row>
    <row r="6620" spans="1:10" s="393" customFormat="1" x14ac:dyDescent="0.25">
      <c r="A6620" s="402" t="s">
        <v>36</v>
      </c>
      <c r="B6620" s="2">
        <v>44168</v>
      </c>
      <c r="C6620" s="1">
        <v>149</v>
      </c>
      <c r="D6620" s="39">
        <f t="shared" si="554"/>
        <v>14958</v>
      </c>
      <c r="E6620" s="1">
        <v>8</v>
      </c>
      <c r="F6620" s="522">
        <f t="shared" si="553"/>
        <v>228</v>
      </c>
      <c r="G6620" s="395"/>
      <c r="H6620" s="395"/>
      <c r="J6620" s="42"/>
    </row>
    <row r="6621" spans="1:10" s="393" customFormat="1" x14ac:dyDescent="0.25">
      <c r="A6621" s="402" t="s">
        <v>37</v>
      </c>
      <c r="B6621" s="2">
        <v>44168</v>
      </c>
      <c r="C6621" s="1">
        <v>218</v>
      </c>
      <c r="D6621" s="39">
        <f t="shared" si="554"/>
        <v>16696</v>
      </c>
      <c r="E6621" s="1">
        <v>6</v>
      </c>
      <c r="F6621" s="522">
        <f t="shared" si="553"/>
        <v>290</v>
      </c>
      <c r="G6621" s="395"/>
      <c r="H6621" s="395"/>
      <c r="J6621" s="42"/>
    </row>
    <row r="6622" spans="1:10" s="393" customFormat="1" x14ac:dyDescent="0.25">
      <c r="A6622" s="402" t="s">
        <v>22</v>
      </c>
      <c r="B6622" s="2">
        <v>44168</v>
      </c>
      <c r="C6622" s="1">
        <v>1332</v>
      </c>
      <c r="D6622" s="39">
        <f t="shared" si="554"/>
        <v>151684</v>
      </c>
      <c r="E6622" s="1">
        <v>38</v>
      </c>
      <c r="F6622" s="522">
        <f t="shared" si="553"/>
        <v>2367</v>
      </c>
      <c r="G6622" s="395"/>
      <c r="H6622" s="395"/>
      <c r="J6622" s="42"/>
    </row>
    <row r="6623" spans="1:10" s="393" customFormat="1" x14ac:dyDescent="0.25">
      <c r="A6623" s="402" t="s">
        <v>38</v>
      </c>
      <c r="B6623" s="2">
        <v>44168</v>
      </c>
      <c r="C6623" s="1">
        <v>99</v>
      </c>
      <c r="D6623" s="39">
        <f t="shared" si="554"/>
        <v>15942</v>
      </c>
      <c r="E6623" s="1">
        <v>4</v>
      </c>
      <c r="F6623" s="522">
        <f t="shared" si="553"/>
        <v>195</v>
      </c>
      <c r="G6623" s="395"/>
      <c r="H6623" s="395"/>
      <c r="J6623" s="42"/>
    </row>
    <row r="6624" spans="1:10" s="393" customFormat="1" x14ac:dyDescent="0.25">
      <c r="A6624" s="402" t="s">
        <v>39</v>
      </c>
      <c r="B6624" s="2">
        <v>44168</v>
      </c>
      <c r="C6624" s="1">
        <v>93</v>
      </c>
      <c r="D6624" s="39">
        <f t="shared" si="554"/>
        <v>16481</v>
      </c>
      <c r="E6624" s="1">
        <v>1</v>
      </c>
      <c r="F6624" s="522">
        <f t="shared" si="553"/>
        <v>236</v>
      </c>
      <c r="G6624" s="395"/>
      <c r="H6624" s="395"/>
      <c r="J6624" s="42"/>
    </row>
    <row r="6625" spans="1:10" s="393" customFormat="1" ht="15.75" thickBot="1" x14ac:dyDescent="0.3">
      <c r="A6625" s="404" t="s">
        <v>40</v>
      </c>
      <c r="B6625" s="268">
        <v>44168</v>
      </c>
      <c r="C6625" s="44">
        <v>391</v>
      </c>
      <c r="D6625" s="177">
        <f t="shared" ref="D6625:D6656" si="555">C6625+D6601</f>
        <v>66877</v>
      </c>
      <c r="E6625" s="44">
        <v>6</v>
      </c>
      <c r="F6625" s="631">
        <f t="shared" si="553"/>
        <v>1228</v>
      </c>
      <c r="G6625" s="395"/>
      <c r="H6625" s="395"/>
      <c r="J6625" s="42"/>
    </row>
    <row r="6626" spans="1:10" s="393" customFormat="1" ht="15.75" thickBot="1" x14ac:dyDescent="0.3">
      <c r="A6626" s="397" t="s">
        <v>16</v>
      </c>
      <c r="B6626" s="268">
        <v>44169</v>
      </c>
      <c r="C6626" s="227">
        <v>1790</v>
      </c>
      <c r="D6626" s="175">
        <f t="shared" si="555"/>
        <v>626384</v>
      </c>
      <c r="E6626" s="227">
        <v>84</v>
      </c>
      <c r="F6626" s="630">
        <f t="shared" ref="F6626:F6657" si="556">E6626+F6602</f>
        <v>20963</v>
      </c>
      <c r="G6626" s="395"/>
      <c r="H6626" s="395"/>
      <c r="J6626" s="42"/>
    </row>
    <row r="6627" spans="1:10" s="393" customFormat="1" ht="15.75" thickBot="1" x14ac:dyDescent="0.3">
      <c r="A6627" s="402" t="s">
        <v>43</v>
      </c>
      <c r="B6627" s="268">
        <v>44169</v>
      </c>
      <c r="C6627" s="1">
        <v>313</v>
      </c>
      <c r="D6627" s="39">
        <f t="shared" si="555"/>
        <v>160194</v>
      </c>
      <c r="E6627" s="227">
        <v>6</v>
      </c>
      <c r="F6627" s="522">
        <f t="shared" si="556"/>
        <v>5283</v>
      </c>
      <c r="G6627" s="395"/>
      <c r="H6627" s="395"/>
      <c r="J6627" s="42"/>
    </row>
    <row r="6628" spans="1:10" s="393" customFormat="1" ht="15.75" thickBot="1" x14ac:dyDescent="0.3">
      <c r="A6628" s="402" t="s">
        <v>28</v>
      </c>
      <c r="B6628" s="268">
        <v>44169</v>
      </c>
      <c r="C6628" s="1">
        <v>33</v>
      </c>
      <c r="D6628" s="39">
        <f t="shared" si="555"/>
        <v>1941</v>
      </c>
      <c r="E6628" s="227"/>
      <c r="F6628" s="522">
        <f t="shared" si="556"/>
        <v>17</v>
      </c>
      <c r="G6628" s="395"/>
      <c r="H6628" s="395"/>
      <c r="J6628" s="42"/>
    </row>
    <row r="6629" spans="1:10" s="393" customFormat="1" ht="15.75" thickBot="1" x14ac:dyDescent="0.3">
      <c r="A6629" s="402" t="s">
        <v>15</v>
      </c>
      <c r="B6629" s="268">
        <v>44169</v>
      </c>
      <c r="C6629" s="1">
        <v>205</v>
      </c>
      <c r="D6629" s="39">
        <f t="shared" si="555"/>
        <v>20333</v>
      </c>
      <c r="E6629" s="227">
        <v>5</v>
      </c>
      <c r="F6629" s="522">
        <f t="shared" si="556"/>
        <v>581</v>
      </c>
      <c r="G6629" s="395"/>
      <c r="H6629" s="395"/>
      <c r="J6629" s="42"/>
    </row>
    <row r="6630" spans="1:10" s="393" customFormat="1" ht="15.75" thickBot="1" x14ac:dyDescent="0.3">
      <c r="A6630" s="402" t="s">
        <v>29</v>
      </c>
      <c r="B6630" s="268">
        <v>44169</v>
      </c>
      <c r="C6630" s="1">
        <v>336</v>
      </c>
      <c r="D6630" s="39">
        <f t="shared" si="555"/>
        <v>24197</v>
      </c>
      <c r="E6630" s="227">
        <v>2</v>
      </c>
      <c r="F6630" s="522">
        <f t="shared" si="556"/>
        <v>400</v>
      </c>
      <c r="G6630" s="395"/>
      <c r="H6630" s="395"/>
      <c r="J6630" s="42"/>
    </row>
    <row r="6631" spans="1:10" s="393" customFormat="1" ht="15.75" thickBot="1" x14ac:dyDescent="0.3">
      <c r="A6631" s="402" t="s">
        <v>20</v>
      </c>
      <c r="B6631" s="268">
        <v>44169</v>
      </c>
      <c r="C6631" s="1">
        <v>555</v>
      </c>
      <c r="D6631" s="39">
        <f t="shared" si="555"/>
        <v>116799</v>
      </c>
      <c r="E6631" s="227">
        <v>10</v>
      </c>
      <c r="F6631" s="522">
        <f t="shared" si="556"/>
        <v>2048</v>
      </c>
      <c r="G6631" s="395"/>
      <c r="H6631" s="395"/>
      <c r="J6631" s="42"/>
    </row>
    <row r="6632" spans="1:10" s="393" customFormat="1" ht="15.75" thickBot="1" x14ac:dyDescent="0.3">
      <c r="A6632" s="402" t="s">
        <v>30</v>
      </c>
      <c r="B6632" s="268">
        <v>44169</v>
      </c>
      <c r="C6632" s="1">
        <v>522</v>
      </c>
      <c r="D6632" s="39">
        <f t="shared" si="555"/>
        <v>8398</v>
      </c>
      <c r="E6632" s="227"/>
      <c r="F6632" s="522">
        <f t="shared" si="556"/>
        <v>88</v>
      </c>
      <c r="G6632" s="395"/>
      <c r="H6632" s="395"/>
      <c r="J6632" s="42"/>
    </row>
    <row r="6633" spans="1:10" ht="15.75" thickBot="1" x14ac:dyDescent="0.3">
      <c r="A6633" s="402" t="s">
        <v>31</v>
      </c>
      <c r="B6633" s="268">
        <v>44169</v>
      </c>
      <c r="C6633" s="1">
        <v>197</v>
      </c>
      <c r="D6633" s="39">
        <f t="shared" si="555"/>
        <v>24181</v>
      </c>
      <c r="E6633" s="227">
        <v>7</v>
      </c>
      <c r="F6633" s="522">
        <f t="shared" si="556"/>
        <v>485</v>
      </c>
    </row>
    <row r="6634" spans="1:10" s="393" customFormat="1" ht="15.75" thickBot="1" x14ac:dyDescent="0.3">
      <c r="A6634" s="402" t="s">
        <v>41</v>
      </c>
      <c r="B6634" s="268">
        <v>44169</v>
      </c>
      <c r="C6634" s="1">
        <v>0</v>
      </c>
      <c r="D6634" s="39">
        <f t="shared" si="555"/>
        <v>189</v>
      </c>
      <c r="E6634" s="227"/>
      <c r="F6634" s="522">
        <f t="shared" si="556"/>
        <v>3</v>
      </c>
      <c r="G6634" s="395"/>
      <c r="H6634" s="395"/>
      <c r="J6634" s="42"/>
    </row>
    <row r="6635" spans="1:10" s="393" customFormat="1" ht="15.75" thickBot="1" x14ac:dyDescent="0.3">
      <c r="A6635" s="402" t="s">
        <v>32</v>
      </c>
      <c r="B6635" s="268">
        <v>44169</v>
      </c>
      <c r="C6635" s="1">
        <v>2</v>
      </c>
      <c r="D6635" s="39">
        <f t="shared" si="555"/>
        <v>18412</v>
      </c>
      <c r="E6635" s="227"/>
      <c r="F6635" s="522">
        <f t="shared" si="556"/>
        <v>850</v>
      </c>
      <c r="G6635" s="395"/>
      <c r="H6635" s="395"/>
      <c r="J6635" s="42"/>
    </row>
    <row r="6636" spans="1:10" s="393" customFormat="1" ht="15.75" thickBot="1" x14ac:dyDescent="0.3">
      <c r="A6636" s="402" t="s">
        <v>33</v>
      </c>
      <c r="B6636" s="268">
        <v>44169</v>
      </c>
      <c r="C6636" s="1">
        <v>77</v>
      </c>
      <c r="D6636" s="39">
        <f t="shared" si="555"/>
        <v>6151</v>
      </c>
      <c r="E6636" s="227">
        <v>1</v>
      </c>
      <c r="F6636" s="522">
        <f t="shared" si="556"/>
        <v>88</v>
      </c>
      <c r="G6636" s="395"/>
      <c r="H6636" s="395"/>
      <c r="J6636" s="42"/>
    </row>
    <row r="6637" spans="1:10" s="393" customFormat="1" ht="15.75" thickBot="1" x14ac:dyDescent="0.3">
      <c r="A6637" s="402" t="s">
        <v>21</v>
      </c>
      <c r="B6637" s="268">
        <v>44169</v>
      </c>
      <c r="C6637" s="1">
        <v>12</v>
      </c>
      <c r="D6637" s="39">
        <f t="shared" si="555"/>
        <v>8812</v>
      </c>
      <c r="E6637" s="227"/>
      <c r="F6637" s="522">
        <f t="shared" si="556"/>
        <v>320</v>
      </c>
      <c r="G6637" s="395"/>
      <c r="H6637" s="395"/>
      <c r="J6637" s="42"/>
    </row>
    <row r="6638" spans="1:10" s="393" customFormat="1" ht="15.75" thickBot="1" x14ac:dyDescent="0.3">
      <c r="A6638" s="402" t="s">
        <v>17</v>
      </c>
      <c r="B6638" s="268">
        <v>44169</v>
      </c>
      <c r="C6638" s="1">
        <v>162</v>
      </c>
      <c r="D6638" s="39">
        <f t="shared" si="555"/>
        <v>57427</v>
      </c>
      <c r="E6638" s="227">
        <v>19</v>
      </c>
      <c r="F6638" s="522">
        <f t="shared" si="556"/>
        <v>1139</v>
      </c>
      <c r="G6638" s="395"/>
      <c r="H6638" s="395"/>
      <c r="J6638" s="42"/>
    </row>
    <row r="6639" spans="1:10" s="393" customFormat="1" ht="15.75" thickBot="1" x14ac:dyDescent="0.3">
      <c r="A6639" s="402" t="s">
        <v>23</v>
      </c>
      <c r="B6639" s="268">
        <v>44169</v>
      </c>
      <c r="C6639" s="1">
        <v>21</v>
      </c>
      <c r="D6639" s="39">
        <f t="shared" si="555"/>
        <v>563</v>
      </c>
      <c r="E6639" s="227"/>
      <c r="F6639" s="522">
        <f t="shared" si="556"/>
        <v>9</v>
      </c>
      <c r="G6639" s="395"/>
      <c r="H6639" s="395"/>
      <c r="J6639" s="42"/>
    </row>
    <row r="6640" spans="1:10" s="393" customFormat="1" ht="15.75" thickBot="1" x14ac:dyDescent="0.3">
      <c r="A6640" s="402" t="s">
        <v>19</v>
      </c>
      <c r="B6640" s="268">
        <v>44169</v>
      </c>
      <c r="C6640" s="1">
        <v>600</v>
      </c>
      <c r="D6640" s="39">
        <f t="shared" si="555"/>
        <v>33955</v>
      </c>
      <c r="E6640" s="227">
        <v>6</v>
      </c>
      <c r="F6640" s="522">
        <f t="shared" si="556"/>
        <v>648</v>
      </c>
      <c r="G6640" s="395"/>
      <c r="H6640" s="395"/>
      <c r="J6640" s="42"/>
    </row>
    <row r="6641" spans="1:10" s="393" customFormat="1" ht="15.75" thickBot="1" x14ac:dyDescent="0.3">
      <c r="A6641" s="402" t="s">
        <v>18</v>
      </c>
      <c r="B6641" s="268">
        <v>44169</v>
      </c>
      <c r="C6641" s="1">
        <v>201</v>
      </c>
      <c r="D6641" s="39">
        <f t="shared" si="555"/>
        <v>32617</v>
      </c>
      <c r="E6641" s="227"/>
      <c r="F6641" s="522">
        <f t="shared" si="556"/>
        <v>796</v>
      </c>
      <c r="G6641" s="395"/>
      <c r="H6641" s="395"/>
      <c r="J6641" s="42"/>
    </row>
    <row r="6642" spans="1:10" s="393" customFormat="1" ht="15.75" thickBot="1" x14ac:dyDescent="0.3">
      <c r="A6642" s="402" t="s">
        <v>34</v>
      </c>
      <c r="B6642" s="268">
        <v>44169</v>
      </c>
      <c r="C6642" s="1">
        <v>48</v>
      </c>
      <c r="D6642" s="39">
        <f t="shared" si="555"/>
        <v>21380</v>
      </c>
      <c r="E6642" s="227">
        <v>4</v>
      </c>
      <c r="F6642" s="522">
        <f t="shared" si="556"/>
        <v>990</v>
      </c>
      <c r="G6642" s="395"/>
      <c r="H6642" s="395"/>
      <c r="J6642" s="42"/>
    </row>
    <row r="6643" spans="1:10" s="393" customFormat="1" ht="15.75" thickBot="1" x14ac:dyDescent="0.3">
      <c r="A6643" s="402" t="s">
        <v>35</v>
      </c>
      <c r="B6643" s="268">
        <v>44169</v>
      </c>
      <c r="C6643" s="1">
        <v>159</v>
      </c>
      <c r="D6643" s="39">
        <f t="shared" si="555"/>
        <v>8394</v>
      </c>
      <c r="E6643" s="227"/>
      <c r="F6643" s="522">
        <f t="shared" si="556"/>
        <v>173</v>
      </c>
      <c r="G6643" s="395"/>
      <c r="H6643" s="395"/>
      <c r="J6643" s="42"/>
    </row>
    <row r="6644" spans="1:10" s="393" customFormat="1" ht="15.75" thickBot="1" x14ac:dyDescent="0.3">
      <c r="A6644" s="402" t="s">
        <v>36</v>
      </c>
      <c r="B6644" s="268">
        <v>44169</v>
      </c>
      <c r="C6644" s="1">
        <v>72</v>
      </c>
      <c r="D6644" s="39">
        <f t="shared" si="555"/>
        <v>15030</v>
      </c>
      <c r="E6644" s="227">
        <v>7</v>
      </c>
      <c r="F6644" s="522">
        <f t="shared" si="556"/>
        <v>235</v>
      </c>
      <c r="G6644" s="395"/>
      <c r="H6644" s="395"/>
      <c r="J6644" s="42"/>
    </row>
    <row r="6645" spans="1:10" s="393" customFormat="1" ht="15.75" thickBot="1" x14ac:dyDescent="0.3">
      <c r="A6645" s="402" t="s">
        <v>37</v>
      </c>
      <c r="B6645" s="268">
        <v>44169</v>
      </c>
      <c r="C6645" s="1">
        <v>242</v>
      </c>
      <c r="D6645" s="39">
        <f t="shared" si="555"/>
        <v>16938</v>
      </c>
      <c r="E6645" s="227">
        <v>6</v>
      </c>
      <c r="F6645" s="522">
        <f t="shared" si="556"/>
        <v>296</v>
      </c>
      <c r="G6645" s="395"/>
      <c r="H6645" s="395"/>
      <c r="J6645" s="42"/>
    </row>
    <row r="6646" spans="1:10" s="393" customFormat="1" ht="15.75" thickBot="1" x14ac:dyDescent="0.3">
      <c r="A6646" s="402" t="s">
        <v>22</v>
      </c>
      <c r="B6646" s="268">
        <v>44169</v>
      </c>
      <c r="C6646" s="1">
        <v>991</v>
      </c>
      <c r="D6646" s="39">
        <f t="shared" si="555"/>
        <v>152675</v>
      </c>
      <c r="E6646" s="227">
        <v>14</v>
      </c>
      <c r="F6646" s="522">
        <f t="shared" si="556"/>
        <v>2381</v>
      </c>
      <c r="G6646" s="395"/>
      <c r="H6646" s="395"/>
      <c r="J6646" s="42"/>
    </row>
    <row r="6647" spans="1:10" s="393" customFormat="1" ht="15.75" thickBot="1" x14ac:dyDescent="0.3">
      <c r="A6647" s="402" t="s">
        <v>38</v>
      </c>
      <c r="B6647" s="268">
        <v>44169</v>
      </c>
      <c r="C6647" s="1">
        <v>82</v>
      </c>
      <c r="D6647" s="39">
        <f t="shared" si="555"/>
        <v>16024</v>
      </c>
      <c r="E6647" s="227">
        <v>3</v>
      </c>
      <c r="F6647" s="522">
        <f t="shared" si="556"/>
        <v>198</v>
      </c>
      <c r="G6647" s="395"/>
      <c r="H6647" s="395"/>
      <c r="J6647" s="42"/>
    </row>
    <row r="6648" spans="1:10" s="393" customFormat="1" ht="15.75" thickBot="1" x14ac:dyDescent="0.3">
      <c r="A6648" s="402" t="s">
        <v>39</v>
      </c>
      <c r="B6648" s="268">
        <v>44169</v>
      </c>
      <c r="C6648" s="1">
        <v>107</v>
      </c>
      <c r="D6648" s="39">
        <f t="shared" si="555"/>
        <v>16588</v>
      </c>
      <c r="E6648" s="227">
        <v>1</v>
      </c>
      <c r="F6648" s="522">
        <f t="shared" si="556"/>
        <v>237</v>
      </c>
      <c r="G6648" s="395"/>
      <c r="H6648" s="395"/>
      <c r="J6648" s="42"/>
    </row>
    <row r="6649" spans="1:10" s="393" customFormat="1" ht="15.75" thickBot="1" x14ac:dyDescent="0.3">
      <c r="A6649" s="404" t="s">
        <v>40</v>
      </c>
      <c r="B6649" s="268">
        <v>44169</v>
      </c>
      <c r="C6649" s="1">
        <v>172</v>
      </c>
      <c r="D6649" s="177">
        <f t="shared" si="555"/>
        <v>67049</v>
      </c>
      <c r="E6649" s="227">
        <v>12</v>
      </c>
      <c r="F6649" s="631">
        <f t="shared" si="556"/>
        <v>1240</v>
      </c>
      <c r="G6649" s="395"/>
      <c r="H6649" s="395"/>
      <c r="J6649" s="42"/>
    </row>
    <row r="6650" spans="1:10" s="393" customFormat="1" ht="15.75" thickBot="1" x14ac:dyDescent="0.3">
      <c r="A6650" s="397" t="s">
        <v>16</v>
      </c>
      <c r="B6650" s="268">
        <v>44170</v>
      </c>
      <c r="C6650" s="1">
        <v>1374</v>
      </c>
      <c r="D6650" s="175">
        <f t="shared" si="555"/>
        <v>627758</v>
      </c>
      <c r="E6650" s="1">
        <v>25</v>
      </c>
      <c r="F6650" s="630">
        <f t="shared" si="556"/>
        <v>20988</v>
      </c>
      <c r="G6650" s="395"/>
      <c r="H6650" s="395"/>
      <c r="J6650" s="42"/>
    </row>
    <row r="6651" spans="1:10" s="393" customFormat="1" ht="15.75" thickBot="1" x14ac:dyDescent="0.3">
      <c r="A6651" s="402" t="s">
        <v>43</v>
      </c>
      <c r="B6651" s="268">
        <v>44170</v>
      </c>
      <c r="C6651" s="1">
        <v>253</v>
      </c>
      <c r="D6651" s="39">
        <f t="shared" si="555"/>
        <v>160447</v>
      </c>
      <c r="E6651" s="1">
        <v>9</v>
      </c>
      <c r="F6651" s="522">
        <f t="shared" si="556"/>
        <v>5292</v>
      </c>
      <c r="G6651" s="395"/>
      <c r="H6651" s="395"/>
      <c r="J6651" s="42"/>
    </row>
    <row r="6652" spans="1:10" s="393" customFormat="1" ht="15.75" thickBot="1" x14ac:dyDescent="0.3">
      <c r="A6652" s="402" t="s">
        <v>28</v>
      </c>
      <c r="B6652" s="268">
        <v>44170</v>
      </c>
      <c r="C6652" s="1">
        <v>3</v>
      </c>
      <c r="D6652" s="39">
        <f t="shared" si="555"/>
        <v>1944</v>
      </c>
      <c r="E6652" s="1"/>
      <c r="F6652" s="522">
        <f t="shared" si="556"/>
        <v>17</v>
      </c>
      <c r="G6652" s="395"/>
      <c r="H6652" s="395"/>
      <c r="J6652" s="42"/>
    </row>
    <row r="6653" spans="1:10" s="393" customFormat="1" ht="15.75" thickBot="1" x14ac:dyDescent="0.3">
      <c r="A6653" s="402" t="s">
        <v>15</v>
      </c>
      <c r="B6653" s="268">
        <v>44170</v>
      </c>
      <c r="C6653" s="1">
        <v>263</v>
      </c>
      <c r="D6653" s="39">
        <f t="shared" si="555"/>
        <v>20596</v>
      </c>
      <c r="E6653" s="1">
        <v>6</v>
      </c>
      <c r="F6653" s="522">
        <f t="shared" si="556"/>
        <v>587</v>
      </c>
      <c r="G6653" s="395"/>
      <c r="H6653" s="395"/>
      <c r="J6653" s="42"/>
    </row>
    <row r="6654" spans="1:10" s="393" customFormat="1" ht="15.75" thickBot="1" x14ac:dyDescent="0.3">
      <c r="A6654" s="402" t="s">
        <v>29</v>
      </c>
      <c r="B6654" s="268">
        <v>44170</v>
      </c>
      <c r="C6654" s="1">
        <v>214</v>
      </c>
      <c r="D6654" s="39">
        <f t="shared" si="555"/>
        <v>24411</v>
      </c>
      <c r="E6654" s="1"/>
      <c r="F6654" s="522">
        <f t="shared" si="556"/>
        <v>400</v>
      </c>
      <c r="G6654" s="395"/>
      <c r="H6654" s="395"/>
      <c r="J6654" s="42"/>
    </row>
    <row r="6655" spans="1:10" s="393" customFormat="1" ht="15.75" thickBot="1" x14ac:dyDescent="0.3">
      <c r="A6655" s="402" t="s">
        <v>20</v>
      </c>
      <c r="B6655" s="268">
        <v>44170</v>
      </c>
      <c r="C6655" s="1">
        <v>451</v>
      </c>
      <c r="D6655" s="39">
        <f t="shared" si="555"/>
        <v>117250</v>
      </c>
      <c r="E6655" s="1">
        <v>25</v>
      </c>
      <c r="F6655" s="522">
        <f t="shared" si="556"/>
        <v>2073</v>
      </c>
      <c r="G6655" s="395"/>
      <c r="H6655" s="395"/>
      <c r="J6655" s="42"/>
    </row>
    <row r="6656" spans="1:10" s="393" customFormat="1" ht="15.75" thickBot="1" x14ac:dyDescent="0.3">
      <c r="A6656" s="402" t="s">
        <v>30</v>
      </c>
      <c r="B6656" s="268">
        <v>44170</v>
      </c>
      <c r="C6656" s="1">
        <v>192</v>
      </c>
      <c r="D6656" s="39">
        <f t="shared" si="555"/>
        <v>8590</v>
      </c>
      <c r="E6656" s="1">
        <v>7</v>
      </c>
      <c r="F6656" s="522">
        <f t="shared" si="556"/>
        <v>95</v>
      </c>
      <c r="G6656" s="395"/>
      <c r="H6656" s="395"/>
      <c r="J6656" s="42"/>
    </row>
    <row r="6657" spans="1:10" ht="15.75" thickBot="1" x14ac:dyDescent="0.3">
      <c r="A6657" s="402" t="s">
        <v>31</v>
      </c>
      <c r="B6657" s="268">
        <v>44170</v>
      </c>
      <c r="C6657" s="1">
        <v>212</v>
      </c>
      <c r="D6657" s="39">
        <f t="shared" ref="D6657:D6688" si="557">C6657+D6633</f>
        <v>24393</v>
      </c>
      <c r="E6657" s="1">
        <v>1</v>
      </c>
      <c r="F6657" s="522">
        <f t="shared" si="556"/>
        <v>486</v>
      </c>
    </row>
    <row r="6658" spans="1:10" s="393" customFormat="1" ht="15.75" thickBot="1" x14ac:dyDescent="0.3">
      <c r="A6658" s="402" t="s">
        <v>41</v>
      </c>
      <c r="B6658" s="268">
        <v>44170</v>
      </c>
      <c r="C6658" s="1">
        <v>1</v>
      </c>
      <c r="D6658" s="39">
        <f t="shared" si="557"/>
        <v>190</v>
      </c>
      <c r="E6658" s="1"/>
      <c r="F6658" s="522">
        <f t="shared" ref="F6658:F6689" si="558">E6658+F6634</f>
        <v>3</v>
      </c>
      <c r="G6658" s="395"/>
      <c r="H6658" s="395"/>
      <c r="J6658" s="42"/>
    </row>
    <row r="6659" spans="1:10" s="393" customFormat="1" ht="15.75" thickBot="1" x14ac:dyDescent="0.3">
      <c r="A6659" s="402" t="s">
        <v>32</v>
      </c>
      <c r="B6659" s="268">
        <v>44170</v>
      </c>
      <c r="C6659" s="1">
        <v>3</v>
      </c>
      <c r="D6659" s="39">
        <f t="shared" si="557"/>
        <v>18415</v>
      </c>
      <c r="E6659" s="1"/>
      <c r="F6659" s="522">
        <f t="shared" si="558"/>
        <v>850</v>
      </c>
      <c r="G6659" s="395"/>
      <c r="H6659" s="395"/>
      <c r="J6659" s="42"/>
    </row>
    <row r="6660" spans="1:10" s="393" customFormat="1" ht="15.75" thickBot="1" x14ac:dyDescent="0.3">
      <c r="A6660" s="402" t="s">
        <v>33</v>
      </c>
      <c r="B6660" s="268">
        <v>44170</v>
      </c>
      <c r="C6660" s="1">
        <v>68</v>
      </c>
      <c r="D6660" s="39">
        <f t="shared" si="557"/>
        <v>6219</v>
      </c>
      <c r="E6660" s="1"/>
      <c r="F6660" s="522">
        <f t="shared" si="558"/>
        <v>88</v>
      </c>
      <c r="G6660" s="395"/>
      <c r="H6660" s="395"/>
      <c r="J6660" s="42"/>
    </row>
    <row r="6661" spans="1:10" s="393" customFormat="1" ht="15.75" thickBot="1" x14ac:dyDescent="0.3">
      <c r="A6661" s="402" t="s">
        <v>21</v>
      </c>
      <c r="B6661" s="268">
        <v>44170</v>
      </c>
      <c r="C6661" s="1">
        <v>22</v>
      </c>
      <c r="D6661" s="39">
        <f t="shared" si="557"/>
        <v>8834</v>
      </c>
      <c r="E6661" s="1"/>
      <c r="F6661" s="522">
        <f t="shared" si="558"/>
        <v>320</v>
      </c>
      <c r="G6661" s="395"/>
      <c r="H6661" s="395"/>
      <c r="J6661" s="42"/>
    </row>
    <row r="6662" spans="1:10" s="393" customFormat="1" ht="15.75" thickBot="1" x14ac:dyDescent="0.3">
      <c r="A6662" s="402" t="s">
        <v>17</v>
      </c>
      <c r="B6662" s="268">
        <v>44170</v>
      </c>
      <c r="C6662" s="1">
        <v>100</v>
      </c>
      <c r="D6662" s="39">
        <f t="shared" si="557"/>
        <v>57527</v>
      </c>
      <c r="E6662" s="1">
        <v>4</v>
      </c>
      <c r="F6662" s="522">
        <f t="shared" si="558"/>
        <v>1143</v>
      </c>
      <c r="G6662" s="395"/>
      <c r="H6662" s="395"/>
      <c r="J6662" s="42"/>
    </row>
    <row r="6663" spans="1:10" s="393" customFormat="1" ht="15.75" thickBot="1" x14ac:dyDescent="0.3">
      <c r="A6663" s="402" t="s">
        <v>23</v>
      </c>
      <c r="B6663" s="268">
        <v>44170</v>
      </c>
      <c r="C6663" s="1">
        <v>5</v>
      </c>
      <c r="D6663" s="39">
        <f t="shared" si="557"/>
        <v>568</v>
      </c>
      <c r="E6663" s="1"/>
      <c r="F6663" s="522">
        <f t="shared" si="558"/>
        <v>9</v>
      </c>
      <c r="G6663" s="395"/>
      <c r="H6663" s="395"/>
      <c r="J6663" s="42"/>
    </row>
    <row r="6664" spans="1:10" s="393" customFormat="1" ht="15.75" thickBot="1" x14ac:dyDescent="0.3">
      <c r="A6664" s="402" t="s">
        <v>19</v>
      </c>
      <c r="B6664" s="268">
        <v>44170</v>
      </c>
      <c r="C6664" s="1">
        <v>289</v>
      </c>
      <c r="D6664" s="39">
        <f t="shared" si="557"/>
        <v>34244</v>
      </c>
      <c r="E6664" s="1"/>
      <c r="F6664" s="522">
        <f t="shared" si="558"/>
        <v>648</v>
      </c>
      <c r="G6664" s="395"/>
      <c r="H6664" s="395"/>
      <c r="J6664" s="42"/>
    </row>
    <row r="6665" spans="1:10" s="393" customFormat="1" ht="15.75" thickBot="1" x14ac:dyDescent="0.3">
      <c r="A6665" s="402" t="s">
        <v>18</v>
      </c>
      <c r="B6665" s="268">
        <v>44170</v>
      </c>
      <c r="C6665" s="1">
        <v>146</v>
      </c>
      <c r="D6665" s="39">
        <f t="shared" si="557"/>
        <v>32763</v>
      </c>
      <c r="E6665" s="1">
        <v>5</v>
      </c>
      <c r="F6665" s="522">
        <f t="shared" si="558"/>
        <v>801</v>
      </c>
      <c r="G6665" s="395"/>
      <c r="H6665" s="395"/>
      <c r="J6665" s="42"/>
    </row>
    <row r="6666" spans="1:10" s="393" customFormat="1" ht="15.75" thickBot="1" x14ac:dyDescent="0.3">
      <c r="A6666" s="402" t="s">
        <v>34</v>
      </c>
      <c r="B6666" s="268">
        <v>44170</v>
      </c>
      <c r="C6666" s="1">
        <v>24</v>
      </c>
      <c r="D6666" s="39">
        <f t="shared" si="557"/>
        <v>21404</v>
      </c>
      <c r="E6666" s="1">
        <v>1</v>
      </c>
      <c r="F6666" s="522">
        <f t="shared" si="558"/>
        <v>991</v>
      </c>
      <c r="G6666" s="395"/>
      <c r="H6666" s="395"/>
      <c r="J6666" s="42"/>
    </row>
    <row r="6667" spans="1:10" s="393" customFormat="1" ht="15.75" thickBot="1" x14ac:dyDescent="0.3">
      <c r="A6667" s="402" t="s">
        <v>35</v>
      </c>
      <c r="B6667" s="268">
        <v>44170</v>
      </c>
      <c r="C6667" s="1">
        <v>51</v>
      </c>
      <c r="D6667" s="39">
        <f t="shared" si="557"/>
        <v>8445</v>
      </c>
      <c r="E6667" s="1"/>
      <c r="F6667" s="522">
        <f t="shared" si="558"/>
        <v>173</v>
      </c>
      <c r="G6667" s="395"/>
      <c r="H6667" s="395"/>
      <c r="J6667" s="42"/>
    </row>
    <row r="6668" spans="1:10" s="393" customFormat="1" ht="15.75" thickBot="1" x14ac:dyDescent="0.3">
      <c r="A6668" s="402" t="s">
        <v>36</v>
      </c>
      <c r="B6668" s="268">
        <v>44170</v>
      </c>
      <c r="C6668" s="1">
        <v>54</v>
      </c>
      <c r="D6668" s="39">
        <f t="shared" si="557"/>
        <v>15084</v>
      </c>
      <c r="E6668" s="1">
        <v>1</v>
      </c>
      <c r="F6668" s="522">
        <f t="shared" si="558"/>
        <v>236</v>
      </c>
      <c r="G6668" s="395"/>
      <c r="H6668" s="395"/>
      <c r="J6668" s="42"/>
    </row>
    <row r="6669" spans="1:10" s="393" customFormat="1" ht="15.75" thickBot="1" x14ac:dyDescent="0.3">
      <c r="A6669" s="402" t="s">
        <v>37</v>
      </c>
      <c r="B6669" s="268">
        <v>44170</v>
      </c>
      <c r="C6669" s="1">
        <v>187</v>
      </c>
      <c r="D6669" s="39">
        <f t="shared" si="557"/>
        <v>17125</v>
      </c>
      <c r="E6669" s="1">
        <v>4</v>
      </c>
      <c r="F6669" s="522">
        <f t="shared" si="558"/>
        <v>300</v>
      </c>
      <c r="G6669" s="395"/>
      <c r="H6669" s="395"/>
      <c r="J6669" s="42"/>
    </row>
    <row r="6670" spans="1:10" s="393" customFormat="1" ht="15.75" thickBot="1" x14ac:dyDescent="0.3">
      <c r="A6670" s="402" t="s">
        <v>22</v>
      </c>
      <c r="B6670" s="268">
        <v>44170</v>
      </c>
      <c r="C6670" s="1">
        <v>976</v>
      </c>
      <c r="D6670" s="39">
        <f t="shared" si="557"/>
        <v>153651</v>
      </c>
      <c r="E6670" s="1">
        <v>25</v>
      </c>
      <c r="F6670" s="522">
        <f t="shared" si="558"/>
        <v>2406</v>
      </c>
      <c r="G6670" s="395"/>
      <c r="H6670" s="395"/>
      <c r="J6670" s="42"/>
    </row>
    <row r="6671" spans="1:10" s="393" customFormat="1" ht="15.75" thickBot="1" x14ac:dyDescent="0.3">
      <c r="A6671" s="402" t="s">
        <v>38</v>
      </c>
      <c r="B6671" s="268">
        <v>44170</v>
      </c>
      <c r="C6671" s="1">
        <v>83</v>
      </c>
      <c r="D6671" s="39">
        <f t="shared" si="557"/>
        <v>16107</v>
      </c>
      <c r="E6671" s="1">
        <v>1</v>
      </c>
      <c r="F6671" s="522">
        <f t="shared" si="558"/>
        <v>199</v>
      </c>
      <c r="G6671" s="395"/>
      <c r="H6671" s="395"/>
      <c r="J6671" s="42"/>
    </row>
    <row r="6672" spans="1:10" s="393" customFormat="1" ht="15.75" thickBot="1" x14ac:dyDescent="0.3">
      <c r="A6672" s="402" t="s">
        <v>39</v>
      </c>
      <c r="B6672" s="268">
        <v>44170</v>
      </c>
      <c r="C6672" s="1">
        <v>96</v>
      </c>
      <c r="D6672" s="39">
        <f t="shared" si="557"/>
        <v>16684</v>
      </c>
      <c r="E6672" s="1"/>
      <c r="F6672" s="522">
        <f t="shared" si="558"/>
        <v>237</v>
      </c>
      <c r="G6672" s="395"/>
      <c r="H6672" s="395"/>
      <c r="J6672" s="42"/>
    </row>
    <row r="6673" spans="1:10" s="393" customFormat="1" ht="15.75" thickBot="1" x14ac:dyDescent="0.3">
      <c r="A6673" s="404" t="s">
        <v>40</v>
      </c>
      <c r="B6673" s="268">
        <v>44170</v>
      </c>
      <c r="C6673" s="1">
        <v>134</v>
      </c>
      <c r="D6673" s="177">
        <f t="shared" si="557"/>
        <v>67183</v>
      </c>
      <c r="E6673" s="1">
        <v>7</v>
      </c>
      <c r="F6673" s="631">
        <f t="shared" si="558"/>
        <v>1247</v>
      </c>
      <c r="G6673" s="395"/>
      <c r="H6673" s="395"/>
      <c r="J6673" s="42"/>
    </row>
    <row r="6674" spans="1:10" s="393" customFormat="1" ht="15.75" thickBot="1" x14ac:dyDescent="0.3">
      <c r="A6674" s="397" t="s">
        <v>16</v>
      </c>
      <c r="B6674" s="268">
        <v>44171</v>
      </c>
      <c r="C6674" s="1">
        <v>719</v>
      </c>
      <c r="D6674" s="175">
        <f t="shared" si="557"/>
        <v>628477</v>
      </c>
      <c r="E6674" s="1">
        <v>87</v>
      </c>
      <c r="F6674" s="630">
        <f t="shared" si="558"/>
        <v>21075</v>
      </c>
      <c r="G6674" s="395"/>
      <c r="H6674" s="395"/>
      <c r="J6674" s="42"/>
    </row>
    <row r="6675" spans="1:10" s="393" customFormat="1" ht="15.75" thickBot="1" x14ac:dyDescent="0.3">
      <c r="A6675" s="402" t="s">
        <v>43</v>
      </c>
      <c r="B6675" s="268">
        <v>44171</v>
      </c>
      <c r="C6675" s="1">
        <v>226</v>
      </c>
      <c r="D6675" s="39">
        <f t="shared" si="557"/>
        <v>160673</v>
      </c>
      <c r="E6675" s="1">
        <v>3</v>
      </c>
      <c r="F6675" s="522">
        <f t="shared" si="558"/>
        <v>5295</v>
      </c>
      <c r="G6675" s="395"/>
      <c r="H6675" s="395"/>
      <c r="J6675" s="42"/>
    </row>
    <row r="6676" spans="1:10" s="393" customFormat="1" ht="15.75" thickBot="1" x14ac:dyDescent="0.3">
      <c r="A6676" s="402" t="s">
        <v>28</v>
      </c>
      <c r="B6676" s="268">
        <v>44171</v>
      </c>
      <c r="C6676" s="1">
        <v>41</v>
      </c>
      <c r="D6676" s="39">
        <f t="shared" si="557"/>
        <v>1985</v>
      </c>
      <c r="E6676" s="1"/>
      <c r="F6676" s="522">
        <f t="shared" si="558"/>
        <v>17</v>
      </c>
      <c r="G6676" s="395"/>
      <c r="H6676" s="395"/>
      <c r="J6676" s="42"/>
    </row>
    <row r="6677" spans="1:10" s="393" customFormat="1" ht="15.75" thickBot="1" x14ac:dyDescent="0.3">
      <c r="A6677" s="402" t="s">
        <v>15</v>
      </c>
      <c r="B6677" s="268">
        <v>44171</v>
      </c>
      <c r="C6677" s="1">
        <v>134</v>
      </c>
      <c r="D6677" s="39">
        <f t="shared" si="557"/>
        <v>20730</v>
      </c>
      <c r="E6677" s="1">
        <v>6</v>
      </c>
      <c r="F6677" s="522">
        <f t="shared" si="558"/>
        <v>593</v>
      </c>
      <c r="G6677" s="395"/>
      <c r="H6677" s="395"/>
      <c r="J6677" s="42"/>
    </row>
    <row r="6678" spans="1:10" s="393" customFormat="1" ht="15.75" thickBot="1" x14ac:dyDescent="0.3">
      <c r="A6678" s="402" t="s">
        <v>29</v>
      </c>
      <c r="B6678" s="268">
        <v>44171</v>
      </c>
      <c r="C6678" s="1">
        <v>77</v>
      </c>
      <c r="D6678" s="39">
        <f t="shared" si="557"/>
        <v>24488</v>
      </c>
      <c r="E6678" s="1"/>
      <c r="F6678" s="522">
        <f t="shared" si="558"/>
        <v>400</v>
      </c>
      <c r="G6678" s="395"/>
      <c r="H6678" s="395"/>
      <c r="J6678" s="42"/>
    </row>
    <row r="6679" spans="1:10" s="393" customFormat="1" ht="15.75" thickBot="1" x14ac:dyDescent="0.3">
      <c r="A6679" s="402" t="s">
        <v>20</v>
      </c>
      <c r="B6679" s="268">
        <v>44171</v>
      </c>
      <c r="C6679" s="1">
        <v>262</v>
      </c>
      <c r="D6679" s="39">
        <f t="shared" si="557"/>
        <v>117512</v>
      </c>
      <c r="E6679" s="1">
        <v>16</v>
      </c>
      <c r="F6679" s="522">
        <f t="shared" si="558"/>
        <v>2089</v>
      </c>
      <c r="G6679" s="395"/>
      <c r="H6679" s="395"/>
      <c r="J6679" s="42"/>
    </row>
    <row r="6680" spans="1:10" s="393" customFormat="1" ht="15.75" thickBot="1" x14ac:dyDescent="0.3">
      <c r="A6680" s="402" t="s">
        <v>30</v>
      </c>
      <c r="B6680" s="268">
        <v>44171</v>
      </c>
      <c r="C6680" s="1">
        <v>87</v>
      </c>
      <c r="D6680" s="39">
        <f t="shared" si="557"/>
        <v>8677</v>
      </c>
      <c r="E6680" s="1">
        <v>9</v>
      </c>
      <c r="F6680" s="522">
        <f t="shared" si="558"/>
        <v>104</v>
      </c>
      <c r="G6680" s="395"/>
      <c r="H6680" s="395"/>
      <c r="J6680" s="42"/>
    </row>
    <row r="6681" spans="1:10" ht="15.75" thickBot="1" x14ac:dyDescent="0.3">
      <c r="A6681" s="402" t="s">
        <v>31</v>
      </c>
      <c r="B6681" s="268">
        <v>44171</v>
      </c>
      <c r="C6681" s="1">
        <v>127</v>
      </c>
      <c r="D6681" s="39">
        <f t="shared" si="557"/>
        <v>24520</v>
      </c>
      <c r="E6681" s="1">
        <v>1</v>
      </c>
      <c r="F6681" s="522">
        <f t="shared" si="558"/>
        <v>487</v>
      </c>
    </row>
    <row r="6682" spans="1:10" s="393" customFormat="1" ht="15.75" thickBot="1" x14ac:dyDescent="0.3">
      <c r="A6682" s="402" t="s">
        <v>41</v>
      </c>
      <c r="B6682" s="268">
        <v>44171</v>
      </c>
      <c r="C6682" s="1">
        <v>-1</v>
      </c>
      <c r="D6682" s="39">
        <f t="shared" si="557"/>
        <v>189</v>
      </c>
      <c r="E6682" s="1"/>
      <c r="F6682" s="522">
        <f t="shared" si="558"/>
        <v>3</v>
      </c>
      <c r="G6682" s="395"/>
      <c r="H6682" s="395"/>
      <c r="J6682" s="42"/>
    </row>
    <row r="6683" spans="1:10" s="393" customFormat="1" ht="15.75" thickBot="1" x14ac:dyDescent="0.3">
      <c r="A6683" s="402" t="s">
        <v>32</v>
      </c>
      <c r="B6683" s="268">
        <v>44171</v>
      </c>
      <c r="C6683" s="1">
        <v>0</v>
      </c>
      <c r="D6683" s="39">
        <f t="shared" si="557"/>
        <v>18415</v>
      </c>
      <c r="E6683" s="1">
        <v>1</v>
      </c>
      <c r="F6683" s="522">
        <f t="shared" si="558"/>
        <v>851</v>
      </c>
      <c r="G6683" s="395"/>
      <c r="H6683" s="395"/>
      <c r="J6683" s="42"/>
    </row>
    <row r="6684" spans="1:10" s="393" customFormat="1" ht="15.75" thickBot="1" x14ac:dyDescent="0.3">
      <c r="A6684" s="402" t="s">
        <v>33</v>
      </c>
      <c r="B6684" s="268">
        <v>44171</v>
      </c>
      <c r="C6684" s="1">
        <v>61</v>
      </c>
      <c r="D6684" s="39">
        <f t="shared" si="557"/>
        <v>6280</v>
      </c>
      <c r="E6684" s="1"/>
      <c r="F6684" s="522">
        <f t="shared" si="558"/>
        <v>88</v>
      </c>
      <c r="G6684" s="395"/>
      <c r="H6684" s="395"/>
      <c r="J6684" s="42"/>
    </row>
    <row r="6685" spans="1:10" s="393" customFormat="1" ht="15.75" thickBot="1" x14ac:dyDescent="0.3">
      <c r="A6685" s="402" t="s">
        <v>21</v>
      </c>
      <c r="B6685" s="268">
        <v>44171</v>
      </c>
      <c r="C6685" s="1">
        <v>5</v>
      </c>
      <c r="D6685" s="39">
        <f t="shared" si="557"/>
        <v>8839</v>
      </c>
      <c r="E6685" s="1">
        <v>1</v>
      </c>
      <c r="F6685" s="522">
        <f t="shared" si="558"/>
        <v>321</v>
      </c>
      <c r="G6685" s="395"/>
      <c r="H6685" s="395"/>
      <c r="J6685" s="42"/>
    </row>
    <row r="6686" spans="1:10" s="393" customFormat="1" ht="15.75" thickBot="1" x14ac:dyDescent="0.3">
      <c r="A6686" s="402" t="s">
        <v>17</v>
      </c>
      <c r="B6686" s="268">
        <v>44171</v>
      </c>
      <c r="C6686" s="1">
        <v>41</v>
      </c>
      <c r="D6686" s="39">
        <f t="shared" si="557"/>
        <v>57568</v>
      </c>
      <c r="E6686" s="1"/>
      <c r="F6686" s="522">
        <f t="shared" si="558"/>
        <v>1143</v>
      </c>
      <c r="G6686" s="395"/>
      <c r="H6686" s="395"/>
      <c r="J6686" s="42"/>
    </row>
    <row r="6687" spans="1:10" s="393" customFormat="1" ht="15.75" thickBot="1" x14ac:dyDescent="0.3">
      <c r="A6687" s="402" t="s">
        <v>23</v>
      </c>
      <c r="B6687" s="268">
        <v>44171</v>
      </c>
      <c r="C6687" s="1">
        <v>5</v>
      </c>
      <c r="D6687" s="39">
        <f t="shared" si="557"/>
        <v>573</v>
      </c>
      <c r="E6687" s="1"/>
      <c r="F6687" s="522">
        <f t="shared" si="558"/>
        <v>9</v>
      </c>
      <c r="G6687" s="395"/>
      <c r="H6687" s="395"/>
      <c r="J6687" s="42"/>
    </row>
    <row r="6688" spans="1:10" s="393" customFormat="1" ht="15.75" thickBot="1" x14ac:dyDescent="0.3">
      <c r="A6688" s="402" t="s">
        <v>19</v>
      </c>
      <c r="B6688" s="268">
        <v>44171</v>
      </c>
      <c r="C6688" s="1">
        <v>395</v>
      </c>
      <c r="D6688" s="39">
        <f t="shared" si="557"/>
        <v>34639</v>
      </c>
      <c r="E6688" s="1">
        <v>7</v>
      </c>
      <c r="F6688" s="522">
        <f t="shared" si="558"/>
        <v>655</v>
      </c>
      <c r="G6688" s="395"/>
      <c r="H6688" s="395"/>
      <c r="J6688" s="42"/>
    </row>
    <row r="6689" spans="1:10" s="393" customFormat="1" ht="15.75" thickBot="1" x14ac:dyDescent="0.3">
      <c r="A6689" s="402" t="s">
        <v>18</v>
      </c>
      <c r="B6689" s="268">
        <v>44171</v>
      </c>
      <c r="C6689" s="1">
        <v>115</v>
      </c>
      <c r="D6689" s="39">
        <f t="shared" ref="D6689:D6752" si="559">C6689+D6665</f>
        <v>32878</v>
      </c>
      <c r="E6689" s="1"/>
      <c r="F6689" s="522">
        <f t="shared" si="558"/>
        <v>801</v>
      </c>
      <c r="G6689" s="395"/>
      <c r="H6689" s="395"/>
      <c r="J6689" s="42"/>
    </row>
    <row r="6690" spans="1:10" s="393" customFormat="1" ht="15.75" thickBot="1" x14ac:dyDescent="0.3">
      <c r="A6690" s="402" t="s">
        <v>34</v>
      </c>
      <c r="B6690" s="268">
        <v>44171</v>
      </c>
      <c r="C6690" s="1">
        <v>14</v>
      </c>
      <c r="D6690" s="39">
        <f t="shared" si="559"/>
        <v>21418</v>
      </c>
      <c r="E6690" s="1"/>
      <c r="F6690" s="522">
        <f t="shared" ref="F6690:F6753" si="560">E6690+F6666</f>
        <v>991</v>
      </c>
      <c r="G6690" s="395"/>
      <c r="H6690" s="395"/>
      <c r="J6690" s="42"/>
    </row>
    <row r="6691" spans="1:10" s="393" customFormat="1" ht="15.75" thickBot="1" x14ac:dyDescent="0.3">
      <c r="A6691" s="402" t="s">
        <v>35</v>
      </c>
      <c r="B6691" s="268">
        <v>44171</v>
      </c>
      <c r="C6691" s="1">
        <v>19</v>
      </c>
      <c r="D6691" s="39">
        <f t="shared" si="559"/>
        <v>8464</v>
      </c>
      <c r="E6691" s="1"/>
      <c r="F6691" s="522">
        <f t="shared" si="560"/>
        <v>173</v>
      </c>
      <c r="G6691" s="395"/>
      <c r="H6691" s="395"/>
      <c r="J6691" s="42"/>
    </row>
    <row r="6692" spans="1:10" s="393" customFormat="1" ht="15.75" thickBot="1" x14ac:dyDescent="0.3">
      <c r="A6692" s="402" t="s">
        <v>36</v>
      </c>
      <c r="B6692" s="268">
        <v>44171</v>
      </c>
      <c r="C6692" s="1">
        <v>17</v>
      </c>
      <c r="D6692" s="39">
        <f t="shared" si="559"/>
        <v>15101</v>
      </c>
      <c r="E6692" s="1"/>
      <c r="F6692" s="522">
        <f t="shared" si="560"/>
        <v>236</v>
      </c>
      <c r="G6692" s="395"/>
      <c r="H6692" s="395"/>
      <c r="J6692" s="42"/>
    </row>
    <row r="6693" spans="1:10" s="393" customFormat="1" ht="15.75" thickBot="1" x14ac:dyDescent="0.3">
      <c r="A6693" s="402" t="s">
        <v>37</v>
      </c>
      <c r="B6693" s="268">
        <v>44171</v>
      </c>
      <c r="C6693" s="1">
        <v>172</v>
      </c>
      <c r="D6693" s="39">
        <f t="shared" si="559"/>
        <v>17297</v>
      </c>
      <c r="E6693" s="1">
        <v>1</v>
      </c>
      <c r="F6693" s="522">
        <f t="shared" si="560"/>
        <v>301</v>
      </c>
      <c r="G6693" s="395"/>
      <c r="H6693" s="395"/>
      <c r="J6693" s="42"/>
    </row>
    <row r="6694" spans="1:10" s="393" customFormat="1" ht="15.75" thickBot="1" x14ac:dyDescent="0.3">
      <c r="A6694" s="402" t="s">
        <v>22</v>
      </c>
      <c r="B6694" s="268">
        <v>44171</v>
      </c>
      <c r="C6694" s="1">
        <v>568</v>
      </c>
      <c r="D6694" s="39">
        <f t="shared" si="559"/>
        <v>154219</v>
      </c>
      <c r="E6694" s="1">
        <v>4</v>
      </c>
      <c r="F6694" s="522">
        <f t="shared" si="560"/>
        <v>2410</v>
      </c>
      <c r="G6694" s="395"/>
      <c r="H6694" s="395"/>
      <c r="J6694" s="42"/>
    </row>
    <row r="6695" spans="1:10" s="393" customFormat="1" ht="15.75" thickBot="1" x14ac:dyDescent="0.3">
      <c r="A6695" s="402" t="s">
        <v>38</v>
      </c>
      <c r="B6695" s="268">
        <v>44171</v>
      </c>
      <c r="C6695" s="1">
        <v>52</v>
      </c>
      <c r="D6695" s="39">
        <f t="shared" si="559"/>
        <v>16159</v>
      </c>
      <c r="E6695" s="1">
        <v>1</v>
      </c>
      <c r="F6695" s="522">
        <f t="shared" si="560"/>
        <v>200</v>
      </c>
      <c r="G6695" s="395"/>
      <c r="H6695" s="395"/>
      <c r="J6695" s="42"/>
    </row>
    <row r="6696" spans="1:10" s="393" customFormat="1" ht="15.75" thickBot="1" x14ac:dyDescent="0.3">
      <c r="A6696" s="402" t="s">
        <v>39</v>
      </c>
      <c r="B6696" s="268">
        <v>44171</v>
      </c>
      <c r="C6696" s="1">
        <v>61</v>
      </c>
      <c r="D6696" s="39">
        <f t="shared" si="559"/>
        <v>16745</v>
      </c>
      <c r="E6696" s="1">
        <v>1</v>
      </c>
      <c r="F6696" s="522">
        <f t="shared" si="560"/>
        <v>238</v>
      </c>
      <c r="G6696" s="395"/>
      <c r="H6696" s="395"/>
      <c r="J6696" s="42"/>
    </row>
    <row r="6697" spans="1:10" s="393" customFormat="1" ht="15.75" thickBot="1" x14ac:dyDescent="0.3">
      <c r="A6697" s="404" t="s">
        <v>40</v>
      </c>
      <c r="B6697" s="268">
        <v>44171</v>
      </c>
      <c r="C6697" s="1">
        <v>81</v>
      </c>
      <c r="D6697" s="177">
        <f t="shared" si="559"/>
        <v>67264</v>
      </c>
      <c r="E6697" s="1"/>
      <c r="F6697" s="631">
        <f t="shared" si="560"/>
        <v>1247</v>
      </c>
      <c r="G6697" s="395"/>
      <c r="H6697" s="395"/>
      <c r="J6697" s="42"/>
    </row>
    <row r="6698" spans="1:10" s="393" customFormat="1" ht="15.75" thickBot="1" x14ac:dyDescent="0.3">
      <c r="A6698" s="397" t="s">
        <v>16</v>
      </c>
      <c r="B6698" s="268">
        <v>44172</v>
      </c>
      <c r="C6698" s="1">
        <v>693</v>
      </c>
      <c r="D6698" s="175">
        <f t="shared" si="559"/>
        <v>629170</v>
      </c>
      <c r="E6698" s="1">
        <v>53</v>
      </c>
      <c r="F6698" s="630">
        <f t="shared" si="560"/>
        <v>21128</v>
      </c>
      <c r="G6698" s="395"/>
      <c r="H6698" s="395"/>
      <c r="J6698" s="42"/>
    </row>
    <row r="6699" spans="1:10" s="393" customFormat="1" ht="15.75" thickBot="1" x14ac:dyDescent="0.3">
      <c r="A6699" s="402" t="s">
        <v>43</v>
      </c>
      <c r="B6699" s="268">
        <v>44172</v>
      </c>
      <c r="C6699" s="1">
        <v>164</v>
      </c>
      <c r="D6699" s="39">
        <f t="shared" si="559"/>
        <v>160837</v>
      </c>
      <c r="E6699" s="1">
        <v>8</v>
      </c>
      <c r="F6699" s="522">
        <f t="shared" si="560"/>
        <v>5303</v>
      </c>
      <c r="G6699" s="395"/>
      <c r="H6699" s="395"/>
      <c r="J6699" s="42"/>
    </row>
    <row r="6700" spans="1:10" s="393" customFormat="1" ht="15.75" thickBot="1" x14ac:dyDescent="0.3">
      <c r="A6700" s="402" t="s">
        <v>28</v>
      </c>
      <c r="B6700" s="268">
        <v>44172</v>
      </c>
      <c r="C6700" s="1">
        <v>30</v>
      </c>
      <c r="D6700" s="39">
        <f t="shared" si="559"/>
        <v>2015</v>
      </c>
      <c r="E6700" s="1"/>
      <c r="F6700" s="522">
        <f t="shared" si="560"/>
        <v>17</v>
      </c>
      <c r="G6700" s="395"/>
      <c r="H6700" s="395"/>
      <c r="J6700" s="42"/>
    </row>
    <row r="6701" spans="1:10" s="393" customFormat="1" ht="15.75" thickBot="1" x14ac:dyDescent="0.3">
      <c r="A6701" s="402" t="s">
        <v>15</v>
      </c>
      <c r="B6701" s="268">
        <v>44172</v>
      </c>
      <c r="C6701" s="1">
        <v>96</v>
      </c>
      <c r="D6701" s="39">
        <f t="shared" si="559"/>
        <v>20826</v>
      </c>
      <c r="E6701" s="1"/>
      <c r="F6701" s="522">
        <f t="shared" si="560"/>
        <v>593</v>
      </c>
      <c r="G6701" s="395"/>
      <c r="H6701" s="395"/>
      <c r="J6701" s="42"/>
    </row>
    <row r="6702" spans="1:10" s="393" customFormat="1" ht="15.75" thickBot="1" x14ac:dyDescent="0.3">
      <c r="A6702" s="402" t="s">
        <v>29</v>
      </c>
      <c r="B6702" s="268">
        <v>44172</v>
      </c>
      <c r="C6702" s="1">
        <v>161</v>
      </c>
      <c r="D6702" s="39">
        <f t="shared" si="559"/>
        <v>24649</v>
      </c>
      <c r="E6702" s="1">
        <v>7</v>
      </c>
      <c r="F6702" s="522">
        <f t="shared" si="560"/>
        <v>407</v>
      </c>
      <c r="G6702" s="395"/>
      <c r="H6702" s="395"/>
      <c r="J6702" s="42"/>
    </row>
    <row r="6703" spans="1:10" s="393" customFormat="1" ht="15.75" thickBot="1" x14ac:dyDescent="0.3">
      <c r="A6703" s="402" t="s">
        <v>20</v>
      </c>
      <c r="B6703" s="268">
        <v>44172</v>
      </c>
      <c r="C6703" s="1">
        <v>95</v>
      </c>
      <c r="D6703" s="39">
        <f t="shared" si="559"/>
        <v>117607</v>
      </c>
      <c r="E6703" s="1">
        <v>9</v>
      </c>
      <c r="F6703" s="522">
        <f t="shared" si="560"/>
        <v>2098</v>
      </c>
      <c r="G6703" s="395"/>
      <c r="H6703" s="395"/>
      <c r="J6703" s="42"/>
    </row>
    <row r="6704" spans="1:10" s="393" customFormat="1" ht="15.75" thickBot="1" x14ac:dyDescent="0.3">
      <c r="A6704" s="402" t="s">
        <v>30</v>
      </c>
      <c r="B6704" s="268">
        <v>44172</v>
      </c>
      <c r="C6704" s="1">
        <v>185</v>
      </c>
      <c r="D6704" s="39">
        <f t="shared" si="559"/>
        <v>8862</v>
      </c>
      <c r="E6704" s="1">
        <v>7</v>
      </c>
      <c r="F6704" s="522">
        <f t="shared" si="560"/>
        <v>111</v>
      </c>
      <c r="G6704" s="395"/>
      <c r="H6704" s="395"/>
      <c r="J6704" s="42"/>
    </row>
    <row r="6705" spans="1:10" ht="15.75" thickBot="1" x14ac:dyDescent="0.3">
      <c r="A6705" s="402" t="s">
        <v>31</v>
      </c>
      <c r="B6705" s="268">
        <v>44172</v>
      </c>
      <c r="C6705" s="1">
        <v>55</v>
      </c>
      <c r="D6705" s="39">
        <f t="shared" si="559"/>
        <v>24575</v>
      </c>
      <c r="E6705" s="1">
        <v>5</v>
      </c>
      <c r="F6705" s="522">
        <f t="shared" si="560"/>
        <v>492</v>
      </c>
    </row>
    <row r="6706" spans="1:10" s="393" customFormat="1" ht="15.75" thickBot="1" x14ac:dyDescent="0.3">
      <c r="A6706" s="402" t="s">
        <v>41</v>
      </c>
      <c r="B6706" s="268">
        <v>44172</v>
      </c>
      <c r="C6706" s="1">
        <v>0</v>
      </c>
      <c r="D6706" s="39">
        <f t="shared" si="559"/>
        <v>189</v>
      </c>
      <c r="E6706" s="1"/>
      <c r="F6706" s="522">
        <f t="shared" si="560"/>
        <v>3</v>
      </c>
      <c r="G6706" s="395"/>
      <c r="H6706" s="395"/>
      <c r="J6706" s="42"/>
    </row>
    <row r="6707" spans="1:10" s="393" customFormat="1" ht="15.75" thickBot="1" x14ac:dyDescent="0.3">
      <c r="A6707" s="402" t="s">
        <v>32</v>
      </c>
      <c r="B6707" s="268">
        <v>44172</v>
      </c>
      <c r="C6707" s="1">
        <v>1</v>
      </c>
      <c r="D6707" s="39">
        <f t="shared" si="559"/>
        <v>18416</v>
      </c>
      <c r="E6707" s="1">
        <v>1</v>
      </c>
      <c r="F6707" s="522">
        <f t="shared" si="560"/>
        <v>852</v>
      </c>
      <c r="G6707" s="395"/>
      <c r="H6707" s="395"/>
      <c r="J6707" s="42"/>
    </row>
    <row r="6708" spans="1:10" s="393" customFormat="1" ht="15.75" thickBot="1" x14ac:dyDescent="0.3">
      <c r="A6708" s="402" t="s">
        <v>33</v>
      </c>
      <c r="B6708" s="268">
        <v>44172</v>
      </c>
      <c r="C6708" s="1">
        <v>58</v>
      </c>
      <c r="D6708" s="39">
        <f t="shared" si="559"/>
        <v>6338</v>
      </c>
      <c r="E6708" s="1">
        <v>7</v>
      </c>
      <c r="F6708" s="522">
        <f t="shared" si="560"/>
        <v>95</v>
      </c>
      <c r="G6708" s="395"/>
      <c r="H6708" s="395"/>
      <c r="J6708" s="42"/>
    </row>
    <row r="6709" spans="1:10" s="393" customFormat="1" ht="15.75" thickBot="1" x14ac:dyDescent="0.3">
      <c r="A6709" s="402" t="s">
        <v>21</v>
      </c>
      <c r="B6709" s="268">
        <v>44172</v>
      </c>
      <c r="C6709" s="1">
        <v>19</v>
      </c>
      <c r="D6709" s="39">
        <f t="shared" si="559"/>
        <v>8858</v>
      </c>
      <c r="E6709" s="1"/>
      <c r="F6709" s="522">
        <f t="shared" si="560"/>
        <v>321</v>
      </c>
      <c r="G6709" s="395"/>
      <c r="H6709" s="395"/>
      <c r="J6709" s="42"/>
    </row>
    <row r="6710" spans="1:10" s="393" customFormat="1" ht="15.75" thickBot="1" x14ac:dyDescent="0.3">
      <c r="A6710" s="402" t="s">
        <v>17</v>
      </c>
      <c r="B6710" s="268">
        <v>44172</v>
      </c>
      <c r="C6710" s="1">
        <v>32</v>
      </c>
      <c r="D6710" s="39">
        <f t="shared" si="559"/>
        <v>57600</v>
      </c>
      <c r="E6710" s="1">
        <v>1</v>
      </c>
      <c r="F6710" s="522">
        <f t="shared" si="560"/>
        <v>1144</v>
      </c>
      <c r="G6710" s="395"/>
      <c r="H6710" s="395"/>
      <c r="J6710" s="42"/>
    </row>
    <row r="6711" spans="1:10" s="393" customFormat="1" ht="15.75" thickBot="1" x14ac:dyDescent="0.3">
      <c r="A6711" s="402" t="s">
        <v>23</v>
      </c>
      <c r="B6711" s="268">
        <v>44172</v>
      </c>
      <c r="C6711" s="1">
        <v>6</v>
      </c>
      <c r="D6711" s="39">
        <f t="shared" si="559"/>
        <v>579</v>
      </c>
      <c r="E6711" s="1"/>
      <c r="F6711" s="522">
        <f t="shared" si="560"/>
        <v>9</v>
      </c>
      <c r="G6711" s="395"/>
      <c r="H6711" s="395"/>
      <c r="J6711" s="42"/>
    </row>
    <row r="6712" spans="1:10" s="393" customFormat="1" ht="15.75" thickBot="1" x14ac:dyDescent="0.3">
      <c r="A6712" s="402" t="s">
        <v>19</v>
      </c>
      <c r="B6712" s="268">
        <v>44172</v>
      </c>
      <c r="C6712" s="1">
        <v>473</v>
      </c>
      <c r="D6712" s="39">
        <f t="shared" si="559"/>
        <v>35112</v>
      </c>
      <c r="E6712" s="1">
        <v>1</v>
      </c>
      <c r="F6712" s="522">
        <f t="shared" si="560"/>
        <v>656</v>
      </c>
      <c r="G6712" s="395"/>
      <c r="H6712" s="395"/>
      <c r="J6712" s="42"/>
    </row>
    <row r="6713" spans="1:10" s="393" customFormat="1" ht="15.75" thickBot="1" x14ac:dyDescent="0.3">
      <c r="A6713" s="402" t="s">
        <v>18</v>
      </c>
      <c r="B6713" s="268">
        <v>44172</v>
      </c>
      <c r="C6713" s="1">
        <v>93</v>
      </c>
      <c r="D6713" s="39">
        <f t="shared" si="559"/>
        <v>32971</v>
      </c>
      <c r="E6713" s="1"/>
      <c r="F6713" s="522">
        <f t="shared" si="560"/>
        <v>801</v>
      </c>
      <c r="G6713" s="395"/>
      <c r="H6713" s="395"/>
      <c r="J6713" s="42"/>
    </row>
    <row r="6714" spans="1:10" s="393" customFormat="1" ht="15.75" thickBot="1" x14ac:dyDescent="0.3">
      <c r="A6714" s="402" t="s">
        <v>34</v>
      </c>
      <c r="B6714" s="268">
        <v>44172</v>
      </c>
      <c r="C6714" s="1">
        <v>13</v>
      </c>
      <c r="D6714" s="39">
        <f t="shared" si="559"/>
        <v>21431</v>
      </c>
      <c r="E6714" s="1"/>
      <c r="F6714" s="522">
        <f t="shared" si="560"/>
        <v>991</v>
      </c>
      <c r="G6714" s="395"/>
      <c r="H6714" s="395"/>
      <c r="J6714" s="42"/>
    </row>
    <row r="6715" spans="1:10" s="393" customFormat="1" ht="15.75" thickBot="1" x14ac:dyDescent="0.3">
      <c r="A6715" s="402" t="s">
        <v>35</v>
      </c>
      <c r="B6715" s="268">
        <v>44172</v>
      </c>
      <c r="C6715" s="1">
        <v>35</v>
      </c>
      <c r="D6715" s="39">
        <f t="shared" si="559"/>
        <v>8499</v>
      </c>
      <c r="E6715" s="1"/>
      <c r="F6715" s="522">
        <f t="shared" si="560"/>
        <v>173</v>
      </c>
      <c r="G6715" s="395"/>
      <c r="H6715" s="395"/>
      <c r="J6715" s="42"/>
    </row>
    <row r="6716" spans="1:10" s="393" customFormat="1" ht="15.75" thickBot="1" x14ac:dyDescent="0.3">
      <c r="A6716" s="402" t="s">
        <v>36</v>
      </c>
      <c r="B6716" s="268">
        <v>44172</v>
      </c>
      <c r="C6716" s="1">
        <v>43</v>
      </c>
      <c r="D6716" s="39">
        <f t="shared" si="559"/>
        <v>15144</v>
      </c>
      <c r="E6716" s="1"/>
      <c r="F6716" s="522">
        <f t="shared" si="560"/>
        <v>236</v>
      </c>
      <c r="G6716" s="395"/>
      <c r="H6716" s="395"/>
      <c r="J6716" s="42"/>
    </row>
    <row r="6717" spans="1:10" s="393" customFormat="1" ht="15.75" thickBot="1" x14ac:dyDescent="0.3">
      <c r="A6717" s="402" t="s">
        <v>37</v>
      </c>
      <c r="B6717" s="268">
        <v>44172</v>
      </c>
      <c r="C6717" s="1">
        <v>119</v>
      </c>
      <c r="D6717" s="39">
        <f t="shared" si="559"/>
        <v>17416</v>
      </c>
      <c r="E6717" s="1">
        <v>5</v>
      </c>
      <c r="F6717" s="522">
        <f t="shared" si="560"/>
        <v>306</v>
      </c>
      <c r="G6717" s="395"/>
      <c r="H6717" s="395"/>
      <c r="J6717" s="42"/>
    </row>
    <row r="6718" spans="1:10" s="393" customFormat="1" ht="15.75" thickBot="1" x14ac:dyDescent="0.3">
      <c r="A6718" s="402" t="s">
        <v>22</v>
      </c>
      <c r="B6718" s="268">
        <v>44172</v>
      </c>
      <c r="C6718" s="1">
        <v>576</v>
      </c>
      <c r="D6718" s="39">
        <f t="shared" si="559"/>
        <v>154795</v>
      </c>
      <c r="E6718" s="1">
        <v>14</v>
      </c>
      <c r="F6718" s="522">
        <f t="shared" si="560"/>
        <v>2424</v>
      </c>
      <c r="G6718" s="395"/>
      <c r="H6718" s="395"/>
      <c r="J6718" s="42"/>
    </row>
    <row r="6719" spans="1:10" s="393" customFormat="1" ht="15.75" thickBot="1" x14ac:dyDescent="0.3">
      <c r="A6719" s="402" t="s">
        <v>38</v>
      </c>
      <c r="B6719" s="268">
        <v>44172</v>
      </c>
      <c r="C6719" s="1">
        <v>57</v>
      </c>
      <c r="D6719" s="39">
        <f t="shared" si="559"/>
        <v>16216</v>
      </c>
      <c r="E6719" s="1"/>
      <c r="F6719" s="522">
        <f t="shared" si="560"/>
        <v>200</v>
      </c>
      <c r="G6719" s="395"/>
      <c r="H6719" s="395"/>
      <c r="J6719" s="42"/>
    </row>
    <row r="6720" spans="1:10" s="393" customFormat="1" ht="15.75" thickBot="1" x14ac:dyDescent="0.3">
      <c r="A6720" s="402" t="s">
        <v>39</v>
      </c>
      <c r="B6720" s="268">
        <v>44172</v>
      </c>
      <c r="C6720" s="1">
        <v>109</v>
      </c>
      <c r="D6720" s="39">
        <f t="shared" si="559"/>
        <v>16854</v>
      </c>
      <c r="E6720" s="1"/>
      <c r="F6720" s="522">
        <f t="shared" si="560"/>
        <v>238</v>
      </c>
      <c r="G6720" s="395"/>
      <c r="H6720" s="395"/>
      <c r="J6720" s="42"/>
    </row>
    <row r="6721" spans="1:10" s="393" customFormat="1" ht="15.75" thickBot="1" x14ac:dyDescent="0.3">
      <c r="A6721" s="403" t="s">
        <v>40</v>
      </c>
      <c r="B6721" s="34">
        <v>44172</v>
      </c>
      <c r="C6721" s="234">
        <v>86</v>
      </c>
      <c r="D6721" s="67">
        <f>C6721+D6697</f>
        <v>67350</v>
      </c>
      <c r="E6721" s="234"/>
      <c r="F6721" s="632">
        <f t="shared" si="560"/>
        <v>1247</v>
      </c>
      <c r="G6721" s="395"/>
      <c r="H6721" s="395"/>
      <c r="J6721" s="42"/>
    </row>
    <row r="6722" spans="1:10" s="393" customFormat="1" x14ac:dyDescent="0.25">
      <c r="A6722" s="397" t="s">
        <v>16</v>
      </c>
      <c r="B6722" s="267">
        <v>44173</v>
      </c>
      <c r="C6722" s="43">
        <v>836</v>
      </c>
      <c r="D6722" s="175">
        <f t="shared" si="559"/>
        <v>630006</v>
      </c>
      <c r="E6722" s="43">
        <v>39</v>
      </c>
      <c r="F6722" s="630">
        <f t="shared" si="560"/>
        <v>21167</v>
      </c>
      <c r="G6722" s="395"/>
      <c r="H6722" s="395"/>
      <c r="J6722" s="42"/>
    </row>
    <row r="6723" spans="1:10" s="393" customFormat="1" x14ac:dyDescent="0.25">
      <c r="A6723" s="402" t="s">
        <v>43</v>
      </c>
      <c r="B6723" s="2">
        <v>44173</v>
      </c>
      <c r="C6723" s="1">
        <v>159</v>
      </c>
      <c r="D6723" s="39">
        <f t="shared" si="559"/>
        <v>160996</v>
      </c>
      <c r="E6723" s="1">
        <v>3</v>
      </c>
      <c r="F6723" s="522">
        <f t="shared" si="560"/>
        <v>5306</v>
      </c>
      <c r="G6723" s="395"/>
      <c r="H6723" s="395"/>
      <c r="J6723" s="42"/>
    </row>
    <row r="6724" spans="1:10" s="393" customFormat="1" x14ac:dyDescent="0.25">
      <c r="A6724" s="402" t="s">
        <v>28</v>
      </c>
      <c r="B6724" s="2">
        <v>44173</v>
      </c>
      <c r="C6724" s="1">
        <v>12</v>
      </c>
      <c r="D6724" s="39">
        <f t="shared" si="559"/>
        <v>2027</v>
      </c>
      <c r="E6724" s="1"/>
      <c r="F6724" s="522">
        <f t="shared" si="560"/>
        <v>17</v>
      </c>
      <c r="G6724" s="395"/>
      <c r="H6724" s="395"/>
      <c r="J6724" s="42"/>
    </row>
    <row r="6725" spans="1:10" s="393" customFormat="1" x14ac:dyDescent="0.25">
      <c r="A6725" s="402" t="s">
        <v>15</v>
      </c>
      <c r="B6725" s="2">
        <v>44173</v>
      </c>
      <c r="C6725" s="1">
        <v>59</v>
      </c>
      <c r="D6725" s="39">
        <f t="shared" si="559"/>
        <v>20885</v>
      </c>
      <c r="E6725" s="1">
        <v>10</v>
      </c>
      <c r="F6725" s="522">
        <f t="shared" si="560"/>
        <v>603</v>
      </c>
      <c r="G6725" s="395"/>
      <c r="H6725" s="395"/>
      <c r="J6725" s="42"/>
    </row>
    <row r="6726" spans="1:10" s="393" customFormat="1" x14ac:dyDescent="0.25">
      <c r="A6726" s="402" t="s">
        <v>29</v>
      </c>
      <c r="B6726" s="2">
        <v>44173</v>
      </c>
      <c r="C6726" s="1">
        <v>121</v>
      </c>
      <c r="D6726" s="39">
        <f t="shared" si="559"/>
        <v>24770</v>
      </c>
      <c r="E6726" s="1">
        <v>4</v>
      </c>
      <c r="F6726" s="522">
        <f t="shared" si="560"/>
        <v>411</v>
      </c>
      <c r="G6726" s="395"/>
      <c r="H6726" s="395"/>
      <c r="J6726" s="42"/>
    </row>
    <row r="6727" spans="1:10" s="393" customFormat="1" x14ac:dyDescent="0.25">
      <c r="A6727" s="402" t="s">
        <v>20</v>
      </c>
      <c r="B6727" s="2">
        <v>44173</v>
      </c>
      <c r="C6727" s="1">
        <v>241</v>
      </c>
      <c r="D6727" s="39">
        <f t="shared" si="559"/>
        <v>117848</v>
      </c>
      <c r="E6727" s="1">
        <v>19</v>
      </c>
      <c r="F6727" s="522">
        <f t="shared" si="560"/>
        <v>2117</v>
      </c>
      <c r="G6727" s="395"/>
      <c r="H6727" s="395"/>
      <c r="J6727" s="42"/>
    </row>
    <row r="6728" spans="1:10" s="393" customFormat="1" x14ac:dyDescent="0.25">
      <c r="A6728" s="402" t="s">
        <v>30</v>
      </c>
      <c r="B6728" s="2">
        <v>44173</v>
      </c>
      <c r="C6728" s="1">
        <v>127</v>
      </c>
      <c r="D6728" s="39">
        <f t="shared" si="559"/>
        <v>8989</v>
      </c>
      <c r="E6728" s="1">
        <v>9</v>
      </c>
      <c r="F6728" s="522">
        <f t="shared" si="560"/>
        <v>120</v>
      </c>
      <c r="G6728" s="395"/>
      <c r="H6728" s="395"/>
      <c r="J6728" s="42"/>
    </row>
    <row r="6729" spans="1:10" x14ac:dyDescent="0.25">
      <c r="A6729" s="402" t="s">
        <v>31</v>
      </c>
      <c r="B6729" s="2">
        <v>44173</v>
      </c>
      <c r="C6729" s="1">
        <v>137</v>
      </c>
      <c r="D6729" s="39">
        <f t="shared" si="559"/>
        <v>24712</v>
      </c>
      <c r="E6729" s="1">
        <v>6</v>
      </c>
      <c r="F6729" s="522">
        <f t="shared" si="560"/>
        <v>498</v>
      </c>
    </row>
    <row r="6730" spans="1:10" s="393" customFormat="1" x14ac:dyDescent="0.25">
      <c r="A6730" s="402" t="s">
        <v>41</v>
      </c>
      <c r="B6730" s="2">
        <v>44173</v>
      </c>
      <c r="C6730" s="1">
        <v>4</v>
      </c>
      <c r="D6730" s="39">
        <f t="shared" si="559"/>
        <v>193</v>
      </c>
      <c r="E6730" s="1"/>
      <c r="F6730" s="522">
        <f t="shared" si="560"/>
        <v>3</v>
      </c>
      <c r="G6730" s="395"/>
      <c r="H6730" s="395"/>
      <c r="J6730" s="42"/>
    </row>
    <row r="6731" spans="1:10" s="393" customFormat="1" x14ac:dyDescent="0.25">
      <c r="A6731" s="402" t="s">
        <v>32</v>
      </c>
      <c r="B6731" s="2">
        <v>44173</v>
      </c>
      <c r="C6731" s="1">
        <v>9</v>
      </c>
      <c r="D6731" s="39">
        <f t="shared" si="559"/>
        <v>18425</v>
      </c>
      <c r="E6731" s="1"/>
      <c r="F6731" s="522">
        <f t="shared" si="560"/>
        <v>852</v>
      </c>
      <c r="G6731" s="395"/>
      <c r="H6731" s="395"/>
      <c r="J6731" s="42"/>
    </row>
    <row r="6732" spans="1:10" s="393" customFormat="1" x14ac:dyDescent="0.25">
      <c r="A6732" s="402" t="s">
        <v>33</v>
      </c>
      <c r="B6732" s="2">
        <v>44173</v>
      </c>
      <c r="C6732" s="1">
        <v>62</v>
      </c>
      <c r="D6732" s="39">
        <f t="shared" si="559"/>
        <v>6400</v>
      </c>
      <c r="E6732" s="1"/>
      <c r="F6732" s="522">
        <f t="shared" si="560"/>
        <v>95</v>
      </c>
      <c r="G6732" s="395"/>
      <c r="H6732" s="395"/>
      <c r="J6732" s="42"/>
    </row>
    <row r="6733" spans="1:10" s="393" customFormat="1" x14ac:dyDescent="0.25">
      <c r="A6733" s="402" t="s">
        <v>21</v>
      </c>
      <c r="B6733" s="2">
        <v>44173</v>
      </c>
      <c r="C6733" s="1">
        <v>7</v>
      </c>
      <c r="D6733" s="39">
        <f t="shared" si="559"/>
        <v>8865</v>
      </c>
      <c r="E6733" s="1">
        <v>1</v>
      </c>
      <c r="F6733" s="522">
        <f t="shared" si="560"/>
        <v>322</v>
      </c>
      <c r="G6733" s="395"/>
      <c r="H6733" s="395"/>
      <c r="J6733" s="42"/>
    </row>
    <row r="6734" spans="1:10" s="393" customFormat="1" x14ac:dyDescent="0.25">
      <c r="A6734" s="402" t="s">
        <v>17</v>
      </c>
      <c r="B6734" s="2">
        <v>44173</v>
      </c>
      <c r="C6734" s="1">
        <v>32</v>
      </c>
      <c r="D6734" s="39">
        <f t="shared" si="559"/>
        <v>57632</v>
      </c>
      <c r="E6734" s="1">
        <v>2</v>
      </c>
      <c r="F6734" s="522">
        <f t="shared" si="560"/>
        <v>1146</v>
      </c>
      <c r="G6734" s="395"/>
      <c r="H6734" s="395"/>
      <c r="J6734" s="42"/>
    </row>
    <row r="6735" spans="1:10" s="393" customFormat="1" x14ac:dyDescent="0.25">
      <c r="A6735" s="402" t="s">
        <v>23</v>
      </c>
      <c r="B6735" s="2">
        <v>44173</v>
      </c>
      <c r="C6735" s="1">
        <v>11</v>
      </c>
      <c r="D6735" s="39">
        <f t="shared" si="559"/>
        <v>590</v>
      </c>
      <c r="E6735" s="1"/>
      <c r="F6735" s="522">
        <f t="shared" si="560"/>
        <v>9</v>
      </c>
      <c r="G6735" s="395"/>
      <c r="H6735" s="395"/>
      <c r="J6735" s="42"/>
    </row>
    <row r="6736" spans="1:10" s="393" customFormat="1" x14ac:dyDescent="0.25">
      <c r="A6736" s="402" t="s">
        <v>19</v>
      </c>
      <c r="B6736" s="2">
        <v>44173</v>
      </c>
      <c r="C6736" s="1">
        <v>477</v>
      </c>
      <c r="D6736" s="39">
        <f t="shared" si="559"/>
        <v>35589</v>
      </c>
      <c r="E6736" s="1"/>
      <c r="F6736" s="522">
        <f t="shared" si="560"/>
        <v>656</v>
      </c>
      <c r="G6736" s="395"/>
      <c r="H6736" s="395"/>
      <c r="J6736" s="42"/>
    </row>
    <row r="6737" spans="1:10" s="393" customFormat="1" x14ac:dyDescent="0.25">
      <c r="A6737" s="402" t="s">
        <v>18</v>
      </c>
      <c r="B6737" s="2">
        <v>44173</v>
      </c>
      <c r="C6737" s="1">
        <v>137</v>
      </c>
      <c r="D6737" s="39">
        <f t="shared" si="559"/>
        <v>33108</v>
      </c>
      <c r="E6737" s="1">
        <v>2</v>
      </c>
      <c r="F6737" s="522">
        <f t="shared" si="560"/>
        <v>803</v>
      </c>
      <c r="G6737" s="395"/>
      <c r="H6737" s="395"/>
      <c r="J6737" s="42"/>
    </row>
    <row r="6738" spans="1:10" s="393" customFormat="1" x14ac:dyDescent="0.25">
      <c r="A6738" s="402" t="s">
        <v>34</v>
      </c>
      <c r="B6738" s="2">
        <v>44173</v>
      </c>
      <c r="C6738" s="1">
        <v>7</v>
      </c>
      <c r="D6738" s="39">
        <f t="shared" si="559"/>
        <v>21438</v>
      </c>
      <c r="E6738" s="1"/>
      <c r="F6738" s="522">
        <f t="shared" si="560"/>
        <v>991</v>
      </c>
      <c r="G6738" s="395"/>
      <c r="H6738" s="395"/>
      <c r="J6738" s="42"/>
    </row>
    <row r="6739" spans="1:10" s="393" customFormat="1" x14ac:dyDescent="0.25">
      <c r="A6739" s="402" t="s">
        <v>35</v>
      </c>
      <c r="B6739" s="2">
        <v>44173</v>
      </c>
      <c r="C6739" s="1">
        <v>107</v>
      </c>
      <c r="D6739" s="39">
        <f t="shared" si="559"/>
        <v>8606</v>
      </c>
      <c r="E6739" s="1"/>
      <c r="F6739" s="522">
        <f t="shared" si="560"/>
        <v>173</v>
      </c>
      <c r="G6739" s="395"/>
      <c r="H6739" s="395"/>
      <c r="J6739" s="42"/>
    </row>
    <row r="6740" spans="1:10" s="393" customFormat="1" x14ac:dyDescent="0.25">
      <c r="A6740" s="402" t="s">
        <v>36</v>
      </c>
      <c r="B6740" s="2">
        <v>44173</v>
      </c>
      <c r="C6740" s="1">
        <v>87</v>
      </c>
      <c r="D6740" s="39">
        <f t="shared" si="559"/>
        <v>15231</v>
      </c>
      <c r="E6740" s="1"/>
      <c r="F6740" s="522">
        <f t="shared" si="560"/>
        <v>236</v>
      </c>
      <c r="G6740" s="395"/>
      <c r="H6740" s="395"/>
      <c r="J6740" s="42"/>
    </row>
    <row r="6741" spans="1:10" s="393" customFormat="1" x14ac:dyDescent="0.25">
      <c r="A6741" s="402" t="s">
        <v>37</v>
      </c>
      <c r="B6741" s="2">
        <v>44173</v>
      </c>
      <c r="C6741" s="1">
        <v>238</v>
      </c>
      <c r="D6741" s="39">
        <f t="shared" si="559"/>
        <v>17654</v>
      </c>
      <c r="E6741" s="1">
        <v>2</v>
      </c>
      <c r="F6741" s="522">
        <f t="shared" si="560"/>
        <v>308</v>
      </c>
      <c r="G6741" s="395"/>
      <c r="H6741" s="395"/>
      <c r="J6741" s="42"/>
    </row>
    <row r="6742" spans="1:10" s="393" customFormat="1" x14ac:dyDescent="0.25">
      <c r="A6742" s="402" t="s">
        <v>22</v>
      </c>
      <c r="B6742" s="2">
        <v>44173</v>
      </c>
      <c r="C6742" s="1">
        <v>559</v>
      </c>
      <c r="D6742" s="39">
        <f t="shared" si="559"/>
        <v>155354</v>
      </c>
      <c r="E6742" s="1">
        <v>21</v>
      </c>
      <c r="F6742" s="522">
        <f t="shared" si="560"/>
        <v>2445</v>
      </c>
      <c r="G6742" s="395"/>
      <c r="H6742" s="395"/>
      <c r="J6742" s="42"/>
    </row>
    <row r="6743" spans="1:10" s="393" customFormat="1" x14ac:dyDescent="0.25">
      <c r="A6743" s="402" t="s">
        <v>38</v>
      </c>
      <c r="B6743" s="2">
        <v>44173</v>
      </c>
      <c r="C6743" s="1">
        <v>23</v>
      </c>
      <c r="D6743" s="39">
        <f t="shared" si="559"/>
        <v>16239</v>
      </c>
      <c r="E6743" s="1">
        <v>1</v>
      </c>
      <c r="F6743" s="522">
        <f t="shared" si="560"/>
        <v>201</v>
      </c>
      <c r="G6743" s="395"/>
      <c r="H6743" s="395"/>
      <c r="J6743" s="42"/>
    </row>
    <row r="6744" spans="1:10" s="393" customFormat="1" x14ac:dyDescent="0.25">
      <c r="A6744" s="402" t="s">
        <v>39</v>
      </c>
      <c r="B6744" s="2">
        <v>44173</v>
      </c>
      <c r="C6744" s="1">
        <v>65</v>
      </c>
      <c r="D6744" s="39">
        <f t="shared" si="559"/>
        <v>16919</v>
      </c>
      <c r="E6744" s="1">
        <v>1</v>
      </c>
      <c r="F6744" s="522">
        <f t="shared" si="560"/>
        <v>239</v>
      </c>
      <c r="G6744" s="395"/>
      <c r="H6744" s="395"/>
      <c r="J6744" s="42"/>
    </row>
    <row r="6745" spans="1:10" s="393" customFormat="1" ht="15.75" thickBot="1" x14ac:dyDescent="0.3">
      <c r="A6745" s="404" t="s">
        <v>40</v>
      </c>
      <c r="B6745" s="268">
        <v>44173</v>
      </c>
      <c r="C6745" s="44">
        <v>93</v>
      </c>
      <c r="D6745" s="177">
        <f>C6745+D6721</f>
        <v>67443</v>
      </c>
      <c r="E6745" s="44"/>
      <c r="F6745" s="631">
        <f t="shared" si="560"/>
        <v>1247</v>
      </c>
      <c r="G6745" s="395"/>
      <c r="H6745" s="395"/>
      <c r="J6745" s="42"/>
    </row>
    <row r="6746" spans="1:10" s="393" customFormat="1" x14ac:dyDescent="0.25">
      <c r="A6746" s="409" t="s">
        <v>16</v>
      </c>
      <c r="B6746" s="269">
        <v>44174</v>
      </c>
      <c r="C6746" s="227">
        <v>1460</v>
      </c>
      <c r="D6746" s="264">
        <f t="shared" si="559"/>
        <v>631466</v>
      </c>
      <c r="E6746" s="227">
        <v>67</v>
      </c>
      <c r="F6746" s="636">
        <f t="shared" si="560"/>
        <v>21234</v>
      </c>
      <c r="G6746" s="395"/>
      <c r="H6746" s="395"/>
      <c r="J6746" s="42"/>
    </row>
    <row r="6747" spans="1:10" s="393" customFormat="1" x14ac:dyDescent="0.25">
      <c r="A6747" s="402" t="s">
        <v>43</v>
      </c>
      <c r="B6747" s="2">
        <v>44174</v>
      </c>
      <c r="C6747" s="1">
        <v>334</v>
      </c>
      <c r="D6747" s="39">
        <f t="shared" si="559"/>
        <v>161330</v>
      </c>
      <c r="E6747" s="1">
        <v>16</v>
      </c>
      <c r="F6747" s="522">
        <f t="shared" si="560"/>
        <v>5322</v>
      </c>
      <c r="G6747" s="395"/>
      <c r="H6747" s="395"/>
      <c r="J6747" s="42"/>
    </row>
    <row r="6748" spans="1:10" s="393" customFormat="1" x14ac:dyDescent="0.25">
      <c r="A6748" s="402" t="s">
        <v>28</v>
      </c>
      <c r="B6748" s="2">
        <v>44174</v>
      </c>
      <c r="C6748" s="1">
        <v>3</v>
      </c>
      <c r="D6748" s="39">
        <f t="shared" si="559"/>
        <v>2030</v>
      </c>
      <c r="E6748" s="1"/>
      <c r="F6748" s="522">
        <f t="shared" si="560"/>
        <v>17</v>
      </c>
      <c r="G6748" s="395"/>
      <c r="H6748" s="395"/>
      <c r="J6748" s="42"/>
    </row>
    <row r="6749" spans="1:10" s="393" customFormat="1" x14ac:dyDescent="0.25">
      <c r="A6749" s="402" t="s">
        <v>15</v>
      </c>
      <c r="B6749" s="2">
        <v>44174</v>
      </c>
      <c r="C6749" s="1">
        <v>151</v>
      </c>
      <c r="D6749" s="39">
        <f t="shared" si="559"/>
        <v>21036</v>
      </c>
      <c r="E6749" s="1">
        <v>4</v>
      </c>
      <c r="F6749" s="522">
        <f t="shared" si="560"/>
        <v>607</v>
      </c>
      <c r="G6749" s="395"/>
      <c r="H6749" s="395"/>
      <c r="J6749" s="42"/>
    </row>
    <row r="6750" spans="1:10" s="393" customFormat="1" x14ac:dyDescent="0.25">
      <c r="A6750" s="402" t="s">
        <v>29</v>
      </c>
      <c r="B6750" s="2">
        <v>44174</v>
      </c>
      <c r="C6750" s="1">
        <v>266</v>
      </c>
      <c r="D6750" s="39">
        <f t="shared" si="559"/>
        <v>25036</v>
      </c>
      <c r="E6750" s="1"/>
      <c r="F6750" s="522">
        <f t="shared" si="560"/>
        <v>411</v>
      </c>
      <c r="G6750" s="395"/>
      <c r="H6750" s="395"/>
      <c r="J6750" s="42"/>
    </row>
    <row r="6751" spans="1:10" s="393" customFormat="1" x14ac:dyDescent="0.25">
      <c r="A6751" s="402" t="s">
        <v>20</v>
      </c>
      <c r="B6751" s="2">
        <v>44174</v>
      </c>
      <c r="C6751" s="1">
        <v>251</v>
      </c>
      <c r="D6751" s="39">
        <f t="shared" si="559"/>
        <v>118099</v>
      </c>
      <c r="E6751" s="1">
        <v>24</v>
      </c>
      <c r="F6751" s="522">
        <f t="shared" si="560"/>
        <v>2141</v>
      </c>
      <c r="G6751" s="395"/>
      <c r="H6751" s="395"/>
      <c r="J6751" s="42"/>
    </row>
    <row r="6752" spans="1:10" s="393" customFormat="1" x14ac:dyDescent="0.25">
      <c r="A6752" s="402" t="s">
        <v>30</v>
      </c>
      <c r="B6752" s="2">
        <v>44174</v>
      </c>
      <c r="C6752" s="1">
        <v>61</v>
      </c>
      <c r="D6752" s="39">
        <f t="shared" si="559"/>
        <v>9050</v>
      </c>
      <c r="E6752" s="1">
        <v>10</v>
      </c>
      <c r="F6752" s="522">
        <f t="shared" si="560"/>
        <v>130</v>
      </c>
      <c r="G6752" s="395"/>
      <c r="H6752" s="395"/>
      <c r="J6752" s="42"/>
    </row>
    <row r="6753" spans="1:10" x14ac:dyDescent="0.25">
      <c r="A6753" s="402" t="s">
        <v>31</v>
      </c>
      <c r="B6753" s="2">
        <v>44174</v>
      </c>
      <c r="C6753" s="1">
        <v>103</v>
      </c>
      <c r="D6753" s="39">
        <f t="shared" ref="D6753:D6818" si="561">C6753+D6729</f>
        <v>24815</v>
      </c>
      <c r="E6753" s="1">
        <v>7</v>
      </c>
      <c r="F6753" s="522">
        <f t="shared" si="560"/>
        <v>505</v>
      </c>
    </row>
    <row r="6754" spans="1:10" s="393" customFormat="1" x14ac:dyDescent="0.25">
      <c r="A6754" s="402" t="s">
        <v>41</v>
      </c>
      <c r="B6754" s="2">
        <v>44174</v>
      </c>
      <c r="C6754" s="1">
        <v>4</v>
      </c>
      <c r="D6754" s="39">
        <f t="shared" si="561"/>
        <v>197</v>
      </c>
      <c r="E6754" s="1"/>
      <c r="F6754" s="522">
        <f t="shared" ref="F6754:F6818" si="562">E6754+F6730</f>
        <v>3</v>
      </c>
      <c r="G6754" s="395"/>
      <c r="H6754" s="395"/>
      <c r="J6754" s="42"/>
    </row>
    <row r="6755" spans="1:10" s="393" customFormat="1" x14ac:dyDescent="0.25">
      <c r="A6755" s="402" t="s">
        <v>32</v>
      </c>
      <c r="B6755" s="2">
        <v>44174</v>
      </c>
      <c r="C6755" s="1">
        <v>4</v>
      </c>
      <c r="D6755" s="39">
        <f t="shared" si="561"/>
        <v>18429</v>
      </c>
      <c r="E6755" s="1"/>
      <c r="F6755" s="522">
        <f t="shared" si="562"/>
        <v>852</v>
      </c>
      <c r="G6755" s="395"/>
      <c r="H6755" s="395"/>
      <c r="J6755" s="42"/>
    </row>
    <row r="6756" spans="1:10" s="393" customFormat="1" x14ac:dyDescent="0.25">
      <c r="A6756" s="402" t="s">
        <v>33</v>
      </c>
      <c r="B6756" s="2">
        <v>44174</v>
      </c>
      <c r="C6756" s="1">
        <v>123</v>
      </c>
      <c r="D6756" s="39">
        <f t="shared" si="561"/>
        <v>6523</v>
      </c>
      <c r="E6756" s="1"/>
      <c r="F6756" s="522">
        <f t="shared" si="562"/>
        <v>95</v>
      </c>
      <c r="G6756" s="395"/>
      <c r="H6756" s="395"/>
      <c r="J6756" s="42"/>
    </row>
    <row r="6757" spans="1:10" s="393" customFormat="1" x14ac:dyDescent="0.25">
      <c r="A6757" s="402" t="s">
        <v>21</v>
      </c>
      <c r="B6757" s="2">
        <v>44174</v>
      </c>
      <c r="C6757" s="1">
        <v>28</v>
      </c>
      <c r="D6757" s="39">
        <f t="shared" si="561"/>
        <v>8893</v>
      </c>
      <c r="E6757" s="1"/>
      <c r="F6757" s="522">
        <f t="shared" si="562"/>
        <v>322</v>
      </c>
      <c r="G6757" s="395"/>
      <c r="H6757" s="395"/>
      <c r="J6757" s="42"/>
    </row>
    <row r="6758" spans="1:10" s="393" customFormat="1" x14ac:dyDescent="0.25">
      <c r="A6758" s="402" t="s">
        <v>17</v>
      </c>
      <c r="B6758" s="2">
        <v>44174</v>
      </c>
      <c r="C6758" s="1">
        <v>108</v>
      </c>
      <c r="D6758" s="39">
        <f t="shared" si="561"/>
        <v>57740</v>
      </c>
      <c r="E6758" s="1">
        <v>18</v>
      </c>
      <c r="F6758" s="522">
        <f t="shared" si="562"/>
        <v>1164</v>
      </c>
      <c r="G6758" s="395"/>
      <c r="H6758" s="395"/>
      <c r="J6758" s="42"/>
    </row>
    <row r="6759" spans="1:10" s="393" customFormat="1" x14ac:dyDescent="0.25">
      <c r="A6759" s="402" t="s">
        <v>23</v>
      </c>
      <c r="B6759" s="2">
        <v>44174</v>
      </c>
      <c r="C6759" s="1">
        <v>18</v>
      </c>
      <c r="D6759" s="39">
        <f t="shared" si="561"/>
        <v>608</v>
      </c>
      <c r="E6759" s="1"/>
      <c r="F6759" s="522">
        <f t="shared" si="562"/>
        <v>9</v>
      </c>
      <c r="G6759" s="395"/>
      <c r="H6759" s="395"/>
      <c r="J6759" s="42"/>
    </row>
    <row r="6760" spans="1:10" s="393" customFormat="1" x14ac:dyDescent="0.25">
      <c r="A6760" s="402" t="s">
        <v>19</v>
      </c>
      <c r="B6760" s="2">
        <v>44174</v>
      </c>
      <c r="C6760" s="1">
        <v>550</v>
      </c>
      <c r="D6760" s="39">
        <f t="shared" si="561"/>
        <v>36139</v>
      </c>
      <c r="E6760" s="1">
        <v>1</v>
      </c>
      <c r="F6760" s="522">
        <f t="shared" si="562"/>
        <v>657</v>
      </c>
      <c r="G6760" s="395"/>
      <c r="H6760" s="395"/>
      <c r="J6760" s="42"/>
    </row>
    <row r="6761" spans="1:10" s="393" customFormat="1" x14ac:dyDescent="0.25">
      <c r="A6761" s="402" t="s">
        <v>18</v>
      </c>
      <c r="B6761" s="2">
        <v>44174</v>
      </c>
      <c r="C6761" s="1">
        <v>128</v>
      </c>
      <c r="D6761" s="39">
        <f t="shared" si="561"/>
        <v>33236</v>
      </c>
      <c r="E6761" s="1">
        <v>5</v>
      </c>
      <c r="F6761" s="522">
        <f t="shared" si="562"/>
        <v>808</v>
      </c>
      <c r="G6761" s="395"/>
      <c r="H6761" s="395"/>
      <c r="J6761" s="42"/>
    </row>
    <row r="6762" spans="1:10" s="393" customFormat="1" x14ac:dyDescent="0.25">
      <c r="A6762" s="402" t="s">
        <v>34</v>
      </c>
      <c r="B6762" s="2">
        <v>44174</v>
      </c>
      <c r="C6762" s="1">
        <v>15</v>
      </c>
      <c r="D6762" s="39">
        <f t="shared" si="561"/>
        <v>21453</v>
      </c>
      <c r="E6762" s="1">
        <v>1</v>
      </c>
      <c r="F6762" s="522">
        <f t="shared" si="562"/>
        <v>992</v>
      </c>
      <c r="G6762" s="395"/>
      <c r="H6762" s="395"/>
      <c r="J6762" s="42"/>
    </row>
    <row r="6763" spans="1:10" s="393" customFormat="1" x14ac:dyDescent="0.25">
      <c r="A6763" s="402" t="s">
        <v>35</v>
      </c>
      <c r="B6763" s="2">
        <v>44174</v>
      </c>
      <c r="C6763" s="1">
        <v>197</v>
      </c>
      <c r="D6763" s="39">
        <f t="shared" si="561"/>
        <v>8803</v>
      </c>
      <c r="E6763" s="1">
        <v>1</v>
      </c>
      <c r="F6763" s="522">
        <f t="shared" si="562"/>
        <v>174</v>
      </c>
      <c r="G6763" s="395"/>
      <c r="H6763" s="395"/>
      <c r="J6763" s="42"/>
    </row>
    <row r="6764" spans="1:10" s="393" customFormat="1" x14ac:dyDescent="0.25">
      <c r="A6764" s="402" t="s">
        <v>36</v>
      </c>
      <c r="B6764" s="2">
        <v>44174</v>
      </c>
      <c r="C6764" s="1">
        <v>56</v>
      </c>
      <c r="D6764" s="39">
        <f t="shared" si="561"/>
        <v>15287</v>
      </c>
      <c r="E6764" s="1">
        <v>3</v>
      </c>
      <c r="F6764" s="522">
        <f t="shared" si="562"/>
        <v>239</v>
      </c>
      <c r="G6764" s="395"/>
      <c r="H6764" s="395"/>
      <c r="J6764" s="42"/>
    </row>
    <row r="6765" spans="1:10" s="393" customFormat="1" x14ac:dyDescent="0.25">
      <c r="A6765" s="402" t="s">
        <v>37</v>
      </c>
      <c r="B6765" s="2">
        <v>44174</v>
      </c>
      <c r="C6765" s="1">
        <v>135</v>
      </c>
      <c r="D6765" s="39">
        <f t="shared" si="561"/>
        <v>17789</v>
      </c>
      <c r="E6765" s="1">
        <v>4</v>
      </c>
      <c r="F6765" s="522">
        <f t="shared" si="562"/>
        <v>312</v>
      </c>
      <c r="G6765" s="395"/>
      <c r="H6765" s="395"/>
      <c r="J6765" s="42"/>
    </row>
    <row r="6766" spans="1:10" s="393" customFormat="1" x14ac:dyDescent="0.25">
      <c r="A6766" s="402" t="s">
        <v>22</v>
      </c>
      <c r="B6766" s="2">
        <v>44174</v>
      </c>
      <c r="C6766" s="1">
        <v>996</v>
      </c>
      <c r="D6766" s="39">
        <f t="shared" si="561"/>
        <v>156350</v>
      </c>
      <c r="E6766" s="1">
        <v>37</v>
      </c>
      <c r="F6766" s="522">
        <f t="shared" si="562"/>
        <v>2482</v>
      </c>
      <c r="G6766" s="395"/>
      <c r="H6766" s="395"/>
      <c r="J6766" s="42"/>
    </row>
    <row r="6767" spans="1:10" s="393" customFormat="1" x14ac:dyDescent="0.25">
      <c r="A6767" s="402" t="s">
        <v>38</v>
      </c>
      <c r="B6767" s="2">
        <v>44174</v>
      </c>
      <c r="C6767" s="1">
        <v>56</v>
      </c>
      <c r="D6767" s="39">
        <f t="shared" si="561"/>
        <v>16295</v>
      </c>
      <c r="E6767" s="1">
        <v>1</v>
      </c>
      <c r="F6767" s="522">
        <f t="shared" si="562"/>
        <v>202</v>
      </c>
      <c r="G6767" s="395"/>
      <c r="H6767" s="395"/>
      <c r="J6767" s="42"/>
    </row>
    <row r="6768" spans="1:10" s="393" customFormat="1" x14ac:dyDescent="0.25">
      <c r="A6768" s="402" t="s">
        <v>39</v>
      </c>
      <c r="B6768" s="2">
        <v>44174</v>
      </c>
      <c r="C6768" s="1">
        <v>89</v>
      </c>
      <c r="D6768" s="39">
        <f t="shared" si="561"/>
        <v>17008</v>
      </c>
      <c r="E6768" s="1">
        <v>2</v>
      </c>
      <c r="F6768" s="522">
        <f t="shared" si="562"/>
        <v>241</v>
      </c>
      <c r="G6768" s="395"/>
      <c r="H6768" s="395"/>
      <c r="J6768" s="42"/>
    </row>
    <row r="6769" spans="1:10" s="393" customFormat="1" ht="15.75" thickBot="1" x14ac:dyDescent="0.3">
      <c r="A6769" s="403" t="s">
        <v>40</v>
      </c>
      <c r="B6769" s="34">
        <v>44174</v>
      </c>
      <c r="C6769" s="234">
        <v>167</v>
      </c>
      <c r="D6769" s="67">
        <f t="shared" si="561"/>
        <v>67610</v>
      </c>
      <c r="E6769" s="234">
        <v>10</v>
      </c>
      <c r="F6769" s="632">
        <f t="shared" si="562"/>
        <v>1257</v>
      </c>
      <c r="G6769" s="395"/>
      <c r="H6769" s="395"/>
      <c r="J6769" s="42"/>
    </row>
    <row r="6770" spans="1:10" s="393" customFormat="1" x14ac:dyDescent="0.25">
      <c r="A6770" s="397" t="s">
        <v>16</v>
      </c>
      <c r="B6770" s="267">
        <v>44175</v>
      </c>
      <c r="C6770" s="43">
        <v>1906</v>
      </c>
      <c r="D6770" s="175">
        <f t="shared" si="561"/>
        <v>633372</v>
      </c>
      <c r="E6770" s="43">
        <v>56</v>
      </c>
      <c r="F6770" s="630">
        <f t="shared" si="562"/>
        <v>21290</v>
      </c>
      <c r="G6770" s="395"/>
      <c r="H6770" s="395"/>
      <c r="J6770" s="42"/>
    </row>
    <row r="6771" spans="1:10" s="393" customFormat="1" x14ac:dyDescent="0.25">
      <c r="A6771" s="402" t="s">
        <v>43</v>
      </c>
      <c r="B6771" s="2">
        <v>44175</v>
      </c>
      <c r="C6771" s="1">
        <v>402</v>
      </c>
      <c r="D6771" s="39">
        <f t="shared" si="561"/>
        <v>161732</v>
      </c>
      <c r="E6771" s="1">
        <v>3</v>
      </c>
      <c r="F6771" s="522">
        <f t="shared" si="562"/>
        <v>5325</v>
      </c>
      <c r="G6771" s="395"/>
      <c r="H6771" s="395"/>
      <c r="J6771" s="42"/>
    </row>
    <row r="6772" spans="1:10" s="393" customFormat="1" x14ac:dyDescent="0.25">
      <c r="A6772" s="402" t="s">
        <v>28</v>
      </c>
      <c r="B6772" s="2">
        <v>44175</v>
      </c>
      <c r="C6772" s="1">
        <v>27</v>
      </c>
      <c r="D6772" s="39">
        <f t="shared" si="561"/>
        <v>2057</v>
      </c>
      <c r="E6772" s="1"/>
      <c r="F6772" s="522">
        <f t="shared" si="562"/>
        <v>17</v>
      </c>
      <c r="G6772" s="395"/>
      <c r="H6772" s="395"/>
      <c r="J6772" s="42"/>
    </row>
    <row r="6773" spans="1:10" s="393" customFormat="1" x14ac:dyDescent="0.25">
      <c r="A6773" s="402" t="s">
        <v>15</v>
      </c>
      <c r="B6773" s="2">
        <v>44175</v>
      </c>
      <c r="C6773" s="1">
        <v>155</v>
      </c>
      <c r="D6773" s="39">
        <f t="shared" si="561"/>
        <v>21191</v>
      </c>
      <c r="E6773" s="1">
        <v>2</v>
      </c>
      <c r="F6773" s="522">
        <f t="shared" si="562"/>
        <v>609</v>
      </c>
      <c r="G6773" s="395"/>
      <c r="H6773" s="395"/>
      <c r="J6773" s="42"/>
    </row>
    <row r="6774" spans="1:10" s="393" customFormat="1" x14ac:dyDescent="0.25">
      <c r="A6774" s="402" t="s">
        <v>29</v>
      </c>
      <c r="B6774" s="2">
        <v>44175</v>
      </c>
      <c r="C6774" s="1">
        <v>337</v>
      </c>
      <c r="D6774" s="39">
        <f t="shared" si="561"/>
        <v>25373</v>
      </c>
      <c r="E6774" s="1">
        <v>15</v>
      </c>
      <c r="F6774" s="522">
        <f t="shared" si="562"/>
        <v>426</v>
      </c>
      <c r="G6774" s="395"/>
      <c r="H6774" s="395"/>
      <c r="J6774" s="42"/>
    </row>
    <row r="6775" spans="1:10" s="393" customFormat="1" x14ac:dyDescent="0.25">
      <c r="A6775" s="402" t="s">
        <v>20</v>
      </c>
      <c r="B6775" s="2">
        <v>44175</v>
      </c>
      <c r="C6775" s="1">
        <v>610</v>
      </c>
      <c r="D6775" s="39">
        <f t="shared" si="561"/>
        <v>118709</v>
      </c>
      <c r="E6775" s="1">
        <v>26</v>
      </c>
      <c r="F6775" s="522">
        <f t="shared" si="562"/>
        <v>2167</v>
      </c>
      <c r="G6775" s="395"/>
      <c r="H6775" s="395"/>
      <c r="J6775" s="42"/>
    </row>
    <row r="6776" spans="1:10" s="393" customFormat="1" x14ac:dyDescent="0.25">
      <c r="A6776" s="402" t="s">
        <v>30</v>
      </c>
      <c r="B6776" s="2">
        <v>44175</v>
      </c>
      <c r="C6776" s="1">
        <v>221</v>
      </c>
      <c r="D6776" s="39">
        <f t="shared" si="561"/>
        <v>9271</v>
      </c>
      <c r="E6776" s="1"/>
      <c r="F6776" s="522">
        <f t="shared" si="562"/>
        <v>130</v>
      </c>
      <c r="G6776" s="395"/>
      <c r="H6776" s="395"/>
      <c r="J6776" s="42"/>
    </row>
    <row r="6777" spans="1:10" x14ac:dyDescent="0.25">
      <c r="A6777" s="402" t="s">
        <v>31</v>
      </c>
      <c r="B6777" s="2">
        <v>44175</v>
      </c>
      <c r="C6777" s="1">
        <v>174</v>
      </c>
      <c r="D6777" s="39">
        <f t="shared" si="561"/>
        <v>24989</v>
      </c>
      <c r="E6777" s="1">
        <v>3</v>
      </c>
      <c r="F6777" s="522">
        <f t="shared" si="562"/>
        <v>508</v>
      </c>
    </row>
    <row r="6778" spans="1:10" s="393" customFormat="1" x14ac:dyDescent="0.25">
      <c r="A6778" s="402" t="s">
        <v>41</v>
      </c>
      <c r="B6778" s="2">
        <v>44175</v>
      </c>
      <c r="C6778" s="1">
        <v>-2</v>
      </c>
      <c r="D6778" s="39">
        <f t="shared" si="561"/>
        <v>195</v>
      </c>
      <c r="E6778" s="1"/>
      <c r="F6778" s="522">
        <f t="shared" si="562"/>
        <v>3</v>
      </c>
      <c r="G6778" s="395"/>
      <c r="H6778" s="395"/>
      <c r="J6778" s="42"/>
    </row>
    <row r="6779" spans="1:10" s="393" customFormat="1" x14ac:dyDescent="0.25">
      <c r="A6779" s="402" t="s">
        <v>32</v>
      </c>
      <c r="B6779" s="2">
        <v>44175</v>
      </c>
      <c r="C6779" s="1">
        <v>2</v>
      </c>
      <c r="D6779" s="39">
        <f t="shared" si="561"/>
        <v>18431</v>
      </c>
      <c r="E6779" s="1">
        <v>1</v>
      </c>
      <c r="F6779" s="522">
        <f t="shared" si="562"/>
        <v>853</v>
      </c>
      <c r="G6779" s="395"/>
      <c r="H6779" s="395"/>
      <c r="J6779" s="42"/>
    </row>
    <row r="6780" spans="1:10" s="393" customFormat="1" x14ac:dyDescent="0.25">
      <c r="A6780" s="402" t="s">
        <v>33</v>
      </c>
      <c r="B6780" s="2">
        <v>44175</v>
      </c>
      <c r="C6780" s="1">
        <v>102</v>
      </c>
      <c r="D6780" s="39">
        <f t="shared" si="561"/>
        <v>6625</v>
      </c>
      <c r="E6780" s="1">
        <v>1</v>
      </c>
      <c r="F6780" s="522">
        <f t="shared" si="562"/>
        <v>96</v>
      </c>
      <c r="G6780" s="395"/>
      <c r="H6780" s="395"/>
      <c r="J6780" s="42"/>
    </row>
    <row r="6781" spans="1:10" s="393" customFormat="1" x14ac:dyDescent="0.25">
      <c r="A6781" s="402" t="s">
        <v>21</v>
      </c>
      <c r="B6781" s="2">
        <v>44175</v>
      </c>
      <c r="C6781" s="1">
        <v>9</v>
      </c>
      <c r="D6781" s="39">
        <f t="shared" si="561"/>
        <v>8902</v>
      </c>
      <c r="E6781" s="1"/>
      <c r="F6781" s="522">
        <f t="shared" si="562"/>
        <v>322</v>
      </c>
      <c r="G6781" s="395"/>
      <c r="H6781" s="395"/>
      <c r="J6781" s="42"/>
    </row>
    <row r="6782" spans="1:10" s="393" customFormat="1" x14ac:dyDescent="0.25">
      <c r="A6782" s="402" t="s">
        <v>17</v>
      </c>
      <c r="B6782" s="2">
        <v>44175</v>
      </c>
      <c r="C6782" s="1">
        <v>163</v>
      </c>
      <c r="D6782" s="39">
        <f t="shared" si="561"/>
        <v>57903</v>
      </c>
      <c r="E6782" s="1">
        <v>8</v>
      </c>
      <c r="F6782" s="522">
        <f t="shared" si="562"/>
        <v>1172</v>
      </c>
      <c r="G6782" s="395"/>
      <c r="H6782" s="395"/>
      <c r="J6782" s="42"/>
    </row>
    <row r="6783" spans="1:10" s="393" customFormat="1" x14ac:dyDescent="0.25">
      <c r="A6783" s="402" t="s">
        <v>23</v>
      </c>
      <c r="B6783" s="2">
        <v>44175</v>
      </c>
      <c r="C6783" s="1">
        <v>8</v>
      </c>
      <c r="D6783" s="39">
        <f t="shared" si="561"/>
        <v>616</v>
      </c>
      <c r="E6783" s="1"/>
      <c r="F6783" s="522">
        <f t="shared" si="562"/>
        <v>9</v>
      </c>
      <c r="G6783" s="395"/>
      <c r="H6783" s="395"/>
      <c r="J6783" s="42"/>
    </row>
    <row r="6784" spans="1:10" s="393" customFormat="1" x14ac:dyDescent="0.25">
      <c r="A6784" s="402" t="s">
        <v>19</v>
      </c>
      <c r="B6784" s="2">
        <v>44175</v>
      </c>
      <c r="C6784" s="1">
        <v>368</v>
      </c>
      <c r="D6784" s="39">
        <f t="shared" si="561"/>
        <v>36507</v>
      </c>
      <c r="E6784" s="1">
        <v>4</v>
      </c>
      <c r="F6784" s="522">
        <f t="shared" si="562"/>
        <v>661</v>
      </c>
      <c r="G6784" s="395"/>
      <c r="H6784" s="395"/>
      <c r="J6784" s="42"/>
    </row>
    <row r="6785" spans="1:10" s="393" customFormat="1" x14ac:dyDescent="0.25">
      <c r="A6785" s="402" t="s">
        <v>18</v>
      </c>
      <c r="B6785" s="2">
        <v>44175</v>
      </c>
      <c r="C6785" s="1">
        <v>406</v>
      </c>
      <c r="D6785" s="39">
        <f t="shared" si="561"/>
        <v>33642</v>
      </c>
      <c r="E6785" s="1">
        <v>11</v>
      </c>
      <c r="F6785" s="522">
        <f t="shared" si="562"/>
        <v>819</v>
      </c>
      <c r="G6785" s="395"/>
      <c r="H6785" s="395"/>
      <c r="J6785" s="42"/>
    </row>
    <row r="6786" spans="1:10" s="393" customFormat="1" x14ac:dyDescent="0.25">
      <c r="A6786" s="402" t="s">
        <v>34</v>
      </c>
      <c r="B6786" s="2">
        <v>44175</v>
      </c>
      <c r="C6786" s="1">
        <v>40</v>
      </c>
      <c r="D6786" s="39">
        <f t="shared" si="561"/>
        <v>21493</v>
      </c>
      <c r="E6786" s="1">
        <v>2</v>
      </c>
      <c r="F6786" s="522">
        <f t="shared" si="562"/>
        <v>994</v>
      </c>
      <c r="G6786" s="395"/>
      <c r="H6786" s="395"/>
      <c r="J6786" s="42"/>
    </row>
    <row r="6787" spans="1:10" s="393" customFormat="1" x14ac:dyDescent="0.25">
      <c r="A6787" s="402" t="s">
        <v>35</v>
      </c>
      <c r="B6787" s="2">
        <v>44175</v>
      </c>
      <c r="C6787" s="1">
        <v>239</v>
      </c>
      <c r="D6787" s="39">
        <f t="shared" si="561"/>
        <v>9042</v>
      </c>
      <c r="E6787" s="1"/>
      <c r="F6787" s="522">
        <f t="shared" si="562"/>
        <v>174</v>
      </c>
      <c r="G6787" s="395"/>
      <c r="H6787" s="395"/>
      <c r="J6787" s="42"/>
    </row>
    <row r="6788" spans="1:10" s="393" customFormat="1" x14ac:dyDescent="0.25">
      <c r="A6788" s="402" t="s">
        <v>36</v>
      </c>
      <c r="B6788" s="2">
        <v>44175</v>
      </c>
      <c r="C6788" s="1">
        <v>76</v>
      </c>
      <c r="D6788" s="39">
        <f t="shared" si="561"/>
        <v>15363</v>
      </c>
      <c r="E6788" s="1">
        <v>9</v>
      </c>
      <c r="F6788" s="522">
        <f t="shared" si="562"/>
        <v>248</v>
      </c>
      <c r="G6788" s="395"/>
      <c r="H6788" s="395"/>
      <c r="J6788" s="42"/>
    </row>
    <row r="6789" spans="1:10" s="393" customFormat="1" x14ac:dyDescent="0.25">
      <c r="A6789" s="402" t="s">
        <v>37</v>
      </c>
      <c r="B6789" s="2">
        <v>44175</v>
      </c>
      <c r="C6789" s="1">
        <v>320</v>
      </c>
      <c r="D6789" s="39">
        <f t="shared" si="561"/>
        <v>18109</v>
      </c>
      <c r="E6789" s="1">
        <v>5</v>
      </c>
      <c r="F6789" s="522">
        <f t="shared" si="562"/>
        <v>317</v>
      </c>
      <c r="G6789" s="395"/>
      <c r="H6789" s="395"/>
      <c r="J6789" s="42"/>
    </row>
    <row r="6790" spans="1:10" s="393" customFormat="1" x14ac:dyDescent="0.25">
      <c r="A6790" s="402" t="s">
        <v>22</v>
      </c>
      <c r="B6790" s="2">
        <v>44175</v>
      </c>
      <c r="C6790" s="1">
        <v>1000</v>
      </c>
      <c r="D6790" s="39">
        <f t="shared" si="561"/>
        <v>157350</v>
      </c>
      <c r="E6790" s="1">
        <v>34</v>
      </c>
      <c r="F6790" s="522">
        <f t="shared" si="562"/>
        <v>2516</v>
      </c>
      <c r="G6790" s="395"/>
      <c r="H6790" s="395"/>
      <c r="J6790" s="42"/>
    </row>
    <row r="6791" spans="1:10" s="393" customFormat="1" x14ac:dyDescent="0.25">
      <c r="A6791" s="402" t="s">
        <v>38</v>
      </c>
      <c r="B6791" s="2">
        <v>44175</v>
      </c>
      <c r="C6791" s="1">
        <v>44</v>
      </c>
      <c r="D6791" s="39">
        <f t="shared" si="561"/>
        <v>16339</v>
      </c>
      <c r="E6791" s="1">
        <v>3</v>
      </c>
      <c r="F6791" s="522">
        <f t="shared" si="562"/>
        <v>205</v>
      </c>
      <c r="G6791" s="395"/>
      <c r="H6791" s="395"/>
      <c r="J6791" s="42"/>
    </row>
    <row r="6792" spans="1:10" s="393" customFormat="1" x14ac:dyDescent="0.25">
      <c r="A6792" s="402" t="s">
        <v>39</v>
      </c>
      <c r="B6792" s="2">
        <v>44175</v>
      </c>
      <c r="C6792" s="1">
        <v>152</v>
      </c>
      <c r="D6792" s="39">
        <f t="shared" si="561"/>
        <v>17160</v>
      </c>
      <c r="E6792" s="1">
        <v>1</v>
      </c>
      <c r="F6792" s="522">
        <f t="shared" si="562"/>
        <v>242</v>
      </c>
      <c r="G6792" s="395"/>
      <c r="H6792" s="395"/>
      <c r="J6792" s="42"/>
    </row>
    <row r="6793" spans="1:10" s="393" customFormat="1" ht="15.75" thickBot="1" x14ac:dyDescent="0.3">
      <c r="A6793" s="404" t="s">
        <v>40</v>
      </c>
      <c r="B6793" s="2">
        <v>44175</v>
      </c>
      <c r="C6793" s="44">
        <v>235</v>
      </c>
      <c r="D6793" s="177">
        <f t="shared" si="561"/>
        <v>67845</v>
      </c>
      <c r="E6793" s="44">
        <v>25</v>
      </c>
      <c r="F6793" s="631">
        <f t="shared" si="562"/>
        <v>1282</v>
      </c>
      <c r="G6793" s="395"/>
      <c r="H6793" s="395"/>
      <c r="J6793" s="42"/>
    </row>
    <row r="6794" spans="1:10" s="393" customFormat="1" x14ac:dyDescent="0.25">
      <c r="A6794" s="397" t="s">
        <v>16</v>
      </c>
      <c r="B6794" s="2">
        <v>44176</v>
      </c>
      <c r="C6794" s="227">
        <v>2101</v>
      </c>
      <c r="D6794" s="175">
        <f t="shared" si="561"/>
        <v>635473</v>
      </c>
      <c r="E6794" s="227">
        <v>31</v>
      </c>
      <c r="F6794" s="630">
        <f t="shared" si="562"/>
        <v>21321</v>
      </c>
      <c r="G6794" s="395"/>
      <c r="H6794" s="395"/>
      <c r="J6794" s="42"/>
    </row>
    <row r="6795" spans="1:10" s="393" customFormat="1" x14ac:dyDescent="0.25">
      <c r="A6795" s="402" t="s">
        <v>43</v>
      </c>
      <c r="B6795" s="2">
        <v>44176</v>
      </c>
      <c r="C6795" s="1">
        <v>445</v>
      </c>
      <c r="D6795" s="39">
        <f t="shared" si="561"/>
        <v>162177</v>
      </c>
      <c r="E6795" s="1">
        <v>10</v>
      </c>
      <c r="F6795" s="522">
        <f t="shared" si="562"/>
        <v>5335</v>
      </c>
      <c r="G6795" s="395"/>
      <c r="H6795" s="395"/>
      <c r="J6795" s="42"/>
    </row>
    <row r="6796" spans="1:10" s="393" customFormat="1" x14ac:dyDescent="0.25">
      <c r="A6796" s="402" t="s">
        <v>28</v>
      </c>
      <c r="B6796" s="2">
        <v>44176</v>
      </c>
      <c r="C6796" s="1">
        <v>3</v>
      </c>
      <c r="D6796" s="39">
        <f t="shared" si="561"/>
        <v>2060</v>
      </c>
      <c r="E6796" s="1"/>
      <c r="F6796" s="522">
        <f t="shared" si="562"/>
        <v>17</v>
      </c>
      <c r="G6796" s="395"/>
      <c r="H6796" s="395"/>
      <c r="J6796" s="42"/>
    </row>
    <row r="6797" spans="1:10" s="393" customFormat="1" x14ac:dyDescent="0.25">
      <c r="A6797" s="402" t="s">
        <v>15</v>
      </c>
      <c r="B6797" s="2">
        <v>44176</v>
      </c>
      <c r="C6797" s="1">
        <v>202</v>
      </c>
      <c r="D6797" s="39">
        <f t="shared" si="561"/>
        <v>21393</v>
      </c>
      <c r="E6797" s="1">
        <v>6</v>
      </c>
      <c r="F6797" s="522">
        <f t="shared" si="562"/>
        <v>615</v>
      </c>
      <c r="G6797" s="395"/>
      <c r="H6797" s="395"/>
      <c r="J6797" s="42"/>
    </row>
    <row r="6798" spans="1:10" s="393" customFormat="1" x14ac:dyDescent="0.25">
      <c r="A6798" s="402" t="s">
        <v>29</v>
      </c>
      <c r="B6798" s="2">
        <v>44176</v>
      </c>
      <c r="C6798" s="1">
        <v>342</v>
      </c>
      <c r="D6798" s="39">
        <f t="shared" si="561"/>
        <v>25715</v>
      </c>
      <c r="E6798" s="1">
        <v>10</v>
      </c>
      <c r="F6798" s="522">
        <f t="shared" si="562"/>
        <v>436</v>
      </c>
      <c r="G6798" s="395"/>
      <c r="H6798" s="395"/>
      <c r="J6798" s="42"/>
    </row>
    <row r="6799" spans="1:10" s="393" customFormat="1" x14ac:dyDescent="0.25">
      <c r="A6799" s="402" t="s">
        <v>20</v>
      </c>
      <c r="B6799" s="2">
        <v>44176</v>
      </c>
      <c r="C6799" s="1">
        <v>532</v>
      </c>
      <c r="D6799" s="39">
        <f t="shared" si="561"/>
        <v>119241</v>
      </c>
      <c r="E6799" s="1">
        <v>36</v>
      </c>
      <c r="F6799" s="522">
        <f t="shared" si="562"/>
        <v>2203</v>
      </c>
      <c r="G6799" s="395"/>
      <c r="H6799" s="395"/>
      <c r="J6799" s="42"/>
    </row>
    <row r="6800" spans="1:10" s="393" customFormat="1" x14ac:dyDescent="0.25">
      <c r="A6800" s="402" t="s">
        <v>30</v>
      </c>
      <c r="B6800" s="2">
        <v>44176</v>
      </c>
      <c r="C6800" s="1">
        <v>171</v>
      </c>
      <c r="D6800" s="39">
        <f t="shared" si="561"/>
        <v>9442</v>
      </c>
      <c r="E6800" s="1">
        <v>3</v>
      </c>
      <c r="F6800" s="522">
        <f t="shared" si="562"/>
        <v>133</v>
      </c>
      <c r="G6800" s="395"/>
      <c r="H6800" s="395"/>
      <c r="J6800" s="42"/>
    </row>
    <row r="6801" spans="1:10" x14ac:dyDescent="0.25">
      <c r="A6801" s="402" t="s">
        <v>31</v>
      </c>
      <c r="B6801" s="2">
        <v>44176</v>
      </c>
      <c r="C6801" s="1">
        <v>350</v>
      </c>
      <c r="D6801" s="39">
        <f t="shared" si="561"/>
        <v>25339</v>
      </c>
      <c r="E6801" s="1">
        <v>9</v>
      </c>
      <c r="F6801" s="522">
        <f t="shared" si="562"/>
        <v>517</v>
      </c>
    </row>
    <row r="6802" spans="1:10" s="393" customFormat="1" x14ac:dyDescent="0.25">
      <c r="A6802" s="402" t="s">
        <v>41</v>
      </c>
      <c r="B6802" s="2">
        <v>44176</v>
      </c>
      <c r="C6802" s="1">
        <v>1</v>
      </c>
      <c r="D6802" s="39">
        <f t="shared" si="561"/>
        <v>196</v>
      </c>
      <c r="E6802" s="1"/>
      <c r="F6802" s="522">
        <f t="shared" si="562"/>
        <v>3</v>
      </c>
      <c r="G6802" s="395"/>
      <c r="H6802" s="395"/>
      <c r="J6802" s="42"/>
    </row>
    <row r="6803" spans="1:10" s="393" customFormat="1" x14ac:dyDescent="0.25">
      <c r="A6803" s="402" t="s">
        <v>32</v>
      </c>
      <c r="B6803" s="2">
        <v>44176</v>
      </c>
      <c r="C6803" s="1">
        <v>8</v>
      </c>
      <c r="D6803" s="39">
        <f t="shared" si="561"/>
        <v>18439</v>
      </c>
      <c r="E6803" s="1"/>
      <c r="F6803" s="522">
        <f t="shared" si="562"/>
        <v>853</v>
      </c>
      <c r="G6803" s="395"/>
      <c r="H6803" s="395"/>
      <c r="J6803" s="42"/>
    </row>
    <row r="6804" spans="1:10" s="393" customFormat="1" x14ac:dyDescent="0.25">
      <c r="A6804" s="402" t="s">
        <v>33</v>
      </c>
      <c r="B6804" s="2">
        <v>44176</v>
      </c>
      <c r="C6804" s="1">
        <v>134</v>
      </c>
      <c r="D6804" s="39">
        <f t="shared" si="561"/>
        <v>6759</v>
      </c>
      <c r="E6804" s="1">
        <v>3</v>
      </c>
      <c r="F6804" s="522">
        <f t="shared" si="562"/>
        <v>99</v>
      </c>
      <c r="G6804" s="395"/>
      <c r="H6804" s="395"/>
      <c r="J6804" s="42"/>
    </row>
    <row r="6805" spans="1:10" s="393" customFormat="1" x14ac:dyDescent="0.25">
      <c r="A6805" s="402" t="s">
        <v>21</v>
      </c>
      <c r="B6805" s="2">
        <v>44176</v>
      </c>
      <c r="C6805" s="1">
        <v>3</v>
      </c>
      <c r="D6805" s="39">
        <f t="shared" si="561"/>
        <v>8905</v>
      </c>
      <c r="E6805" s="1">
        <v>1</v>
      </c>
      <c r="F6805" s="522">
        <f t="shared" si="562"/>
        <v>323</v>
      </c>
      <c r="G6805" s="395"/>
      <c r="H6805" s="395"/>
      <c r="J6805" s="42"/>
    </row>
    <row r="6806" spans="1:10" s="393" customFormat="1" x14ac:dyDescent="0.25">
      <c r="A6806" s="402" t="s">
        <v>17</v>
      </c>
      <c r="B6806" s="2">
        <v>44176</v>
      </c>
      <c r="C6806" s="1">
        <v>124</v>
      </c>
      <c r="D6806" s="39">
        <f t="shared" si="561"/>
        <v>58027</v>
      </c>
      <c r="E6806" s="1">
        <v>1</v>
      </c>
      <c r="F6806" s="522">
        <f t="shared" si="562"/>
        <v>1173</v>
      </c>
      <c r="G6806" s="395"/>
      <c r="H6806" s="395"/>
      <c r="J6806" s="42"/>
    </row>
    <row r="6807" spans="1:10" s="393" customFormat="1" x14ac:dyDescent="0.25">
      <c r="A6807" s="402" t="s">
        <v>23</v>
      </c>
      <c r="B6807" s="2">
        <v>44176</v>
      </c>
      <c r="C6807" s="1">
        <v>20</v>
      </c>
      <c r="D6807" s="39">
        <f t="shared" si="561"/>
        <v>636</v>
      </c>
      <c r="E6807" s="1"/>
      <c r="F6807" s="522">
        <f t="shared" si="562"/>
        <v>9</v>
      </c>
      <c r="G6807" s="395"/>
      <c r="H6807" s="395"/>
      <c r="J6807" s="42"/>
    </row>
    <row r="6808" spans="1:10" s="393" customFormat="1" x14ac:dyDescent="0.25">
      <c r="A6808" s="402" t="s">
        <v>19</v>
      </c>
      <c r="B6808" s="2">
        <v>44176</v>
      </c>
      <c r="C6808" s="1">
        <v>183</v>
      </c>
      <c r="D6808" s="39">
        <f t="shared" si="561"/>
        <v>36690</v>
      </c>
      <c r="E6808" s="1">
        <v>12</v>
      </c>
      <c r="F6808" s="522">
        <f t="shared" si="562"/>
        <v>673</v>
      </c>
      <c r="G6808" s="395"/>
      <c r="H6808" s="395"/>
      <c r="J6808" s="42"/>
    </row>
    <row r="6809" spans="1:10" s="393" customFormat="1" x14ac:dyDescent="0.25">
      <c r="A6809" s="402" t="s">
        <v>18</v>
      </c>
      <c r="B6809" s="2">
        <v>44176</v>
      </c>
      <c r="C6809" s="1">
        <v>218</v>
      </c>
      <c r="D6809" s="39">
        <f t="shared" si="561"/>
        <v>33860</v>
      </c>
      <c r="E6809" s="1">
        <v>16</v>
      </c>
      <c r="F6809" s="522">
        <f t="shared" si="562"/>
        <v>835</v>
      </c>
      <c r="G6809" s="395"/>
      <c r="H6809" s="395"/>
      <c r="J6809" s="42"/>
    </row>
    <row r="6810" spans="1:10" s="393" customFormat="1" x14ac:dyDescent="0.25">
      <c r="A6810" s="402" t="s">
        <v>34</v>
      </c>
      <c r="B6810" s="2">
        <v>44176</v>
      </c>
      <c r="C6810" s="1">
        <v>28</v>
      </c>
      <c r="D6810" s="39">
        <f t="shared" si="561"/>
        <v>21521</v>
      </c>
      <c r="E6810" s="1">
        <v>2</v>
      </c>
      <c r="F6810" s="522">
        <f t="shared" si="562"/>
        <v>996</v>
      </c>
      <c r="G6810" s="395"/>
      <c r="H6810" s="395"/>
      <c r="J6810" s="42"/>
    </row>
    <row r="6811" spans="1:10" s="393" customFormat="1" x14ac:dyDescent="0.25">
      <c r="A6811" s="402" t="s">
        <v>35</v>
      </c>
      <c r="B6811" s="2">
        <v>44176</v>
      </c>
      <c r="C6811" s="1">
        <v>132</v>
      </c>
      <c r="D6811" s="39">
        <f t="shared" si="561"/>
        <v>9174</v>
      </c>
      <c r="E6811" s="1"/>
      <c r="F6811" s="522">
        <f t="shared" si="562"/>
        <v>174</v>
      </c>
      <c r="G6811" s="395"/>
      <c r="H6811" s="395"/>
      <c r="J6811" s="42"/>
    </row>
    <row r="6812" spans="1:10" s="393" customFormat="1" x14ac:dyDescent="0.25">
      <c r="A6812" s="402" t="s">
        <v>36</v>
      </c>
      <c r="B6812" s="2">
        <v>44176</v>
      </c>
      <c r="C6812" s="1">
        <v>76</v>
      </c>
      <c r="D6812" s="39">
        <f t="shared" si="561"/>
        <v>15439</v>
      </c>
      <c r="E6812" s="1">
        <v>1</v>
      </c>
      <c r="F6812" s="522">
        <f t="shared" si="562"/>
        <v>249</v>
      </c>
      <c r="G6812" s="395"/>
      <c r="H6812" s="395"/>
      <c r="J6812" s="42"/>
    </row>
    <row r="6813" spans="1:10" s="393" customFormat="1" x14ac:dyDescent="0.25">
      <c r="A6813" s="402" t="s">
        <v>37</v>
      </c>
      <c r="B6813" s="2">
        <v>44176</v>
      </c>
      <c r="C6813" s="1">
        <v>296</v>
      </c>
      <c r="D6813" s="39">
        <f t="shared" si="561"/>
        <v>18405</v>
      </c>
      <c r="E6813" s="1">
        <v>5</v>
      </c>
      <c r="F6813" s="522">
        <f t="shared" si="562"/>
        <v>322</v>
      </c>
      <c r="G6813" s="395"/>
      <c r="H6813" s="395"/>
      <c r="J6813" s="42"/>
    </row>
    <row r="6814" spans="1:10" s="393" customFormat="1" x14ac:dyDescent="0.25">
      <c r="A6814" s="402" t="s">
        <v>22</v>
      </c>
      <c r="B6814" s="2">
        <v>44176</v>
      </c>
      <c r="C6814" s="1">
        <v>1205</v>
      </c>
      <c r="D6814" s="39">
        <f t="shared" si="561"/>
        <v>158555</v>
      </c>
      <c r="E6814" s="1">
        <v>20</v>
      </c>
      <c r="F6814" s="522">
        <f t="shared" si="562"/>
        <v>2536</v>
      </c>
      <c r="G6814" s="395"/>
      <c r="H6814" s="395"/>
      <c r="J6814" s="42"/>
    </row>
    <row r="6815" spans="1:10" s="393" customFormat="1" x14ac:dyDescent="0.25">
      <c r="A6815" s="402" t="s">
        <v>38</v>
      </c>
      <c r="B6815" s="2">
        <v>44176</v>
      </c>
      <c r="C6815" s="1">
        <v>62</v>
      </c>
      <c r="D6815" s="39">
        <f t="shared" si="561"/>
        <v>16401</v>
      </c>
      <c r="E6815" s="1">
        <v>1</v>
      </c>
      <c r="F6815" s="522">
        <f t="shared" si="562"/>
        <v>206</v>
      </c>
      <c r="G6815" s="395"/>
      <c r="H6815" s="395"/>
      <c r="J6815" s="42"/>
    </row>
    <row r="6816" spans="1:10" s="393" customFormat="1" x14ac:dyDescent="0.25">
      <c r="A6816" s="402" t="s">
        <v>39</v>
      </c>
      <c r="B6816" s="2">
        <v>44176</v>
      </c>
      <c r="C6816" s="1">
        <v>177</v>
      </c>
      <c r="D6816" s="39">
        <f t="shared" si="561"/>
        <v>17337</v>
      </c>
      <c r="E6816" s="1"/>
      <c r="F6816" s="522">
        <f t="shared" si="562"/>
        <v>242</v>
      </c>
      <c r="G6816" s="395"/>
      <c r="H6816" s="395"/>
      <c r="J6816" s="42"/>
    </row>
    <row r="6817" spans="1:10" s="393" customFormat="1" ht="15.75" thickBot="1" x14ac:dyDescent="0.3">
      <c r="A6817" s="404" t="s">
        <v>40</v>
      </c>
      <c r="B6817" s="2">
        <v>44176</v>
      </c>
      <c r="C6817" s="1">
        <v>299</v>
      </c>
      <c r="D6817" s="177">
        <f>C6817+D6793</f>
        <v>68144</v>
      </c>
      <c r="E6817" s="1">
        <v>10</v>
      </c>
      <c r="F6817" s="631">
        <f t="shared" si="562"/>
        <v>1292</v>
      </c>
      <c r="G6817" s="395"/>
      <c r="H6817" s="395"/>
      <c r="J6817" s="42"/>
    </row>
    <row r="6818" spans="1:10" s="393" customFormat="1" x14ac:dyDescent="0.25">
      <c r="A6818" s="397" t="s">
        <v>16</v>
      </c>
      <c r="B6818" s="2">
        <v>44177</v>
      </c>
      <c r="C6818" s="1">
        <v>1686</v>
      </c>
      <c r="D6818" s="175">
        <f t="shared" si="561"/>
        <v>637159</v>
      </c>
      <c r="E6818" s="1">
        <v>14</v>
      </c>
      <c r="F6818" s="630">
        <f t="shared" si="562"/>
        <v>21335</v>
      </c>
      <c r="G6818" s="395"/>
      <c r="H6818" s="395"/>
      <c r="J6818" s="42"/>
    </row>
    <row r="6819" spans="1:10" s="393" customFormat="1" x14ac:dyDescent="0.25">
      <c r="A6819" s="402" t="s">
        <v>43</v>
      </c>
      <c r="B6819" s="2">
        <v>44177</v>
      </c>
      <c r="C6819" s="1">
        <v>386</v>
      </c>
      <c r="D6819" s="39">
        <f t="shared" ref="D6819:D6882" si="563">C6819+D6795</f>
        <v>162563</v>
      </c>
      <c r="E6819" s="1">
        <v>4</v>
      </c>
      <c r="F6819" s="522">
        <f t="shared" ref="F6819:F6882" si="564">E6819+F6795</f>
        <v>5339</v>
      </c>
      <c r="G6819" s="395"/>
      <c r="H6819" s="395"/>
      <c r="J6819" s="42"/>
    </row>
    <row r="6820" spans="1:10" s="393" customFormat="1" x14ac:dyDescent="0.25">
      <c r="A6820" s="402" t="s">
        <v>28</v>
      </c>
      <c r="B6820" s="2">
        <v>44177</v>
      </c>
      <c r="C6820" s="1">
        <v>55</v>
      </c>
      <c r="D6820" s="39">
        <f t="shared" si="563"/>
        <v>2115</v>
      </c>
      <c r="E6820" s="1"/>
      <c r="F6820" s="522">
        <f t="shared" si="564"/>
        <v>17</v>
      </c>
      <c r="G6820" s="395"/>
      <c r="H6820" s="395"/>
      <c r="J6820" s="42"/>
    </row>
    <row r="6821" spans="1:10" s="393" customFormat="1" x14ac:dyDescent="0.25">
      <c r="A6821" s="402" t="s">
        <v>15</v>
      </c>
      <c r="B6821" s="2">
        <v>44177</v>
      </c>
      <c r="C6821" s="1">
        <v>200</v>
      </c>
      <c r="D6821" s="39">
        <f t="shared" si="563"/>
        <v>21593</v>
      </c>
      <c r="E6821" s="1"/>
      <c r="F6821" s="522">
        <f t="shared" si="564"/>
        <v>615</v>
      </c>
      <c r="G6821" s="395"/>
      <c r="H6821" s="395"/>
      <c r="J6821" s="42"/>
    </row>
    <row r="6822" spans="1:10" s="393" customFormat="1" x14ac:dyDescent="0.25">
      <c r="A6822" s="402" t="s">
        <v>29</v>
      </c>
      <c r="B6822" s="2">
        <v>44177</v>
      </c>
      <c r="C6822" s="1">
        <v>229</v>
      </c>
      <c r="D6822" s="39">
        <f t="shared" si="563"/>
        <v>25944</v>
      </c>
      <c r="E6822" s="1"/>
      <c r="F6822" s="522">
        <f t="shared" si="564"/>
        <v>436</v>
      </c>
      <c r="G6822" s="395"/>
      <c r="H6822" s="395"/>
      <c r="J6822" s="42"/>
    </row>
    <row r="6823" spans="1:10" s="393" customFormat="1" x14ac:dyDescent="0.25">
      <c r="A6823" s="402" t="s">
        <v>20</v>
      </c>
      <c r="B6823" s="2">
        <v>44177</v>
      </c>
      <c r="C6823" s="1">
        <v>291</v>
      </c>
      <c r="D6823" s="39">
        <f t="shared" si="563"/>
        <v>119532</v>
      </c>
      <c r="E6823" s="1">
        <v>23</v>
      </c>
      <c r="F6823" s="522">
        <f t="shared" si="564"/>
        <v>2226</v>
      </c>
      <c r="G6823" s="395"/>
      <c r="H6823" s="395"/>
      <c r="J6823" s="42"/>
    </row>
    <row r="6824" spans="1:10" s="393" customFormat="1" x14ac:dyDescent="0.25">
      <c r="A6824" s="402" t="s">
        <v>30</v>
      </c>
      <c r="B6824" s="2">
        <v>44177</v>
      </c>
      <c r="C6824" s="1">
        <v>64</v>
      </c>
      <c r="D6824" s="39">
        <f t="shared" si="563"/>
        <v>9506</v>
      </c>
      <c r="E6824" s="1"/>
      <c r="F6824" s="522">
        <f t="shared" si="564"/>
        <v>133</v>
      </c>
      <c r="G6824" s="395"/>
      <c r="H6824" s="395"/>
      <c r="J6824" s="42"/>
    </row>
    <row r="6825" spans="1:10" x14ac:dyDescent="0.25">
      <c r="A6825" s="402" t="s">
        <v>31</v>
      </c>
      <c r="B6825" s="2">
        <v>44177</v>
      </c>
      <c r="C6825" s="1">
        <v>246</v>
      </c>
      <c r="D6825" s="39">
        <f t="shared" si="563"/>
        <v>25585</v>
      </c>
      <c r="E6825" s="1">
        <v>4</v>
      </c>
      <c r="F6825" s="522">
        <f t="shared" si="564"/>
        <v>521</v>
      </c>
    </row>
    <row r="6826" spans="1:10" s="393" customFormat="1" x14ac:dyDescent="0.25">
      <c r="A6826" s="402" t="s">
        <v>41</v>
      </c>
      <c r="B6826" s="2">
        <v>44177</v>
      </c>
      <c r="C6826" s="1">
        <v>0</v>
      </c>
      <c r="D6826" s="39">
        <f t="shared" si="563"/>
        <v>196</v>
      </c>
      <c r="E6826" s="1"/>
      <c r="F6826" s="522">
        <f t="shared" si="564"/>
        <v>3</v>
      </c>
      <c r="G6826" s="395"/>
      <c r="H6826" s="395"/>
      <c r="J6826" s="42"/>
    </row>
    <row r="6827" spans="1:10" s="393" customFormat="1" x14ac:dyDescent="0.25">
      <c r="A6827" s="402" t="s">
        <v>32</v>
      </c>
      <c r="B6827" s="2">
        <v>44177</v>
      </c>
      <c r="C6827" s="1">
        <v>9</v>
      </c>
      <c r="D6827" s="39">
        <f t="shared" si="563"/>
        <v>18448</v>
      </c>
      <c r="E6827" s="1">
        <v>1</v>
      </c>
      <c r="F6827" s="522">
        <f t="shared" si="564"/>
        <v>854</v>
      </c>
      <c r="G6827" s="395"/>
      <c r="H6827" s="395"/>
      <c r="J6827" s="42"/>
    </row>
    <row r="6828" spans="1:10" s="393" customFormat="1" x14ac:dyDescent="0.25">
      <c r="A6828" s="402" t="s">
        <v>33</v>
      </c>
      <c r="B6828" s="2">
        <v>44177</v>
      </c>
      <c r="C6828" s="1">
        <v>91</v>
      </c>
      <c r="D6828" s="39">
        <f t="shared" si="563"/>
        <v>6850</v>
      </c>
      <c r="E6828" s="1"/>
      <c r="F6828" s="522">
        <f t="shared" si="564"/>
        <v>99</v>
      </c>
      <c r="G6828" s="395"/>
      <c r="H6828" s="395"/>
      <c r="J6828" s="42"/>
    </row>
    <row r="6829" spans="1:10" s="393" customFormat="1" x14ac:dyDescent="0.25">
      <c r="A6829" s="402" t="s">
        <v>21</v>
      </c>
      <c r="B6829" s="2">
        <v>44177</v>
      </c>
      <c r="C6829" s="1">
        <v>18</v>
      </c>
      <c r="D6829" s="39">
        <f t="shared" si="563"/>
        <v>8923</v>
      </c>
      <c r="E6829" s="1">
        <v>1</v>
      </c>
      <c r="F6829" s="522">
        <f t="shared" si="564"/>
        <v>324</v>
      </c>
      <c r="G6829" s="395"/>
      <c r="H6829" s="395"/>
      <c r="J6829" s="42"/>
    </row>
    <row r="6830" spans="1:10" s="393" customFormat="1" x14ac:dyDescent="0.25">
      <c r="A6830" s="402" t="s">
        <v>17</v>
      </c>
      <c r="B6830" s="2">
        <v>44177</v>
      </c>
      <c r="C6830" s="1">
        <v>111</v>
      </c>
      <c r="D6830" s="39">
        <f t="shared" si="563"/>
        <v>58138</v>
      </c>
      <c r="E6830" s="1">
        <v>1</v>
      </c>
      <c r="F6830" s="522">
        <f t="shared" si="564"/>
        <v>1174</v>
      </c>
      <c r="G6830" s="395"/>
      <c r="H6830" s="395"/>
      <c r="J6830" s="42"/>
    </row>
    <row r="6831" spans="1:10" s="393" customFormat="1" x14ac:dyDescent="0.25">
      <c r="A6831" s="402" t="s">
        <v>23</v>
      </c>
      <c r="B6831" s="2">
        <v>44177</v>
      </c>
      <c r="C6831" s="1">
        <v>19</v>
      </c>
      <c r="D6831" s="39">
        <f t="shared" si="563"/>
        <v>655</v>
      </c>
      <c r="E6831" s="1"/>
      <c r="F6831" s="522">
        <f t="shared" si="564"/>
        <v>9</v>
      </c>
      <c r="G6831" s="395"/>
      <c r="H6831" s="395"/>
      <c r="J6831" s="42"/>
    </row>
    <row r="6832" spans="1:10" s="393" customFormat="1" x14ac:dyDescent="0.25">
      <c r="A6832" s="402" t="s">
        <v>19</v>
      </c>
      <c r="B6832" s="2">
        <v>44177</v>
      </c>
      <c r="C6832" s="1">
        <v>126</v>
      </c>
      <c r="D6832" s="39">
        <f t="shared" si="563"/>
        <v>36816</v>
      </c>
      <c r="E6832" s="1"/>
      <c r="F6832" s="522">
        <f t="shared" si="564"/>
        <v>673</v>
      </c>
      <c r="G6832" s="395"/>
      <c r="H6832" s="395"/>
      <c r="J6832" s="42"/>
    </row>
    <row r="6833" spans="1:10" s="393" customFormat="1" x14ac:dyDescent="0.25">
      <c r="A6833" s="402" t="s">
        <v>18</v>
      </c>
      <c r="B6833" s="2">
        <v>44177</v>
      </c>
      <c r="C6833" s="1">
        <v>220</v>
      </c>
      <c r="D6833" s="39">
        <f t="shared" si="563"/>
        <v>34080</v>
      </c>
      <c r="E6833" s="1">
        <v>4</v>
      </c>
      <c r="F6833" s="522">
        <f t="shared" si="564"/>
        <v>839</v>
      </c>
      <c r="G6833" s="395"/>
      <c r="H6833" s="395"/>
      <c r="J6833" s="42"/>
    </row>
    <row r="6834" spans="1:10" s="393" customFormat="1" x14ac:dyDescent="0.25">
      <c r="A6834" s="402" t="s">
        <v>34</v>
      </c>
      <c r="B6834" s="2">
        <v>44177</v>
      </c>
      <c r="C6834" s="1">
        <v>29</v>
      </c>
      <c r="D6834" s="39">
        <f t="shared" si="563"/>
        <v>21550</v>
      </c>
      <c r="E6834" s="1">
        <v>1</v>
      </c>
      <c r="F6834" s="522">
        <f t="shared" si="564"/>
        <v>997</v>
      </c>
      <c r="G6834" s="395"/>
      <c r="H6834" s="395"/>
      <c r="J6834" s="42"/>
    </row>
    <row r="6835" spans="1:10" s="393" customFormat="1" x14ac:dyDescent="0.25">
      <c r="A6835" s="402" t="s">
        <v>35</v>
      </c>
      <c r="B6835" s="2">
        <v>44177</v>
      </c>
      <c r="C6835" s="1">
        <v>47</v>
      </c>
      <c r="D6835" s="39">
        <f t="shared" si="563"/>
        <v>9221</v>
      </c>
      <c r="E6835" s="1"/>
      <c r="F6835" s="522">
        <f t="shared" si="564"/>
        <v>174</v>
      </c>
      <c r="G6835" s="395"/>
      <c r="H6835" s="395"/>
      <c r="J6835" s="42"/>
    </row>
    <row r="6836" spans="1:10" s="393" customFormat="1" x14ac:dyDescent="0.25">
      <c r="A6836" s="402" t="s">
        <v>36</v>
      </c>
      <c r="B6836" s="2">
        <v>44177</v>
      </c>
      <c r="C6836" s="1">
        <v>19</v>
      </c>
      <c r="D6836" s="39">
        <f t="shared" si="563"/>
        <v>15458</v>
      </c>
      <c r="E6836" s="1">
        <v>1</v>
      </c>
      <c r="F6836" s="522">
        <f t="shared" si="564"/>
        <v>250</v>
      </c>
      <c r="G6836" s="395"/>
      <c r="H6836" s="395"/>
      <c r="J6836" s="42"/>
    </row>
    <row r="6837" spans="1:10" s="393" customFormat="1" x14ac:dyDescent="0.25">
      <c r="A6837" s="402" t="s">
        <v>37</v>
      </c>
      <c r="B6837" s="2">
        <v>44177</v>
      </c>
      <c r="C6837" s="1">
        <v>229</v>
      </c>
      <c r="D6837" s="39">
        <f t="shared" si="563"/>
        <v>18634</v>
      </c>
      <c r="E6837" s="1">
        <v>5</v>
      </c>
      <c r="F6837" s="522">
        <f t="shared" si="564"/>
        <v>327</v>
      </c>
      <c r="G6837" s="395"/>
      <c r="H6837" s="395"/>
      <c r="J6837" s="42"/>
    </row>
    <row r="6838" spans="1:10" s="393" customFormat="1" x14ac:dyDescent="0.25">
      <c r="A6838" s="402" t="s">
        <v>22</v>
      </c>
      <c r="B6838" s="2">
        <v>44177</v>
      </c>
      <c r="C6838" s="1">
        <v>893</v>
      </c>
      <c r="D6838" s="39">
        <f t="shared" si="563"/>
        <v>159448</v>
      </c>
      <c r="E6838" s="1">
        <v>2</v>
      </c>
      <c r="F6838" s="522">
        <f t="shared" si="564"/>
        <v>2538</v>
      </c>
      <c r="G6838" s="395"/>
      <c r="H6838" s="395"/>
      <c r="J6838" s="42"/>
    </row>
    <row r="6839" spans="1:10" s="393" customFormat="1" x14ac:dyDescent="0.25">
      <c r="A6839" s="402" t="s">
        <v>38</v>
      </c>
      <c r="B6839" s="2">
        <v>44177</v>
      </c>
      <c r="C6839" s="1">
        <v>42</v>
      </c>
      <c r="D6839" s="39">
        <f t="shared" si="563"/>
        <v>16443</v>
      </c>
      <c r="E6839" s="1"/>
      <c r="F6839" s="522">
        <f t="shared" si="564"/>
        <v>206</v>
      </c>
      <c r="G6839" s="395"/>
      <c r="H6839" s="395"/>
      <c r="J6839" s="42"/>
    </row>
    <row r="6840" spans="1:10" s="393" customFormat="1" x14ac:dyDescent="0.25">
      <c r="A6840" s="402" t="s">
        <v>39</v>
      </c>
      <c r="B6840" s="2">
        <v>44177</v>
      </c>
      <c r="C6840" s="1">
        <v>93</v>
      </c>
      <c r="D6840" s="39">
        <f t="shared" si="563"/>
        <v>17430</v>
      </c>
      <c r="E6840" s="1"/>
      <c r="F6840" s="522">
        <f t="shared" si="564"/>
        <v>242</v>
      </c>
      <c r="G6840" s="395"/>
      <c r="H6840" s="395"/>
      <c r="J6840" s="42"/>
    </row>
    <row r="6841" spans="1:10" s="393" customFormat="1" ht="15.75" thickBot="1" x14ac:dyDescent="0.3">
      <c r="A6841" s="404" t="s">
        <v>40</v>
      </c>
      <c r="B6841" s="2">
        <v>44177</v>
      </c>
      <c r="C6841" s="1">
        <v>171</v>
      </c>
      <c r="D6841" s="177">
        <f t="shared" si="563"/>
        <v>68315</v>
      </c>
      <c r="E6841" s="1"/>
      <c r="F6841" s="631">
        <f t="shared" si="564"/>
        <v>1292</v>
      </c>
      <c r="G6841" s="395"/>
      <c r="H6841" s="395"/>
      <c r="J6841" s="42"/>
    </row>
    <row r="6842" spans="1:10" s="393" customFormat="1" x14ac:dyDescent="0.25">
      <c r="A6842" s="397" t="s">
        <v>16</v>
      </c>
      <c r="B6842" s="2">
        <v>44178</v>
      </c>
      <c r="C6842" s="1">
        <v>870</v>
      </c>
      <c r="D6842" s="175">
        <f t="shared" si="563"/>
        <v>638029</v>
      </c>
      <c r="E6842" s="1">
        <v>49</v>
      </c>
      <c r="F6842" s="630">
        <f t="shared" si="564"/>
        <v>21384</v>
      </c>
      <c r="G6842" s="395"/>
      <c r="H6842" s="395"/>
      <c r="J6842" s="42"/>
    </row>
    <row r="6843" spans="1:10" s="393" customFormat="1" x14ac:dyDescent="0.25">
      <c r="A6843" s="402" t="s">
        <v>43</v>
      </c>
      <c r="B6843" s="2">
        <v>44178</v>
      </c>
      <c r="C6843" s="1">
        <v>246</v>
      </c>
      <c r="D6843" s="39">
        <f t="shared" si="563"/>
        <v>162809</v>
      </c>
      <c r="E6843" s="1">
        <v>1</v>
      </c>
      <c r="F6843" s="522">
        <f t="shared" si="564"/>
        <v>5340</v>
      </c>
      <c r="G6843" s="395"/>
      <c r="H6843" s="395"/>
      <c r="J6843" s="42"/>
    </row>
    <row r="6844" spans="1:10" s="393" customFormat="1" x14ac:dyDescent="0.25">
      <c r="A6844" s="402" t="s">
        <v>28</v>
      </c>
      <c r="B6844" s="2">
        <v>44178</v>
      </c>
      <c r="C6844" s="1">
        <v>22</v>
      </c>
      <c r="D6844" s="39">
        <f t="shared" si="563"/>
        <v>2137</v>
      </c>
      <c r="E6844" s="1"/>
      <c r="F6844" s="522">
        <f t="shared" si="564"/>
        <v>17</v>
      </c>
      <c r="G6844" s="395"/>
      <c r="H6844" s="395"/>
      <c r="J6844" s="42"/>
    </row>
    <row r="6845" spans="1:10" s="393" customFormat="1" x14ac:dyDescent="0.25">
      <c r="A6845" s="402" t="s">
        <v>15</v>
      </c>
      <c r="B6845" s="2">
        <v>44178</v>
      </c>
      <c r="C6845" s="1">
        <v>109</v>
      </c>
      <c r="D6845" s="39">
        <f t="shared" si="563"/>
        <v>21702</v>
      </c>
      <c r="E6845" s="1">
        <v>4</v>
      </c>
      <c r="F6845" s="522">
        <f t="shared" si="564"/>
        <v>619</v>
      </c>
      <c r="G6845" s="395"/>
      <c r="H6845" s="395"/>
      <c r="J6845" s="42"/>
    </row>
    <row r="6846" spans="1:10" s="393" customFormat="1" x14ac:dyDescent="0.25">
      <c r="A6846" s="402" t="s">
        <v>29</v>
      </c>
      <c r="B6846" s="2">
        <v>44178</v>
      </c>
      <c r="C6846" s="1">
        <v>125</v>
      </c>
      <c r="D6846" s="39">
        <f t="shared" si="563"/>
        <v>26069</v>
      </c>
      <c r="E6846" s="1"/>
      <c r="F6846" s="522">
        <f t="shared" si="564"/>
        <v>436</v>
      </c>
      <c r="G6846" s="395"/>
      <c r="H6846" s="395"/>
      <c r="J6846" s="42"/>
    </row>
    <row r="6847" spans="1:10" s="393" customFormat="1" x14ac:dyDescent="0.25">
      <c r="A6847" s="402" t="s">
        <v>20</v>
      </c>
      <c r="B6847" s="2">
        <v>44178</v>
      </c>
      <c r="C6847" s="1">
        <v>249</v>
      </c>
      <c r="D6847" s="39">
        <f t="shared" si="563"/>
        <v>119781</v>
      </c>
      <c r="E6847" s="1">
        <v>30</v>
      </c>
      <c r="F6847" s="522">
        <f t="shared" si="564"/>
        <v>2256</v>
      </c>
      <c r="G6847" s="395"/>
      <c r="H6847" s="395"/>
      <c r="J6847" s="42"/>
    </row>
    <row r="6848" spans="1:10" s="393" customFormat="1" x14ac:dyDescent="0.25">
      <c r="A6848" s="402" t="s">
        <v>30</v>
      </c>
      <c r="B6848" s="2">
        <v>44178</v>
      </c>
      <c r="C6848" s="1">
        <v>42</v>
      </c>
      <c r="D6848" s="39">
        <f t="shared" si="563"/>
        <v>9548</v>
      </c>
      <c r="E6848" s="1">
        <v>2</v>
      </c>
      <c r="F6848" s="522">
        <f t="shared" si="564"/>
        <v>135</v>
      </c>
      <c r="G6848" s="395"/>
      <c r="H6848" s="395"/>
      <c r="J6848" s="42"/>
    </row>
    <row r="6849" spans="1:10" x14ac:dyDescent="0.25">
      <c r="A6849" s="402" t="s">
        <v>31</v>
      </c>
      <c r="B6849" s="2">
        <v>44178</v>
      </c>
      <c r="C6849" s="1">
        <v>134</v>
      </c>
      <c r="D6849" s="39">
        <f t="shared" si="563"/>
        <v>25719</v>
      </c>
      <c r="F6849" s="522">
        <f t="shared" si="564"/>
        <v>521</v>
      </c>
    </row>
    <row r="6850" spans="1:10" s="393" customFormat="1" x14ac:dyDescent="0.25">
      <c r="A6850" s="402" t="s">
        <v>41</v>
      </c>
      <c r="B6850" s="2">
        <v>44178</v>
      </c>
      <c r="C6850" s="1">
        <v>1</v>
      </c>
      <c r="D6850" s="39">
        <f t="shared" si="563"/>
        <v>197</v>
      </c>
      <c r="E6850" s="1"/>
      <c r="F6850" s="522">
        <f t="shared" si="564"/>
        <v>3</v>
      </c>
      <c r="G6850" s="395"/>
      <c r="H6850" s="395"/>
      <c r="J6850" s="42"/>
    </row>
    <row r="6851" spans="1:10" s="393" customFormat="1" x14ac:dyDescent="0.25">
      <c r="A6851" s="402" t="s">
        <v>32</v>
      </c>
      <c r="B6851" s="2">
        <v>44178</v>
      </c>
      <c r="C6851" s="1">
        <v>1</v>
      </c>
      <c r="D6851" s="39">
        <f t="shared" si="563"/>
        <v>18449</v>
      </c>
      <c r="E6851" s="1"/>
      <c r="F6851" s="522">
        <f t="shared" si="564"/>
        <v>854</v>
      </c>
      <c r="G6851" s="395"/>
      <c r="H6851" s="395"/>
      <c r="J6851" s="42"/>
    </row>
    <row r="6852" spans="1:10" s="393" customFormat="1" x14ac:dyDescent="0.25">
      <c r="A6852" s="402" t="s">
        <v>33</v>
      </c>
      <c r="B6852" s="2">
        <v>44178</v>
      </c>
      <c r="C6852" s="1">
        <v>120</v>
      </c>
      <c r="D6852" s="39">
        <f t="shared" si="563"/>
        <v>6970</v>
      </c>
      <c r="E6852" s="1"/>
      <c r="F6852" s="522">
        <f t="shared" si="564"/>
        <v>99</v>
      </c>
      <c r="G6852" s="395"/>
      <c r="H6852" s="395"/>
      <c r="J6852" s="42"/>
    </row>
    <row r="6853" spans="1:10" s="393" customFormat="1" x14ac:dyDescent="0.25">
      <c r="A6853" s="402" t="s">
        <v>21</v>
      </c>
      <c r="B6853" s="2">
        <v>44178</v>
      </c>
      <c r="C6853" s="1">
        <v>11</v>
      </c>
      <c r="D6853" s="39">
        <f t="shared" si="563"/>
        <v>8934</v>
      </c>
      <c r="E6853" s="1">
        <v>1</v>
      </c>
      <c r="F6853" s="522">
        <f t="shared" si="564"/>
        <v>325</v>
      </c>
      <c r="G6853" s="395"/>
      <c r="H6853" s="395"/>
      <c r="J6853" s="42"/>
    </row>
    <row r="6854" spans="1:10" s="393" customFormat="1" x14ac:dyDescent="0.25">
      <c r="A6854" s="402" t="s">
        <v>17</v>
      </c>
      <c r="B6854" s="2">
        <v>44178</v>
      </c>
      <c r="C6854" s="1">
        <v>120</v>
      </c>
      <c r="D6854" s="39">
        <f t="shared" si="563"/>
        <v>58258</v>
      </c>
      <c r="E6854" s="1"/>
      <c r="F6854" s="522">
        <f t="shared" si="564"/>
        <v>1174</v>
      </c>
      <c r="G6854" s="395"/>
      <c r="H6854" s="395"/>
      <c r="J6854" s="42"/>
    </row>
    <row r="6855" spans="1:10" s="393" customFormat="1" x14ac:dyDescent="0.25">
      <c r="A6855" s="402" t="s">
        <v>23</v>
      </c>
      <c r="B6855" s="2">
        <v>44178</v>
      </c>
      <c r="C6855" s="1">
        <v>28</v>
      </c>
      <c r="D6855" s="39">
        <f t="shared" si="563"/>
        <v>683</v>
      </c>
      <c r="E6855" s="1"/>
      <c r="F6855" s="522">
        <f t="shared" si="564"/>
        <v>9</v>
      </c>
      <c r="G6855" s="395"/>
      <c r="H6855" s="395"/>
      <c r="J6855" s="42"/>
    </row>
    <row r="6856" spans="1:10" s="393" customFormat="1" x14ac:dyDescent="0.25">
      <c r="A6856" s="402" t="s">
        <v>19</v>
      </c>
      <c r="B6856" s="2">
        <v>44178</v>
      </c>
      <c r="C6856" s="1">
        <v>104</v>
      </c>
      <c r="D6856" s="39">
        <f t="shared" si="563"/>
        <v>36920</v>
      </c>
      <c r="E6856" s="1"/>
      <c r="F6856" s="522">
        <f t="shared" si="564"/>
        <v>673</v>
      </c>
      <c r="G6856" s="395"/>
      <c r="H6856" s="395"/>
      <c r="J6856" s="42"/>
    </row>
    <row r="6857" spans="1:10" s="393" customFormat="1" x14ac:dyDescent="0.25">
      <c r="A6857" s="402" t="s">
        <v>18</v>
      </c>
      <c r="B6857" s="2">
        <v>44178</v>
      </c>
      <c r="C6857" s="1">
        <v>158</v>
      </c>
      <c r="D6857" s="39">
        <f t="shared" si="563"/>
        <v>34238</v>
      </c>
      <c r="E6857" s="1"/>
      <c r="F6857" s="522">
        <f t="shared" si="564"/>
        <v>839</v>
      </c>
      <c r="G6857" s="395"/>
      <c r="H6857" s="395"/>
      <c r="J6857" s="42"/>
    </row>
    <row r="6858" spans="1:10" s="393" customFormat="1" x14ac:dyDescent="0.25">
      <c r="A6858" s="402" t="s">
        <v>34</v>
      </c>
      <c r="B6858" s="2">
        <v>44178</v>
      </c>
      <c r="C6858" s="1">
        <v>28</v>
      </c>
      <c r="D6858" s="39">
        <f t="shared" si="563"/>
        <v>21578</v>
      </c>
      <c r="E6858" s="1"/>
      <c r="F6858" s="522">
        <f t="shared" si="564"/>
        <v>997</v>
      </c>
      <c r="G6858" s="395"/>
      <c r="H6858" s="395"/>
      <c r="J6858" s="42"/>
    </row>
    <row r="6859" spans="1:10" s="393" customFormat="1" x14ac:dyDescent="0.25">
      <c r="A6859" s="402" t="s">
        <v>35</v>
      </c>
      <c r="B6859" s="2">
        <v>44178</v>
      </c>
      <c r="C6859" s="1">
        <v>28</v>
      </c>
      <c r="D6859" s="39">
        <f t="shared" si="563"/>
        <v>9249</v>
      </c>
      <c r="E6859" s="1"/>
      <c r="F6859" s="522">
        <f t="shared" si="564"/>
        <v>174</v>
      </c>
      <c r="G6859" s="395"/>
      <c r="H6859" s="395"/>
      <c r="J6859" s="42"/>
    </row>
    <row r="6860" spans="1:10" s="393" customFormat="1" x14ac:dyDescent="0.25">
      <c r="A6860" s="402" t="s">
        <v>36</v>
      </c>
      <c r="B6860" s="2">
        <v>44178</v>
      </c>
      <c r="C6860" s="1">
        <v>27</v>
      </c>
      <c r="D6860" s="39">
        <f t="shared" si="563"/>
        <v>15485</v>
      </c>
      <c r="E6860" s="1"/>
      <c r="F6860" s="522">
        <f t="shared" si="564"/>
        <v>250</v>
      </c>
      <c r="G6860" s="395"/>
      <c r="H6860" s="395"/>
      <c r="J6860" s="42"/>
    </row>
    <row r="6861" spans="1:10" s="393" customFormat="1" x14ac:dyDescent="0.25">
      <c r="A6861" s="402" t="s">
        <v>37</v>
      </c>
      <c r="B6861" s="2">
        <v>44178</v>
      </c>
      <c r="C6861" s="1">
        <v>203</v>
      </c>
      <c r="D6861" s="39">
        <f t="shared" si="563"/>
        <v>18837</v>
      </c>
      <c r="E6861" s="1">
        <v>2</v>
      </c>
      <c r="F6861" s="522">
        <f t="shared" si="564"/>
        <v>329</v>
      </c>
      <c r="G6861" s="395"/>
      <c r="H6861" s="395"/>
      <c r="J6861" s="42"/>
    </row>
    <row r="6862" spans="1:10" s="393" customFormat="1" x14ac:dyDescent="0.25">
      <c r="A6862" s="402" t="s">
        <v>22</v>
      </c>
      <c r="B6862" s="2">
        <v>44178</v>
      </c>
      <c r="C6862" s="1">
        <v>632</v>
      </c>
      <c r="D6862" s="39">
        <f t="shared" si="563"/>
        <v>160080</v>
      </c>
      <c r="E6862" s="1">
        <v>9</v>
      </c>
      <c r="F6862" s="522">
        <f t="shared" si="564"/>
        <v>2547</v>
      </c>
      <c r="G6862" s="395"/>
      <c r="H6862" s="395"/>
      <c r="J6862" s="42"/>
    </row>
    <row r="6863" spans="1:10" s="393" customFormat="1" x14ac:dyDescent="0.25">
      <c r="A6863" s="402" t="s">
        <v>38</v>
      </c>
      <c r="B6863" s="2">
        <v>44178</v>
      </c>
      <c r="C6863" s="1">
        <v>45</v>
      </c>
      <c r="D6863" s="39">
        <f t="shared" si="563"/>
        <v>16488</v>
      </c>
      <c r="E6863" s="1"/>
      <c r="F6863" s="522">
        <f t="shared" si="564"/>
        <v>206</v>
      </c>
      <c r="G6863" s="395"/>
      <c r="H6863" s="395"/>
      <c r="J6863" s="42"/>
    </row>
    <row r="6864" spans="1:10" s="393" customFormat="1" x14ac:dyDescent="0.25">
      <c r="A6864" s="402" t="s">
        <v>39</v>
      </c>
      <c r="B6864" s="2">
        <v>44178</v>
      </c>
      <c r="C6864" s="1">
        <v>75</v>
      </c>
      <c r="D6864" s="39">
        <f t="shared" si="563"/>
        <v>17505</v>
      </c>
      <c r="E6864" s="1"/>
      <c r="F6864" s="522">
        <f t="shared" si="564"/>
        <v>242</v>
      </c>
      <c r="G6864" s="395"/>
      <c r="H6864" s="395"/>
      <c r="J6864" s="42"/>
    </row>
    <row r="6865" spans="1:10" s="393" customFormat="1" ht="15.75" thickBot="1" x14ac:dyDescent="0.3">
      <c r="A6865" s="404" t="s">
        <v>40</v>
      </c>
      <c r="B6865" s="2">
        <v>44178</v>
      </c>
      <c r="C6865" s="1">
        <v>80</v>
      </c>
      <c r="D6865" s="177">
        <f t="shared" si="563"/>
        <v>68395</v>
      </c>
      <c r="E6865" s="1"/>
      <c r="F6865" s="631">
        <f t="shared" si="564"/>
        <v>1292</v>
      </c>
      <c r="G6865" s="395"/>
      <c r="H6865" s="395"/>
      <c r="J6865" s="42"/>
    </row>
    <row r="6866" spans="1:10" s="393" customFormat="1" x14ac:dyDescent="0.25">
      <c r="A6866" s="397" t="s">
        <v>16</v>
      </c>
      <c r="B6866" s="2">
        <v>44179</v>
      </c>
      <c r="C6866" s="1">
        <v>1532</v>
      </c>
      <c r="D6866" s="175">
        <f t="shared" si="563"/>
        <v>639561</v>
      </c>
      <c r="E6866" s="1">
        <v>121</v>
      </c>
      <c r="F6866" s="630">
        <f t="shared" si="564"/>
        <v>21505</v>
      </c>
      <c r="G6866" s="395"/>
      <c r="H6866" s="395"/>
      <c r="J6866" s="42"/>
    </row>
    <row r="6867" spans="1:10" s="393" customFormat="1" x14ac:dyDescent="0.25">
      <c r="A6867" s="402" t="s">
        <v>43</v>
      </c>
      <c r="B6867" s="2">
        <v>44179</v>
      </c>
      <c r="C6867" s="1">
        <v>416</v>
      </c>
      <c r="D6867" s="39">
        <f t="shared" si="563"/>
        <v>163225</v>
      </c>
      <c r="E6867" s="1">
        <v>7</v>
      </c>
      <c r="F6867" s="522">
        <f t="shared" si="564"/>
        <v>5347</v>
      </c>
      <c r="G6867" s="395"/>
      <c r="H6867" s="395"/>
      <c r="J6867" s="42"/>
    </row>
    <row r="6868" spans="1:10" s="393" customFormat="1" x14ac:dyDescent="0.25">
      <c r="A6868" s="402" t="s">
        <v>28</v>
      </c>
      <c r="B6868" s="2">
        <v>44179</v>
      </c>
      <c r="C6868" s="1">
        <v>34</v>
      </c>
      <c r="D6868" s="39">
        <f t="shared" si="563"/>
        <v>2171</v>
      </c>
      <c r="E6868" s="1"/>
      <c r="F6868" s="522">
        <f t="shared" si="564"/>
        <v>17</v>
      </c>
      <c r="G6868" s="395"/>
      <c r="H6868" s="395"/>
      <c r="J6868" s="42"/>
    </row>
    <row r="6869" spans="1:10" s="393" customFormat="1" x14ac:dyDescent="0.25">
      <c r="A6869" s="402" t="s">
        <v>15</v>
      </c>
      <c r="B6869" s="2">
        <v>44179</v>
      </c>
      <c r="C6869" s="1">
        <v>166</v>
      </c>
      <c r="D6869" s="39">
        <f t="shared" si="563"/>
        <v>21868</v>
      </c>
      <c r="E6869" s="1">
        <v>7</v>
      </c>
      <c r="F6869" s="522">
        <f t="shared" si="564"/>
        <v>626</v>
      </c>
      <c r="G6869" s="395"/>
      <c r="H6869" s="395"/>
      <c r="J6869" s="42"/>
    </row>
    <row r="6870" spans="1:10" s="393" customFormat="1" x14ac:dyDescent="0.25">
      <c r="A6870" s="402" t="s">
        <v>29</v>
      </c>
      <c r="B6870" s="2">
        <v>44179</v>
      </c>
      <c r="C6870" s="1">
        <v>232</v>
      </c>
      <c r="D6870" s="39">
        <f t="shared" si="563"/>
        <v>26301</v>
      </c>
      <c r="E6870" s="1">
        <v>13</v>
      </c>
      <c r="F6870" s="522">
        <f t="shared" si="564"/>
        <v>449</v>
      </c>
      <c r="G6870" s="395"/>
      <c r="H6870" s="395"/>
      <c r="J6870" s="42"/>
    </row>
    <row r="6871" spans="1:10" s="393" customFormat="1" x14ac:dyDescent="0.25">
      <c r="A6871" s="402" t="s">
        <v>20</v>
      </c>
      <c r="B6871" s="2">
        <v>44179</v>
      </c>
      <c r="C6871" s="1">
        <v>234</v>
      </c>
      <c r="D6871" s="39">
        <f t="shared" si="563"/>
        <v>120015</v>
      </c>
      <c r="E6871" s="1">
        <v>30</v>
      </c>
      <c r="F6871" s="522">
        <f t="shared" si="564"/>
        <v>2286</v>
      </c>
      <c r="G6871" s="395"/>
      <c r="H6871" s="395"/>
      <c r="J6871" s="42"/>
    </row>
    <row r="6872" spans="1:10" s="393" customFormat="1" x14ac:dyDescent="0.25">
      <c r="A6872" s="402" t="s">
        <v>30</v>
      </c>
      <c r="B6872" s="2">
        <v>44179</v>
      </c>
      <c r="C6872" s="1">
        <v>92</v>
      </c>
      <c r="D6872" s="39">
        <f t="shared" si="563"/>
        <v>9640</v>
      </c>
      <c r="E6872" s="1">
        <v>2</v>
      </c>
      <c r="F6872" s="522">
        <f t="shared" si="564"/>
        <v>137</v>
      </c>
      <c r="G6872" s="395"/>
      <c r="H6872" s="395"/>
      <c r="J6872" s="42"/>
    </row>
    <row r="6873" spans="1:10" x14ac:dyDescent="0.25">
      <c r="A6873" s="402" t="s">
        <v>31</v>
      </c>
      <c r="B6873" s="2">
        <v>44179</v>
      </c>
      <c r="C6873" s="1">
        <v>73</v>
      </c>
      <c r="D6873" s="39">
        <f t="shared" si="563"/>
        <v>25792</v>
      </c>
      <c r="E6873" s="1">
        <v>8</v>
      </c>
      <c r="F6873" s="522">
        <f t="shared" si="564"/>
        <v>529</v>
      </c>
    </row>
    <row r="6874" spans="1:10" s="393" customFormat="1" x14ac:dyDescent="0.25">
      <c r="A6874" s="402" t="s">
        <v>41</v>
      </c>
      <c r="B6874" s="2">
        <v>44179</v>
      </c>
      <c r="C6874" s="1">
        <v>1</v>
      </c>
      <c r="D6874" s="39">
        <f t="shared" si="563"/>
        <v>198</v>
      </c>
      <c r="E6874" s="1"/>
      <c r="F6874" s="522">
        <f t="shared" si="564"/>
        <v>3</v>
      </c>
      <c r="G6874" s="395"/>
      <c r="H6874" s="395"/>
      <c r="J6874" s="42"/>
    </row>
    <row r="6875" spans="1:10" s="393" customFormat="1" x14ac:dyDescent="0.25">
      <c r="A6875" s="402" t="s">
        <v>32</v>
      </c>
      <c r="B6875" s="2">
        <v>44179</v>
      </c>
      <c r="C6875" s="1">
        <v>6</v>
      </c>
      <c r="D6875" s="39">
        <f t="shared" si="563"/>
        <v>18455</v>
      </c>
      <c r="E6875" s="1"/>
      <c r="F6875" s="522">
        <f t="shared" si="564"/>
        <v>854</v>
      </c>
      <c r="G6875" s="395"/>
      <c r="H6875" s="395"/>
      <c r="J6875" s="42"/>
    </row>
    <row r="6876" spans="1:10" s="393" customFormat="1" x14ac:dyDescent="0.25">
      <c r="A6876" s="402" t="s">
        <v>33</v>
      </c>
      <c r="B6876" s="2">
        <v>44179</v>
      </c>
      <c r="C6876" s="1">
        <v>148</v>
      </c>
      <c r="D6876" s="39">
        <f t="shared" si="563"/>
        <v>7118</v>
      </c>
      <c r="E6876" s="1">
        <v>5</v>
      </c>
      <c r="F6876" s="522">
        <f t="shared" si="564"/>
        <v>104</v>
      </c>
      <c r="G6876" s="395"/>
      <c r="H6876" s="395"/>
      <c r="J6876" s="42"/>
    </row>
    <row r="6877" spans="1:10" s="393" customFormat="1" x14ac:dyDescent="0.25">
      <c r="A6877" s="402" t="s">
        <v>21</v>
      </c>
      <c r="B6877" s="2">
        <v>44179</v>
      </c>
      <c r="C6877" s="1">
        <v>7</v>
      </c>
      <c r="D6877" s="39">
        <f t="shared" si="563"/>
        <v>8941</v>
      </c>
      <c r="E6877" s="1"/>
      <c r="F6877" s="522">
        <f t="shared" si="564"/>
        <v>325</v>
      </c>
      <c r="G6877" s="395"/>
      <c r="H6877" s="395"/>
      <c r="J6877" s="42"/>
    </row>
    <row r="6878" spans="1:10" s="393" customFormat="1" x14ac:dyDescent="0.25">
      <c r="A6878" s="402" t="s">
        <v>17</v>
      </c>
      <c r="B6878" s="2">
        <v>44179</v>
      </c>
      <c r="C6878" s="1">
        <v>108</v>
      </c>
      <c r="D6878" s="39">
        <f t="shared" si="563"/>
        <v>58366</v>
      </c>
      <c r="E6878" s="1">
        <v>4</v>
      </c>
      <c r="F6878" s="522">
        <f t="shared" si="564"/>
        <v>1178</v>
      </c>
      <c r="G6878" s="395"/>
      <c r="H6878" s="395"/>
      <c r="J6878" s="42"/>
    </row>
    <row r="6879" spans="1:10" s="393" customFormat="1" x14ac:dyDescent="0.25">
      <c r="A6879" s="402" t="s">
        <v>23</v>
      </c>
      <c r="B6879" s="2">
        <v>44179</v>
      </c>
      <c r="C6879" s="1">
        <v>2</v>
      </c>
      <c r="D6879" s="39">
        <f t="shared" si="563"/>
        <v>685</v>
      </c>
      <c r="E6879" s="1">
        <v>1</v>
      </c>
      <c r="F6879" s="522">
        <f t="shared" si="564"/>
        <v>10</v>
      </c>
      <c r="G6879" s="395"/>
      <c r="H6879" s="395"/>
      <c r="J6879" s="42"/>
    </row>
    <row r="6880" spans="1:10" s="393" customFormat="1" x14ac:dyDescent="0.25">
      <c r="A6880" s="402" t="s">
        <v>19</v>
      </c>
      <c r="B6880" s="2">
        <v>44179</v>
      </c>
      <c r="C6880" s="1">
        <v>172</v>
      </c>
      <c r="D6880" s="39">
        <f t="shared" si="563"/>
        <v>37092</v>
      </c>
      <c r="E6880" s="1"/>
      <c r="F6880" s="522">
        <f t="shared" si="564"/>
        <v>673</v>
      </c>
      <c r="G6880" s="395"/>
      <c r="H6880" s="395"/>
      <c r="J6880" s="42"/>
    </row>
    <row r="6881" spans="1:10" s="393" customFormat="1" x14ac:dyDescent="0.25">
      <c r="A6881" s="402" t="s">
        <v>18</v>
      </c>
      <c r="B6881" s="2">
        <v>44179</v>
      </c>
      <c r="C6881" s="1">
        <v>133</v>
      </c>
      <c r="D6881" s="39">
        <f t="shared" si="563"/>
        <v>34371</v>
      </c>
      <c r="E6881" s="1">
        <v>5</v>
      </c>
      <c r="F6881" s="522">
        <f t="shared" si="564"/>
        <v>844</v>
      </c>
      <c r="G6881" s="395"/>
      <c r="H6881" s="395"/>
      <c r="J6881" s="42"/>
    </row>
    <row r="6882" spans="1:10" s="393" customFormat="1" x14ac:dyDescent="0.25">
      <c r="A6882" s="402" t="s">
        <v>34</v>
      </c>
      <c r="B6882" s="2">
        <v>44179</v>
      </c>
      <c r="C6882" s="1">
        <v>36</v>
      </c>
      <c r="D6882" s="39">
        <f t="shared" si="563"/>
        <v>21614</v>
      </c>
      <c r="E6882" s="1">
        <v>2</v>
      </c>
      <c r="F6882" s="522">
        <f t="shared" si="564"/>
        <v>999</v>
      </c>
      <c r="G6882" s="395"/>
      <c r="H6882" s="395"/>
      <c r="J6882" s="42"/>
    </row>
    <row r="6883" spans="1:10" s="393" customFormat="1" x14ac:dyDescent="0.25">
      <c r="A6883" s="402" t="s">
        <v>35</v>
      </c>
      <c r="B6883" s="2">
        <v>44179</v>
      </c>
      <c r="C6883" s="1">
        <v>232</v>
      </c>
      <c r="D6883" s="39">
        <f t="shared" ref="D6883:D6946" si="565">C6883+D6859</f>
        <v>9481</v>
      </c>
      <c r="E6883" s="1">
        <v>22</v>
      </c>
      <c r="F6883" s="522">
        <f t="shared" ref="F6883:F6946" si="566">E6883+F6859</f>
        <v>196</v>
      </c>
      <c r="G6883" s="395"/>
      <c r="H6883" s="395"/>
      <c r="J6883" s="42"/>
    </row>
    <row r="6884" spans="1:10" s="393" customFormat="1" x14ac:dyDescent="0.25">
      <c r="A6884" s="402" t="s">
        <v>36</v>
      </c>
      <c r="B6884" s="2">
        <v>44179</v>
      </c>
      <c r="C6884" s="1">
        <v>58</v>
      </c>
      <c r="D6884" s="39">
        <f t="shared" si="565"/>
        <v>15543</v>
      </c>
      <c r="E6884" s="1">
        <v>3</v>
      </c>
      <c r="F6884" s="522">
        <f t="shared" si="566"/>
        <v>253</v>
      </c>
      <c r="G6884" s="395"/>
      <c r="H6884" s="395"/>
      <c r="J6884" s="42"/>
    </row>
    <row r="6885" spans="1:10" s="393" customFormat="1" x14ac:dyDescent="0.25">
      <c r="A6885" s="402" t="s">
        <v>37</v>
      </c>
      <c r="B6885" s="2">
        <v>44179</v>
      </c>
      <c r="C6885" s="1">
        <v>177</v>
      </c>
      <c r="D6885" s="39">
        <f t="shared" si="565"/>
        <v>19014</v>
      </c>
      <c r="E6885" s="1">
        <v>5</v>
      </c>
      <c r="F6885" s="522">
        <f t="shared" si="566"/>
        <v>334</v>
      </c>
      <c r="G6885" s="395"/>
      <c r="H6885" s="395"/>
      <c r="J6885" s="42"/>
    </row>
    <row r="6886" spans="1:10" s="393" customFormat="1" x14ac:dyDescent="0.25">
      <c r="A6886" s="402" t="s">
        <v>22</v>
      </c>
      <c r="B6886" s="2">
        <v>44179</v>
      </c>
      <c r="C6886" s="1">
        <v>741</v>
      </c>
      <c r="D6886" s="39">
        <f t="shared" si="565"/>
        <v>160821</v>
      </c>
      <c r="E6886" s="1">
        <v>29</v>
      </c>
      <c r="F6886" s="522">
        <f t="shared" si="566"/>
        <v>2576</v>
      </c>
      <c r="G6886" s="395"/>
      <c r="H6886" s="395"/>
      <c r="J6886" s="42"/>
    </row>
    <row r="6887" spans="1:10" s="393" customFormat="1" x14ac:dyDescent="0.25">
      <c r="A6887" s="402" t="s">
        <v>38</v>
      </c>
      <c r="B6887" s="2">
        <v>44179</v>
      </c>
      <c r="C6887" s="1">
        <v>44</v>
      </c>
      <c r="D6887" s="39">
        <f t="shared" si="565"/>
        <v>16532</v>
      </c>
      <c r="E6887" s="1">
        <v>2</v>
      </c>
      <c r="F6887" s="522">
        <f t="shared" si="566"/>
        <v>208</v>
      </c>
      <c r="G6887" s="395"/>
      <c r="H6887" s="395"/>
      <c r="J6887" s="42"/>
    </row>
    <row r="6888" spans="1:10" s="393" customFormat="1" x14ac:dyDescent="0.25">
      <c r="A6888" s="402" t="s">
        <v>39</v>
      </c>
      <c r="B6888" s="2">
        <v>44179</v>
      </c>
      <c r="C6888" s="1">
        <v>172</v>
      </c>
      <c r="D6888" s="39">
        <f t="shared" si="565"/>
        <v>17677</v>
      </c>
      <c r="E6888" s="1"/>
      <c r="F6888" s="522">
        <f t="shared" si="566"/>
        <v>242</v>
      </c>
      <c r="G6888" s="395"/>
      <c r="H6888" s="395"/>
      <c r="J6888" s="42"/>
    </row>
    <row r="6889" spans="1:10" s="393" customFormat="1" ht="15.75" thickBot="1" x14ac:dyDescent="0.3">
      <c r="A6889" s="404" t="s">
        <v>40</v>
      </c>
      <c r="B6889" s="2">
        <v>44179</v>
      </c>
      <c r="C6889" s="1">
        <v>246</v>
      </c>
      <c r="D6889" s="177">
        <f t="shared" si="565"/>
        <v>68641</v>
      </c>
      <c r="E6889" s="1">
        <v>9</v>
      </c>
      <c r="F6889" s="631">
        <f t="shared" si="566"/>
        <v>1301</v>
      </c>
      <c r="G6889" s="395"/>
      <c r="H6889" s="395"/>
      <c r="J6889" s="42"/>
    </row>
    <row r="6890" spans="1:10" s="393" customFormat="1" x14ac:dyDescent="0.25">
      <c r="A6890" s="397" t="s">
        <v>16</v>
      </c>
      <c r="B6890" s="2">
        <v>44180</v>
      </c>
      <c r="C6890" s="1">
        <v>2226</v>
      </c>
      <c r="D6890" s="175">
        <f t="shared" si="565"/>
        <v>641787</v>
      </c>
      <c r="E6890" s="1">
        <v>29</v>
      </c>
      <c r="F6890" s="630">
        <f t="shared" si="566"/>
        <v>21534</v>
      </c>
      <c r="G6890" s="395"/>
      <c r="H6890" s="395"/>
      <c r="J6890" s="42"/>
    </row>
    <row r="6891" spans="1:10" s="393" customFormat="1" x14ac:dyDescent="0.25">
      <c r="A6891" s="402" t="s">
        <v>43</v>
      </c>
      <c r="B6891" s="2">
        <v>44180</v>
      </c>
      <c r="C6891" s="1">
        <v>483</v>
      </c>
      <c r="D6891" s="39">
        <f t="shared" si="565"/>
        <v>163708</v>
      </c>
      <c r="E6891" s="1">
        <v>8</v>
      </c>
      <c r="F6891" s="522">
        <f t="shared" si="566"/>
        <v>5355</v>
      </c>
      <c r="G6891" s="395"/>
      <c r="H6891" s="395"/>
      <c r="J6891" s="42"/>
    </row>
    <row r="6892" spans="1:10" s="393" customFormat="1" x14ac:dyDescent="0.25">
      <c r="A6892" s="402" t="s">
        <v>28</v>
      </c>
      <c r="B6892" s="2">
        <v>44180</v>
      </c>
      <c r="C6892" s="1">
        <v>19</v>
      </c>
      <c r="D6892" s="39">
        <f t="shared" si="565"/>
        <v>2190</v>
      </c>
      <c r="E6892" s="1"/>
      <c r="F6892" s="522">
        <f t="shared" si="566"/>
        <v>17</v>
      </c>
      <c r="G6892" s="395"/>
      <c r="H6892" s="395"/>
      <c r="J6892" s="42"/>
    </row>
    <row r="6893" spans="1:10" s="393" customFormat="1" x14ac:dyDescent="0.25">
      <c r="A6893" s="402" t="s">
        <v>15</v>
      </c>
      <c r="B6893" s="2">
        <v>44180</v>
      </c>
      <c r="C6893" s="1">
        <v>160</v>
      </c>
      <c r="D6893" s="39">
        <f t="shared" si="565"/>
        <v>22028</v>
      </c>
      <c r="E6893" s="1">
        <v>7</v>
      </c>
      <c r="F6893" s="522">
        <f t="shared" si="566"/>
        <v>633</v>
      </c>
      <c r="G6893" s="395"/>
      <c r="H6893" s="395"/>
      <c r="J6893" s="42"/>
    </row>
    <row r="6894" spans="1:10" s="393" customFormat="1" x14ac:dyDescent="0.25">
      <c r="A6894" s="402" t="s">
        <v>29</v>
      </c>
      <c r="B6894" s="2">
        <v>44180</v>
      </c>
      <c r="C6894" s="1">
        <v>358</v>
      </c>
      <c r="D6894" s="39">
        <f t="shared" si="565"/>
        <v>26659</v>
      </c>
      <c r="E6894" s="1">
        <v>11</v>
      </c>
      <c r="F6894" s="522">
        <f t="shared" si="566"/>
        <v>460</v>
      </c>
      <c r="G6894" s="395"/>
      <c r="H6894" s="395"/>
      <c r="J6894" s="42"/>
    </row>
    <row r="6895" spans="1:10" s="393" customFormat="1" x14ac:dyDescent="0.25">
      <c r="A6895" s="402" t="s">
        <v>20</v>
      </c>
      <c r="B6895" s="2">
        <v>44180</v>
      </c>
      <c r="C6895" s="1">
        <v>386</v>
      </c>
      <c r="D6895" s="39">
        <f t="shared" si="565"/>
        <v>120401</v>
      </c>
      <c r="E6895" s="1">
        <v>33</v>
      </c>
      <c r="F6895" s="522">
        <f t="shared" si="566"/>
        <v>2319</v>
      </c>
      <c r="G6895" s="395"/>
      <c r="H6895" s="395"/>
      <c r="J6895" s="42"/>
    </row>
    <row r="6896" spans="1:10" s="393" customFormat="1" x14ac:dyDescent="0.25">
      <c r="A6896" s="402" t="s">
        <v>30</v>
      </c>
      <c r="B6896" s="2">
        <v>44180</v>
      </c>
      <c r="C6896" s="1">
        <v>156</v>
      </c>
      <c r="D6896" s="39">
        <f t="shared" si="565"/>
        <v>9796</v>
      </c>
      <c r="E6896" s="1">
        <v>1</v>
      </c>
      <c r="F6896" s="522">
        <f t="shared" si="566"/>
        <v>138</v>
      </c>
      <c r="G6896" s="395"/>
      <c r="H6896" s="395"/>
      <c r="J6896" s="42"/>
    </row>
    <row r="6897" spans="1:10" x14ac:dyDescent="0.25">
      <c r="A6897" s="402" t="s">
        <v>31</v>
      </c>
      <c r="B6897" s="2">
        <v>44180</v>
      </c>
      <c r="C6897" s="1">
        <v>135</v>
      </c>
      <c r="D6897" s="39">
        <f t="shared" si="565"/>
        <v>25927</v>
      </c>
      <c r="E6897" s="1">
        <v>6</v>
      </c>
      <c r="F6897" s="522">
        <f t="shared" si="566"/>
        <v>535</v>
      </c>
    </row>
    <row r="6898" spans="1:10" s="393" customFormat="1" x14ac:dyDescent="0.25">
      <c r="A6898" s="402" t="s">
        <v>41</v>
      </c>
      <c r="B6898" s="2">
        <v>44180</v>
      </c>
      <c r="C6898" s="1">
        <v>-1</v>
      </c>
      <c r="D6898" s="39">
        <f t="shared" si="565"/>
        <v>197</v>
      </c>
      <c r="E6898" s="1"/>
      <c r="F6898" s="522">
        <f t="shared" si="566"/>
        <v>3</v>
      </c>
      <c r="G6898" s="395"/>
      <c r="H6898" s="395"/>
      <c r="J6898" s="42"/>
    </row>
    <row r="6899" spans="1:10" s="393" customFormat="1" x14ac:dyDescent="0.25">
      <c r="A6899" s="402" t="s">
        <v>32</v>
      </c>
      <c r="B6899" s="2">
        <v>44180</v>
      </c>
      <c r="C6899" s="1">
        <v>4</v>
      </c>
      <c r="D6899" s="39">
        <f t="shared" si="565"/>
        <v>18459</v>
      </c>
      <c r="E6899" s="1"/>
      <c r="F6899" s="522">
        <f t="shared" si="566"/>
        <v>854</v>
      </c>
      <c r="G6899" s="395"/>
      <c r="H6899" s="395"/>
      <c r="J6899" s="42"/>
    </row>
    <row r="6900" spans="1:10" s="393" customFormat="1" x14ac:dyDescent="0.25">
      <c r="A6900" s="402" t="s">
        <v>33</v>
      </c>
      <c r="B6900" s="2">
        <v>44180</v>
      </c>
      <c r="C6900" s="1">
        <v>163</v>
      </c>
      <c r="D6900" s="39">
        <f t="shared" si="565"/>
        <v>7281</v>
      </c>
      <c r="E6900" s="1"/>
      <c r="F6900" s="522">
        <f t="shared" si="566"/>
        <v>104</v>
      </c>
      <c r="G6900" s="395"/>
      <c r="H6900" s="395"/>
      <c r="J6900" s="42"/>
    </row>
    <row r="6901" spans="1:10" s="393" customFormat="1" x14ac:dyDescent="0.25">
      <c r="A6901" s="402" t="s">
        <v>21</v>
      </c>
      <c r="B6901" s="2">
        <v>44180</v>
      </c>
      <c r="C6901" s="1">
        <v>9</v>
      </c>
      <c r="D6901" s="39">
        <f t="shared" si="565"/>
        <v>8950</v>
      </c>
      <c r="E6901" s="1"/>
      <c r="F6901" s="522">
        <f t="shared" si="566"/>
        <v>325</v>
      </c>
      <c r="G6901" s="395"/>
      <c r="H6901" s="395"/>
      <c r="J6901" s="42"/>
    </row>
    <row r="6902" spans="1:10" s="393" customFormat="1" x14ac:dyDescent="0.25">
      <c r="A6902" s="402" t="s">
        <v>17</v>
      </c>
      <c r="B6902" s="2">
        <v>44180</v>
      </c>
      <c r="C6902" s="1">
        <v>160</v>
      </c>
      <c r="D6902" s="39">
        <f t="shared" si="565"/>
        <v>58526</v>
      </c>
      <c r="E6902" s="1">
        <v>6</v>
      </c>
      <c r="F6902" s="522">
        <f t="shared" si="566"/>
        <v>1184</v>
      </c>
      <c r="G6902" s="395"/>
      <c r="H6902" s="395"/>
      <c r="J6902" s="42"/>
    </row>
    <row r="6903" spans="1:10" s="393" customFormat="1" x14ac:dyDescent="0.25">
      <c r="A6903" s="402" t="s">
        <v>23</v>
      </c>
      <c r="B6903" s="2">
        <v>44180</v>
      </c>
      <c r="C6903" s="1">
        <v>18</v>
      </c>
      <c r="D6903" s="39">
        <f t="shared" si="565"/>
        <v>703</v>
      </c>
      <c r="E6903" s="1">
        <v>1</v>
      </c>
      <c r="F6903" s="522">
        <f t="shared" si="566"/>
        <v>11</v>
      </c>
      <c r="G6903" s="395"/>
      <c r="H6903" s="395"/>
      <c r="J6903" s="42"/>
    </row>
    <row r="6904" spans="1:10" s="393" customFormat="1" x14ac:dyDescent="0.25">
      <c r="A6904" s="402" t="s">
        <v>19</v>
      </c>
      <c r="B6904" s="2">
        <v>44180</v>
      </c>
      <c r="C6904" s="1">
        <v>247</v>
      </c>
      <c r="D6904" s="39">
        <f t="shared" si="565"/>
        <v>37339</v>
      </c>
      <c r="E6904" s="1">
        <v>7</v>
      </c>
      <c r="F6904" s="522">
        <f t="shared" si="566"/>
        <v>680</v>
      </c>
      <c r="G6904" s="395"/>
      <c r="H6904" s="395"/>
      <c r="J6904" s="42"/>
    </row>
    <row r="6905" spans="1:10" s="393" customFormat="1" x14ac:dyDescent="0.25">
      <c r="A6905" s="402" t="s">
        <v>18</v>
      </c>
      <c r="B6905" s="2">
        <v>44180</v>
      </c>
      <c r="C6905" s="1">
        <v>286</v>
      </c>
      <c r="D6905" s="39">
        <f t="shared" si="565"/>
        <v>34657</v>
      </c>
      <c r="E6905" s="1">
        <v>4</v>
      </c>
      <c r="F6905" s="522">
        <f t="shared" si="566"/>
        <v>848</v>
      </c>
      <c r="G6905" s="395"/>
      <c r="H6905" s="395"/>
      <c r="J6905" s="42"/>
    </row>
    <row r="6906" spans="1:10" s="393" customFormat="1" x14ac:dyDescent="0.25">
      <c r="A6906" s="402" t="s">
        <v>34</v>
      </c>
      <c r="B6906" s="2">
        <v>44180</v>
      </c>
      <c r="C6906" s="1">
        <v>65</v>
      </c>
      <c r="D6906" s="39">
        <f t="shared" si="565"/>
        <v>21679</v>
      </c>
      <c r="E6906" s="1">
        <v>1</v>
      </c>
      <c r="F6906" s="522">
        <f t="shared" si="566"/>
        <v>1000</v>
      </c>
      <c r="G6906" s="395"/>
      <c r="H6906" s="395"/>
      <c r="J6906" s="42"/>
    </row>
    <row r="6907" spans="1:10" s="393" customFormat="1" x14ac:dyDescent="0.25">
      <c r="A6907" s="402" t="s">
        <v>35</v>
      </c>
      <c r="B6907" s="2">
        <v>44180</v>
      </c>
      <c r="C6907" s="1">
        <v>204</v>
      </c>
      <c r="D6907" s="39">
        <f t="shared" si="565"/>
        <v>9685</v>
      </c>
      <c r="E6907" s="1"/>
      <c r="F6907" s="522">
        <f t="shared" si="566"/>
        <v>196</v>
      </c>
      <c r="G6907" s="395"/>
      <c r="H6907" s="395"/>
      <c r="J6907" s="42"/>
    </row>
    <row r="6908" spans="1:10" s="393" customFormat="1" x14ac:dyDescent="0.25">
      <c r="A6908" s="402" t="s">
        <v>36</v>
      </c>
      <c r="B6908" s="2">
        <v>44180</v>
      </c>
      <c r="C6908" s="1">
        <v>101</v>
      </c>
      <c r="D6908" s="39">
        <f t="shared" si="565"/>
        <v>15644</v>
      </c>
      <c r="E6908" s="1">
        <v>4</v>
      </c>
      <c r="F6908" s="522">
        <f t="shared" si="566"/>
        <v>257</v>
      </c>
      <c r="G6908" s="395"/>
      <c r="H6908" s="395"/>
      <c r="J6908" s="42"/>
    </row>
    <row r="6909" spans="1:10" s="393" customFormat="1" x14ac:dyDescent="0.25">
      <c r="A6909" s="402" t="s">
        <v>37</v>
      </c>
      <c r="B6909" s="2">
        <v>44180</v>
      </c>
      <c r="C6909" s="1">
        <v>332</v>
      </c>
      <c r="D6909" s="39">
        <f t="shared" si="565"/>
        <v>19346</v>
      </c>
      <c r="E6909" s="1">
        <v>6</v>
      </c>
      <c r="F6909" s="522">
        <f t="shared" si="566"/>
        <v>340</v>
      </c>
      <c r="G6909" s="395"/>
      <c r="H6909" s="395"/>
      <c r="J6909" s="42"/>
    </row>
    <row r="6910" spans="1:10" s="393" customFormat="1" x14ac:dyDescent="0.25">
      <c r="A6910" s="402" t="s">
        <v>22</v>
      </c>
      <c r="B6910" s="2">
        <v>44180</v>
      </c>
      <c r="C6910" s="1">
        <v>1145</v>
      </c>
      <c r="D6910" s="39">
        <f t="shared" si="565"/>
        <v>161966</v>
      </c>
      <c r="E6910" s="1">
        <v>22</v>
      </c>
      <c r="F6910" s="522">
        <f t="shared" si="566"/>
        <v>2598</v>
      </c>
      <c r="G6910" s="395"/>
      <c r="H6910" s="395"/>
      <c r="J6910" s="42"/>
    </row>
    <row r="6911" spans="1:10" s="393" customFormat="1" x14ac:dyDescent="0.25">
      <c r="A6911" s="402" t="s">
        <v>38</v>
      </c>
      <c r="B6911" s="2">
        <v>44180</v>
      </c>
      <c r="C6911" s="1">
        <v>39</v>
      </c>
      <c r="D6911" s="39">
        <f t="shared" si="565"/>
        <v>16571</v>
      </c>
      <c r="E6911" s="1">
        <v>2</v>
      </c>
      <c r="F6911" s="522">
        <f t="shared" si="566"/>
        <v>210</v>
      </c>
      <c r="G6911" s="395"/>
      <c r="H6911" s="395"/>
      <c r="J6911" s="42"/>
    </row>
    <row r="6912" spans="1:10" s="393" customFormat="1" x14ac:dyDescent="0.25">
      <c r="A6912" s="402" t="s">
        <v>39</v>
      </c>
      <c r="B6912" s="2">
        <v>44180</v>
      </c>
      <c r="C6912" s="1">
        <v>72</v>
      </c>
      <c r="D6912" s="39">
        <f t="shared" si="565"/>
        <v>17749</v>
      </c>
      <c r="E6912" s="1"/>
      <c r="F6912" s="522">
        <f t="shared" si="566"/>
        <v>242</v>
      </c>
      <c r="G6912" s="395"/>
      <c r="H6912" s="395"/>
      <c r="J6912" s="42"/>
    </row>
    <row r="6913" spans="1:10" s="393" customFormat="1" ht="15.75" thickBot="1" x14ac:dyDescent="0.3">
      <c r="A6913" s="404" t="s">
        <v>40</v>
      </c>
      <c r="B6913" s="2">
        <v>44180</v>
      </c>
      <c r="C6913" s="1">
        <v>214</v>
      </c>
      <c r="D6913" s="177">
        <f t="shared" si="565"/>
        <v>68855</v>
      </c>
      <c r="E6913" s="1">
        <v>8</v>
      </c>
      <c r="F6913" s="631">
        <f t="shared" si="566"/>
        <v>1309</v>
      </c>
      <c r="G6913" s="395"/>
      <c r="H6913" s="395"/>
      <c r="J6913" s="42"/>
    </row>
    <row r="6914" spans="1:10" s="393" customFormat="1" x14ac:dyDescent="0.25">
      <c r="A6914" s="397" t="s">
        <v>16</v>
      </c>
      <c r="B6914" s="2">
        <v>44181</v>
      </c>
      <c r="C6914" s="1">
        <v>2321</v>
      </c>
      <c r="D6914" s="175">
        <f t="shared" si="565"/>
        <v>644108</v>
      </c>
      <c r="E6914" s="1">
        <v>38</v>
      </c>
      <c r="F6914" s="630">
        <f t="shared" si="566"/>
        <v>21572</v>
      </c>
      <c r="G6914" s="395"/>
      <c r="H6914" s="395"/>
      <c r="J6914" s="42"/>
    </row>
    <row r="6915" spans="1:10" s="393" customFormat="1" x14ac:dyDescent="0.25">
      <c r="A6915" s="402" t="s">
        <v>43</v>
      </c>
      <c r="B6915" s="2">
        <v>44181</v>
      </c>
      <c r="C6915" s="1">
        <v>394</v>
      </c>
      <c r="D6915" s="39">
        <f t="shared" si="565"/>
        <v>164102</v>
      </c>
      <c r="E6915" s="1">
        <v>10</v>
      </c>
      <c r="F6915" s="522">
        <f t="shared" si="566"/>
        <v>5365</v>
      </c>
      <c r="G6915" s="395"/>
      <c r="H6915" s="395"/>
      <c r="J6915" s="42"/>
    </row>
    <row r="6916" spans="1:10" s="393" customFormat="1" x14ac:dyDescent="0.25">
      <c r="A6916" s="402" t="s">
        <v>28</v>
      </c>
      <c r="B6916" s="2">
        <v>44181</v>
      </c>
      <c r="C6916" s="1">
        <v>20</v>
      </c>
      <c r="D6916" s="39">
        <f t="shared" si="565"/>
        <v>2210</v>
      </c>
      <c r="E6916" s="1"/>
      <c r="F6916" s="522">
        <f t="shared" si="566"/>
        <v>17</v>
      </c>
      <c r="G6916" s="395"/>
      <c r="H6916" s="395"/>
      <c r="J6916" s="42"/>
    </row>
    <row r="6917" spans="1:10" s="393" customFormat="1" x14ac:dyDescent="0.25">
      <c r="A6917" s="402" t="s">
        <v>15</v>
      </c>
      <c r="B6917" s="2">
        <v>44181</v>
      </c>
      <c r="C6917" s="1">
        <v>187</v>
      </c>
      <c r="D6917" s="39">
        <f t="shared" si="565"/>
        <v>22215</v>
      </c>
      <c r="E6917" s="1">
        <v>2</v>
      </c>
      <c r="F6917" s="522">
        <f t="shared" si="566"/>
        <v>635</v>
      </c>
      <c r="G6917" s="395"/>
      <c r="H6917" s="395"/>
      <c r="J6917" s="42"/>
    </row>
    <row r="6918" spans="1:10" s="393" customFormat="1" x14ac:dyDescent="0.25">
      <c r="A6918" s="402" t="s">
        <v>29</v>
      </c>
      <c r="B6918" s="2">
        <v>44181</v>
      </c>
      <c r="C6918" s="1">
        <v>384</v>
      </c>
      <c r="D6918" s="39">
        <f t="shared" si="565"/>
        <v>27043</v>
      </c>
      <c r="E6918" s="1">
        <v>3</v>
      </c>
      <c r="F6918" s="522">
        <f t="shared" si="566"/>
        <v>463</v>
      </c>
      <c r="G6918" s="395"/>
      <c r="H6918" s="395"/>
      <c r="J6918" s="42"/>
    </row>
    <row r="6919" spans="1:10" s="393" customFormat="1" x14ac:dyDescent="0.25">
      <c r="A6919" s="402" t="s">
        <v>20</v>
      </c>
      <c r="B6919" s="2">
        <v>44181</v>
      </c>
      <c r="C6919" s="1">
        <v>528</v>
      </c>
      <c r="D6919" s="39">
        <f t="shared" si="565"/>
        <v>120929</v>
      </c>
      <c r="E6919" s="1">
        <v>21</v>
      </c>
      <c r="F6919" s="522">
        <f t="shared" si="566"/>
        <v>2340</v>
      </c>
      <c r="G6919" s="395"/>
      <c r="H6919" s="395"/>
      <c r="J6919" s="42"/>
    </row>
    <row r="6920" spans="1:10" s="393" customFormat="1" x14ac:dyDescent="0.25">
      <c r="A6920" s="402" t="s">
        <v>30</v>
      </c>
      <c r="B6920" s="2">
        <v>44181</v>
      </c>
      <c r="C6920" s="1">
        <v>111</v>
      </c>
      <c r="D6920" s="39">
        <f t="shared" si="565"/>
        <v>9907</v>
      </c>
      <c r="E6920" s="1"/>
      <c r="F6920" s="522">
        <f t="shared" si="566"/>
        <v>138</v>
      </c>
      <c r="G6920" s="395"/>
      <c r="H6920" s="395"/>
      <c r="J6920" s="42"/>
    </row>
    <row r="6921" spans="1:10" x14ac:dyDescent="0.25">
      <c r="A6921" s="402" t="s">
        <v>31</v>
      </c>
      <c r="B6921" s="2">
        <v>44181</v>
      </c>
      <c r="C6921" s="1">
        <v>242</v>
      </c>
      <c r="D6921" s="39">
        <f t="shared" si="565"/>
        <v>26169</v>
      </c>
      <c r="E6921" s="1">
        <v>8</v>
      </c>
      <c r="F6921" s="522">
        <f t="shared" si="566"/>
        <v>543</v>
      </c>
    </row>
    <row r="6922" spans="1:10" s="393" customFormat="1" x14ac:dyDescent="0.25">
      <c r="A6922" s="402" t="s">
        <v>41</v>
      </c>
      <c r="B6922" s="2">
        <v>44181</v>
      </c>
      <c r="C6922" s="1">
        <v>5</v>
      </c>
      <c r="D6922" s="39">
        <f t="shared" si="565"/>
        <v>202</v>
      </c>
      <c r="E6922" s="1"/>
      <c r="F6922" s="522">
        <f t="shared" si="566"/>
        <v>3</v>
      </c>
      <c r="G6922" s="395"/>
      <c r="H6922" s="395"/>
      <c r="J6922" s="42"/>
    </row>
    <row r="6923" spans="1:10" s="393" customFormat="1" x14ac:dyDescent="0.25">
      <c r="A6923" s="402" t="s">
        <v>32</v>
      </c>
      <c r="B6923" s="2">
        <v>44181</v>
      </c>
      <c r="C6923" s="1">
        <v>1</v>
      </c>
      <c r="D6923" s="39">
        <f t="shared" si="565"/>
        <v>18460</v>
      </c>
      <c r="E6923" s="1"/>
      <c r="F6923" s="522">
        <f t="shared" si="566"/>
        <v>854</v>
      </c>
      <c r="G6923" s="395"/>
      <c r="H6923" s="395"/>
      <c r="J6923" s="42"/>
    </row>
    <row r="6924" spans="1:10" s="393" customFormat="1" x14ac:dyDescent="0.25">
      <c r="A6924" s="402" t="s">
        <v>33</v>
      </c>
      <c r="B6924" s="2">
        <v>44181</v>
      </c>
      <c r="C6924" s="1">
        <v>213</v>
      </c>
      <c r="D6924" s="39">
        <f t="shared" si="565"/>
        <v>7494</v>
      </c>
      <c r="E6924" s="1"/>
      <c r="F6924" s="522">
        <f t="shared" si="566"/>
        <v>104</v>
      </c>
      <c r="G6924" s="395"/>
      <c r="H6924" s="395"/>
      <c r="J6924" s="42"/>
    </row>
    <row r="6925" spans="1:10" s="393" customFormat="1" x14ac:dyDescent="0.25">
      <c r="A6925" s="402" t="s">
        <v>21</v>
      </c>
      <c r="B6925" s="2">
        <v>44181</v>
      </c>
      <c r="C6925" s="1">
        <v>13</v>
      </c>
      <c r="D6925" s="39">
        <f t="shared" si="565"/>
        <v>8963</v>
      </c>
      <c r="E6925" s="1">
        <v>4</v>
      </c>
      <c r="F6925" s="522">
        <f t="shared" si="566"/>
        <v>329</v>
      </c>
      <c r="G6925" s="395"/>
      <c r="H6925" s="395"/>
      <c r="J6925" s="42"/>
    </row>
    <row r="6926" spans="1:10" s="393" customFormat="1" x14ac:dyDescent="0.25">
      <c r="A6926" s="402" t="s">
        <v>17</v>
      </c>
      <c r="B6926" s="2">
        <v>44181</v>
      </c>
      <c r="C6926" s="1">
        <v>148</v>
      </c>
      <c r="D6926" s="39">
        <f t="shared" si="565"/>
        <v>58674</v>
      </c>
      <c r="E6926" s="1">
        <v>5</v>
      </c>
      <c r="F6926" s="522">
        <f t="shared" si="566"/>
        <v>1189</v>
      </c>
      <c r="G6926" s="395"/>
      <c r="H6926" s="395"/>
      <c r="J6926" s="42"/>
    </row>
    <row r="6927" spans="1:10" s="393" customFormat="1" x14ac:dyDescent="0.25">
      <c r="A6927" s="402" t="s">
        <v>23</v>
      </c>
      <c r="B6927" s="2">
        <v>44181</v>
      </c>
      <c r="C6927" s="1">
        <v>45</v>
      </c>
      <c r="D6927" s="39">
        <f t="shared" si="565"/>
        <v>748</v>
      </c>
      <c r="E6927" s="1"/>
      <c r="F6927" s="522">
        <f t="shared" si="566"/>
        <v>11</v>
      </c>
      <c r="G6927" s="395"/>
      <c r="H6927" s="395"/>
      <c r="J6927" s="42"/>
    </row>
    <row r="6928" spans="1:10" s="393" customFormat="1" x14ac:dyDescent="0.25">
      <c r="A6928" s="402" t="s">
        <v>19</v>
      </c>
      <c r="B6928" s="2">
        <v>44181</v>
      </c>
      <c r="C6928" s="1">
        <v>-4</v>
      </c>
      <c r="D6928" s="39">
        <f t="shared" si="565"/>
        <v>37335</v>
      </c>
      <c r="E6928" s="1">
        <v>1</v>
      </c>
      <c r="F6928" s="522">
        <f t="shared" si="566"/>
        <v>681</v>
      </c>
      <c r="G6928" s="395"/>
      <c r="H6928" s="395"/>
      <c r="J6928" s="42"/>
    </row>
    <row r="6929" spans="1:10" s="393" customFormat="1" x14ac:dyDescent="0.25">
      <c r="A6929" s="402" t="s">
        <v>18</v>
      </c>
      <c r="B6929" s="2">
        <v>44181</v>
      </c>
      <c r="C6929" s="1">
        <v>224</v>
      </c>
      <c r="D6929" s="39">
        <f t="shared" si="565"/>
        <v>34881</v>
      </c>
      <c r="E6929" s="1">
        <v>3</v>
      </c>
      <c r="F6929" s="522">
        <f t="shared" si="566"/>
        <v>851</v>
      </c>
      <c r="G6929" s="395"/>
      <c r="H6929" s="395"/>
      <c r="J6929" s="42"/>
    </row>
    <row r="6930" spans="1:10" s="393" customFormat="1" x14ac:dyDescent="0.25">
      <c r="A6930" s="402" t="s">
        <v>34</v>
      </c>
      <c r="B6930" s="2">
        <v>44181</v>
      </c>
      <c r="C6930" s="1">
        <v>53</v>
      </c>
      <c r="D6930" s="39">
        <f t="shared" si="565"/>
        <v>21732</v>
      </c>
      <c r="E6930" s="1">
        <v>5</v>
      </c>
      <c r="F6930" s="522">
        <f t="shared" si="566"/>
        <v>1005</v>
      </c>
      <c r="G6930" s="395"/>
      <c r="H6930" s="395"/>
      <c r="J6930" s="42"/>
    </row>
    <row r="6931" spans="1:10" s="393" customFormat="1" x14ac:dyDescent="0.25">
      <c r="A6931" s="402" t="s">
        <v>35</v>
      </c>
      <c r="B6931" s="2">
        <v>44181</v>
      </c>
      <c r="C6931" s="1">
        <v>149</v>
      </c>
      <c r="D6931" s="39">
        <f t="shared" si="565"/>
        <v>9834</v>
      </c>
      <c r="E6931" s="1"/>
      <c r="F6931" s="522">
        <f t="shared" si="566"/>
        <v>196</v>
      </c>
      <c r="G6931" s="395"/>
      <c r="H6931" s="395"/>
      <c r="J6931" s="42"/>
    </row>
    <row r="6932" spans="1:10" s="393" customFormat="1" x14ac:dyDescent="0.25">
      <c r="A6932" s="402" t="s">
        <v>36</v>
      </c>
      <c r="B6932" s="2">
        <v>44181</v>
      </c>
      <c r="C6932" s="1">
        <v>84</v>
      </c>
      <c r="D6932" s="39">
        <f t="shared" si="565"/>
        <v>15728</v>
      </c>
      <c r="E6932" s="1">
        <v>11</v>
      </c>
      <c r="F6932" s="522">
        <f t="shared" si="566"/>
        <v>268</v>
      </c>
      <c r="G6932" s="395"/>
      <c r="H6932" s="395"/>
      <c r="J6932" s="42"/>
    </row>
    <row r="6933" spans="1:10" s="393" customFormat="1" x14ac:dyDescent="0.25">
      <c r="A6933" s="402" t="s">
        <v>37</v>
      </c>
      <c r="B6933" s="2">
        <v>44181</v>
      </c>
      <c r="C6933" s="1">
        <v>274</v>
      </c>
      <c r="D6933" s="39">
        <f t="shared" si="565"/>
        <v>19620</v>
      </c>
      <c r="E6933" s="1">
        <v>4</v>
      </c>
      <c r="F6933" s="522">
        <f t="shared" si="566"/>
        <v>344</v>
      </c>
      <c r="G6933" s="395"/>
      <c r="H6933" s="395"/>
      <c r="J6933" s="42"/>
    </row>
    <row r="6934" spans="1:10" s="393" customFormat="1" x14ac:dyDescent="0.25">
      <c r="A6934" s="402" t="s">
        <v>22</v>
      </c>
      <c r="B6934" s="2">
        <v>44181</v>
      </c>
      <c r="C6934" s="1">
        <v>1121</v>
      </c>
      <c r="D6934" s="39">
        <f t="shared" si="565"/>
        <v>163087</v>
      </c>
      <c r="E6934" s="1">
        <v>43</v>
      </c>
      <c r="F6934" s="522">
        <f t="shared" si="566"/>
        <v>2641</v>
      </c>
      <c r="G6934" s="395"/>
      <c r="H6934" s="395"/>
      <c r="J6934" s="42"/>
    </row>
    <row r="6935" spans="1:10" s="393" customFormat="1" x14ac:dyDescent="0.25">
      <c r="A6935" s="402" t="s">
        <v>38</v>
      </c>
      <c r="B6935" s="2">
        <v>44181</v>
      </c>
      <c r="C6935" s="1">
        <v>54</v>
      </c>
      <c r="D6935" s="39">
        <f t="shared" si="565"/>
        <v>16625</v>
      </c>
      <c r="E6935" s="1"/>
      <c r="F6935" s="522">
        <f t="shared" si="566"/>
        <v>210</v>
      </c>
      <c r="G6935" s="395"/>
      <c r="H6935" s="395"/>
      <c r="J6935" s="42"/>
    </row>
    <row r="6936" spans="1:10" s="393" customFormat="1" x14ac:dyDescent="0.25">
      <c r="A6936" s="402" t="s">
        <v>39</v>
      </c>
      <c r="B6936" s="2">
        <v>44181</v>
      </c>
      <c r="C6936" s="1">
        <v>48</v>
      </c>
      <c r="D6936" s="39">
        <f t="shared" si="565"/>
        <v>17797</v>
      </c>
      <c r="E6936" s="1"/>
      <c r="F6936" s="522">
        <f t="shared" si="566"/>
        <v>242</v>
      </c>
      <c r="G6936" s="395"/>
      <c r="H6936" s="395"/>
      <c r="J6936" s="42"/>
    </row>
    <row r="6937" spans="1:10" s="393" customFormat="1" ht="15.75" thickBot="1" x14ac:dyDescent="0.3">
      <c r="A6937" s="404" t="s">
        <v>40</v>
      </c>
      <c r="B6937" s="2">
        <v>44181</v>
      </c>
      <c r="C6937" s="1">
        <v>228</v>
      </c>
      <c r="D6937" s="177">
        <f t="shared" si="565"/>
        <v>69083</v>
      </c>
      <c r="E6937" s="1">
        <v>4</v>
      </c>
      <c r="F6937" s="631">
        <f t="shared" si="566"/>
        <v>1313</v>
      </c>
      <c r="G6937" s="395"/>
      <c r="H6937" s="395"/>
      <c r="J6937" s="42"/>
    </row>
    <row r="6938" spans="1:10" s="393" customFormat="1" x14ac:dyDescent="0.25">
      <c r="A6938" s="397" t="s">
        <v>16</v>
      </c>
      <c r="B6938" s="2">
        <v>44182</v>
      </c>
      <c r="C6938" s="1">
        <v>2250</v>
      </c>
      <c r="D6938" s="175">
        <f t="shared" si="565"/>
        <v>646358</v>
      </c>
      <c r="E6938" s="1">
        <v>55</v>
      </c>
      <c r="F6938" s="630">
        <f t="shared" si="566"/>
        <v>21627</v>
      </c>
      <c r="G6938" s="395"/>
      <c r="H6938" s="395"/>
      <c r="J6938" s="42"/>
    </row>
    <row r="6939" spans="1:10" s="393" customFormat="1" x14ac:dyDescent="0.25">
      <c r="A6939" s="402" t="s">
        <v>43</v>
      </c>
      <c r="B6939" s="2">
        <v>44182</v>
      </c>
      <c r="C6939" s="1">
        <v>508</v>
      </c>
      <c r="D6939" s="39">
        <f t="shared" si="565"/>
        <v>164610</v>
      </c>
      <c r="E6939" s="1">
        <v>13</v>
      </c>
      <c r="F6939" s="522">
        <f t="shared" si="566"/>
        <v>5378</v>
      </c>
      <c r="G6939" s="395"/>
      <c r="H6939" s="395"/>
      <c r="J6939" s="42"/>
    </row>
    <row r="6940" spans="1:10" s="393" customFormat="1" x14ac:dyDescent="0.25">
      <c r="A6940" s="402" t="s">
        <v>28</v>
      </c>
      <c r="B6940" s="2">
        <v>44182</v>
      </c>
      <c r="C6940" s="1">
        <v>17</v>
      </c>
      <c r="D6940" s="39">
        <f t="shared" si="565"/>
        <v>2227</v>
      </c>
      <c r="E6940" s="1"/>
      <c r="F6940" s="522">
        <f t="shared" si="566"/>
        <v>17</v>
      </c>
      <c r="G6940" s="395"/>
      <c r="H6940" s="395"/>
      <c r="J6940" s="42"/>
    </row>
    <row r="6941" spans="1:10" s="393" customFormat="1" x14ac:dyDescent="0.25">
      <c r="A6941" s="402" t="s">
        <v>15</v>
      </c>
      <c r="B6941" s="2">
        <v>44182</v>
      </c>
      <c r="C6941" s="1">
        <v>196</v>
      </c>
      <c r="D6941" s="39">
        <f t="shared" si="565"/>
        <v>22411</v>
      </c>
      <c r="E6941" s="1">
        <v>1</v>
      </c>
      <c r="F6941" s="522">
        <f t="shared" si="566"/>
        <v>636</v>
      </c>
      <c r="G6941" s="395"/>
      <c r="H6941" s="395"/>
      <c r="J6941" s="42"/>
    </row>
    <row r="6942" spans="1:10" s="393" customFormat="1" x14ac:dyDescent="0.25">
      <c r="A6942" s="402" t="s">
        <v>29</v>
      </c>
      <c r="B6942" s="2">
        <v>44182</v>
      </c>
      <c r="C6942" s="1">
        <v>417</v>
      </c>
      <c r="D6942" s="39">
        <f t="shared" si="565"/>
        <v>27460</v>
      </c>
      <c r="E6942" s="1">
        <v>6</v>
      </c>
      <c r="F6942" s="522">
        <f t="shared" si="566"/>
        <v>469</v>
      </c>
      <c r="G6942" s="395"/>
      <c r="H6942" s="395"/>
      <c r="J6942" s="42"/>
    </row>
    <row r="6943" spans="1:10" s="393" customFormat="1" x14ac:dyDescent="0.25">
      <c r="A6943" s="402" t="s">
        <v>20</v>
      </c>
      <c r="B6943" s="2">
        <v>44182</v>
      </c>
      <c r="C6943" s="1">
        <v>605</v>
      </c>
      <c r="D6943" s="39">
        <f t="shared" si="565"/>
        <v>121534</v>
      </c>
      <c r="E6943" s="1">
        <v>25</v>
      </c>
      <c r="F6943" s="522">
        <f t="shared" si="566"/>
        <v>2365</v>
      </c>
      <c r="G6943" s="395"/>
      <c r="H6943" s="395"/>
      <c r="J6943" s="42"/>
    </row>
    <row r="6944" spans="1:10" s="393" customFormat="1" x14ac:dyDescent="0.25">
      <c r="A6944" s="402" t="s">
        <v>30</v>
      </c>
      <c r="B6944" s="2">
        <v>44182</v>
      </c>
      <c r="C6944" s="1">
        <v>118</v>
      </c>
      <c r="D6944" s="39">
        <f t="shared" si="565"/>
        <v>10025</v>
      </c>
      <c r="E6944" s="1"/>
      <c r="F6944" s="522">
        <f t="shared" si="566"/>
        <v>138</v>
      </c>
      <c r="G6944" s="395"/>
      <c r="H6944" s="395"/>
      <c r="J6944" s="42"/>
    </row>
    <row r="6945" spans="1:10" x14ac:dyDescent="0.25">
      <c r="A6945" s="402" t="s">
        <v>31</v>
      </c>
      <c r="B6945" s="2">
        <v>44182</v>
      </c>
      <c r="C6945" s="1">
        <v>252</v>
      </c>
      <c r="D6945" s="39">
        <f t="shared" si="565"/>
        <v>26421</v>
      </c>
      <c r="E6945" s="1">
        <v>1</v>
      </c>
      <c r="F6945" s="522">
        <f t="shared" si="566"/>
        <v>544</v>
      </c>
    </row>
    <row r="6946" spans="1:10" s="393" customFormat="1" x14ac:dyDescent="0.25">
      <c r="A6946" s="402" t="s">
        <v>41</v>
      </c>
      <c r="B6946" s="2">
        <v>44182</v>
      </c>
      <c r="C6946" s="1">
        <v>1</v>
      </c>
      <c r="D6946" s="39">
        <f t="shared" si="565"/>
        <v>203</v>
      </c>
      <c r="E6946" s="1"/>
      <c r="F6946" s="522">
        <f t="shared" si="566"/>
        <v>3</v>
      </c>
      <c r="G6946" s="395"/>
      <c r="H6946" s="395"/>
      <c r="J6946" s="42"/>
    </row>
    <row r="6947" spans="1:10" s="393" customFormat="1" x14ac:dyDescent="0.25">
      <c r="A6947" s="402" t="s">
        <v>32</v>
      </c>
      <c r="B6947" s="2">
        <v>44182</v>
      </c>
      <c r="C6947" s="1">
        <v>5</v>
      </c>
      <c r="D6947" s="39">
        <f t="shared" ref="D6947:D7010" si="567">C6947+D6923</f>
        <v>18465</v>
      </c>
      <c r="E6947" s="1">
        <v>1</v>
      </c>
      <c r="F6947" s="522">
        <f t="shared" ref="F6947:F7010" si="568">E6947+F6923</f>
        <v>855</v>
      </c>
      <c r="G6947" s="395"/>
      <c r="H6947" s="395"/>
      <c r="J6947" s="42"/>
    </row>
    <row r="6948" spans="1:10" s="393" customFormat="1" x14ac:dyDescent="0.25">
      <c r="A6948" s="402" t="s">
        <v>33</v>
      </c>
      <c r="B6948" s="2">
        <v>44182</v>
      </c>
      <c r="C6948" s="1">
        <v>211</v>
      </c>
      <c r="D6948" s="39">
        <f t="shared" si="567"/>
        <v>7705</v>
      </c>
      <c r="E6948" s="1"/>
      <c r="F6948" s="522">
        <f t="shared" si="568"/>
        <v>104</v>
      </c>
      <c r="G6948" s="395"/>
      <c r="H6948" s="395"/>
      <c r="J6948" s="42"/>
    </row>
    <row r="6949" spans="1:10" s="393" customFormat="1" x14ac:dyDescent="0.25">
      <c r="A6949" s="402" t="s">
        <v>21</v>
      </c>
      <c r="B6949" s="2">
        <v>44182</v>
      </c>
      <c r="C6949" s="1">
        <v>14</v>
      </c>
      <c r="D6949" s="39">
        <f t="shared" si="567"/>
        <v>8977</v>
      </c>
      <c r="E6949" s="1"/>
      <c r="F6949" s="522">
        <f t="shared" si="568"/>
        <v>329</v>
      </c>
      <c r="G6949" s="395"/>
      <c r="H6949" s="395"/>
      <c r="J6949" s="42"/>
    </row>
    <row r="6950" spans="1:10" s="393" customFormat="1" x14ac:dyDescent="0.25">
      <c r="A6950" s="402" t="s">
        <v>17</v>
      </c>
      <c r="B6950" s="2">
        <v>44182</v>
      </c>
      <c r="C6950" s="1">
        <v>103</v>
      </c>
      <c r="D6950" s="39">
        <f t="shared" si="567"/>
        <v>58777</v>
      </c>
      <c r="E6950" s="1">
        <v>10</v>
      </c>
      <c r="F6950" s="522">
        <f t="shared" si="568"/>
        <v>1199</v>
      </c>
      <c r="G6950" s="395"/>
      <c r="H6950" s="395"/>
      <c r="J6950" s="42"/>
    </row>
    <row r="6951" spans="1:10" s="393" customFormat="1" x14ac:dyDescent="0.25">
      <c r="A6951" s="402" t="s">
        <v>23</v>
      </c>
      <c r="B6951" s="2">
        <v>44182</v>
      </c>
      <c r="C6951" s="1">
        <v>40</v>
      </c>
      <c r="D6951" s="39">
        <f t="shared" si="567"/>
        <v>788</v>
      </c>
      <c r="E6951" s="1"/>
      <c r="F6951" s="522">
        <f t="shared" si="568"/>
        <v>11</v>
      </c>
      <c r="G6951" s="395"/>
      <c r="H6951" s="395"/>
      <c r="J6951" s="42"/>
    </row>
    <row r="6952" spans="1:10" s="393" customFormat="1" x14ac:dyDescent="0.25">
      <c r="A6952" s="402" t="s">
        <v>19</v>
      </c>
      <c r="B6952" s="2">
        <v>44182</v>
      </c>
      <c r="C6952" s="1">
        <v>184</v>
      </c>
      <c r="D6952" s="39">
        <f t="shared" si="567"/>
        <v>37519</v>
      </c>
      <c r="E6952" s="1"/>
      <c r="F6952" s="522">
        <f t="shared" si="568"/>
        <v>681</v>
      </c>
      <c r="G6952" s="395"/>
      <c r="H6952" s="395"/>
      <c r="J6952" s="42"/>
    </row>
    <row r="6953" spans="1:10" s="393" customFormat="1" x14ac:dyDescent="0.25">
      <c r="A6953" s="402" t="s">
        <v>18</v>
      </c>
      <c r="B6953" s="2">
        <v>44182</v>
      </c>
      <c r="C6953" s="1">
        <v>279</v>
      </c>
      <c r="D6953" s="39">
        <f t="shared" si="567"/>
        <v>35160</v>
      </c>
      <c r="E6953" s="1">
        <v>6</v>
      </c>
      <c r="F6953" s="522">
        <f t="shared" si="568"/>
        <v>857</v>
      </c>
      <c r="G6953" s="395"/>
      <c r="H6953" s="395"/>
      <c r="J6953" s="42"/>
    </row>
    <row r="6954" spans="1:10" s="393" customFormat="1" x14ac:dyDescent="0.25">
      <c r="A6954" s="402" t="s">
        <v>34</v>
      </c>
      <c r="B6954" s="2">
        <v>44182</v>
      </c>
      <c r="C6954" s="1">
        <v>52</v>
      </c>
      <c r="D6954" s="39">
        <f t="shared" si="567"/>
        <v>21784</v>
      </c>
      <c r="E6954" s="1">
        <v>1</v>
      </c>
      <c r="F6954" s="522">
        <f t="shared" si="568"/>
        <v>1006</v>
      </c>
      <c r="G6954" s="395"/>
      <c r="H6954" s="395"/>
      <c r="J6954" s="42"/>
    </row>
    <row r="6955" spans="1:10" s="393" customFormat="1" x14ac:dyDescent="0.25">
      <c r="A6955" s="402" t="s">
        <v>35</v>
      </c>
      <c r="B6955" s="2">
        <v>44182</v>
      </c>
      <c r="C6955" s="1">
        <v>228</v>
      </c>
      <c r="D6955" s="39">
        <f t="shared" si="567"/>
        <v>10062</v>
      </c>
      <c r="E6955" s="1"/>
      <c r="F6955" s="522">
        <f t="shared" si="568"/>
        <v>196</v>
      </c>
      <c r="G6955" s="395"/>
      <c r="H6955" s="395"/>
      <c r="J6955" s="42"/>
    </row>
    <row r="6956" spans="1:10" s="393" customFormat="1" x14ac:dyDescent="0.25">
      <c r="A6956" s="402" t="s">
        <v>36</v>
      </c>
      <c r="B6956" s="2">
        <v>44182</v>
      </c>
      <c r="C6956" s="1">
        <v>38</v>
      </c>
      <c r="D6956" s="39">
        <f t="shared" si="567"/>
        <v>15766</v>
      </c>
      <c r="E6956" s="1">
        <v>6</v>
      </c>
      <c r="F6956" s="522">
        <f t="shared" si="568"/>
        <v>274</v>
      </c>
      <c r="G6956" s="395"/>
      <c r="H6956" s="395"/>
      <c r="J6956" s="42"/>
    </row>
    <row r="6957" spans="1:10" s="393" customFormat="1" x14ac:dyDescent="0.25">
      <c r="A6957" s="402" t="s">
        <v>37</v>
      </c>
      <c r="B6957" s="2">
        <v>44182</v>
      </c>
      <c r="C6957" s="1">
        <v>315</v>
      </c>
      <c r="D6957" s="39">
        <f t="shared" si="567"/>
        <v>19935</v>
      </c>
      <c r="E6957" s="1">
        <v>4</v>
      </c>
      <c r="F6957" s="522">
        <f t="shared" si="568"/>
        <v>348</v>
      </c>
      <c r="G6957" s="395"/>
      <c r="H6957" s="395"/>
      <c r="J6957" s="42"/>
    </row>
    <row r="6958" spans="1:10" s="393" customFormat="1" x14ac:dyDescent="0.25">
      <c r="A6958" s="402" t="s">
        <v>22</v>
      </c>
      <c r="B6958" s="2">
        <v>44182</v>
      </c>
      <c r="C6958" s="1">
        <v>1109</v>
      </c>
      <c r="D6958" s="39">
        <f t="shared" si="567"/>
        <v>164196</v>
      </c>
      <c r="E6958" s="1">
        <v>32</v>
      </c>
      <c r="F6958" s="522">
        <f t="shared" si="568"/>
        <v>2673</v>
      </c>
      <c r="G6958" s="395"/>
      <c r="H6958" s="395"/>
      <c r="J6958" s="42"/>
    </row>
    <row r="6959" spans="1:10" s="393" customFormat="1" x14ac:dyDescent="0.25">
      <c r="A6959" s="402" t="s">
        <v>38</v>
      </c>
      <c r="B6959" s="2">
        <v>44182</v>
      </c>
      <c r="C6959" s="1">
        <v>66</v>
      </c>
      <c r="D6959" s="39">
        <f t="shared" si="567"/>
        <v>16691</v>
      </c>
      <c r="E6959" s="1">
        <v>1</v>
      </c>
      <c r="F6959" s="522">
        <f t="shared" si="568"/>
        <v>211</v>
      </c>
      <c r="G6959" s="395"/>
      <c r="H6959" s="395"/>
      <c r="J6959" s="42"/>
    </row>
    <row r="6960" spans="1:10" s="393" customFormat="1" x14ac:dyDescent="0.25">
      <c r="A6960" s="402" t="s">
        <v>39</v>
      </c>
      <c r="B6960" s="2">
        <v>44182</v>
      </c>
      <c r="C6960" s="1">
        <v>107</v>
      </c>
      <c r="D6960" s="39">
        <f t="shared" si="567"/>
        <v>17904</v>
      </c>
      <c r="E6960" s="1"/>
      <c r="F6960" s="522">
        <f t="shared" si="568"/>
        <v>242</v>
      </c>
      <c r="G6960" s="395"/>
      <c r="H6960" s="395"/>
      <c r="J6960" s="42"/>
    </row>
    <row r="6961" spans="1:10" s="393" customFormat="1" ht="15.75" thickBot="1" x14ac:dyDescent="0.3">
      <c r="A6961" s="403" t="s">
        <v>40</v>
      </c>
      <c r="B6961" s="34">
        <v>44182</v>
      </c>
      <c r="C6961" s="234">
        <v>211</v>
      </c>
      <c r="D6961" s="67">
        <f t="shared" si="567"/>
        <v>69294</v>
      </c>
      <c r="E6961" s="234">
        <v>7</v>
      </c>
      <c r="F6961" s="632">
        <f t="shared" si="568"/>
        <v>1320</v>
      </c>
      <c r="G6961" s="395"/>
      <c r="H6961" s="395"/>
      <c r="J6961" s="42"/>
    </row>
    <row r="6962" spans="1:10" s="393" customFormat="1" x14ac:dyDescent="0.25">
      <c r="A6962" s="397" t="s">
        <v>16</v>
      </c>
      <c r="B6962" s="267">
        <v>44183</v>
      </c>
      <c r="C6962" s="43">
        <v>2323</v>
      </c>
      <c r="D6962" s="175">
        <f t="shared" si="567"/>
        <v>648681</v>
      </c>
      <c r="E6962" s="43">
        <v>49</v>
      </c>
      <c r="F6962" s="630">
        <f t="shared" si="568"/>
        <v>21676</v>
      </c>
      <c r="G6962" s="395"/>
      <c r="H6962" s="395"/>
      <c r="J6962" s="42"/>
    </row>
    <row r="6963" spans="1:10" s="393" customFormat="1" x14ac:dyDescent="0.25">
      <c r="A6963" s="402" t="s">
        <v>43</v>
      </c>
      <c r="B6963" s="2">
        <v>44183</v>
      </c>
      <c r="C6963" s="1">
        <v>584</v>
      </c>
      <c r="D6963" s="39">
        <f t="shared" si="567"/>
        <v>165194</v>
      </c>
      <c r="E6963" s="1">
        <v>1</v>
      </c>
      <c r="F6963" s="522">
        <f t="shared" si="568"/>
        <v>5379</v>
      </c>
      <c r="G6963" s="395"/>
      <c r="H6963" s="395"/>
      <c r="J6963" s="42"/>
    </row>
    <row r="6964" spans="1:10" s="393" customFormat="1" x14ac:dyDescent="0.25">
      <c r="A6964" s="402" t="s">
        <v>28</v>
      </c>
      <c r="B6964" s="2">
        <v>44183</v>
      </c>
      <c r="C6964" s="1">
        <v>48</v>
      </c>
      <c r="D6964" s="39">
        <f t="shared" si="567"/>
        <v>2275</v>
      </c>
      <c r="E6964" s="1"/>
      <c r="F6964" s="522">
        <f t="shared" si="568"/>
        <v>17</v>
      </c>
      <c r="G6964" s="395"/>
      <c r="H6964" s="395"/>
      <c r="J6964" s="42"/>
    </row>
    <row r="6965" spans="1:10" s="393" customFormat="1" x14ac:dyDescent="0.25">
      <c r="A6965" s="402" t="s">
        <v>15</v>
      </c>
      <c r="B6965" s="2">
        <v>44183</v>
      </c>
      <c r="C6965" s="1">
        <v>186</v>
      </c>
      <c r="D6965" s="39">
        <f t="shared" si="567"/>
        <v>22597</v>
      </c>
      <c r="E6965" s="1">
        <v>7</v>
      </c>
      <c r="F6965" s="522">
        <f t="shared" si="568"/>
        <v>643</v>
      </c>
      <c r="G6965" s="395"/>
      <c r="H6965" s="395"/>
      <c r="J6965" s="42"/>
    </row>
    <row r="6966" spans="1:10" s="393" customFormat="1" x14ac:dyDescent="0.25">
      <c r="A6966" s="402" t="s">
        <v>29</v>
      </c>
      <c r="B6966" s="2">
        <v>44183</v>
      </c>
      <c r="C6966" s="1">
        <v>233</v>
      </c>
      <c r="D6966" s="39">
        <f t="shared" si="567"/>
        <v>27693</v>
      </c>
      <c r="E6966" s="1">
        <v>4</v>
      </c>
      <c r="F6966" s="522">
        <f t="shared" si="568"/>
        <v>473</v>
      </c>
      <c r="G6966" s="395"/>
      <c r="H6966" s="395"/>
      <c r="J6966" s="42"/>
    </row>
    <row r="6967" spans="1:10" s="393" customFormat="1" x14ac:dyDescent="0.25">
      <c r="A6967" s="402" t="s">
        <v>20</v>
      </c>
      <c r="B6967" s="2">
        <v>44183</v>
      </c>
      <c r="C6967" s="1">
        <v>442</v>
      </c>
      <c r="D6967" s="39">
        <f t="shared" si="567"/>
        <v>121976</v>
      </c>
      <c r="E6967" s="1">
        <v>12</v>
      </c>
      <c r="F6967" s="522">
        <f t="shared" si="568"/>
        <v>2377</v>
      </c>
      <c r="G6967" s="395"/>
      <c r="H6967" s="395"/>
      <c r="J6967" s="42"/>
    </row>
    <row r="6968" spans="1:10" s="393" customFormat="1" x14ac:dyDescent="0.25">
      <c r="A6968" s="402" t="s">
        <v>30</v>
      </c>
      <c r="B6968" s="2">
        <v>44183</v>
      </c>
      <c r="C6968" s="1">
        <v>175</v>
      </c>
      <c r="D6968" s="39">
        <f t="shared" si="567"/>
        <v>10200</v>
      </c>
      <c r="E6968" s="1">
        <v>3</v>
      </c>
      <c r="F6968" s="522">
        <f t="shared" si="568"/>
        <v>141</v>
      </c>
      <c r="G6968" s="395"/>
      <c r="H6968" s="395"/>
      <c r="J6968" s="42"/>
    </row>
    <row r="6969" spans="1:10" x14ac:dyDescent="0.25">
      <c r="A6969" s="402" t="s">
        <v>31</v>
      </c>
      <c r="B6969" s="2">
        <v>44183</v>
      </c>
      <c r="C6969" s="1">
        <v>177</v>
      </c>
      <c r="D6969" s="39">
        <f t="shared" si="567"/>
        <v>26598</v>
      </c>
      <c r="E6969" s="1">
        <v>7</v>
      </c>
      <c r="F6969" s="522">
        <f t="shared" si="568"/>
        <v>551</v>
      </c>
    </row>
    <row r="6970" spans="1:10" s="393" customFormat="1" x14ac:dyDescent="0.25">
      <c r="A6970" s="402" t="s">
        <v>41</v>
      </c>
      <c r="B6970" s="2">
        <v>44183</v>
      </c>
      <c r="C6970" s="1">
        <v>-2</v>
      </c>
      <c r="D6970" s="39">
        <f t="shared" si="567"/>
        <v>201</v>
      </c>
      <c r="E6970" s="1"/>
      <c r="F6970" s="522">
        <f t="shared" si="568"/>
        <v>3</v>
      </c>
      <c r="G6970" s="395"/>
      <c r="H6970" s="395"/>
      <c r="J6970" s="42"/>
    </row>
    <row r="6971" spans="1:10" s="393" customFormat="1" x14ac:dyDescent="0.25">
      <c r="A6971" s="402" t="s">
        <v>32</v>
      </c>
      <c r="B6971" s="2">
        <v>44183</v>
      </c>
      <c r="C6971" s="1">
        <v>13</v>
      </c>
      <c r="D6971" s="39">
        <f t="shared" si="567"/>
        <v>18478</v>
      </c>
      <c r="E6971" s="1">
        <v>1</v>
      </c>
      <c r="F6971" s="522">
        <f t="shared" si="568"/>
        <v>856</v>
      </c>
      <c r="G6971" s="395"/>
      <c r="H6971" s="395"/>
      <c r="J6971" s="42"/>
    </row>
    <row r="6972" spans="1:10" s="393" customFormat="1" x14ac:dyDescent="0.25">
      <c r="A6972" s="402" t="s">
        <v>33</v>
      </c>
      <c r="B6972" s="2">
        <v>44183</v>
      </c>
      <c r="C6972" s="1">
        <v>193</v>
      </c>
      <c r="D6972" s="39">
        <f t="shared" si="567"/>
        <v>7898</v>
      </c>
      <c r="E6972" s="1">
        <v>1</v>
      </c>
      <c r="F6972" s="522">
        <f t="shared" si="568"/>
        <v>105</v>
      </c>
      <c r="G6972" s="395"/>
      <c r="H6972" s="395"/>
      <c r="J6972" s="42"/>
    </row>
    <row r="6973" spans="1:10" s="393" customFormat="1" x14ac:dyDescent="0.25">
      <c r="A6973" s="402" t="s">
        <v>21</v>
      </c>
      <c r="B6973" s="2">
        <v>44183</v>
      </c>
      <c r="C6973" s="1">
        <v>12</v>
      </c>
      <c r="D6973" s="39">
        <f t="shared" si="567"/>
        <v>8989</v>
      </c>
      <c r="E6973" s="1">
        <v>10</v>
      </c>
      <c r="F6973" s="522">
        <f t="shared" si="568"/>
        <v>339</v>
      </c>
      <c r="G6973" s="395"/>
      <c r="H6973" s="395"/>
      <c r="J6973" s="42"/>
    </row>
    <row r="6974" spans="1:10" s="393" customFormat="1" x14ac:dyDescent="0.25">
      <c r="A6974" s="402" t="s">
        <v>17</v>
      </c>
      <c r="B6974" s="2">
        <v>44183</v>
      </c>
      <c r="C6974" s="1">
        <v>95</v>
      </c>
      <c r="D6974" s="39">
        <f t="shared" si="567"/>
        <v>58872</v>
      </c>
      <c r="E6974" s="1"/>
      <c r="F6974" s="522">
        <f t="shared" si="568"/>
        <v>1199</v>
      </c>
      <c r="G6974" s="395"/>
      <c r="H6974" s="395"/>
      <c r="J6974" s="42"/>
    </row>
    <row r="6975" spans="1:10" s="393" customFormat="1" x14ac:dyDescent="0.25">
      <c r="A6975" s="402" t="s">
        <v>23</v>
      </c>
      <c r="B6975" s="2">
        <v>44183</v>
      </c>
      <c r="C6975" s="1">
        <v>34</v>
      </c>
      <c r="D6975" s="39">
        <f t="shared" si="567"/>
        <v>822</v>
      </c>
      <c r="E6975" s="1"/>
      <c r="F6975" s="522">
        <f t="shared" si="568"/>
        <v>11</v>
      </c>
      <c r="G6975" s="395"/>
      <c r="H6975" s="395"/>
      <c r="J6975" s="42"/>
    </row>
    <row r="6976" spans="1:10" s="393" customFormat="1" x14ac:dyDescent="0.25">
      <c r="A6976" s="402" t="s">
        <v>19</v>
      </c>
      <c r="B6976" s="2">
        <v>44183</v>
      </c>
      <c r="C6976" s="1">
        <v>176</v>
      </c>
      <c r="D6976" s="39">
        <f t="shared" si="567"/>
        <v>37695</v>
      </c>
      <c r="E6976" s="1"/>
      <c r="F6976" s="522">
        <f t="shared" si="568"/>
        <v>681</v>
      </c>
      <c r="G6976" s="395"/>
      <c r="H6976" s="395"/>
      <c r="J6976" s="42"/>
    </row>
    <row r="6977" spans="1:10" s="393" customFormat="1" x14ac:dyDescent="0.25">
      <c r="A6977" s="402" t="s">
        <v>18</v>
      </c>
      <c r="B6977" s="2">
        <v>44183</v>
      </c>
      <c r="C6977" s="1">
        <v>197</v>
      </c>
      <c r="D6977" s="39">
        <f t="shared" si="567"/>
        <v>35357</v>
      </c>
      <c r="E6977" s="1">
        <v>5</v>
      </c>
      <c r="F6977" s="522">
        <f t="shared" si="568"/>
        <v>862</v>
      </c>
      <c r="G6977" s="395"/>
      <c r="H6977" s="395"/>
      <c r="J6977" s="42"/>
    </row>
    <row r="6978" spans="1:10" s="393" customFormat="1" x14ac:dyDescent="0.25">
      <c r="A6978" s="402" t="s">
        <v>34</v>
      </c>
      <c r="B6978" s="2">
        <v>44183</v>
      </c>
      <c r="C6978" s="1">
        <v>73</v>
      </c>
      <c r="D6978" s="39">
        <f t="shared" si="567"/>
        <v>21857</v>
      </c>
      <c r="E6978" s="1">
        <v>1</v>
      </c>
      <c r="F6978" s="522">
        <f t="shared" si="568"/>
        <v>1007</v>
      </c>
      <c r="G6978" s="395"/>
      <c r="H6978" s="395"/>
      <c r="J6978" s="42"/>
    </row>
    <row r="6979" spans="1:10" s="393" customFormat="1" x14ac:dyDescent="0.25">
      <c r="A6979" s="402" t="s">
        <v>35</v>
      </c>
      <c r="B6979" s="2">
        <v>44183</v>
      </c>
      <c r="C6979" s="1">
        <v>195</v>
      </c>
      <c r="D6979" s="39">
        <f t="shared" si="567"/>
        <v>10257</v>
      </c>
      <c r="E6979" s="1"/>
      <c r="F6979" s="522">
        <f t="shared" si="568"/>
        <v>196</v>
      </c>
      <c r="G6979" s="395"/>
      <c r="H6979" s="395"/>
      <c r="J6979" s="42"/>
    </row>
    <row r="6980" spans="1:10" s="393" customFormat="1" x14ac:dyDescent="0.25">
      <c r="A6980" s="402" t="s">
        <v>36</v>
      </c>
      <c r="B6980" s="2">
        <v>44183</v>
      </c>
      <c r="C6980" s="1">
        <v>65</v>
      </c>
      <c r="D6980" s="39">
        <f t="shared" si="567"/>
        <v>15831</v>
      </c>
      <c r="E6980" s="1">
        <v>3</v>
      </c>
      <c r="F6980" s="522">
        <f t="shared" si="568"/>
        <v>277</v>
      </c>
      <c r="G6980" s="395"/>
      <c r="H6980" s="395"/>
      <c r="J6980" s="42"/>
    </row>
    <row r="6981" spans="1:10" s="393" customFormat="1" x14ac:dyDescent="0.25">
      <c r="A6981" s="402" t="s">
        <v>37</v>
      </c>
      <c r="B6981" s="2">
        <v>44183</v>
      </c>
      <c r="C6981" s="1">
        <v>318</v>
      </c>
      <c r="D6981" s="39">
        <f t="shared" si="567"/>
        <v>20253</v>
      </c>
      <c r="E6981" s="1">
        <v>3</v>
      </c>
      <c r="F6981" s="522">
        <f t="shared" si="568"/>
        <v>351</v>
      </c>
      <c r="G6981" s="395"/>
      <c r="H6981" s="395"/>
      <c r="J6981" s="42"/>
    </row>
    <row r="6982" spans="1:10" s="393" customFormat="1" x14ac:dyDescent="0.25">
      <c r="A6982" s="402" t="s">
        <v>22</v>
      </c>
      <c r="B6982" s="2">
        <v>44183</v>
      </c>
      <c r="C6982" s="1">
        <v>1073</v>
      </c>
      <c r="D6982" s="39">
        <f t="shared" si="567"/>
        <v>165269</v>
      </c>
      <c r="E6982" s="1">
        <v>25</v>
      </c>
      <c r="F6982" s="522">
        <f t="shared" si="568"/>
        <v>2698</v>
      </c>
      <c r="G6982" s="395"/>
      <c r="H6982" s="395"/>
      <c r="J6982" s="42"/>
    </row>
    <row r="6983" spans="1:10" s="393" customFormat="1" x14ac:dyDescent="0.25">
      <c r="A6983" s="402" t="s">
        <v>38</v>
      </c>
      <c r="B6983" s="2">
        <v>44183</v>
      </c>
      <c r="C6983" s="1">
        <v>75</v>
      </c>
      <c r="D6983" s="39">
        <f t="shared" si="567"/>
        <v>16766</v>
      </c>
      <c r="E6983" s="1">
        <v>2</v>
      </c>
      <c r="F6983" s="522">
        <f t="shared" si="568"/>
        <v>213</v>
      </c>
      <c r="G6983" s="395"/>
      <c r="H6983" s="395"/>
      <c r="J6983" s="42"/>
    </row>
    <row r="6984" spans="1:10" s="393" customFormat="1" x14ac:dyDescent="0.25">
      <c r="A6984" s="402" t="s">
        <v>39</v>
      </c>
      <c r="B6984" s="2">
        <v>44183</v>
      </c>
      <c r="C6984" s="1">
        <v>116</v>
      </c>
      <c r="D6984" s="39">
        <f t="shared" si="567"/>
        <v>18020</v>
      </c>
      <c r="E6984" s="1">
        <v>2</v>
      </c>
      <c r="F6984" s="522">
        <f t="shared" si="568"/>
        <v>244</v>
      </c>
      <c r="G6984" s="395"/>
      <c r="H6984" s="395"/>
      <c r="J6984" s="42"/>
    </row>
    <row r="6985" spans="1:10" s="393" customFormat="1" ht="15.75" thickBot="1" x14ac:dyDescent="0.3">
      <c r="A6985" s="404" t="s">
        <v>40</v>
      </c>
      <c r="B6985" s="268">
        <v>44183</v>
      </c>
      <c r="C6985" s="44">
        <v>201</v>
      </c>
      <c r="D6985" s="177">
        <f t="shared" si="567"/>
        <v>69495</v>
      </c>
      <c r="E6985" s="44">
        <v>2</v>
      </c>
      <c r="F6985" s="631">
        <f t="shared" si="568"/>
        <v>1322</v>
      </c>
      <c r="G6985" s="395"/>
      <c r="H6985" s="395"/>
      <c r="J6985" s="42"/>
    </row>
    <row r="6986" spans="1:10" s="393" customFormat="1" ht="15.75" thickBot="1" x14ac:dyDescent="0.3">
      <c r="A6986" s="397" t="s">
        <v>16</v>
      </c>
      <c r="B6986" s="268">
        <v>44184</v>
      </c>
      <c r="C6986" s="227">
        <v>2180</v>
      </c>
      <c r="D6986" s="175">
        <f t="shared" si="567"/>
        <v>650861</v>
      </c>
      <c r="E6986" s="227">
        <v>33</v>
      </c>
      <c r="F6986" s="630">
        <f t="shared" si="568"/>
        <v>21709</v>
      </c>
      <c r="G6986" s="395"/>
      <c r="H6986" s="395"/>
      <c r="J6986" s="42"/>
    </row>
    <row r="6987" spans="1:10" s="393" customFormat="1" ht="15.75" thickBot="1" x14ac:dyDescent="0.3">
      <c r="A6987" s="402" t="s">
        <v>43</v>
      </c>
      <c r="B6987" s="268">
        <v>44184</v>
      </c>
      <c r="C6987" s="1">
        <v>501</v>
      </c>
      <c r="D6987" s="39">
        <f t="shared" si="567"/>
        <v>165695</v>
      </c>
      <c r="E6987" s="1">
        <v>3</v>
      </c>
      <c r="F6987" s="522">
        <f t="shared" si="568"/>
        <v>5382</v>
      </c>
      <c r="G6987" s="395"/>
      <c r="H6987" s="395"/>
      <c r="J6987" s="42"/>
    </row>
    <row r="6988" spans="1:10" s="393" customFormat="1" ht="15.75" thickBot="1" x14ac:dyDescent="0.3">
      <c r="A6988" s="402" t="s">
        <v>28</v>
      </c>
      <c r="B6988" s="268">
        <v>44184</v>
      </c>
      <c r="C6988" s="1">
        <v>29</v>
      </c>
      <c r="D6988" s="39">
        <f t="shared" si="567"/>
        <v>2304</v>
      </c>
      <c r="E6988" s="1"/>
      <c r="F6988" s="522">
        <f t="shared" si="568"/>
        <v>17</v>
      </c>
      <c r="G6988" s="395"/>
      <c r="H6988" s="395"/>
      <c r="J6988" s="42"/>
    </row>
    <row r="6989" spans="1:10" s="393" customFormat="1" ht="15.75" thickBot="1" x14ac:dyDescent="0.3">
      <c r="A6989" s="402" t="s">
        <v>15</v>
      </c>
      <c r="B6989" s="268">
        <v>44184</v>
      </c>
      <c r="C6989" s="1">
        <v>138</v>
      </c>
      <c r="D6989" s="39">
        <f t="shared" si="567"/>
        <v>22735</v>
      </c>
      <c r="E6989" s="1">
        <v>2</v>
      </c>
      <c r="F6989" s="522">
        <f t="shared" si="568"/>
        <v>645</v>
      </c>
      <c r="G6989" s="395"/>
      <c r="H6989" s="395"/>
      <c r="J6989" s="42"/>
    </row>
    <row r="6990" spans="1:10" s="393" customFormat="1" ht="15.75" thickBot="1" x14ac:dyDescent="0.3">
      <c r="A6990" s="402" t="s">
        <v>29</v>
      </c>
      <c r="B6990" s="268">
        <v>44184</v>
      </c>
      <c r="C6990" s="1">
        <v>322</v>
      </c>
      <c r="D6990" s="39">
        <f t="shared" si="567"/>
        <v>28015</v>
      </c>
      <c r="E6990" s="1">
        <v>11</v>
      </c>
      <c r="F6990" s="522">
        <f t="shared" si="568"/>
        <v>484</v>
      </c>
      <c r="G6990" s="395"/>
      <c r="H6990" s="395"/>
      <c r="J6990" s="42"/>
    </row>
    <row r="6991" spans="1:10" s="393" customFormat="1" ht="15.75" thickBot="1" x14ac:dyDescent="0.3">
      <c r="A6991" s="402" t="s">
        <v>20</v>
      </c>
      <c r="B6991" s="268">
        <v>44184</v>
      </c>
      <c r="C6991" s="1">
        <v>262</v>
      </c>
      <c r="D6991" s="39">
        <f t="shared" si="567"/>
        <v>122238</v>
      </c>
      <c r="E6991" s="1">
        <v>8</v>
      </c>
      <c r="F6991" s="522">
        <f t="shared" si="568"/>
        <v>2385</v>
      </c>
      <c r="G6991" s="395"/>
      <c r="H6991" s="395"/>
      <c r="J6991" s="42"/>
    </row>
    <row r="6992" spans="1:10" s="393" customFormat="1" ht="15.75" thickBot="1" x14ac:dyDescent="0.3">
      <c r="A6992" s="402" t="s">
        <v>30</v>
      </c>
      <c r="B6992" s="268">
        <v>44184</v>
      </c>
      <c r="C6992" s="1">
        <v>100</v>
      </c>
      <c r="D6992" s="39">
        <f t="shared" si="567"/>
        <v>10300</v>
      </c>
      <c r="E6992" s="1">
        <v>2</v>
      </c>
      <c r="F6992" s="522">
        <f t="shared" si="568"/>
        <v>143</v>
      </c>
      <c r="G6992" s="395"/>
      <c r="H6992" s="395"/>
      <c r="J6992" s="42"/>
    </row>
    <row r="6993" spans="1:10" ht="15.75" thickBot="1" x14ac:dyDescent="0.3">
      <c r="A6993" s="402" t="s">
        <v>31</v>
      </c>
      <c r="B6993" s="268">
        <v>44184</v>
      </c>
      <c r="C6993" s="1">
        <v>210</v>
      </c>
      <c r="D6993" s="39">
        <f t="shared" si="567"/>
        <v>26808</v>
      </c>
      <c r="E6993" s="1">
        <v>2</v>
      </c>
      <c r="F6993" s="522">
        <f t="shared" si="568"/>
        <v>553</v>
      </c>
    </row>
    <row r="6994" spans="1:10" s="393" customFormat="1" ht="15.75" thickBot="1" x14ac:dyDescent="0.3">
      <c r="A6994" s="402" t="s">
        <v>41</v>
      </c>
      <c r="B6994" s="268">
        <v>44184</v>
      </c>
      <c r="C6994" s="1">
        <v>0</v>
      </c>
      <c r="D6994" s="39">
        <f t="shared" si="567"/>
        <v>201</v>
      </c>
      <c r="E6994" s="1"/>
      <c r="F6994" s="522">
        <f t="shared" si="568"/>
        <v>3</v>
      </c>
      <c r="G6994" s="395"/>
      <c r="H6994" s="395"/>
      <c r="J6994" s="42"/>
    </row>
    <row r="6995" spans="1:10" s="393" customFormat="1" ht="15.75" thickBot="1" x14ac:dyDescent="0.3">
      <c r="A6995" s="402" t="s">
        <v>32</v>
      </c>
      <c r="B6995" s="268">
        <v>44184</v>
      </c>
      <c r="C6995" s="1">
        <v>4</v>
      </c>
      <c r="D6995" s="39">
        <f t="shared" si="567"/>
        <v>18482</v>
      </c>
      <c r="E6995" s="1">
        <v>1</v>
      </c>
      <c r="F6995" s="522">
        <f t="shared" si="568"/>
        <v>857</v>
      </c>
      <c r="G6995" s="395"/>
      <c r="H6995" s="395"/>
      <c r="J6995" s="42"/>
    </row>
    <row r="6996" spans="1:10" s="393" customFormat="1" ht="15.75" thickBot="1" x14ac:dyDescent="0.3">
      <c r="A6996" s="402" t="s">
        <v>33</v>
      </c>
      <c r="B6996" s="268">
        <v>44184</v>
      </c>
      <c r="C6996" s="1">
        <v>203</v>
      </c>
      <c r="D6996" s="39">
        <f t="shared" si="567"/>
        <v>8101</v>
      </c>
      <c r="E6996" s="1"/>
      <c r="F6996" s="522">
        <f t="shared" si="568"/>
        <v>105</v>
      </c>
      <c r="G6996" s="395"/>
      <c r="H6996" s="395"/>
      <c r="J6996" s="42"/>
    </row>
    <row r="6997" spans="1:10" s="393" customFormat="1" ht="15.75" thickBot="1" x14ac:dyDescent="0.3">
      <c r="A6997" s="402" t="s">
        <v>21</v>
      </c>
      <c r="B6997" s="268">
        <v>44184</v>
      </c>
      <c r="C6997" s="1">
        <v>5</v>
      </c>
      <c r="D6997" s="39">
        <f t="shared" si="567"/>
        <v>8994</v>
      </c>
      <c r="E6997" s="1">
        <v>9</v>
      </c>
      <c r="F6997" s="522">
        <f t="shared" si="568"/>
        <v>348</v>
      </c>
      <c r="G6997" s="395"/>
      <c r="H6997" s="395"/>
      <c r="J6997" s="42"/>
    </row>
    <row r="6998" spans="1:10" s="393" customFormat="1" ht="15.75" thickBot="1" x14ac:dyDescent="0.3">
      <c r="A6998" s="402" t="s">
        <v>17</v>
      </c>
      <c r="B6998" s="268">
        <v>44184</v>
      </c>
      <c r="C6998" s="1">
        <v>82</v>
      </c>
      <c r="D6998" s="39">
        <f t="shared" si="567"/>
        <v>58954</v>
      </c>
      <c r="E6998" s="1"/>
      <c r="F6998" s="522">
        <f t="shared" si="568"/>
        <v>1199</v>
      </c>
      <c r="G6998" s="395"/>
      <c r="H6998" s="395"/>
      <c r="J6998" s="42"/>
    </row>
    <row r="6999" spans="1:10" s="393" customFormat="1" ht="15.75" thickBot="1" x14ac:dyDescent="0.3">
      <c r="A6999" s="402" t="s">
        <v>23</v>
      </c>
      <c r="B6999" s="268">
        <v>44184</v>
      </c>
      <c r="C6999" s="1">
        <v>24</v>
      </c>
      <c r="D6999" s="39">
        <f t="shared" si="567"/>
        <v>846</v>
      </c>
      <c r="E6999" s="1"/>
      <c r="F6999" s="522">
        <f t="shared" si="568"/>
        <v>11</v>
      </c>
      <c r="G6999" s="395"/>
      <c r="H6999" s="395"/>
      <c r="J6999" s="42"/>
    </row>
    <row r="7000" spans="1:10" s="393" customFormat="1" ht="15.75" thickBot="1" x14ac:dyDescent="0.3">
      <c r="A7000" s="402" t="s">
        <v>19</v>
      </c>
      <c r="B7000" s="268">
        <v>44184</v>
      </c>
      <c r="C7000" s="1">
        <v>215</v>
      </c>
      <c r="D7000" s="39">
        <f t="shared" si="567"/>
        <v>37910</v>
      </c>
      <c r="E7000" s="1"/>
      <c r="F7000" s="522">
        <f t="shared" si="568"/>
        <v>681</v>
      </c>
      <c r="G7000" s="395"/>
      <c r="H7000" s="395"/>
      <c r="J7000" s="42"/>
    </row>
    <row r="7001" spans="1:10" s="393" customFormat="1" ht="15.75" thickBot="1" x14ac:dyDescent="0.3">
      <c r="A7001" s="402" t="s">
        <v>18</v>
      </c>
      <c r="B7001" s="268">
        <v>44184</v>
      </c>
      <c r="C7001" s="1">
        <v>204</v>
      </c>
      <c r="D7001" s="39">
        <f t="shared" si="567"/>
        <v>35561</v>
      </c>
      <c r="E7001" s="1">
        <v>5</v>
      </c>
      <c r="F7001" s="522">
        <f t="shared" si="568"/>
        <v>867</v>
      </c>
      <c r="G7001" s="395"/>
      <c r="H7001" s="395"/>
      <c r="J7001" s="42"/>
    </row>
    <row r="7002" spans="1:10" s="393" customFormat="1" ht="15.75" thickBot="1" x14ac:dyDescent="0.3">
      <c r="A7002" s="402" t="s">
        <v>34</v>
      </c>
      <c r="B7002" s="268">
        <v>44184</v>
      </c>
      <c r="C7002" s="1">
        <v>67</v>
      </c>
      <c r="D7002" s="39">
        <f t="shared" si="567"/>
        <v>21924</v>
      </c>
      <c r="E7002" s="1">
        <v>1</v>
      </c>
      <c r="F7002" s="522">
        <f t="shared" si="568"/>
        <v>1008</v>
      </c>
      <c r="G7002" s="395"/>
      <c r="H7002" s="395"/>
      <c r="J7002" s="42"/>
    </row>
    <row r="7003" spans="1:10" s="393" customFormat="1" ht="15.75" thickBot="1" x14ac:dyDescent="0.3">
      <c r="A7003" s="402" t="s">
        <v>35</v>
      </c>
      <c r="B7003" s="268">
        <v>44184</v>
      </c>
      <c r="C7003" s="1">
        <v>19</v>
      </c>
      <c r="D7003" s="39">
        <f t="shared" si="567"/>
        <v>10276</v>
      </c>
      <c r="E7003" s="1"/>
      <c r="F7003" s="522">
        <f t="shared" si="568"/>
        <v>196</v>
      </c>
      <c r="G7003" s="395"/>
      <c r="H7003" s="395"/>
      <c r="J7003" s="42"/>
    </row>
    <row r="7004" spans="1:10" s="393" customFormat="1" ht="15.75" thickBot="1" x14ac:dyDescent="0.3">
      <c r="A7004" s="402" t="s">
        <v>36</v>
      </c>
      <c r="B7004" s="268">
        <v>44184</v>
      </c>
      <c r="C7004" s="1">
        <v>31</v>
      </c>
      <c r="D7004" s="39">
        <f t="shared" si="567"/>
        <v>15862</v>
      </c>
      <c r="E7004" s="1"/>
      <c r="F7004" s="522">
        <f t="shared" si="568"/>
        <v>277</v>
      </c>
      <c r="G7004" s="395"/>
      <c r="H7004" s="395"/>
      <c r="J7004" s="42"/>
    </row>
    <row r="7005" spans="1:10" s="393" customFormat="1" ht="15.75" thickBot="1" x14ac:dyDescent="0.3">
      <c r="A7005" s="402" t="s">
        <v>37</v>
      </c>
      <c r="B7005" s="268">
        <v>44184</v>
      </c>
      <c r="C7005" s="1">
        <v>254</v>
      </c>
      <c r="D7005" s="39">
        <f t="shared" si="567"/>
        <v>20507</v>
      </c>
      <c r="E7005" s="1"/>
      <c r="F7005" s="522">
        <f t="shared" si="568"/>
        <v>351</v>
      </c>
      <c r="G7005" s="395"/>
      <c r="H7005" s="395"/>
      <c r="J7005" s="42"/>
    </row>
    <row r="7006" spans="1:10" s="393" customFormat="1" ht="15.75" thickBot="1" x14ac:dyDescent="0.3">
      <c r="A7006" s="402" t="s">
        <v>22</v>
      </c>
      <c r="B7006" s="268">
        <v>44184</v>
      </c>
      <c r="C7006" s="1">
        <v>742</v>
      </c>
      <c r="D7006" s="39">
        <f t="shared" si="567"/>
        <v>166011</v>
      </c>
      <c r="E7006" s="1">
        <v>14</v>
      </c>
      <c r="F7006" s="522">
        <f t="shared" si="568"/>
        <v>2712</v>
      </c>
      <c r="G7006" s="395"/>
      <c r="H7006" s="395"/>
      <c r="J7006" s="42"/>
    </row>
    <row r="7007" spans="1:10" s="393" customFormat="1" ht="15.75" thickBot="1" x14ac:dyDescent="0.3">
      <c r="A7007" s="402" t="s">
        <v>38</v>
      </c>
      <c r="B7007" s="268">
        <v>44184</v>
      </c>
      <c r="C7007" s="1">
        <v>28</v>
      </c>
      <c r="D7007" s="39">
        <f t="shared" si="567"/>
        <v>16794</v>
      </c>
      <c r="E7007" s="1"/>
      <c r="F7007" s="522">
        <f t="shared" si="568"/>
        <v>213</v>
      </c>
      <c r="G7007" s="395"/>
      <c r="H7007" s="395"/>
      <c r="J7007" s="42"/>
    </row>
    <row r="7008" spans="1:10" s="393" customFormat="1" ht="15.75" thickBot="1" x14ac:dyDescent="0.3">
      <c r="A7008" s="402" t="s">
        <v>39</v>
      </c>
      <c r="B7008" s="268">
        <v>44184</v>
      </c>
      <c r="C7008" s="1">
        <v>69</v>
      </c>
      <c r="D7008" s="39">
        <f t="shared" si="567"/>
        <v>18089</v>
      </c>
      <c r="E7008" s="1"/>
      <c r="F7008" s="522">
        <f t="shared" si="568"/>
        <v>244</v>
      </c>
      <c r="G7008" s="395"/>
      <c r="H7008" s="395"/>
      <c r="J7008" s="42"/>
    </row>
    <row r="7009" spans="1:10" s="393" customFormat="1" ht="15.75" thickBot="1" x14ac:dyDescent="0.3">
      <c r="A7009" s="404" t="s">
        <v>40</v>
      </c>
      <c r="B7009" s="268">
        <v>44184</v>
      </c>
      <c r="C7009" s="1">
        <v>106</v>
      </c>
      <c r="D7009" s="177">
        <f t="shared" si="567"/>
        <v>69601</v>
      </c>
      <c r="E7009" s="1"/>
      <c r="F7009" s="631">
        <f t="shared" si="568"/>
        <v>1322</v>
      </c>
      <c r="G7009" s="395"/>
      <c r="H7009" s="395"/>
      <c r="J7009" s="42"/>
    </row>
    <row r="7010" spans="1:10" s="393" customFormat="1" ht="15.75" thickBot="1" x14ac:dyDescent="0.3">
      <c r="A7010" s="397" t="s">
        <v>16</v>
      </c>
      <c r="B7010" s="268">
        <v>44185</v>
      </c>
      <c r="C7010" s="1">
        <v>1276</v>
      </c>
      <c r="D7010" s="175">
        <f t="shared" si="567"/>
        <v>652137</v>
      </c>
      <c r="E7010" s="1">
        <v>9</v>
      </c>
      <c r="F7010" s="630">
        <f t="shared" si="568"/>
        <v>21718</v>
      </c>
      <c r="G7010" s="395"/>
      <c r="H7010" s="395"/>
      <c r="J7010" s="42"/>
    </row>
    <row r="7011" spans="1:10" s="393" customFormat="1" ht="15.75" thickBot="1" x14ac:dyDescent="0.3">
      <c r="A7011" s="402" t="s">
        <v>43</v>
      </c>
      <c r="B7011" s="268">
        <v>44185</v>
      </c>
      <c r="C7011" s="1">
        <v>391</v>
      </c>
      <c r="D7011" s="39">
        <f t="shared" ref="D7011:D7074" si="569">C7011+D6987</f>
        <v>166086</v>
      </c>
      <c r="E7011" s="1">
        <v>7</v>
      </c>
      <c r="F7011" s="522">
        <f t="shared" ref="F7011:F7074" si="570">E7011+F6987</f>
        <v>5389</v>
      </c>
      <c r="G7011" s="395"/>
      <c r="H7011" s="395"/>
      <c r="J7011" s="42"/>
    </row>
    <row r="7012" spans="1:10" s="393" customFormat="1" ht="15.75" thickBot="1" x14ac:dyDescent="0.3">
      <c r="A7012" s="402" t="s">
        <v>28</v>
      </c>
      <c r="B7012" s="268">
        <v>44185</v>
      </c>
      <c r="C7012" s="1">
        <v>32</v>
      </c>
      <c r="D7012" s="39">
        <f t="shared" si="569"/>
        <v>2336</v>
      </c>
      <c r="E7012" s="1"/>
      <c r="F7012" s="522">
        <f t="shared" si="570"/>
        <v>17</v>
      </c>
      <c r="G7012" s="395"/>
      <c r="H7012" s="395"/>
      <c r="J7012" s="42"/>
    </row>
    <row r="7013" spans="1:10" s="393" customFormat="1" ht="15.75" thickBot="1" x14ac:dyDescent="0.3">
      <c r="A7013" s="402" t="s">
        <v>15</v>
      </c>
      <c r="B7013" s="268">
        <v>44185</v>
      </c>
      <c r="C7013" s="1">
        <v>137</v>
      </c>
      <c r="D7013" s="39">
        <f t="shared" si="569"/>
        <v>22872</v>
      </c>
      <c r="E7013" s="1">
        <v>4</v>
      </c>
      <c r="F7013" s="522">
        <f t="shared" si="570"/>
        <v>649</v>
      </c>
      <c r="G7013" s="395"/>
      <c r="H7013" s="395"/>
      <c r="J7013" s="42"/>
    </row>
    <row r="7014" spans="1:10" s="393" customFormat="1" ht="15.75" thickBot="1" x14ac:dyDescent="0.3">
      <c r="A7014" s="402" t="s">
        <v>29</v>
      </c>
      <c r="B7014" s="268">
        <v>44185</v>
      </c>
      <c r="C7014" s="1">
        <v>115</v>
      </c>
      <c r="D7014" s="39">
        <f t="shared" si="569"/>
        <v>28130</v>
      </c>
      <c r="E7014" s="1"/>
      <c r="F7014" s="522">
        <f t="shared" si="570"/>
        <v>484</v>
      </c>
      <c r="G7014" s="395"/>
      <c r="H7014" s="395"/>
      <c r="J7014" s="42"/>
    </row>
    <row r="7015" spans="1:10" s="393" customFormat="1" ht="15.75" thickBot="1" x14ac:dyDescent="0.3">
      <c r="A7015" s="402" t="s">
        <v>20</v>
      </c>
      <c r="B7015" s="268">
        <v>44185</v>
      </c>
      <c r="C7015" s="1">
        <v>295</v>
      </c>
      <c r="D7015" s="39">
        <f t="shared" si="569"/>
        <v>122533</v>
      </c>
      <c r="E7015" s="1">
        <v>7</v>
      </c>
      <c r="F7015" s="522">
        <f t="shared" si="570"/>
        <v>2392</v>
      </c>
      <c r="G7015" s="395"/>
      <c r="H7015" s="395"/>
      <c r="J7015" s="42"/>
    </row>
    <row r="7016" spans="1:10" s="393" customFormat="1" ht="15.75" thickBot="1" x14ac:dyDescent="0.3">
      <c r="A7016" s="402" t="s">
        <v>30</v>
      </c>
      <c r="B7016" s="268">
        <v>44185</v>
      </c>
      <c r="C7016" s="1">
        <v>149</v>
      </c>
      <c r="D7016" s="39">
        <f t="shared" si="569"/>
        <v>10449</v>
      </c>
      <c r="E7016" s="1"/>
      <c r="F7016" s="522">
        <f t="shared" si="570"/>
        <v>143</v>
      </c>
      <c r="G7016" s="395"/>
      <c r="H7016" s="395"/>
      <c r="J7016" s="42"/>
    </row>
    <row r="7017" spans="1:10" ht="15.75" thickBot="1" x14ac:dyDescent="0.3">
      <c r="A7017" s="402" t="s">
        <v>31</v>
      </c>
      <c r="B7017" s="268">
        <v>44185</v>
      </c>
      <c r="C7017" s="1">
        <v>157</v>
      </c>
      <c r="D7017" s="39">
        <f t="shared" si="569"/>
        <v>26965</v>
      </c>
      <c r="F7017" s="522">
        <f t="shared" si="570"/>
        <v>553</v>
      </c>
    </row>
    <row r="7018" spans="1:10" s="393" customFormat="1" ht="15.75" thickBot="1" x14ac:dyDescent="0.3">
      <c r="A7018" s="402" t="s">
        <v>41</v>
      </c>
      <c r="B7018" s="268">
        <v>44185</v>
      </c>
      <c r="C7018" s="1">
        <v>3</v>
      </c>
      <c r="D7018" s="39">
        <f t="shared" si="569"/>
        <v>204</v>
      </c>
      <c r="E7018" s="1"/>
      <c r="F7018" s="522">
        <f t="shared" si="570"/>
        <v>3</v>
      </c>
      <c r="G7018" s="395"/>
      <c r="H7018" s="395"/>
      <c r="J7018" s="42"/>
    </row>
    <row r="7019" spans="1:10" s="393" customFormat="1" ht="15.75" thickBot="1" x14ac:dyDescent="0.3">
      <c r="A7019" s="402" t="s">
        <v>32</v>
      </c>
      <c r="B7019" s="268">
        <v>44185</v>
      </c>
      <c r="C7019" s="1">
        <v>0</v>
      </c>
      <c r="D7019" s="39">
        <f t="shared" si="569"/>
        <v>18482</v>
      </c>
      <c r="E7019" s="1"/>
      <c r="F7019" s="522">
        <f t="shared" si="570"/>
        <v>857</v>
      </c>
      <c r="G7019" s="395"/>
      <c r="H7019" s="395"/>
      <c r="J7019" s="42"/>
    </row>
    <row r="7020" spans="1:10" s="393" customFormat="1" ht="15.75" thickBot="1" x14ac:dyDescent="0.3">
      <c r="A7020" s="402" t="s">
        <v>33</v>
      </c>
      <c r="B7020" s="268">
        <v>44185</v>
      </c>
      <c r="C7020" s="1">
        <v>170</v>
      </c>
      <c r="D7020" s="39">
        <f t="shared" si="569"/>
        <v>8271</v>
      </c>
      <c r="E7020" s="1">
        <v>1</v>
      </c>
      <c r="F7020" s="522">
        <f t="shared" si="570"/>
        <v>106</v>
      </c>
      <c r="G7020" s="395"/>
      <c r="H7020" s="395"/>
      <c r="J7020" s="42"/>
    </row>
    <row r="7021" spans="1:10" s="393" customFormat="1" ht="15.75" thickBot="1" x14ac:dyDescent="0.3">
      <c r="A7021" s="402" t="s">
        <v>21</v>
      </c>
      <c r="B7021" s="268">
        <v>44185</v>
      </c>
      <c r="C7021" s="1">
        <v>6</v>
      </c>
      <c r="D7021" s="39">
        <f t="shared" si="569"/>
        <v>9000</v>
      </c>
      <c r="E7021" s="1"/>
      <c r="F7021" s="522">
        <f t="shared" si="570"/>
        <v>348</v>
      </c>
      <c r="G7021" s="395"/>
      <c r="H7021" s="395"/>
      <c r="J7021" s="42"/>
    </row>
    <row r="7022" spans="1:10" s="393" customFormat="1" ht="15.75" thickBot="1" x14ac:dyDescent="0.3">
      <c r="A7022" s="402" t="s">
        <v>17</v>
      </c>
      <c r="B7022" s="268">
        <v>44185</v>
      </c>
      <c r="C7022" s="1">
        <v>21</v>
      </c>
      <c r="D7022" s="39">
        <f t="shared" si="569"/>
        <v>58975</v>
      </c>
      <c r="E7022" s="1"/>
      <c r="F7022" s="522">
        <f t="shared" si="570"/>
        <v>1199</v>
      </c>
      <c r="G7022" s="395"/>
      <c r="H7022" s="395"/>
      <c r="J7022" s="42"/>
    </row>
    <row r="7023" spans="1:10" s="393" customFormat="1" ht="15.75" thickBot="1" x14ac:dyDescent="0.3">
      <c r="A7023" s="402" t="s">
        <v>23</v>
      </c>
      <c r="B7023" s="268">
        <v>44185</v>
      </c>
      <c r="C7023" s="1">
        <v>13</v>
      </c>
      <c r="D7023" s="39">
        <f t="shared" si="569"/>
        <v>859</v>
      </c>
      <c r="E7023" s="1"/>
      <c r="F7023" s="522">
        <f t="shared" si="570"/>
        <v>11</v>
      </c>
      <c r="G7023" s="395"/>
      <c r="H7023" s="395"/>
      <c r="J7023" s="42"/>
    </row>
    <row r="7024" spans="1:10" s="393" customFormat="1" ht="15.75" thickBot="1" x14ac:dyDescent="0.3">
      <c r="A7024" s="402" t="s">
        <v>19</v>
      </c>
      <c r="B7024" s="268">
        <v>44185</v>
      </c>
      <c r="C7024" s="1">
        <v>138</v>
      </c>
      <c r="D7024" s="39">
        <f t="shared" si="569"/>
        <v>38048</v>
      </c>
      <c r="E7024" s="1"/>
      <c r="F7024" s="522">
        <f t="shared" si="570"/>
        <v>681</v>
      </c>
      <c r="G7024" s="395"/>
      <c r="H7024" s="395"/>
      <c r="J7024" s="42"/>
    </row>
    <row r="7025" spans="1:10" s="393" customFormat="1" ht="15.75" thickBot="1" x14ac:dyDescent="0.3">
      <c r="A7025" s="402" t="s">
        <v>18</v>
      </c>
      <c r="B7025" s="268">
        <v>44185</v>
      </c>
      <c r="C7025" s="1">
        <v>137</v>
      </c>
      <c r="D7025" s="39">
        <f t="shared" si="569"/>
        <v>35698</v>
      </c>
      <c r="E7025" s="1"/>
      <c r="F7025" s="522">
        <f t="shared" si="570"/>
        <v>867</v>
      </c>
      <c r="G7025" s="395"/>
      <c r="H7025" s="395"/>
      <c r="J7025" s="42"/>
    </row>
    <row r="7026" spans="1:10" s="393" customFormat="1" ht="15.75" thickBot="1" x14ac:dyDescent="0.3">
      <c r="A7026" s="402" t="s">
        <v>34</v>
      </c>
      <c r="B7026" s="268">
        <v>44185</v>
      </c>
      <c r="C7026" s="1">
        <v>39</v>
      </c>
      <c r="D7026" s="39">
        <f t="shared" si="569"/>
        <v>21963</v>
      </c>
      <c r="E7026" s="1">
        <v>2</v>
      </c>
      <c r="F7026" s="522">
        <f t="shared" si="570"/>
        <v>1010</v>
      </c>
      <c r="G7026" s="395"/>
      <c r="H7026" s="395"/>
      <c r="J7026" s="42"/>
    </row>
    <row r="7027" spans="1:10" s="393" customFormat="1" ht="15.75" thickBot="1" x14ac:dyDescent="0.3">
      <c r="A7027" s="402" t="s">
        <v>35</v>
      </c>
      <c r="B7027" s="268">
        <v>44185</v>
      </c>
      <c r="C7027" s="1">
        <v>21</v>
      </c>
      <c r="D7027" s="39">
        <f t="shared" si="569"/>
        <v>10297</v>
      </c>
      <c r="E7027" s="1"/>
      <c r="F7027" s="522">
        <f t="shared" si="570"/>
        <v>196</v>
      </c>
      <c r="G7027" s="395"/>
      <c r="H7027" s="395"/>
      <c r="J7027" s="42"/>
    </row>
    <row r="7028" spans="1:10" s="393" customFormat="1" ht="15.75" thickBot="1" x14ac:dyDescent="0.3">
      <c r="A7028" s="402" t="s">
        <v>36</v>
      </c>
      <c r="B7028" s="268">
        <v>44185</v>
      </c>
      <c r="C7028" s="1">
        <v>34</v>
      </c>
      <c r="D7028" s="39">
        <f t="shared" si="569"/>
        <v>15896</v>
      </c>
      <c r="E7028" s="1">
        <v>1</v>
      </c>
      <c r="F7028" s="522">
        <f t="shared" si="570"/>
        <v>278</v>
      </c>
      <c r="G7028" s="395"/>
      <c r="H7028" s="395"/>
      <c r="J7028" s="42"/>
    </row>
    <row r="7029" spans="1:10" s="393" customFormat="1" ht="15.75" thickBot="1" x14ac:dyDescent="0.3">
      <c r="A7029" s="402" t="s">
        <v>37</v>
      </c>
      <c r="B7029" s="268">
        <v>44185</v>
      </c>
      <c r="C7029" s="1">
        <v>157</v>
      </c>
      <c r="D7029" s="39">
        <f t="shared" si="569"/>
        <v>20664</v>
      </c>
      <c r="E7029" s="1">
        <v>2</v>
      </c>
      <c r="F7029" s="522">
        <f t="shared" si="570"/>
        <v>353</v>
      </c>
      <c r="G7029" s="395"/>
      <c r="H7029" s="395"/>
      <c r="J7029" s="42"/>
    </row>
    <row r="7030" spans="1:10" s="393" customFormat="1" ht="15.75" thickBot="1" x14ac:dyDescent="0.3">
      <c r="A7030" s="402" t="s">
        <v>22</v>
      </c>
      <c r="B7030" s="268">
        <v>44185</v>
      </c>
      <c r="C7030" s="1">
        <v>680</v>
      </c>
      <c r="D7030" s="39">
        <f t="shared" si="569"/>
        <v>166691</v>
      </c>
      <c r="E7030" s="1">
        <v>16</v>
      </c>
      <c r="F7030" s="522">
        <f t="shared" si="570"/>
        <v>2728</v>
      </c>
      <c r="G7030" s="395"/>
      <c r="H7030" s="395"/>
      <c r="J7030" s="42"/>
    </row>
    <row r="7031" spans="1:10" s="393" customFormat="1" ht="15.75" thickBot="1" x14ac:dyDescent="0.3">
      <c r="A7031" s="402" t="s">
        <v>38</v>
      </c>
      <c r="B7031" s="268">
        <v>44185</v>
      </c>
      <c r="C7031" s="1">
        <v>44</v>
      </c>
      <c r="D7031" s="39">
        <f t="shared" si="569"/>
        <v>16838</v>
      </c>
      <c r="E7031" s="1">
        <v>1</v>
      </c>
      <c r="F7031" s="522">
        <f t="shared" si="570"/>
        <v>214</v>
      </c>
      <c r="G7031" s="395"/>
      <c r="H7031" s="395"/>
      <c r="J7031" s="42"/>
    </row>
    <row r="7032" spans="1:10" s="393" customFormat="1" ht="15.75" thickBot="1" x14ac:dyDescent="0.3">
      <c r="A7032" s="402" t="s">
        <v>39</v>
      </c>
      <c r="B7032" s="268">
        <v>44185</v>
      </c>
      <c r="C7032" s="1">
        <v>55</v>
      </c>
      <c r="D7032" s="39">
        <f t="shared" si="569"/>
        <v>18144</v>
      </c>
      <c r="E7032" s="1"/>
      <c r="F7032" s="522">
        <f t="shared" si="570"/>
        <v>244</v>
      </c>
      <c r="G7032" s="395"/>
      <c r="H7032" s="395"/>
      <c r="J7032" s="42"/>
    </row>
    <row r="7033" spans="1:10" s="393" customFormat="1" ht="15.75" thickBot="1" x14ac:dyDescent="0.3">
      <c r="A7033" s="404" t="s">
        <v>40</v>
      </c>
      <c r="B7033" s="268">
        <v>44185</v>
      </c>
      <c r="C7033" s="1">
        <v>46</v>
      </c>
      <c r="D7033" s="177">
        <f t="shared" si="569"/>
        <v>69647</v>
      </c>
      <c r="E7033" s="1"/>
      <c r="F7033" s="631">
        <f t="shared" si="570"/>
        <v>1322</v>
      </c>
      <c r="G7033" s="395"/>
      <c r="H7033" s="395"/>
      <c r="J7033" s="42"/>
    </row>
    <row r="7034" spans="1:10" s="393" customFormat="1" ht="15.75" thickBot="1" x14ac:dyDescent="0.3">
      <c r="A7034" s="397" t="s">
        <v>16</v>
      </c>
      <c r="B7034" s="268">
        <v>44186</v>
      </c>
      <c r="C7034" s="1">
        <v>2049</v>
      </c>
      <c r="D7034" s="175">
        <f t="shared" si="569"/>
        <v>654186</v>
      </c>
      <c r="E7034" s="1">
        <v>48</v>
      </c>
      <c r="F7034" s="630">
        <f t="shared" si="570"/>
        <v>21766</v>
      </c>
      <c r="G7034" s="395"/>
      <c r="H7034" s="395"/>
      <c r="J7034" s="42"/>
    </row>
    <row r="7035" spans="1:10" s="393" customFormat="1" ht="15.75" thickBot="1" x14ac:dyDescent="0.3">
      <c r="A7035" s="402" t="s">
        <v>43</v>
      </c>
      <c r="B7035" s="268">
        <v>44186</v>
      </c>
      <c r="C7035" s="1">
        <v>490</v>
      </c>
      <c r="D7035" s="39">
        <f t="shared" si="569"/>
        <v>166576</v>
      </c>
      <c r="E7035" s="1">
        <v>21</v>
      </c>
      <c r="F7035" s="522">
        <f t="shared" si="570"/>
        <v>5410</v>
      </c>
      <c r="G7035" s="395"/>
      <c r="H7035" s="395"/>
      <c r="J7035" s="42"/>
    </row>
    <row r="7036" spans="1:10" s="393" customFormat="1" ht="15.75" thickBot="1" x14ac:dyDescent="0.3">
      <c r="A7036" s="402" t="s">
        <v>28</v>
      </c>
      <c r="B7036" s="268">
        <v>44186</v>
      </c>
      <c r="C7036" s="1">
        <v>26</v>
      </c>
      <c r="D7036" s="39">
        <f t="shared" si="569"/>
        <v>2362</v>
      </c>
      <c r="E7036" s="1"/>
      <c r="F7036" s="522">
        <f t="shared" si="570"/>
        <v>17</v>
      </c>
      <c r="G7036" s="395"/>
      <c r="H7036" s="395"/>
      <c r="J7036" s="42"/>
    </row>
    <row r="7037" spans="1:10" s="393" customFormat="1" ht="15.75" thickBot="1" x14ac:dyDescent="0.3">
      <c r="A7037" s="402" t="s">
        <v>15</v>
      </c>
      <c r="B7037" s="268">
        <v>44186</v>
      </c>
      <c r="C7037" s="1">
        <v>149</v>
      </c>
      <c r="D7037" s="39">
        <f t="shared" si="569"/>
        <v>23021</v>
      </c>
      <c r="E7037" s="1">
        <v>7</v>
      </c>
      <c r="F7037" s="522">
        <f t="shared" si="570"/>
        <v>656</v>
      </c>
      <c r="G7037" s="395"/>
      <c r="H7037" s="395"/>
      <c r="J7037" s="42"/>
    </row>
    <row r="7038" spans="1:10" s="393" customFormat="1" ht="15.75" thickBot="1" x14ac:dyDescent="0.3">
      <c r="A7038" s="402" t="s">
        <v>29</v>
      </c>
      <c r="B7038" s="268">
        <v>44186</v>
      </c>
      <c r="C7038" s="1">
        <v>366</v>
      </c>
      <c r="D7038" s="39">
        <f t="shared" si="569"/>
        <v>28496</v>
      </c>
      <c r="E7038" s="1">
        <v>1</v>
      </c>
      <c r="F7038" s="522">
        <f t="shared" si="570"/>
        <v>485</v>
      </c>
      <c r="G7038" s="395"/>
      <c r="H7038" s="395"/>
      <c r="J7038" s="42"/>
    </row>
    <row r="7039" spans="1:10" s="393" customFormat="1" ht="15.75" thickBot="1" x14ac:dyDescent="0.3">
      <c r="A7039" s="402" t="s">
        <v>20</v>
      </c>
      <c r="B7039" s="268">
        <v>44186</v>
      </c>
      <c r="C7039" s="1">
        <v>183</v>
      </c>
      <c r="D7039" s="39">
        <v>122816</v>
      </c>
      <c r="E7039" s="1">
        <v>16</v>
      </c>
      <c r="F7039" s="522">
        <f t="shared" si="570"/>
        <v>2408</v>
      </c>
      <c r="G7039" s="395"/>
      <c r="H7039" s="395"/>
      <c r="J7039" s="42"/>
    </row>
    <row r="7040" spans="1:10" s="393" customFormat="1" ht="15.75" thickBot="1" x14ac:dyDescent="0.3">
      <c r="A7040" s="402" t="s">
        <v>30</v>
      </c>
      <c r="B7040" s="268">
        <v>44186</v>
      </c>
      <c r="C7040" s="1">
        <v>262</v>
      </c>
      <c r="D7040" s="39">
        <f t="shared" si="569"/>
        <v>10711</v>
      </c>
      <c r="E7040" s="1">
        <v>4</v>
      </c>
      <c r="F7040" s="522">
        <f t="shared" si="570"/>
        <v>147</v>
      </c>
      <c r="G7040" s="395"/>
      <c r="H7040" s="395"/>
      <c r="J7040" s="42"/>
    </row>
    <row r="7041" spans="1:10" ht="15.75" thickBot="1" x14ac:dyDescent="0.3">
      <c r="A7041" s="402" t="s">
        <v>31</v>
      </c>
      <c r="B7041" s="268">
        <v>44186</v>
      </c>
      <c r="C7041" s="1">
        <v>38</v>
      </c>
      <c r="D7041" s="39">
        <f t="shared" si="569"/>
        <v>27003</v>
      </c>
      <c r="E7041" s="1">
        <v>7</v>
      </c>
      <c r="F7041" s="522">
        <f t="shared" si="570"/>
        <v>560</v>
      </c>
    </row>
    <row r="7042" spans="1:10" s="393" customFormat="1" ht="15.75" thickBot="1" x14ac:dyDescent="0.3">
      <c r="A7042" s="402" t="s">
        <v>41</v>
      </c>
      <c r="B7042" s="268">
        <v>44186</v>
      </c>
      <c r="C7042" s="1">
        <v>-1</v>
      </c>
      <c r="D7042" s="39">
        <f t="shared" si="569"/>
        <v>203</v>
      </c>
      <c r="E7042" s="1"/>
      <c r="F7042" s="522">
        <f t="shared" si="570"/>
        <v>3</v>
      </c>
      <c r="G7042" s="395"/>
      <c r="H7042" s="395"/>
      <c r="J7042" s="42"/>
    </row>
    <row r="7043" spans="1:10" s="393" customFormat="1" ht="15.75" thickBot="1" x14ac:dyDescent="0.3">
      <c r="A7043" s="402" t="s">
        <v>32</v>
      </c>
      <c r="B7043" s="268">
        <v>44186</v>
      </c>
      <c r="C7043" s="1">
        <v>0</v>
      </c>
      <c r="D7043" s="39">
        <f t="shared" si="569"/>
        <v>18482</v>
      </c>
      <c r="E7043" s="1"/>
      <c r="F7043" s="522">
        <f t="shared" si="570"/>
        <v>857</v>
      </c>
      <c r="G7043" s="395"/>
      <c r="H7043" s="395"/>
      <c r="J7043" s="42"/>
    </row>
    <row r="7044" spans="1:10" s="393" customFormat="1" ht="15.75" thickBot="1" x14ac:dyDescent="0.3">
      <c r="A7044" s="402" t="s">
        <v>33</v>
      </c>
      <c r="B7044" s="268">
        <v>44186</v>
      </c>
      <c r="C7044" s="1">
        <v>161</v>
      </c>
      <c r="D7044" s="39">
        <f t="shared" si="569"/>
        <v>8432</v>
      </c>
      <c r="E7044" s="1">
        <v>10</v>
      </c>
      <c r="F7044" s="522">
        <f t="shared" si="570"/>
        <v>116</v>
      </c>
      <c r="G7044" s="395"/>
      <c r="H7044" s="395"/>
      <c r="J7044" s="42"/>
    </row>
    <row r="7045" spans="1:10" s="393" customFormat="1" ht="15.75" thickBot="1" x14ac:dyDescent="0.3">
      <c r="A7045" s="402" t="s">
        <v>21</v>
      </c>
      <c r="B7045" s="268">
        <v>44186</v>
      </c>
      <c r="C7045" s="1">
        <v>14</v>
      </c>
      <c r="D7045" s="39">
        <f t="shared" si="569"/>
        <v>9014</v>
      </c>
      <c r="E7045" s="1">
        <v>10</v>
      </c>
      <c r="F7045" s="522">
        <f t="shared" si="570"/>
        <v>358</v>
      </c>
      <c r="G7045" s="395"/>
      <c r="H7045" s="395"/>
      <c r="J7045" s="42"/>
    </row>
    <row r="7046" spans="1:10" s="393" customFormat="1" ht="15.75" thickBot="1" x14ac:dyDescent="0.3">
      <c r="A7046" s="402" t="s">
        <v>17</v>
      </c>
      <c r="B7046" s="268">
        <v>44186</v>
      </c>
      <c r="C7046" s="1">
        <v>76</v>
      </c>
      <c r="D7046" s="39">
        <f t="shared" si="569"/>
        <v>59051</v>
      </c>
      <c r="E7046" s="1"/>
      <c r="F7046" s="522">
        <f t="shared" si="570"/>
        <v>1199</v>
      </c>
      <c r="G7046" s="395"/>
      <c r="H7046" s="395"/>
      <c r="J7046" s="42"/>
    </row>
    <row r="7047" spans="1:10" s="393" customFormat="1" ht="15.75" thickBot="1" x14ac:dyDescent="0.3">
      <c r="A7047" s="402" t="s">
        <v>23</v>
      </c>
      <c r="B7047" s="268">
        <v>44186</v>
      </c>
      <c r="C7047" s="1">
        <v>5</v>
      </c>
      <c r="D7047" s="39">
        <f t="shared" si="569"/>
        <v>864</v>
      </c>
      <c r="E7047" s="1"/>
      <c r="F7047" s="522">
        <f t="shared" si="570"/>
        <v>11</v>
      </c>
      <c r="G7047" s="395"/>
      <c r="H7047" s="395"/>
      <c r="J7047" s="42"/>
    </row>
    <row r="7048" spans="1:10" s="393" customFormat="1" ht="15.75" thickBot="1" x14ac:dyDescent="0.3">
      <c r="A7048" s="402" t="s">
        <v>19</v>
      </c>
      <c r="B7048" s="268">
        <v>44186</v>
      </c>
      <c r="C7048" s="1">
        <v>268</v>
      </c>
      <c r="D7048" s="39">
        <f t="shared" si="569"/>
        <v>38316</v>
      </c>
      <c r="E7048" s="1"/>
      <c r="F7048" s="522">
        <f t="shared" si="570"/>
        <v>681</v>
      </c>
      <c r="G7048" s="395"/>
      <c r="H7048" s="395"/>
      <c r="J7048" s="42"/>
    </row>
    <row r="7049" spans="1:10" s="393" customFormat="1" ht="15.75" thickBot="1" x14ac:dyDescent="0.3">
      <c r="A7049" s="402" t="s">
        <v>18</v>
      </c>
      <c r="B7049" s="268">
        <v>44186</v>
      </c>
      <c r="C7049" s="1">
        <v>199</v>
      </c>
      <c r="D7049" s="39">
        <f t="shared" si="569"/>
        <v>35897</v>
      </c>
      <c r="E7049" s="1">
        <v>4</v>
      </c>
      <c r="F7049" s="522">
        <f t="shared" si="570"/>
        <v>871</v>
      </c>
      <c r="G7049" s="395"/>
      <c r="H7049" s="395"/>
      <c r="J7049" s="42"/>
    </row>
    <row r="7050" spans="1:10" s="393" customFormat="1" ht="15.75" thickBot="1" x14ac:dyDescent="0.3">
      <c r="A7050" s="402" t="s">
        <v>34</v>
      </c>
      <c r="B7050" s="268">
        <v>44186</v>
      </c>
      <c r="C7050" s="1">
        <v>8</v>
      </c>
      <c r="D7050" s="39">
        <f t="shared" si="569"/>
        <v>21971</v>
      </c>
      <c r="E7050" s="1">
        <v>2</v>
      </c>
      <c r="F7050" s="522">
        <f t="shared" si="570"/>
        <v>1012</v>
      </c>
      <c r="G7050" s="395"/>
      <c r="H7050" s="395"/>
      <c r="J7050" s="42"/>
    </row>
    <row r="7051" spans="1:10" s="393" customFormat="1" ht="15.75" thickBot="1" x14ac:dyDescent="0.3">
      <c r="A7051" s="402" t="s">
        <v>35</v>
      </c>
      <c r="B7051" s="268">
        <v>44186</v>
      </c>
      <c r="C7051" s="1">
        <v>215</v>
      </c>
      <c r="D7051" s="39">
        <f t="shared" si="569"/>
        <v>10512</v>
      </c>
      <c r="E7051" s="1"/>
      <c r="F7051" s="522">
        <f t="shared" si="570"/>
        <v>196</v>
      </c>
      <c r="G7051" s="395"/>
      <c r="H7051" s="395"/>
      <c r="J7051" s="42"/>
    </row>
    <row r="7052" spans="1:10" s="393" customFormat="1" ht="15.75" thickBot="1" x14ac:dyDescent="0.3">
      <c r="A7052" s="402" t="s">
        <v>36</v>
      </c>
      <c r="B7052" s="268">
        <v>44186</v>
      </c>
      <c r="C7052" s="1">
        <v>32</v>
      </c>
      <c r="D7052" s="39">
        <f t="shared" si="569"/>
        <v>15928</v>
      </c>
      <c r="E7052" s="1">
        <v>9</v>
      </c>
      <c r="F7052" s="522">
        <f t="shared" si="570"/>
        <v>287</v>
      </c>
      <c r="G7052" s="395"/>
      <c r="H7052" s="395"/>
      <c r="J7052" s="42"/>
    </row>
    <row r="7053" spans="1:10" s="393" customFormat="1" ht="15.75" thickBot="1" x14ac:dyDescent="0.3">
      <c r="A7053" s="402" t="s">
        <v>37</v>
      </c>
      <c r="B7053" s="268">
        <v>44186</v>
      </c>
      <c r="C7053" s="1">
        <v>179</v>
      </c>
      <c r="D7053" s="39">
        <f t="shared" si="569"/>
        <v>20843</v>
      </c>
      <c r="E7053" s="1">
        <v>3</v>
      </c>
      <c r="F7053" s="522">
        <f t="shared" si="570"/>
        <v>356</v>
      </c>
      <c r="G7053" s="395"/>
      <c r="H7053" s="395"/>
      <c r="J7053" s="42"/>
    </row>
    <row r="7054" spans="1:10" s="393" customFormat="1" ht="15.75" thickBot="1" x14ac:dyDescent="0.3">
      <c r="A7054" s="402" t="s">
        <v>22</v>
      </c>
      <c r="B7054" s="268">
        <v>44186</v>
      </c>
      <c r="C7054" s="1">
        <v>801</v>
      </c>
      <c r="D7054" s="39">
        <f t="shared" si="569"/>
        <v>167492</v>
      </c>
      <c r="E7054" s="1">
        <v>24</v>
      </c>
      <c r="F7054" s="522">
        <f t="shared" si="570"/>
        <v>2752</v>
      </c>
      <c r="G7054" s="395"/>
      <c r="H7054" s="395"/>
      <c r="J7054" s="42"/>
    </row>
    <row r="7055" spans="1:10" s="393" customFormat="1" ht="15.75" thickBot="1" x14ac:dyDescent="0.3">
      <c r="A7055" s="402" t="s">
        <v>38</v>
      </c>
      <c r="B7055" s="268">
        <v>44186</v>
      </c>
      <c r="C7055" s="1">
        <v>38</v>
      </c>
      <c r="D7055" s="39">
        <f t="shared" si="569"/>
        <v>16876</v>
      </c>
      <c r="E7055" s="1"/>
      <c r="F7055" s="522">
        <f t="shared" si="570"/>
        <v>214</v>
      </c>
      <c r="G7055" s="395"/>
      <c r="H7055" s="395"/>
      <c r="J7055" s="42"/>
    </row>
    <row r="7056" spans="1:10" s="393" customFormat="1" ht="15.75" thickBot="1" x14ac:dyDescent="0.3">
      <c r="A7056" s="402" t="s">
        <v>39</v>
      </c>
      <c r="B7056" s="268">
        <v>44186</v>
      </c>
      <c r="C7056" s="1">
        <v>59</v>
      </c>
      <c r="D7056" s="39">
        <f t="shared" si="569"/>
        <v>18203</v>
      </c>
      <c r="E7056" s="1">
        <v>2</v>
      </c>
      <c r="F7056" s="522">
        <f t="shared" si="570"/>
        <v>246</v>
      </c>
      <c r="G7056" s="395"/>
      <c r="H7056" s="395"/>
      <c r="J7056" s="42"/>
    </row>
    <row r="7057" spans="1:10" s="393" customFormat="1" ht="15.75" thickBot="1" x14ac:dyDescent="0.3">
      <c r="A7057" s="403" t="s">
        <v>40</v>
      </c>
      <c r="B7057" s="34">
        <v>44186</v>
      </c>
      <c r="C7057" s="234">
        <v>236</v>
      </c>
      <c r="D7057" s="67">
        <f t="shared" si="569"/>
        <v>69883</v>
      </c>
      <c r="E7057" s="234">
        <v>6</v>
      </c>
      <c r="F7057" s="632">
        <f t="shared" si="570"/>
        <v>1328</v>
      </c>
      <c r="G7057" s="395"/>
      <c r="H7057" s="395"/>
      <c r="J7057" s="42"/>
    </row>
    <row r="7058" spans="1:10" s="393" customFormat="1" x14ac:dyDescent="0.25">
      <c r="A7058" s="397" t="s">
        <v>16</v>
      </c>
      <c r="B7058" s="267">
        <v>44187</v>
      </c>
      <c r="C7058" s="43">
        <v>3019</v>
      </c>
      <c r="D7058" s="175">
        <f t="shared" si="569"/>
        <v>657205</v>
      </c>
      <c r="E7058" s="43">
        <v>151</v>
      </c>
      <c r="F7058" s="630">
        <f t="shared" si="570"/>
        <v>21917</v>
      </c>
      <c r="G7058" s="395"/>
      <c r="H7058" s="395"/>
      <c r="J7058" s="42"/>
    </row>
    <row r="7059" spans="1:10" s="393" customFormat="1" x14ac:dyDescent="0.25">
      <c r="A7059" s="402" t="s">
        <v>43</v>
      </c>
      <c r="B7059" s="2">
        <v>44187</v>
      </c>
      <c r="C7059" s="1">
        <v>712</v>
      </c>
      <c r="D7059" s="39">
        <f t="shared" si="569"/>
        <v>167288</v>
      </c>
      <c r="E7059" s="1">
        <v>17</v>
      </c>
      <c r="F7059" s="522">
        <f t="shared" si="570"/>
        <v>5427</v>
      </c>
      <c r="G7059" s="395"/>
      <c r="H7059" s="395"/>
      <c r="J7059" s="42"/>
    </row>
    <row r="7060" spans="1:10" s="393" customFormat="1" x14ac:dyDescent="0.25">
      <c r="A7060" s="402" t="s">
        <v>28</v>
      </c>
      <c r="B7060" s="2">
        <v>44187</v>
      </c>
      <c r="C7060" s="1">
        <v>37</v>
      </c>
      <c r="D7060" s="39">
        <f t="shared" si="569"/>
        <v>2399</v>
      </c>
      <c r="E7060" s="1"/>
      <c r="F7060" s="522">
        <f t="shared" si="570"/>
        <v>17</v>
      </c>
      <c r="G7060" s="395"/>
      <c r="H7060" s="395"/>
      <c r="J7060" s="42"/>
    </row>
    <row r="7061" spans="1:10" s="393" customFormat="1" x14ac:dyDescent="0.25">
      <c r="A7061" s="402" t="s">
        <v>15</v>
      </c>
      <c r="B7061" s="2">
        <v>44187</v>
      </c>
      <c r="C7061" s="1">
        <v>191</v>
      </c>
      <c r="D7061" s="39">
        <f t="shared" si="569"/>
        <v>23212</v>
      </c>
      <c r="E7061" s="1"/>
      <c r="F7061" s="522">
        <f t="shared" si="570"/>
        <v>656</v>
      </c>
      <c r="G7061" s="395"/>
      <c r="H7061" s="395"/>
      <c r="J7061" s="42"/>
    </row>
    <row r="7062" spans="1:10" s="393" customFormat="1" x14ac:dyDescent="0.25">
      <c r="A7062" s="402" t="s">
        <v>29</v>
      </c>
      <c r="B7062" s="2">
        <v>44187</v>
      </c>
      <c r="C7062" s="1">
        <v>409</v>
      </c>
      <c r="D7062" s="39">
        <f t="shared" si="569"/>
        <v>28905</v>
      </c>
      <c r="E7062" s="1">
        <v>1</v>
      </c>
      <c r="F7062" s="522">
        <f t="shared" si="570"/>
        <v>486</v>
      </c>
      <c r="G7062" s="395"/>
      <c r="H7062" s="395"/>
      <c r="J7062" s="42"/>
    </row>
    <row r="7063" spans="1:10" s="393" customFormat="1" x14ac:dyDescent="0.25">
      <c r="A7063" s="402" t="s">
        <v>20</v>
      </c>
      <c r="B7063" s="2">
        <v>44187</v>
      </c>
      <c r="C7063" s="1">
        <v>494</v>
      </c>
      <c r="D7063" s="39">
        <f t="shared" si="569"/>
        <v>123310</v>
      </c>
      <c r="E7063" s="1">
        <v>10</v>
      </c>
      <c r="F7063" s="522">
        <f t="shared" si="570"/>
        <v>2418</v>
      </c>
      <c r="G7063" s="395"/>
      <c r="H7063" s="395"/>
      <c r="J7063" s="42"/>
    </row>
    <row r="7064" spans="1:10" s="393" customFormat="1" x14ac:dyDescent="0.25">
      <c r="A7064" s="402" t="s">
        <v>30</v>
      </c>
      <c r="B7064" s="2">
        <v>44187</v>
      </c>
      <c r="C7064" s="1">
        <v>143</v>
      </c>
      <c r="D7064" s="39">
        <f t="shared" si="569"/>
        <v>10854</v>
      </c>
      <c r="E7064" s="1">
        <v>3</v>
      </c>
      <c r="F7064" s="522">
        <f t="shared" si="570"/>
        <v>150</v>
      </c>
      <c r="G7064" s="395"/>
      <c r="H7064" s="395"/>
      <c r="J7064" s="42"/>
    </row>
    <row r="7065" spans="1:10" x14ac:dyDescent="0.25">
      <c r="A7065" s="402" t="s">
        <v>31</v>
      </c>
      <c r="B7065" s="2">
        <v>44187</v>
      </c>
      <c r="C7065" s="1">
        <v>140</v>
      </c>
      <c r="D7065" s="39">
        <f t="shared" si="569"/>
        <v>27143</v>
      </c>
      <c r="E7065" s="1">
        <v>7</v>
      </c>
      <c r="F7065" s="522">
        <f t="shared" si="570"/>
        <v>567</v>
      </c>
    </row>
    <row r="7066" spans="1:10" s="393" customFormat="1" x14ac:dyDescent="0.25">
      <c r="A7066" s="402" t="s">
        <v>41</v>
      </c>
      <c r="B7066" s="2">
        <v>44187</v>
      </c>
      <c r="C7066" s="1">
        <v>7</v>
      </c>
      <c r="D7066" s="39">
        <f t="shared" si="569"/>
        <v>210</v>
      </c>
      <c r="E7066" s="1"/>
      <c r="F7066" s="522">
        <f t="shared" si="570"/>
        <v>3</v>
      </c>
      <c r="G7066" s="395"/>
      <c r="H7066" s="395"/>
      <c r="J7066" s="42"/>
    </row>
    <row r="7067" spans="1:10" s="393" customFormat="1" x14ac:dyDescent="0.25">
      <c r="A7067" s="402" t="s">
        <v>32</v>
      </c>
      <c r="B7067" s="2">
        <v>44187</v>
      </c>
      <c r="C7067" s="1">
        <v>3</v>
      </c>
      <c r="D7067" s="39">
        <f t="shared" si="569"/>
        <v>18485</v>
      </c>
      <c r="E7067" s="1"/>
      <c r="F7067" s="522">
        <f t="shared" si="570"/>
        <v>857</v>
      </c>
      <c r="G7067" s="395"/>
      <c r="H7067" s="395"/>
      <c r="J7067" s="42"/>
    </row>
    <row r="7068" spans="1:10" s="393" customFormat="1" x14ac:dyDescent="0.25">
      <c r="A7068" s="402" t="s">
        <v>33</v>
      </c>
      <c r="B7068" s="2">
        <v>44187</v>
      </c>
      <c r="C7068" s="1">
        <v>247</v>
      </c>
      <c r="D7068" s="39">
        <f t="shared" si="569"/>
        <v>8679</v>
      </c>
      <c r="E7068" s="1"/>
      <c r="F7068" s="522">
        <f t="shared" si="570"/>
        <v>116</v>
      </c>
      <c r="G7068" s="395"/>
      <c r="H7068" s="395"/>
      <c r="J7068" s="42"/>
    </row>
    <row r="7069" spans="1:10" s="393" customFormat="1" x14ac:dyDescent="0.25">
      <c r="A7069" s="402" t="s">
        <v>21</v>
      </c>
      <c r="B7069" s="2">
        <v>44187</v>
      </c>
      <c r="C7069" s="1">
        <v>9</v>
      </c>
      <c r="D7069" s="39">
        <f t="shared" si="569"/>
        <v>9023</v>
      </c>
      <c r="E7069" s="1">
        <v>3</v>
      </c>
      <c r="F7069" s="522">
        <f t="shared" si="570"/>
        <v>361</v>
      </c>
      <c r="G7069" s="395"/>
      <c r="H7069" s="395"/>
      <c r="J7069" s="42"/>
    </row>
    <row r="7070" spans="1:10" s="393" customFormat="1" x14ac:dyDescent="0.25">
      <c r="A7070" s="402" t="s">
        <v>17</v>
      </c>
      <c r="B7070" s="2">
        <v>44187</v>
      </c>
      <c r="C7070" s="1">
        <v>138</v>
      </c>
      <c r="D7070" s="39">
        <f t="shared" si="569"/>
        <v>59189</v>
      </c>
      <c r="E7070" s="1">
        <v>17</v>
      </c>
      <c r="F7070" s="522">
        <f t="shared" si="570"/>
        <v>1216</v>
      </c>
      <c r="G7070" s="395"/>
      <c r="H7070" s="395"/>
      <c r="J7070" s="42"/>
    </row>
    <row r="7071" spans="1:10" s="393" customFormat="1" x14ac:dyDescent="0.25">
      <c r="A7071" s="402" t="s">
        <v>23</v>
      </c>
      <c r="B7071" s="2">
        <v>44187</v>
      </c>
      <c r="C7071" s="1">
        <v>24</v>
      </c>
      <c r="D7071" s="39">
        <f t="shared" si="569"/>
        <v>888</v>
      </c>
      <c r="E7071" s="1"/>
      <c r="F7071" s="522">
        <f t="shared" si="570"/>
        <v>11</v>
      </c>
      <c r="G7071" s="395"/>
      <c r="H7071" s="395"/>
      <c r="J7071" s="42"/>
    </row>
    <row r="7072" spans="1:10" s="393" customFormat="1" x14ac:dyDescent="0.25">
      <c r="A7072" s="402" t="s">
        <v>19</v>
      </c>
      <c r="B7072" s="2">
        <v>44187</v>
      </c>
      <c r="C7072" s="1">
        <v>327</v>
      </c>
      <c r="D7072" s="39">
        <f t="shared" si="569"/>
        <v>38643</v>
      </c>
      <c r="E7072" s="1"/>
      <c r="F7072" s="522">
        <f t="shared" si="570"/>
        <v>681</v>
      </c>
      <c r="G7072" s="395"/>
      <c r="H7072" s="395"/>
      <c r="J7072" s="42"/>
    </row>
    <row r="7073" spans="1:10" s="393" customFormat="1" x14ac:dyDescent="0.25">
      <c r="A7073" s="402" t="s">
        <v>18</v>
      </c>
      <c r="B7073" s="2">
        <v>44187</v>
      </c>
      <c r="C7073" s="1">
        <v>396</v>
      </c>
      <c r="D7073" s="39">
        <f t="shared" si="569"/>
        <v>36293</v>
      </c>
      <c r="E7073" s="1">
        <v>4</v>
      </c>
      <c r="F7073" s="522">
        <f t="shared" si="570"/>
        <v>875</v>
      </c>
      <c r="G7073" s="395"/>
      <c r="H7073" s="395"/>
      <c r="J7073" s="42"/>
    </row>
    <row r="7074" spans="1:10" s="393" customFormat="1" x14ac:dyDescent="0.25">
      <c r="A7074" s="402" t="s">
        <v>34</v>
      </c>
      <c r="B7074" s="2">
        <v>44187</v>
      </c>
      <c r="C7074" s="1">
        <v>45</v>
      </c>
      <c r="D7074" s="39">
        <f t="shared" si="569"/>
        <v>22016</v>
      </c>
      <c r="E7074" s="1"/>
      <c r="F7074" s="522">
        <f t="shared" si="570"/>
        <v>1012</v>
      </c>
      <c r="G7074" s="395"/>
      <c r="H7074" s="395"/>
      <c r="J7074" s="42"/>
    </row>
    <row r="7075" spans="1:10" s="393" customFormat="1" x14ac:dyDescent="0.25">
      <c r="A7075" s="402" t="s">
        <v>35</v>
      </c>
      <c r="B7075" s="2">
        <v>44187</v>
      </c>
      <c r="C7075" s="1">
        <v>153</v>
      </c>
      <c r="D7075" s="39">
        <f t="shared" ref="D7075:D7138" si="571">C7075+D7051</f>
        <v>10665</v>
      </c>
      <c r="E7075" s="1"/>
      <c r="F7075" s="522">
        <f t="shared" ref="F7075:F7138" si="572">E7075+F7051</f>
        <v>196</v>
      </c>
      <c r="G7075" s="395"/>
      <c r="H7075" s="395"/>
      <c r="J7075" s="42"/>
    </row>
    <row r="7076" spans="1:10" s="393" customFormat="1" x14ac:dyDescent="0.25">
      <c r="A7076" s="402" t="s">
        <v>36</v>
      </c>
      <c r="B7076" s="2">
        <v>44187</v>
      </c>
      <c r="C7076" s="1">
        <v>13</v>
      </c>
      <c r="D7076" s="39">
        <f t="shared" si="571"/>
        <v>15941</v>
      </c>
      <c r="E7076" s="1"/>
      <c r="F7076" s="522">
        <f t="shared" si="572"/>
        <v>287</v>
      </c>
      <c r="G7076" s="395"/>
      <c r="H7076" s="395"/>
      <c r="J7076" s="42"/>
    </row>
    <row r="7077" spans="1:10" s="393" customFormat="1" x14ac:dyDescent="0.25">
      <c r="A7077" s="402" t="s">
        <v>37</v>
      </c>
      <c r="B7077" s="2">
        <v>44187</v>
      </c>
      <c r="C7077" s="1">
        <v>312</v>
      </c>
      <c r="D7077" s="39">
        <f t="shared" si="571"/>
        <v>21155</v>
      </c>
      <c r="E7077" s="1">
        <v>1</v>
      </c>
      <c r="F7077" s="522">
        <f t="shared" si="572"/>
        <v>357</v>
      </c>
      <c r="G7077" s="395"/>
      <c r="H7077" s="395"/>
      <c r="J7077" s="42"/>
    </row>
    <row r="7078" spans="1:10" s="393" customFormat="1" x14ac:dyDescent="0.25">
      <c r="A7078" s="402" t="s">
        <v>22</v>
      </c>
      <c r="B7078" s="2">
        <v>44187</v>
      </c>
      <c r="C7078" s="1">
        <v>1180</v>
      </c>
      <c r="D7078" s="39">
        <f t="shared" si="571"/>
        <v>168672</v>
      </c>
      <c r="E7078" s="1">
        <v>37</v>
      </c>
      <c r="F7078" s="522">
        <f t="shared" si="572"/>
        <v>2789</v>
      </c>
      <c r="G7078" s="395"/>
      <c r="H7078" s="395"/>
      <c r="J7078" s="42"/>
    </row>
    <row r="7079" spans="1:10" s="393" customFormat="1" x14ac:dyDescent="0.25">
      <c r="A7079" s="402" t="s">
        <v>38</v>
      </c>
      <c r="B7079" s="2">
        <v>44187</v>
      </c>
      <c r="C7079" s="1">
        <v>-43</v>
      </c>
      <c r="D7079" s="39">
        <f t="shared" si="571"/>
        <v>16833</v>
      </c>
      <c r="E7079" s="1"/>
      <c r="F7079" s="522">
        <f t="shared" si="572"/>
        <v>214</v>
      </c>
      <c r="G7079" s="395"/>
      <c r="H7079" s="395"/>
      <c r="J7079" s="42"/>
    </row>
    <row r="7080" spans="1:10" s="393" customFormat="1" x14ac:dyDescent="0.25">
      <c r="A7080" s="402" t="s">
        <v>39</v>
      </c>
      <c r="B7080" s="2">
        <v>44187</v>
      </c>
      <c r="C7080" s="1">
        <v>51</v>
      </c>
      <c r="D7080" s="39">
        <f t="shared" si="571"/>
        <v>18254</v>
      </c>
      <c r="E7080" s="1"/>
      <c r="F7080" s="522">
        <f t="shared" si="572"/>
        <v>246</v>
      </c>
      <c r="G7080" s="395"/>
      <c r="H7080" s="395"/>
      <c r="J7080" s="42"/>
    </row>
    <row r="7081" spans="1:10" s="393" customFormat="1" ht="15.75" thickBot="1" x14ac:dyDescent="0.3">
      <c r="A7081" s="403" t="s">
        <v>40</v>
      </c>
      <c r="B7081" s="34">
        <v>44187</v>
      </c>
      <c r="C7081" s="234">
        <v>134</v>
      </c>
      <c r="D7081" s="67">
        <f t="shared" si="571"/>
        <v>70017</v>
      </c>
      <c r="E7081" s="234">
        <v>5</v>
      </c>
      <c r="F7081" s="632">
        <f t="shared" si="572"/>
        <v>1333</v>
      </c>
      <c r="G7081" s="395"/>
      <c r="H7081" s="395"/>
      <c r="J7081" s="42"/>
    </row>
    <row r="7082" spans="1:10" s="393" customFormat="1" x14ac:dyDescent="0.25">
      <c r="A7082" s="397" t="s">
        <v>16</v>
      </c>
      <c r="B7082" s="267">
        <v>44188</v>
      </c>
      <c r="C7082" s="43">
        <v>3467</v>
      </c>
      <c r="D7082" s="175">
        <f t="shared" si="571"/>
        <v>660672</v>
      </c>
      <c r="E7082" s="43">
        <v>12</v>
      </c>
      <c r="F7082" s="630">
        <f t="shared" si="572"/>
        <v>21929</v>
      </c>
      <c r="G7082" s="395"/>
      <c r="H7082" s="395"/>
      <c r="J7082" s="42"/>
    </row>
    <row r="7083" spans="1:10" s="393" customFormat="1" x14ac:dyDescent="0.25">
      <c r="A7083" s="402" t="s">
        <v>43</v>
      </c>
      <c r="B7083" s="2">
        <v>44188</v>
      </c>
      <c r="C7083" s="1">
        <v>690</v>
      </c>
      <c r="D7083" s="39">
        <f t="shared" si="571"/>
        <v>167978</v>
      </c>
      <c r="E7083" s="1">
        <v>4</v>
      </c>
      <c r="F7083" s="522">
        <f t="shared" si="572"/>
        <v>5431</v>
      </c>
      <c r="G7083" s="395"/>
      <c r="H7083" s="395"/>
      <c r="J7083" s="42"/>
    </row>
    <row r="7084" spans="1:10" s="393" customFormat="1" x14ac:dyDescent="0.25">
      <c r="A7084" s="402" t="s">
        <v>28</v>
      </c>
      <c r="B7084" s="2">
        <v>44188</v>
      </c>
      <c r="C7084" s="1">
        <v>18</v>
      </c>
      <c r="D7084" s="39">
        <f t="shared" si="571"/>
        <v>2417</v>
      </c>
      <c r="E7084" s="1"/>
      <c r="F7084" s="522">
        <f t="shared" si="572"/>
        <v>17</v>
      </c>
      <c r="G7084" s="395"/>
      <c r="H7084" s="395"/>
      <c r="J7084" s="42"/>
    </row>
    <row r="7085" spans="1:10" s="393" customFormat="1" x14ac:dyDescent="0.25">
      <c r="A7085" s="402" t="s">
        <v>15</v>
      </c>
      <c r="B7085" s="2">
        <v>44188</v>
      </c>
      <c r="C7085" s="1">
        <v>236</v>
      </c>
      <c r="D7085" s="39">
        <f t="shared" si="571"/>
        <v>23448</v>
      </c>
      <c r="E7085" s="1">
        <v>3</v>
      </c>
      <c r="F7085" s="522">
        <f t="shared" si="572"/>
        <v>659</v>
      </c>
      <c r="G7085" s="395"/>
      <c r="H7085" s="395"/>
      <c r="J7085" s="42"/>
    </row>
    <row r="7086" spans="1:10" s="393" customFormat="1" x14ac:dyDescent="0.25">
      <c r="A7086" s="402" t="s">
        <v>29</v>
      </c>
      <c r="B7086" s="2">
        <v>44188</v>
      </c>
      <c r="C7086" s="1">
        <v>308</v>
      </c>
      <c r="D7086" s="39">
        <f t="shared" si="571"/>
        <v>29213</v>
      </c>
      <c r="E7086" s="1"/>
      <c r="F7086" s="522">
        <f t="shared" si="572"/>
        <v>486</v>
      </c>
      <c r="G7086" s="395"/>
      <c r="H7086" s="395"/>
      <c r="J7086" s="42"/>
    </row>
    <row r="7087" spans="1:10" s="393" customFormat="1" x14ac:dyDescent="0.25">
      <c r="A7087" s="402" t="s">
        <v>20</v>
      </c>
      <c r="B7087" s="2">
        <v>44188</v>
      </c>
      <c r="C7087" s="1">
        <v>575</v>
      </c>
      <c r="D7087" s="39">
        <f t="shared" si="571"/>
        <v>123885</v>
      </c>
      <c r="E7087" s="1">
        <v>12</v>
      </c>
      <c r="F7087" s="522">
        <f t="shared" si="572"/>
        <v>2430</v>
      </c>
      <c r="G7087" s="395"/>
      <c r="H7087" s="395"/>
      <c r="J7087" s="42"/>
    </row>
    <row r="7088" spans="1:10" s="393" customFormat="1" x14ac:dyDescent="0.25">
      <c r="A7088" s="402" t="s">
        <v>30</v>
      </c>
      <c r="B7088" s="2">
        <v>44188</v>
      </c>
      <c r="C7088" s="1">
        <v>179</v>
      </c>
      <c r="D7088" s="39">
        <f t="shared" si="571"/>
        <v>11033</v>
      </c>
      <c r="E7088" s="1">
        <v>2</v>
      </c>
      <c r="F7088" s="522">
        <f t="shared" si="572"/>
        <v>152</v>
      </c>
      <c r="G7088" s="395"/>
      <c r="H7088" s="395"/>
      <c r="J7088" s="42"/>
    </row>
    <row r="7089" spans="1:10" x14ac:dyDescent="0.25">
      <c r="A7089" s="402" t="s">
        <v>31</v>
      </c>
      <c r="B7089" s="2">
        <v>44188</v>
      </c>
      <c r="C7089" s="1">
        <v>278</v>
      </c>
      <c r="D7089" s="39">
        <f t="shared" si="571"/>
        <v>27421</v>
      </c>
      <c r="E7089" s="1">
        <v>2</v>
      </c>
      <c r="F7089" s="522">
        <f t="shared" si="572"/>
        <v>569</v>
      </c>
    </row>
    <row r="7090" spans="1:10" s="393" customFormat="1" x14ac:dyDescent="0.25">
      <c r="A7090" s="402" t="s">
        <v>41</v>
      </c>
      <c r="B7090" s="2">
        <v>44188</v>
      </c>
      <c r="C7090" s="1">
        <v>2</v>
      </c>
      <c r="D7090" s="39">
        <f t="shared" si="571"/>
        <v>212</v>
      </c>
      <c r="E7090" s="1"/>
      <c r="F7090" s="522">
        <f t="shared" si="572"/>
        <v>3</v>
      </c>
      <c r="G7090" s="395"/>
      <c r="H7090" s="395"/>
      <c r="J7090" s="42"/>
    </row>
    <row r="7091" spans="1:10" s="393" customFormat="1" x14ac:dyDescent="0.25">
      <c r="A7091" s="402" t="s">
        <v>32</v>
      </c>
      <c r="B7091" s="2">
        <v>44188</v>
      </c>
      <c r="C7091" s="1">
        <v>6</v>
      </c>
      <c r="D7091" s="39">
        <f t="shared" si="571"/>
        <v>18491</v>
      </c>
      <c r="E7091" s="1"/>
      <c r="F7091" s="522">
        <f t="shared" si="572"/>
        <v>857</v>
      </c>
      <c r="G7091" s="395"/>
      <c r="H7091" s="395"/>
      <c r="J7091" s="42"/>
    </row>
    <row r="7092" spans="1:10" s="393" customFormat="1" x14ac:dyDescent="0.25">
      <c r="A7092" s="402" t="s">
        <v>33</v>
      </c>
      <c r="B7092" s="2">
        <v>44188</v>
      </c>
      <c r="C7092" s="1">
        <v>240</v>
      </c>
      <c r="D7092" s="39">
        <f t="shared" si="571"/>
        <v>8919</v>
      </c>
      <c r="E7092" s="1"/>
      <c r="F7092" s="522">
        <f t="shared" si="572"/>
        <v>116</v>
      </c>
      <c r="G7092" s="395"/>
      <c r="H7092" s="395"/>
      <c r="J7092" s="42"/>
    </row>
    <row r="7093" spans="1:10" s="393" customFormat="1" x14ac:dyDescent="0.25">
      <c r="A7093" s="402" t="s">
        <v>21</v>
      </c>
      <c r="B7093" s="2">
        <v>44188</v>
      </c>
      <c r="C7093" s="1">
        <v>17</v>
      </c>
      <c r="D7093" s="39">
        <f t="shared" si="571"/>
        <v>9040</v>
      </c>
      <c r="E7093" s="1"/>
      <c r="F7093" s="522">
        <f t="shared" si="572"/>
        <v>361</v>
      </c>
      <c r="G7093" s="395"/>
      <c r="H7093" s="395"/>
      <c r="J7093" s="42"/>
    </row>
    <row r="7094" spans="1:10" s="393" customFormat="1" x14ac:dyDescent="0.25">
      <c r="A7094" s="402" t="s">
        <v>17</v>
      </c>
      <c r="B7094" s="2">
        <v>44188</v>
      </c>
      <c r="C7094" s="1">
        <v>183</v>
      </c>
      <c r="D7094" s="39">
        <f t="shared" si="571"/>
        <v>59372</v>
      </c>
      <c r="E7094" s="1">
        <v>2</v>
      </c>
      <c r="F7094" s="522">
        <f t="shared" si="572"/>
        <v>1218</v>
      </c>
      <c r="G7094" s="395"/>
      <c r="H7094" s="395"/>
      <c r="J7094" s="42"/>
    </row>
    <row r="7095" spans="1:10" s="393" customFormat="1" x14ac:dyDescent="0.25">
      <c r="A7095" s="402" t="s">
        <v>23</v>
      </c>
      <c r="B7095" s="2">
        <v>44188</v>
      </c>
      <c r="C7095" s="1">
        <v>8</v>
      </c>
      <c r="D7095" s="39">
        <f t="shared" si="571"/>
        <v>896</v>
      </c>
      <c r="E7095" s="1"/>
      <c r="F7095" s="522">
        <f t="shared" si="572"/>
        <v>11</v>
      </c>
      <c r="G7095" s="395"/>
      <c r="H7095" s="395"/>
      <c r="J7095" s="42"/>
    </row>
    <row r="7096" spans="1:10" s="393" customFormat="1" x14ac:dyDescent="0.25">
      <c r="A7096" s="402" t="s">
        <v>19</v>
      </c>
      <c r="B7096" s="2">
        <v>44188</v>
      </c>
      <c r="C7096" s="1">
        <v>234</v>
      </c>
      <c r="D7096" s="39">
        <f t="shared" si="571"/>
        <v>38877</v>
      </c>
      <c r="E7096" s="1">
        <v>7</v>
      </c>
      <c r="F7096" s="522">
        <f t="shared" si="572"/>
        <v>688</v>
      </c>
      <c r="G7096" s="395"/>
      <c r="H7096" s="395"/>
      <c r="J7096" s="42"/>
    </row>
    <row r="7097" spans="1:10" s="393" customFormat="1" x14ac:dyDescent="0.25">
      <c r="A7097" s="402" t="s">
        <v>18</v>
      </c>
      <c r="B7097" s="2">
        <v>44188</v>
      </c>
      <c r="C7097" s="1">
        <v>335</v>
      </c>
      <c r="D7097" s="39">
        <f t="shared" si="571"/>
        <v>36628</v>
      </c>
      <c r="E7097" s="1">
        <v>2</v>
      </c>
      <c r="F7097" s="522">
        <f t="shared" si="572"/>
        <v>877</v>
      </c>
      <c r="G7097" s="395"/>
      <c r="H7097" s="395"/>
      <c r="J7097" s="42"/>
    </row>
    <row r="7098" spans="1:10" s="393" customFormat="1" x14ac:dyDescent="0.25">
      <c r="A7098" s="402" t="s">
        <v>34</v>
      </c>
      <c r="B7098" s="2">
        <v>44188</v>
      </c>
      <c r="C7098" s="1">
        <v>51</v>
      </c>
      <c r="D7098" s="39">
        <f t="shared" si="571"/>
        <v>22067</v>
      </c>
      <c r="E7098" s="1"/>
      <c r="F7098" s="522">
        <f t="shared" si="572"/>
        <v>1012</v>
      </c>
      <c r="G7098" s="395"/>
      <c r="H7098" s="395"/>
      <c r="J7098" s="42"/>
    </row>
    <row r="7099" spans="1:10" s="393" customFormat="1" x14ac:dyDescent="0.25">
      <c r="A7099" s="402" t="s">
        <v>35</v>
      </c>
      <c r="B7099" s="2">
        <v>44188</v>
      </c>
      <c r="C7099" s="1">
        <v>147</v>
      </c>
      <c r="D7099" s="39">
        <f t="shared" si="571"/>
        <v>10812</v>
      </c>
      <c r="E7099" s="1"/>
      <c r="F7099" s="522">
        <f t="shared" si="572"/>
        <v>196</v>
      </c>
      <c r="G7099" s="395"/>
      <c r="H7099" s="395"/>
      <c r="J7099" s="42"/>
    </row>
    <row r="7100" spans="1:10" s="393" customFormat="1" x14ac:dyDescent="0.25">
      <c r="A7100" s="402" t="s">
        <v>36</v>
      </c>
      <c r="B7100" s="2">
        <v>44188</v>
      </c>
      <c r="C7100" s="1">
        <v>22</v>
      </c>
      <c r="D7100" s="39">
        <f t="shared" si="571"/>
        <v>15963</v>
      </c>
      <c r="E7100" s="1">
        <v>5</v>
      </c>
      <c r="F7100" s="522">
        <f t="shared" si="572"/>
        <v>292</v>
      </c>
      <c r="G7100" s="395"/>
      <c r="H7100" s="395"/>
      <c r="J7100" s="42"/>
    </row>
    <row r="7101" spans="1:10" s="393" customFormat="1" x14ac:dyDescent="0.25">
      <c r="A7101" s="402" t="s">
        <v>37</v>
      </c>
      <c r="B7101" s="2">
        <v>44188</v>
      </c>
      <c r="C7101" s="1">
        <v>301</v>
      </c>
      <c r="D7101" s="39">
        <f t="shared" si="571"/>
        <v>21456</v>
      </c>
      <c r="E7101" s="1">
        <v>1</v>
      </c>
      <c r="F7101" s="522">
        <f t="shared" si="572"/>
        <v>358</v>
      </c>
      <c r="G7101" s="395"/>
      <c r="H7101" s="395"/>
      <c r="J7101" s="42"/>
    </row>
    <row r="7102" spans="1:10" s="393" customFormat="1" x14ac:dyDescent="0.25">
      <c r="A7102" s="402" t="s">
        <v>22</v>
      </c>
      <c r="B7102" s="2">
        <v>44188</v>
      </c>
      <c r="C7102" s="1">
        <v>1003</v>
      </c>
      <c r="D7102" s="39">
        <f t="shared" si="571"/>
        <v>169675</v>
      </c>
      <c r="E7102" s="1">
        <v>8</v>
      </c>
      <c r="F7102" s="522">
        <f t="shared" si="572"/>
        <v>2797</v>
      </c>
      <c r="G7102" s="395"/>
      <c r="H7102" s="395"/>
      <c r="J7102" s="42"/>
    </row>
    <row r="7103" spans="1:10" s="393" customFormat="1" x14ac:dyDescent="0.25">
      <c r="A7103" s="402" t="s">
        <v>38</v>
      </c>
      <c r="B7103" s="2">
        <v>44188</v>
      </c>
      <c r="C7103" s="1">
        <v>49</v>
      </c>
      <c r="D7103" s="39">
        <f t="shared" si="571"/>
        <v>16882</v>
      </c>
      <c r="E7103" s="1"/>
      <c r="F7103" s="522">
        <f t="shared" si="572"/>
        <v>214</v>
      </c>
      <c r="G7103" s="395"/>
      <c r="H7103" s="395"/>
      <c r="J7103" s="42"/>
    </row>
    <row r="7104" spans="1:10" s="393" customFormat="1" x14ac:dyDescent="0.25">
      <c r="A7104" s="402" t="s">
        <v>39</v>
      </c>
      <c r="B7104" s="2">
        <v>44188</v>
      </c>
      <c r="C7104" s="1">
        <v>111</v>
      </c>
      <c r="D7104" s="39">
        <f t="shared" si="571"/>
        <v>18365</v>
      </c>
      <c r="E7104" s="1"/>
      <c r="F7104" s="522">
        <f t="shared" si="572"/>
        <v>246</v>
      </c>
      <c r="G7104" s="395"/>
      <c r="H7104" s="395"/>
      <c r="J7104" s="42"/>
    </row>
    <row r="7105" spans="1:10" s="393" customFormat="1" ht="15.75" thickBot="1" x14ac:dyDescent="0.3">
      <c r="A7105" s="404" t="s">
        <v>40</v>
      </c>
      <c r="B7105" s="268">
        <v>44188</v>
      </c>
      <c r="C7105" s="44">
        <v>126</v>
      </c>
      <c r="D7105" s="177">
        <f t="shared" si="571"/>
        <v>70143</v>
      </c>
      <c r="E7105" s="44"/>
      <c r="F7105" s="631">
        <f t="shared" si="572"/>
        <v>1333</v>
      </c>
      <c r="G7105" s="395"/>
      <c r="H7105" s="395"/>
      <c r="J7105" s="42"/>
    </row>
    <row r="7106" spans="1:10" s="393" customFormat="1" ht="15.75" thickBot="1" x14ac:dyDescent="0.3">
      <c r="A7106" s="397" t="s">
        <v>16</v>
      </c>
      <c r="B7106" s="268">
        <v>44189</v>
      </c>
      <c r="C7106" s="227">
        <v>2877</v>
      </c>
      <c r="D7106" s="175">
        <f t="shared" si="571"/>
        <v>663549</v>
      </c>
      <c r="E7106" s="227">
        <v>17</v>
      </c>
      <c r="F7106" s="630">
        <f t="shared" si="572"/>
        <v>21946</v>
      </c>
      <c r="G7106" s="395"/>
      <c r="H7106" s="395"/>
      <c r="J7106" s="42"/>
    </row>
    <row r="7107" spans="1:10" s="393" customFormat="1" x14ac:dyDescent="0.25">
      <c r="A7107" s="402" t="s">
        <v>43</v>
      </c>
      <c r="B7107" s="2">
        <v>44189</v>
      </c>
      <c r="C7107" s="1">
        <v>835</v>
      </c>
      <c r="D7107" s="39">
        <f t="shared" si="571"/>
        <v>168813</v>
      </c>
      <c r="E7107" s="1">
        <v>5</v>
      </c>
      <c r="F7107" s="522">
        <f t="shared" si="572"/>
        <v>5436</v>
      </c>
      <c r="G7107" s="395"/>
      <c r="H7107" s="395"/>
      <c r="J7107" s="42"/>
    </row>
    <row r="7108" spans="1:10" s="393" customFormat="1" x14ac:dyDescent="0.25">
      <c r="A7108" s="402" t="s">
        <v>28</v>
      </c>
      <c r="B7108" s="2">
        <v>44189</v>
      </c>
      <c r="C7108" s="1">
        <v>76</v>
      </c>
      <c r="D7108" s="39">
        <f t="shared" si="571"/>
        <v>2493</v>
      </c>
      <c r="E7108" s="1"/>
      <c r="F7108" s="522">
        <f t="shared" si="572"/>
        <v>17</v>
      </c>
      <c r="G7108" s="395"/>
      <c r="H7108" s="395"/>
      <c r="J7108" s="42"/>
    </row>
    <row r="7109" spans="1:10" s="393" customFormat="1" x14ac:dyDescent="0.25">
      <c r="A7109" s="402" t="s">
        <v>15</v>
      </c>
      <c r="B7109" s="2">
        <v>44189</v>
      </c>
      <c r="C7109" s="1">
        <v>176</v>
      </c>
      <c r="D7109" s="39">
        <f t="shared" si="571"/>
        <v>23624</v>
      </c>
      <c r="E7109" s="1">
        <v>3</v>
      </c>
      <c r="F7109" s="522">
        <f t="shared" si="572"/>
        <v>662</v>
      </c>
      <c r="G7109" s="395"/>
      <c r="H7109" s="395"/>
      <c r="J7109" s="42"/>
    </row>
    <row r="7110" spans="1:10" s="393" customFormat="1" x14ac:dyDescent="0.25">
      <c r="A7110" s="402" t="s">
        <v>29</v>
      </c>
      <c r="B7110" s="2">
        <v>44189</v>
      </c>
      <c r="C7110" s="1">
        <v>250</v>
      </c>
      <c r="D7110" s="39">
        <f t="shared" si="571"/>
        <v>29463</v>
      </c>
      <c r="E7110" s="1"/>
      <c r="F7110" s="522">
        <f t="shared" si="572"/>
        <v>486</v>
      </c>
      <c r="G7110" s="395"/>
      <c r="H7110" s="395"/>
      <c r="J7110" s="42"/>
    </row>
    <row r="7111" spans="1:10" s="393" customFormat="1" x14ac:dyDescent="0.25">
      <c r="A7111" s="402" t="s">
        <v>20</v>
      </c>
      <c r="B7111" s="2">
        <v>44189</v>
      </c>
      <c r="C7111" s="1">
        <v>660</v>
      </c>
      <c r="D7111" s="39">
        <f t="shared" si="571"/>
        <v>124545</v>
      </c>
      <c r="E7111" s="1">
        <v>15</v>
      </c>
      <c r="F7111" s="522">
        <f t="shared" si="572"/>
        <v>2445</v>
      </c>
      <c r="G7111" s="395"/>
      <c r="H7111" s="395"/>
      <c r="J7111" s="42"/>
    </row>
    <row r="7112" spans="1:10" s="393" customFormat="1" x14ac:dyDescent="0.25">
      <c r="A7112" s="402" t="s">
        <v>30</v>
      </c>
      <c r="B7112" s="2">
        <v>44189</v>
      </c>
      <c r="C7112" s="1">
        <v>56</v>
      </c>
      <c r="D7112" s="39">
        <f t="shared" si="571"/>
        <v>11089</v>
      </c>
      <c r="E7112" s="1">
        <v>2</v>
      </c>
      <c r="F7112" s="522">
        <f t="shared" si="572"/>
        <v>154</v>
      </c>
      <c r="G7112" s="395"/>
      <c r="H7112" s="395"/>
      <c r="J7112" s="42"/>
    </row>
    <row r="7113" spans="1:10" x14ac:dyDescent="0.25">
      <c r="A7113" s="402" t="s">
        <v>31</v>
      </c>
      <c r="B7113" s="2">
        <v>44189</v>
      </c>
      <c r="C7113" s="1">
        <v>283</v>
      </c>
      <c r="D7113" s="39">
        <f t="shared" si="571"/>
        <v>27704</v>
      </c>
      <c r="E7113" s="1">
        <v>2</v>
      </c>
      <c r="F7113" s="522">
        <f t="shared" si="572"/>
        <v>571</v>
      </c>
    </row>
    <row r="7114" spans="1:10" s="393" customFormat="1" x14ac:dyDescent="0.25">
      <c r="A7114" s="402" t="s">
        <v>41</v>
      </c>
      <c r="B7114" s="2">
        <v>44189</v>
      </c>
      <c r="C7114" s="1">
        <v>1</v>
      </c>
      <c r="D7114" s="39">
        <f t="shared" si="571"/>
        <v>213</v>
      </c>
      <c r="E7114" s="1"/>
      <c r="F7114" s="522">
        <f t="shared" si="572"/>
        <v>3</v>
      </c>
      <c r="G7114" s="395"/>
      <c r="H7114" s="395"/>
      <c r="J7114" s="42"/>
    </row>
    <row r="7115" spans="1:10" s="393" customFormat="1" x14ac:dyDescent="0.25">
      <c r="A7115" s="402" t="s">
        <v>32</v>
      </c>
      <c r="B7115" s="2">
        <v>44189</v>
      </c>
      <c r="C7115" s="1">
        <v>3</v>
      </c>
      <c r="D7115" s="39">
        <f t="shared" si="571"/>
        <v>18494</v>
      </c>
      <c r="E7115" s="1"/>
      <c r="F7115" s="522">
        <f t="shared" si="572"/>
        <v>857</v>
      </c>
      <c r="G7115" s="395"/>
      <c r="H7115" s="395"/>
      <c r="J7115" s="42"/>
    </row>
    <row r="7116" spans="1:10" s="393" customFormat="1" x14ac:dyDescent="0.25">
      <c r="A7116" s="402" t="s">
        <v>33</v>
      </c>
      <c r="B7116" s="2">
        <v>44189</v>
      </c>
      <c r="C7116" s="1">
        <v>276</v>
      </c>
      <c r="D7116" s="39">
        <f t="shared" si="571"/>
        <v>9195</v>
      </c>
      <c r="E7116" s="1"/>
      <c r="F7116" s="522">
        <f t="shared" si="572"/>
        <v>116</v>
      </c>
      <c r="G7116" s="395"/>
      <c r="H7116" s="395"/>
      <c r="J7116" s="42"/>
    </row>
    <row r="7117" spans="1:10" s="393" customFormat="1" x14ac:dyDescent="0.25">
      <c r="A7117" s="402" t="s">
        <v>21</v>
      </c>
      <c r="B7117" s="2">
        <v>44189</v>
      </c>
      <c r="C7117" s="1">
        <v>10</v>
      </c>
      <c r="D7117" s="39">
        <f t="shared" si="571"/>
        <v>9050</v>
      </c>
      <c r="E7117" s="1">
        <v>13</v>
      </c>
      <c r="F7117" s="522">
        <f t="shared" si="572"/>
        <v>374</v>
      </c>
      <c r="G7117" s="395"/>
      <c r="H7117" s="395"/>
      <c r="J7117" s="42"/>
    </row>
    <row r="7118" spans="1:10" s="393" customFormat="1" x14ac:dyDescent="0.25">
      <c r="A7118" s="402" t="s">
        <v>17</v>
      </c>
      <c r="B7118" s="2">
        <v>44189</v>
      </c>
      <c r="C7118" s="1">
        <v>111</v>
      </c>
      <c r="D7118" s="39">
        <f t="shared" si="571"/>
        <v>59483</v>
      </c>
      <c r="E7118" s="1"/>
      <c r="F7118" s="522">
        <f t="shared" si="572"/>
        <v>1218</v>
      </c>
      <c r="G7118" s="395"/>
      <c r="H7118" s="395"/>
      <c r="J7118" s="42"/>
    </row>
    <row r="7119" spans="1:10" s="393" customFormat="1" x14ac:dyDescent="0.25">
      <c r="A7119" s="402" t="s">
        <v>23</v>
      </c>
      <c r="B7119" s="2">
        <v>44189</v>
      </c>
      <c r="C7119" s="1">
        <v>4</v>
      </c>
      <c r="D7119" s="39">
        <f t="shared" si="571"/>
        <v>900</v>
      </c>
      <c r="E7119" s="1"/>
      <c r="F7119" s="522">
        <f t="shared" si="572"/>
        <v>11</v>
      </c>
      <c r="G7119" s="395"/>
      <c r="H7119" s="395"/>
      <c r="J7119" s="42"/>
    </row>
    <row r="7120" spans="1:10" s="393" customFormat="1" x14ac:dyDescent="0.25">
      <c r="A7120" s="402" t="s">
        <v>19</v>
      </c>
      <c r="B7120" s="2">
        <v>44189</v>
      </c>
      <c r="C7120" s="1">
        <v>225</v>
      </c>
      <c r="D7120" s="39">
        <f t="shared" si="571"/>
        <v>39102</v>
      </c>
      <c r="E7120" s="1"/>
      <c r="F7120" s="522">
        <f t="shared" si="572"/>
        <v>688</v>
      </c>
      <c r="G7120" s="395"/>
      <c r="H7120" s="395"/>
      <c r="J7120" s="42"/>
    </row>
    <row r="7121" spans="1:10" s="393" customFormat="1" x14ac:dyDescent="0.25">
      <c r="A7121" s="402" t="s">
        <v>18</v>
      </c>
      <c r="B7121" s="2">
        <v>44189</v>
      </c>
      <c r="C7121" s="1">
        <v>234</v>
      </c>
      <c r="D7121" s="39">
        <f t="shared" si="571"/>
        <v>36862</v>
      </c>
      <c r="E7121" s="1">
        <v>3</v>
      </c>
      <c r="F7121" s="522">
        <f t="shared" si="572"/>
        <v>880</v>
      </c>
      <c r="G7121" s="395"/>
      <c r="H7121" s="395"/>
      <c r="J7121" s="42"/>
    </row>
    <row r="7122" spans="1:10" s="393" customFormat="1" x14ac:dyDescent="0.25">
      <c r="A7122" s="402" t="s">
        <v>34</v>
      </c>
      <c r="B7122" s="2">
        <v>44189</v>
      </c>
      <c r="C7122" s="1">
        <v>67</v>
      </c>
      <c r="D7122" s="39">
        <f t="shared" si="571"/>
        <v>22134</v>
      </c>
      <c r="E7122" s="1">
        <v>1</v>
      </c>
      <c r="F7122" s="522">
        <f t="shared" si="572"/>
        <v>1013</v>
      </c>
      <c r="G7122" s="395"/>
      <c r="H7122" s="395"/>
      <c r="J7122" s="42"/>
    </row>
    <row r="7123" spans="1:10" s="393" customFormat="1" x14ac:dyDescent="0.25">
      <c r="A7123" s="402" t="s">
        <v>35</v>
      </c>
      <c r="B7123" s="2">
        <v>44189</v>
      </c>
      <c r="C7123" s="1">
        <v>64</v>
      </c>
      <c r="D7123" s="39">
        <f t="shared" si="571"/>
        <v>10876</v>
      </c>
      <c r="E7123" s="1"/>
      <c r="F7123" s="522">
        <f t="shared" si="572"/>
        <v>196</v>
      </c>
      <c r="G7123" s="395"/>
      <c r="H7123" s="395"/>
      <c r="J7123" s="42"/>
    </row>
    <row r="7124" spans="1:10" s="393" customFormat="1" x14ac:dyDescent="0.25">
      <c r="A7124" s="402" t="s">
        <v>36</v>
      </c>
      <c r="B7124" s="2">
        <v>44189</v>
      </c>
      <c r="C7124" s="1">
        <v>22</v>
      </c>
      <c r="D7124" s="39">
        <f t="shared" si="571"/>
        <v>15985</v>
      </c>
      <c r="E7124" s="1">
        <v>1</v>
      </c>
      <c r="F7124" s="522">
        <f t="shared" si="572"/>
        <v>293</v>
      </c>
      <c r="G7124" s="395"/>
      <c r="H7124" s="395"/>
      <c r="J7124" s="42"/>
    </row>
    <row r="7125" spans="1:10" s="393" customFormat="1" x14ac:dyDescent="0.25">
      <c r="A7125" s="402" t="s">
        <v>37</v>
      </c>
      <c r="B7125" s="2">
        <v>44189</v>
      </c>
      <c r="C7125" s="1">
        <v>290</v>
      </c>
      <c r="D7125" s="39">
        <f t="shared" si="571"/>
        <v>21746</v>
      </c>
      <c r="E7125" s="1">
        <v>2</v>
      </c>
      <c r="F7125" s="522">
        <f t="shared" si="572"/>
        <v>360</v>
      </c>
      <c r="G7125" s="395"/>
      <c r="H7125" s="395"/>
      <c r="J7125" s="42"/>
    </row>
    <row r="7126" spans="1:10" s="393" customFormat="1" x14ac:dyDescent="0.25">
      <c r="A7126" s="402" t="s">
        <v>22</v>
      </c>
      <c r="B7126" s="2">
        <v>44189</v>
      </c>
      <c r="C7126" s="1">
        <v>1038</v>
      </c>
      <c r="D7126" s="39">
        <f t="shared" si="571"/>
        <v>170713</v>
      </c>
      <c r="E7126" s="1">
        <v>13</v>
      </c>
      <c r="F7126" s="522">
        <f t="shared" si="572"/>
        <v>2810</v>
      </c>
      <c r="G7126" s="395"/>
      <c r="H7126" s="395"/>
      <c r="J7126" s="42"/>
    </row>
    <row r="7127" spans="1:10" s="393" customFormat="1" x14ac:dyDescent="0.25">
      <c r="A7127" s="402" t="s">
        <v>38</v>
      </c>
      <c r="B7127" s="2">
        <v>44189</v>
      </c>
      <c r="C7127" s="1">
        <v>73</v>
      </c>
      <c r="D7127" s="39">
        <f t="shared" si="571"/>
        <v>16955</v>
      </c>
      <c r="E7127" s="1"/>
      <c r="F7127" s="522">
        <f t="shared" si="572"/>
        <v>214</v>
      </c>
      <c r="G7127" s="395"/>
      <c r="H7127" s="395"/>
      <c r="J7127" s="42"/>
    </row>
    <row r="7128" spans="1:10" s="393" customFormat="1" x14ac:dyDescent="0.25">
      <c r="A7128" s="402" t="s">
        <v>39</v>
      </c>
      <c r="B7128" s="2">
        <v>44189</v>
      </c>
      <c r="C7128" s="1">
        <v>71</v>
      </c>
      <c r="D7128" s="39">
        <f t="shared" si="571"/>
        <v>18436</v>
      </c>
      <c r="E7128" s="1"/>
      <c r="F7128" s="522">
        <f t="shared" si="572"/>
        <v>246</v>
      </c>
      <c r="G7128" s="395"/>
      <c r="H7128" s="395"/>
      <c r="J7128" s="42"/>
    </row>
    <row r="7129" spans="1:10" s="393" customFormat="1" ht="15.75" thickBot="1" x14ac:dyDescent="0.3">
      <c r="A7129" s="404" t="s">
        <v>40</v>
      </c>
      <c r="B7129" s="2">
        <v>44189</v>
      </c>
      <c r="C7129" s="1">
        <v>113</v>
      </c>
      <c r="D7129" s="177">
        <f t="shared" si="571"/>
        <v>70256</v>
      </c>
      <c r="E7129" s="1">
        <v>1</v>
      </c>
      <c r="F7129" s="631">
        <f t="shared" si="572"/>
        <v>1334</v>
      </c>
      <c r="G7129" s="395"/>
      <c r="H7129" s="395"/>
      <c r="J7129" s="42"/>
    </row>
    <row r="7130" spans="1:10" s="393" customFormat="1" x14ac:dyDescent="0.25">
      <c r="A7130" s="397" t="s">
        <v>16</v>
      </c>
      <c r="B7130" s="2">
        <v>44190</v>
      </c>
      <c r="C7130" s="1">
        <v>1102</v>
      </c>
      <c r="D7130" s="175">
        <f t="shared" si="571"/>
        <v>664651</v>
      </c>
      <c r="E7130" s="1">
        <v>2</v>
      </c>
      <c r="F7130" s="630">
        <f t="shared" si="572"/>
        <v>21948</v>
      </c>
      <c r="G7130" s="395"/>
      <c r="H7130" s="395"/>
      <c r="J7130" s="42"/>
    </row>
    <row r="7131" spans="1:10" s="393" customFormat="1" x14ac:dyDescent="0.25">
      <c r="A7131" s="402" t="s">
        <v>43</v>
      </c>
      <c r="B7131" s="2">
        <v>44190</v>
      </c>
      <c r="C7131" s="1">
        <v>411</v>
      </c>
      <c r="D7131" s="39">
        <f t="shared" si="571"/>
        <v>169224</v>
      </c>
      <c r="E7131" s="1">
        <v>12</v>
      </c>
      <c r="F7131" s="522">
        <f t="shared" si="572"/>
        <v>5448</v>
      </c>
      <c r="G7131" s="395"/>
      <c r="H7131" s="395"/>
      <c r="J7131" s="42"/>
    </row>
    <row r="7132" spans="1:10" s="393" customFormat="1" x14ac:dyDescent="0.25">
      <c r="A7132" s="402" t="s">
        <v>28</v>
      </c>
      <c r="B7132" s="2">
        <v>44190</v>
      </c>
      <c r="C7132" s="1">
        <v>14</v>
      </c>
      <c r="D7132" s="39">
        <f t="shared" si="571"/>
        <v>2507</v>
      </c>
      <c r="E7132" s="1"/>
      <c r="F7132" s="522">
        <f t="shared" si="572"/>
        <v>17</v>
      </c>
      <c r="G7132" s="395"/>
      <c r="H7132" s="395"/>
      <c r="J7132" s="42"/>
    </row>
    <row r="7133" spans="1:10" s="393" customFormat="1" x14ac:dyDescent="0.25">
      <c r="A7133" s="402" t="s">
        <v>15</v>
      </c>
      <c r="B7133" s="2">
        <v>44190</v>
      </c>
      <c r="C7133" s="1">
        <v>90</v>
      </c>
      <c r="D7133" s="39">
        <f t="shared" si="571"/>
        <v>23714</v>
      </c>
      <c r="E7133" s="1">
        <v>7</v>
      </c>
      <c r="F7133" s="522">
        <f t="shared" si="572"/>
        <v>669</v>
      </c>
      <c r="G7133" s="395"/>
      <c r="H7133" s="395"/>
      <c r="J7133" s="42"/>
    </row>
    <row r="7134" spans="1:10" s="393" customFormat="1" x14ac:dyDescent="0.25">
      <c r="A7134" s="402" t="s">
        <v>29</v>
      </c>
      <c r="B7134" s="2">
        <v>44190</v>
      </c>
      <c r="C7134" s="1">
        <v>48</v>
      </c>
      <c r="D7134" s="39">
        <f t="shared" si="571"/>
        <v>29511</v>
      </c>
      <c r="E7134" s="1"/>
      <c r="F7134" s="522">
        <f t="shared" si="572"/>
        <v>486</v>
      </c>
      <c r="G7134" s="395"/>
      <c r="H7134" s="395"/>
      <c r="J7134" s="42"/>
    </row>
    <row r="7135" spans="1:10" s="393" customFormat="1" x14ac:dyDescent="0.25">
      <c r="A7135" s="402" t="s">
        <v>20</v>
      </c>
      <c r="B7135" s="2">
        <v>44190</v>
      </c>
      <c r="C7135" s="1">
        <v>158</v>
      </c>
      <c r="D7135" s="39">
        <f t="shared" si="571"/>
        <v>124703</v>
      </c>
      <c r="E7135" s="1">
        <v>3</v>
      </c>
      <c r="F7135" s="522">
        <f t="shared" si="572"/>
        <v>2448</v>
      </c>
      <c r="G7135" s="395"/>
      <c r="H7135" s="395"/>
      <c r="J7135" s="42"/>
    </row>
    <row r="7136" spans="1:10" s="393" customFormat="1" x14ac:dyDescent="0.25">
      <c r="A7136" s="402" t="s">
        <v>30</v>
      </c>
      <c r="B7136" s="2">
        <v>44190</v>
      </c>
      <c r="C7136" s="1">
        <v>35</v>
      </c>
      <c r="D7136" s="39">
        <f t="shared" si="571"/>
        <v>11124</v>
      </c>
      <c r="E7136" s="1"/>
      <c r="F7136" s="522">
        <f t="shared" si="572"/>
        <v>154</v>
      </c>
      <c r="G7136" s="395"/>
      <c r="H7136" s="395"/>
      <c r="J7136" s="42"/>
    </row>
    <row r="7137" spans="1:10" x14ac:dyDescent="0.25">
      <c r="A7137" s="402" t="s">
        <v>31</v>
      </c>
      <c r="B7137" s="2">
        <v>44190</v>
      </c>
      <c r="C7137" s="1">
        <v>134</v>
      </c>
      <c r="D7137" s="39">
        <f t="shared" si="571"/>
        <v>27838</v>
      </c>
      <c r="F7137" s="522">
        <f t="shared" si="572"/>
        <v>571</v>
      </c>
    </row>
    <row r="7138" spans="1:10" s="393" customFormat="1" x14ac:dyDescent="0.25">
      <c r="A7138" s="402" t="s">
        <v>41</v>
      </c>
      <c r="B7138" s="2">
        <v>44190</v>
      </c>
      <c r="C7138" s="1">
        <v>0</v>
      </c>
      <c r="D7138" s="39">
        <f t="shared" si="571"/>
        <v>213</v>
      </c>
      <c r="E7138" s="1"/>
      <c r="F7138" s="522">
        <f t="shared" si="572"/>
        <v>3</v>
      </c>
      <c r="G7138" s="395"/>
      <c r="H7138" s="395"/>
      <c r="J7138" s="42"/>
    </row>
    <row r="7139" spans="1:10" s="393" customFormat="1" x14ac:dyDescent="0.25">
      <c r="A7139" s="402" t="s">
        <v>32</v>
      </c>
      <c r="B7139" s="2">
        <v>44190</v>
      </c>
      <c r="C7139" s="1">
        <v>4</v>
      </c>
      <c r="D7139" s="39">
        <f t="shared" ref="D7139:D7202" si="573">C7139+D7115</f>
        <v>18498</v>
      </c>
      <c r="E7139" s="1"/>
      <c r="F7139" s="522">
        <f t="shared" ref="F7139:F7202" si="574">E7139+F7115</f>
        <v>857</v>
      </c>
      <c r="G7139" s="395"/>
      <c r="H7139" s="395"/>
      <c r="J7139" s="42"/>
    </row>
    <row r="7140" spans="1:10" s="393" customFormat="1" x14ac:dyDescent="0.25">
      <c r="A7140" s="402" t="s">
        <v>33</v>
      </c>
      <c r="B7140" s="2">
        <v>44190</v>
      </c>
      <c r="C7140" s="1">
        <v>140</v>
      </c>
      <c r="D7140" s="39">
        <f t="shared" si="573"/>
        <v>9335</v>
      </c>
      <c r="E7140" s="1"/>
      <c r="F7140" s="522">
        <f t="shared" si="574"/>
        <v>116</v>
      </c>
      <c r="G7140" s="395"/>
      <c r="H7140" s="395"/>
      <c r="J7140" s="42"/>
    </row>
    <row r="7141" spans="1:10" s="393" customFormat="1" x14ac:dyDescent="0.25">
      <c r="A7141" s="402" t="s">
        <v>21</v>
      </c>
      <c r="B7141" s="2">
        <v>44190</v>
      </c>
      <c r="C7141" s="1">
        <v>7</v>
      </c>
      <c r="D7141" s="39">
        <f t="shared" si="573"/>
        <v>9057</v>
      </c>
      <c r="E7141" s="1">
        <v>5</v>
      </c>
      <c r="F7141" s="522">
        <f t="shared" si="574"/>
        <v>379</v>
      </c>
      <c r="G7141" s="395"/>
      <c r="H7141" s="395"/>
      <c r="J7141" s="42"/>
    </row>
    <row r="7142" spans="1:10" s="393" customFormat="1" x14ac:dyDescent="0.25">
      <c r="A7142" s="402" t="s">
        <v>17</v>
      </c>
      <c r="B7142" s="2">
        <v>44190</v>
      </c>
      <c r="C7142" s="1">
        <v>22</v>
      </c>
      <c r="D7142" s="39">
        <f t="shared" si="573"/>
        <v>59505</v>
      </c>
      <c r="E7142" s="1"/>
      <c r="F7142" s="522">
        <f t="shared" si="574"/>
        <v>1218</v>
      </c>
      <c r="G7142" s="395"/>
      <c r="H7142" s="395"/>
      <c r="J7142" s="42"/>
    </row>
    <row r="7143" spans="1:10" s="393" customFormat="1" x14ac:dyDescent="0.25">
      <c r="A7143" s="402" t="s">
        <v>23</v>
      </c>
      <c r="B7143" s="2">
        <v>44190</v>
      </c>
      <c r="C7143" s="1">
        <v>45</v>
      </c>
      <c r="D7143" s="39">
        <f t="shared" si="573"/>
        <v>945</v>
      </c>
      <c r="E7143" s="1"/>
      <c r="F7143" s="522">
        <f t="shared" si="574"/>
        <v>11</v>
      </c>
      <c r="G7143" s="395"/>
      <c r="H7143" s="395"/>
      <c r="J7143" s="42"/>
    </row>
    <row r="7144" spans="1:10" s="393" customFormat="1" x14ac:dyDescent="0.25">
      <c r="A7144" s="402" t="s">
        <v>19</v>
      </c>
      <c r="B7144" s="2">
        <v>44190</v>
      </c>
      <c r="C7144" s="1">
        <v>79</v>
      </c>
      <c r="D7144" s="39">
        <f t="shared" si="573"/>
        <v>39181</v>
      </c>
      <c r="E7144" s="1"/>
      <c r="F7144" s="522">
        <f t="shared" si="574"/>
        <v>688</v>
      </c>
      <c r="G7144" s="395"/>
      <c r="H7144" s="395"/>
      <c r="J7144" s="42"/>
    </row>
    <row r="7145" spans="1:10" s="393" customFormat="1" x14ac:dyDescent="0.25">
      <c r="A7145" s="402" t="s">
        <v>18</v>
      </c>
      <c r="B7145" s="2">
        <v>44190</v>
      </c>
      <c r="C7145" s="1">
        <v>89</v>
      </c>
      <c r="D7145" s="39">
        <f t="shared" si="573"/>
        <v>36951</v>
      </c>
      <c r="E7145" s="1">
        <v>1</v>
      </c>
      <c r="F7145" s="522">
        <f t="shared" si="574"/>
        <v>881</v>
      </c>
      <c r="G7145" s="395"/>
      <c r="H7145" s="395"/>
      <c r="J7145" s="42"/>
    </row>
    <row r="7146" spans="1:10" s="393" customFormat="1" x14ac:dyDescent="0.25">
      <c r="A7146" s="402" t="s">
        <v>34</v>
      </c>
      <c r="B7146" s="2">
        <v>44190</v>
      </c>
      <c r="C7146" s="1">
        <v>12</v>
      </c>
      <c r="D7146" s="39">
        <f t="shared" si="573"/>
        <v>22146</v>
      </c>
      <c r="E7146" s="1"/>
      <c r="F7146" s="522">
        <f t="shared" si="574"/>
        <v>1013</v>
      </c>
      <c r="G7146" s="395"/>
      <c r="H7146" s="395"/>
      <c r="J7146" s="42"/>
    </row>
    <row r="7147" spans="1:10" s="393" customFormat="1" x14ac:dyDescent="0.25">
      <c r="A7147" s="402" t="s">
        <v>35</v>
      </c>
      <c r="B7147" s="2">
        <v>44190</v>
      </c>
      <c r="C7147" s="1">
        <v>2</v>
      </c>
      <c r="D7147" s="39">
        <f t="shared" si="573"/>
        <v>10878</v>
      </c>
      <c r="E7147" s="1"/>
      <c r="F7147" s="522">
        <f t="shared" si="574"/>
        <v>196</v>
      </c>
      <c r="G7147" s="395"/>
      <c r="H7147" s="395"/>
      <c r="J7147" s="42"/>
    </row>
    <row r="7148" spans="1:10" s="393" customFormat="1" x14ac:dyDescent="0.25">
      <c r="A7148" s="402" t="s">
        <v>36</v>
      </c>
      <c r="B7148" s="2">
        <v>44190</v>
      </c>
      <c r="C7148" s="1">
        <v>3</v>
      </c>
      <c r="D7148" s="39">
        <f t="shared" si="573"/>
        <v>15988</v>
      </c>
      <c r="E7148" s="1"/>
      <c r="F7148" s="522">
        <f t="shared" si="574"/>
        <v>293</v>
      </c>
      <c r="G7148" s="395"/>
      <c r="H7148" s="395"/>
      <c r="J7148" s="42"/>
    </row>
    <row r="7149" spans="1:10" s="393" customFormat="1" x14ac:dyDescent="0.25">
      <c r="A7149" s="402" t="s">
        <v>37</v>
      </c>
      <c r="B7149" s="2">
        <v>44190</v>
      </c>
      <c r="C7149" s="1">
        <v>92</v>
      </c>
      <c r="D7149" s="39">
        <f t="shared" si="573"/>
        <v>21838</v>
      </c>
      <c r="E7149" s="1"/>
      <c r="F7149" s="522">
        <f t="shared" si="574"/>
        <v>360</v>
      </c>
      <c r="G7149" s="395"/>
      <c r="H7149" s="395"/>
      <c r="J7149" s="42"/>
    </row>
    <row r="7150" spans="1:10" s="393" customFormat="1" x14ac:dyDescent="0.25">
      <c r="A7150" s="402" t="s">
        <v>22</v>
      </c>
      <c r="B7150" s="2">
        <v>44190</v>
      </c>
      <c r="C7150" s="1">
        <v>228</v>
      </c>
      <c r="D7150" s="39">
        <f t="shared" si="573"/>
        <v>170941</v>
      </c>
      <c r="E7150" s="1"/>
      <c r="F7150" s="522">
        <f t="shared" si="574"/>
        <v>2810</v>
      </c>
      <c r="G7150" s="395"/>
      <c r="H7150" s="395"/>
      <c r="J7150" s="42"/>
    </row>
    <row r="7151" spans="1:10" s="393" customFormat="1" x14ac:dyDescent="0.25">
      <c r="A7151" s="402" t="s">
        <v>38</v>
      </c>
      <c r="B7151" s="2">
        <v>44190</v>
      </c>
      <c r="C7151" s="1">
        <v>45</v>
      </c>
      <c r="D7151" s="39">
        <f t="shared" si="573"/>
        <v>17000</v>
      </c>
      <c r="E7151" s="1"/>
      <c r="F7151" s="522">
        <f t="shared" si="574"/>
        <v>214</v>
      </c>
      <c r="G7151" s="395"/>
      <c r="H7151" s="395"/>
      <c r="J7151" s="42"/>
    </row>
    <row r="7152" spans="1:10" s="393" customFormat="1" x14ac:dyDescent="0.25">
      <c r="A7152" s="402" t="s">
        <v>39</v>
      </c>
      <c r="B7152" s="2">
        <v>44190</v>
      </c>
      <c r="C7152" s="1">
        <v>91</v>
      </c>
      <c r="D7152" s="39">
        <f t="shared" si="573"/>
        <v>18527</v>
      </c>
      <c r="E7152" s="1"/>
      <c r="F7152" s="522">
        <f t="shared" si="574"/>
        <v>246</v>
      </c>
      <c r="G7152" s="395"/>
      <c r="H7152" s="395"/>
      <c r="J7152" s="42"/>
    </row>
    <row r="7153" spans="1:10" s="393" customFormat="1" ht="15.75" thickBot="1" x14ac:dyDescent="0.3">
      <c r="A7153" s="404" t="s">
        <v>40</v>
      </c>
      <c r="B7153" s="2">
        <v>44190</v>
      </c>
      <c r="C7153" s="1">
        <v>23</v>
      </c>
      <c r="D7153" s="177">
        <f t="shared" si="573"/>
        <v>70279</v>
      </c>
      <c r="E7153" s="1"/>
      <c r="F7153" s="631">
        <f t="shared" si="574"/>
        <v>1334</v>
      </c>
      <c r="G7153" s="395"/>
      <c r="H7153" s="395"/>
      <c r="J7153" s="42"/>
    </row>
    <row r="7154" spans="1:10" s="393" customFormat="1" x14ac:dyDescent="0.25">
      <c r="A7154" s="397" t="s">
        <v>16</v>
      </c>
      <c r="B7154" s="2">
        <v>44191</v>
      </c>
      <c r="C7154" s="1">
        <v>1343</v>
      </c>
      <c r="D7154" s="175">
        <f t="shared" si="573"/>
        <v>665994</v>
      </c>
      <c r="E7154" s="1">
        <v>39</v>
      </c>
      <c r="F7154" s="630">
        <f t="shared" si="574"/>
        <v>21987</v>
      </c>
      <c r="G7154" s="395"/>
      <c r="H7154" s="395"/>
      <c r="J7154" s="42"/>
    </row>
    <row r="7155" spans="1:10" s="393" customFormat="1" x14ac:dyDescent="0.25">
      <c r="A7155" s="402" t="s">
        <v>43</v>
      </c>
      <c r="B7155" s="2">
        <v>44191</v>
      </c>
      <c r="C7155" s="1">
        <v>375</v>
      </c>
      <c r="D7155" s="39">
        <f t="shared" si="573"/>
        <v>169599</v>
      </c>
      <c r="E7155" s="1">
        <v>2</v>
      </c>
      <c r="F7155" s="522">
        <f t="shared" si="574"/>
        <v>5450</v>
      </c>
      <c r="G7155" s="395"/>
      <c r="H7155" s="395"/>
      <c r="J7155" s="42"/>
    </row>
    <row r="7156" spans="1:10" s="393" customFormat="1" x14ac:dyDescent="0.25">
      <c r="A7156" s="402" t="s">
        <v>28</v>
      </c>
      <c r="B7156" s="2">
        <v>44191</v>
      </c>
      <c r="C7156" s="1">
        <v>23</v>
      </c>
      <c r="D7156" s="39">
        <f t="shared" si="573"/>
        <v>2530</v>
      </c>
      <c r="E7156" s="1"/>
      <c r="F7156" s="522">
        <f t="shared" si="574"/>
        <v>17</v>
      </c>
      <c r="G7156" s="395"/>
      <c r="H7156" s="395"/>
      <c r="J7156" s="42"/>
    </row>
    <row r="7157" spans="1:10" s="393" customFormat="1" x14ac:dyDescent="0.25">
      <c r="A7157" s="402" t="s">
        <v>15</v>
      </c>
      <c r="B7157" s="2">
        <v>44191</v>
      </c>
      <c r="C7157" s="1">
        <v>63</v>
      </c>
      <c r="D7157" s="39">
        <f t="shared" si="573"/>
        <v>23777</v>
      </c>
      <c r="E7157" s="1">
        <v>4</v>
      </c>
      <c r="F7157" s="522">
        <f t="shared" si="574"/>
        <v>673</v>
      </c>
      <c r="G7157" s="395"/>
      <c r="H7157" s="395"/>
      <c r="J7157" s="42"/>
    </row>
    <row r="7158" spans="1:10" s="393" customFormat="1" x14ac:dyDescent="0.25">
      <c r="A7158" s="402" t="s">
        <v>29</v>
      </c>
      <c r="B7158" s="2">
        <v>44191</v>
      </c>
      <c r="C7158" s="1">
        <v>215</v>
      </c>
      <c r="D7158" s="39">
        <f t="shared" si="573"/>
        <v>29726</v>
      </c>
      <c r="E7158" s="1"/>
      <c r="F7158" s="522">
        <f t="shared" si="574"/>
        <v>486</v>
      </c>
      <c r="G7158" s="395"/>
      <c r="H7158" s="395"/>
      <c r="J7158" s="42"/>
    </row>
    <row r="7159" spans="1:10" s="393" customFormat="1" x14ac:dyDescent="0.25">
      <c r="A7159" s="402" t="s">
        <v>20</v>
      </c>
      <c r="B7159" s="2">
        <v>44191</v>
      </c>
      <c r="C7159" s="1">
        <v>163</v>
      </c>
      <c r="D7159" s="39">
        <f t="shared" si="573"/>
        <v>124866</v>
      </c>
      <c r="E7159" s="1">
        <v>4</v>
      </c>
      <c r="F7159" s="522">
        <f t="shared" si="574"/>
        <v>2452</v>
      </c>
      <c r="G7159" s="395"/>
      <c r="H7159" s="395"/>
      <c r="J7159" s="42"/>
    </row>
    <row r="7160" spans="1:10" s="393" customFormat="1" x14ac:dyDescent="0.25">
      <c r="A7160" s="402" t="s">
        <v>30</v>
      </c>
      <c r="B7160" s="2">
        <v>44191</v>
      </c>
      <c r="C7160" s="1">
        <v>24</v>
      </c>
      <c r="D7160" s="39">
        <f t="shared" si="573"/>
        <v>11148</v>
      </c>
      <c r="E7160" s="1">
        <v>3</v>
      </c>
      <c r="F7160" s="522">
        <f t="shared" si="574"/>
        <v>157</v>
      </c>
      <c r="G7160" s="395"/>
      <c r="H7160" s="395"/>
      <c r="J7160" s="42"/>
    </row>
    <row r="7161" spans="1:10" x14ac:dyDescent="0.25">
      <c r="A7161" s="402" t="s">
        <v>31</v>
      </c>
      <c r="B7161" s="2">
        <v>44191</v>
      </c>
      <c r="C7161" s="1">
        <v>85</v>
      </c>
      <c r="D7161" s="39">
        <f t="shared" si="573"/>
        <v>27923</v>
      </c>
      <c r="F7161" s="522">
        <f t="shared" si="574"/>
        <v>571</v>
      </c>
    </row>
    <row r="7162" spans="1:10" s="393" customFormat="1" x14ac:dyDescent="0.25">
      <c r="A7162" s="402" t="s">
        <v>41</v>
      </c>
      <c r="B7162" s="2">
        <v>44191</v>
      </c>
      <c r="C7162" s="1">
        <v>0</v>
      </c>
      <c r="D7162" s="39">
        <f t="shared" si="573"/>
        <v>213</v>
      </c>
      <c r="E7162" s="1"/>
      <c r="F7162" s="522">
        <f t="shared" si="574"/>
        <v>3</v>
      </c>
      <c r="G7162" s="395"/>
      <c r="H7162" s="395"/>
      <c r="J7162" s="42"/>
    </row>
    <row r="7163" spans="1:10" s="393" customFormat="1" x14ac:dyDescent="0.25">
      <c r="A7163" s="402" t="s">
        <v>32</v>
      </c>
      <c r="B7163" s="2">
        <v>44191</v>
      </c>
      <c r="C7163" s="1">
        <v>2</v>
      </c>
      <c r="D7163" s="39">
        <f t="shared" si="573"/>
        <v>18500</v>
      </c>
      <c r="E7163" s="1"/>
      <c r="F7163" s="522">
        <f t="shared" si="574"/>
        <v>857</v>
      </c>
      <c r="G7163" s="395"/>
      <c r="H7163" s="395"/>
      <c r="J7163" s="42"/>
    </row>
    <row r="7164" spans="1:10" s="393" customFormat="1" x14ac:dyDescent="0.25">
      <c r="A7164" s="402" t="s">
        <v>33</v>
      </c>
      <c r="B7164" s="2">
        <v>44191</v>
      </c>
      <c r="C7164" s="1">
        <v>182</v>
      </c>
      <c r="D7164" s="39">
        <f t="shared" si="573"/>
        <v>9517</v>
      </c>
      <c r="E7164" s="1"/>
      <c r="F7164" s="522">
        <f t="shared" si="574"/>
        <v>116</v>
      </c>
      <c r="G7164" s="395"/>
      <c r="H7164" s="395"/>
      <c r="J7164" s="42"/>
    </row>
    <row r="7165" spans="1:10" s="393" customFormat="1" x14ac:dyDescent="0.25">
      <c r="A7165" s="402" t="s">
        <v>21</v>
      </c>
      <c r="B7165" s="2">
        <v>44191</v>
      </c>
      <c r="C7165" s="1">
        <v>4</v>
      </c>
      <c r="D7165" s="39">
        <f t="shared" si="573"/>
        <v>9061</v>
      </c>
      <c r="E7165" s="1">
        <v>6</v>
      </c>
      <c r="F7165" s="522">
        <f t="shared" si="574"/>
        <v>385</v>
      </c>
      <c r="G7165" s="395"/>
      <c r="H7165" s="395"/>
      <c r="J7165" s="42"/>
    </row>
    <row r="7166" spans="1:10" s="393" customFormat="1" x14ac:dyDescent="0.25">
      <c r="A7166" s="402" t="s">
        <v>17</v>
      </c>
      <c r="B7166" s="2">
        <v>44191</v>
      </c>
      <c r="C7166" s="1">
        <v>53</v>
      </c>
      <c r="D7166" s="39">
        <f t="shared" si="573"/>
        <v>59558</v>
      </c>
      <c r="E7166" s="1">
        <v>1</v>
      </c>
      <c r="F7166" s="522">
        <f t="shared" si="574"/>
        <v>1219</v>
      </c>
      <c r="G7166" s="395"/>
      <c r="H7166" s="395"/>
      <c r="J7166" s="42"/>
    </row>
    <row r="7167" spans="1:10" s="393" customFormat="1" x14ac:dyDescent="0.25">
      <c r="A7167" s="402" t="s">
        <v>23</v>
      </c>
      <c r="B7167" s="2">
        <v>44191</v>
      </c>
      <c r="C7167" s="1">
        <v>43</v>
      </c>
      <c r="D7167" s="39">
        <f t="shared" si="573"/>
        <v>988</v>
      </c>
      <c r="E7167" s="1"/>
      <c r="F7167" s="522">
        <f t="shared" si="574"/>
        <v>11</v>
      </c>
      <c r="G7167" s="395"/>
      <c r="H7167" s="395"/>
      <c r="J7167" s="42"/>
    </row>
    <row r="7168" spans="1:10" s="393" customFormat="1" x14ac:dyDescent="0.25">
      <c r="A7168" s="402" t="s">
        <v>19</v>
      </c>
      <c r="B7168" s="2">
        <v>44191</v>
      </c>
      <c r="C7168" s="1">
        <v>102</v>
      </c>
      <c r="D7168" s="39">
        <f t="shared" si="573"/>
        <v>39283</v>
      </c>
      <c r="E7168" s="1"/>
      <c r="F7168" s="522">
        <f t="shared" si="574"/>
        <v>688</v>
      </c>
      <c r="G7168" s="395"/>
      <c r="H7168" s="395"/>
      <c r="J7168" s="42"/>
    </row>
    <row r="7169" spans="1:10" s="393" customFormat="1" x14ac:dyDescent="0.25">
      <c r="A7169" s="402" t="s">
        <v>18</v>
      </c>
      <c r="B7169" s="2">
        <v>44191</v>
      </c>
      <c r="C7169" s="1">
        <v>163</v>
      </c>
      <c r="D7169" s="39">
        <f t="shared" si="573"/>
        <v>37114</v>
      </c>
      <c r="E7169" s="1">
        <v>2</v>
      </c>
      <c r="F7169" s="522">
        <f t="shared" si="574"/>
        <v>883</v>
      </c>
      <c r="G7169" s="395"/>
      <c r="H7169" s="395"/>
      <c r="J7169" s="42"/>
    </row>
    <row r="7170" spans="1:10" s="393" customFormat="1" x14ac:dyDescent="0.25">
      <c r="A7170" s="402" t="s">
        <v>34</v>
      </c>
      <c r="B7170" s="2">
        <v>44191</v>
      </c>
      <c r="C7170" s="1">
        <v>25</v>
      </c>
      <c r="D7170" s="39">
        <f t="shared" si="573"/>
        <v>22171</v>
      </c>
      <c r="E7170" s="1"/>
      <c r="F7170" s="522">
        <f t="shared" si="574"/>
        <v>1013</v>
      </c>
      <c r="G7170" s="395"/>
      <c r="H7170" s="395"/>
      <c r="J7170" s="42"/>
    </row>
    <row r="7171" spans="1:10" s="393" customFormat="1" x14ac:dyDescent="0.25">
      <c r="A7171" s="402" t="s">
        <v>35</v>
      </c>
      <c r="B7171" s="2">
        <v>44191</v>
      </c>
      <c r="C7171" s="1">
        <v>12</v>
      </c>
      <c r="D7171" s="39">
        <f t="shared" si="573"/>
        <v>10890</v>
      </c>
      <c r="E7171" s="1"/>
      <c r="F7171" s="522">
        <f t="shared" si="574"/>
        <v>196</v>
      </c>
      <c r="G7171" s="395"/>
      <c r="H7171" s="395"/>
      <c r="J7171" s="42"/>
    </row>
    <row r="7172" spans="1:10" s="393" customFormat="1" x14ac:dyDescent="0.25">
      <c r="A7172" s="402" t="s">
        <v>36</v>
      </c>
      <c r="B7172" s="2">
        <v>44191</v>
      </c>
      <c r="C7172" s="1">
        <v>6</v>
      </c>
      <c r="D7172" s="39">
        <f t="shared" si="573"/>
        <v>15994</v>
      </c>
      <c r="E7172" s="1"/>
      <c r="F7172" s="522">
        <f t="shared" si="574"/>
        <v>293</v>
      </c>
      <c r="G7172" s="395"/>
      <c r="H7172" s="395"/>
      <c r="J7172" s="42"/>
    </row>
    <row r="7173" spans="1:10" s="393" customFormat="1" x14ac:dyDescent="0.25">
      <c r="A7173" s="402" t="s">
        <v>37</v>
      </c>
      <c r="B7173" s="2">
        <v>44191</v>
      </c>
      <c r="C7173" s="1">
        <v>159</v>
      </c>
      <c r="D7173" s="39">
        <f t="shared" si="573"/>
        <v>21997</v>
      </c>
      <c r="E7173" s="1">
        <v>1</v>
      </c>
      <c r="F7173" s="522">
        <f t="shared" si="574"/>
        <v>361</v>
      </c>
      <c r="G7173" s="395"/>
      <c r="H7173" s="395"/>
      <c r="J7173" s="42"/>
    </row>
    <row r="7174" spans="1:10" s="393" customFormat="1" x14ac:dyDescent="0.25">
      <c r="A7174" s="402" t="s">
        <v>22</v>
      </c>
      <c r="B7174" s="2">
        <v>44191</v>
      </c>
      <c r="C7174" s="1">
        <v>423</v>
      </c>
      <c r="D7174" s="39">
        <f t="shared" si="573"/>
        <v>171364</v>
      </c>
      <c r="E7174" s="1">
        <v>17</v>
      </c>
      <c r="F7174" s="522">
        <f t="shared" si="574"/>
        <v>2827</v>
      </c>
      <c r="G7174" s="395"/>
      <c r="H7174" s="395"/>
      <c r="J7174" s="42"/>
    </row>
    <row r="7175" spans="1:10" s="393" customFormat="1" x14ac:dyDescent="0.25">
      <c r="A7175" s="402" t="s">
        <v>38</v>
      </c>
      <c r="B7175" s="2">
        <v>44191</v>
      </c>
      <c r="C7175" s="1">
        <v>47</v>
      </c>
      <c r="D7175" s="39">
        <f t="shared" si="573"/>
        <v>17047</v>
      </c>
      <c r="E7175" s="1"/>
      <c r="F7175" s="522">
        <f t="shared" si="574"/>
        <v>214</v>
      </c>
      <c r="G7175" s="395"/>
      <c r="H7175" s="395"/>
      <c r="J7175" s="42"/>
    </row>
    <row r="7176" spans="1:10" s="393" customFormat="1" x14ac:dyDescent="0.25">
      <c r="A7176" s="402" t="s">
        <v>39</v>
      </c>
      <c r="B7176" s="2">
        <v>44191</v>
      </c>
      <c r="C7176" s="1">
        <v>124</v>
      </c>
      <c r="D7176" s="39">
        <f t="shared" si="573"/>
        <v>18651</v>
      </c>
      <c r="E7176" s="1"/>
      <c r="F7176" s="522">
        <f t="shared" si="574"/>
        <v>246</v>
      </c>
      <c r="G7176" s="395"/>
      <c r="H7176" s="395"/>
      <c r="J7176" s="42"/>
    </row>
    <row r="7177" spans="1:10" s="393" customFormat="1" ht="15.75" thickBot="1" x14ac:dyDescent="0.3">
      <c r="A7177" s="404" t="s">
        <v>40</v>
      </c>
      <c r="B7177" s="2">
        <v>44191</v>
      </c>
      <c r="C7177" s="1">
        <v>77</v>
      </c>
      <c r="D7177" s="177">
        <f t="shared" si="573"/>
        <v>70356</v>
      </c>
      <c r="E7177" s="1"/>
      <c r="F7177" s="631">
        <f t="shared" si="574"/>
        <v>1334</v>
      </c>
      <c r="G7177" s="395"/>
      <c r="H7177" s="395"/>
      <c r="J7177" s="42"/>
    </row>
    <row r="7178" spans="1:10" s="393" customFormat="1" x14ac:dyDescent="0.25">
      <c r="A7178" s="397" t="s">
        <v>16</v>
      </c>
      <c r="B7178" s="2">
        <v>44192</v>
      </c>
      <c r="C7178" s="1">
        <v>1996</v>
      </c>
      <c r="D7178" s="175">
        <f t="shared" si="573"/>
        <v>667990</v>
      </c>
      <c r="E7178" s="1">
        <v>111</v>
      </c>
      <c r="F7178" s="630">
        <f t="shared" si="574"/>
        <v>22098</v>
      </c>
      <c r="G7178" s="395"/>
      <c r="H7178" s="395"/>
      <c r="J7178" s="42"/>
    </row>
    <row r="7179" spans="1:10" s="393" customFormat="1" x14ac:dyDescent="0.25">
      <c r="A7179" s="402" t="s">
        <v>43</v>
      </c>
      <c r="B7179" s="2">
        <v>44192</v>
      </c>
      <c r="C7179" s="1">
        <v>728</v>
      </c>
      <c r="D7179" s="39">
        <f t="shared" si="573"/>
        <v>170327</v>
      </c>
      <c r="E7179" s="1">
        <v>3</v>
      </c>
      <c r="F7179" s="522">
        <f t="shared" si="574"/>
        <v>5453</v>
      </c>
      <c r="G7179" s="395"/>
      <c r="H7179" s="395"/>
      <c r="J7179" s="42"/>
    </row>
    <row r="7180" spans="1:10" s="393" customFormat="1" x14ac:dyDescent="0.25">
      <c r="A7180" s="402" t="s">
        <v>28</v>
      </c>
      <c r="B7180" s="2">
        <v>44192</v>
      </c>
      <c r="C7180" s="1">
        <v>46</v>
      </c>
      <c r="D7180" s="39">
        <f t="shared" si="573"/>
        <v>2576</v>
      </c>
      <c r="E7180" s="1"/>
      <c r="F7180" s="522">
        <f t="shared" si="574"/>
        <v>17</v>
      </c>
      <c r="G7180" s="395"/>
      <c r="H7180" s="395"/>
      <c r="J7180" s="42"/>
    </row>
    <row r="7181" spans="1:10" s="393" customFormat="1" x14ac:dyDescent="0.25">
      <c r="A7181" s="402" t="s">
        <v>15</v>
      </c>
      <c r="B7181" s="2">
        <v>44192</v>
      </c>
      <c r="C7181" s="1">
        <v>70</v>
      </c>
      <c r="D7181" s="39">
        <f t="shared" si="573"/>
        <v>23847</v>
      </c>
      <c r="E7181" s="1">
        <v>1</v>
      </c>
      <c r="F7181" s="522">
        <f t="shared" si="574"/>
        <v>674</v>
      </c>
      <c r="G7181" s="395"/>
      <c r="H7181" s="395"/>
      <c r="J7181" s="42"/>
    </row>
    <row r="7182" spans="1:10" s="393" customFormat="1" x14ac:dyDescent="0.25">
      <c r="A7182" s="402" t="s">
        <v>29</v>
      </c>
      <c r="B7182" s="2">
        <v>44192</v>
      </c>
      <c r="C7182" s="1">
        <v>155</v>
      </c>
      <c r="D7182" s="39">
        <f t="shared" si="573"/>
        <v>29881</v>
      </c>
      <c r="E7182" s="1">
        <v>1</v>
      </c>
      <c r="F7182" s="522">
        <f t="shared" si="574"/>
        <v>487</v>
      </c>
      <c r="G7182" s="395"/>
      <c r="H7182" s="395"/>
      <c r="J7182" s="42"/>
    </row>
    <row r="7183" spans="1:10" s="393" customFormat="1" x14ac:dyDescent="0.25">
      <c r="A7183" s="402" t="s">
        <v>20</v>
      </c>
      <c r="B7183" s="2">
        <v>44192</v>
      </c>
      <c r="C7183" s="1">
        <v>227</v>
      </c>
      <c r="D7183" s="39">
        <f t="shared" si="573"/>
        <v>125093</v>
      </c>
      <c r="E7183" s="1"/>
      <c r="F7183" s="522">
        <f t="shared" si="574"/>
        <v>2452</v>
      </c>
      <c r="G7183" s="395"/>
      <c r="H7183" s="395"/>
      <c r="J7183" s="42"/>
    </row>
    <row r="7184" spans="1:10" s="393" customFormat="1" x14ac:dyDescent="0.25">
      <c r="A7184" s="402" t="s">
        <v>30</v>
      </c>
      <c r="B7184" s="2">
        <v>44192</v>
      </c>
      <c r="C7184" s="1">
        <v>235</v>
      </c>
      <c r="D7184" s="39">
        <f t="shared" si="573"/>
        <v>11383</v>
      </c>
      <c r="E7184" s="1"/>
      <c r="F7184" s="522">
        <f t="shared" si="574"/>
        <v>157</v>
      </c>
      <c r="G7184" s="395"/>
      <c r="H7184" s="395"/>
      <c r="J7184" s="42"/>
    </row>
    <row r="7185" spans="1:10" x14ac:dyDescent="0.25">
      <c r="A7185" s="402" t="s">
        <v>31</v>
      </c>
      <c r="B7185" s="2">
        <v>44192</v>
      </c>
      <c r="C7185" s="1">
        <v>155</v>
      </c>
      <c r="D7185" s="39">
        <f t="shared" si="573"/>
        <v>28078</v>
      </c>
      <c r="E7185" s="1">
        <v>1</v>
      </c>
      <c r="F7185" s="522">
        <f t="shared" si="574"/>
        <v>572</v>
      </c>
    </row>
    <row r="7186" spans="1:10" s="393" customFormat="1" x14ac:dyDescent="0.25">
      <c r="A7186" s="402" t="s">
        <v>41</v>
      </c>
      <c r="B7186" s="2">
        <v>44192</v>
      </c>
      <c r="C7186" s="1">
        <v>1</v>
      </c>
      <c r="D7186" s="39">
        <f t="shared" si="573"/>
        <v>214</v>
      </c>
      <c r="E7186" s="1"/>
      <c r="F7186" s="522">
        <f t="shared" si="574"/>
        <v>3</v>
      </c>
      <c r="G7186" s="395"/>
      <c r="H7186" s="395"/>
      <c r="J7186" s="42"/>
    </row>
    <row r="7187" spans="1:10" s="393" customFormat="1" x14ac:dyDescent="0.25">
      <c r="A7187" s="402" t="s">
        <v>32</v>
      </c>
      <c r="B7187" s="2">
        <v>44192</v>
      </c>
      <c r="C7187" s="1">
        <v>6</v>
      </c>
      <c r="D7187" s="39">
        <f t="shared" si="573"/>
        <v>18506</v>
      </c>
      <c r="E7187" s="1"/>
      <c r="F7187" s="522">
        <f t="shared" si="574"/>
        <v>857</v>
      </c>
      <c r="G7187" s="395"/>
      <c r="H7187" s="395"/>
      <c r="J7187" s="42"/>
    </row>
    <row r="7188" spans="1:10" s="393" customFormat="1" x14ac:dyDescent="0.25">
      <c r="A7188" s="402" t="s">
        <v>33</v>
      </c>
      <c r="B7188" s="2">
        <v>44192</v>
      </c>
      <c r="C7188" s="1">
        <v>189</v>
      </c>
      <c r="D7188" s="39">
        <f t="shared" si="573"/>
        <v>9706</v>
      </c>
      <c r="E7188" s="1"/>
      <c r="F7188" s="522">
        <f t="shared" si="574"/>
        <v>116</v>
      </c>
      <c r="G7188" s="395"/>
      <c r="H7188" s="395"/>
      <c r="J7188" s="42"/>
    </row>
    <row r="7189" spans="1:10" s="393" customFormat="1" x14ac:dyDescent="0.25">
      <c r="A7189" s="402" t="s">
        <v>21</v>
      </c>
      <c r="B7189" s="2">
        <v>44192</v>
      </c>
      <c r="C7189" s="1">
        <v>7</v>
      </c>
      <c r="D7189" s="39">
        <f t="shared" si="573"/>
        <v>9068</v>
      </c>
      <c r="E7189" s="1">
        <v>3</v>
      </c>
      <c r="F7189" s="522">
        <f t="shared" si="574"/>
        <v>388</v>
      </c>
      <c r="G7189" s="395"/>
      <c r="H7189" s="395"/>
      <c r="J7189" s="42"/>
    </row>
    <row r="7190" spans="1:10" s="393" customFormat="1" x14ac:dyDescent="0.25">
      <c r="A7190" s="402" t="s">
        <v>17</v>
      </c>
      <c r="B7190" s="2">
        <v>44192</v>
      </c>
      <c r="C7190" s="1">
        <v>51</v>
      </c>
      <c r="D7190" s="39">
        <f t="shared" si="573"/>
        <v>59609</v>
      </c>
      <c r="E7190" s="1"/>
      <c r="F7190" s="522">
        <f t="shared" si="574"/>
        <v>1219</v>
      </c>
      <c r="G7190" s="395"/>
      <c r="H7190" s="395"/>
      <c r="J7190" s="42"/>
    </row>
    <row r="7191" spans="1:10" s="393" customFormat="1" x14ac:dyDescent="0.25">
      <c r="A7191" s="402" t="s">
        <v>23</v>
      </c>
      <c r="B7191" s="2">
        <v>44192</v>
      </c>
      <c r="C7191" s="1">
        <v>23</v>
      </c>
      <c r="D7191" s="39">
        <f t="shared" si="573"/>
        <v>1011</v>
      </c>
      <c r="E7191" s="1"/>
      <c r="F7191" s="522">
        <f t="shared" si="574"/>
        <v>11</v>
      </c>
      <c r="G7191" s="395"/>
      <c r="H7191" s="395"/>
      <c r="J7191" s="42"/>
    </row>
    <row r="7192" spans="1:10" s="393" customFormat="1" x14ac:dyDescent="0.25">
      <c r="A7192" s="402" t="s">
        <v>19</v>
      </c>
      <c r="B7192" s="2">
        <v>44192</v>
      </c>
      <c r="C7192" s="1">
        <v>82</v>
      </c>
      <c r="D7192" s="39">
        <f t="shared" si="573"/>
        <v>39365</v>
      </c>
      <c r="E7192" s="1"/>
      <c r="F7192" s="522">
        <f t="shared" si="574"/>
        <v>688</v>
      </c>
      <c r="G7192" s="395"/>
      <c r="H7192" s="395"/>
      <c r="J7192" s="42"/>
    </row>
    <row r="7193" spans="1:10" s="393" customFormat="1" x14ac:dyDescent="0.25">
      <c r="A7193" s="402" t="s">
        <v>18</v>
      </c>
      <c r="B7193" s="2">
        <v>44192</v>
      </c>
      <c r="C7193" s="1">
        <v>163</v>
      </c>
      <c r="D7193" s="39">
        <f t="shared" si="573"/>
        <v>37277</v>
      </c>
      <c r="E7193" s="1">
        <v>1</v>
      </c>
      <c r="F7193" s="522">
        <f t="shared" si="574"/>
        <v>884</v>
      </c>
      <c r="G7193" s="395"/>
      <c r="H7193" s="395"/>
      <c r="J7193" s="42"/>
    </row>
    <row r="7194" spans="1:10" s="393" customFormat="1" x14ac:dyDescent="0.25">
      <c r="A7194" s="402" t="s">
        <v>34</v>
      </c>
      <c r="B7194" s="2">
        <v>44192</v>
      </c>
      <c r="C7194" s="1">
        <v>37</v>
      </c>
      <c r="D7194" s="39">
        <f t="shared" si="573"/>
        <v>22208</v>
      </c>
      <c r="E7194" s="1">
        <v>1</v>
      </c>
      <c r="F7194" s="522">
        <f t="shared" si="574"/>
        <v>1014</v>
      </c>
      <c r="G7194" s="395"/>
      <c r="H7194" s="395"/>
      <c r="J7194" s="42"/>
    </row>
    <row r="7195" spans="1:10" s="393" customFormat="1" x14ac:dyDescent="0.25">
      <c r="A7195" s="402" t="s">
        <v>35</v>
      </c>
      <c r="B7195" s="2">
        <v>44192</v>
      </c>
      <c r="C7195" s="1">
        <v>10</v>
      </c>
      <c r="D7195" s="39">
        <f t="shared" si="573"/>
        <v>10900</v>
      </c>
      <c r="E7195" s="1"/>
      <c r="F7195" s="522">
        <f t="shared" si="574"/>
        <v>196</v>
      </c>
      <c r="G7195" s="395"/>
      <c r="H7195" s="395"/>
      <c r="J7195" s="42"/>
    </row>
    <row r="7196" spans="1:10" s="393" customFormat="1" x14ac:dyDescent="0.25">
      <c r="A7196" s="402" t="s">
        <v>36</v>
      </c>
      <c r="B7196" s="2">
        <v>44192</v>
      </c>
      <c r="C7196" s="1">
        <v>38</v>
      </c>
      <c r="D7196" s="39">
        <f t="shared" si="573"/>
        <v>16032</v>
      </c>
      <c r="E7196" s="1">
        <v>2</v>
      </c>
      <c r="F7196" s="522">
        <f t="shared" si="574"/>
        <v>295</v>
      </c>
      <c r="G7196" s="395"/>
      <c r="H7196" s="395"/>
      <c r="J7196" s="42"/>
    </row>
    <row r="7197" spans="1:10" s="393" customFormat="1" x14ac:dyDescent="0.25">
      <c r="A7197" s="402" t="s">
        <v>37</v>
      </c>
      <c r="B7197" s="2">
        <v>44192</v>
      </c>
      <c r="C7197" s="1">
        <v>242</v>
      </c>
      <c r="D7197" s="39">
        <f t="shared" si="573"/>
        <v>22239</v>
      </c>
      <c r="E7197" s="1">
        <v>3</v>
      </c>
      <c r="F7197" s="522">
        <f t="shared" si="574"/>
        <v>364</v>
      </c>
      <c r="G7197" s="395"/>
      <c r="H7197" s="395"/>
      <c r="J7197" s="42"/>
    </row>
    <row r="7198" spans="1:10" s="393" customFormat="1" x14ac:dyDescent="0.25">
      <c r="A7198" s="402" t="s">
        <v>22</v>
      </c>
      <c r="B7198" s="2">
        <v>44192</v>
      </c>
      <c r="C7198" s="1">
        <v>406</v>
      </c>
      <c r="D7198" s="39">
        <f t="shared" si="573"/>
        <v>171770</v>
      </c>
      <c r="E7198" s="1">
        <v>16</v>
      </c>
      <c r="F7198" s="522">
        <f t="shared" si="574"/>
        <v>2843</v>
      </c>
      <c r="G7198" s="395"/>
      <c r="H7198" s="395"/>
      <c r="J7198" s="42"/>
    </row>
    <row r="7199" spans="1:10" s="393" customFormat="1" x14ac:dyDescent="0.25">
      <c r="A7199" s="402" t="s">
        <v>38</v>
      </c>
      <c r="B7199" s="2">
        <v>44192</v>
      </c>
      <c r="C7199" s="1">
        <v>24</v>
      </c>
      <c r="D7199" s="39">
        <f t="shared" si="573"/>
        <v>17071</v>
      </c>
      <c r="E7199" s="1">
        <v>3</v>
      </c>
      <c r="F7199" s="522">
        <f t="shared" si="574"/>
        <v>217</v>
      </c>
      <c r="G7199" s="395"/>
      <c r="H7199" s="395"/>
      <c r="J7199" s="42"/>
    </row>
    <row r="7200" spans="1:10" s="393" customFormat="1" x14ac:dyDescent="0.25">
      <c r="A7200" s="402" t="s">
        <v>39</v>
      </c>
      <c r="B7200" s="2">
        <v>44192</v>
      </c>
      <c r="C7200" s="1">
        <v>88</v>
      </c>
      <c r="D7200" s="39">
        <f t="shared" si="573"/>
        <v>18739</v>
      </c>
      <c r="E7200" s="1">
        <v>2</v>
      </c>
      <c r="F7200" s="522">
        <f t="shared" si="574"/>
        <v>248</v>
      </c>
      <c r="G7200" s="395"/>
      <c r="H7200" s="395"/>
      <c r="J7200" s="42"/>
    </row>
    <row r="7201" spans="1:10" s="393" customFormat="1" ht="15.75" thickBot="1" x14ac:dyDescent="0.3">
      <c r="A7201" s="403" t="s">
        <v>40</v>
      </c>
      <c r="B7201" s="34">
        <v>44192</v>
      </c>
      <c r="C7201" s="234">
        <v>51</v>
      </c>
      <c r="D7201" s="67">
        <f t="shared" si="573"/>
        <v>70407</v>
      </c>
      <c r="E7201" s="234">
        <v>1</v>
      </c>
      <c r="F7201" s="632">
        <f t="shared" si="574"/>
        <v>1335</v>
      </c>
      <c r="G7201" s="395"/>
      <c r="H7201" s="395"/>
      <c r="J7201" s="42"/>
    </row>
    <row r="7202" spans="1:10" s="393" customFormat="1" x14ac:dyDescent="0.25">
      <c r="A7202" s="397" t="s">
        <v>16</v>
      </c>
      <c r="B7202" s="267">
        <v>44193</v>
      </c>
      <c r="C7202" s="43">
        <v>2873</v>
      </c>
      <c r="D7202" s="175">
        <f t="shared" si="573"/>
        <v>670863</v>
      </c>
      <c r="E7202" s="43">
        <v>90</v>
      </c>
      <c r="F7202" s="630">
        <f t="shared" si="574"/>
        <v>22188</v>
      </c>
      <c r="G7202" s="395"/>
      <c r="H7202" s="395"/>
      <c r="J7202" s="42"/>
    </row>
    <row r="7203" spans="1:10" s="393" customFormat="1" x14ac:dyDescent="0.25">
      <c r="A7203" s="402" t="s">
        <v>43</v>
      </c>
      <c r="B7203" s="2">
        <v>44193</v>
      </c>
      <c r="C7203" s="1">
        <v>863</v>
      </c>
      <c r="D7203" s="39">
        <f t="shared" ref="D7203:D7249" si="575">C7203+D7179</f>
        <v>171190</v>
      </c>
      <c r="E7203" s="1">
        <v>20</v>
      </c>
      <c r="F7203" s="522">
        <f t="shared" ref="F7203:F7249" si="576">E7203+F7179</f>
        <v>5473</v>
      </c>
      <c r="G7203" s="395"/>
      <c r="H7203" s="395"/>
      <c r="J7203" s="42"/>
    </row>
    <row r="7204" spans="1:10" s="393" customFormat="1" x14ac:dyDescent="0.25">
      <c r="A7204" s="402" t="s">
        <v>28</v>
      </c>
      <c r="B7204" s="2">
        <v>44193</v>
      </c>
      <c r="C7204" s="1">
        <v>31</v>
      </c>
      <c r="D7204" s="39">
        <f t="shared" si="575"/>
        <v>2607</v>
      </c>
      <c r="E7204" s="1"/>
      <c r="F7204" s="522">
        <f t="shared" si="576"/>
        <v>17</v>
      </c>
      <c r="G7204" s="395"/>
      <c r="H7204" s="395"/>
      <c r="J7204" s="42"/>
    </row>
    <row r="7205" spans="1:10" s="393" customFormat="1" x14ac:dyDescent="0.25">
      <c r="A7205" s="402" t="s">
        <v>15</v>
      </c>
      <c r="B7205" s="2">
        <v>44193</v>
      </c>
      <c r="C7205" s="1">
        <v>121</v>
      </c>
      <c r="D7205" s="39">
        <f t="shared" si="575"/>
        <v>23968</v>
      </c>
      <c r="E7205" s="1">
        <v>7</v>
      </c>
      <c r="F7205" s="522">
        <f t="shared" si="576"/>
        <v>681</v>
      </c>
      <c r="G7205" s="395"/>
      <c r="H7205" s="395"/>
      <c r="J7205" s="42"/>
    </row>
    <row r="7206" spans="1:10" s="393" customFormat="1" x14ac:dyDescent="0.25">
      <c r="A7206" s="402" t="s">
        <v>29</v>
      </c>
      <c r="B7206" s="2">
        <v>44193</v>
      </c>
      <c r="C7206" s="1">
        <v>451</v>
      </c>
      <c r="D7206" s="39">
        <f t="shared" si="575"/>
        <v>30332</v>
      </c>
      <c r="E7206" s="1">
        <v>4</v>
      </c>
      <c r="F7206" s="522">
        <f t="shared" si="576"/>
        <v>491</v>
      </c>
      <c r="G7206" s="395"/>
      <c r="H7206" s="395"/>
      <c r="J7206" s="42"/>
    </row>
    <row r="7207" spans="1:10" s="393" customFormat="1" x14ac:dyDescent="0.25">
      <c r="A7207" s="402" t="s">
        <v>20</v>
      </c>
      <c r="B7207" s="2">
        <v>44193</v>
      </c>
      <c r="C7207" s="1">
        <v>286</v>
      </c>
      <c r="D7207" s="39">
        <f t="shared" si="575"/>
        <v>125379</v>
      </c>
      <c r="E7207" s="1">
        <v>7</v>
      </c>
      <c r="F7207" s="522">
        <f t="shared" si="576"/>
        <v>2459</v>
      </c>
      <c r="G7207" s="395"/>
      <c r="H7207" s="395"/>
      <c r="J7207" s="42"/>
    </row>
    <row r="7208" spans="1:10" s="393" customFormat="1" x14ac:dyDescent="0.25">
      <c r="A7208" s="402" t="s">
        <v>30</v>
      </c>
      <c r="B7208" s="2">
        <v>44193</v>
      </c>
      <c r="C7208" s="1">
        <v>183</v>
      </c>
      <c r="D7208" s="39">
        <f t="shared" si="575"/>
        <v>11566</v>
      </c>
      <c r="E7208" s="1">
        <v>1</v>
      </c>
      <c r="F7208" s="522">
        <f t="shared" si="576"/>
        <v>158</v>
      </c>
      <c r="G7208" s="395"/>
      <c r="H7208" s="395"/>
      <c r="J7208" s="42"/>
    </row>
    <row r="7209" spans="1:10" x14ac:dyDescent="0.25">
      <c r="A7209" s="402" t="s">
        <v>31</v>
      </c>
      <c r="B7209" s="2">
        <v>44193</v>
      </c>
      <c r="C7209" s="1">
        <v>178</v>
      </c>
      <c r="D7209" s="39">
        <f t="shared" si="575"/>
        <v>28256</v>
      </c>
      <c r="E7209" s="1">
        <v>2</v>
      </c>
      <c r="F7209" s="522">
        <f t="shared" si="576"/>
        <v>574</v>
      </c>
    </row>
    <row r="7210" spans="1:10" s="393" customFormat="1" x14ac:dyDescent="0.25">
      <c r="A7210" s="402" t="s">
        <v>41</v>
      </c>
      <c r="B7210" s="2">
        <v>44193</v>
      </c>
      <c r="C7210" s="1">
        <v>7</v>
      </c>
      <c r="D7210" s="39">
        <f t="shared" si="575"/>
        <v>221</v>
      </c>
      <c r="E7210" s="1"/>
      <c r="F7210" s="522">
        <f t="shared" si="576"/>
        <v>3</v>
      </c>
      <c r="G7210" s="395"/>
      <c r="H7210" s="395"/>
      <c r="J7210" s="42"/>
    </row>
    <row r="7211" spans="1:10" s="393" customFormat="1" x14ac:dyDescent="0.25">
      <c r="A7211" s="402" t="s">
        <v>32</v>
      </c>
      <c r="B7211" s="2">
        <v>44193</v>
      </c>
      <c r="C7211" s="1">
        <v>3</v>
      </c>
      <c r="D7211" s="39">
        <f t="shared" si="575"/>
        <v>18509</v>
      </c>
      <c r="E7211" s="1">
        <v>1</v>
      </c>
      <c r="F7211" s="522">
        <f t="shared" si="576"/>
        <v>858</v>
      </c>
      <c r="G7211" s="395"/>
      <c r="H7211" s="395"/>
      <c r="J7211" s="42"/>
    </row>
    <row r="7212" spans="1:10" s="393" customFormat="1" x14ac:dyDescent="0.25">
      <c r="A7212" s="402" t="s">
        <v>33</v>
      </c>
      <c r="B7212" s="2">
        <v>44193</v>
      </c>
      <c r="C7212" s="1">
        <v>208</v>
      </c>
      <c r="D7212" s="39">
        <f t="shared" si="575"/>
        <v>9914</v>
      </c>
      <c r="E7212" s="1">
        <v>8</v>
      </c>
      <c r="F7212" s="522">
        <f t="shared" si="576"/>
        <v>124</v>
      </c>
      <c r="G7212" s="395"/>
      <c r="H7212" s="395"/>
      <c r="J7212" s="42"/>
    </row>
    <row r="7213" spans="1:10" s="393" customFormat="1" x14ac:dyDescent="0.25">
      <c r="A7213" s="402" t="s">
        <v>21</v>
      </c>
      <c r="B7213" s="2">
        <v>44193</v>
      </c>
      <c r="C7213" s="1">
        <v>4</v>
      </c>
      <c r="D7213" s="39">
        <f t="shared" si="575"/>
        <v>9072</v>
      </c>
      <c r="E7213" s="1"/>
      <c r="F7213" s="522">
        <f t="shared" si="576"/>
        <v>388</v>
      </c>
      <c r="G7213" s="395"/>
      <c r="H7213" s="395"/>
      <c r="J7213" s="42"/>
    </row>
    <row r="7214" spans="1:10" s="393" customFormat="1" x14ac:dyDescent="0.25">
      <c r="A7214" s="402" t="s">
        <v>17</v>
      </c>
      <c r="B7214" s="2">
        <v>44193</v>
      </c>
      <c r="C7214" s="1">
        <v>77</v>
      </c>
      <c r="D7214" s="39">
        <f t="shared" si="575"/>
        <v>59686</v>
      </c>
      <c r="E7214" s="1">
        <v>3</v>
      </c>
      <c r="F7214" s="522">
        <f t="shared" si="576"/>
        <v>1222</v>
      </c>
      <c r="G7214" s="395"/>
      <c r="H7214" s="395"/>
      <c r="J7214" s="42"/>
    </row>
    <row r="7215" spans="1:10" s="393" customFormat="1" x14ac:dyDescent="0.25">
      <c r="A7215" s="402" t="s">
        <v>23</v>
      </c>
      <c r="B7215" s="2">
        <v>44193</v>
      </c>
      <c r="C7215" s="1">
        <v>3</v>
      </c>
      <c r="D7215" s="39">
        <f t="shared" si="575"/>
        <v>1014</v>
      </c>
      <c r="E7215" s="1"/>
      <c r="F7215" s="522">
        <f t="shared" si="576"/>
        <v>11</v>
      </c>
      <c r="G7215" s="395"/>
      <c r="H7215" s="395"/>
      <c r="J7215" s="42"/>
    </row>
    <row r="7216" spans="1:10" s="393" customFormat="1" x14ac:dyDescent="0.25">
      <c r="A7216" s="402" t="s">
        <v>19</v>
      </c>
      <c r="B7216" s="2">
        <v>44193</v>
      </c>
      <c r="C7216" s="1">
        <v>206</v>
      </c>
      <c r="D7216" s="39">
        <f t="shared" si="575"/>
        <v>39571</v>
      </c>
      <c r="E7216" s="1"/>
      <c r="F7216" s="522">
        <f t="shared" si="576"/>
        <v>688</v>
      </c>
      <c r="G7216" s="395"/>
      <c r="H7216" s="395"/>
      <c r="J7216" s="42"/>
    </row>
    <row r="7217" spans="1:10" s="393" customFormat="1" x14ac:dyDescent="0.25">
      <c r="A7217" s="402" t="s">
        <v>18</v>
      </c>
      <c r="B7217" s="2">
        <v>44193</v>
      </c>
      <c r="C7217" s="1">
        <v>263</v>
      </c>
      <c r="D7217" s="39">
        <f t="shared" si="575"/>
        <v>37540</v>
      </c>
      <c r="E7217" s="1">
        <v>6</v>
      </c>
      <c r="F7217" s="522">
        <f t="shared" si="576"/>
        <v>890</v>
      </c>
      <c r="G7217" s="395"/>
      <c r="H7217" s="395"/>
      <c r="J7217" s="42"/>
    </row>
    <row r="7218" spans="1:10" s="393" customFormat="1" x14ac:dyDescent="0.25">
      <c r="A7218" s="402" t="s">
        <v>34</v>
      </c>
      <c r="B7218" s="2">
        <v>44193</v>
      </c>
      <c r="C7218" s="1">
        <v>8</v>
      </c>
      <c r="D7218" s="39">
        <f t="shared" si="575"/>
        <v>22216</v>
      </c>
      <c r="E7218" s="1">
        <v>1</v>
      </c>
      <c r="F7218" s="522">
        <f t="shared" si="576"/>
        <v>1015</v>
      </c>
      <c r="G7218" s="395"/>
      <c r="H7218" s="395"/>
      <c r="J7218" s="42"/>
    </row>
    <row r="7219" spans="1:10" s="393" customFormat="1" x14ac:dyDescent="0.25">
      <c r="A7219" s="402" t="s">
        <v>35</v>
      </c>
      <c r="B7219" s="2">
        <v>44193</v>
      </c>
      <c r="C7219" s="1">
        <v>150</v>
      </c>
      <c r="D7219" s="39">
        <f t="shared" si="575"/>
        <v>11050</v>
      </c>
      <c r="E7219" s="1">
        <v>1</v>
      </c>
      <c r="F7219" s="522">
        <f t="shared" si="576"/>
        <v>197</v>
      </c>
      <c r="G7219" s="395"/>
      <c r="H7219" s="395"/>
      <c r="J7219" s="42"/>
    </row>
    <row r="7220" spans="1:10" s="393" customFormat="1" x14ac:dyDescent="0.25">
      <c r="A7220" s="402" t="s">
        <v>36</v>
      </c>
      <c r="B7220" s="2">
        <v>44193</v>
      </c>
      <c r="C7220" s="1">
        <v>34</v>
      </c>
      <c r="D7220" s="39">
        <f t="shared" si="575"/>
        <v>16066</v>
      </c>
      <c r="E7220" s="1">
        <v>1</v>
      </c>
      <c r="F7220" s="522">
        <f t="shared" si="576"/>
        <v>296</v>
      </c>
      <c r="G7220" s="395"/>
      <c r="H7220" s="395"/>
      <c r="J7220" s="42"/>
    </row>
    <row r="7221" spans="1:10" s="393" customFormat="1" x14ac:dyDescent="0.25">
      <c r="A7221" s="402" t="s">
        <v>37</v>
      </c>
      <c r="B7221" s="2">
        <v>44193</v>
      </c>
      <c r="C7221" s="1">
        <v>265</v>
      </c>
      <c r="D7221" s="39">
        <f t="shared" si="575"/>
        <v>22504</v>
      </c>
      <c r="E7221" s="1">
        <v>9</v>
      </c>
      <c r="F7221" s="522">
        <f t="shared" si="576"/>
        <v>373</v>
      </c>
      <c r="G7221" s="395"/>
      <c r="H7221" s="395"/>
      <c r="J7221" s="42"/>
    </row>
    <row r="7222" spans="1:10" s="393" customFormat="1" x14ac:dyDescent="0.25">
      <c r="A7222" s="402" t="s">
        <v>22</v>
      </c>
      <c r="B7222" s="2">
        <v>44193</v>
      </c>
      <c r="C7222" s="1">
        <v>718</v>
      </c>
      <c r="D7222" s="39">
        <f t="shared" si="575"/>
        <v>172488</v>
      </c>
      <c r="E7222" s="1">
        <v>55</v>
      </c>
      <c r="F7222" s="522">
        <f t="shared" si="576"/>
        <v>2898</v>
      </c>
      <c r="G7222" s="395"/>
      <c r="H7222" s="395"/>
      <c r="J7222" s="42"/>
    </row>
    <row r="7223" spans="1:10" s="393" customFormat="1" x14ac:dyDescent="0.25">
      <c r="A7223" s="402" t="s">
        <v>38</v>
      </c>
      <c r="B7223" s="2">
        <v>44193</v>
      </c>
      <c r="C7223" s="1">
        <v>61</v>
      </c>
      <c r="D7223" s="39">
        <f t="shared" si="575"/>
        <v>17132</v>
      </c>
      <c r="E7223" s="1"/>
      <c r="F7223" s="522">
        <f t="shared" si="576"/>
        <v>217</v>
      </c>
      <c r="G7223" s="395"/>
      <c r="H7223" s="395"/>
      <c r="J7223" s="42"/>
    </row>
    <row r="7224" spans="1:10" s="393" customFormat="1" x14ac:dyDescent="0.25">
      <c r="A7224" s="402" t="s">
        <v>39</v>
      </c>
      <c r="B7224" s="2">
        <v>44193</v>
      </c>
      <c r="C7224" s="1">
        <v>63</v>
      </c>
      <c r="D7224" s="39">
        <f t="shared" si="575"/>
        <v>18802</v>
      </c>
      <c r="E7224" s="1"/>
      <c r="F7224" s="522">
        <f t="shared" si="576"/>
        <v>248</v>
      </c>
      <c r="G7224" s="395"/>
      <c r="H7224" s="395"/>
      <c r="J7224" s="42"/>
    </row>
    <row r="7225" spans="1:10" s="393" customFormat="1" x14ac:dyDescent="0.25">
      <c r="A7225" s="403" t="s">
        <v>40</v>
      </c>
      <c r="B7225" s="34">
        <v>44193</v>
      </c>
      <c r="C7225" s="234">
        <v>160</v>
      </c>
      <c r="D7225" s="67">
        <f t="shared" si="575"/>
        <v>70567</v>
      </c>
      <c r="E7225" s="234">
        <v>1</v>
      </c>
      <c r="F7225" s="632">
        <f t="shared" si="576"/>
        <v>1336</v>
      </c>
      <c r="G7225" s="395"/>
      <c r="H7225" s="395"/>
      <c r="J7225" s="42"/>
    </row>
    <row r="7226" spans="1:10" s="393" customFormat="1" x14ac:dyDescent="0.25">
      <c r="A7226" s="394" t="s">
        <v>16</v>
      </c>
      <c r="B7226" s="2">
        <v>44194</v>
      </c>
      <c r="C7226" s="1">
        <v>4417</v>
      </c>
      <c r="D7226" s="39">
        <f t="shared" si="575"/>
        <v>675280</v>
      </c>
      <c r="E7226" s="1">
        <v>67</v>
      </c>
      <c r="F7226" s="39">
        <f t="shared" si="576"/>
        <v>22255</v>
      </c>
      <c r="G7226" s="395"/>
      <c r="H7226" s="395"/>
      <c r="J7226" s="42"/>
    </row>
    <row r="7227" spans="1:10" s="393" customFormat="1" x14ac:dyDescent="0.25">
      <c r="A7227" s="394" t="s">
        <v>43</v>
      </c>
      <c r="B7227" s="2">
        <v>44194</v>
      </c>
      <c r="C7227" s="1">
        <v>996</v>
      </c>
      <c r="D7227" s="39">
        <f t="shared" si="575"/>
        <v>172186</v>
      </c>
      <c r="E7227" s="1">
        <v>11</v>
      </c>
      <c r="F7227" s="39">
        <f t="shared" si="576"/>
        <v>5484</v>
      </c>
      <c r="G7227" s="395"/>
      <c r="H7227" s="395"/>
      <c r="J7227" s="42"/>
    </row>
    <row r="7228" spans="1:10" s="393" customFormat="1" x14ac:dyDescent="0.25">
      <c r="A7228" s="394" t="s">
        <v>28</v>
      </c>
      <c r="B7228" s="2">
        <v>44194</v>
      </c>
      <c r="C7228" s="1">
        <v>16</v>
      </c>
      <c r="D7228" s="39">
        <f t="shared" si="575"/>
        <v>2623</v>
      </c>
      <c r="E7228" s="1"/>
      <c r="F7228" s="39">
        <f t="shared" si="576"/>
        <v>17</v>
      </c>
      <c r="G7228" s="395"/>
      <c r="H7228" s="395"/>
      <c r="J7228" s="42"/>
    </row>
    <row r="7229" spans="1:10" s="393" customFormat="1" x14ac:dyDescent="0.25">
      <c r="A7229" s="394" t="s">
        <v>15</v>
      </c>
      <c r="B7229" s="2">
        <v>44194</v>
      </c>
      <c r="C7229" s="1">
        <v>306</v>
      </c>
      <c r="D7229" s="39">
        <f t="shared" si="575"/>
        <v>24274</v>
      </c>
      <c r="E7229" s="1">
        <v>5</v>
      </c>
      <c r="F7229" s="39">
        <f t="shared" si="576"/>
        <v>686</v>
      </c>
      <c r="G7229" s="395"/>
      <c r="H7229" s="395"/>
      <c r="J7229" s="42"/>
    </row>
    <row r="7230" spans="1:10" s="393" customFormat="1" x14ac:dyDescent="0.25">
      <c r="A7230" s="394" t="s">
        <v>29</v>
      </c>
      <c r="B7230" s="2">
        <v>44194</v>
      </c>
      <c r="C7230" s="1">
        <v>606</v>
      </c>
      <c r="D7230" s="39">
        <f t="shared" si="575"/>
        <v>30938</v>
      </c>
      <c r="E7230" s="1">
        <v>2</v>
      </c>
      <c r="F7230" s="39">
        <f t="shared" si="576"/>
        <v>493</v>
      </c>
      <c r="G7230" s="395"/>
      <c r="H7230" s="395"/>
      <c r="J7230" s="42"/>
    </row>
    <row r="7231" spans="1:10" s="393" customFormat="1" x14ac:dyDescent="0.25">
      <c r="A7231" s="394" t="s">
        <v>20</v>
      </c>
      <c r="B7231" s="2">
        <v>44194</v>
      </c>
      <c r="C7231" s="1">
        <v>775</v>
      </c>
      <c r="D7231" s="39">
        <f t="shared" si="575"/>
        <v>126154</v>
      </c>
      <c r="E7231" s="1">
        <v>2</v>
      </c>
      <c r="F7231" s="39">
        <f t="shared" si="576"/>
        <v>2461</v>
      </c>
      <c r="G7231" s="395"/>
      <c r="H7231" s="395"/>
      <c r="J7231" s="42"/>
    </row>
    <row r="7232" spans="1:10" s="393" customFormat="1" x14ac:dyDescent="0.25">
      <c r="A7232" s="394" t="s">
        <v>30</v>
      </c>
      <c r="B7232" s="2">
        <v>44194</v>
      </c>
      <c r="C7232" s="1">
        <v>216</v>
      </c>
      <c r="D7232" s="39">
        <f t="shared" si="575"/>
        <v>11782</v>
      </c>
      <c r="E7232" s="1">
        <v>5</v>
      </c>
      <c r="F7232" s="39">
        <f t="shared" si="576"/>
        <v>163</v>
      </c>
      <c r="G7232" s="395"/>
      <c r="H7232" s="395"/>
      <c r="J7232" s="42"/>
    </row>
    <row r="7233" spans="1:10" x14ac:dyDescent="0.25">
      <c r="A7233" s="394" t="s">
        <v>31</v>
      </c>
      <c r="B7233" s="2">
        <v>44194</v>
      </c>
      <c r="C7233" s="1">
        <v>327</v>
      </c>
      <c r="D7233" s="39">
        <f t="shared" si="575"/>
        <v>28583</v>
      </c>
      <c r="E7233" s="1">
        <v>2</v>
      </c>
      <c r="F7233" s="39">
        <f t="shared" si="576"/>
        <v>576</v>
      </c>
    </row>
    <row r="7234" spans="1:10" s="393" customFormat="1" x14ac:dyDescent="0.25">
      <c r="A7234" s="394" t="s">
        <v>41</v>
      </c>
      <c r="B7234" s="2">
        <v>44194</v>
      </c>
      <c r="C7234" s="1">
        <v>-9</v>
      </c>
      <c r="D7234" s="39">
        <f t="shared" si="575"/>
        <v>212</v>
      </c>
      <c r="E7234" s="1"/>
      <c r="F7234" s="39">
        <f t="shared" si="576"/>
        <v>3</v>
      </c>
      <c r="G7234" s="395"/>
      <c r="H7234" s="395"/>
      <c r="J7234" s="42"/>
    </row>
    <row r="7235" spans="1:10" s="393" customFormat="1" x14ac:dyDescent="0.25">
      <c r="A7235" s="394" t="s">
        <v>32</v>
      </c>
      <c r="B7235" s="2">
        <v>44194</v>
      </c>
      <c r="C7235" s="1">
        <v>14</v>
      </c>
      <c r="D7235" s="39">
        <f t="shared" si="575"/>
        <v>18523</v>
      </c>
      <c r="E7235" s="1"/>
      <c r="F7235" s="39">
        <f t="shared" si="576"/>
        <v>858</v>
      </c>
      <c r="G7235" s="395"/>
      <c r="H7235" s="395"/>
      <c r="J7235" s="42"/>
    </row>
    <row r="7236" spans="1:10" s="393" customFormat="1" x14ac:dyDescent="0.25">
      <c r="A7236" s="394" t="s">
        <v>33</v>
      </c>
      <c r="B7236" s="2">
        <v>44194</v>
      </c>
      <c r="C7236" s="1">
        <v>314</v>
      </c>
      <c r="D7236" s="39">
        <f t="shared" si="575"/>
        <v>10228</v>
      </c>
      <c r="E7236" s="1"/>
      <c r="F7236" s="39">
        <f t="shared" si="576"/>
        <v>124</v>
      </c>
      <c r="G7236" s="395"/>
      <c r="H7236" s="395"/>
      <c r="J7236" s="42"/>
    </row>
    <row r="7237" spans="1:10" s="393" customFormat="1" x14ac:dyDescent="0.25">
      <c r="A7237" s="394" t="s">
        <v>21</v>
      </c>
      <c r="B7237" s="2">
        <v>44194</v>
      </c>
      <c r="C7237" s="1">
        <v>3</v>
      </c>
      <c r="D7237" s="39">
        <f t="shared" si="575"/>
        <v>9075</v>
      </c>
      <c r="E7237" s="1"/>
      <c r="F7237" s="39">
        <f t="shared" si="576"/>
        <v>388</v>
      </c>
      <c r="G7237" s="395"/>
      <c r="H7237" s="395"/>
      <c r="J7237" s="42"/>
    </row>
    <row r="7238" spans="1:10" s="393" customFormat="1" x14ac:dyDescent="0.25">
      <c r="A7238" s="394" t="s">
        <v>17</v>
      </c>
      <c r="B7238" s="2">
        <v>44194</v>
      </c>
      <c r="C7238" s="1">
        <v>161</v>
      </c>
      <c r="D7238" s="39">
        <f t="shared" si="575"/>
        <v>59847</v>
      </c>
      <c r="E7238" s="1">
        <v>7</v>
      </c>
      <c r="F7238" s="39">
        <f t="shared" si="576"/>
        <v>1229</v>
      </c>
      <c r="G7238" s="395"/>
      <c r="H7238" s="395"/>
      <c r="J7238" s="42"/>
    </row>
    <row r="7239" spans="1:10" s="393" customFormat="1" x14ac:dyDescent="0.25">
      <c r="A7239" s="394" t="s">
        <v>23</v>
      </c>
      <c r="B7239" s="2">
        <v>44194</v>
      </c>
      <c r="C7239" s="1">
        <v>30</v>
      </c>
      <c r="D7239" s="39">
        <f t="shared" si="575"/>
        <v>1044</v>
      </c>
      <c r="E7239" s="1"/>
      <c r="F7239" s="39">
        <f t="shared" si="576"/>
        <v>11</v>
      </c>
      <c r="G7239" s="395"/>
      <c r="H7239" s="395"/>
      <c r="J7239" s="42"/>
    </row>
    <row r="7240" spans="1:10" s="393" customFormat="1" x14ac:dyDescent="0.25">
      <c r="A7240" s="394" t="s">
        <v>19</v>
      </c>
      <c r="B7240" s="2">
        <v>44194</v>
      </c>
      <c r="C7240" s="1">
        <v>558</v>
      </c>
      <c r="D7240" s="39">
        <f t="shared" si="575"/>
        <v>40129</v>
      </c>
      <c r="E7240" s="1"/>
      <c r="F7240" s="39">
        <f t="shared" si="576"/>
        <v>688</v>
      </c>
      <c r="G7240" s="395"/>
      <c r="H7240" s="395"/>
      <c r="J7240" s="42"/>
    </row>
    <row r="7241" spans="1:10" s="393" customFormat="1" x14ac:dyDescent="0.25">
      <c r="A7241" s="394" t="s">
        <v>18</v>
      </c>
      <c r="B7241" s="2">
        <v>44194</v>
      </c>
      <c r="C7241" s="1">
        <v>387</v>
      </c>
      <c r="D7241" s="39">
        <f t="shared" si="575"/>
        <v>37927</v>
      </c>
      <c r="E7241" s="1">
        <v>3</v>
      </c>
      <c r="F7241" s="39">
        <f t="shared" si="576"/>
        <v>893</v>
      </c>
      <c r="G7241" s="395"/>
      <c r="H7241" s="395"/>
      <c r="J7241" s="42"/>
    </row>
    <row r="7242" spans="1:10" s="393" customFormat="1" x14ac:dyDescent="0.25">
      <c r="A7242" s="394" t="s">
        <v>34</v>
      </c>
      <c r="B7242" s="2">
        <v>44194</v>
      </c>
      <c r="C7242" s="1">
        <v>40</v>
      </c>
      <c r="D7242" s="39">
        <f t="shared" si="575"/>
        <v>22256</v>
      </c>
      <c r="E7242" s="1">
        <v>3</v>
      </c>
      <c r="F7242" s="39">
        <f t="shared" si="576"/>
        <v>1018</v>
      </c>
      <c r="G7242" s="395"/>
      <c r="H7242" s="395"/>
      <c r="J7242" s="42"/>
    </row>
    <row r="7243" spans="1:10" s="393" customFormat="1" x14ac:dyDescent="0.25">
      <c r="A7243" s="394" t="s">
        <v>35</v>
      </c>
      <c r="B7243" s="2">
        <v>44194</v>
      </c>
      <c r="C7243" s="1">
        <v>305</v>
      </c>
      <c r="D7243" s="39">
        <f t="shared" si="575"/>
        <v>11355</v>
      </c>
      <c r="E7243" s="1">
        <v>1</v>
      </c>
      <c r="F7243" s="39">
        <f t="shared" si="576"/>
        <v>198</v>
      </c>
      <c r="G7243" s="395"/>
      <c r="H7243" s="395"/>
      <c r="J7243" s="42"/>
    </row>
    <row r="7244" spans="1:10" s="393" customFormat="1" x14ac:dyDescent="0.25">
      <c r="A7244" s="394" t="s">
        <v>36</v>
      </c>
      <c r="B7244" s="2">
        <v>44194</v>
      </c>
      <c r="C7244" s="1">
        <v>55</v>
      </c>
      <c r="D7244" s="39">
        <f t="shared" si="575"/>
        <v>16121</v>
      </c>
      <c r="E7244" s="1">
        <v>4</v>
      </c>
      <c r="F7244" s="39">
        <f t="shared" si="576"/>
        <v>300</v>
      </c>
      <c r="G7244" s="395"/>
      <c r="H7244" s="395"/>
      <c r="J7244" s="42"/>
    </row>
    <row r="7245" spans="1:10" s="393" customFormat="1" x14ac:dyDescent="0.25">
      <c r="A7245" s="394" t="s">
        <v>37</v>
      </c>
      <c r="B7245" s="2">
        <v>44194</v>
      </c>
      <c r="C7245" s="1">
        <v>397</v>
      </c>
      <c r="D7245" s="39">
        <f t="shared" si="575"/>
        <v>22901</v>
      </c>
      <c r="E7245" s="1">
        <v>4</v>
      </c>
      <c r="F7245" s="39">
        <f t="shared" si="576"/>
        <v>377</v>
      </c>
      <c r="G7245" s="395"/>
      <c r="H7245" s="395"/>
      <c r="J7245" s="42"/>
    </row>
    <row r="7246" spans="1:10" s="393" customFormat="1" x14ac:dyDescent="0.25">
      <c r="A7246" s="394" t="s">
        <v>22</v>
      </c>
      <c r="B7246" s="2">
        <v>44194</v>
      </c>
      <c r="C7246" s="1">
        <v>1226</v>
      </c>
      <c r="D7246" s="39">
        <f t="shared" si="575"/>
        <v>173714</v>
      </c>
      <c r="E7246" s="1">
        <v>17</v>
      </c>
      <c r="F7246" s="39">
        <f t="shared" si="576"/>
        <v>2915</v>
      </c>
      <c r="G7246" s="395"/>
      <c r="H7246" s="395"/>
      <c r="J7246" s="42"/>
    </row>
    <row r="7247" spans="1:10" s="393" customFormat="1" x14ac:dyDescent="0.25">
      <c r="A7247" s="394" t="s">
        <v>38</v>
      </c>
      <c r="B7247" s="2">
        <v>44194</v>
      </c>
      <c r="C7247" s="1">
        <v>75</v>
      </c>
      <c r="D7247" s="39">
        <f t="shared" si="575"/>
        <v>17207</v>
      </c>
      <c r="E7247" s="1">
        <v>1</v>
      </c>
      <c r="F7247" s="39">
        <f t="shared" si="576"/>
        <v>218</v>
      </c>
      <c r="G7247" s="395"/>
      <c r="H7247" s="395"/>
      <c r="J7247" s="42"/>
    </row>
    <row r="7248" spans="1:10" s="393" customFormat="1" x14ac:dyDescent="0.25">
      <c r="A7248" s="394" t="s">
        <v>39</v>
      </c>
      <c r="B7248" s="2">
        <v>44194</v>
      </c>
      <c r="C7248" s="1">
        <v>159</v>
      </c>
      <c r="D7248" s="39">
        <f t="shared" si="575"/>
        <v>18961</v>
      </c>
      <c r="E7248" s="1"/>
      <c r="F7248" s="39">
        <f t="shared" si="576"/>
        <v>248</v>
      </c>
      <c r="G7248" s="395"/>
      <c r="H7248" s="395"/>
      <c r="J7248" s="42"/>
    </row>
    <row r="7249" spans="1:10" s="393" customFormat="1" x14ac:dyDescent="0.25">
      <c r="A7249" s="394" t="s">
        <v>40</v>
      </c>
      <c r="B7249" s="2">
        <v>44194</v>
      </c>
      <c r="C7249" s="1">
        <v>276</v>
      </c>
      <c r="D7249" s="39">
        <f t="shared" si="575"/>
        <v>70843</v>
      </c>
      <c r="E7249" s="1">
        <v>17</v>
      </c>
      <c r="F7249" s="39">
        <f t="shared" si="576"/>
        <v>1353</v>
      </c>
      <c r="G7249" s="395"/>
      <c r="H7249" s="395"/>
      <c r="J7249" s="42"/>
    </row>
    <row r="7250" spans="1:10" s="393" customFormat="1" x14ac:dyDescent="0.25">
      <c r="A7250" s="394" t="s">
        <v>16</v>
      </c>
      <c r="B7250" s="2">
        <v>44195</v>
      </c>
      <c r="C7250" s="1">
        <v>4761</v>
      </c>
      <c r="D7250" s="39">
        <f t="shared" ref="D7250:D7313" si="577">C7250+D7226</f>
        <v>680041</v>
      </c>
      <c r="E7250" s="1">
        <v>36</v>
      </c>
      <c r="F7250" s="39">
        <f t="shared" ref="F7250:F7313" si="578">E7250+F7226</f>
        <v>22291</v>
      </c>
      <c r="G7250" s="395"/>
      <c r="H7250" s="395"/>
      <c r="J7250" s="42"/>
    </row>
    <row r="7251" spans="1:10" s="393" customFormat="1" x14ac:dyDescent="0.25">
      <c r="A7251" s="394" t="s">
        <v>43</v>
      </c>
      <c r="B7251" s="2">
        <v>44195</v>
      </c>
      <c r="C7251" s="1">
        <v>1076</v>
      </c>
      <c r="D7251" s="39">
        <f t="shared" si="577"/>
        <v>173262</v>
      </c>
      <c r="E7251" s="1">
        <v>15</v>
      </c>
      <c r="F7251" s="39">
        <f t="shared" si="578"/>
        <v>5499</v>
      </c>
      <c r="G7251" s="395"/>
      <c r="H7251" s="395"/>
      <c r="J7251" s="42"/>
    </row>
    <row r="7252" spans="1:10" s="393" customFormat="1" x14ac:dyDescent="0.25">
      <c r="A7252" s="394" t="s">
        <v>28</v>
      </c>
      <c r="B7252" s="2">
        <v>44195</v>
      </c>
      <c r="C7252" s="1">
        <v>62</v>
      </c>
      <c r="D7252" s="39">
        <f t="shared" si="577"/>
        <v>2685</v>
      </c>
      <c r="E7252" s="1"/>
      <c r="F7252" s="39">
        <f t="shared" si="578"/>
        <v>17</v>
      </c>
      <c r="G7252" s="395"/>
      <c r="H7252" s="395"/>
      <c r="J7252" s="42"/>
    </row>
    <row r="7253" spans="1:10" s="393" customFormat="1" x14ac:dyDescent="0.25">
      <c r="A7253" s="394" t="s">
        <v>15</v>
      </c>
      <c r="B7253" s="2">
        <v>44195</v>
      </c>
      <c r="C7253" s="1">
        <v>249</v>
      </c>
      <c r="D7253" s="39">
        <f t="shared" si="577"/>
        <v>24523</v>
      </c>
      <c r="E7253" s="1">
        <v>6</v>
      </c>
      <c r="F7253" s="39">
        <f t="shared" si="578"/>
        <v>692</v>
      </c>
      <c r="G7253" s="395"/>
      <c r="H7253" s="395"/>
      <c r="J7253" s="42"/>
    </row>
    <row r="7254" spans="1:10" s="393" customFormat="1" x14ac:dyDescent="0.25">
      <c r="A7254" s="394" t="s">
        <v>29</v>
      </c>
      <c r="B7254" s="2">
        <v>44195</v>
      </c>
      <c r="C7254" s="1">
        <v>538</v>
      </c>
      <c r="D7254" s="39">
        <f t="shared" si="577"/>
        <v>31476</v>
      </c>
      <c r="E7254" s="1"/>
      <c r="F7254" s="39">
        <f t="shared" si="578"/>
        <v>493</v>
      </c>
      <c r="G7254" s="395"/>
      <c r="H7254" s="395"/>
      <c r="J7254" s="42"/>
    </row>
    <row r="7255" spans="1:10" s="393" customFormat="1" x14ac:dyDescent="0.25">
      <c r="A7255" s="394" t="s">
        <v>20</v>
      </c>
      <c r="B7255" s="2">
        <v>44195</v>
      </c>
      <c r="C7255" s="1">
        <v>763</v>
      </c>
      <c r="D7255" s="39">
        <f t="shared" si="577"/>
        <v>126917</v>
      </c>
      <c r="E7255" s="1">
        <v>3</v>
      </c>
      <c r="F7255" s="39">
        <f t="shared" si="578"/>
        <v>2464</v>
      </c>
      <c r="G7255" s="395"/>
      <c r="H7255" s="395"/>
      <c r="J7255" s="42"/>
    </row>
    <row r="7256" spans="1:10" s="393" customFormat="1" x14ac:dyDescent="0.25">
      <c r="A7256" s="394" t="s">
        <v>30</v>
      </c>
      <c r="B7256" s="2">
        <v>44195</v>
      </c>
      <c r="C7256" s="1">
        <v>118</v>
      </c>
      <c r="D7256" s="39">
        <f t="shared" si="577"/>
        <v>11900</v>
      </c>
      <c r="E7256" s="1">
        <v>6</v>
      </c>
      <c r="F7256" s="39">
        <f t="shared" si="578"/>
        <v>169</v>
      </c>
      <c r="G7256" s="395"/>
      <c r="H7256" s="395"/>
      <c r="J7256" s="42"/>
    </row>
    <row r="7257" spans="1:10" x14ac:dyDescent="0.25">
      <c r="A7257" s="394" t="s">
        <v>31</v>
      </c>
      <c r="B7257" s="2">
        <v>44195</v>
      </c>
      <c r="C7257" s="1">
        <v>419</v>
      </c>
      <c r="D7257" s="39">
        <f t="shared" si="577"/>
        <v>29002</v>
      </c>
      <c r="E7257" s="1">
        <v>4</v>
      </c>
      <c r="F7257" s="39">
        <f t="shared" si="578"/>
        <v>580</v>
      </c>
    </row>
    <row r="7258" spans="1:10" s="393" customFormat="1" x14ac:dyDescent="0.25">
      <c r="A7258" s="394" t="s">
        <v>41</v>
      </c>
      <c r="B7258" s="2">
        <v>44195</v>
      </c>
      <c r="C7258" s="1">
        <v>0</v>
      </c>
      <c r="D7258" s="39">
        <f t="shared" si="577"/>
        <v>212</v>
      </c>
      <c r="E7258" s="1"/>
      <c r="F7258" s="39">
        <f t="shared" si="578"/>
        <v>3</v>
      </c>
      <c r="G7258" s="395"/>
      <c r="H7258" s="395"/>
      <c r="J7258" s="42"/>
    </row>
    <row r="7259" spans="1:10" s="393" customFormat="1" x14ac:dyDescent="0.25">
      <c r="A7259" s="394" t="s">
        <v>32</v>
      </c>
      <c r="B7259" s="2">
        <v>44195</v>
      </c>
      <c r="C7259" s="1">
        <v>22</v>
      </c>
      <c r="D7259" s="39">
        <f t="shared" si="577"/>
        <v>18545</v>
      </c>
      <c r="E7259" s="1"/>
      <c r="F7259" s="39">
        <f t="shared" si="578"/>
        <v>858</v>
      </c>
      <c r="G7259" s="395"/>
      <c r="H7259" s="395"/>
      <c r="J7259" s="42"/>
    </row>
    <row r="7260" spans="1:10" s="393" customFormat="1" x14ac:dyDescent="0.25">
      <c r="A7260" s="394" t="s">
        <v>33</v>
      </c>
      <c r="B7260" s="2">
        <v>44195</v>
      </c>
      <c r="C7260" s="1">
        <v>321</v>
      </c>
      <c r="D7260" s="39">
        <f t="shared" si="577"/>
        <v>10549</v>
      </c>
      <c r="E7260" s="1"/>
      <c r="F7260" s="39">
        <f t="shared" si="578"/>
        <v>124</v>
      </c>
      <c r="G7260" s="395"/>
      <c r="H7260" s="395"/>
      <c r="J7260" s="42"/>
    </row>
    <row r="7261" spans="1:10" s="393" customFormat="1" x14ac:dyDescent="0.25">
      <c r="A7261" s="394" t="s">
        <v>21</v>
      </c>
      <c r="B7261" s="2">
        <v>44195</v>
      </c>
      <c r="C7261" s="1">
        <v>10</v>
      </c>
      <c r="D7261" s="39">
        <f t="shared" si="577"/>
        <v>9085</v>
      </c>
      <c r="E7261" s="1"/>
      <c r="F7261" s="39">
        <f t="shared" si="578"/>
        <v>388</v>
      </c>
      <c r="G7261" s="395"/>
      <c r="H7261" s="395"/>
      <c r="J7261" s="42"/>
    </row>
    <row r="7262" spans="1:10" s="393" customFormat="1" x14ac:dyDescent="0.25">
      <c r="A7262" s="394" t="s">
        <v>17</v>
      </c>
      <c r="B7262" s="2">
        <v>44195</v>
      </c>
      <c r="C7262" s="1">
        <v>169</v>
      </c>
      <c r="D7262" s="39">
        <f t="shared" si="577"/>
        <v>60016</v>
      </c>
      <c r="E7262" s="1">
        <v>2</v>
      </c>
      <c r="F7262" s="39">
        <f t="shared" si="578"/>
        <v>1231</v>
      </c>
      <c r="G7262" s="395"/>
      <c r="H7262" s="395"/>
      <c r="J7262" s="42"/>
    </row>
    <row r="7263" spans="1:10" s="393" customFormat="1" x14ac:dyDescent="0.25">
      <c r="A7263" s="394" t="s">
        <v>23</v>
      </c>
      <c r="B7263" s="2">
        <v>44195</v>
      </c>
      <c r="C7263" s="1">
        <v>32</v>
      </c>
      <c r="D7263" s="39">
        <f t="shared" si="577"/>
        <v>1076</v>
      </c>
      <c r="E7263" s="1"/>
      <c r="F7263" s="39">
        <f t="shared" si="578"/>
        <v>11</v>
      </c>
      <c r="G7263" s="395"/>
      <c r="H7263" s="395"/>
      <c r="J7263" s="42"/>
    </row>
    <row r="7264" spans="1:10" s="393" customFormat="1" x14ac:dyDescent="0.25">
      <c r="A7264" s="394" t="s">
        <v>19</v>
      </c>
      <c r="B7264" s="2">
        <v>44195</v>
      </c>
      <c r="C7264" s="1">
        <v>518</v>
      </c>
      <c r="D7264" s="39">
        <f t="shared" si="577"/>
        <v>40647</v>
      </c>
      <c r="E7264" s="1">
        <v>23</v>
      </c>
      <c r="F7264" s="39">
        <f t="shared" si="578"/>
        <v>711</v>
      </c>
      <c r="G7264" s="395"/>
      <c r="H7264" s="395"/>
      <c r="J7264" s="42"/>
    </row>
    <row r="7265" spans="1:10" s="393" customFormat="1" x14ac:dyDescent="0.25">
      <c r="A7265" s="394" t="s">
        <v>18</v>
      </c>
      <c r="B7265" s="2">
        <v>44195</v>
      </c>
      <c r="C7265" s="1">
        <v>387</v>
      </c>
      <c r="D7265" s="39">
        <f t="shared" si="577"/>
        <v>38314</v>
      </c>
      <c r="E7265" s="1">
        <v>7</v>
      </c>
      <c r="F7265" s="39">
        <f t="shared" si="578"/>
        <v>900</v>
      </c>
      <c r="G7265" s="395"/>
      <c r="H7265" s="395"/>
      <c r="J7265" s="42"/>
    </row>
    <row r="7266" spans="1:10" s="393" customFormat="1" x14ac:dyDescent="0.25">
      <c r="A7266" s="394" t="s">
        <v>34</v>
      </c>
      <c r="B7266" s="2">
        <v>44195</v>
      </c>
      <c r="C7266" s="1">
        <v>52</v>
      </c>
      <c r="D7266" s="39">
        <f t="shared" si="577"/>
        <v>22308</v>
      </c>
      <c r="E7266" s="1">
        <v>1</v>
      </c>
      <c r="F7266" s="39">
        <f t="shared" si="578"/>
        <v>1019</v>
      </c>
      <c r="G7266" s="395"/>
      <c r="H7266" s="395"/>
      <c r="J7266" s="42"/>
    </row>
    <row r="7267" spans="1:10" s="393" customFormat="1" x14ac:dyDescent="0.25">
      <c r="A7267" s="394" t="s">
        <v>35</v>
      </c>
      <c r="B7267" s="2">
        <v>44195</v>
      </c>
      <c r="C7267" s="1">
        <v>148</v>
      </c>
      <c r="D7267" s="39">
        <f t="shared" si="577"/>
        <v>11503</v>
      </c>
      <c r="E7267" s="1"/>
      <c r="F7267" s="39">
        <f t="shared" si="578"/>
        <v>198</v>
      </c>
      <c r="G7267" s="395"/>
      <c r="H7267" s="395"/>
      <c r="J7267" s="42"/>
    </row>
    <row r="7268" spans="1:10" s="393" customFormat="1" x14ac:dyDescent="0.25">
      <c r="A7268" s="394" t="s">
        <v>36</v>
      </c>
      <c r="B7268" s="2">
        <v>44195</v>
      </c>
      <c r="C7268" s="1">
        <v>38</v>
      </c>
      <c r="D7268" s="39">
        <f t="shared" si="577"/>
        <v>16159</v>
      </c>
      <c r="E7268" s="1"/>
      <c r="F7268" s="39">
        <f t="shared" si="578"/>
        <v>300</v>
      </c>
      <c r="G7268" s="395"/>
      <c r="H7268" s="395"/>
      <c r="J7268" s="42"/>
    </row>
    <row r="7269" spans="1:10" s="393" customFormat="1" x14ac:dyDescent="0.25">
      <c r="A7269" s="394" t="s">
        <v>37</v>
      </c>
      <c r="B7269" s="2">
        <v>44195</v>
      </c>
      <c r="C7269" s="1">
        <v>434</v>
      </c>
      <c r="D7269" s="39">
        <f t="shared" si="577"/>
        <v>23335</v>
      </c>
      <c r="E7269" s="1">
        <v>1</v>
      </c>
      <c r="F7269" s="39">
        <f t="shared" si="578"/>
        <v>378</v>
      </c>
      <c r="G7269" s="395"/>
      <c r="H7269" s="395"/>
      <c r="J7269" s="42"/>
    </row>
    <row r="7270" spans="1:10" s="393" customFormat="1" x14ac:dyDescent="0.25">
      <c r="A7270" s="394" t="s">
        <v>22</v>
      </c>
      <c r="B7270" s="2">
        <v>44195</v>
      </c>
      <c r="C7270" s="1">
        <v>1307</v>
      </c>
      <c r="D7270" s="39">
        <f t="shared" si="577"/>
        <v>175021</v>
      </c>
      <c r="E7270" s="1">
        <v>25</v>
      </c>
      <c r="F7270" s="39">
        <f t="shared" si="578"/>
        <v>2940</v>
      </c>
      <c r="G7270" s="395"/>
      <c r="H7270" s="395"/>
      <c r="J7270" s="42"/>
    </row>
    <row r="7271" spans="1:10" s="393" customFormat="1" x14ac:dyDescent="0.25">
      <c r="A7271" s="394" t="s">
        <v>38</v>
      </c>
      <c r="B7271" s="2">
        <v>44195</v>
      </c>
      <c r="C7271" s="1">
        <v>123</v>
      </c>
      <c r="D7271" s="39">
        <f t="shared" si="577"/>
        <v>17330</v>
      </c>
      <c r="E7271" s="1"/>
      <c r="F7271" s="39">
        <f t="shared" si="578"/>
        <v>218</v>
      </c>
      <c r="G7271" s="395"/>
      <c r="H7271" s="395"/>
      <c r="J7271" s="42"/>
    </row>
    <row r="7272" spans="1:10" s="393" customFormat="1" x14ac:dyDescent="0.25">
      <c r="A7272" s="394" t="s">
        <v>39</v>
      </c>
      <c r="B7272" s="2">
        <v>44195</v>
      </c>
      <c r="C7272" s="1">
        <v>67</v>
      </c>
      <c r="D7272" s="39">
        <f t="shared" si="577"/>
        <v>19028</v>
      </c>
      <c r="E7272" s="1">
        <v>3</v>
      </c>
      <c r="F7272" s="39">
        <f t="shared" si="578"/>
        <v>251</v>
      </c>
      <c r="G7272" s="395"/>
      <c r="H7272" s="395"/>
      <c r="J7272" s="42"/>
    </row>
    <row r="7273" spans="1:10" s="393" customFormat="1" x14ac:dyDescent="0.25">
      <c r="A7273" s="394" t="s">
        <v>40</v>
      </c>
      <c r="B7273" s="2">
        <v>44195</v>
      </c>
      <c r="C7273" s="234">
        <v>151</v>
      </c>
      <c r="D7273" s="39">
        <f t="shared" si="577"/>
        <v>70994</v>
      </c>
      <c r="E7273" s="1">
        <v>13</v>
      </c>
      <c r="F7273" s="39">
        <f t="shared" si="578"/>
        <v>1366</v>
      </c>
      <c r="G7273" s="395"/>
      <c r="H7273" s="395"/>
      <c r="J7273" s="42"/>
    </row>
    <row r="7274" spans="1:10" s="393" customFormat="1" x14ac:dyDescent="0.25">
      <c r="A7274" s="394" t="s">
        <v>16</v>
      </c>
      <c r="B7274" s="29">
        <v>44196</v>
      </c>
      <c r="C7274" s="277">
        <v>4724</v>
      </c>
      <c r="D7274" s="278">
        <f t="shared" si="577"/>
        <v>684765</v>
      </c>
      <c r="E7274" s="1">
        <v>57</v>
      </c>
      <c r="F7274" s="39">
        <f t="shared" si="578"/>
        <v>22348</v>
      </c>
      <c r="G7274" s="395"/>
      <c r="H7274" s="395"/>
      <c r="J7274" s="42"/>
    </row>
    <row r="7275" spans="1:10" s="393" customFormat="1" x14ac:dyDescent="0.25">
      <c r="A7275" s="394" t="s">
        <v>43</v>
      </c>
      <c r="B7275" s="29">
        <v>44196</v>
      </c>
      <c r="C7275" s="277">
        <v>1337</v>
      </c>
      <c r="D7275" s="278">
        <f t="shared" si="577"/>
        <v>174599</v>
      </c>
      <c r="E7275" s="1">
        <v>5</v>
      </c>
      <c r="F7275" s="39">
        <f t="shared" si="578"/>
        <v>5504</v>
      </c>
      <c r="G7275" s="395"/>
      <c r="H7275" s="395"/>
      <c r="J7275" s="42"/>
    </row>
    <row r="7276" spans="1:10" s="393" customFormat="1" x14ac:dyDescent="0.25">
      <c r="A7276" s="394" t="s">
        <v>28</v>
      </c>
      <c r="B7276" s="29">
        <v>44196</v>
      </c>
      <c r="C7276" s="277">
        <v>82</v>
      </c>
      <c r="D7276" s="278">
        <f t="shared" si="577"/>
        <v>2767</v>
      </c>
      <c r="E7276" s="1"/>
      <c r="F7276" s="39">
        <f t="shared" si="578"/>
        <v>17</v>
      </c>
      <c r="G7276" s="395"/>
      <c r="H7276" s="395"/>
      <c r="J7276" s="42"/>
    </row>
    <row r="7277" spans="1:10" s="393" customFormat="1" x14ac:dyDescent="0.25">
      <c r="A7277" s="394" t="s">
        <v>15</v>
      </c>
      <c r="B7277" s="29">
        <v>44196</v>
      </c>
      <c r="C7277" s="277">
        <v>259</v>
      </c>
      <c r="D7277" s="278">
        <f t="shared" si="577"/>
        <v>24782</v>
      </c>
      <c r="E7277" s="1">
        <v>2</v>
      </c>
      <c r="F7277" s="39">
        <f t="shared" si="578"/>
        <v>694</v>
      </c>
      <c r="G7277" s="395"/>
      <c r="H7277" s="395"/>
      <c r="J7277" s="42"/>
    </row>
    <row r="7278" spans="1:10" s="393" customFormat="1" x14ac:dyDescent="0.25">
      <c r="A7278" s="394" t="s">
        <v>29</v>
      </c>
      <c r="B7278" s="29">
        <v>44196</v>
      </c>
      <c r="C7278" s="277">
        <v>455</v>
      </c>
      <c r="D7278" s="278">
        <f t="shared" si="577"/>
        <v>31931</v>
      </c>
      <c r="E7278" s="1"/>
      <c r="F7278" s="39">
        <f t="shared" si="578"/>
        <v>493</v>
      </c>
      <c r="G7278" s="395"/>
      <c r="H7278" s="395"/>
      <c r="J7278" s="42"/>
    </row>
    <row r="7279" spans="1:10" s="393" customFormat="1" x14ac:dyDescent="0.25">
      <c r="A7279" s="394" t="s">
        <v>20</v>
      </c>
      <c r="B7279" s="29">
        <v>44196</v>
      </c>
      <c r="C7279" s="277">
        <v>780</v>
      </c>
      <c r="D7279" s="278">
        <f t="shared" si="577"/>
        <v>127697</v>
      </c>
      <c r="E7279" s="1">
        <v>5</v>
      </c>
      <c r="F7279" s="39">
        <f t="shared" si="578"/>
        <v>2469</v>
      </c>
      <c r="G7279" s="395"/>
      <c r="H7279" s="395"/>
      <c r="J7279" s="42"/>
    </row>
    <row r="7280" spans="1:10" s="393" customFormat="1" x14ac:dyDescent="0.25">
      <c r="A7280" s="394" t="s">
        <v>30</v>
      </c>
      <c r="B7280" s="29">
        <v>44196</v>
      </c>
      <c r="C7280" s="277">
        <v>75</v>
      </c>
      <c r="D7280" s="278">
        <f t="shared" si="577"/>
        <v>11975</v>
      </c>
      <c r="E7280" s="1"/>
      <c r="F7280" s="39">
        <f t="shared" si="578"/>
        <v>169</v>
      </c>
      <c r="G7280" s="395"/>
      <c r="H7280" s="395"/>
      <c r="J7280" s="42"/>
    </row>
    <row r="7281" spans="1:10" x14ac:dyDescent="0.25">
      <c r="A7281" s="394" t="s">
        <v>31</v>
      </c>
      <c r="B7281" s="29">
        <v>44196</v>
      </c>
      <c r="C7281" s="277">
        <v>491</v>
      </c>
      <c r="D7281" s="278">
        <f t="shared" si="577"/>
        <v>29493</v>
      </c>
      <c r="E7281" s="1">
        <v>3</v>
      </c>
      <c r="F7281" s="39">
        <f t="shared" si="578"/>
        <v>583</v>
      </c>
    </row>
    <row r="7282" spans="1:10" s="393" customFormat="1" x14ac:dyDescent="0.25">
      <c r="A7282" s="394" t="s">
        <v>41</v>
      </c>
      <c r="B7282" s="29">
        <v>44196</v>
      </c>
      <c r="C7282" s="277">
        <v>6</v>
      </c>
      <c r="D7282" s="278">
        <f t="shared" si="577"/>
        <v>218</v>
      </c>
      <c r="E7282" s="1"/>
      <c r="F7282" s="39">
        <f t="shared" si="578"/>
        <v>3</v>
      </c>
      <c r="G7282" s="395"/>
      <c r="H7282" s="395"/>
      <c r="J7282" s="42"/>
    </row>
    <row r="7283" spans="1:10" s="393" customFormat="1" x14ac:dyDescent="0.25">
      <c r="A7283" s="394" t="s">
        <v>32</v>
      </c>
      <c r="B7283" s="29">
        <v>44196</v>
      </c>
      <c r="C7283" s="277">
        <v>6</v>
      </c>
      <c r="D7283" s="278">
        <f t="shared" si="577"/>
        <v>18551</v>
      </c>
      <c r="E7283" s="1"/>
      <c r="F7283" s="39">
        <f t="shared" si="578"/>
        <v>858</v>
      </c>
      <c r="G7283" s="395"/>
      <c r="H7283" s="395"/>
      <c r="J7283" s="42"/>
    </row>
    <row r="7284" spans="1:10" s="393" customFormat="1" x14ac:dyDescent="0.25">
      <c r="A7284" s="394" t="s">
        <v>33</v>
      </c>
      <c r="B7284" s="29">
        <v>44196</v>
      </c>
      <c r="C7284" s="277">
        <v>302</v>
      </c>
      <c r="D7284" s="278">
        <f t="shared" si="577"/>
        <v>10851</v>
      </c>
      <c r="E7284" s="1"/>
      <c r="F7284" s="39">
        <f t="shared" si="578"/>
        <v>124</v>
      </c>
      <c r="G7284" s="395"/>
      <c r="H7284" s="395"/>
      <c r="J7284" s="42"/>
    </row>
    <row r="7285" spans="1:10" s="393" customFormat="1" x14ac:dyDescent="0.25">
      <c r="A7285" s="394" t="s">
        <v>21</v>
      </c>
      <c r="B7285" s="29">
        <v>44196</v>
      </c>
      <c r="C7285" s="277">
        <v>9</v>
      </c>
      <c r="D7285" s="278">
        <f t="shared" si="577"/>
        <v>9094</v>
      </c>
      <c r="E7285" s="1"/>
      <c r="F7285" s="39">
        <f t="shared" si="578"/>
        <v>388</v>
      </c>
      <c r="G7285" s="395"/>
      <c r="H7285" s="395"/>
      <c r="J7285" s="42"/>
    </row>
    <row r="7286" spans="1:10" s="393" customFormat="1" x14ac:dyDescent="0.25">
      <c r="A7286" s="394" t="s">
        <v>17</v>
      </c>
      <c r="B7286" s="29">
        <v>44196</v>
      </c>
      <c r="C7286" s="277">
        <v>131</v>
      </c>
      <c r="D7286" s="278">
        <f t="shared" si="577"/>
        <v>60147</v>
      </c>
      <c r="E7286" s="1"/>
      <c r="F7286" s="39">
        <f t="shared" si="578"/>
        <v>1231</v>
      </c>
      <c r="G7286" s="395"/>
      <c r="H7286" s="395"/>
      <c r="J7286" s="42"/>
    </row>
    <row r="7287" spans="1:10" s="393" customFormat="1" x14ac:dyDescent="0.25">
      <c r="A7287" s="394" t="s">
        <v>23</v>
      </c>
      <c r="B7287" s="29">
        <v>44196</v>
      </c>
      <c r="C7287" s="277">
        <v>6</v>
      </c>
      <c r="D7287" s="278">
        <f t="shared" si="577"/>
        <v>1082</v>
      </c>
      <c r="E7287" s="1">
        <v>1</v>
      </c>
      <c r="F7287" s="39">
        <f t="shared" si="578"/>
        <v>12</v>
      </c>
      <c r="G7287" s="395"/>
      <c r="H7287" s="395"/>
      <c r="J7287" s="42"/>
    </row>
    <row r="7288" spans="1:10" s="393" customFormat="1" x14ac:dyDescent="0.25">
      <c r="A7288" s="394" t="s">
        <v>19</v>
      </c>
      <c r="B7288" s="29">
        <v>44196</v>
      </c>
      <c r="C7288" s="277">
        <v>403</v>
      </c>
      <c r="D7288" s="278">
        <f t="shared" si="577"/>
        <v>41050</v>
      </c>
      <c r="E7288" s="1"/>
      <c r="F7288" s="39">
        <f t="shared" si="578"/>
        <v>711</v>
      </c>
      <c r="G7288" s="395"/>
      <c r="H7288" s="395"/>
      <c r="J7288" s="42"/>
    </row>
    <row r="7289" spans="1:10" s="393" customFormat="1" x14ac:dyDescent="0.25">
      <c r="A7289" s="394" t="s">
        <v>18</v>
      </c>
      <c r="B7289" s="29">
        <v>44196</v>
      </c>
      <c r="C7289" s="277">
        <v>272</v>
      </c>
      <c r="D7289" s="278">
        <f t="shared" si="577"/>
        <v>38586</v>
      </c>
      <c r="E7289" s="1">
        <v>1</v>
      </c>
      <c r="F7289" s="39">
        <f t="shared" si="578"/>
        <v>901</v>
      </c>
      <c r="G7289" s="395"/>
      <c r="H7289" s="395"/>
      <c r="J7289" s="42"/>
    </row>
    <row r="7290" spans="1:10" s="393" customFormat="1" x14ac:dyDescent="0.25">
      <c r="A7290" s="394" t="s">
        <v>34</v>
      </c>
      <c r="B7290" s="29">
        <v>44196</v>
      </c>
      <c r="C7290" s="277">
        <v>71</v>
      </c>
      <c r="D7290" s="278">
        <f t="shared" si="577"/>
        <v>22379</v>
      </c>
      <c r="E7290" s="1">
        <v>1</v>
      </c>
      <c r="F7290" s="39">
        <f t="shared" si="578"/>
        <v>1020</v>
      </c>
      <c r="G7290" s="395"/>
      <c r="H7290" s="395"/>
      <c r="J7290" s="42"/>
    </row>
    <row r="7291" spans="1:10" s="393" customFormat="1" x14ac:dyDescent="0.25">
      <c r="A7291" s="394" t="s">
        <v>35</v>
      </c>
      <c r="B7291" s="29">
        <v>44196</v>
      </c>
      <c r="C7291" s="277">
        <v>45</v>
      </c>
      <c r="D7291" s="278">
        <f t="shared" si="577"/>
        <v>11548</v>
      </c>
      <c r="E7291" s="1"/>
      <c r="F7291" s="39">
        <f t="shared" si="578"/>
        <v>198</v>
      </c>
      <c r="G7291" s="395"/>
      <c r="H7291" s="395"/>
      <c r="J7291" s="42"/>
    </row>
    <row r="7292" spans="1:10" s="393" customFormat="1" x14ac:dyDescent="0.25">
      <c r="A7292" s="394" t="s">
        <v>36</v>
      </c>
      <c r="B7292" s="29">
        <v>44196</v>
      </c>
      <c r="C7292" s="277">
        <v>32</v>
      </c>
      <c r="D7292" s="278">
        <f t="shared" si="577"/>
        <v>16191</v>
      </c>
      <c r="E7292" s="1"/>
      <c r="F7292" s="39">
        <f t="shared" si="578"/>
        <v>300</v>
      </c>
      <c r="G7292" s="395"/>
      <c r="H7292" s="395"/>
      <c r="J7292" s="42"/>
    </row>
    <row r="7293" spans="1:10" s="393" customFormat="1" x14ac:dyDescent="0.25">
      <c r="A7293" s="394" t="s">
        <v>37</v>
      </c>
      <c r="B7293" s="29">
        <v>44196</v>
      </c>
      <c r="C7293" s="277">
        <v>420</v>
      </c>
      <c r="D7293" s="278">
        <f t="shared" si="577"/>
        <v>23755</v>
      </c>
      <c r="E7293" s="1">
        <v>1</v>
      </c>
      <c r="F7293" s="39">
        <f t="shared" si="578"/>
        <v>379</v>
      </c>
      <c r="G7293" s="395"/>
      <c r="H7293" s="395"/>
      <c r="J7293" s="42"/>
    </row>
    <row r="7294" spans="1:10" s="393" customFormat="1" x14ac:dyDescent="0.25">
      <c r="A7294" s="394" t="s">
        <v>22</v>
      </c>
      <c r="B7294" s="29">
        <v>44196</v>
      </c>
      <c r="C7294" s="277">
        <v>1354</v>
      </c>
      <c r="D7294" s="278">
        <f t="shared" si="577"/>
        <v>176375</v>
      </c>
      <c r="E7294" s="1">
        <v>6</v>
      </c>
      <c r="F7294" s="39">
        <f t="shared" si="578"/>
        <v>2946</v>
      </c>
      <c r="G7294" s="395"/>
      <c r="H7294" s="395"/>
      <c r="J7294" s="42"/>
    </row>
    <row r="7295" spans="1:10" s="393" customFormat="1" x14ac:dyDescent="0.25">
      <c r="A7295" s="394" t="s">
        <v>38</v>
      </c>
      <c r="B7295" s="29">
        <v>44196</v>
      </c>
      <c r="C7295" s="277">
        <v>100</v>
      </c>
      <c r="D7295" s="278">
        <f t="shared" si="577"/>
        <v>17430</v>
      </c>
      <c r="E7295" s="1"/>
      <c r="F7295" s="39">
        <f t="shared" si="578"/>
        <v>218</v>
      </c>
      <c r="G7295" s="395"/>
      <c r="H7295" s="395"/>
      <c r="J7295" s="42"/>
    </row>
    <row r="7296" spans="1:10" s="393" customFormat="1" x14ac:dyDescent="0.25">
      <c r="A7296" s="394" t="s">
        <v>39</v>
      </c>
      <c r="B7296" s="29">
        <v>44196</v>
      </c>
      <c r="C7296" s="277">
        <v>111</v>
      </c>
      <c r="D7296" s="278">
        <f t="shared" si="577"/>
        <v>19139</v>
      </c>
      <c r="E7296" s="1">
        <v>1</v>
      </c>
      <c r="F7296" s="39">
        <f t="shared" si="578"/>
        <v>252</v>
      </c>
      <c r="G7296" s="395"/>
      <c r="H7296" s="395"/>
      <c r="J7296" s="42"/>
    </row>
    <row r="7297" spans="1:10" s="393" customFormat="1" x14ac:dyDescent="0.25">
      <c r="A7297" s="394" t="s">
        <v>40</v>
      </c>
      <c r="B7297" s="29">
        <v>44196</v>
      </c>
      <c r="C7297" s="277">
        <v>116</v>
      </c>
      <c r="D7297" s="278">
        <f t="shared" si="577"/>
        <v>71110</v>
      </c>
      <c r="E7297" s="1"/>
      <c r="F7297" s="39">
        <f t="shared" si="578"/>
        <v>1366</v>
      </c>
      <c r="G7297" s="395"/>
      <c r="H7297" s="395"/>
      <c r="J7297" s="42"/>
    </row>
    <row r="7298" spans="1:10" s="393" customFormat="1" x14ac:dyDescent="0.25">
      <c r="A7298" s="394" t="s">
        <v>16</v>
      </c>
      <c r="B7298" s="29">
        <v>44197</v>
      </c>
      <c r="C7298" s="227">
        <v>1486</v>
      </c>
      <c r="D7298" s="278">
        <f t="shared" si="577"/>
        <v>686251</v>
      </c>
      <c r="E7298" s="1">
        <v>64</v>
      </c>
      <c r="F7298" s="39">
        <f t="shared" si="578"/>
        <v>22412</v>
      </c>
      <c r="G7298" s="395"/>
      <c r="H7298" s="395"/>
      <c r="J7298" s="42"/>
    </row>
    <row r="7299" spans="1:10" s="393" customFormat="1" x14ac:dyDescent="0.25">
      <c r="A7299" s="394" t="s">
        <v>43</v>
      </c>
      <c r="B7299" s="29">
        <v>44197</v>
      </c>
      <c r="C7299" s="1">
        <v>574</v>
      </c>
      <c r="D7299" s="278">
        <f t="shared" si="577"/>
        <v>175173</v>
      </c>
      <c r="E7299" s="1">
        <v>6</v>
      </c>
      <c r="F7299" s="39">
        <f t="shared" si="578"/>
        <v>5510</v>
      </c>
      <c r="G7299" s="395"/>
      <c r="H7299" s="395"/>
      <c r="J7299" s="42"/>
    </row>
    <row r="7300" spans="1:10" s="393" customFormat="1" x14ac:dyDescent="0.25">
      <c r="A7300" s="394" t="s">
        <v>28</v>
      </c>
      <c r="B7300" s="29">
        <v>44197</v>
      </c>
      <c r="C7300" s="1">
        <v>0</v>
      </c>
      <c r="D7300" s="278">
        <f t="shared" si="577"/>
        <v>2767</v>
      </c>
      <c r="E7300" s="1"/>
      <c r="F7300" s="39">
        <f t="shared" si="578"/>
        <v>17</v>
      </c>
      <c r="G7300" s="395"/>
      <c r="H7300" s="395"/>
      <c r="J7300" s="42"/>
    </row>
    <row r="7301" spans="1:10" s="393" customFormat="1" x14ac:dyDescent="0.25">
      <c r="A7301" s="394" t="s">
        <v>15</v>
      </c>
      <c r="B7301" s="29">
        <v>44197</v>
      </c>
      <c r="C7301" s="1">
        <v>101</v>
      </c>
      <c r="D7301" s="278">
        <f t="shared" si="577"/>
        <v>24883</v>
      </c>
      <c r="E7301" s="1">
        <v>1</v>
      </c>
      <c r="F7301" s="39">
        <f t="shared" si="578"/>
        <v>695</v>
      </c>
      <c r="G7301" s="395"/>
      <c r="H7301" s="395"/>
      <c r="J7301" s="42"/>
    </row>
    <row r="7302" spans="1:10" s="393" customFormat="1" x14ac:dyDescent="0.25">
      <c r="A7302" s="394" t="s">
        <v>29</v>
      </c>
      <c r="B7302" s="29">
        <v>44197</v>
      </c>
      <c r="C7302" s="1">
        <v>117</v>
      </c>
      <c r="D7302" s="278">
        <f t="shared" si="577"/>
        <v>32048</v>
      </c>
      <c r="E7302" s="1"/>
      <c r="F7302" s="39">
        <f t="shared" si="578"/>
        <v>493</v>
      </c>
      <c r="G7302" s="395"/>
      <c r="H7302" s="395"/>
      <c r="J7302" s="42"/>
    </row>
    <row r="7303" spans="1:10" s="393" customFormat="1" x14ac:dyDescent="0.25">
      <c r="A7303" s="394" t="s">
        <v>20</v>
      </c>
      <c r="B7303" s="29">
        <v>44197</v>
      </c>
      <c r="C7303" s="1">
        <v>244</v>
      </c>
      <c r="D7303" s="278">
        <f t="shared" si="577"/>
        <v>127941</v>
      </c>
      <c r="E7303" s="1"/>
      <c r="F7303" s="39">
        <f t="shared" si="578"/>
        <v>2469</v>
      </c>
      <c r="G7303" s="395"/>
      <c r="H7303" s="395"/>
      <c r="J7303" s="42"/>
    </row>
    <row r="7304" spans="1:10" s="393" customFormat="1" x14ac:dyDescent="0.25">
      <c r="A7304" s="394" t="s">
        <v>30</v>
      </c>
      <c r="B7304" s="29">
        <v>44197</v>
      </c>
      <c r="C7304" s="1">
        <v>40</v>
      </c>
      <c r="D7304" s="278">
        <f t="shared" si="577"/>
        <v>12015</v>
      </c>
      <c r="E7304" s="1"/>
      <c r="F7304" s="39">
        <f t="shared" si="578"/>
        <v>169</v>
      </c>
      <c r="G7304" s="395"/>
      <c r="H7304" s="395"/>
      <c r="J7304" s="42"/>
    </row>
    <row r="7305" spans="1:10" x14ac:dyDescent="0.25">
      <c r="A7305" s="394" t="s">
        <v>31</v>
      </c>
      <c r="B7305" s="29">
        <v>44197</v>
      </c>
      <c r="C7305" s="1">
        <v>259</v>
      </c>
      <c r="D7305" s="278">
        <f t="shared" si="577"/>
        <v>29752</v>
      </c>
      <c r="F7305" s="39">
        <f t="shared" si="578"/>
        <v>583</v>
      </c>
    </row>
    <row r="7306" spans="1:10" s="393" customFormat="1" x14ac:dyDescent="0.25">
      <c r="A7306" s="394" t="s">
        <v>41</v>
      </c>
      <c r="B7306" s="29">
        <v>44197</v>
      </c>
      <c r="C7306" s="1">
        <v>1</v>
      </c>
      <c r="D7306" s="278">
        <f t="shared" si="577"/>
        <v>219</v>
      </c>
      <c r="E7306" s="1"/>
      <c r="F7306" s="39">
        <f t="shared" si="578"/>
        <v>3</v>
      </c>
      <c r="G7306" s="395"/>
      <c r="H7306" s="395"/>
      <c r="J7306" s="42"/>
    </row>
    <row r="7307" spans="1:10" s="393" customFormat="1" x14ac:dyDescent="0.25">
      <c r="A7307" s="394" t="s">
        <v>32</v>
      </c>
      <c r="B7307" s="29">
        <v>44197</v>
      </c>
      <c r="C7307" s="1">
        <v>12</v>
      </c>
      <c r="D7307" s="278">
        <f t="shared" si="577"/>
        <v>18563</v>
      </c>
      <c r="E7307" s="1"/>
      <c r="F7307" s="39">
        <f t="shared" si="578"/>
        <v>858</v>
      </c>
      <c r="G7307" s="395"/>
      <c r="H7307" s="395"/>
      <c r="J7307" s="42"/>
    </row>
    <row r="7308" spans="1:10" s="393" customFormat="1" x14ac:dyDescent="0.25">
      <c r="A7308" s="394" t="s">
        <v>33</v>
      </c>
      <c r="B7308" s="29">
        <v>44197</v>
      </c>
      <c r="C7308" s="1">
        <v>226</v>
      </c>
      <c r="D7308" s="278">
        <f t="shared" si="577"/>
        <v>11077</v>
      </c>
      <c r="E7308" s="1"/>
      <c r="F7308" s="39">
        <f t="shared" si="578"/>
        <v>124</v>
      </c>
      <c r="G7308" s="395"/>
      <c r="H7308" s="395"/>
      <c r="J7308" s="42"/>
    </row>
    <row r="7309" spans="1:10" s="393" customFormat="1" x14ac:dyDescent="0.25">
      <c r="A7309" s="394" t="s">
        <v>21</v>
      </c>
      <c r="B7309" s="29">
        <v>44197</v>
      </c>
      <c r="C7309" s="1">
        <v>18</v>
      </c>
      <c r="D7309" s="278">
        <f t="shared" si="577"/>
        <v>9112</v>
      </c>
      <c r="E7309" s="1"/>
      <c r="F7309" s="39">
        <f t="shared" si="578"/>
        <v>388</v>
      </c>
      <c r="G7309" s="395"/>
      <c r="H7309" s="395"/>
      <c r="J7309" s="42"/>
    </row>
    <row r="7310" spans="1:10" s="393" customFormat="1" x14ac:dyDescent="0.25">
      <c r="A7310" s="394" t="s">
        <v>17</v>
      </c>
      <c r="B7310" s="29">
        <v>44197</v>
      </c>
      <c r="C7310" s="1">
        <v>41</v>
      </c>
      <c r="D7310" s="278">
        <f t="shared" si="577"/>
        <v>60188</v>
      </c>
      <c r="E7310" s="1"/>
      <c r="F7310" s="39">
        <f t="shared" si="578"/>
        <v>1231</v>
      </c>
      <c r="G7310" s="395"/>
      <c r="H7310" s="395"/>
      <c r="J7310" s="42"/>
    </row>
    <row r="7311" spans="1:10" s="393" customFormat="1" x14ac:dyDescent="0.25">
      <c r="A7311" s="394" t="s">
        <v>23</v>
      </c>
      <c r="B7311" s="29">
        <v>44197</v>
      </c>
      <c r="C7311" s="1">
        <v>0</v>
      </c>
      <c r="D7311" s="278">
        <f t="shared" si="577"/>
        <v>1082</v>
      </c>
      <c r="E7311" s="1"/>
      <c r="F7311" s="39">
        <f t="shared" si="578"/>
        <v>12</v>
      </c>
      <c r="G7311" s="395"/>
      <c r="H7311" s="395"/>
      <c r="J7311" s="42"/>
    </row>
    <row r="7312" spans="1:10" s="393" customFormat="1" x14ac:dyDescent="0.25">
      <c r="A7312" s="394" t="s">
        <v>19</v>
      </c>
      <c r="B7312" s="29">
        <v>44197</v>
      </c>
      <c r="C7312" s="1">
        <v>199</v>
      </c>
      <c r="D7312" s="278">
        <f t="shared" si="577"/>
        <v>41249</v>
      </c>
      <c r="E7312" s="1"/>
      <c r="F7312" s="39">
        <f t="shared" si="578"/>
        <v>711</v>
      </c>
      <c r="G7312" s="395"/>
      <c r="H7312" s="395"/>
      <c r="J7312" s="42"/>
    </row>
    <row r="7313" spans="1:10" s="393" customFormat="1" x14ac:dyDescent="0.25">
      <c r="A7313" s="394" t="s">
        <v>18</v>
      </c>
      <c r="B7313" s="29">
        <v>44197</v>
      </c>
      <c r="C7313" s="1">
        <v>114</v>
      </c>
      <c r="D7313" s="278">
        <f t="shared" si="577"/>
        <v>38700</v>
      </c>
      <c r="E7313" s="1"/>
      <c r="F7313" s="39">
        <f t="shared" si="578"/>
        <v>901</v>
      </c>
      <c r="G7313" s="395"/>
      <c r="H7313" s="395"/>
      <c r="J7313" s="42"/>
    </row>
    <row r="7314" spans="1:10" s="393" customFormat="1" x14ac:dyDescent="0.25">
      <c r="A7314" s="394" t="s">
        <v>34</v>
      </c>
      <c r="B7314" s="29">
        <v>44197</v>
      </c>
      <c r="C7314" s="1">
        <v>14</v>
      </c>
      <c r="D7314" s="278">
        <f t="shared" ref="D7314:D7377" si="579">C7314+D7290</f>
        <v>22393</v>
      </c>
      <c r="E7314" s="1"/>
      <c r="F7314" s="39">
        <f t="shared" ref="F7314:F7377" si="580">E7314+F7290</f>
        <v>1020</v>
      </c>
      <c r="G7314" s="395"/>
      <c r="H7314" s="395"/>
      <c r="J7314" s="42"/>
    </row>
    <row r="7315" spans="1:10" s="393" customFormat="1" x14ac:dyDescent="0.25">
      <c r="A7315" s="394" t="s">
        <v>35</v>
      </c>
      <c r="B7315" s="29">
        <v>44197</v>
      </c>
      <c r="C7315" s="1">
        <v>13</v>
      </c>
      <c r="D7315" s="278">
        <f t="shared" si="579"/>
        <v>11561</v>
      </c>
      <c r="E7315" s="1"/>
      <c r="F7315" s="39">
        <f t="shared" si="580"/>
        <v>198</v>
      </c>
      <c r="G7315" s="395"/>
      <c r="H7315" s="395"/>
      <c r="J7315" s="42"/>
    </row>
    <row r="7316" spans="1:10" s="393" customFormat="1" x14ac:dyDescent="0.25">
      <c r="A7316" s="394" t="s">
        <v>36</v>
      </c>
      <c r="B7316" s="29">
        <v>44197</v>
      </c>
      <c r="C7316" s="1">
        <v>8</v>
      </c>
      <c r="D7316" s="278">
        <f t="shared" si="579"/>
        <v>16199</v>
      </c>
      <c r="E7316" s="1"/>
      <c r="F7316" s="39">
        <f t="shared" si="580"/>
        <v>300</v>
      </c>
      <c r="G7316" s="395"/>
      <c r="H7316" s="395"/>
      <c r="J7316" s="42"/>
    </row>
    <row r="7317" spans="1:10" s="393" customFormat="1" x14ac:dyDescent="0.25">
      <c r="A7317" s="394" t="s">
        <v>37</v>
      </c>
      <c r="B7317" s="29">
        <v>44197</v>
      </c>
      <c r="C7317" s="1">
        <v>134</v>
      </c>
      <c r="D7317" s="278">
        <f t="shared" si="579"/>
        <v>23889</v>
      </c>
      <c r="E7317" s="1">
        <v>1</v>
      </c>
      <c r="F7317" s="39">
        <f t="shared" si="580"/>
        <v>380</v>
      </c>
      <c r="G7317" s="395"/>
      <c r="H7317" s="395"/>
      <c r="J7317" s="42"/>
    </row>
    <row r="7318" spans="1:10" s="393" customFormat="1" x14ac:dyDescent="0.25">
      <c r="A7318" s="394" t="s">
        <v>22</v>
      </c>
      <c r="B7318" s="29">
        <v>44197</v>
      </c>
      <c r="C7318" s="1">
        <v>352</v>
      </c>
      <c r="D7318" s="278">
        <f t="shared" si="579"/>
        <v>176727</v>
      </c>
      <c r="E7318" s="1"/>
      <c r="F7318" s="39">
        <f t="shared" si="580"/>
        <v>2946</v>
      </c>
      <c r="G7318" s="395"/>
      <c r="H7318" s="395"/>
      <c r="J7318" s="42"/>
    </row>
    <row r="7319" spans="1:10" s="393" customFormat="1" x14ac:dyDescent="0.25">
      <c r="A7319" s="394" t="s">
        <v>38</v>
      </c>
      <c r="B7319" s="29">
        <v>44197</v>
      </c>
      <c r="C7319" s="1">
        <v>9</v>
      </c>
      <c r="D7319" s="278">
        <f t="shared" si="579"/>
        <v>17439</v>
      </c>
      <c r="E7319" s="1"/>
      <c r="F7319" s="39">
        <f t="shared" si="580"/>
        <v>218</v>
      </c>
      <c r="G7319" s="395"/>
      <c r="H7319" s="395"/>
      <c r="J7319" s="42"/>
    </row>
    <row r="7320" spans="1:10" s="393" customFormat="1" x14ac:dyDescent="0.25">
      <c r="A7320" s="394" t="s">
        <v>39</v>
      </c>
      <c r="B7320" s="29">
        <v>44197</v>
      </c>
      <c r="C7320" s="1">
        <v>82</v>
      </c>
      <c r="D7320" s="278">
        <f t="shared" si="579"/>
        <v>19221</v>
      </c>
      <c r="E7320" s="1"/>
      <c r="F7320" s="39">
        <f t="shared" si="580"/>
        <v>252</v>
      </c>
      <c r="G7320" s="395"/>
      <c r="H7320" s="395"/>
      <c r="J7320" s="42"/>
    </row>
    <row r="7321" spans="1:10" s="393" customFormat="1" x14ac:dyDescent="0.25">
      <c r="A7321" s="394" t="s">
        <v>40</v>
      </c>
      <c r="B7321" s="29">
        <v>44197</v>
      </c>
      <c r="C7321" s="1">
        <v>35</v>
      </c>
      <c r="D7321" s="278">
        <f t="shared" si="579"/>
        <v>71145</v>
      </c>
      <c r="E7321" s="1"/>
      <c r="F7321" s="39">
        <f t="shared" si="580"/>
        <v>1366</v>
      </c>
      <c r="G7321" s="395"/>
      <c r="H7321" s="395"/>
      <c r="J7321" s="42"/>
    </row>
    <row r="7322" spans="1:10" s="393" customFormat="1" x14ac:dyDescent="0.25">
      <c r="A7322" s="394" t="s">
        <v>16</v>
      </c>
      <c r="B7322" s="29">
        <v>44198</v>
      </c>
      <c r="C7322" s="1">
        <v>2098</v>
      </c>
      <c r="D7322" s="278">
        <f t="shared" si="579"/>
        <v>688349</v>
      </c>
      <c r="E7322" s="1">
        <v>13</v>
      </c>
      <c r="F7322" s="39">
        <f t="shared" si="580"/>
        <v>22425</v>
      </c>
      <c r="G7322" s="395"/>
      <c r="H7322" s="395"/>
      <c r="J7322" s="42"/>
    </row>
    <row r="7323" spans="1:10" s="393" customFormat="1" x14ac:dyDescent="0.25">
      <c r="A7323" s="394" t="s">
        <v>43</v>
      </c>
      <c r="B7323" s="29">
        <v>44198</v>
      </c>
      <c r="C7323" s="1">
        <v>495</v>
      </c>
      <c r="D7323" s="278">
        <f t="shared" si="579"/>
        <v>175668</v>
      </c>
      <c r="E7323" s="1">
        <v>13</v>
      </c>
      <c r="F7323" s="39">
        <f t="shared" si="580"/>
        <v>5523</v>
      </c>
      <c r="G7323" s="395"/>
      <c r="H7323" s="395"/>
      <c r="J7323" s="42"/>
    </row>
    <row r="7324" spans="1:10" s="393" customFormat="1" x14ac:dyDescent="0.25">
      <c r="A7324" s="394" t="s">
        <v>28</v>
      </c>
      <c r="B7324" s="29">
        <v>44198</v>
      </c>
      <c r="C7324" s="1">
        <v>51</v>
      </c>
      <c r="D7324" s="278">
        <f t="shared" si="579"/>
        <v>2818</v>
      </c>
      <c r="E7324" s="1"/>
      <c r="F7324" s="39">
        <f t="shared" si="580"/>
        <v>17</v>
      </c>
      <c r="G7324" s="395"/>
      <c r="H7324" s="395"/>
      <c r="J7324" s="42"/>
    </row>
    <row r="7325" spans="1:10" s="393" customFormat="1" x14ac:dyDescent="0.25">
      <c r="A7325" s="394" t="s">
        <v>15</v>
      </c>
      <c r="B7325" s="29">
        <v>44198</v>
      </c>
      <c r="C7325" s="1">
        <v>152</v>
      </c>
      <c r="D7325" s="278">
        <f t="shared" si="579"/>
        <v>25035</v>
      </c>
      <c r="E7325" s="1">
        <v>4</v>
      </c>
      <c r="F7325" s="39">
        <f t="shared" si="580"/>
        <v>699</v>
      </c>
      <c r="G7325" s="395"/>
      <c r="H7325" s="395"/>
      <c r="J7325" s="42"/>
    </row>
    <row r="7326" spans="1:10" s="393" customFormat="1" x14ac:dyDescent="0.25">
      <c r="A7326" s="394" t="s">
        <v>29</v>
      </c>
      <c r="B7326" s="29">
        <v>44198</v>
      </c>
      <c r="C7326" s="1">
        <v>204</v>
      </c>
      <c r="D7326" s="278">
        <f t="shared" si="579"/>
        <v>32252</v>
      </c>
      <c r="E7326" s="1">
        <v>1</v>
      </c>
      <c r="F7326" s="39">
        <f t="shared" si="580"/>
        <v>494</v>
      </c>
      <c r="G7326" s="395"/>
      <c r="H7326" s="395"/>
      <c r="J7326" s="42"/>
    </row>
    <row r="7327" spans="1:10" s="393" customFormat="1" x14ac:dyDescent="0.25">
      <c r="A7327" s="394" t="s">
        <v>20</v>
      </c>
      <c r="B7327" s="29">
        <v>44198</v>
      </c>
      <c r="C7327" s="1">
        <v>83</v>
      </c>
      <c r="D7327" s="278">
        <f t="shared" si="579"/>
        <v>128024</v>
      </c>
      <c r="E7327" s="1">
        <v>2</v>
      </c>
      <c r="F7327" s="39">
        <f t="shared" si="580"/>
        <v>2471</v>
      </c>
      <c r="G7327" s="395"/>
      <c r="H7327" s="395"/>
      <c r="J7327" s="42"/>
    </row>
    <row r="7328" spans="1:10" s="393" customFormat="1" x14ac:dyDescent="0.25">
      <c r="A7328" s="394" t="s">
        <v>30</v>
      </c>
      <c r="B7328" s="29">
        <v>44198</v>
      </c>
      <c r="C7328" s="1">
        <v>103</v>
      </c>
      <c r="D7328" s="278">
        <f t="shared" si="579"/>
        <v>12118</v>
      </c>
      <c r="E7328" s="1"/>
      <c r="F7328" s="39">
        <f t="shared" si="580"/>
        <v>169</v>
      </c>
      <c r="G7328" s="395"/>
      <c r="H7328" s="395"/>
      <c r="J7328" s="42"/>
    </row>
    <row r="7329" spans="1:10" x14ac:dyDescent="0.25">
      <c r="A7329" s="394" t="s">
        <v>31</v>
      </c>
      <c r="B7329" s="29">
        <v>44198</v>
      </c>
      <c r="C7329" s="1">
        <v>143</v>
      </c>
      <c r="D7329" s="278">
        <f t="shared" si="579"/>
        <v>29895</v>
      </c>
      <c r="E7329" s="1">
        <v>4</v>
      </c>
      <c r="F7329" s="39">
        <f t="shared" si="580"/>
        <v>587</v>
      </c>
    </row>
    <row r="7330" spans="1:10" s="393" customFormat="1" x14ac:dyDescent="0.25">
      <c r="A7330" s="394" t="s">
        <v>41</v>
      </c>
      <c r="B7330" s="29">
        <v>44198</v>
      </c>
      <c r="C7330" s="1">
        <v>1</v>
      </c>
      <c r="D7330" s="278">
        <f t="shared" si="579"/>
        <v>220</v>
      </c>
      <c r="E7330" s="1"/>
      <c r="F7330" s="39">
        <f t="shared" si="580"/>
        <v>3</v>
      </c>
      <c r="G7330" s="395"/>
      <c r="H7330" s="395"/>
      <c r="J7330" s="42"/>
    </row>
    <row r="7331" spans="1:10" s="393" customFormat="1" x14ac:dyDescent="0.25">
      <c r="A7331" s="394" t="s">
        <v>32</v>
      </c>
      <c r="B7331" s="29">
        <v>44198</v>
      </c>
      <c r="C7331" s="1">
        <v>-1</v>
      </c>
      <c r="D7331" s="278">
        <f t="shared" si="579"/>
        <v>18562</v>
      </c>
      <c r="E7331" s="1"/>
      <c r="F7331" s="39">
        <f t="shared" si="580"/>
        <v>858</v>
      </c>
      <c r="G7331" s="395"/>
      <c r="H7331" s="395"/>
      <c r="J7331" s="42"/>
    </row>
    <row r="7332" spans="1:10" s="393" customFormat="1" x14ac:dyDescent="0.25">
      <c r="A7332" s="394" t="s">
        <v>33</v>
      </c>
      <c r="B7332" s="29">
        <v>44198</v>
      </c>
      <c r="C7332" s="1">
        <v>197</v>
      </c>
      <c r="D7332" s="278">
        <f t="shared" si="579"/>
        <v>11274</v>
      </c>
      <c r="E7332" s="1"/>
      <c r="F7332" s="39">
        <f t="shared" si="580"/>
        <v>124</v>
      </c>
      <c r="G7332" s="395"/>
      <c r="H7332" s="395"/>
      <c r="J7332" s="42"/>
    </row>
    <row r="7333" spans="1:10" s="393" customFormat="1" x14ac:dyDescent="0.25">
      <c r="A7333" s="394" t="s">
        <v>21</v>
      </c>
      <c r="B7333" s="29">
        <v>44198</v>
      </c>
      <c r="C7333" s="1">
        <v>9</v>
      </c>
      <c r="D7333" s="278">
        <f t="shared" si="579"/>
        <v>9121</v>
      </c>
      <c r="E7333" s="1"/>
      <c r="F7333" s="39">
        <f t="shared" si="580"/>
        <v>388</v>
      </c>
      <c r="G7333" s="395"/>
      <c r="H7333" s="395"/>
      <c r="J7333" s="42"/>
    </row>
    <row r="7334" spans="1:10" s="393" customFormat="1" x14ac:dyDescent="0.25">
      <c r="A7334" s="394" t="s">
        <v>17</v>
      </c>
      <c r="B7334" s="29">
        <v>44198</v>
      </c>
      <c r="C7334" s="1">
        <v>65</v>
      </c>
      <c r="D7334" s="278">
        <f t="shared" si="579"/>
        <v>60253</v>
      </c>
      <c r="E7334" s="1"/>
      <c r="F7334" s="39">
        <f t="shared" si="580"/>
        <v>1231</v>
      </c>
      <c r="G7334" s="395"/>
      <c r="H7334" s="395"/>
      <c r="J7334" s="42"/>
    </row>
    <row r="7335" spans="1:10" s="393" customFormat="1" x14ac:dyDescent="0.25">
      <c r="A7335" s="394" t="s">
        <v>23</v>
      </c>
      <c r="B7335" s="29">
        <v>44198</v>
      </c>
      <c r="C7335" s="1">
        <v>2</v>
      </c>
      <c r="D7335" s="278">
        <f t="shared" si="579"/>
        <v>1084</v>
      </c>
      <c r="E7335" s="1"/>
      <c r="F7335" s="39">
        <f t="shared" si="580"/>
        <v>12</v>
      </c>
      <c r="G7335" s="395"/>
      <c r="H7335" s="395"/>
      <c r="J7335" s="42"/>
    </row>
    <row r="7336" spans="1:10" s="393" customFormat="1" x14ac:dyDescent="0.25">
      <c r="A7336" s="394" t="s">
        <v>19</v>
      </c>
      <c r="B7336" s="29">
        <v>44198</v>
      </c>
      <c r="C7336" s="1">
        <v>305</v>
      </c>
      <c r="D7336" s="278">
        <f t="shared" si="579"/>
        <v>41554</v>
      </c>
      <c r="E7336" s="1"/>
      <c r="F7336" s="39">
        <f t="shared" si="580"/>
        <v>711</v>
      </c>
      <c r="G7336" s="395"/>
      <c r="H7336" s="395"/>
      <c r="J7336" s="42"/>
    </row>
    <row r="7337" spans="1:10" s="393" customFormat="1" x14ac:dyDescent="0.25">
      <c r="A7337" s="394" t="s">
        <v>18</v>
      </c>
      <c r="B7337" s="29">
        <v>44198</v>
      </c>
      <c r="C7337" s="1">
        <v>160</v>
      </c>
      <c r="D7337" s="278">
        <f t="shared" si="579"/>
        <v>38860</v>
      </c>
      <c r="E7337" s="1">
        <v>3</v>
      </c>
      <c r="F7337" s="39">
        <f t="shared" si="580"/>
        <v>904</v>
      </c>
      <c r="G7337" s="395"/>
      <c r="H7337" s="395"/>
      <c r="J7337" s="42"/>
    </row>
    <row r="7338" spans="1:10" s="393" customFormat="1" x14ac:dyDescent="0.25">
      <c r="A7338" s="394" t="s">
        <v>34</v>
      </c>
      <c r="B7338" s="29">
        <v>44198</v>
      </c>
      <c r="C7338" s="1">
        <v>12</v>
      </c>
      <c r="D7338" s="278">
        <f t="shared" si="579"/>
        <v>22405</v>
      </c>
      <c r="E7338" s="1"/>
      <c r="F7338" s="39">
        <f t="shared" si="580"/>
        <v>1020</v>
      </c>
      <c r="G7338" s="395"/>
      <c r="H7338" s="395"/>
      <c r="J7338" s="42"/>
    </row>
    <row r="7339" spans="1:10" s="393" customFormat="1" x14ac:dyDescent="0.25">
      <c r="A7339" s="394" t="s">
        <v>35</v>
      </c>
      <c r="B7339" s="29">
        <v>44198</v>
      </c>
      <c r="C7339" s="1">
        <v>4</v>
      </c>
      <c r="D7339" s="278">
        <f t="shared" si="579"/>
        <v>11565</v>
      </c>
      <c r="E7339" s="1"/>
      <c r="F7339" s="39">
        <f t="shared" si="580"/>
        <v>198</v>
      </c>
      <c r="G7339" s="395"/>
      <c r="H7339" s="395"/>
      <c r="J7339" s="42"/>
    </row>
    <row r="7340" spans="1:10" s="393" customFormat="1" x14ac:dyDescent="0.25">
      <c r="A7340" s="394" t="s">
        <v>36</v>
      </c>
      <c r="B7340" s="29">
        <v>44198</v>
      </c>
      <c r="C7340" s="1">
        <v>2</v>
      </c>
      <c r="D7340" s="278">
        <f t="shared" si="579"/>
        <v>16201</v>
      </c>
      <c r="E7340" s="1"/>
      <c r="F7340" s="39">
        <f t="shared" si="580"/>
        <v>300</v>
      </c>
      <c r="G7340" s="395"/>
      <c r="H7340" s="395"/>
      <c r="J7340" s="42"/>
    </row>
    <row r="7341" spans="1:10" s="393" customFormat="1" x14ac:dyDescent="0.25">
      <c r="A7341" s="394" t="s">
        <v>37</v>
      </c>
      <c r="B7341" s="29">
        <v>44198</v>
      </c>
      <c r="C7341" s="1">
        <v>305</v>
      </c>
      <c r="D7341" s="278">
        <f t="shared" si="579"/>
        <v>24194</v>
      </c>
      <c r="E7341" s="1">
        <v>2</v>
      </c>
      <c r="F7341" s="39">
        <f t="shared" si="580"/>
        <v>382</v>
      </c>
      <c r="G7341" s="395"/>
      <c r="H7341" s="395"/>
      <c r="J7341" s="42"/>
    </row>
    <row r="7342" spans="1:10" s="393" customFormat="1" x14ac:dyDescent="0.25">
      <c r="A7342" s="394" t="s">
        <v>22</v>
      </c>
      <c r="B7342" s="29">
        <v>44198</v>
      </c>
      <c r="C7342" s="1">
        <v>568</v>
      </c>
      <c r="D7342" s="278">
        <f t="shared" si="579"/>
        <v>177295</v>
      </c>
      <c r="E7342" s="1">
        <v>14</v>
      </c>
      <c r="F7342" s="39">
        <f t="shared" si="580"/>
        <v>2960</v>
      </c>
      <c r="G7342" s="395"/>
      <c r="H7342" s="395"/>
      <c r="J7342" s="42"/>
    </row>
    <row r="7343" spans="1:10" s="393" customFormat="1" x14ac:dyDescent="0.25">
      <c r="A7343" s="394" t="s">
        <v>38</v>
      </c>
      <c r="B7343" s="29">
        <v>44198</v>
      </c>
      <c r="C7343" s="1">
        <v>128</v>
      </c>
      <c r="D7343" s="278">
        <f t="shared" si="579"/>
        <v>17567</v>
      </c>
      <c r="E7343" s="1"/>
      <c r="F7343" s="39">
        <f t="shared" si="580"/>
        <v>218</v>
      </c>
      <c r="G7343" s="395"/>
      <c r="H7343" s="395"/>
      <c r="J7343" s="42"/>
    </row>
    <row r="7344" spans="1:10" s="393" customFormat="1" x14ac:dyDescent="0.25">
      <c r="A7344" s="394" t="s">
        <v>39</v>
      </c>
      <c r="B7344" s="29">
        <v>44198</v>
      </c>
      <c r="C7344" s="1">
        <v>108</v>
      </c>
      <c r="D7344" s="278">
        <f t="shared" si="579"/>
        <v>19329</v>
      </c>
      <c r="E7344" s="1">
        <v>1</v>
      </c>
      <c r="F7344" s="39">
        <f t="shared" si="580"/>
        <v>253</v>
      </c>
      <c r="G7344" s="395"/>
      <c r="H7344" s="395"/>
      <c r="J7344" s="42"/>
    </row>
    <row r="7345" spans="1:10" s="393" customFormat="1" x14ac:dyDescent="0.25">
      <c r="A7345" s="394" t="s">
        <v>40</v>
      </c>
      <c r="B7345" s="29">
        <v>44198</v>
      </c>
      <c r="C7345" s="1">
        <v>46</v>
      </c>
      <c r="D7345" s="278">
        <f t="shared" si="579"/>
        <v>71191</v>
      </c>
      <c r="E7345" s="1"/>
      <c r="F7345" s="39">
        <f t="shared" si="580"/>
        <v>1366</v>
      </c>
      <c r="G7345" s="395"/>
      <c r="H7345" s="395"/>
      <c r="J7345" s="42"/>
    </row>
    <row r="7346" spans="1:10" s="393" customFormat="1" x14ac:dyDescent="0.25">
      <c r="A7346" s="394" t="s">
        <v>16</v>
      </c>
      <c r="B7346" s="29">
        <v>44199</v>
      </c>
      <c r="C7346" s="1">
        <v>2034</v>
      </c>
      <c r="D7346" s="278">
        <f t="shared" si="579"/>
        <v>690383</v>
      </c>
      <c r="E7346" s="1">
        <v>63</v>
      </c>
      <c r="F7346" s="39">
        <f t="shared" si="580"/>
        <v>22488</v>
      </c>
      <c r="G7346" s="395"/>
      <c r="H7346" s="395"/>
      <c r="J7346" s="42"/>
    </row>
    <row r="7347" spans="1:10" s="393" customFormat="1" x14ac:dyDescent="0.25">
      <c r="A7347" s="394" t="s">
        <v>43</v>
      </c>
      <c r="B7347" s="29">
        <v>44199</v>
      </c>
      <c r="C7347" s="1">
        <v>827</v>
      </c>
      <c r="D7347" s="278">
        <f t="shared" si="579"/>
        <v>176495</v>
      </c>
      <c r="E7347" s="1">
        <v>2</v>
      </c>
      <c r="F7347" s="39">
        <f t="shared" si="580"/>
        <v>5525</v>
      </c>
      <c r="G7347" s="395"/>
      <c r="H7347" s="395"/>
      <c r="J7347" s="42"/>
    </row>
    <row r="7348" spans="1:10" s="393" customFormat="1" x14ac:dyDescent="0.25">
      <c r="A7348" s="394" t="s">
        <v>28</v>
      </c>
      <c r="B7348" s="29">
        <v>44199</v>
      </c>
      <c r="C7348" s="1">
        <v>33</v>
      </c>
      <c r="D7348" s="278">
        <f t="shared" si="579"/>
        <v>2851</v>
      </c>
      <c r="E7348" s="1"/>
      <c r="F7348" s="39">
        <f t="shared" si="580"/>
        <v>17</v>
      </c>
      <c r="G7348" s="395"/>
      <c r="H7348" s="395"/>
      <c r="J7348" s="42"/>
    </row>
    <row r="7349" spans="1:10" s="393" customFormat="1" x14ac:dyDescent="0.25">
      <c r="A7349" s="394" t="s">
        <v>15</v>
      </c>
      <c r="B7349" s="29">
        <v>44199</v>
      </c>
      <c r="C7349" s="1">
        <v>113</v>
      </c>
      <c r="D7349" s="278">
        <f t="shared" si="579"/>
        <v>25148</v>
      </c>
      <c r="E7349" s="1">
        <v>2</v>
      </c>
      <c r="F7349" s="39">
        <f t="shared" si="580"/>
        <v>701</v>
      </c>
      <c r="G7349" s="395"/>
      <c r="H7349" s="395"/>
      <c r="J7349" s="42"/>
    </row>
    <row r="7350" spans="1:10" s="393" customFormat="1" x14ac:dyDescent="0.25">
      <c r="A7350" s="394" t="s">
        <v>29</v>
      </c>
      <c r="B7350" s="29">
        <v>44199</v>
      </c>
      <c r="C7350" s="1">
        <v>202</v>
      </c>
      <c r="D7350" s="278">
        <f t="shared" si="579"/>
        <v>32454</v>
      </c>
      <c r="E7350" s="1"/>
      <c r="F7350" s="39">
        <f t="shared" si="580"/>
        <v>494</v>
      </c>
      <c r="G7350" s="395"/>
      <c r="H7350" s="395"/>
      <c r="J7350" s="42"/>
    </row>
    <row r="7351" spans="1:10" s="393" customFormat="1" x14ac:dyDescent="0.25">
      <c r="A7351" s="394" t="s">
        <v>20</v>
      </c>
      <c r="B7351" s="29">
        <v>44199</v>
      </c>
      <c r="C7351" s="1">
        <v>356</v>
      </c>
      <c r="D7351" s="278">
        <f t="shared" si="579"/>
        <v>128380</v>
      </c>
      <c r="E7351" s="1">
        <v>6</v>
      </c>
      <c r="F7351" s="39">
        <f t="shared" si="580"/>
        <v>2477</v>
      </c>
      <c r="G7351" s="395"/>
      <c r="H7351" s="395"/>
      <c r="J7351" s="42"/>
    </row>
    <row r="7352" spans="1:10" s="393" customFormat="1" x14ac:dyDescent="0.25">
      <c r="A7352" s="394" t="s">
        <v>30</v>
      </c>
      <c r="B7352" s="29">
        <v>44199</v>
      </c>
      <c r="C7352" s="1">
        <v>104</v>
      </c>
      <c r="D7352" s="278">
        <f t="shared" si="579"/>
        <v>12222</v>
      </c>
      <c r="E7352" s="1"/>
      <c r="F7352" s="39">
        <f t="shared" si="580"/>
        <v>169</v>
      </c>
      <c r="G7352" s="395"/>
      <c r="H7352" s="395"/>
      <c r="J7352" s="42"/>
    </row>
    <row r="7353" spans="1:10" x14ac:dyDescent="0.25">
      <c r="A7353" s="394" t="s">
        <v>31</v>
      </c>
      <c r="B7353" s="29">
        <v>44199</v>
      </c>
      <c r="C7353" s="1">
        <v>264</v>
      </c>
      <c r="D7353" s="278">
        <f t="shared" si="579"/>
        <v>30159</v>
      </c>
      <c r="F7353" s="39">
        <f t="shared" si="580"/>
        <v>587</v>
      </c>
    </row>
    <row r="7354" spans="1:10" s="393" customFormat="1" x14ac:dyDescent="0.25">
      <c r="A7354" s="394" t="s">
        <v>41</v>
      </c>
      <c r="B7354" s="29">
        <v>44199</v>
      </c>
      <c r="C7354" s="1">
        <v>1</v>
      </c>
      <c r="D7354" s="278">
        <f t="shared" si="579"/>
        <v>221</v>
      </c>
      <c r="E7354" s="1"/>
      <c r="F7354" s="39">
        <f t="shared" si="580"/>
        <v>3</v>
      </c>
      <c r="G7354" s="395"/>
      <c r="H7354" s="395"/>
      <c r="J7354" s="42"/>
    </row>
    <row r="7355" spans="1:10" s="393" customFormat="1" x14ac:dyDescent="0.25">
      <c r="A7355" s="394" t="s">
        <v>32</v>
      </c>
      <c r="B7355" s="29">
        <v>44199</v>
      </c>
      <c r="C7355" s="1">
        <v>5</v>
      </c>
      <c r="D7355" s="278">
        <f t="shared" si="579"/>
        <v>18567</v>
      </c>
      <c r="E7355" s="1"/>
      <c r="F7355" s="39">
        <f t="shared" si="580"/>
        <v>858</v>
      </c>
      <c r="G7355" s="395"/>
      <c r="H7355" s="395"/>
      <c r="J7355" s="42"/>
    </row>
    <row r="7356" spans="1:10" s="393" customFormat="1" x14ac:dyDescent="0.25">
      <c r="A7356" s="394" t="s">
        <v>33</v>
      </c>
      <c r="B7356" s="29">
        <v>44199</v>
      </c>
      <c r="C7356" s="1">
        <v>194</v>
      </c>
      <c r="D7356" s="278">
        <f t="shared" si="579"/>
        <v>11468</v>
      </c>
      <c r="E7356" s="1"/>
      <c r="F7356" s="39">
        <f t="shared" si="580"/>
        <v>124</v>
      </c>
      <c r="G7356" s="395"/>
      <c r="H7356" s="395"/>
      <c r="J7356" s="42"/>
    </row>
    <row r="7357" spans="1:10" s="393" customFormat="1" x14ac:dyDescent="0.25">
      <c r="A7357" s="394" t="s">
        <v>21</v>
      </c>
      <c r="B7357" s="29">
        <v>44199</v>
      </c>
      <c r="C7357" s="1">
        <v>3</v>
      </c>
      <c r="D7357" s="278">
        <f t="shared" si="579"/>
        <v>9124</v>
      </c>
      <c r="E7357" s="1">
        <v>9</v>
      </c>
      <c r="F7357" s="39">
        <f t="shared" si="580"/>
        <v>397</v>
      </c>
      <c r="G7357" s="395"/>
      <c r="H7357" s="395"/>
      <c r="J7357" s="42"/>
    </row>
    <row r="7358" spans="1:10" s="393" customFormat="1" x14ac:dyDescent="0.25">
      <c r="A7358" s="394" t="s">
        <v>17</v>
      </c>
      <c r="B7358" s="29">
        <v>44199</v>
      </c>
      <c r="C7358" s="1">
        <v>77</v>
      </c>
      <c r="D7358" s="278">
        <f t="shared" si="579"/>
        <v>60330</v>
      </c>
      <c r="E7358" s="1">
        <v>1</v>
      </c>
      <c r="F7358" s="39">
        <f t="shared" si="580"/>
        <v>1232</v>
      </c>
      <c r="G7358" s="395"/>
      <c r="H7358" s="395"/>
      <c r="J7358" s="42"/>
    </row>
    <row r="7359" spans="1:10" s="393" customFormat="1" x14ac:dyDescent="0.25">
      <c r="A7359" s="394" t="s">
        <v>23</v>
      </c>
      <c r="B7359" s="29">
        <v>44199</v>
      </c>
      <c r="C7359" s="1">
        <v>40</v>
      </c>
      <c r="D7359" s="278">
        <f t="shared" si="579"/>
        <v>1124</v>
      </c>
      <c r="E7359" s="1"/>
      <c r="F7359" s="39">
        <f t="shared" si="580"/>
        <v>12</v>
      </c>
      <c r="G7359" s="395"/>
      <c r="H7359" s="395"/>
      <c r="J7359" s="42"/>
    </row>
    <row r="7360" spans="1:10" s="393" customFormat="1" x14ac:dyDescent="0.25">
      <c r="A7360" s="394" t="s">
        <v>19</v>
      </c>
      <c r="B7360" s="29">
        <v>44199</v>
      </c>
      <c r="C7360" s="1">
        <v>372</v>
      </c>
      <c r="D7360" s="278">
        <f t="shared" si="579"/>
        <v>41926</v>
      </c>
      <c r="E7360" s="1">
        <v>2</v>
      </c>
      <c r="F7360" s="39">
        <f t="shared" si="580"/>
        <v>713</v>
      </c>
      <c r="G7360" s="395"/>
      <c r="H7360" s="395"/>
      <c r="J7360" s="42"/>
    </row>
    <row r="7361" spans="1:10" s="393" customFormat="1" x14ac:dyDescent="0.25">
      <c r="A7361" s="394" t="s">
        <v>18</v>
      </c>
      <c r="B7361" s="29">
        <v>44199</v>
      </c>
      <c r="C7361" s="1">
        <v>212</v>
      </c>
      <c r="D7361" s="278">
        <f t="shared" si="579"/>
        <v>39072</v>
      </c>
      <c r="E7361" s="1">
        <v>6</v>
      </c>
      <c r="F7361" s="39">
        <f t="shared" si="580"/>
        <v>910</v>
      </c>
      <c r="G7361" s="395"/>
      <c r="H7361" s="395"/>
      <c r="J7361" s="42"/>
    </row>
    <row r="7362" spans="1:10" s="393" customFormat="1" x14ac:dyDescent="0.25">
      <c r="A7362" s="394" t="s">
        <v>34</v>
      </c>
      <c r="B7362" s="29">
        <v>44199</v>
      </c>
      <c r="C7362" s="1">
        <v>8</v>
      </c>
      <c r="D7362" s="278">
        <f t="shared" si="579"/>
        <v>22413</v>
      </c>
      <c r="E7362" s="1"/>
      <c r="F7362" s="39">
        <f t="shared" si="580"/>
        <v>1020</v>
      </c>
      <c r="G7362" s="395"/>
      <c r="H7362" s="395"/>
      <c r="J7362" s="42"/>
    </row>
    <row r="7363" spans="1:10" s="393" customFormat="1" x14ac:dyDescent="0.25">
      <c r="A7363" s="394" t="s">
        <v>35</v>
      </c>
      <c r="B7363" s="29">
        <v>44199</v>
      </c>
      <c r="C7363" s="1">
        <v>33</v>
      </c>
      <c r="D7363" s="278">
        <f t="shared" si="579"/>
        <v>11598</v>
      </c>
      <c r="E7363" s="1"/>
      <c r="F7363" s="39">
        <f t="shared" si="580"/>
        <v>198</v>
      </c>
      <c r="G7363" s="395"/>
      <c r="H7363" s="395"/>
      <c r="J7363" s="42"/>
    </row>
    <row r="7364" spans="1:10" s="393" customFormat="1" x14ac:dyDescent="0.25">
      <c r="A7364" s="394" t="s">
        <v>36</v>
      </c>
      <c r="B7364" s="29">
        <v>44199</v>
      </c>
      <c r="C7364" s="1">
        <v>24</v>
      </c>
      <c r="D7364" s="278">
        <f t="shared" si="579"/>
        <v>16225</v>
      </c>
      <c r="E7364" s="1"/>
      <c r="F7364" s="39">
        <f t="shared" si="580"/>
        <v>300</v>
      </c>
      <c r="G7364" s="395"/>
      <c r="H7364" s="395"/>
      <c r="J7364" s="42"/>
    </row>
    <row r="7365" spans="1:10" s="393" customFormat="1" x14ac:dyDescent="0.25">
      <c r="A7365" s="394" t="s">
        <v>37</v>
      </c>
      <c r="B7365" s="29">
        <v>44199</v>
      </c>
      <c r="C7365" s="1">
        <v>207</v>
      </c>
      <c r="D7365" s="278">
        <f t="shared" si="579"/>
        <v>24401</v>
      </c>
      <c r="E7365" s="1">
        <v>6</v>
      </c>
      <c r="F7365" s="39">
        <f t="shared" si="580"/>
        <v>388</v>
      </c>
      <c r="G7365" s="395"/>
      <c r="H7365" s="395"/>
      <c r="J7365" s="42"/>
    </row>
    <row r="7366" spans="1:10" s="393" customFormat="1" x14ac:dyDescent="0.25">
      <c r="A7366" s="394" t="s">
        <v>22</v>
      </c>
      <c r="B7366" s="29">
        <v>44199</v>
      </c>
      <c r="C7366" s="1">
        <v>516</v>
      </c>
      <c r="D7366" s="278">
        <f t="shared" si="579"/>
        <v>177811</v>
      </c>
      <c r="E7366" s="1">
        <v>8</v>
      </c>
      <c r="F7366" s="39">
        <f t="shared" si="580"/>
        <v>2968</v>
      </c>
      <c r="G7366" s="395"/>
      <c r="H7366" s="395"/>
      <c r="J7366" s="42"/>
    </row>
    <row r="7367" spans="1:10" s="393" customFormat="1" x14ac:dyDescent="0.25">
      <c r="A7367" s="394" t="s">
        <v>38</v>
      </c>
      <c r="B7367" s="29">
        <v>44199</v>
      </c>
      <c r="C7367" s="1">
        <v>50</v>
      </c>
      <c r="D7367" s="278">
        <f t="shared" si="579"/>
        <v>17617</v>
      </c>
      <c r="E7367" s="1">
        <v>1</v>
      </c>
      <c r="F7367" s="39">
        <f t="shared" si="580"/>
        <v>219</v>
      </c>
      <c r="G7367" s="395"/>
      <c r="H7367" s="395"/>
      <c r="J7367" s="42"/>
    </row>
    <row r="7368" spans="1:10" s="393" customFormat="1" x14ac:dyDescent="0.25">
      <c r="A7368" s="394" t="s">
        <v>39</v>
      </c>
      <c r="B7368" s="29">
        <v>44199</v>
      </c>
      <c r="C7368" s="1">
        <v>103</v>
      </c>
      <c r="D7368" s="278">
        <f t="shared" si="579"/>
        <v>19432</v>
      </c>
      <c r="E7368" s="1">
        <v>1</v>
      </c>
      <c r="F7368" s="39">
        <f t="shared" si="580"/>
        <v>254</v>
      </c>
      <c r="G7368" s="395"/>
      <c r="H7368" s="395"/>
      <c r="J7368" s="42"/>
    </row>
    <row r="7369" spans="1:10" s="393" customFormat="1" x14ac:dyDescent="0.25">
      <c r="A7369" s="394" t="s">
        <v>40</v>
      </c>
      <c r="B7369" s="29">
        <v>44199</v>
      </c>
      <c r="C7369" s="1">
        <v>106</v>
      </c>
      <c r="D7369" s="278">
        <f t="shared" si="579"/>
        <v>71297</v>
      </c>
      <c r="E7369" s="1"/>
      <c r="F7369" s="39">
        <f t="shared" si="580"/>
        <v>1366</v>
      </c>
      <c r="G7369" s="395"/>
      <c r="H7369" s="395"/>
      <c r="J7369" s="42"/>
    </row>
    <row r="7370" spans="1:10" s="393" customFormat="1" x14ac:dyDescent="0.25">
      <c r="A7370" s="394" t="s">
        <v>16</v>
      </c>
      <c r="B7370" s="29">
        <v>44200</v>
      </c>
      <c r="C7370" s="1">
        <v>2961</v>
      </c>
      <c r="D7370" s="278">
        <f t="shared" si="579"/>
        <v>693344</v>
      </c>
      <c r="E7370" s="1">
        <v>46</v>
      </c>
      <c r="F7370" s="39">
        <f t="shared" si="580"/>
        <v>22534</v>
      </c>
      <c r="G7370" s="395"/>
      <c r="H7370" s="395"/>
      <c r="J7370" s="42"/>
    </row>
    <row r="7371" spans="1:10" s="393" customFormat="1" x14ac:dyDescent="0.25">
      <c r="A7371" s="394" t="s">
        <v>43</v>
      </c>
      <c r="B7371" s="29">
        <v>44200</v>
      </c>
      <c r="C7371" s="1">
        <v>1075</v>
      </c>
      <c r="D7371" s="278">
        <f t="shared" si="579"/>
        <v>177570</v>
      </c>
      <c r="E7371" s="1">
        <v>10</v>
      </c>
      <c r="F7371" s="39">
        <f t="shared" si="580"/>
        <v>5535</v>
      </c>
      <c r="G7371" s="395"/>
      <c r="H7371" s="395"/>
      <c r="J7371" s="42"/>
    </row>
    <row r="7372" spans="1:10" s="393" customFormat="1" x14ac:dyDescent="0.25">
      <c r="A7372" s="394" t="s">
        <v>28</v>
      </c>
      <c r="B7372" s="29">
        <v>44200</v>
      </c>
      <c r="C7372" s="1">
        <v>18</v>
      </c>
      <c r="D7372" s="278">
        <f t="shared" si="579"/>
        <v>2869</v>
      </c>
      <c r="E7372" s="1"/>
      <c r="F7372" s="39">
        <f t="shared" si="580"/>
        <v>17</v>
      </c>
      <c r="G7372" s="395"/>
      <c r="H7372" s="395"/>
      <c r="J7372" s="42"/>
    </row>
    <row r="7373" spans="1:10" s="393" customFormat="1" x14ac:dyDescent="0.25">
      <c r="A7373" s="394" t="s">
        <v>15</v>
      </c>
      <c r="B7373" s="29">
        <v>44200</v>
      </c>
      <c r="C7373" s="1">
        <v>175</v>
      </c>
      <c r="D7373" s="278">
        <f t="shared" si="579"/>
        <v>25323</v>
      </c>
      <c r="E7373" s="1">
        <v>9</v>
      </c>
      <c r="F7373" s="39">
        <f t="shared" si="580"/>
        <v>710</v>
      </c>
      <c r="G7373" s="395"/>
      <c r="H7373" s="395"/>
      <c r="J7373" s="42"/>
    </row>
    <row r="7374" spans="1:10" s="393" customFormat="1" x14ac:dyDescent="0.25">
      <c r="A7374" s="394" t="s">
        <v>29</v>
      </c>
      <c r="B7374" s="29">
        <v>44200</v>
      </c>
      <c r="C7374" s="1">
        <v>315</v>
      </c>
      <c r="D7374" s="278">
        <f t="shared" si="579"/>
        <v>32769</v>
      </c>
      <c r="E7374" s="1">
        <v>1</v>
      </c>
      <c r="F7374" s="39">
        <f t="shared" si="580"/>
        <v>495</v>
      </c>
      <c r="G7374" s="395"/>
      <c r="H7374" s="395"/>
      <c r="J7374" s="42"/>
    </row>
    <row r="7375" spans="1:10" s="393" customFormat="1" x14ac:dyDescent="0.25">
      <c r="A7375" s="394" t="s">
        <v>20</v>
      </c>
      <c r="B7375" s="29">
        <v>44200</v>
      </c>
      <c r="C7375" s="1">
        <v>302</v>
      </c>
      <c r="D7375" s="278">
        <f t="shared" si="579"/>
        <v>128682</v>
      </c>
      <c r="E7375" s="1">
        <v>12</v>
      </c>
      <c r="F7375" s="39">
        <f t="shared" si="580"/>
        <v>2489</v>
      </c>
      <c r="G7375" s="395"/>
      <c r="H7375" s="395"/>
      <c r="J7375" s="42"/>
    </row>
    <row r="7376" spans="1:10" s="393" customFormat="1" x14ac:dyDescent="0.25">
      <c r="A7376" s="394" t="s">
        <v>30</v>
      </c>
      <c r="B7376" s="29">
        <v>44200</v>
      </c>
      <c r="C7376" s="1">
        <v>237</v>
      </c>
      <c r="D7376" s="278">
        <f t="shared" si="579"/>
        <v>12459</v>
      </c>
      <c r="E7376" s="1"/>
      <c r="F7376" s="39">
        <f t="shared" si="580"/>
        <v>169</v>
      </c>
      <c r="G7376" s="395"/>
      <c r="H7376" s="395"/>
      <c r="J7376" s="42"/>
    </row>
    <row r="7377" spans="1:10" x14ac:dyDescent="0.25">
      <c r="A7377" s="394" t="s">
        <v>31</v>
      </c>
      <c r="B7377" s="29">
        <v>44200</v>
      </c>
      <c r="C7377" s="1">
        <v>258</v>
      </c>
      <c r="D7377" s="278">
        <f t="shared" si="579"/>
        <v>30417</v>
      </c>
      <c r="E7377" s="1">
        <v>2</v>
      </c>
      <c r="F7377" s="39">
        <f t="shared" si="580"/>
        <v>589</v>
      </c>
    </row>
    <row r="7378" spans="1:10" s="393" customFormat="1" x14ac:dyDescent="0.25">
      <c r="A7378" s="394" t="s">
        <v>41</v>
      </c>
      <c r="B7378" s="29">
        <v>44200</v>
      </c>
      <c r="C7378" s="1">
        <v>0</v>
      </c>
      <c r="D7378" s="278">
        <f t="shared" ref="D7378:D7442" si="581">C7378+D7354</f>
        <v>221</v>
      </c>
      <c r="E7378" s="1"/>
      <c r="F7378" s="39">
        <f t="shared" ref="F7378:F7442" si="582">E7378+F7354</f>
        <v>3</v>
      </c>
      <c r="G7378" s="395"/>
      <c r="H7378" s="395"/>
      <c r="J7378" s="42"/>
    </row>
    <row r="7379" spans="1:10" s="393" customFormat="1" x14ac:dyDescent="0.25">
      <c r="A7379" s="394" t="s">
        <v>32</v>
      </c>
      <c r="B7379" s="29">
        <v>44200</v>
      </c>
      <c r="C7379" s="1">
        <v>2</v>
      </c>
      <c r="D7379" s="278">
        <f t="shared" si="581"/>
        <v>18569</v>
      </c>
      <c r="E7379" s="1">
        <v>1</v>
      </c>
      <c r="F7379" s="39">
        <f t="shared" si="582"/>
        <v>859</v>
      </c>
      <c r="G7379" s="395"/>
      <c r="H7379" s="395"/>
      <c r="J7379" s="42"/>
    </row>
    <row r="7380" spans="1:10" s="393" customFormat="1" x14ac:dyDescent="0.25">
      <c r="A7380" s="394" t="s">
        <v>33</v>
      </c>
      <c r="B7380" s="29">
        <v>44200</v>
      </c>
      <c r="C7380" s="1">
        <v>171</v>
      </c>
      <c r="D7380" s="278">
        <f t="shared" si="581"/>
        <v>11639</v>
      </c>
      <c r="E7380" s="1">
        <v>8</v>
      </c>
      <c r="F7380" s="39">
        <f t="shared" si="582"/>
        <v>132</v>
      </c>
      <c r="G7380" s="395"/>
      <c r="H7380" s="395"/>
      <c r="J7380" s="42"/>
    </row>
    <row r="7381" spans="1:10" s="393" customFormat="1" x14ac:dyDescent="0.25">
      <c r="A7381" s="394" t="s">
        <v>21</v>
      </c>
      <c r="B7381" s="29">
        <v>44200</v>
      </c>
      <c r="C7381" s="1">
        <v>3</v>
      </c>
      <c r="D7381" s="278">
        <f t="shared" si="581"/>
        <v>9127</v>
      </c>
      <c r="E7381" s="1">
        <v>1</v>
      </c>
      <c r="F7381" s="39">
        <f t="shared" si="582"/>
        <v>398</v>
      </c>
      <c r="G7381" s="395"/>
      <c r="H7381" s="395"/>
      <c r="J7381" s="42"/>
    </row>
    <row r="7382" spans="1:10" s="393" customFormat="1" x14ac:dyDescent="0.25">
      <c r="A7382" s="394" t="s">
        <v>17</v>
      </c>
      <c r="B7382" s="29">
        <v>44200</v>
      </c>
      <c r="C7382" s="1">
        <v>69</v>
      </c>
      <c r="D7382" s="278">
        <f t="shared" si="581"/>
        <v>60399</v>
      </c>
      <c r="E7382" s="1"/>
      <c r="F7382" s="39">
        <f t="shared" si="582"/>
        <v>1232</v>
      </c>
      <c r="G7382" s="395"/>
      <c r="H7382" s="395"/>
      <c r="J7382" s="42"/>
    </row>
    <row r="7383" spans="1:10" s="393" customFormat="1" x14ac:dyDescent="0.25">
      <c r="A7383" s="394" t="s">
        <v>23</v>
      </c>
      <c r="B7383" s="29">
        <v>44200</v>
      </c>
      <c r="C7383" s="1">
        <v>33</v>
      </c>
      <c r="D7383" s="278">
        <f t="shared" si="581"/>
        <v>1157</v>
      </c>
      <c r="E7383" s="1"/>
      <c r="F7383" s="39">
        <f t="shared" si="582"/>
        <v>12</v>
      </c>
      <c r="G7383" s="395"/>
      <c r="H7383" s="395"/>
      <c r="J7383" s="42"/>
    </row>
    <row r="7384" spans="1:10" s="393" customFormat="1" x14ac:dyDescent="0.25">
      <c r="A7384" s="394" t="s">
        <v>19</v>
      </c>
      <c r="B7384" s="29">
        <v>44200</v>
      </c>
      <c r="C7384" s="1">
        <v>305</v>
      </c>
      <c r="D7384" s="278">
        <f t="shared" si="581"/>
        <v>42231</v>
      </c>
      <c r="E7384" s="1"/>
      <c r="F7384" s="39">
        <f t="shared" si="582"/>
        <v>713</v>
      </c>
      <c r="G7384" s="395"/>
      <c r="H7384" s="395"/>
      <c r="J7384" s="42"/>
    </row>
    <row r="7385" spans="1:10" s="393" customFormat="1" x14ac:dyDescent="0.25">
      <c r="A7385" s="394" t="s">
        <v>18</v>
      </c>
      <c r="B7385" s="29">
        <v>44200</v>
      </c>
      <c r="C7385" s="1">
        <v>290</v>
      </c>
      <c r="D7385" s="278">
        <f t="shared" si="581"/>
        <v>39362</v>
      </c>
      <c r="E7385" s="1">
        <v>10</v>
      </c>
      <c r="F7385" s="39">
        <f t="shared" si="582"/>
        <v>920</v>
      </c>
      <c r="G7385" s="395"/>
      <c r="H7385" s="395"/>
      <c r="J7385" s="42"/>
    </row>
    <row r="7386" spans="1:10" s="393" customFormat="1" x14ac:dyDescent="0.25">
      <c r="A7386" s="394" t="s">
        <v>34</v>
      </c>
      <c r="B7386" s="29">
        <v>44200</v>
      </c>
      <c r="C7386" s="1">
        <v>21</v>
      </c>
      <c r="D7386" s="278">
        <f t="shared" si="581"/>
        <v>22434</v>
      </c>
      <c r="E7386" s="1">
        <v>2</v>
      </c>
      <c r="F7386" s="39">
        <f t="shared" si="582"/>
        <v>1022</v>
      </c>
      <c r="G7386" s="395"/>
      <c r="H7386" s="395"/>
      <c r="J7386" s="42"/>
    </row>
    <row r="7387" spans="1:10" s="393" customFormat="1" x14ac:dyDescent="0.25">
      <c r="A7387" s="394" t="s">
        <v>35</v>
      </c>
      <c r="B7387" s="29">
        <v>44200</v>
      </c>
      <c r="C7387" s="1">
        <v>79</v>
      </c>
      <c r="D7387" s="278">
        <f t="shared" si="581"/>
        <v>11677</v>
      </c>
      <c r="E7387" s="1">
        <v>4</v>
      </c>
      <c r="F7387" s="39">
        <f t="shared" si="582"/>
        <v>202</v>
      </c>
      <c r="G7387" s="395"/>
      <c r="H7387" s="395"/>
      <c r="J7387" s="42"/>
    </row>
    <row r="7388" spans="1:10" s="393" customFormat="1" x14ac:dyDescent="0.25">
      <c r="A7388" s="394" t="s">
        <v>36</v>
      </c>
      <c r="B7388" s="29">
        <v>44200</v>
      </c>
      <c r="C7388" s="1">
        <v>48</v>
      </c>
      <c r="D7388" s="278">
        <f t="shared" si="581"/>
        <v>16273</v>
      </c>
      <c r="E7388" s="1">
        <v>1</v>
      </c>
      <c r="F7388" s="39">
        <f t="shared" si="582"/>
        <v>301</v>
      </c>
      <c r="G7388" s="395"/>
      <c r="H7388" s="395"/>
      <c r="J7388" s="42"/>
    </row>
    <row r="7389" spans="1:10" s="393" customFormat="1" x14ac:dyDescent="0.25">
      <c r="A7389" s="394" t="s">
        <v>37</v>
      </c>
      <c r="B7389" s="29">
        <v>44200</v>
      </c>
      <c r="C7389" s="1">
        <v>309</v>
      </c>
      <c r="D7389" s="278">
        <f t="shared" si="581"/>
        <v>24710</v>
      </c>
      <c r="E7389" s="1">
        <v>11</v>
      </c>
      <c r="F7389" s="39">
        <f t="shared" si="582"/>
        <v>399</v>
      </c>
      <c r="G7389" s="395"/>
      <c r="H7389" s="395"/>
      <c r="J7389" s="42"/>
    </row>
    <row r="7390" spans="1:10" s="393" customFormat="1" x14ac:dyDescent="0.25">
      <c r="A7390" s="394" t="s">
        <v>22</v>
      </c>
      <c r="B7390" s="29">
        <v>44200</v>
      </c>
      <c r="C7390" s="1">
        <v>1046</v>
      </c>
      <c r="D7390" s="278">
        <f t="shared" si="581"/>
        <v>178857</v>
      </c>
      <c r="E7390" s="1">
        <v>32</v>
      </c>
      <c r="F7390" s="39">
        <f t="shared" si="582"/>
        <v>3000</v>
      </c>
      <c r="G7390" s="395"/>
      <c r="H7390" s="395"/>
      <c r="J7390" s="42"/>
    </row>
    <row r="7391" spans="1:10" s="393" customFormat="1" x14ac:dyDescent="0.25">
      <c r="A7391" s="394" t="s">
        <v>38</v>
      </c>
      <c r="B7391" s="29">
        <v>44200</v>
      </c>
      <c r="C7391" s="1">
        <v>116</v>
      </c>
      <c r="D7391" s="278">
        <f t="shared" si="581"/>
        <v>17733</v>
      </c>
      <c r="E7391" s="1"/>
      <c r="F7391" s="39">
        <f t="shared" si="582"/>
        <v>219</v>
      </c>
      <c r="G7391" s="395"/>
      <c r="H7391" s="395"/>
      <c r="J7391" s="42"/>
    </row>
    <row r="7392" spans="1:10" s="393" customFormat="1" x14ac:dyDescent="0.25">
      <c r="A7392" s="394" t="s">
        <v>39</v>
      </c>
      <c r="B7392" s="29">
        <v>44200</v>
      </c>
      <c r="C7392" s="1">
        <v>100</v>
      </c>
      <c r="D7392" s="278">
        <f t="shared" si="581"/>
        <v>19532</v>
      </c>
      <c r="E7392" s="1"/>
      <c r="F7392" s="39">
        <f t="shared" si="582"/>
        <v>254</v>
      </c>
      <c r="G7392" s="395"/>
      <c r="H7392" s="395"/>
      <c r="J7392" s="42"/>
    </row>
    <row r="7393" spans="1:10" s="393" customFormat="1" x14ac:dyDescent="0.25">
      <c r="A7393" s="394" t="s">
        <v>40</v>
      </c>
      <c r="B7393" s="29">
        <v>44200</v>
      </c>
      <c r="C7393" s="1">
        <v>289</v>
      </c>
      <c r="D7393" s="278">
        <f t="shared" si="581"/>
        <v>71586</v>
      </c>
      <c r="E7393" s="1">
        <v>2</v>
      </c>
      <c r="F7393" s="39">
        <f t="shared" si="582"/>
        <v>1368</v>
      </c>
      <c r="G7393" s="395"/>
      <c r="H7393" s="395"/>
      <c r="J7393" s="42"/>
    </row>
    <row r="7394" spans="1:10" s="393" customFormat="1" x14ac:dyDescent="0.25">
      <c r="A7394" s="394" t="s">
        <v>16</v>
      </c>
      <c r="B7394" s="29">
        <v>44201</v>
      </c>
      <c r="C7394" s="1">
        <v>5419</v>
      </c>
      <c r="D7394" s="278">
        <f t="shared" si="581"/>
        <v>698763</v>
      </c>
      <c r="E7394" s="1">
        <v>44</v>
      </c>
      <c r="F7394" s="39">
        <f t="shared" si="582"/>
        <v>22578</v>
      </c>
      <c r="G7394" s="395"/>
      <c r="H7394" s="395"/>
      <c r="J7394" s="42"/>
    </row>
    <row r="7395" spans="1:10" s="393" customFormat="1" x14ac:dyDescent="0.25">
      <c r="A7395" s="394" t="s">
        <v>43</v>
      </c>
      <c r="B7395" s="29">
        <v>44201</v>
      </c>
      <c r="C7395" s="1">
        <v>1445</v>
      </c>
      <c r="D7395" s="278">
        <f t="shared" si="581"/>
        <v>179015</v>
      </c>
      <c r="E7395" s="1">
        <v>10</v>
      </c>
      <c r="F7395" s="39">
        <f t="shared" si="582"/>
        <v>5545</v>
      </c>
      <c r="G7395" s="395"/>
      <c r="H7395" s="395"/>
      <c r="J7395" s="42"/>
    </row>
    <row r="7396" spans="1:10" s="393" customFormat="1" x14ac:dyDescent="0.25">
      <c r="A7396" s="394" t="s">
        <v>28</v>
      </c>
      <c r="B7396" s="29">
        <v>44201</v>
      </c>
      <c r="C7396" s="1">
        <v>61</v>
      </c>
      <c r="D7396" s="278">
        <f t="shared" si="581"/>
        <v>2930</v>
      </c>
      <c r="E7396" s="1"/>
      <c r="F7396" s="39">
        <f t="shared" si="582"/>
        <v>17</v>
      </c>
      <c r="G7396" s="395"/>
      <c r="H7396" s="395"/>
      <c r="J7396" s="42"/>
    </row>
    <row r="7397" spans="1:10" s="393" customFormat="1" x14ac:dyDescent="0.25">
      <c r="A7397" s="394" t="s">
        <v>15</v>
      </c>
      <c r="B7397" s="29">
        <v>44201</v>
      </c>
      <c r="C7397" s="1">
        <v>300</v>
      </c>
      <c r="D7397" s="278">
        <f t="shared" si="581"/>
        <v>25623</v>
      </c>
      <c r="E7397" s="1">
        <v>6</v>
      </c>
      <c r="F7397" s="39">
        <f t="shared" si="582"/>
        <v>716</v>
      </c>
      <c r="G7397" s="395"/>
      <c r="H7397" s="395"/>
      <c r="J7397" s="42"/>
    </row>
    <row r="7398" spans="1:10" s="393" customFormat="1" x14ac:dyDescent="0.25">
      <c r="A7398" s="394" t="s">
        <v>29</v>
      </c>
      <c r="B7398" s="29">
        <v>44201</v>
      </c>
      <c r="C7398" s="1">
        <v>583</v>
      </c>
      <c r="D7398" s="278">
        <f t="shared" si="581"/>
        <v>33352</v>
      </c>
      <c r="E7398" s="1">
        <v>1</v>
      </c>
      <c r="F7398" s="39">
        <f t="shared" si="582"/>
        <v>496</v>
      </c>
      <c r="G7398" s="395"/>
      <c r="H7398" s="395"/>
      <c r="J7398" s="42"/>
    </row>
    <row r="7399" spans="1:10" s="393" customFormat="1" x14ac:dyDescent="0.25">
      <c r="A7399" s="394" t="s">
        <v>20</v>
      </c>
      <c r="B7399" s="29">
        <v>44201</v>
      </c>
      <c r="C7399" s="1">
        <v>907</v>
      </c>
      <c r="D7399" s="278">
        <f t="shared" si="581"/>
        <v>129589</v>
      </c>
      <c r="E7399" s="1">
        <v>3</v>
      </c>
      <c r="F7399" s="39">
        <f t="shared" si="582"/>
        <v>2492</v>
      </c>
      <c r="G7399" s="395"/>
      <c r="H7399" s="395"/>
      <c r="J7399" s="42"/>
    </row>
    <row r="7400" spans="1:10" s="393" customFormat="1" x14ac:dyDescent="0.25">
      <c r="A7400" s="394" t="s">
        <v>30</v>
      </c>
      <c r="B7400" s="29">
        <v>44201</v>
      </c>
      <c r="C7400" s="1">
        <v>176</v>
      </c>
      <c r="D7400" s="278">
        <f t="shared" si="581"/>
        <v>12635</v>
      </c>
      <c r="E7400" s="1"/>
      <c r="F7400" s="39">
        <f t="shared" si="582"/>
        <v>169</v>
      </c>
      <c r="G7400" s="395"/>
      <c r="H7400" s="395"/>
      <c r="J7400" s="42"/>
    </row>
    <row r="7401" spans="1:10" x14ac:dyDescent="0.25">
      <c r="A7401" s="394" t="s">
        <v>31</v>
      </c>
      <c r="B7401" s="29">
        <v>44201</v>
      </c>
      <c r="C7401" s="1">
        <v>550</v>
      </c>
      <c r="D7401" s="278">
        <f t="shared" si="581"/>
        <v>30967</v>
      </c>
      <c r="E7401" s="1">
        <v>4</v>
      </c>
      <c r="F7401" s="39">
        <f t="shared" si="582"/>
        <v>593</v>
      </c>
    </row>
    <row r="7402" spans="1:10" s="393" customFormat="1" x14ac:dyDescent="0.25">
      <c r="A7402" s="394" t="s">
        <v>41</v>
      </c>
      <c r="B7402" s="29">
        <v>44201</v>
      </c>
      <c r="C7402" s="1">
        <v>5</v>
      </c>
      <c r="D7402" s="278">
        <f t="shared" si="581"/>
        <v>226</v>
      </c>
      <c r="E7402" s="1"/>
      <c r="F7402" s="39">
        <f t="shared" si="582"/>
        <v>3</v>
      </c>
      <c r="G7402" s="395"/>
      <c r="H7402" s="395"/>
      <c r="J7402" s="42"/>
    </row>
    <row r="7403" spans="1:10" s="393" customFormat="1" x14ac:dyDescent="0.25">
      <c r="A7403" s="394" t="s">
        <v>32</v>
      </c>
      <c r="B7403" s="29">
        <v>44201</v>
      </c>
      <c r="C7403" s="1">
        <v>19</v>
      </c>
      <c r="D7403" s="278">
        <f t="shared" si="581"/>
        <v>18588</v>
      </c>
      <c r="E7403" s="1"/>
      <c r="F7403" s="39">
        <f t="shared" si="582"/>
        <v>859</v>
      </c>
      <c r="G7403" s="395"/>
      <c r="H7403" s="395"/>
      <c r="J7403" s="42"/>
    </row>
    <row r="7404" spans="1:10" s="393" customFormat="1" x14ac:dyDescent="0.25">
      <c r="A7404" s="394" t="s">
        <v>33</v>
      </c>
      <c r="B7404" s="29">
        <v>44201</v>
      </c>
      <c r="C7404" s="1">
        <v>300</v>
      </c>
      <c r="D7404" s="278">
        <f t="shared" si="581"/>
        <v>11939</v>
      </c>
      <c r="E7404" s="1">
        <v>5</v>
      </c>
      <c r="F7404" s="39">
        <f t="shared" si="582"/>
        <v>137</v>
      </c>
      <c r="G7404" s="395"/>
      <c r="H7404" s="395"/>
      <c r="J7404" s="42"/>
    </row>
    <row r="7405" spans="1:10" s="393" customFormat="1" x14ac:dyDescent="0.25">
      <c r="A7405" s="394" t="s">
        <v>21</v>
      </c>
      <c r="B7405" s="29">
        <v>44201</v>
      </c>
      <c r="C7405" s="1">
        <v>10</v>
      </c>
      <c r="D7405" s="278">
        <f t="shared" si="581"/>
        <v>9137</v>
      </c>
      <c r="E7405" s="1"/>
      <c r="F7405" s="39">
        <f t="shared" si="582"/>
        <v>398</v>
      </c>
      <c r="G7405" s="395"/>
      <c r="H7405" s="395"/>
      <c r="J7405" s="42"/>
    </row>
    <row r="7406" spans="1:10" s="393" customFormat="1" x14ac:dyDescent="0.25">
      <c r="A7406" s="394" t="s">
        <v>17</v>
      </c>
      <c r="B7406" s="29">
        <v>44201</v>
      </c>
      <c r="C7406" s="1">
        <v>155</v>
      </c>
      <c r="D7406" s="278">
        <f t="shared" si="581"/>
        <v>60554</v>
      </c>
      <c r="E7406" s="1">
        <v>4</v>
      </c>
      <c r="F7406" s="39">
        <f t="shared" si="582"/>
        <v>1236</v>
      </c>
      <c r="G7406" s="395"/>
      <c r="H7406" s="395"/>
      <c r="J7406" s="42"/>
    </row>
    <row r="7407" spans="1:10" s="393" customFormat="1" x14ac:dyDescent="0.25">
      <c r="A7407" s="394" t="s">
        <v>23</v>
      </c>
      <c r="B7407" s="29">
        <v>44201</v>
      </c>
      <c r="C7407" s="1">
        <v>5</v>
      </c>
      <c r="D7407" s="278">
        <f t="shared" si="581"/>
        <v>1162</v>
      </c>
      <c r="E7407" s="1"/>
      <c r="F7407" s="39">
        <f t="shared" si="582"/>
        <v>12</v>
      </c>
      <c r="G7407" s="395"/>
      <c r="H7407" s="395"/>
      <c r="J7407" s="42"/>
    </row>
    <row r="7408" spans="1:10" s="393" customFormat="1" x14ac:dyDescent="0.25">
      <c r="A7408" s="394" t="s">
        <v>19</v>
      </c>
      <c r="B7408" s="29">
        <v>44201</v>
      </c>
      <c r="C7408" s="1">
        <v>673</v>
      </c>
      <c r="D7408" s="278">
        <f t="shared" si="581"/>
        <v>42904</v>
      </c>
      <c r="E7408" s="1">
        <v>2</v>
      </c>
      <c r="F7408" s="39">
        <f t="shared" si="582"/>
        <v>715</v>
      </c>
      <c r="G7408" s="395"/>
      <c r="H7408" s="395"/>
      <c r="J7408" s="42"/>
    </row>
    <row r="7409" spans="1:10" s="393" customFormat="1" x14ac:dyDescent="0.25">
      <c r="A7409" s="394" t="s">
        <v>18</v>
      </c>
      <c r="B7409" s="29">
        <v>44201</v>
      </c>
      <c r="C7409" s="1">
        <v>382</v>
      </c>
      <c r="D7409" s="278">
        <f t="shared" si="581"/>
        <v>39744</v>
      </c>
      <c r="E7409" s="1">
        <v>10</v>
      </c>
      <c r="F7409" s="39">
        <f t="shared" si="582"/>
        <v>930</v>
      </c>
      <c r="G7409" s="395"/>
      <c r="H7409" s="395"/>
      <c r="J7409" s="42"/>
    </row>
    <row r="7410" spans="1:10" s="393" customFormat="1" x14ac:dyDescent="0.25">
      <c r="A7410" s="394" t="s">
        <v>34</v>
      </c>
      <c r="B7410" s="29">
        <v>44201</v>
      </c>
      <c r="C7410" s="1">
        <v>25</v>
      </c>
      <c r="D7410" s="278">
        <f t="shared" si="581"/>
        <v>22459</v>
      </c>
      <c r="E7410" s="1"/>
      <c r="F7410" s="39">
        <f t="shared" si="582"/>
        <v>1022</v>
      </c>
      <c r="G7410" s="395"/>
      <c r="H7410" s="395"/>
      <c r="J7410" s="42"/>
    </row>
    <row r="7411" spans="1:10" s="393" customFormat="1" x14ac:dyDescent="0.25">
      <c r="A7411" s="394" t="s">
        <v>35</v>
      </c>
      <c r="B7411" s="29">
        <v>44201</v>
      </c>
      <c r="C7411" s="1">
        <v>210</v>
      </c>
      <c r="D7411" s="278">
        <f t="shared" si="581"/>
        <v>11887</v>
      </c>
      <c r="E7411" s="1">
        <v>2</v>
      </c>
      <c r="F7411" s="39">
        <f t="shared" si="582"/>
        <v>204</v>
      </c>
      <c r="G7411" s="395"/>
      <c r="H7411" s="395"/>
      <c r="J7411" s="42"/>
    </row>
    <row r="7412" spans="1:10" s="393" customFormat="1" x14ac:dyDescent="0.25">
      <c r="A7412" s="394" t="s">
        <v>36</v>
      </c>
      <c r="B7412" s="29">
        <v>44201</v>
      </c>
      <c r="C7412" s="1">
        <v>62</v>
      </c>
      <c r="D7412" s="278">
        <f t="shared" si="581"/>
        <v>16335</v>
      </c>
      <c r="E7412" s="1">
        <v>7</v>
      </c>
      <c r="F7412" s="39">
        <f t="shared" si="582"/>
        <v>308</v>
      </c>
      <c r="G7412" s="395"/>
      <c r="H7412" s="395"/>
      <c r="J7412" s="42"/>
    </row>
    <row r="7413" spans="1:10" s="393" customFormat="1" x14ac:dyDescent="0.25">
      <c r="A7413" s="394" t="s">
        <v>37</v>
      </c>
      <c r="B7413" s="29">
        <v>44201</v>
      </c>
      <c r="C7413" s="1">
        <v>528</v>
      </c>
      <c r="D7413" s="278">
        <f t="shared" si="581"/>
        <v>25238</v>
      </c>
      <c r="E7413" s="1">
        <v>5</v>
      </c>
      <c r="F7413" s="39">
        <f t="shared" si="582"/>
        <v>404</v>
      </c>
      <c r="G7413" s="395"/>
      <c r="H7413" s="395"/>
      <c r="J7413" s="42"/>
    </row>
    <row r="7414" spans="1:10" s="393" customFormat="1" x14ac:dyDescent="0.25">
      <c r="A7414" s="394" t="s">
        <v>22</v>
      </c>
      <c r="B7414" s="29">
        <v>44201</v>
      </c>
      <c r="C7414" s="1">
        <v>1477</v>
      </c>
      <c r="D7414" s="278">
        <f t="shared" si="581"/>
        <v>180334</v>
      </c>
      <c r="E7414" s="1">
        <v>42</v>
      </c>
      <c r="F7414" s="39">
        <f t="shared" si="582"/>
        <v>3042</v>
      </c>
      <c r="G7414" s="395"/>
      <c r="H7414" s="395"/>
      <c r="J7414" s="42"/>
    </row>
    <row r="7415" spans="1:10" s="393" customFormat="1" x14ac:dyDescent="0.25">
      <c r="A7415" s="394" t="s">
        <v>38</v>
      </c>
      <c r="B7415" s="29">
        <v>44201</v>
      </c>
      <c r="C7415" s="1">
        <v>118</v>
      </c>
      <c r="D7415" s="278">
        <f t="shared" si="581"/>
        <v>17851</v>
      </c>
      <c r="E7415" s="1"/>
      <c r="F7415" s="39">
        <f t="shared" si="582"/>
        <v>219</v>
      </c>
      <c r="G7415" s="395"/>
      <c r="H7415" s="395"/>
      <c r="J7415" s="42"/>
    </row>
    <row r="7416" spans="1:10" s="393" customFormat="1" x14ac:dyDescent="0.25">
      <c r="A7416" s="394" t="s">
        <v>39</v>
      </c>
      <c r="B7416" s="29">
        <v>44201</v>
      </c>
      <c r="C7416" s="1">
        <v>136</v>
      </c>
      <c r="D7416" s="278">
        <f t="shared" si="581"/>
        <v>19668</v>
      </c>
      <c r="E7416" s="1">
        <v>1</v>
      </c>
      <c r="F7416" s="39">
        <f t="shared" si="582"/>
        <v>255</v>
      </c>
      <c r="G7416" s="395"/>
      <c r="H7416" s="395"/>
      <c r="J7416" s="42"/>
    </row>
    <row r="7417" spans="1:10" s="393" customFormat="1" x14ac:dyDescent="0.25">
      <c r="A7417" s="394" t="s">
        <v>40</v>
      </c>
      <c r="B7417" s="29">
        <v>44201</v>
      </c>
      <c r="C7417" s="1">
        <v>244</v>
      </c>
      <c r="D7417" s="278">
        <f t="shared" si="581"/>
        <v>71830</v>
      </c>
      <c r="E7417" s="1">
        <v>5</v>
      </c>
      <c r="F7417" s="39">
        <f t="shared" si="582"/>
        <v>1373</v>
      </c>
      <c r="G7417" s="395"/>
      <c r="H7417" s="395"/>
      <c r="J7417" s="42"/>
    </row>
    <row r="7418" spans="1:10" s="393" customFormat="1" x14ac:dyDescent="0.25">
      <c r="A7418" s="394" t="s">
        <v>16</v>
      </c>
      <c r="B7418" s="29">
        <v>44202</v>
      </c>
      <c r="C7418" s="1">
        <v>5251</v>
      </c>
      <c r="D7418" s="278">
        <f t="shared" si="581"/>
        <v>704014</v>
      </c>
      <c r="E7418" s="1">
        <v>111</v>
      </c>
      <c r="F7418" s="39">
        <f t="shared" si="582"/>
        <v>22689</v>
      </c>
      <c r="G7418" s="395"/>
      <c r="H7418" s="395"/>
      <c r="J7418" s="42"/>
    </row>
    <row r="7419" spans="1:10" s="393" customFormat="1" x14ac:dyDescent="0.25">
      <c r="A7419" s="394" t="s">
        <v>43</v>
      </c>
      <c r="B7419" s="29">
        <v>44202</v>
      </c>
      <c r="C7419" s="1">
        <v>1418</v>
      </c>
      <c r="D7419" s="278">
        <f t="shared" si="581"/>
        <v>180433</v>
      </c>
      <c r="E7419" s="1">
        <v>27</v>
      </c>
      <c r="F7419" s="39">
        <f t="shared" si="582"/>
        <v>5572</v>
      </c>
      <c r="G7419" s="395"/>
      <c r="H7419" s="395"/>
      <c r="J7419" s="42"/>
    </row>
    <row r="7420" spans="1:10" s="393" customFormat="1" x14ac:dyDescent="0.25">
      <c r="A7420" s="394" t="s">
        <v>28</v>
      </c>
      <c r="B7420" s="29">
        <v>44202</v>
      </c>
      <c r="C7420" s="1">
        <v>39</v>
      </c>
      <c r="D7420" s="278">
        <f t="shared" si="581"/>
        <v>2969</v>
      </c>
      <c r="E7420" s="1"/>
      <c r="F7420" s="39">
        <f t="shared" si="582"/>
        <v>17</v>
      </c>
      <c r="G7420" s="395"/>
      <c r="H7420" s="395"/>
      <c r="J7420" s="42"/>
    </row>
    <row r="7421" spans="1:10" s="393" customFormat="1" x14ac:dyDescent="0.25">
      <c r="A7421" s="394" t="s">
        <v>15</v>
      </c>
      <c r="B7421" s="29">
        <v>44202</v>
      </c>
      <c r="C7421" s="1">
        <v>274</v>
      </c>
      <c r="D7421" s="278">
        <f t="shared" si="581"/>
        <v>25897</v>
      </c>
      <c r="E7421" s="1">
        <v>3</v>
      </c>
      <c r="F7421" s="39">
        <f t="shared" si="582"/>
        <v>719</v>
      </c>
      <c r="G7421" s="395"/>
      <c r="H7421" s="395"/>
      <c r="J7421" s="42"/>
    </row>
    <row r="7422" spans="1:10" s="393" customFormat="1" x14ac:dyDescent="0.25">
      <c r="A7422" s="394" t="s">
        <v>29</v>
      </c>
      <c r="B7422" s="29">
        <v>44202</v>
      </c>
      <c r="C7422" s="1">
        <v>486</v>
      </c>
      <c r="D7422" s="278">
        <f t="shared" si="581"/>
        <v>33838</v>
      </c>
      <c r="E7422" s="1"/>
      <c r="F7422" s="39">
        <f t="shared" si="582"/>
        <v>496</v>
      </c>
      <c r="G7422" s="395"/>
      <c r="H7422" s="395"/>
      <c r="J7422" s="42"/>
    </row>
    <row r="7423" spans="1:10" s="393" customFormat="1" x14ac:dyDescent="0.25">
      <c r="A7423" s="394" t="s">
        <v>20</v>
      </c>
      <c r="B7423" s="29">
        <v>44202</v>
      </c>
      <c r="C7423" s="1">
        <v>914</v>
      </c>
      <c r="D7423" s="278">
        <f t="shared" si="581"/>
        <v>130503</v>
      </c>
      <c r="E7423" s="1">
        <v>5</v>
      </c>
      <c r="F7423" s="39">
        <f t="shared" si="582"/>
        <v>2497</v>
      </c>
      <c r="G7423" s="395"/>
      <c r="H7423" s="395"/>
      <c r="J7423" s="42"/>
    </row>
    <row r="7424" spans="1:10" s="393" customFormat="1" x14ac:dyDescent="0.25">
      <c r="A7424" s="394" t="s">
        <v>30</v>
      </c>
      <c r="B7424" s="29">
        <v>44202</v>
      </c>
      <c r="C7424" s="1">
        <v>205</v>
      </c>
      <c r="D7424" s="278">
        <f t="shared" si="581"/>
        <v>12840</v>
      </c>
      <c r="E7424" s="1">
        <v>1</v>
      </c>
      <c r="F7424" s="39">
        <f t="shared" si="582"/>
        <v>170</v>
      </c>
      <c r="G7424" s="395"/>
      <c r="H7424" s="395"/>
      <c r="J7424" s="42"/>
    </row>
    <row r="7425" spans="1:10" x14ac:dyDescent="0.25">
      <c r="A7425" s="394" t="s">
        <v>31</v>
      </c>
      <c r="B7425" s="29">
        <v>44202</v>
      </c>
      <c r="C7425" s="1">
        <v>534</v>
      </c>
      <c r="D7425" s="278">
        <f t="shared" si="581"/>
        <v>31501</v>
      </c>
      <c r="E7425" s="1">
        <v>6</v>
      </c>
      <c r="F7425" s="39">
        <f t="shared" si="582"/>
        <v>599</v>
      </c>
    </row>
    <row r="7426" spans="1:10" s="393" customFormat="1" x14ac:dyDescent="0.25">
      <c r="A7426" s="394" t="s">
        <v>41</v>
      </c>
      <c r="B7426" s="29">
        <v>44202</v>
      </c>
      <c r="C7426" s="1">
        <v>7</v>
      </c>
      <c r="D7426" s="278">
        <f t="shared" si="581"/>
        <v>233</v>
      </c>
      <c r="E7426" s="1"/>
      <c r="F7426" s="39">
        <f t="shared" si="582"/>
        <v>3</v>
      </c>
      <c r="G7426" s="395"/>
      <c r="H7426" s="395"/>
      <c r="J7426" s="42"/>
    </row>
    <row r="7427" spans="1:10" s="393" customFormat="1" x14ac:dyDescent="0.25">
      <c r="A7427" s="394" t="s">
        <v>32</v>
      </c>
      <c r="B7427" s="29">
        <v>44202</v>
      </c>
      <c r="C7427" s="1">
        <v>14</v>
      </c>
      <c r="D7427" s="278">
        <f t="shared" si="581"/>
        <v>18602</v>
      </c>
      <c r="E7427" s="1"/>
      <c r="F7427" s="39">
        <f t="shared" si="582"/>
        <v>859</v>
      </c>
      <c r="G7427" s="395"/>
      <c r="H7427" s="395"/>
      <c r="J7427" s="42"/>
    </row>
    <row r="7428" spans="1:10" s="393" customFormat="1" x14ac:dyDescent="0.25">
      <c r="A7428" s="394" t="s">
        <v>33</v>
      </c>
      <c r="B7428" s="29">
        <v>44202</v>
      </c>
      <c r="C7428" s="1">
        <v>402</v>
      </c>
      <c r="D7428" s="278">
        <f t="shared" si="581"/>
        <v>12341</v>
      </c>
      <c r="E7428" s="1"/>
      <c r="F7428" s="39">
        <f t="shared" si="582"/>
        <v>137</v>
      </c>
      <c r="G7428" s="395"/>
      <c r="H7428" s="395"/>
      <c r="J7428" s="42"/>
    </row>
    <row r="7429" spans="1:10" s="393" customFormat="1" x14ac:dyDescent="0.25">
      <c r="A7429" s="394" t="s">
        <v>21</v>
      </c>
      <c r="B7429" s="29">
        <v>44202</v>
      </c>
      <c r="C7429" s="1">
        <v>9</v>
      </c>
      <c r="D7429" s="278">
        <f t="shared" si="581"/>
        <v>9146</v>
      </c>
      <c r="E7429" s="1"/>
      <c r="F7429" s="39">
        <f t="shared" si="582"/>
        <v>398</v>
      </c>
      <c r="G7429" s="395"/>
      <c r="H7429" s="395"/>
      <c r="J7429" s="42"/>
    </row>
    <row r="7430" spans="1:10" s="393" customFormat="1" x14ac:dyDescent="0.25">
      <c r="A7430" s="394" t="s">
        <v>17</v>
      </c>
      <c r="B7430" s="29">
        <v>44202</v>
      </c>
      <c r="C7430" s="1">
        <v>157</v>
      </c>
      <c r="D7430" s="278">
        <f t="shared" si="581"/>
        <v>60711</v>
      </c>
      <c r="E7430" s="1">
        <v>2</v>
      </c>
      <c r="F7430" s="39">
        <f t="shared" si="582"/>
        <v>1238</v>
      </c>
      <c r="G7430" s="395"/>
      <c r="H7430" s="395"/>
      <c r="J7430" s="42"/>
    </row>
    <row r="7431" spans="1:10" s="393" customFormat="1" x14ac:dyDescent="0.25">
      <c r="A7431" s="394" t="s">
        <v>23</v>
      </c>
      <c r="B7431" s="29">
        <v>44202</v>
      </c>
      <c r="C7431" s="1">
        <v>4</v>
      </c>
      <c r="D7431" s="278">
        <f t="shared" si="581"/>
        <v>1166</v>
      </c>
      <c r="E7431" s="1"/>
      <c r="F7431" s="39">
        <f t="shared" si="582"/>
        <v>12</v>
      </c>
      <c r="G7431" s="395"/>
      <c r="H7431" s="395"/>
      <c r="J7431" s="42"/>
    </row>
    <row r="7432" spans="1:10" s="393" customFormat="1" x14ac:dyDescent="0.25">
      <c r="A7432" s="394" t="s">
        <v>19</v>
      </c>
      <c r="B7432" s="29">
        <v>44202</v>
      </c>
      <c r="C7432" s="1">
        <v>568</v>
      </c>
      <c r="D7432" s="278">
        <f t="shared" si="581"/>
        <v>43472</v>
      </c>
      <c r="E7432" s="1"/>
      <c r="F7432" s="39">
        <f t="shared" si="582"/>
        <v>715</v>
      </c>
      <c r="G7432" s="395"/>
      <c r="H7432" s="395"/>
      <c r="J7432" s="42"/>
    </row>
    <row r="7433" spans="1:10" s="393" customFormat="1" x14ac:dyDescent="0.25">
      <c r="A7433" s="394" t="s">
        <v>18</v>
      </c>
      <c r="B7433" s="29">
        <v>44202</v>
      </c>
      <c r="C7433" s="1">
        <v>381</v>
      </c>
      <c r="D7433" s="278">
        <f t="shared" si="581"/>
        <v>40125</v>
      </c>
      <c r="E7433" s="1">
        <v>5</v>
      </c>
      <c r="F7433" s="39">
        <f t="shared" si="582"/>
        <v>935</v>
      </c>
      <c r="G7433" s="395"/>
      <c r="H7433" s="395"/>
      <c r="J7433" s="42"/>
    </row>
    <row r="7434" spans="1:10" s="393" customFormat="1" x14ac:dyDescent="0.25">
      <c r="A7434" s="394" t="s">
        <v>34</v>
      </c>
      <c r="B7434" s="29">
        <v>44202</v>
      </c>
      <c r="C7434" s="1">
        <v>50</v>
      </c>
      <c r="D7434" s="278">
        <f t="shared" si="581"/>
        <v>22509</v>
      </c>
      <c r="E7434" s="1"/>
      <c r="F7434" s="39">
        <f t="shared" si="582"/>
        <v>1022</v>
      </c>
      <c r="G7434" s="395"/>
      <c r="H7434" s="395"/>
      <c r="J7434" s="42"/>
    </row>
    <row r="7435" spans="1:10" s="393" customFormat="1" x14ac:dyDescent="0.25">
      <c r="A7435" s="394" t="s">
        <v>35</v>
      </c>
      <c r="B7435" s="29">
        <v>44202</v>
      </c>
      <c r="C7435" s="1">
        <v>113</v>
      </c>
      <c r="D7435" s="278">
        <f t="shared" si="581"/>
        <v>12000</v>
      </c>
      <c r="E7435" s="1">
        <v>2</v>
      </c>
      <c r="F7435" s="39">
        <f t="shared" si="582"/>
        <v>206</v>
      </c>
      <c r="G7435" s="395"/>
      <c r="H7435" s="395"/>
      <c r="J7435" s="42"/>
    </row>
    <row r="7436" spans="1:10" s="393" customFormat="1" x14ac:dyDescent="0.25">
      <c r="A7436" s="394" t="s">
        <v>36</v>
      </c>
      <c r="B7436" s="29">
        <v>44202</v>
      </c>
      <c r="C7436" s="1">
        <v>62</v>
      </c>
      <c r="D7436" s="278">
        <f t="shared" si="581"/>
        <v>16397</v>
      </c>
      <c r="E7436" s="1"/>
      <c r="F7436" s="39">
        <f t="shared" si="582"/>
        <v>308</v>
      </c>
      <c r="G7436" s="395"/>
      <c r="H7436" s="395"/>
      <c r="J7436" s="42"/>
    </row>
    <row r="7437" spans="1:10" s="393" customFormat="1" x14ac:dyDescent="0.25">
      <c r="A7437" s="394" t="s">
        <v>37</v>
      </c>
      <c r="B7437" s="29">
        <v>44202</v>
      </c>
      <c r="C7437" s="1">
        <v>461</v>
      </c>
      <c r="D7437" s="278">
        <f t="shared" si="581"/>
        <v>25699</v>
      </c>
      <c r="E7437" s="1">
        <v>7</v>
      </c>
      <c r="F7437" s="39">
        <f t="shared" si="582"/>
        <v>411</v>
      </c>
      <c r="G7437" s="395"/>
      <c r="H7437" s="395"/>
      <c r="J7437" s="42"/>
    </row>
    <row r="7438" spans="1:10" s="393" customFormat="1" x14ac:dyDescent="0.25">
      <c r="A7438" s="394" t="s">
        <v>22</v>
      </c>
      <c r="B7438" s="29">
        <v>44202</v>
      </c>
      <c r="C7438" s="1">
        <v>1511</v>
      </c>
      <c r="D7438" s="278">
        <f t="shared" si="581"/>
        <v>181845</v>
      </c>
      <c r="E7438" s="1">
        <v>18</v>
      </c>
      <c r="F7438" s="39">
        <f t="shared" si="582"/>
        <v>3060</v>
      </c>
      <c r="G7438" s="395"/>
      <c r="H7438" s="395"/>
      <c r="J7438" s="42"/>
    </row>
    <row r="7439" spans="1:10" s="393" customFormat="1" x14ac:dyDescent="0.25">
      <c r="A7439" s="394" t="s">
        <v>38</v>
      </c>
      <c r="B7439" s="29">
        <v>44202</v>
      </c>
      <c r="C7439" s="1">
        <v>181</v>
      </c>
      <c r="D7439" s="278">
        <f t="shared" si="581"/>
        <v>18032</v>
      </c>
      <c r="E7439" s="1"/>
      <c r="F7439" s="39">
        <f t="shared" si="582"/>
        <v>219</v>
      </c>
      <c r="G7439" s="395"/>
      <c r="H7439" s="395"/>
      <c r="J7439" s="42"/>
    </row>
    <row r="7440" spans="1:10" s="393" customFormat="1" x14ac:dyDescent="0.25">
      <c r="A7440" s="394" t="s">
        <v>39</v>
      </c>
      <c r="B7440" s="29">
        <v>44202</v>
      </c>
      <c r="C7440" s="1">
        <v>171</v>
      </c>
      <c r="D7440" s="278">
        <f t="shared" si="581"/>
        <v>19839</v>
      </c>
      <c r="E7440" s="1">
        <v>4</v>
      </c>
      <c r="F7440" s="39">
        <f t="shared" si="582"/>
        <v>259</v>
      </c>
      <c r="G7440" s="395"/>
      <c r="H7440" s="395"/>
      <c r="J7440" s="42"/>
    </row>
    <row r="7441" spans="1:10" s="393" customFormat="1" x14ac:dyDescent="0.25">
      <c r="A7441" s="394" t="s">
        <v>40</v>
      </c>
      <c r="B7441" s="29">
        <v>44202</v>
      </c>
      <c r="C7441" s="1">
        <v>229</v>
      </c>
      <c r="D7441" s="278">
        <f t="shared" si="581"/>
        <v>72059</v>
      </c>
      <c r="E7441" s="1"/>
      <c r="F7441" s="39">
        <f t="shared" si="582"/>
        <v>1373</v>
      </c>
      <c r="G7441" s="395"/>
      <c r="H7441" s="395"/>
      <c r="J7441" s="42"/>
    </row>
    <row r="7442" spans="1:10" s="393" customFormat="1" x14ac:dyDescent="0.25">
      <c r="A7442" s="394" t="s">
        <v>16</v>
      </c>
      <c r="B7442" s="29">
        <v>44203</v>
      </c>
      <c r="C7442" s="1">
        <v>5319</v>
      </c>
      <c r="D7442" s="278">
        <f t="shared" si="581"/>
        <v>709333</v>
      </c>
      <c r="E7442" s="1">
        <v>43</v>
      </c>
      <c r="F7442" s="39">
        <f t="shared" si="582"/>
        <v>22732</v>
      </c>
      <c r="G7442" s="395"/>
      <c r="H7442" s="395"/>
      <c r="J7442" s="42"/>
    </row>
    <row r="7443" spans="1:10" s="393" customFormat="1" x14ac:dyDescent="0.25">
      <c r="A7443" s="394" t="s">
        <v>43</v>
      </c>
      <c r="B7443" s="29">
        <v>44203</v>
      </c>
      <c r="C7443" s="1">
        <v>1556</v>
      </c>
      <c r="D7443" s="278">
        <f t="shared" ref="D7443:D7506" si="583">C7443+D7419</f>
        <v>181989</v>
      </c>
      <c r="E7443" s="1">
        <v>5</v>
      </c>
      <c r="F7443" s="39">
        <f t="shared" ref="F7443:F7506" si="584">E7443+F7419</f>
        <v>5577</v>
      </c>
      <c r="G7443" s="395"/>
      <c r="H7443" s="395"/>
      <c r="J7443" s="42"/>
    </row>
    <row r="7444" spans="1:10" s="393" customFormat="1" x14ac:dyDescent="0.25">
      <c r="A7444" s="394" t="s">
        <v>28</v>
      </c>
      <c r="B7444" s="29">
        <v>44203</v>
      </c>
      <c r="C7444" s="1">
        <v>29</v>
      </c>
      <c r="D7444" s="278">
        <f t="shared" si="583"/>
        <v>2998</v>
      </c>
      <c r="E7444" s="1"/>
      <c r="F7444" s="39">
        <f t="shared" si="584"/>
        <v>17</v>
      </c>
      <c r="G7444" s="395"/>
      <c r="H7444" s="395"/>
      <c r="J7444" s="42"/>
    </row>
    <row r="7445" spans="1:10" s="393" customFormat="1" x14ac:dyDescent="0.25">
      <c r="A7445" s="394" t="s">
        <v>15</v>
      </c>
      <c r="B7445" s="29">
        <v>44203</v>
      </c>
      <c r="C7445" s="1">
        <v>318</v>
      </c>
      <c r="D7445" s="278">
        <f t="shared" si="583"/>
        <v>26215</v>
      </c>
      <c r="E7445" s="1">
        <v>10</v>
      </c>
      <c r="F7445" s="39">
        <f t="shared" si="584"/>
        <v>729</v>
      </c>
      <c r="G7445" s="395"/>
      <c r="H7445" s="395"/>
      <c r="J7445" s="42"/>
    </row>
    <row r="7446" spans="1:10" s="393" customFormat="1" x14ac:dyDescent="0.25">
      <c r="A7446" s="394" t="s">
        <v>29</v>
      </c>
      <c r="B7446" s="29">
        <v>44203</v>
      </c>
      <c r="C7446" s="1">
        <v>490</v>
      </c>
      <c r="D7446" s="278">
        <f t="shared" si="583"/>
        <v>34328</v>
      </c>
      <c r="E7446" s="1">
        <v>27</v>
      </c>
      <c r="F7446" s="39">
        <f t="shared" si="584"/>
        <v>523</v>
      </c>
      <c r="G7446" s="395"/>
      <c r="H7446" s="395"/>
      <c r="J7446" s="42"/>
    </row>
    <row r="7447" spans="1:10" s="393" customFormat="1" x14ac:dyDescent="0.25">
      <c r="A7447" s="394" t="s">
        <v>20</v>
      </c>
      <c r="B7447" s="29">
        <v>44203</v>
      </c>
      <c r="C7447" s="1">
        <v>956</v>
      </c>
      <c r="D7447" s="278">
        <f t="shared" si="583"/>
        <v>131459</v>
      </c>
      <c r="E7447" s="1">
        <v>5</v>
      </c>
      <c r="F7447" s="39">
        <f t="shared" si="584"/>
        <v>2502</v>
      </c>
      <c r="G7447" s="395"/>
      <c r="H7447" s="395"/>
      <c r="J7447" s="42"/>
    </row>
    <row r="7448" spans="1:10" s="393" customFormat="1" x14ac:dyDescent="0.25">
      <c r="A7448" s="394" t="s">
        <v>30</v>
      </c>
      <c r="B7448" s="29">
        <v>44203</v>
      </c>
      <c r="C7448" s="1">
        <v>210</v>
      </c>
      <c r="D7448" s="278">
        <f t="shared" si="583"/>
        <v>13050</v>
      </c>
      <c r="E7448" s="1"/>
      <c r="F7448" s="39">
        <f t="shared" si="584"/>
        <v>170</v>
      </c>
      <c r="G7448" s="395"/>
      <c r="H7448" s="395"/>
      <c r="J7448" s="42"/>
    </row>
    <row r="7449" spans="1:10" x14ac:dyDescent="0.25">
      <c r="A7449" s="394" t="s">
        <v>31</v>
      </c>
      <c r="B7449" s="29">
        <v>44203</v>
      </c>
      <c r="C7449" s="1">
        <v>587</v>
      </c>
      <c r="D7449" s="278">
        <f t="shared" si="583"/>
        <v>32088</v>
      </c>
      <c r="E7449" s="1">
        <v>3</v>
      </c>
      <c r="F7449" s="39">
        <f t="shared" si="584"/>
        <v>602</v>
      </c>
    </row>
    <row r="7450" spans="1:10" s="393" customFormat="1" x14ac:dyDescent="0.25">
      <c r="A7450" s="394" t="s">
        <v>41</v>
      </c>
      <c r="B7450" s="29">
        <v>44203</v>
      </c>
      <c r="C7450" s="1">
        <v>5</v>
      </c>
      <c r="D7450" s="278">
        <f t="shared" si="583"/>
        <v>238</v>
      </c>
      <c r="E7450" s="1"/>
      <c r="F7450" s="39">
        <f t="shared" si="584"/>
        <v>3</v>
      </c>
      <c r="G7450" s="395"/>
      <c r="H7450" s="395"/>
      <c r="J7450" s="42"/>
    </row>
    <row r="7451" spans="1:10" s="393" customFormat="1" x14ac:dyDescent="0.25">
      <c r="A7451" s="394" t="s">
        <v>32</v>
      </c>
      <c r="B7451" s="29">
        <v>44203</v>
      </c>
      <c r="C7451" s="1">
        <v>15</v>
      </c>
      <c r="D7451" s="278">
        <f t="shared" si="583"/>
        <v>18617</v>
      </c>
      <c r="E7451" s="1"/>
      <c r="F7451" s="39">
        <f t="shared" si="584"/>
        <v>859</v>
      </c>
      <c r="G7451" s="395"/>
      <c r="H7451" s="395"/>
      <c r="J7451" s="42"/>
    </row>
    <row r="7452" spans="1:10" s="393" customFormat="1" x14ac:dyDescent="0.25">
      <c r="A7452" s="394" t="s">
        <v>33</v>
      </c>
      <c r="B7452" s="29">
        <v>44203</v>
      </c>
      <c r="C7452" s="1">
        <v>412</v>
      </c>
      <c r="D7452" s="278">
        <f t="shared" si="583"/>
        <v>12753</v>
      </c>
      <c r="E7452" s="1">
        <v>1</v>
      </c>
      <c r="F7452" s="39">
        <f t="shared" si="584"/>
        <v>138</v>
      </c>
      <c r="G7452" s="395"/>
      <c r="H7452" s="395"/>
      <c r="J7452" s="42"/>
    </row>
    <row r="7453" spans="1:10" s="393" customFormat="1" x14ac:dyDescent="0.25">
      <c r="A7453" s="394" t="s">
        <v>21</v>
      </c>
      <c r="B7453" s="29">
        <v>44203</v>
      </c>
      <c r="C7453" s="1">
        <v>21</v>
      </c>
      <c r="D7453" s="278">
        <f t="shared" si="583"/>
        <v>9167</v>
      </c>
      <c r="E7453" s="1">
        <v>1</v>
      </c>
      <c r="F7453" s="39">
        <f t="shared" si="584"/>
        <v>399</v>
      </c>
      <c r="G7453" s="395"/>
      <c r="H7453" s="395"/>
      <c r="J7453" s="42"/>
    </row>
    <row r="7454" spans="1:10" s="393" customFormat="1" x14ac:dyDescent="0.25">
      <c r="A7454" s="394" t="s">
        <v>17</v>
      </c>
      <c r="B7454" s="29">
        <v>44203</v>
      </c>
      <c r="C7454" s="1">
        <v>178</v>
      </c>
      <c r="D7454" s="278">
        <f t="shared" si="583"/>
        <v>60889</v>
      </c>
      <c r="E7454" s="1"/>
      <c r="F7454" s="39">
        <f t="shared" si="584"/>
        <v>1238</v>
      </c>
      <c r="G7454" s="395"/>
      <c r="H7454" s="395"/>
      <c r="J7454" s="42"/>
    </row>
    <row r="7455" spans="1:10" s="393" customFormat="1" x14ac:dyDescent="0.25">
      <c r="A7455" s="394" t="s">
        <v>23</v>
      </c>
      <c r="B7455" s="29">
        <v>44203</v>
      </c>
      <c r="C7455" s="1">
        <v>9</v>
      </c>
      <c r="D7455" s="278">
        <f t="shared" si="583"/>
        <v>1175</v>
      </c>
      <c r="E7455" s="1">
        <v>3</v>
      </c>
      <c r="F7455" s="39">
        <f t="shared" si="584"/>
        <v>15</v>
      </c>
      <c r="G7455" s="395"/>
      <c r="H7455" s="395"/>
      <c r="J7455" s="42"/>
    </row>
    <row r="7456" spans="1:10" s="393" customFormat="1" x14ac:dyDescent="0.25">
      <c r="A7456" s="394" t="s">
        <v>19</v>
      </c>
      <c r="B7456" s="29">
        <v>44203</v>
      </c>
      <c r="C7456" s="1">
        <v>592</v>
      </c>
      <c r="D7456" s="278">
        <f t="shared" si="583"/>
        <v>44064</v>
      </c>
      <c r="E7456" s="1"/>
      <c r="F7456" s="39">
        <f t="shared" si="584"/>
        <v>715</v>
      </c>
      <c r="G7456" s="395"/>
      <c r="H7456" s="395"/>
      <c r="J7456" s="42"/>
    </row>
    <row r="7457" spans="1:10" s="393" customFormat="1" x14ac:dyDescent="0.25">
      <c r="A7457" s="394" t="s">
        <v>18</v>
      </c>
      <c r="B7457" s="29">
        <v>44203</v>
      </c>
      <c r="C7457" s="1">
        <v>457</v>
      </c>
      <c r="D7457" s="278">
        <f t="shared" si="583"/>
        <v>40582</v>
      </c>
      <c r="E7457" s="1">
        <v>8</v>
      </c>
      <c r="F7457" s="39">
        <f t="shared" si="584"/>
        <v>943</v>
      </c>
      <c r="G7457" s="395"/>
      <c r="H7457" s="395"/>
      <c r="J7457" s="42"/>
    </row>
    <row r="7458" spans="1:10" s="393" customFormat="1" x14ac:dyDescent="0.25">
      <c r="A7458" s="394" t="s">
        <v>34</v>
      </c>
      <c r="B7458" s="29">
        <v>44203</v>
      </c>
      <c r="C7458" s="1">
        <v>69</v>
      </c>
      <c r="D7458" s="278">
        <f t="shared" si="583"/>
        <v>22578</v>
      </c>
      <c r="E7458" s="1"/>
      <c r="F7458" s="39">
        <f t="shared" si="584"/>
        <v>1022</v>
      </c>
      <c r="G7458" s="395"/>
      <c r="H7458" s="395"/>
      <c r="J7458" s="42"/>
    </row>
    <row r="7459" spans="1:10" s="393" customFormat="1" x14ac:dyDescent="0.25">
      <c r="A7459" s="394" t="s">
        <v>35</v>
      </c>
      <c r="B7459" s="29">
        <v>44203</v>
      </c>
      <c r="C7459" s="1">
        <v>142</v>
      </c>
      <c r="D7459" s="278">
        <f t="shared" si="583"/>
        <v>12142</v>
      </c>
      <c r="E7459" s="1">
        <v>1</v>
      </c>
      <c r="F7459" s="39">
        <f t="shared" si="584"/>
        <v>207</v>
      </c>
      <c r="G7459" s="395"/>
      <c r="H7459" s="395"/>
      <c r="J7459" s="42"/>
    </row>
    <row r="7460" spans="1:10" s="393" customFormat="1" x14ac:dyDescent="0.25">
      <c r="A7460" s="394" t="s">
        <v>36</v>
      </c>
      <c r="B7460" s="29">
        <v>44203</v>
      </c>
      <c r="C7460" s="1">
        <v>49</v>
      </c>
      <c r="D7460" s="278">
        <f t="shared" si="583"/>
        <v>16446</v>
      </c>
      <c r="E7460" s="1">
        <v>7</v>
      </c>
      <c r="F7460" s="39">
        <f t="shared" si="584"/>
        <v>315</v>
      </c>
      <c r="G7460" s="395"/>
      <c r="H7460" s="395"/>
      <c r="J7460" s="42"/>
    </row>
    <row r="7461" spans="1:10" s="393" customFormat="1" x14ac:dyDescent="0.25">
      <c r="A7461" s="394" t="s">
        <v>37</v>
      </c>
      <c r="B7461" s="29">
        <v>44203</v>
      </c>
      <c r="C7461" s="1">
        <v>461</v>
      </c>
      <c r="D7461" s="278">
        <f t="shared" si="583"/>
        <v>26160</v>
      </c>
      <c r="E7461" s="1">
        <v>3</v>
      </c>
      <c r="F7461" s="39">
        <f t="shared" si="584"/>
        <v>414</v>
      </c>
      <c r="G7461" s="395"/>
      <c r="H7461" s="395"/>
      <c r="J7461" s="42"/>
    </row>
    <row r="7462" spans="1:10" s="393" customFormat="1" x14ac:dyDescent="0.25">
      <c r="A7462" s="394" t="s">
        <v>22</v>
      </c>
      <c r="B7462" s="29">
        <v>44203</v>
      </c>
      <c r="C7462" s="1">
        <v>1446</v>
      </c>
      <c r="D7462" s="278">
        <f t="shared" si="583"/>
        <v>183291</v>
      </c>
      <c r="E7462" s="1">
        <v>12</v>
      </c>
      <c r="F7462" s="39">
        <f t="shared" si="584"/>
        <v>3072</v>
      </c>
      <c r="G7462" s="395"/>
      <c r="H7462" s="395"/>
      <c r="J7462" s="42"/>
    </row>
    <row r="7463" spans="1:10" s="393" customFormat="1" x14ac:dyDescent="0.25">
      <c r="A7463" s="394" t="s">
        <v>38</v>
      </c>
      <c r="B7463" s="29">
        <v>44203</v>
      </c>
      <c r="C7463" s="1">
        <v>167</v>
      </c>
      <c r="D7463" s="278">
        <f t="shared" si="583"/>
        <v>18199</v>
      </c>
      <c r="E7463" s="1">
        <v>1</v>
      </c>
      <c r="F7463" s="39">
        <f t="shared" si="584"/>
        <v>220</v>
      </c>
      <c r="G7463" s="395"/>
      <c r="H7463" s="395"/>
      <c r="J7463" s="42"/>
    </row>
    <row r="7464" spans="1:10" s="393" customFormat="1" x14ac:dyDescent="0.25">
      <c r="A7464" s="394" t="s">
        <v>39</v>
      </c>
      <c r="B7464" s="29">
        <v>44203</v>
      </c>
      <c r="C7464" s="1">
        <v>74</v>
      </c>
      <c r="D7464" s="278">
        <f t="shared" si="583"/>
        <v>19913</v>
      </c>
      <c r="E7464" s="1">
        <v>6</v>
      </c>
      <c r="F7464" s="39">
        <f t="shared" si="584"/>
        <v>265</v>
      </c>
      <c r="G7464" s="395"/>
      <c r="H7464" s="395"/>
      <c r="J7464" s="42"/>
    </row>
    <row r="7465" spans="1:10" s="393" customFormat="1" x14ac:dyDescent="0.25">
      <c r="A7465" s="394" t="s">
        <v>40</v>
      </c>
      <c r="B7465" s="29">
        <v>44203</v>
      </c>
      <c r="C7465" s="1">
        <v>273</v>
      </c>
      <c r="D7465" s="278">
        <f t="shared" si="583"/>
        <v>72332</v>
      </c>
      <c r="E7465" s="1">
        <v>10</v>
      </c>
      <c r="F7465" s="39">
        <f t="shared" si="584"/>
        <v>1383</v>
      </c>
      <c r="G7465" s="395"/>
      <c r="H7465" s="395"/>
      <c r="J7465" s="42"/>
    </row>
    <row r="7466" spans="1:10" s="393" customFormat="1" x14ac:dyDescent="0.25">
      <c r="A7466" s="394" t="s">
        <v>16</v>
      </c>
      <c r="B7466" s="29">
        <v>44204</v>
      </c>
      <c r="C7466" s="1">
        <v>4937</v>
      </c>
      <c r="D7466" s="278">
        <f t="shared" si="583"/>
        <v>714270</v>
      </c>
      <c r="E7466" s="1">
        <v>60</v>
      </c>
      <c r="F7466" s="39">
        <f t="shared" si="584"/>
        <v>22792</v>
      </c>
      <c r="G7466" s="395"/>
      <c r="H7466" s="395"/>
      <c r="J7466" s="42"/>
    </row>
    <row r="7467" spans="1:10" s="393" customFormat="1" x14ac:dyDescent="0.25">
      <c r="A7467" s="394" t="s">
        <v>43</v>
      </c>
      <c r="B7467" s="29">
        <v>44204</v>
      </c>
      <c r="C7467" s="1">
        <v>1451</v>
      </c>
      <c r="D7467" s="278">
        <f t="shared" si="583"/>
        <v>183440</v>
      </c>
      <c r="E7467" s="1">
        <v>12</v>
      </c>
      <c r="F7467" s="39">
        <f t="shared" si="584"/>
        <v>5589</v>
      </c>
      <c r="G7467" s="395"/>
      <c r="H7467" s="395"/>
      <c r="J7467" s="42"/>
    </row>
    <row r="7468" spans="1:10" s="393" customFormat="1" x14ac:dyDescent="0.25">
      <c r="A7468" s="394" t="s">
        <v>28</v>
      </c>
      <c r="B7468" s="29">
        <v>44204</v>
      </c>
      <c r="C7468" s="1">
        <v>55</v>
      </c>
      <c r="D7468" s="278">
        <f t="shared" si="583"/>
        <v>3053</v>
      </c>
      <c r="E7468" s="1"/>
      <c r="F7468" s="39">
        <f t="shared" si="584"/>
        <v>17</v>
      </c>
      <c r="G7468" s="395"/>
      <c r="H7468" s="395"/>
      <c r="J7468" s="42"/>
    </row>
    <row r="7469" spans="1:10" s="393" customFormat="1" x14ac:dyDescent="0.25">
      <c r="A7469" s="394" t="s">
        <v>15</v>
      </c>
      <c r="B7469" s="29">
        <v>44204</v>
      </c>
      <c r="C7469" s="1">
        <v>298</v>
      </c>
      <c r="D7469" s="278">
        <f t="shared" si="583"/>
        <v>26513</v>
      </c>
      <c r="E7469" s="1">
        <v>2</v>
      </c>
      <c r="F7469" s="39">
        <f t="shared" si="584"/>
        <v>731</v>
      </c>
      <c r="G7469" s="395"/>
      <c r="H7469" s="395"/>
      <c r="J7469" s="42"/>
    </row>
    <row r="7470" spans="1:10" s="393" customFormat="1" x14ac:dyDescent="0.25">
      <c r="A7470" s="394" t="s">
        <v>29</v>
      </c>
      <c r="B7470" s="29">
        <v>44204</v>
      </c>
      <c r="C7470" s="1">
        <v>468</v>
      </c>
      <c r="D7470" s="278">
        <f t="shared" si="583"/>
        <v>34796</v>
      </c>
      <c r="E7470" s="1">
        <v>9</v>
      </c>
      <c r="F7470" s="39">
        <f t="shared" si="584"/>
        <v>532</v>
      </c>
      <c r="G7470" s="395"/>
      <c r="H7470" s="395"/>
      <c r="J7470" s="42"/>
    </row>
    <row r="7471" spans="1:10" s="393" customFormat="1" x14ac:dyDescent="0.25">
      <c r="A7471" s="394" t="s">
        <v>20</v>
      </c>
      <c r="B7471" s="29">
        <v>44204</v>
      </c>
      <c r="C7471" s="1">
        <v>991</v>
      </c>
      <c r="D7471" s="278">
        <f t="shared" si="583"/>
        <v>132450</v>
      </c>
      <c r="E7471" s="1">
        <v>5</v>
      </c>
      <c r="F7471" s="39">
        <f t="shared" si="584"/>
        <v>2507</v>
      </c>
      <c r="G7471" s="395"/>
      <c r="H7471" s="395"/>
      <c r="J7471" s="42"/>
    </row>
    <row r="7472" spans="1:10" s="393" customFormat="1" x14ac:dyDescent="0.25">
      <c r="A7472" s="394" t="s">
        <v>30</v>
      </c>
      <c r="B7472" s="29">
        <v>44204</v>
      </c>
      <c r="C7472" s="1">
        <v>298</v>
      </c>
      <c r="D7472" s="278">
        <f t="shared" si="583"/>
        <v>13348</v>
      </c>
      <c r="E7472" s="1">
        <v>4</v>
      </c>
      <c r="F7472" s="39">
        <f t="shared" si="584"/>
        <v>174</v>
      </c>
      <c r="G7472" s="395"/>
      <c r="H7472" s="395"/>
      <c r="J7472" s="42"/>
    </row>
    <row r="7473" spans="1:10" x14ac:dyDescent="0.25">
      <c r="A7473" s="394" t="s">
        <v>31</v>
      </c>
      <c r="B7473" s="29">
        <v>44204</v>
      </c>
      <c r="C7473" s="1">
        <v>587</v>
      </c>
      <c r="D7473" s="278">
        <f t="shared" si="583"/>
        <v>32675</v>
      </c>
      <c r="E7473" s="1">
        <v>7</v>
      </c>
      <c r="F7473" s="39">
        <f t="shared" si="584"/>
        <v>609</v>
      </c>
    </row>
    <row r="7474" spans="1:10" s="393" customFormat="1" x14ac:dyDescent="0.25">
      <c r="A7474" s="394" t="s">
        <v>41</v>
      </c>
      <c r="B7474" s="29">
        <v>44204</v>
      </c>
      <c r="C7474" s="1">
        <v>3</v>
      </c>
      <c r="D7474" s="278">
        <f t="shared" si="583"/>
        <v>241</v>
      </c>
      <c r="E7474" s="1"/>
      <c r="F7474" s="39">
        <f t="shared" si="584"/>
        <v>3</v>
      </c>
      <c r="G7474" s="395"/>
      <c r="H7474" s="395"/>
      <c r="J7474" s="42"/>
    </row>
    <row r="7475" spans="1:10" s="393" customFormat="1" x14ac:dyDescent="0.25">
      <c r="A7475" s="394" t="s">
        <v>32</v>
      </c>
      <c r="B7475" s="29">
        <v>44204</v>
      </c>
      <c r="C7475" s="1">
        <v>41</v>
      </c>
      <c r="D7475" s="278">
        <f t="shared" si="583"/>
        <v>18658</v>
      </c>
      <c r="E7475" s="1"/>
      <c r="F7475" s="39">
        <f t="shared" si="584"/>
        <v>859</v>
      </c>
      <c r="G7475" s="395"/>
      <c r="H7475" s="395"/>
      <c r="J7475" s="42"/>
    </row>
    <row r="7476" spans="1:10" s="393" customFormat="1" x14ac:dyDescent="0.25">
      <c r="A7476" s="394" t="s">
        <v>33</v>
      </c>
      <c r="B7476" s="29">
        <v>44204</v>
      </c>
      <c r="C7476" s="1">
        <v>330</v>
      </c>
      <c r="D7476" s="278">
        <f t="shared" si="583"/>
        <v>13083</v>
      </c>
      <c r="E7476" s="1">
        <v>4</v>
      </c>
      <c r="F7476" s="39">
        <f t="shared" si="584"/>
        <v>142</v>
      </c>
      <c r="G7476" s="395"/>
      <c r="H7476" s="395"/>
      <c r="J7476" s="42"/>
    </row>
    <row r="7477" spans="1:10" s="393" customFormat="1" x14ac:dyDescent="0.25">
      <c r="A7477" s="394" t="s">
        <v>21</v>
      </c>
      <c r="B7477" s="29">
        <v>44204</v>
      </c>
      <c r="C7477" s="1">
        <v>17</v>
      </c>
      <c r="D7477" s="278">
        <f t="shared" si="583"/>
        <v>9184</v>
      </c>
      <c r="E7477" s="1"/>
      <c r="F7477" s="39">
        <f t="shared" si="584"/>
        <v>399</v>
      </c>
      <c r="G7477" s="395"/>
      <c r="H7477" s="395"/>
      <c r="J7477" s="42"/>
    </row>
    <row r="7478" spans="1:10" s="393" customFormat="1" x14ac:dyDescent="0.25">
      <c r="A7478" s="394" t="s">
        <v>17</v>
      </c>
      <c r="B7478" s="29">
        <v>44204</v>
      </c>
      <c r="C7478" s="1">
        <v>180</v>
      </c>
      <c r="D7478" s="278">
        <f t="shared" si="583"/>
        <v>61069</v>
      </c>
      <c r="E7478" s="1">
        <v>6</v>
      </c>
      <c r="F7478" s="39">
        <f t="shared" si="584"/>
        <v>1244</v>
      </c>
      <c r="G7478" s="395"/>
      <c r="H7478" s="395"/>
      <c r="J7478" s="42"/>
    </row>
    <row r="7479" spans="1:10" s="393" customFormat="1" x14ac:dyDescent="0.25">
      <c r="A7479" s="394" t="s">
        <v>23</v>
      </c>
      <c r="B7479" s="29">
        <v>44204</v>
      </c>
      <c r="C7479" s="1">
        <v>4</v>
      </c>
      <c r="D7479" s="278">
        <f t="shared" si="583"/>
        <v>1179</v>
      </c>
      <c r="E7479" s="1"/>
      <c r="F7479" s="39">
        <f t="shared" si="584"/>
        <v>15</v>
      </c>
      <c r="G7479" s="395"/>
      <c r="H7479" s="395"/>
      <c r="J7479" s="42"/>
    </row>
    <row r="7480" spans="1:10" s="393" customFormat="1" x14ac:dyDescent="0.25">
      <c r="A7480" s="394" t="s">
        <v>19</v>
      </c>
      <c r="B7480" s="29">
        <v>44204</v>
      </c>
      <c r="C7480" s="1">
        <v>506</v>
      </c>
      <c r="D7480" s="278">
        <f t="shared" si="583"/>
        <v>44570</v>
      </c>
      <c r="E7480" s="1"/>
      <c r="F7480" s="39">
        <f t="shared" si="584"/>
        <v>715</v>
      </c>
      <c r="G7480" s="395"/>
      <c r="H7480" s="395"/>
      <c r="J7480" s="42"/>
    </row>
    <row r="7481" spans="1:10" s="393" customFormat="1" x14ac:dyDescent="0.25">
      <c r="A7481" s="394" t="s">
        <v>18</v>
      </c>
      <c r="B7481" s="29">
        <v>44204</v>
      </c>
      <c r="C7481" s="1">
        <v>464</v>
      </c>
      <c r="D7481" s="278">
        <f t="shared" si="583"/>
        <v>41046</v>
      </c>
      <c r="E7481" s="1">
        <v>10</v>
      </c>
      <c r="F7481" s="39">
        <f t="shared" si="584"/>
        <v>953</v>
      </c>
      <c r="G7481" s="395"/>
      <c r="H7481" s="395"/>
      <c r="J7481" s="42"/>
    </row>
    <row r="7482" spans="1:10" s="393" customFormat="1" x14ac:dyDescent="0.25">
      <c r="A7482" s="394" t="s">
        <v>34</v>
      </c>
      <c r="B7482" s="29">
        <v>44204</v>
      </c>
      <c r="C7482" s="1">
        <v>38</v>
      </c>
      <c r="D7482" s="278">
        <f t="shared" si="583"/>
        <v>22616</v>
      </c>
      <c r="E7482" s="1">
        <v>1</v>
      </c>
      <c r="F7482" s="39">
        <f t="shared" si="584"/>
        <v>1023</v>
      </c>
      <c r="G7482" s="395"/>
      <c r="H7482" s="395"/>
      <c r="J7482" s="42"/>
    </row>
    <row r="7483" spans="1:10" s="393" customFormat="1" x14ac:dyDescent="0.25">
      <c r="A7483" s="394" t="s">
        <v>35</v>
      </c>
      <c r="B7483" s="29">
        <v>44204</v>
      </c>
      <c r="C7483" s="1">
        <v>138</v>
      </c>
      <c r="D7483" s="278">
        <f t="shared" si="583"/>
        <v>12280</v>
      </c>
      <c r="E7483" s="1"/>
      <c r="F7483" s="39">
        <f t="shared" si="584"/>
        <v>207</v>
      </c>
      <c r="G7483" s="395"/>
      <c r="H7483" s="395"/>
      <c r="J7483" s="42"/>
    </row>
    <row r="7484" spans="1:10" s="393" customFormat="1" x14ac:dyDescent="0.25">
      <c r="A7484" s="394" t="s">
        <v>36</v>
      </c>
      <c r="B7484" s="29">
        <v>44204</v>
      </c>
      <c r="C7484" s="1">
        <v>74</v>
      </c>
      <c r="D7484" s="278">
        <f t="shared" si="583"/>
        <v>16520</v>
      </c>
      <c r="E7484" s="1">
        <v>5</v>
      </c>
      <c r="F7484" s="39">
        <f t="shared" si="584"/>
        <v>320</v>
      </c>
      <c r="G7484" s="395"/>
      <c r="H7484" s="395"/>
      <c r="J7484" s="42"/>
    </row>
    <row r="7485" spans="1:10" s="393" customFormat="1" x14ac:dyDescent="0.25">
      <c r="A7485" s="394" t="s">
        <v>37</v>
      </c>
      <c r="B7485" s="29">
        <v>44204</v>
      </c>
      <c r="C7485" s="1">
        <v>414</v>
      </c>
      <c r="D7485" s="278">
        <f t="shared" si="583"/>
        <v>26574</v>
      </c>
      <c r="E7485" s="1">
        <v>4</v>
      </c>
      <c r="F7485" s="39">
        <f t="shared" si="584"/>
        <v>418</v>
      </c>
      <c r="G7485" s="395"/>
      <c r="H7485" s="395"/>
      <c r="J7485" s="42"/>
    </row>
    <row r="7486" spans="1:10" s="393" customFormat="1" x14ac:dyDescent="0.25">
      <c r="A7486" s="394" t="s">
        <v>22</v>
      </c>
      <c r="B7486" s="29">
        <v>44204</v>
      </c>
      <c r="C7486" s="1">
        <v>1428</v>
      </c>
      <c r="D7486" s="278">
        <f t="shared" si="583"/>
        <v>184719</v>
      </c>
      <c r="E7486" s="1">
        <v>11</v>
      </c>
      <c r="F7486" s="39">
        <f t="shared" si="584"/>
        <v>3083</v>
      </c>
      <c r="G7486" s="395"/>
      <c r="H7486" s="395"/>
      <c r="J7486" s="42"/>
    </row>
    <row r="7487" spans="1:10" s="393" customFormat="1" x14ac:dyDescent="0.25">
      <c r="A7487" s="394" t="s">
        <v>38</v>
      </c>
      <c r="B7487" s="29">
        <v>44204</v>
      </c>
      <c r="C7487" s="1">
        <v>228</v>
      </c>
      <c r="D7487" s="278">
        <f t="shared" si="583"/>
        <v>18427</v>
      </c>
      <c r="E7487" s="1">
        <v>2</v>
      </c>
      <c r="F7487" s="39">
        <f t="shared" si="584"/>
        <v>222</v>
      </c>
      <c r="G7487" s="395"/>
      <c r="H7487" s="395"/>
      <c r="J7487" s="42"/>
    </row>
    <row r="7488" spans="1:10" s="393" customFormat="1" x14ac:dyDescent="0.25">
      <c r="A7488" s="394" t="s">
        <v>39</v>
      </c>
      <c r="B7488" s="29">
        <v>44204</v>
      </c>
      <c r="C7488" s="1">
        <v>127</v>
      </c>
      <c r="D7488" s="278">
        <f t="shared" si="583"/>
        <v>20040</v>
      </c>
      <c r="E7488" s="1">
        <v>9</v>
      </c>
      <c r="F7488" s="39">
        <f t="shared" si="584"/>
        <v>274</v>
      </c>
      <c r="G7488" s="395"/>
      <c r="H7488" s="395"/>
      <c r="J7488" s="42"/>
    </row>
    <row r="7489" spans="1:10" s="393" customFormat="1" x14ac:dyDescent="0.25">
      <c r="A7489" s="394" t="s">
        <v>40</v>
      </c>
      <c r="B7489" s="29">
        <v>44204</v>
      </c>
      <c r="C7489" s="1">
        <v>269</v>
      </c>
      <c r="D7489" s="278">
        <f t="shared" si="583"/>
        <v>72601</v>
      </c>
      <c r="E7489" s="1"/>
      <c r="F7489" s="39">
        <f t="shared" si="584"/>
        <v>1383</v>
      </c>
      <c r="G7489" s="395"/>
      <c r="H7489" s="395"/>
      <c r="J7489" s="42"/>
    </row>
    <row r="7490" spans="1:10" s="393" customFormat="1" x14ac:dyDescent="0.25">
      <c r="A7490" s="394" t="s">
        <v>16</v>
      </c>
      <c r="B7490" s="29">
        <v>44205</v>
      </c>
      <c r="C7490" s="1">
        <v>4389</v>
      </c>
      <c r="D7490" s="278">
        <f t="shared" si="583"/>
        <v>718659</v>
      </c>
      <c r="E7490" s="1">
        <v>68</v>
      </c>
      <c r="F7490" s="39">
        <f t="shared" si="584"/>
        <v>22860</v>
      </c>
      <c r="G7490" s="395"/>
      <c r="H7490" s="395"/>
      <c r="J7490" s="42"/>
    </row>
    <row r="7491" spans="1:10" s="393" customFormat="1" x14ac:dyDescent="0.25">
      <c r="A7491" s="394" t="s">
        <v>43</v>
      </c>
      <c r="B7491" s="29">
        <v>44205</v>
      </c>
      <c r="C7491" s="1">
        <v>1350</v>
      </c>
      <c r="D7491" s="278">
        <f t="shared" si="583"/>
        <v>184790</v>
      </c>
      <c r="E7491" s="1">
        <v>4</v>
      </c>
      <c r="F7491" s="39">
        <f t="shared" si="584"/>
        <v>5593</v>
      </c>
      <c r="G7491" s="395"/>
      <c r="H7491" s="395"/>
      <c r="J7491" s="42"/>
    </row>
    <row r="7492" spans="1:10" s="393" customFormat="1" x14ac:dyDescent="0.25">
      <c r="A7492" s="394" t="s">
        <v>28</v>
      </c>
      <c r="B7492" s="29">
        <v>44205</v>
      </c>
      <c r="C7492" s="1">
        <v>69</v>
      </c>
      <c r="D7492" s="278">
        <f t="shared" si="583"/>
        <v>3122</v>
      </c>
      <c r="E7492" s="1"/>
      <c r="F7492" s="39">
        <f t="shared" si="584"/>
        <v>17</v>
      </c>
      <c r="G7492" s="395"/>
      <c r="H7492" s="395"/>
      <c r="J7492" s="42"/>
    </row>
    <row r="7493" spans="1:10" s="393" customFormat="1" x14ac:dyDescent="0.25">
      <c r="A7493" s="394" t="s">
        <v>15</v>
      </c>
      <c r="B7493" s="29">
        <v>44205</v>
      </c>
      <c r="C7493" s="1">
        <v>225</v>
      </c>
      <c r="D7493" s="278">
        <f t="shared" si="583"/>
        <v>26738</v>
      </c>
      <c r="E7493" s="1">
        <v>1</v>
      </c>
      <c r="F7493" s="39">
        <f t="shared" si="584"/>
        <v>732</v>
      </c>
      <c r="G7493" s="395"/>
      <c r="H7493" s="395"/>
      <c r="J7493" s="42"/>
    </row>
    <row r="7494" spans="1:10" s="393" customFormat="1" x14ac:dyDescent="0.25">
      <c r="A7494" s="394" t="s">
        <v>29</v>
      </c>
      <c r="B7494" s="29">
        <v>44205</v>
      </c>
      <c r="C7494" s="1">
        <v>330</v>
      </c>
      <c r="D7494" s="278">
        <f t="shared" si="583"/>
        <v>35126</v>
      </c>
      <c r="E7494" s="1"/>
      <c r="F7494" s="39">
        <f t="shared" si="584"/>
        <v>532</v>
      </c>
      <c r="G7494" s="395"/>
      <c r="H7494" s="395"/>
      <c r="J7494" s="42"/>
    </row>
    <row r="7495" spans="1:10" s="393" customFormat="1" x14ac:dyDescent="0.25">
      <c r="A7495" s="394" t="s">
        <v>20</v>
      </c>
      <c r="B7495" s="29">
        <v>44205</v>
      </c>
      <c r="C7495" s="1">
        <v>628</v>
      </c>
      <c r="D7495" s="278">
        <f t="shared" si="583"/>
        <v>133078</v>
      </c>
      <c r="E7495" s="1">
        <v>2</v>
      </c>
      <c r="F7495" s="39">
        <f t="shared" si="584"/>
        <v>2509</v>
      </c>
      <c r="G7495" s="395"/>
      <c r="H7495" s="395"/>
      <c r="J7495" s="42"/>
    </row>
    <row r="7496" spans="1:10" s="393" customFormat="1" x14ac:dyDescent="0.25">
      <c r="A7496" s="394" t="s">
        <v>30</v>
      </c>
      <c r="B7496" s="29">
        <v>44205</v>
      </c>
      <c r="C7496" s="1">
        <v>298</v>
      </c>
      <c r="D7496" s="278">
        <f t="shared" si="583"/>
        <v>13646</v>
      </c>
      <c r="E7496" s="1"/>
      <c r="F7496" s="39">
        <f t="shared" si="584"/>
        <v>174</v>
      </c>
      <c r="G7496" s="395"/>
      <c r="H7496" s="395"/>
      <c r="J7496" s="42"/>
    </row>
    <row r="7497" spans="1:10" x14ac:dyDescent="0.25">
      <c r="A7497" s="394" t="s">
        <v>31</v>
      </c>
      <c r="B7497" s="29">
        <v>44205</v>
      </c>
      <c r="C7497" s="1">
        <v>516</v>
      </c>
      <c r="D7497" s="278">
        <f t="shared" si="583"/>
        <v>33191</v>
      </c>
      <c r="E7497" s="1">
        <v>1</v>
      </c>
      <c r="F7497" s="39">
        <f t="shared" si="584"/>
        <v>610</v>
      </c>
    </row>
    <row r="7498" spans="1:10" s="393" customFormat="1" x14ac:dyDescent="0.25">
      <c r="A7498" s="394" t="s">
        <v>41</v>
      </c>
      <c r="B7498" s="29">
        <v>44205</v>
      </c>
      <c r="C7498" s="1">
        <v>18</v>
      </c>
      <c r="D7498" s="278">
        <f t="shared" si="583"/>
        <v>259</v>
      </c>
      <c r="E7498" s="1"/>
      <c r="F7498" s="39">
        <f t="shared" si="584"/>
        <v>3</v>
      </c>
      <c r="G7498" s="395"/>
      <c r="H7498" s="395"/>
      <c r="J7498" s="42"/>
    </row>
    <row r="7499" spans="1:10" s="393" customFormat="1" x14ac:dyDescent="0.25">
      <c r="A7499" s="394" t="s">
        <v>32</v>
      </c>
      <c r="B7499" s="29">
        <v>44205</v>
      </c>
      <c r="C7499" s="1">
        <v>8</v>
      </c>
      <c r="D7499" s="278">
        <f t="shared" si="583"/>
        <v>18666</v>
      </c>
      <c r="E7499" s="1"/>
      <c r="F7499" s="39">
        <f t="shared" si="584"/>
        <v>859</v>
      </c>
      <c r="G7499" s="395"/>
      <c r="H7499" s="395"/>
      <c r="J7499" s="42"/>
    </row>
    <row r="7500" spans="1:10" s="393" customFormat="1" x14ac:dyDescent="0.25">
      <c r="A7500" s="394" t="s">
        <v>33</v>
      </c>
      <c r="B7500" s="29">
        <v>44205</v>
      </c>
      <c r="C7500" s="1">
        <v>315</v>
      </c>
      <c r="D7500" s="278">
        <f t="shared" si="583"/>
        <v>13398</v>
      </c>
      <c r="E7500" s="1">
        <v>12</v>
      </c>
      <c r="F7500" s="39">
        <f t="shared" si="584"/>
        <v>154</v>
      </c>
      <c r="G7500" s="395"/>
      <c r="H7500" s="395"/>
      <c r="J7500" s="42"/>
    </row>
    <row r="7501" spans="1:10" s="393" customFormat="1" x14ac:dyDescent="0.25">
      <c r="A7501" s="394" t="s">
        <v>21</v>
      </c>
      <c r="B7501" s="29">
        <v>44205</v>
      </c>
      <c r="C7501" s="1">
        <v>15</v>
      </c>
      <c r="D7501" s="278">
        <f t="shared" si="583"/>
        <v>9199</v>
      </c>
      <c r="E7501" s="1">
        <v>2</v>
      </c>
      <c r="F7501" s="39">
        <f t="shared" si="584"/>
        <v>401</v>
      </c>
      <c r="G7501" s="395"/>
      <c r="H7501" s="395"/>
      <c r="J7501" s="42"/>
    </row>
    <row r="7502" spans="1:10" s="393" customFormat="1" x14ac:dyDescent="0.25">
      <c r="A7502" s="394" t="s">
        <v>17</v>
      </c>
      <c r="B7502" s="29">
        <v>44205</v>
      </c>
      <c r="C7502" s="1">
        <v>145</v>
      </c>
      <c r="D7502" s="278">
        <f t="shared" si="583"/>
        <v>61214</v>
      </c>
      <c r="E7502" s="1">
        <v>1</v>
      </c>
      <c r="F7502" s="39">
        <f t="shared" si="584"/>
        <v>1245</v>
      </c>
      <c r="G7502" s="395"/>
      <c r="H7502" s="395"/>
      <c r="J7502" s="42"/>
    </row>
    <row r="7503" spans="1:10" s="393" customFormat="1" x14ac:dyDescent="0.25">
      <c r="A7503" s="394" t="s">
        <v>23</v>
      </c>
      <c r="B7503" s="29">
        <v>44205</v>
      </c>
      <c r="C7503" s="1">
        <v>156</v>
      </c>
      <c r="D7503" s="278">
        <f t="shared" si="583"/>
        <v>1335</v>
      </c>
      <c r="E7503" s="1">
        <v>1</v>
      </c>
      <c r="F7503" s="39">
        <f t="shared" si="584"/>
        <v>16</v>
      </c>
      <c r="G7503" s="395"/>
      <c r="H7503" s="395"/>
      <c r="J7503" s="42"/>
    </row>
    <row r="7504" spans="1:10" s="393" customFormat="1" x14ac:dyDescent="0.25">
      <c r="A7504" s="394" t="s">
        <v>19</v>
      </c>
      <c r="B7504" s="29">
        <v>44205</v>
      </c>
      <c r="C7504" s="1">
        <v>351</v>
      </c>
      <c r="D7504" s="278">
        <f t="shared" si="583"/>
        <v>44921</v>
      </c>
      <c r="E7504" s="1">
        <v>38</v>
      </c>
      <c r="F7504" s="39">
        <f t="shared" si="584"/>
        <v>753</v>
      </c>
      <c r="G7504" s="395"/>
      <c r="H7504" s="395"/>
      <c r="J7504" s="42"/>
    </row>
    <row r="7505" spans="1:10" s="393" customFormat="1" x14ac:dyDescent="0.25">
      <c r="A7505" s="394" t="s">
        <v>18</v>
      </c>
      <c r="B7505" s="29">
        <v>44205</v>
      </c>
      <c r="C7505" s="1">
        <v>237</v>
      </c>
      <c r="D7505" s="278">
        <f t="shared" si="583"/>
        <v>41283</v>
      </c>
      <c r="E7505" s="1">
        <v>3</v>
      </c>
      <c r="F7505" s="39">
        <f t="shared" si="584"/>
        <v>956</v>
      </c>
      <c r="G7505" s="395"/>
      <c r="H7505" s="395"/>
      <c r="J7505" s="42"/>
    </row>
    <row r="7506" spans="1:10" s="393" customFormat="1" x14ac:dyDescent="0.25">
      <c r="A7506" s="394" t="s">
        <v>34</v>
      </c>
      <c r="B7506" s="29">
        <v>44205</v>
      </c>
      <c r="C7506" s="1">
        <v>73</v>
      </c>
      <c r="D7506" s="278">
        <f t="shared" si="583"/>
        <v>22689</v>
      </c>
      <c r="E7506" s="1"/>
      <c r="F7506" s="39">
        <f t="shared" si="584"/>
        <v>1023</v>
      </c>
      <c r="G7506" s="395"/>
      <c r="H7506" s="395"/>
      <c r="J7506" s="42"/>
    </row>
    <row r="7507" spans="1:10" s="393" customFormat="1" x14ac:dyDescent="0.25">
      <c r="A7507" s="394" t="s">
        <v>35</v>
      </c>
      <c r="B7507" s="29">
        <v>44205</v>
      </c>
      <c r="C7507" s="1">
        <v>79</v>
      </c>
      <c r="D7507" s="278">
        <f t="shared" ref="D7507:D7513" si="585">C7507+D7483</f>
        <v>12359</v>
      </c>
      <c r="E7507" s="1"/>
      <c r="F7507" s="39">
        <f t="shared" ref="F7507:F7513" si="586">E7507+F7483</f>
        <v>207</v>
      </c>
      <c r="G7507" s="395"/>
      <c r="H7507" s="395"/>
      <c r="J7507" s="42"/>
    </row>
    <row r="7508" spans="1:10" s="393" customFormat="1" x14ac:dyDescent="0.25">
      <c r="A7508" s="394" t="s">
        <v>36</v>
      </c>
      <c r="B7508" s="29">
        <v>44205</v>
      </c>
      <c r="C7508" s="1">
        <v>16</v>
      </c>
      <c r="D7508" s="278">
        <f t="shared" si="585"/>
        <v>16536</v>
      </c>
      <c r="E7508" s="1">
        <v>1</v>
      </c>
      <c r="F7508" s="39">
        <f t="shared" si="586"/>
        <v>321</v>
      </c>
      <c r="G7508" s="395"/>
      <c r="H7508" s="395"/>
      <c r="J7508" s="42"/>
    </row>
    <row r="7509" spans="1:10" s="393" customFormat="1" x14ac:dyDescent="0.25">
      <c r="A7509" s="394" t="s">
        <v>37</v>
      </c>
      <c r="B7509" s="29">
        <v>44205</v>
      </c>
      <c r="C7509" s="1">
        <v>365</v>
      </c>
      <c r="D7509" s="278">
        <f t="shared" si="585"/>
        <v>26939</v>
      </c>
      <c r="E7509" s="1">
        <v>2</v>
      </c>
      <c r="F7509" s="39">
        <f t="shared" si="586"/>
        <v>420</v>
      </c>
      <c r="G7509" s="395"/>
      <c r="H7509" s="395"/>
      <c r="J7509" s="42"/>
    </row>
    <row r="7510" spans="1:10" s="393" customFormat="1" x14ac:dyDescent="0.25">
      <c r="A7510" s="394" t="s">
        <v>22</v>
      </c>
      <c r="B7510" s="29">
        <v>44205</v>
      </c>
      <c r="C7510" s="1">
        <v>1171</v>
      </c>
      <c r="D7510" s="278">
        <f t="shared" si="585"/>
        <v>185890</v>
      </c>
      <c r="E7510" s="1">
        <v>2</v>
      </c>
      <c r="F7510" s="39">
        <f t="shared" si="586"/>
        <v>3085</v>
      </c>
      <c r="G7510" s="395"/>
      <c r="H7510" s="395"/>
      <c r="J7510" s="42"/>
    </row>
    <row r="7511" spans="1:10" s="393" customFormat="1" x14ac:dyDescent="0.25">
      <c r="A7511" s="394" t="s">
        <v>38</v>
      </c>
      <c r="B7511" s="29">
        <v>44205</v>
      </c>
      <c r="C7511" s="1">
        <v>125</v>
      </c>
      <c r="D7511" s="278">
        <f t="shared" si="585"/>
        <v>18552</v>
      </c>
      <c r="E7511" s="1">
        <v>3</v>
      </c>
      <c r="F7511" s="39">
        <f t="shared" si="586"/>
        <v>225</v>
      </c>
      <c r="G7511" s="395"/>
      <c r="H7511" s="395"/>
      <c r="J7511" s="42"/>
    </row>
    <row r="7512" spans="1:10" s="393" customFormat="1" x14ac:dyDescent="0.25">
      <c r="A7512" s="394" t="s">
        <v>39</v>
      </c>
      <c r="B7512" s="29">
        <v>44205</v>
      </c>
      <c r="C7512" s="1">
        <v>57</v>
      </c>
      <c r="D7512" s="278">
        <f t="shared" si="585"/>
        <v>20097</v>
      </c>
      <c r="E7512" s="1"/>
      <c r="F7512" s="39">
        <f t="shared" si="586"/>
        <v>274</v>
      </c>
      <c r="G7512" s="395"/>
      <c r="H7512" s="395"/>
      <c r="J7512" s="42"/>
    </row>
    <row r="7513" spans="1:10" s="393" customFormat="1" x14ac:dyDescent="0.25">
      <c r="A7513" s="394" t="s">
        <v>40</v>
      </c>
      <c r="B7513" s="29">
        <v>44205</v>
      </c>
      <c r="C7513" s="1">
        <v>121</v>
      </c>
      <c r="D7513" s="278">
        <f t="shared" si="585"/>
        <v>72722</v>
      </c>
      <c r="E7513" s="1"/>
      <c r="F7513" s="39">
        <f t="shared" si="586"/>
        <v>1383</v>
      </c>
      <c r="G7513" s="395"/>
      <c r="H7513" s="395"/>
      <c r="J7513" s="42"/>
    </row>
    <row r="7514" spans="1:10" s="393" customFormat="1" x14ac:dyDescent="0.25">
      <c r="A7514" s="394" t="s">
        <v>16</v>
      </c>
      <c r="B7514" s="29">
        <v>44206</v>
      </c>
      <c r="C7514" s="1">
        <v>3295</v>
      </c>
      <c r="D7514" s="278">
        <f>C7514+D7490</f>
        <v>721954</v>
      </c>
      <c r="E7514" s="1">
        <v>49</v>
      </c>
      <c r="F7514" s="39">
        <f>E7514+F7490</f>
        <v>22909</v>
      </c>
      <c r="G7514" s="395"/>
      <c r="H7514" s="395"/>
      <c r="J7514" s="42"/>
    </row>
    <row r="7515" spans="1:10" s="393" customFormat="1" x14ac:dyDescent="0.25">
      <c r="A7515" s="394" t="s">
        <v>43</v>
      </c>
      <c r="B7515" s="29">
        <v>44206</v>
      </c>
      <c r="C7515" s="1">
        <v>1247</v>
      </c>
      <c r="D7515" s="278">
        <f t="shared" ref="D7515:D7537" si="587">C7515+D7491</f>
        <v>186037</v>
      </c>
      <c r="E7515" s="1">
        <v>4</v>
      </c>
      <c r="F7515" s="39">
        <f t="shared" ref="F7515:F7537" si="588">E7515+F7491</f>
        <v>5597</v>
      </c>
      <c r="G7515" s="395"/>
      <c r="H7515" s="395"/>
      <c r="J7515" s="42"/>
    </row>
    <row r="7516" spans="1:10" s="393" customFormat="1" x14ac:dyDescent="0.25">
      <c r="A7516" s="394" t="s">
        <v>28</v>
      </c>
      <c r="B7516" s="29">
        <v>44206</v>
      </c>
      <c r="C7516" s="1">
        <v>51</v>
      </c>
      <c r="D7516" s="278">
        <f t="shared" si="587"/>
        <v>3173</v>
      </c>
      <c r="E7516" s="1"/>
      <c r="F7516" s="39">
        <f t="shared" si="588"/>
        <v>17</v>
      </c>
      <c r="G7516" s="395"/>
      <c r="H7516" s="395"/>
      <c r="J7516" s="42"/>
    </row>
    <row r="7517" spans="1:10" s="393" customFormat="1" x14ac:dyDescent="0.25">
      <c r="A7517" s="394" t="s">
        <v>15</v>
      </c>
      <c r="B7517" s="29">
        <v>44206</v>
      </c>
      <c r="C7517" s="1">
        <v>191</v>
      </c>
      <c r="D7517" s="278">
        <f t="shared" si="587"/>
        <v>26929</v>
      </c>
      <c r="E7517" s="1">
        <v>2</v>
      </c>
      <c r="F7517" s="39">
        <f t="shared" si="588"/>
        <v>734</v>
      </c>
      <c r="G7517" s="395"/>
      <c r="H7517" s="395"/>
      <c r="J7517" s="42"/>
    </row>
    <row r="7518" spans="1:10" s="393" customFormat="1" x14ac:dyDescent="0.25">
      <c r="A7518" s="394" t="s">
        <v>29</v>
      </c>
      <c r="B7518" s="29">
        <v>44206</v>
      </c>
      <c r="C7518" s="1">
        <v>194</v>
      </c>
      <c r="D7518" s="278">
        <f t="shared" si="587"/>
        <v>35320</v>
      </c>
      <c r="E7518" s="1">
        <v>3</v>
      </c>
      <c r="F7518" s="39">
        <f t="shared" si="588"/>
        <v>535</v>
      </c>
      <c r="G7518" s="395"/>
      <c r="H7518" s="395"/>
      <c r="J7518" s="42"/>
    </row>
    <row r="7519" spans="1:10" s="393" customFormat="1" x14ac:dyDescent="0.25">
      <c r="A7519" s="394" t="s">
        <v>20</v>
      </c>
      <c r="B7519" s="29">
        <v>44206</v>
      </c>
      <c r="C7519" s="1">
        <v>466</v>
      </c>
      <c r="D7519" s="278">
        <f t="shared" si="587"/>
        <v>133544</v>
      </c>
      <c r="E7519" s="1"/>
      <c r="F7519" s="39">
        <f t="shared" si="588"/>
        <v>2509</v>
      </c>
      <c r="G7519" s="395"/>
      <c r="H7519" s="395"/>
      <c r="J7519" s="42"/>
    </row>
    <row r="7520" spans="1:10" s="393" customFormat="1" x14ac:dyDescent="0.25">
      <c r="A7520" s="394" t="s">
        <v>30</v>
      </c>
      <c r="B7520" s="29">
        <v>44206</v>
      </c>
      <c r="C7520" s="1">
        <v>119</v>
      </c>
      <c r="D7520" s="278">
        <f t="shared" si="587"/>
        <v>13765</v>
      </c>
      <c r="E7520" s="1"/>
      <c r="F7520" s="39">
        <f t="shared" si="588"/>
        <v>174</v>
      </c>
      <c r="G7520" s="395"/>
      <c r="H7520" s="395"/>
      <c r="J7520" s="42"/>
    </row>
    <row r="7521" spans="1:10" x14ac:dyDescent="0.25">
      <c r="A7521" s="394" t="s">
        <v>31</v>
      </c>
      <c r="B7521" s="29">
        <v>44206</v>
      </c>
      <c r="C7521" s="1">
        <v>350</v>
      </c>
      <c r="D7521" s="278">
        <f t="shared" si="587"/>
        <v>33541</v>
      </c>
      <c r="E7521" s="1">
        <v>3</v>
      </c>
      <c r="F7521" s="39">
        <f t="shared" si="588"/>
        <v>613</v>
      </c>
    </row>
    <row r="7522" spans="1:10" s="393" customFormat="1" x14ac:dyDescent="0.25">
      <c r="A7522" s="394" t="s">
        <v>41</v>
      </c>
      <c r="B7522" s="29">
        <v>44206</v>
      </c>
      <c r="C7522" s="1">
        <v>32</v>
      </c>
      <c r="D7522" s="278">
        <f t="shared" si="587"/>
        <v>291</v>
      </c>
      <c r="E7522" s="1"/>
      <c r="F7522" s="39">
        <f t="shared" si="588"/>
        <v>3</v>
      </c>
      <c r="G7522" s="395"/>
      <c r="H7522" s="395"/>
      <c r="J7522" s="42"/>
    </row>
    <row r="7523" spans="1:10" s="393" customFormat="1" x14ac:dyDescent="0.25">
      <c r="A7523" s="394" t="s">
        <v>32</v>
      </c>
      <c r="B7523" s="29">
        <v>44206</v>
      </c>
      <c r="C7523" s="1">
        <v>20</v>
      </c>
      <c r="D7523" s="278">
        <f t="shared" si="587"/>
        <v>18686</v>
      </c>
      <c r="E7523" s="1"/>
      <c r="F7523" s="39">
        <f t="shared" si="588"/>
        <v>859</v>
      </c>
      <c r="G7523" s="395"/>
      <c r="H7523" s="395"/>
      <c r="J7523" s="42"/>
    </row>
    <row r="7524" spans="1:10" s="393" customFormat="1" x14ac:dyDescent="0.25">
      <c r="A7524" s="394" t="s">
        <v>33</v>
      </c>
      <c r="B7524" s="29">
        <v>44206</v>
      </c>
      <c r="C7524" s="1">
        <v>102</v>
      </c>
      <c r="D7524" s="278">
        <f t="shared" si="587"/>
        <v>13500</v>
      </c>
      <c r="E7524" s="1">
        <v>3</v>
      </c>
      <c r="F7524" s="39">
        <f t="shared" si="588"/>
        <v>157</v>
      </c>
      <c r="G7524" s="395"/>
      <c r="H7524" s="395"/>
      <c r="J7524" s="42"/>
    </row>
    <row r="7525" spans="1:10" s="393" customFormat="1" x14ac:dyDescent="0.25">
      <c r="A7525" s="394" t="s">
        <v>21</v>
      </c>
      <c r="B7525" s="29">
        <v>44206</v>
      </c>
      <c r="C7525" s="1">
        <v>15</v>
      </c>
      <c r="D7525" s="278">
        <f t="shared" si="587"/>
        <v>9214</v>
      </c>
      <c r="E7525" s="1"/>
      <c r="F7525" s="39">
        <f t="shared" si="588"/>
        <v>401</v>
      </c>
      <c r="G7525" s="395"/>
      <c r="H7525" s="395"/>
      <c r="J7525" s="42"/>
    </row>
    <row r="7526" spans="1:10" s="393" customFormat="1" x14ac:dyDescent="0.25">
      <c r="A7526" s="394" t="s">
        <v>17</v>
      </c>
      <c r="B7526" s="29">
        <v>44206</v>
      </c>
      <c r="C7526" s="1">
        <v>76</v>
      </c>
      <c r="D7526" s="278">
        <f t="shared" si="587"/>
        <v>61290</v>
      </c>
      <c r="E7526" s="1"/>
      <c r="F7526" s="39">
        <f t="shared" si="588"/>
        <v>1245</v>
      </c>
      <c r="G7526" s="395"/>
      <c r="H7526" s="395"/>
      <c r="J7526" s="42"/>
    </row>
    <row r="7527" spans="1:10" s="393" customFormat="1" x14ac:dyDescent="0.25">
      <c r="A7527" s="394" t="s">
        <v>23</v>
      </c>
      <c r="B7527" s="29">
        <v>44206</v>
      </c>
      <c r="C7527" s="1">
        <v>110</v>
      </c>
      <c r="D7527" s="278">
        <f t="shared" si="587"/>
        <v>1445</v>
      </c>
      <c r="E7527" s="1"/>
      <c r="F7527" s="39">
        <f t="shared" si="588"/>
        <v>16</v>
      </c>
      <c r="G7527" s="395"/>
      <c r="H7527" s="395"/>
      <c r="J7527" s="42"/>
    </row>
    <row r="7528" spans="1:10" s="393" customFormat="1" x14ac:dyDescent="0.25">
      <c r="A7528" s="394" t="s">
        <v>19</v>
      </c>
      <c r="B7528" s="29">
        <v>44206</v>
      </c>
      <c r="C7528" s="1">
        <v>229</v>
      </c>
      <c r="D7528" s="278">
        <f t="shared" si="587"/>
        <v>45150</v>
      </c>
      <c r="E7528" s="1"/>
      <c r="F7528" s="39">
        <f t="shared" si="588"/>
        <v>753</v>
      </c>
      <c r="G7528" s="395"/>
      <c r="H7528" s="395"/>
      <c r="J7528" s="42"/>
    </row>
    <row r="7529" spans="1:10" s="393" customFormat="1" x14ac:dyDescent="0.25">
      <c r="A7529" s="394" t="s">
        <v>18</v>
      </c>
      <c r="B7529" s="29">
        <v>44206</v>
      </c>
      <c r="C7529" s="1">
        <v>201</v>
      </c>
      <c r="D7529" s="278">
        <f t="shared" si="587"/>
        <v>41484</v>
      </c>
      <c r="E7529" s="1">
        <v>4</v>
      </c>
      <c r="F7529" s="39">
        <f t="shared" si="588"/>
        <v>960</v>
      </c>
      <c r="G7529" s="395"/>
      <c r="H7529" s="395"/>
      <c r="J7529" s="42"/>
    </row>
    <row r="7530" spans="1:10" s="393" customFormat="1" x14ac:dyDescent="0.25">
      <c r="A7530" s="394" t="s">
        <v>34</v>
      </c>
      <c r="B7530" s="29">
        <v>44206</v>
      </c>
      <c r="C7530" s="1">
        <v>21</v>
      </c>
      <c r="D7530" s="278">
        <f t="shared" si="587"/>
        <v>22710</v>
      </c>
      <c r="E7530" s="1"/>
      <c r="F7530" s="39">
        <f t="shared" si="588"/>
        <v>1023</v>
      </c>
      <c r="G7530" s="395"/>
      <c r="H7530" s="395"/>
      <c r="J7530" s="42"/>
    </row>
    <row r="7531" spans="1:10" s="393" customFormat="1" x14ac:dyDescent="0.25">
      <c r="A7531" s="394" t="s">
        <v>35</v>
      </c>
      <c r="B7531" s="29">
        <v>44206</v>
      </c>
      <c r="C7531" s="1">
        <v>23</v>
      </c>
      <c r="D7531" s="278">
        <f t="shared" si="587"/>
        <v>12382</v>
      </c>
      <c r="E7531" s="1"/>
      <c r="F7531" s="39">
        <f t="shared" si="588"/>
        <v>207</v>
      </c>
      <c r="G7531" s="395"/>
      <c r="H7531" s="395"/>
      <c r="J7531" s="42"/>
    </row>
    <row r="7532" spans="1:10" s="393" customFormat="1" x14ac:dyDescent="0.25">
      <c r="A7532" s="394" t="s">
        <v>36</v>
      </c>
      <c r="B7532" s="29">
        <v>44206</v>
      </c>
      <c r="C7532" s="1">
        <v>8</v>
      </c>
      <c r="D7532" s="278">
        <f t="shared" si="587"/>
        <v>16544</v>
      </c>
      <c r="E7532" s="1"/>
      <c r="F7532" s="39">
        <f t="shared" si="588"/>
        <v>321</v>
      </c>
      <c r="G7532" s="395"/>
      <c r="H7532" s="395"/>
      <c r="J7532" s="42"/>
    </row>
    <row r="7533" spans="1:10" s="393" customFormat="1" x14ac:dyDescent="0.25">
      <c r="A7533" s="394" t="s">
        <v>37</v>
      </c>
      <c r="B7533" s="29">
        <v>44206</v>
      </c>
      <c r="C7533" s="1">
        <v>255</v>
      </c>
      <c r="D7533" s="278">
        <f t="shared" si="587"/>
        <v>27194</v>
      </c>
      <c r="E7533" s="1">
        <v>4</v>
      </c>
      <c r="F7533" s="39">
        <f t="shared" si="588"/>
        <v>424</v>
      </c>
      <c r="G7533" s="395"/>
      <c r="H7533" s="395"/>
      <c r="J7533" s="42"/>
    </row>
    <row r="7534" spans="1:10" s="393" customFormat="1" x14ac:dyDescent="0.25">
      <c r="A7534" s="394" t="s">
        <v>22</v>
      </c>
      <c r="B7534" s="29">
        <v>44206</v>
      </c>
      <c r="C7534" s="1">
        <v>548</v>
      </c>
      <c r="D7534" s="278">
        <f t="shared" si="587"/>
        <v>186438</v>
      </c>
      <c r="E7534" s="1">
        <v>4</v>
      </c>
      <c r="F7534" s="39">
        <f t="shared" si="588"/>
        <v>3089</v>
      </c>
      <c r="G7534" s="395"/>
      <c r="H7534" s="395"/>
      <c r="J7534" s="42"/>
    </row>
    <row r="7535" spans="1:10" s="393" customFormat="1" x14ac:dyDescent="0.25">
      <c r="A7535" s="394" t="s">
        <v>38</v>
      </c>
      <c r="B7535" s="29">
        <v>44206</v>
      </c>
      <c r="C7535" s="1">
        <v>65</v>
      </c>
      <c r="D7535" s="278">
        <f t="shared" si="587"/>
        <v>18617</v>
      </c>
      <c r="E7535" s="1">
        <v>1</v>
      </c>
      <c r="F7535" s="39">
        <f t="shared" si="588"/>
        <v>226</v>
      </c>
      <c r="G7535" s="395"/>
      <c r="H7535" s="395"/>
      <c r="J7535" s="42"/>
    </row>
    <row r="7536" spans="1:10" s="393" customFormat="1" x14ac:dyDescent="0.25">
      <c r="A7536" s="394" t="s">
        <v>39</v>
      </c>
      <c r="B7536" s="29">
        <v>44206</v>
      </c>
      <c r="C7536" s="1">
        <v>74</v>
      </c>
      <c r="D7536" s="278">
        <f t="shared" si="587"/>
        <v>20171</v>
      </c>
      <c r="E7536" s="1"/>
      <c r="F7536" s="39">
        <f t="shared" si="588"/>
        <v>274</v>
      </c>
      <c r="G7536" s="395"/>
      <c r="H7536" s="395"/>
      <c r="J7536" s="42"/>
    </row>
    <row r="7537" spans="1:10" s="393" customFormat="1" x14ac:dyDescent="0.25">
      <c r="A7537" s="394" t="s">
        <v>40</v>
      </c>
      <c r="B7537" s="29">
        <v>44206</v>
      </c>
      <c r="C7537" s="1">
        <v>116</v>
      </c>
      <c r="D7537" s="278">
        <f t="shared" si="587"/>
        <v>72838</v>
      </c>
      <c r="E7537" s="1">
        <v>1</v>
      </c>
      <c r="F7537" s="39">
        <f t="shared" si="588"/>
        <v>1384</v>
      </c>
      <c r="G7537" s="395"/>
      <c r="H7537" s="395"/>
      <c r="J7537" s="42"/>
    </row>
    <row r="7538" spans="1:10" s="393" customFormat="1" x14ac:dyDescent="0.25">
      <c r="A7538" s="394" t="s">
        <v>16</v>
      </c>
      <c r="B7538" s="29">
        <v>44207</v>
      </c>
      <c r="C7538" s="1">
        <v>3180</v>
      </c>
      <c r="D7538" s="278">
        <f>C7538+D7514</f>
        <v>725134</v>
      </c>
      <c r="E7538" s="1">
        <v>91</v>
      </c>
      <c r="F7538" s="39">
        <f>E7538+F7514</f>
        <v>23000</v>
      </c>
      <c r="G7538" s="395">
        <v>61</v>
      </c>
      <c r="H7538" s="395">
        <v>29</v>
      </c>
      <c r="J7538" s="42"/>
    </row>
    <row r="7539" spans="1:10" s="393" customFormat="1" x14ac:dyDescent="0.25">
      <c r="A7539" s="394" t="s">
        <v>43</v>
      </c>
      <c r="B7539" s="29">
        <v>44207</v>
      </c>
      <c r="C7539" s="1">
        <v>915</v>
      </c>
      <c r="D7539" s="278">
        <f t="shared" ref="D7539:D7602" si="589">C7539+D7515</f>
        <v>186952</v>
      </c>
      <c r="E7539" s="1">
        <v>7</v>
      </c>
      <c r="F7539" s="39">
        <f t="shared" ref="F7539:F7602" si="590">E7539+F7515</f>
        <v>5604</v>
      </c>
      <c r="G7539" s="395">
        <v>6</v>
      </c>
      <c r="H7539" s="395">
        <v>1</v>
      </c>
      <c r="J7539" s="42"/>
    </row>
    <row r="7540" spans="1:10" s="393" customFormat="1" x14ac:dyDescent="0.25">
      <c r="A7540" s="394" t="s">
        <v>28</v>
      </c>
      <c r="B7540" s="29">
        <v>44207</v>
      </c>
      <c r="C7540" s="1">
        <v>31</v>
      </c>
      <c r="D7540" s="278">
        <f t="shared" si="589"/>
        <v>3204</v>
      </c>
      <c r="E7540" s="1"/>
      <c r="F7540" s="39">
        <f t="shared" si="590"/>
        <v>17</v>
      </c>
      <c r="G7540" s="395"/>
      <c r="H7540" s="395"/>
      <c r="J7540" s="42"/>
    </row>
    <row r="7541" spans="1:10" s="393" customFormat="1" x14ac:dyDescent="0.25">
      <c r="A7541" s="394" t="s">
        <v>15</v>
      </c>
      <c r="B7541" s="29">
        <v>44207</v>
      </c>
      <c r="C7541" s="1">
        <v>154</v>
      </c>
      <c r="D7541" s="278">
        <f t="shared" si="589"/>
        <v>27083</v>
      </c>
      <c r="E7541" s="1">
        <v>3</v>
      </c>
      <c r="F7541" s="39">
        <f t="shared" si="590"/>
        <v>737</v>
      </c>
      <c r="G7541" s="395">
        <v>1</v>
      </c>
      <c r="H7541" s="395">
        <v>2</v>
      </c>
      <c r="J7541" s="42"/>
    </row>
    <row r="7542" spans="1:10" s="393" customFormat="1" x14ac:dyDescent="0.25">
      <c r="A7542" s="394" t="s">
        <v>29</v>
      </c>
      <c r="B7542" s="29">
        <v>44207</v>
      </c>
      <c r="C7542" s="1">
        <v>505</v>
      </c>
      <c r="D7542" s="278">
        <f t="shared" si="589"/>
        <v>35825</v>
      </c>
      <c r="E7542" s="1">
        <v>7</v>
      </c>
      <c r="F7542" s="39">
        <f t="shared" si="590"/>
        <v>542</v>
      </c>
      <c r="G7542" s="395">
        <v>5</v>
      </c>
      <c r="H7542" s="395">
        <v>2</v>
      </c>
      <c r="J7542" s="42"/>
    </row>
    <row r="7543" spans="1:10" s="393" customFormat="1" x14ac:dyDescent="0.25">
      <c r="A7543" s="394" t="s">
        <v>20</v>
      </c>
      <c r="B7543" s="29">
        <v>44207</v>
      </c>
      <c r="C7543" s="1">
        <v>297</v>
      </c>
      <c r="D7543" s="278">
        <f t="shared" si="589"/>
        <v>133841</v>
      </c>
      <c r="E7543" s="1">
        <v>5</v>
      </c>
      <c r="F7543" s="39">
        <f t="shared" si="590"/>
        <v>2514</v>
      </c>
      <c r="G7543" s="395">
        <v>2</v>
      </c>
      <c r="H7543" s="395">
        <v>3</v>
      </c>
      <c r="J7543" s="42"/>
    </row>
    <row r="7544" spans="1:10" s="393" customFormat="1" x14ac:dyDescent="0.25">
      <c r="A7544" s="394" t="s">
        <v>30</v>
      </c>
      <c r="B7544" s="29">
        <v>44207</v>
      </c>
      <c r="C7544" s="1">
        <v>169</v>
      </c>
      <c r="D7544" s="278">
        <f t="shared" si="589"/>
        <v>13934</v>
      </c>
      <c r="E7544" s="1">
        <v>7</v>
      </c>
      <c r="F7544" s="39">
        <f t="shared" si="590"/>
        <v>181</v>
      </c>
      <c r="G7544" s="395">
        <v>2</v>
      </c>
      <c r="H7544" s="395">
        <v>5</v>
      </c>
      <c r="J7544" s="42"/>
    </row>
    <row r="7545" spans="1:10" x14ac:dyDescent="0.25">
      <c r="A7545" s="394" t="s">
        <v>31</v>
      </c>
      <c r="B7545" s="29">
        <v>44207</v>
      </c>
      <c r="C7545" s="1">
        <v>179</v>
      </c>
      <c r="D7545" s="278">
        <f t="shared" si="589"/>
        <v>33720</v>
      </c>
      <c r="E7545" s="1">
        <v>1</v>
      </c>
      <c r="F7545" s="39">
        <f t="shared" si="590"/>
        <v>614</v>
      </c>
      <c r="G7545" s="17">
        <v>1</v>
      </c>
    </row>
    <row r="7546" spans="1:10" s="393" customFormat="1" x14ac:dyDescent="0.25">
      <c r="A7546" s="394" t="s">
        <v>41</v>
      </c>
      <c r="B7546" s="29">
        <v>44207</v>
      </c>
      <c r="C7546" s="1">
        <v>21</v>
      </c>
      <c r="D7546" s="278">
        <f t="shared" si="589"/>
        <v>312</v>
      </c>
      <c r="E7546" s="1"/>
      <c r="F7546" s="39">
        <f t="shared" si="590"/>
        <v>3</v>
      </c>
      <c r="G7546" s="395"/>
      <c r="H7546" s="395"/>
      <c r="J7546" s="42"/>
    </row>
    <row r="7547" spans="1:10" s="393" customFormat="1" x14ac:dyDescent="0.25">
      <c r="A7547" s="394" t="s">
        <v>32</v>
      </c>
      <c r="B7547" s="29">
        <v>44207</v>
      </c>
      <c r="C7547" s="1">
        <v>17</v>
      </c>
      <c r="D7547" s="278">
        <f t="shared" si="589"/>
        <v>18703</v>
      </c>
      <c r="E7547" s="1"/>
      <c r="F7547" s="39">
        <f t="shared" si="590"/>
        <v>859</v>
      </c>
      <c r="G7547" s="395"/>
      <c r="H7547" s="395"/>
      <c r="J7547" s="42"/>
    </row>
    <row r="7548" spans="1:10" s="393" customFormat="1" x14ac:dyDescent="0.25">
      <c r="A7548" s="394" t="s">
        <v>33</v>
      </c>
      <c r="B7548" s="29">
        <v>44207</v>
      </c>
      <c r="C7548" s="1">
        <v>203</v>
      </c>
      <c r="D7548" s="278">
        <f t="shared" si="589"/>
        <v>13703</v>
      </c>
      <c r="E7548" s="1">
        <v>1</v>
      </c>
      <c r="F7548" s="39">
        <f t="shared" si="590"/>
        <v>158</v>
      </c>
      <c r="G7548" s="395"/>
      <c r="H7548" s="395">
        <v>1</v>
      </c>
      <c r="J7548" s="42"/>
    </row>
    <row r="7549" spans="1:10" s="393" customFormat="1" x14ac:dyDescent="0.25">
      <c r="A7549" s="394" t="s">
        <v>21</v>
      </c>
      <c r="B7549" s="29">
        <v>44207</v>
      </c>
      <c r="C7549" s="1">
        <v>13</v>
      </c>
      <c r="D7549" s="278">
        <f t="shared" si="589"/>
        <v>9227</v>
      </c>
      <c r="E7549" s="1"/>
      <c r="F7549" s="39">
        <f t="shared" si="590"/>
        <v>401</v>
      </c>
      <c r="G7549" s="395"/>
      <c r="H7549" s="395"/>
      <c r="J7549" s="42"/>
    </row>
    <row r="7550" spans="1:10" s="393" customFormat="1" x14ac:dyDescent="0.25">
      <c r="A7550" s="394" t="s">
        <v>17</v>
      </c>
      <c r="B7550" s="29">
        <v>44207</v>
      </c>
      <c r="C7550" s="1">
        <v>105</v>
      </c>
      <c r="D7550" s="278">
        <f t="shared" si="589"/>
        <v>61395</v>
      </c>
      <c r="E7550" s="1">
        <v>3</v>
      </c>
      <c r="F7550" s="39">
        <f t="shared" si="590"/>
        <v>1248</v>
      </c>
      <c r="G7550" s="395">
        <v>2</v>
      </c>
      <c r="H7550" s="395">
        <v>1</v>
      </c>
      <c r="J7550" s="42"/>
    </row>
    <row r="7551" spans="1:10" s="393" customFormat="1" x14ac:dyDescent="0.25">
      <c r="A7551" s="394" t="s">
        <v>23</v>
      </c>
      <c r="B7551" s="29">
        <v>44207</v>
      </c>
      <c r="C7551" s="1">
        <v>25</v>
      </c>
      <c r="D7551" s="278">
        <f t="shared" si="589"/>
        <v>1470</v>
      </c>
      <c r="E7551" s="1"/>
      <c r="F7551" s="39">
        <f t="shared" si="590"/>
        <v>16</v>
      </c>
      <c r="G7551" s="395"/>
      <c r="H7551" s="395"/>
      <c r="J7551" s="42"/>
    </row>
    <row r="7552" spans="1:10" s="393" customFormat="1" x14ac:dyDescent="0.25">
      <c r="A7552" s="394" t="s">
        <v>19</v>
      </c>
      <c r="B7552" s="29">
        <v>44207</v>
      </c>
      <c r="C7552" s="1">
        <v>405</v>
      </c>
      <c r="D7552" s="278">
        <f t="shared" si="589"/>
        <v>45555</v>
      </c>
      <c r="E7552" s="1">
        <v>1</v>
      </c>
      <c r="F7552" s="39">
        <f t="shared" si="590"/>
        <v>754</v>
      </c>
      <c r="G7552" s="395"/>
      <c r="H7552" s="395">
        <v>1</v>
      </c>
      <c r="J7552" s="42"/>
    </row>
    <row r="7553" spans="1:10" s="393" customFormat="1" x14ac:dyDescent="0.25">
      <c r="A7553" s="394" t="s">
        <v>18</v>
      </c>
      <c r="B7553" s="29">
        <v>44207</v>
      </c>
      <c r="C7553" s="1">
        <v>350</v>
      </c>
      <c r="D7553" s="278">
        <f t="shared" si="589"/>
        <v>41834</v>
      </c>
      <c r="E7553" s="1">
        <v>11</v>
      </c>
      <c r="F7553" s="39">
        <f t="shared" si="590"/>
        <v>971</v>
      </c>
      <c r="G7553" s="395">
        <v>6</v>
      </c>
      <c r="H7553" s="395">
        <v>5</v>
      </c>
      <c r="J7553" s="42"/>
    </row>
    <row r="7554" spans="1:10" s="393" customFormat="1" x14ac:dyDescent="0.25">
      <c r="A7554" s="394" t="s">
        <v>34</v>
      </c>
      <c r="B7554" s="29">
        <v>44207</v>
      </c>
      <c r="C7554" s="1">
        <v>49</v>
      </c>
      <c r="D7554" s="278">
        <f t="shared" si="589"/>
        <v>22759</v>
      </c>
      <c r="E7554" s="1">
        <v>1</v>
      </c>
      <c r="F7554" s="39">
        <f t="shared" si="590"/>
        <v>1024</v>
      </c>
      <c r="G7554" s="395">
        <v>1</v>
      </c>
      <c r="H7554" s="395"/>
      <c r="J7554" s="42"/>
    </row>
    <row r="7555" spans="1:10" s="393" customFormat="1" x14ac:dyDescent="0.25">
      <c r="A7555" s="394" t="s">
        <v>35</v>
      </c>
      <c r="B7555" s="29">
        <v>44207</v>
      </c>
      <c r="C7555" s="1">
        <v>86</v>
      </c>
      <c r="D7555" s="278">
        <f t="shared" si="589"/>
        <v>12468</v>
      </c>
      <c r="E7555" s="1">
        <v>2</v>
      </c>
      <c r="F7555" s="39">
        <f t="shared" si="590"/>
        <v>209</v>
      </c>
      <c r="G7555" s="395">
        <v>2</v>
      </c>
      <c r="H7555" s="395"/>
      <c r="J7555" s="42"/>
    </row>
    <row r="7556" spans="1:10" s="393" customFormat="1" x14ac:dyDescent="0.25">
      <c r="A7556" s="394" t="s">
        <v>36</v>
      </c>
      <c r="B7556" s="29">
        <v>44207</v>
      </c>
      <c r="C7556" s="1">
        <v>69</v>
      </c>
      <c r="D7556" s="278">
        <f t="shared" si="589"/>
        <v>16613</v>
      </c>
      <c r="E7556" s="1">
        <v>4</v>
      </c>
      <c r="F7556" s="39">
        <f t="shared" si="590"/>
        <v>325</v>
      </c>
      <c r="G7556" s="395">
        <v>1</v>
      </c>
      <c r="H7556" s="395">
        <v>3</v>
      </c>
      <c r="J7556" s="42"/>
    </row>
    <row r="7557" spans="1:10" s="393" customFormat="1" x14ac:dyDescent="0.25">
      <c r="A7557" s="394" t="s">
        <v>37</v>
      </c>
      <c r="B7557" s="29">
        <v>44207</v>
      </c>
      <c r="C7557" s="1">
        <v>342</v>
      </c>
      <c r="D7557" s="278">
        <f t="shared" si="589"/>
        <v>27536</v>
      </c>
      <c r="E7557" s="1">
        <v>4</v>
      </c>
      <c r="F7557" s="39">
        <f t="shared" si="590"/>
        <v>428</v>
      </c>
      <c r="G7557" s="395">
        <v>2</v>
      </c>
      <c r="H7557" s="395">
        <v>2</v>
      </c>
      <c r="J7557" s="42"/>
    </row>
    <row r="7558" spans="1:10" s="393" customFormat="1" x14ac:dyDescent="0.25">
      <c r="A7558" s="394" t="s">
        <v>22</v>
      </c>
      <c r="B7558" s="29">
        <v>44207</v>
      </c>
      <c r="C7558" s="1">
        <v>1072</v>
      </c>
      <c r="D7558" s="278">
        <f t="shared" si="589"/>
        <v>187510</v>
      </c>
      <c r="E7558" s="1">
        <v>10</v>
      </c>
      <c r="F7558" s="39">
        <f t="shared" si="590"/>
        <v>3099</v>
      </c>
      <c r="G7558" s="395">
        <v>9</v>
      </c>
      <c r="H7558" s="395">
        <v>1</v>
      </c>
      <c r="J7558" s="42"/>
    </row>
    <row r="7559" spans="1:10" s="393" customFormat="1" x14ac:dyDescent="0.25">
      <c r="A7559" s="394" t="s">
        <v>38</v>
      </c>
      <c r="B7559" s="29">
        <v>44207</v>
      </c>
      <c r="C7559" s="1">
        <v>171</v>
      </c>
      <c r="D7559" s="278">
        <f t="shared" si="589"/>
        <v>18788</v>
      </c>
      <c r="E7559" s="1"/>
      <c r="F7559" s="39">
        <f t="shared" si="590"/>
        <v>226</v>
      </c>
      <c r="G7559" s="395"/>
      <c r="H7559" s="395"/>
      <c r="J7559" s="42"/>
    </row>
    <row r="7560" spans="1:10" s="393" customFormat="1" x14ac:dyDescent="0.25">
      <c r="A7560" s="394" t="s">
        <v>39</v>
      </c>
      <c r="B7560" s="29">
        <v>44207</v>
      </c>
      <c r="C7560" s="1">
        <v>85</v>
      </c>
      <c r="D7560" s="278">
        <f t="shared" si="589"/>
        <v>20256</v>
      </c>
      <c r="E7560" s="1">
        <v>3</v>
      </c>
      <c r="F7560" s="39">
        <f t="shared" si="590"/>
        <v>277</v>
      </c>
      <c r="G7560" s="395">
        <v>2</v>
      </c>
      <c r="H7560" s="395">
        <v>1</v>
      </c>
      <c r="J7560" s="42"/>
    </row>
    <row r="7561" spans="1:10" s="393" customFormat="1" x14ac:dyDescent="0.25">
      <c r="A7561" s="394" t="s">
        <v>40</v>
      </c>
      <c r="B7561" s="29">
        <v>44207</v>
      </c>
      <c r="C7561" s="1">
        <v>261</v>
      </c>
      <c r="D7561" s="278">
        <f t="shared" si="589"/>
        <v>73099</v>
      </c>
      <c r="E7561" s="1"/>
      <c r="F7561" s="39">
        <f t="shared" si="590"/>
        <v>1384</v>
      </c>
      <c r="G7561" s="395"/>
      <c r="H7561" s="395"/>
      <c r="J7561" s="42"/>
    </row>
    <row r="7562" spans="1:10" s="393" customFormat="1" x14ac:dyDescent="0.25">
      <c r="A7562" s="394" t="s">
        <v>16</v>
      </c>
      <c r="B7562" s="29">
        <v>44208</v>
      </c>
      <c r="C7562" s="1">
        <v>5409</v>
      </c>
      <c r="D7562" s="278">
        <f>C7562+D7538</f>
        <v>730543</v>
      </c>
      <c r="E7562" s="1">
        <v>76</v>
      </c>
      <c r="F7562" s="39">
        <f>E7562+F7538</f>
        <v>23076</v>
      </c>
      <c r="G7562" s="395">
        <v>41</v>
      </c>
      <c r="H7562" s="395">
        <v>34</v>
      </c>
      <c r="J7562" s="42"/>
    </row>
    <row r="7563" spans="1:10" s="393" customFormat="1" x14ac:dyDescent="0.25">
      <c r="A7563" s="394" t="s">
        <v>43</v>
      </c>
      <c r="B7563" s="29">
        <v>44208</v>
      </c>
      <c r="C7563" s="1">
        <v>1558</v>
      </c>
      <c r="D7563" s="278">
        <f t="shared" si="589"/>
        <v>188510</v>
      </c>
      <c r="E7563" s="1">
        <v>23</v>
      </c>
      <c r="F7563" s="39">
        <f t="shared" si="590"/>
        <v>5627</v>
      </c>
      <c r="G7563" s="395">
        <v>10</v>
      </c>
      <c r="H7563" s="395">
        <v>12</v>
      </c>
      <c r="J7563" s="42"/>
    </row>
    <row r="7564" spans="1:10" s="393" customFormat="1" x14ac:dyDescent="0.25">
      <c r="A7564" s="394" t="s">
        <v>28</v>
      </c>
      <c r="B7564" s="29">
        <v>44208</v>
      </c>
      <c r="C7564" s="1">
        <v>82</v>
      </c>
      <c r="D7564" s="278">
        <f t="shared" si="589"/>
        <v>3286</v>
      </c>
      <c r="E7564" s="1"/>
      <c r="F7564" s="39">
        <f t="shared" si="590"/>
        <v>17</v>
      </c>
      <c r="G7564" s="395"/>
      <c r="H7564" s="395"/>
      <c r="J7564" s="42"/>
    </row>
    <row r="7565" spans="1:10" s="393" customFormat="1" x14ac:dyDescent="0.25">
      <c r="A7565" s="394" t="s">
        <v>15</v>
      </c>
      <c r="B7565" s="29">
        <v>44208</v>
      </c>
      <c r="C7565" s="1">
        <v>267</v>
      </c>
      <c r="D7565" s="278">
        <f t="shared" si="589"/>
        <v>27350</v>
      </c>
      <c r="E7565" s="1">
        <v>6</v>
      </c>
      <c r="F7565" s="39">
        <f t="shared" si="590"/>
        <v>743</v>
      </c>
      <c r="G7565" s="395">
        <v>3</v>
      </c>
      <c r="H7565" s="395">
        <v>3</v>
      </c>
      <c r="J7565" s="42"/>
    </row>
    <row r="7566" spans="1:10" s="393" customFormat="1" x14ac:dyDescent="0.25">
      <c r="A7566" s="394" t="s">
        <v>29</v>
      </c>
      <c r="B7566" s="29">
        <v>44208</v>
      </c>
      <c r="C7566" s="1">
        <v>602</v>
      </c>
      <c r="D7566" s="278">
        <f t="shared" si="589"/>
        <v>36427</v>
      </c>
      <c r="E7566" s="1">
        <v>2</v>
      </c>
      <c r="F7566" s="39">
        <f t="shared" si="590"/>
        <v>544</v>
      </c>
      <c r="G7566" s="395"/>
      <c r="H7566" s="395">
        <v>2</v>
      </c>
      <c r="J7566" s="42"/>
    </row>
    <row r="7567" spans="1:10" s="393" customFormat="1" x14ac:dyDescent="0.25">
      <c r="A7567" s="394" t="s">
        <v>20</v>
      </c>
      <c r="B7567" s="29">
        <v>44208</v>
      </c>
      <c r="C7567" s="1">
        <v>790</v>
      </c>
      <c r="D7567" s="278">
        <f t="shared" si="589"/>
        <v>134631</v>
      </c>
      <c r="E7567" s="1">
        <v>7</v>
      </c>
      <c r="F7567" s="39">
        <f t="shared" si="590"/>
        <v>2521</v>
      </c>
      <c r="G7567" s="395">
        <v>7</v>
      </c>
      <c r="H7567" s="395"/>
      <c r="J7567" s="42"/>
    </row>
    <row r="7568" spans="1:10" s="393" customFormat="1" x14ac:dyDescent="0.25">
      <c r="A7568" s="394" t="s">
        <v>30</v>
      </c>
      <c r="B7568" s="29">
        <v>44208</v>
      </c>
      <c r="C7568" s="1">
        <v>248</v>
      </c>
      <c r="D7568" s="278">
        <f t="shared" si="589"/>
        <v>14182</v>
      </c>
      <c r="E7568" s="1"/>
      <c r="F7568" s="39">
        <f t="shared" si="590"/>
        <v>181</v>
      </c>
      <c r="G7568" s="395"/>
      <c r="H7568" s="395"/>
      <c r="J7568" s="42"/>
    </row>
    <row r="7569" spans="1:10" x14ac:dyDescent="0.25">
      <c r="A7569" s="394" t="s">
        <v>31</v>
      </c>
      <c r="B7569" s="29">
        <v>44208</v>
      </c>
      <c r="C7569" s="1">
        <v>485</v>
      </c>
      <c r="D7569" s="278">
        <f t="shared" si="589"/>
        <v>34205</v>
      </c>
      <c r="E7569" s="1">
        <v>4</v>
      </c>
      <c r="F7569" s="39">
        <f t="shared" si="590"/>
        <v>618</v>
      </c>
      <c r="H7569" s="17">
        <v>4</v>
      </c>
    </row>
    <row r="7570" spans="1:10" s="393" customFormat="1" x14ac:dyDescent="0.25">
      <c r="A7570" s="394" t="s">
        <v>41</v>
      </c>
      <c r="B7570" s="29">
        <v>44208</v>
      </c>
      <c r="C7570" s="1">
        <v>59</v>
      </c>
      <c r="D7570" s="278">
        <f t="shared" si="589"/>
        <v>371</v>
      </c>
      <c r="E7570" s="1"/>
      <c r="F7570" s="39">
        <f t="shared" si="590"/>
        <v>3</v>
      </c>
      <c r="G7570" s="395"/>
      <c r="H7570" s="395"/>
      <c r="J7570" s="42"/>
    </row>
    <row r="7571" spans="1:10" s="393" customFormat="1" x14ac:dyDescent="0.25">
      <c r="A7571" s="394" t="s">
        <v>32</v>
      </c>
      <c r="B7571" s="29">
        <v>44208</v>
      </c>
      <c r="C7571" s="1">
        <v>16</v>
      </c>
      <c r="D7571" s="278">
        <f t="shared" si="589"/>
        <v>18719</v>
      </c>
      <c r="E7571" s="1">
        <v>1</v>
      </c>
      <c r="F7571" s="39">
        <f t="shared" si="590"/>
        <v>860</v>
      </c>
      <c r="G7571" s="395"/>
      <c r="H7571" s="395">
        <v>1</v>
      </c>
      <c r="J7571" s="42"/>
    </row>
    <row r="7572" spans="1:10" s="393" customFormat="1" x14ac:dyDescent="0.25">
      <c r="A7572" s="394" t="s">
        <v>33</v>
      </c>
      <c r="B7572" s="29">
        <v>44208</v>
      </c>
      <c r="C7572" s="1">
        <v>352</v>
      </c>
      <c r="D7572" s="278">
        <f t="shared" si="589"/>
        <v>14055</v>
      </c>
      <c r="E7572" s="1">
        <v>15</v>
      </c>
      <c r="F7572" s="39">
        <f t="shared" si="590"/>
        <v>173</v>
      </c>
      <c r="G7572" s="395">
        <v>8</v>
      </c>
      <c r="H7572" s="395">
        <v>7</v>
      </c>
      <c r="J7572" s="42"/>
    </row>
    <row r="7573" spans="1:10" s="393" customFormat="1" x14ac:dyDescent="0.25">
      <c r="A7573" s="394" t="s">
        <v>21</v>
      </c>
      <c r="B7573" s="29">
        <v>44208</v>
      </c>
      <c r="C7573" s="1">
        <v>9</v>
      </c>
      <c r="D7573" s="278">
        <f t="shared" si="589"/>
        <v>9236</v>
      </c>
      <c r="E7573" s="1"/>
      <c r="F7573" s="39">
        <f t="shared" si="590"/>
        <v>401</v>
      </c>
      <c r="G7573" s="395"/>
      <c r="H7573" s="395"/>
      <c r="J7573" s="42"/>
    </row>
    <row r="7574" spans="1:10" s="393" customFormat="1" x14ac:dyDescent="0.25">
      <c r="A7574" s="394" t="s">
        <v>17</v>
      </c>
      <c r="B7574" s="29">
        <v>44208</v>
      </c>
      <c r="C7574" s="1">
        <v>196</v>
      </c>
      <c r="D7574" s="278">
        <f t="shared" si="589"/>
        <v>61591</v>
      </c>
      <c r="E7574" s="1">
        <v>13</v>
      </c>
      <c r="F7574" s="39">
        <f t="shared" si="590"/>
        <v>1261</v>
      </c>
      <c r="G7574" s="395">
        <v>8</v>
      </c>
      <c r="H7574" s="395">
        <v>5</v>
      </c>
      <c r="J7574" s="42"/>
    </row>
    <row r="7575" spans="1:10" s="393" customFormat="1" x14ac:dyDescent="0.25">
      <c r="A7575" s="394" t="s">
        <v>23</v>
      </c>
      <c r="B7575" s="29">
        <v>44208</v>
      </c>
      <c r="C7575" s="1">
        <v>50</v>
      </c>
      <c r="D7575" s="278">
        <f t="shared" si="589"/>
        <v>1520</v>
      </c>
      <c r="E7575" s="1">
        <v>4</v>
      </c>
      <c r="F7575" s="39">
        <f t="shared" si="590"/>
        <v>20</v>
      </c>
      <c r="G7575" s="395">
        <v>2</v>
      </c>
      <c r="H7575" s="395">
        <v>2</v>
      </c>
      <c r="J7575" s="42"/>
    </row>
    <row r="7576" spans="1:10" s="393" customFormat="1" x14ac:dyDescent="0.25">
      <c r="A7576" s="394" t="s">
        <v>19</v>
      </c>
      <c r="B7576" s="29">
        <v>44208</v>
      </c>
      <c r="C7576" s="1">
        <v>647</v>
      </c>
      <c r="D7576" s="278">
        <f t="shared" si="589"/>
        <v>46202</v>
      </c>
      <c r="E7576" s="1"/>
      <c r="F7576" s="39">
        <f t="shared" si="590"/>
        <v>754</v>
      </c>
      <c r="G7576" s="395"/>
      <c r="H7576" s="395"/>
      <c r="J7576" s="42"/>
    </row>
    <row r="7577" spans="1:10" s="393" customFormat="1" x14ac:dyDescent="0.25">
      <c r="A7577" s="394" t="s">
        <v>18</v>
      </c>
      <c r="B7577" s="29">
        <v>44208</v>
      </c>
      <c r="C7577" s="1">
        <v>413</v>
      </c>
      <c r="D7577" s="278">
        <f t="shared" si="589"/>
        <v>42247</v>
      </c>
      <c r="E7577" s="1">
        <v>7</v>
      </c>
      <c r="F7577" s="39">
        <f t="shared" si="590"/>
        <v>978</v>
      </c>
      <c r="G7577" s="395">
        <v>3</v>
      </c>
      <c r="H7577" s="395">
        <v>4</v>
      </c>
      <c r="J7577" s="42"/>
    </row>
    <row r="7578" spans="1:10" s="393" customFormat="1" x14ac:dyDescent="0.25">
      <c r="A7578" s="394" t="s">
        <v>34</v>
      </c>
      <c r="B7578" s="29">
        <v>44208</v>
      </c>
      <c r="C7578" s="1">
        <v>37</v>
      </c>
      <c r="D7578" s="278">
        <f t="shared" si="589"/>
        <v>22796</v>
      </c>
      <c r="E7578" s="1">
        <v>1</v>
      </c>
      <c r="F7578" s="39">
        <f t="shared" si="590"/>
        <v>1025</v>
      </c>
      <c r="G7578" s="395">
        <v>1</v>
      </c>
      <c r="H7578" s="395"/>
      <c r="J7578" s="42"/>
    </row>
    <row r="7579" spans="1:10" s="393" customFormat="1" x14ac:dyDescent="0.25">
      <c r="A7579" s="394" t="s">
        <v>35</v>
      </c>
      <c r="B7579" s="29">
        <v>44208</v>
      </c>
      <c r="C7579" s="1">
        <v>208</v>
      </c>
      <c r="D7579" s="278">
        <f t="shared" si="589"/>
        <v>12676</v>
      </c>
      <c r="E7579" s="1"/>
      <c r="F7579" s="39">
        <f t="shared" si="590"/>
        <v>209</v>
      </c>
      <c r="G7579" s="395"/>
      <c r="H7579" s="395"/>
      <c r="J7579" s="42"/>
    </row>
    <row r="7580" spans="1:10" s="393" customFormat="1" x14ac:dyDescent="0.25">
      <c r="A7580" s="394" t="s">
        <v>36</v>
      </c>
      <c r="B7580" s="29">
        <v>44208</v>
      </c>
      <c r="C7580" s="1">
        <v>51</v>
      </c>
      <c r="D7580" s="278">
        <f t="shared" si="589"/>
        <v>16664</v>
      </c>
      <c r="E7580" s="1"/>
      <c r="F7580" s="39">
        <f t="shared" si="590"/>
        <v>325</v>
      </c>
      <c r="G7580" s="395"/>
      <c r="H7580" s="395"/>
      <c r="J7580" s="42"/>
    </row>
    <row r="7581" spans="1:10" s="393" customFormat="1" x14ac:dyDescent="0.25">
      <c r="A7581" s="394" t="s">
        <v>37</v>
      </c>
      <c r="B7581" s="29">
        <v>44208</v>
      </c>
      <c r="C7581" s="1">
        <v>393</v>
      </c>
      <c r="D7581" s="278">
        <f t="shared" si="589"/>
        <v>27929</v>
      </c>
      <c r="E7581" s="1">
        <v>3</v>
      </c>
      <c r="F7581" s="39">
        <f t="shared" si="590"/>
        <v>431</v>
      </c>
      <c r="G7581" s="395">
        <v>1</v>
      </c>
      <c r="H7581" s="395">
        <v>2</v>
      </c>
      <c r="J7581" s="42"/>
    </row>
    <row r="7582" spans="1:10" s="393" customFormat="1" x14ac:dyDescent="0.25">
      <c r="A7582" s="394" t="s">
        <v>22</v>
      </c>
      <c r="B7582" s="29">
        <v>44208</v>
      </c>
      <c r="C7582" s="1">
        <v>1434</v>
      </c>
      <c r="D7582" s="278">
        <f t="shared" si="589"/>
        <v>188944</v>
      </c>
      <c r="E7582" s="1">
        <v>12</v>
      </c>
      <c r="F7582" s="39">
        <f t="shared" si="590"/>
        <v>3111</v>
      </c>
      <c r="G7582" s="395">
        <v>12</v>
      </c>
      <c r="H7582" s="395">
        <v>1</v>
      </c>
      <c r="J7582" s="42"/>
    </row>
    <row r="7583" spans="1:10" s="393" customFormat="1" x14ac:dyDescent="0.25">
      <c r="A7583" s="394" t="s">
        <v>38</v>
      </c>
      <c r="B7583" s="29">
        <v>44208</v>
      </c>
      <c r="C7583" s="1">
        <v>99</v>
      </c>
      <c r="D7583" s="278">
        <f t="shared" si="589"/>
        <v>18887</v>
      </c>
      <c r="E7583" s="1">
        <v>1</v>
      </c>
      <c r="F7583" s="39">
        <f t="shared" si="590"/>
        <v>227</v>
      </c>
      <c r="G7583" s="395">
        <v>1</v>
      </c>
      <c r="H7583" s="395"/>
      <c r="J7583" s="42"/>
    </row>
    <row r="7584" spans="1:10" s="393" customFormat="1" x14ac:dyDescent="0.25">
      <c r="A7584" s="394" t="s">
        <v>39</v>
      </c>
      <c r="B7584" s="29">
        <v>44208</v>
      </c>
      <c r="C7584" s="1">
        <v>141</v>
      </c>
      <c r="D7584" s="278">
        <f t="shared" si="589"/>
        <v>20397</v>
      </c>
      <c r="E7584" s="1">
        <v>6</v>
      </c>
      <c r="F7584" s="39">
        <f t="shared" si="590"/>
        <v>283</v>
      </c>
      <c r="G7584" s="395">
        <v>4</v>
      </c>
      <c r="H7584" s="395">
        <v>2</v>
      </c>
      <c r="J7584" s="42"/>
    </row>
    <row r="7585" spans="1:10" s="393" customFormat="1" x14ac:dyDescent="0.25">
      <c r="A7585" s="394" t="s">
        <v>40</v>
      </c>
      <c r="B7585" s="29">
        <v>44208</v>
      </c>
      <c r="C7585" s="1">
        <v>237</v>
      </c>
      <c r="D7585" s="278">
        <f t="shared" si="589"/>
        <v>73336</v>
      </c>
      <c r="E7585" s="1">
        <v>12</v>
      </c>
      <c r="F7585" s="39">
        <f t="shared" si="590"/>
        <v>1396</v>
      </c>
      <c r="G7585" s="395">
        <v>6</v>
      </c>
      <c r="H7585" s="395">
        <v>6</v>
      </c>
      <c r="J7585" s="42"/>
    </row>
    <row r="7586" spans="1:10" s="393" customFormat="1" x14ac:dyDescent="0.25">
      <c r="A7586" s="394" t="s">
        <v>16</v>
      </c>
      <c r="B7586" s="29">
        <v>44209</v>
      </c>
      <c r="C7586" s="1">
        <v>4859</v>
      </c>
      <c r="D7586" s="278">
        <f>C7586+D7562</f>
        <v>735402</v>
      </c>
      <c r="E7586" s="1">
        <v>52</v>
      </c>
      <c r="F7586" s="39">
        <f>E7586+F7562</f>
        <v>23128</v>
      </c>
      <c r="G7586" s="395">
        <v>35</v>
      </c>
      <c r="H7586" s="395">
        <v>18</v>
      </c>
      <c r="J7586" s="42"/>
    </row>
    <row r="7587" spans="1:10" s="393" customFormat="1" x14ac:dyDescent="0.25">
      <c r="A7587" s="394" t="s">
        <v>43</v>
      </c>
      <c r="B7587" s="29">
        <v>44209</v>
      </c>
      <c r="C7587" s="1">
        <v>1204</v>
      </c>
      <c r="D7587" s="278">
        <f t="shared" si="589"/>
        <v>189714</v>
      </c>
      <c r="E7587" s="1">
        <v>8</v>
      </c>
      <c r="F7587" s="39">
        <f t="shared" si="590"/>
        <v>5635</v>
      </c>
      <c r="G7587" s="395">
        <v>4</v>
      </c>
      <c r="H7587" s="395">
        <v>3</v>
      </c>
      <c r="J7587" s="42"/>
    </row>
    <row r="7588" spans="1:10" s="393" customFormat="1" x14ac:dyDescent="0.25">
      <c r="A7588" s="394" t="s">
        <v>28</v>
      </c>
      <c r="B7588" s="29">
        <v>44209</v>
      </c>
      <c r="C7588" s="1">
        <v>70</v>
      </c>
      <c r="D7588" s="278">
        <f t="shared" si="589"/>
        <v>3356</v>
      </c>
      <c r="E7588" s="1"/>
      <c r="F7588" s="39">
        <f t="shared" si="590"/>
        <v>17</v>
      </c>
      <c r="G7588" s="395"/>
      <c r="H7588" s="395"/>
      <c r="J7588" s="42"/>
    </row>
    <row r="7589" spans="1:10" s="393" customFormat="1" x14ac:dyDescent="0.25">
      <c r="A7589" s="394" t="s">
        <v>15</v>
      </c>
      <c r="B7589" s="29">
        <v>44209</v>
      </c>
      <c r="C7589" s="1">
        <v>288</v>
      </c>
      <c r="D7589" s="278">
        <f t="shared" si="589"/>
        <v>27638</v>
      </c>
      <c r="E7589" s="1">
        <v>6</v>
      </c>
      <c r="F7589" s="39">
        <f t="shared" si="590"/>
        <v>749</v>
      </c>
      <c r="G7589" s="395">
        <v>3</v>
      </c>
      <c r="H7589" s="395">
        <v>3</v>
      </c>
      <c r="J7589" s="42"/>
    </row>
    <row r="7590" spans="1:10" s="393" customFormat="1" x14ac:dyDescent="0.25">
      <c r="A7590" s="394" t="s">
        <v>29</v>
      </c>
      <c r="B7590" s="29">
        <v>44209</v>
      </c>
      <c r="C7590" s="1">
        <v>528</v>
      </c>
      <c r="D7590" s="278">
        <f t="shared" si="589"/>
        <v>36955</v>
      </c>
      <c r="E7590" s="1">
        <v>3</v>
      </c>
      <c r="F7590" s="39">
        <f t="shared" si="590"/>
        <v>547</v>
      </c>
      <c r="G7590" s="395">
        <v>2</v>
      </c>
      <c r="H7590" s="395">
        <v>1</v>
      </c>
      <c r="J7590" s="42"/>
    </row>
    <row r="7591" spans="1:10" s="393" customFormat="1" x14ac:dyDescent="0.25">
      <c r="A7591" s="394" t="s">
        <v>20</v>
      </c>
      <c r="B7591" s="29">
        <v>44209</v>
      </c>
      <c r="C7591" s="1">
        <v>818</v>
      </c>
      <c r="D7591" s="278">
        <f t="shared" si="589"/>
        <v>135449</v>
      </c>
      <c r="E7591" s="1">
        <v>10</v>
      </c>
      <c r="F7591" s="39">
        <f t="shared" si="590"/>
        <v>2531</v>
      </c>
      <c r="G7591" s="395">
        <v>5</v>
      </c>
      <c r="H7591" s="395">
        <v>5</v>
      </c>
      <c r="J7591" s="42"/>
    </row>
    <row r="7592" spans="1:10" s="393" customFormat="1" x14ac:dyDescent="0.25">
      <c r="A7592" s="394" t="s">
        <v>30</v>
      </c>
      <c r="B7592" s="29">
        <v>44209</v>
      </c>
      <c r="C7592" s="1">
        <v>395</v>
      </c>
      <c r="D7592" s="278">
        <f t="shared" si="589"/>
        <v>14577</v>
      </c>
      <c r="E7592" s="1"/>
      <c r="F7592" s="39">
        <f t="shared" si="590"/>
        <v>181</v>
      </c>
      <c r="G7592" s="395"/>
      <c r="H7592" s="395"/>
      <c r="J7592" s="42"/>
    </row>
    <row r="7593" spans="1:10" x14ac:dyDescent="0.25">
      <c r="A7593" s="394" t="s">
        <v>31</v>
      </c>
      <c r="B7593" s="29">
        <v>44209</v>
      </c>
      <c r="C7593" s="1">
        <v>581</v>
      </c>
      <c r="D7593" s="278">
        <f t="shared" si="589"/>
        <v>34786</v>
      </c>
      <c r="E7593" s="1">
        <v>6</v>
      </c>
      <c r="F7593" s="39">
        <f t="shared" si="590"/>
        <v>624</v>
      </c>
      <c r="G7593" s="17">
        <v>1</v>
      </c>
      <c r="H7593" s="17">
        <v>6</v>
      </c>
    </row>
    <row r="7594" spans="1:10" s="393" customFormat="1" x14ac:dyDescent="0.25">
      <c r="A7594" s="394" t="s">
        <v>41</v>
      </c>
      <c r="B7594" s="29">
        <v>44209</v>
      </c>
      <c r="C7594" s="1">
        <v>54</v>
      </c>
      <c r="D7594" s="278">
        <f t="shared" si="589"/>
        <v>425</v>
      </c>
      <c r="E7594" s="1"/>
      <c r="F7594" s="39">
        <f t="shared" si="590"/>
        <v>3</v>
      </c>
      <c r="G7594" s="395"/>
      <c r="H7594" s="395"/>
      <c r="J7594" s="42"/>
    </row>
    <row r="7595" spans="1:10" s="393" customFormat="1" x14ac:dyDescent="0.25">
      <c r="A7595" s="394" t="s">
        <v>32</v>
      </c>
      <c r="B7595" s="29">
        <v>44209</v>
      </c>
      <c r="C7595" s="1">
        <v>17</v>
      </c>
      <c r="D7595" s="278">
        <f t="shared" si="589"/>
        <v>18736</v>
      </c>
      <c r="E7595" s="1"/>
      <c r="F7595" s="39">
        <f t="shared" si="590"/>
        <v>860</v>
      </c>
      <c r="G7595" s="395"/>
      <c r="H7595" s="395"/>
      <c r="J7595" s="42"/>
    </row>
    <row r="7596" spans="1:10" s="393" customFormat="1" x14ac:dyDescent="0.25">
      <c r="A7596" s="394" t="s">
        <v>33</v>
      </c>
      <c r="B7596" s="29">
        <v>44209</v>
      </c>
      <c r="C7596" s="1">
        <v>229</v>
      </c>
      <c r="D7596" s="278">
        <f t="shared" si="589"/>
        <v>14284</v>
      </c>
      <c r="E7596" s="1"/>
      <c r="F7596" s="39">
        <f t="shared" si="590"/>
        <v>173</v>
      </c>
      <c r="G7596" s="395"/>
      <c r="H7596" s="395"/>
      <c r="J7596" s="42"/>
    </row>
    <row r="7597" spans="1:10" s="393" customFormat="1" x14ac:dyDescent="0.25">
      <c r="A7597" s="394" t="s">
        <v>21</v>
      </c>
      <c r="B7597" s="29">
        <v>44209</v>
      </c>
      <c r="C7597" s="1">
        <v>11</v>
      </c>
      <c r="D7597" s="278">
        <f t="shared" si="589"/>
        <v>9247</v>
      </c>
      <c r="E7597" s="1"/>
      <c r="F7597" s="39">
        <f t="shared" si="590"/>
        <v>401</v>
      </c>
      <c r="G7597" s="395"/>
      <c r="H7597" s="395"/>
      <c r="J7597" s="42"/>
    </row>
    <row r="7598" spans="1:10" s="393" customFormat="1" x14ac:dyDescent="0.25">
      <c r="A7598" s="394" t="s">
        <v>17</v>
      </c>
      <c r="B7598" s="29">
        <v>44209</v>
      </c>
      <c r="C7598" s="1">
        <v>150</v>
      </c>
      <c r="D7598" s="278">
        <f t="shared" si="589"/>
        <v>61741</v>
      </c>
      <c r="E7598" s="1">
        <v>6</v>
      </c>
      <c r="F7598" s="39">
        <f t="shared" si="590"/>
        <v>1267</v>
      </c>
      <c r="G7598" s="395">
        <v>3</v>
      </c>
      <c r="H7598" s="395">
        <v>3</v>
      </c>
      <c r="J7598" s="42"/>
    </row>
    <row r="7599" spans="1:10" s="393" customFormat="1" x14ac:dyDescent="0.25">
      <c r="A7599" s="394" t="s">
        <v>23</v>
      </c>
      <c r="B7599" s="29">
        <v>44209</v>
      </c>
      <c r="C7599" s="1">
        <v>27</v>
      </c>
      <c r="D7599" s="278">
        <f t="shared" si="589"/>
        <v>1547</v>
      </c>
      <c r="E7599" s="1">
        <v>6</v>
      </c>
      <c r="F7599" s="39">
        <f t="shared" si="590"/>
        <v>26</v>
      </c>
      <c r="G7599" s="395">
        <v>4</v>
      </c>
      <c r="H7599" s="395">
        <v>2</v>
      </c>
      <c r="J7599" s="42"/>
    </row>
    <row r="7600" spans="1:10" s="393" customFormat="1" x14ac:dyDescent="0.25">
      <c r="A7600" s="394" t="s">
        <v>19</v>
      </c>
      <c r="B7600" s="29">
        <v>44209</v>
      </c>
      <c r="C7600" s="1">
        <v>463</v>
      </c>
      <c r="D7600" s="278">
        <f t="shared" si="589"/>
        <v>46665</v>
      </c>
      <c r="E7600" s="1"/>
      <c r="F7600" s="39">
        <f t="shared" si="590"/>
        <v>754</v>
      </c>
      <c r="G7600" s="395"/>
      <c r="H7600" s="395"/>
      <c r="J7600" s="42"/>
    </row>
    <row r="7601" spans="1:10" s="393" customFormat="1" x14ac:dyDescent="0.25">
      <c r="A7601" s="394" t="s">
        <v>18</v>
      </c>
      <c r="B7601" s="29">
        <v>44209</v>
      </c>
      <c r="C7601" s="1">
        <v>393</v>
      </c>
      <c r="D7601" s="278">
        <f t="shared" si="589"/>
        <v>42640</v>
      </c>
      <c r="E7601" s="1">
        <v>5</v>
      </c>
      <c r="F7601" s="39">
        <f t="shared" si="590"/>
        <v>983</v>
      </c>
      <c r="G7601" s="395">
        <v>4</v>
      </c>
      <c r="H7601" s="395">
        <v>1</v>
      </c>
      <c r="J7601" s="42"/>
    </row>
    <row r="7602" spans="1:10" s="393" customFormat="1" x14ac:dyDescent="0.25">
      <c r="A7602" s="394" t="s">
        <v>34</v>
      </c>
      <c r="B7602" s="29">
        <v>44209</v>
      </c>
      <c r="C7602" s="1">
        <v>67</v>
      </c>
      <c r="D7602" s="278">
        <f t="shared" si="589"/>
        <v>22863</v>
      </c>
      <c r="E7602" s="1"/>
      <c r="F7602" s="39">
        <f t="shared" si="590"/>
        <v>1025</v>
      </c>
      <c r="G7602" s="395"/>
      <c r="H7602" s="395"/>
      <c r="J7602" s="42"/>
    </row>
    <row r="7603" spans="1:10" s="393" customFormat="1" x14ac:dyDescent="0.25">
      <c r="A7603" s="394" t="s">
        <v>35</v>
      </c>
      <c r="B7603" s="29">
        <v>44209</v>
      </c>
      <c r="C7603" s="1">
        <v>163</v>
      </c>
      <c r="D7603" s="278">
        <f t="shared" ref="D7603:D7609" si="591">C7603+D7579</f>
        <v>12839</v>
      </c>
      <c r="E7603" s="1">
        <v>3</v>
      </c>
      <c r="F7603" s="39">
        <f t="shared" ref="F7603:F7609" si="592">E7603+F7579</f>
        <v>212</v>
      </c>
      <c r="G7603" s="395"/>
      <c r="H7603" s="395">
        <v>3</v>
      </c>
      <c r="J7603" s="42"/>
    </row>
    <row r="7604" spans="1:10" s="393" customFormat="1" x14ac:dyDescent="0.25">
      <c r="A7604" s="394" t="s">
        <v>36</v>
      </c>
      <c r="B7604" s="29">
        <v>44209</v>
      </c>
      <c r="C7604" s="1">
        <v>38</v>
      </c>
      <c r="D7604" s="278">
        <f t="shared" si="591"/>
        <v>16702</v>
      </c>
      <c r="E7604" s="1">
        <v>1</v>
      </c>
      <c r="F7604" s="39">
        <f t="shared" si="592"/>
        <v>326</v>
      </c>
      <c r="G7604" s="395"/>
      <c r="H7604" s="395">
        <v>1</v>
      </c>
      <c r="J7604" s="42"/>
    </row>
    <row r="7605" spans="1:10" s="393" customFormat="1" x14ac:dyDescent="0.25">
      <c r="A7605" s="394" t="s">
        <v>37</v>
      </c>
      <c r="B7605" s="29">
        <v>44209</v>
      </c>
      <c r="C7605" s="1">
        <v>323</v>
      </c>
      <c r="D7605" s="278">
        <f t="shared" si="591"/>
        <v>28252</v>
      </c>
      <c r="E7605" s="1">
        <v>4</v>
      </c>
      <c r="F7605" s="39">
        <f t="shared" si="592"/>
        <v>435</v>
      </c>
      <c r="G7605" s="395">
        <v>2</v>
      </c>
      <c r="H7605" s="395">
        <v>2</v>
      </c>
      <c r="J7605" s="42"/>
    </row>
    <row r="7606" spans="1:10" s="393" customFormat="1" x14ac:dyDescent="0.25">
      <c r="A7606" s="394" t="s">
        <v>22</v>
      </c>
      <c r="B7606" s="29">
        <v>44209</v>
      </c>
      <c r="C7606" s="1">
        <v>1502</v>
      </c>
      <c r="D7606" s="278">
        <f t="shared" si="591"/>
        <v>190446</v>
      </c>
      <c r="E7606" s="1">
        <v>18</v>
      </c>
      <c r="F7606" s="39">
        <f t="shared" si="592"/>
        <v>3129</v>
      </c>
      <c r="G7606" s="395">
        <v>10</v>
      </c>
      <c r="H7606" s="395">
        <v>8</v>
      </c>
      <c r="J7606" s="42"/>
    </row>
    <row r="7607" spans="1:10" s="393" customFormat="1" x14ac:dyDescent="0.25">
      <c r="A7607" s="394" t="s">
        <v>38</v>
      </c>
      <c r="B7607" s="29">
        <v>44209</v>
      </c>
      <c r="C7607" s="1">
        <v>165</v>
      </c>
      <c r="D7607" s="278">
        <f t="shared" si="591"/>
        <v>19052</v>
      </c>
      <c r="E7607" s="1">
        <v>2</v>
      </c>
      <c r="F7607" s="39">
        <f t="shared" si="592"/>
        <v>229</v>
      </c>
      <c r="G7607" s="395">
        <v>1</v>
      </c>
      <c r="H7607" s="395">
        <v>1</v>
      </c>
      <c r="J7607" s="42"/>
    </row>
    <row r="7608" spans="1:10" s="393" customFormat="1" x14ac:dyDescent="0.25">
      <c r="A7608" s="394" t="s">
        <v>39</v>
      </c>
      <c r="B7608" s="29">
        <v>44209</v>
      </c>
      <c r="C7608" s="1">
        <v>101</v>
      </c>
      <c r="D7608" s="278">
        <f t="shared" si="591"/>
        <v>20498</v>
      </c>
      <c r="E7608" s="1">
        <v>1</v>
      </c>
      <c r="F7608" s="39">
        <f t="shared" si="592"/>
        <v>284</v>
      </c>
      <c r="G7608" s="395">
        <v>1</v>
      </c>
      <c r="H7608" s="395"/>
      <c r="J7608" s="42"/>
    </row>
    <row r="7609" spans="1:10" s="393" customFormat="1" x14ac:dyDescent="0.25">
      <c r="A7609" s="394" t="s">
        <v>40</v>
      </c>
      <c r="B7609" s="29">
        <v>44209</v>
      </c>
      <c r="C7609" s="1">
        <v>279</v>
      </c>
      <c r="D7609" s="278">
        <f t="shared" si="591"/>
        <v>73615</v>
      </c>
      <c r="E7609" s="1">
        <v>3</v>
      </c>
      <c r="F7609" s="39">
        <f t="shared" si="592"/>
        <v>1399</v>
      </c>
      <c r="G7609" s="395">
        <v>1</v>
      </c>
      <c r="H7609" s="395">
        <v>2</v>
      </c>
      <c r="J7609" s="42"/>
    </row>
    <row r="7610" spans="1:10" s="393" customFormat="1" x14ac:dyDescent="0.25">
      <c r="A7610" s="394" t="s">
        <v>16</v>
      </c>
      <c r="B7610" s="29">
        <v>44210</v>
      </c>
      <c r="C7610" s="1">
        <v>5185</v>
      </c>
      <c r="D7610" s="278">
        <f>C7610+D7586</f>
        <v>740587</v>
      </c>
      <c r="E7610" s="1">
        <v>53</v>
      </c>
      <c r="F7610" s="39">
        <f>E7610+F7586</f>
        <v>23181</v>
      </c>
      <c r="G7610" s="395">
        <v>32</v>
      </c>
      <c r="H7610" s="395">
        <v>20</v>
      </c>
      <c r="J7610" s="42"/>
    </row>
    <row r="7611" spans="1:10" s="393" customFormat="1" x14ac:dyDescent="0.25">
      <c r="A7611" s="394" t="s">
        <v>43</v>
      </c>
      <c r="B7611" s="29">
        <v>44210</v>
      </c>
      <c r="C7611" s="1">
        <v>1367</v>
      </c>
      <c r="D7611" s="278">
        <f t="shared" ref="D7611:D7674" si="593">C7611+D7587</f>
        <v>191081</v>
      </c>
      <c r="E7611" s="1">
        <v>6</v>
      </c>
      <c r="F7611" s="39">
        <f t="shared" ref="F7611:F7674" si="594">E7611+F7587</f>
        <v>5641</v>
      </c>
      <c r="G7611" s="395">
        <v>4</v>
      </c>
      <c r="H7611" s="395">
        <v>2</v>
      </c>
      <c r="J7611" s="42"/>
    </row>
    <row r="7612" spans="1:10" s="393" customFormat="1" x14ac:dyDescent="0.25">
      <c r="A7612" s="394" t="s">
        <v>28</v>
      </c>
      <c r="B7612" s="29">
        <v>44210</v>
      </c>
      <c r="C7612" s="1">
        <v>78</v>
      </c>
      <c r="D7612" s="278">
        <f t="shared" si="593"/>
        <v>3434</v>
      </c>
      <c r="E7612" s="1"/>
      <c r="F7612" s="39">
        <f t="shared" si="594"/>
        <v>17</v>
      </c>
      <c r="G7612" s="395"/>
      <c r="H7612" s="395"/>
      <c r="J7612" s="42"/>
    </row>
    <row r="7613" spans="1:10" s="393" customFormat="1" x14ac:dyDescent="0.25">
      <c r="A7613" s="394" t="s">
        <v>15</v>
      </c>
      <c r="B7613" s="29">
        <v>44210</v>
      </c>
      <c r="C7613" s="1">
        <v>304</v>
      </c>
      <c r="D7613" s="278">
        <f t="shared" si="593"/>
        <v>27942</v>
      </c>
      <c r="E7613" s="1">
        <v>3</v>
      </c>
      <c r="F7613" s="39">
        <f t="shared" si="594"/>
        <v>752</v>
      </c>
      <c r="G7613" s="395">
        <v>1</v>
      </c>
      <c r="H7613" s="395">
        <v>2</v>
      </c>
      <c r="J7613" s="42"/>
    </row>
    <row r="7614" spans="1:10" s="393" customFormat="1" x14ac:dyDescent="0.25">
      <c r="A7614" s="394" t="s">
        <v>29</v>
      </c>
      <c r="B7614" s="29">
        <v>44210</v>
      </c>
      <c r="C7614" s="1">
        <v>543</v>
      </c>
      <c r="D7614" s="278">
        <f t="shared" si="593"/>
        <v>37498</v>
      </c>
      <c r="E7614" s="1">
        <v>12</v>
      </c>
      <c r="F7614" s="39">
        <f t="shared" si="594"/>
        <v>559</v>
      </c>
      <c r="G7614" s="395">
        <v>9</v>
      </c>
      <c r="H7614" s="395">
        <v>3</v>
      </c>
      <c r="J7614" s="42"/>
    </row>
    <row r="7615" spans="1:10" s="393" customFormat="1" x14ac:dyDescent="0.25">
      <c r="A7615" s="394" t="s">
        <v>20</v>
      </c>
      <c r="B7615" s="29">
        <v>44210</v>
      </c>
      <c r="C7615" s="1">
        <v>770</v>
      </c>
      <c r="D7615" s="278">
        <f t="shared" si="593"/>
        <v>136219</v>
      </c>
      <c r="E7615" s="1">
        <v>15</v>
      </c>
      <c r="F7615" s="39">
        <f t="shared" si="594"/>
        <v>2546</v>
      </c>
      <c r="G7615" s="395">
        <v>8</v>
      </c>
      <c r="H7615" s="395">
        <v>6</v>
      </c>
      <c r="J7615" s="42"/>
    </row>
    <row r="7616" spans="1:10" s="393" customFormat="1" x14ac:dyDescent="0.25">
      <c r="A7616" s="394" t="s">
        <v>30</v>
      </c>
      <c r="B7616" s="29">
        <v>44210</v>
      </c>
      <c r="C7616" s="1">
        <v>415</v>
      </c>
      <c r="D7616" s="278">
        <f t="shared" si="593"/>
        <v>14992</v>
      </c>
      <c r="E7616" s="1"/>
      <c r="F7616" s="39">
        <f t="shared" si="594"/>
        <v>181</v>
      </c>
      <c r="G7616" s="395"/>
      <c r="H7616" s="395"/>
      <c r="J7616" s="42"/>
    </row>
    <row r="7617" spans="1:10" x14ac:dyDescent="0.25">
      <c r="A7617" s="394" t="s">
        <v>31</v>
      </c>
      <c r="B7617" s="29">
        <v>44210</v>
      </c>
      <c r="C7617" s="1">
        <v>539</v>
      </c>
      <c r="D7617" s="278">
        <f t="shared" si="593"/>
        <v>35325</v>
      </c>
      <c r="E7617" s="1">
        <v>2</v>
      </c>
      <c r="F7617" s="39">
        <f t="shared" si="594"/>
        <v>626</v>
      </c>
      <c r="H7617" s="17">
        <v>2</v>
      </c>
    </row>
    <row r="7618" spans="1:10" s="393" customFormat="1" x14ac:dyDescent="0.25">
      <c r="A7618" s="394" t="s">
        <v>41</v>
      </c>
      <c r="B7618" s="29">
        <v>44210</v>
      </c>
      <c r="C7618" s="1">
        <v>75</v>
      </c>
      <c r="D7618" s="278">
        <f t="shared" si="593"/>
        <v>500</v>
      </c>
      <c r="E7618" s="1"/>
      <c r="F7618" s="39">
        <f t="shared" si="594"/>
        <v>3</v>
      </c>
      <c r="G7618" s="395"/>
      <c r="H7618" s="395"/>
      <c r="J7618" s="42"/>
    </row>
    <row r="7619" spans="1:10" s="393" customFormat="1" x14ac:dyDescent="0.25">
      <c r="A7619" s="394" t="s">
        <v>32</v>
      </c>
      <c r="B7619" s="29">
        <v>44210</v>
      </c>
      <c r="C7619" s="1">
        <v>23</v>
      </c>
      <c r="D7619" s="278">
        <f t="shared" si="593"/>
        <v>18759</v>
      </c>
      <c r="E7619" s="1"/>
      <c r="F7619" s="39">
        <f t="shared" si="594"/>
        <v>860</v>
      </c>
      <c r="G7619" s="395"/>
      <c r="H7619" s="395"/>
      <c r="J7619" s="42"/>
    </row>
    <row r="7620" spans="1:10" s="393" customFormat="1" x14ac:dyDescent="0.25">
      <c r="A7620" s="394" t="s">
        <v>33</v>
      </c>
      <c r="B7620" s="29">
        <v>44210</v>
      </c>
      <c r="C7620" s="1">
        <v>255</v>
      </c>
      <c r="D7620" s="278">
        <f t="shared" si="593"/>
        <v>14539</v>
      </c>
      <c r="E7620" s="1"/>
      <c r="F7620" s="39">
        <f t="shared" si="594"/>
        <v>173</v>
      </c>
      <c r="G7620" s="395"/>
      <c r="H7620" s="395"/>
      <c r="J7620" s="42"/>
    </row>
    <row r="7621" spans="1:10" s="393" customFormat="1" x14ac:dyDescent="0.25">
      <c r="A7621" s="394" t="s">
        <v>21</v>
      </c>
      <c r="B7621" s="29">
        <v>44210</v>
      </c>
      <c r="C7621" s="1">
        <v>12</v>
      </c>
      <c r="D7621" s="278">
        <f t="shared" si="593"/>
        <v>9259</v>
      </c>
      <c r="E7621" s="1"/>
      <c r="F7621" s="39">
        <f t="shared" si="594"/>
        <v>401</v>
      </c>
      <c r="G7621" s="395"/>
      <c r="H7621" s="395"/>
      <c r="J7621" s="42"/>
    </row>
    <row r="7622" spans="1:10" s="393" customFormat="1" x14ac:dyDescent="0.25">
      <c r="A7622" s="394" t="s">
        <v>17</v>
      </c>
      <c r="B7622" s="29">
        <v>44210</v>
      </c>
      <c r="C7622" s="1">
        <v>162</v>
      </c>
      <c r="D7622" s="278">
        <f t="shared" si="593"/>
        <v>61903</v>
      </c>
      <c r="E7622" s="1">
        <v>7</v>
      </c>
      <c r="F7622" s="39">
        <f t="shared" si="594"/>
        <v>1274</v>
      </c>
      <c r="G7622" s="395">
        <v>2</v>
      </c>
      <c r="H7622" s="395">
        <v>4</v>
      </c>
      <c r="J7622" s="42"/>
    </row>
    <row r="7623" spans="1:10" s="393" customFormat="1" x14ac:dyDescent="0.25">
      <c r="A7623" s="394" t="s">
        <v>23</v>
      </c>
      <c r="B7623" s="29">
        <v>44210</v>
      </c>
      <c r="C7623" s="1">
        <v>215</v>
      </c>
      <c r="D7623" s="278">
        <f t="shared" si="593"/>
        <v>1762</v>
      </c>
      <c r="E7623" s="1">
        <v>7</v>
      </c>
      <c r="F7623" s="39">
        <f t="shared" si="594"/>
        <v>33</v>
      </c>
      <c r="G7623" s="395">
        <v>6</v>
      </c>
      <c r="H7623" s="395">
        <v>1</v>
      </c>
      <c r="J7623" s="42"/>
    </row>
    <row r="7624" spans="1:10" s="393" customFormat="1" x14ac:dyDescent="0.25">
      <c r="A7624" s="394" t="s">
        <v>19</v>
      </c>
      <c r="B7624" s="29">
        <v>44210</v>
      </c>
      <c r="C7624" s="1">
        <v>532</v>
      </c>
      <c r="D7624" s="278">
        <f t="shared" si="593"/>
        <v>47197</v>
      </c>
      <c r="E7624" s="1"/>
      <c r="F7624" s="39">
        <f t="shared" si="594"/>
        <v>754</v>
      </c>
      <c r="G7624" s="395"/>
      <c r="H7624" s="395"/>
      <c r="J7624" s="42"/>
    </row>
    <row r="7625" spans="1:10" s="393" customFormat="1" x14ac:dyDescent="0.25">
      <c r="A7625" s="394" t="s">
        <v>18</v>
      </c>
      <c r="B7625" s="29">
        <v>44210</v>
      </c>
      <c r="C7625" s="1">
        <v>437</v>
      </c>
      <c r="D7625" s="278">
        <f t="shared" si="593"/>
        <v>43077</v>
      </c>
      <c r="E7625" s="1">
        <v>10</v>
      </c>
      <c r="F7625" s="39">
        <f t="shared" si="594"/>
        <v>993</v>
      </c>
      <c r="G7625" s="395">
        <v>5</v>
      </c>
      <c r="H7625" s="395">
        <v>5</v>
      </c>
      <c r="J7625" s="42"/>
    </row>
    <row r="7626" spans="1:10" s="393" customFormat="1" x14ac:dyDescent="0.25">
      <c r="A7626" s="394" t="s">
        <v>34</v>
      </c>
      <c r="B7626" s="29">
        <v>44210</v>
      </c>
      <c r="C7626" s="1">
        <v>57</v>
      </c>
      <c r="D7626" s="278">
        <f t="shared" si="593"/>
        <v>22920</v>
      </c>
      <c r="E7626" s="1"/>
      <c r="F7626" s="39">
        <f t="shared" si="594"/>
        <v>1025</v>
      </c>
      <c r="G7626" s="395"/>
      <c r="H7626" s="395"/>
      <c r="J7626" s="42"/>
    </row>
    <row r="7627" spans="1:10" s="393" customFormat="1" x14ac:dyDescent="0.25">
      <c r="A7627" s="394" t="s">
        <v>35</v>
      </c>
      <c r="B7627" s="29">
        <v>44210</v>
      </c>
      <c r="C7627" s="1">
        <v>78</v>
      </c>
      <c r="D7627" s="278">
        <f t="shared" si="593"/>
        <v>12917</v>
      </c>
      <c r="E7627" s="1">
        <v>1</v>
      </c>
      <c r="F7627" s="39">
        <f t="shared" si="594"/>
        <v>213</v>
      </c>
      <c r="G7627" s="395">
        <v>1</v>
      </c>
      <c r="H7627" s="395"/>
      <c r="J7627" s="42"/>
    </row>
    <row r="7628" spans="1:10" s="393" customFormat="1" x14ac:dyDescent="0.25">
      <c r="A7628" s="394" t="s">
        <v>36</v>
      </c>
      <c r="B7628" s="29">
        <v>44210</v>
      </c>
      <c r="C7628" s="1">
        <v>58</v>
      </c>
      <c r="D7628" s="278">
        <f t="shared" si="593"/>
        <v>16760</v>
      </c>
      <c r="E7628" s="1">
        <v>1</v>
      </c>
      <c r="F7628" s="39">
        <f t="shared" si="594"/>
        <v>327</v>
      </c>
      <c r="G7628" s="395">
        <v>1</v>
      </c>
      <c r="H7628" s="395"/>
      <c r="J7628" s="42"/>
    </row>
    <row r="7629" spans="1:10" s="393" customFormat="1" x14ac:dyDescent="0.25">
      <c r="A7629" s="394" t="s">
        <v>37</v>
      </c>
      <c r="B7629" s="29">
        <v>44210</v>
      </c>
      <c r="C7629" s="1">
        <v>285</v>
      </c>
      <c r="D7629" s="278">
        <f t="shared" si="593"/>
        <v>28537</v>
      </c>
      <c r="E7629" s="1">
        <v>3</v>
      </c>
      <c r="F7629" s="39">
        <f t="shared" si="594"/>
        <v>438</v>
      </c>
      <c r="G7629" s="395">
        <v>1</v>
      </c>
      <c r="H7629" s="395">
        <v>2</v>
      </c>
      <c r="J7629" s="42"/>
    </row>
    <row r="7630" spans="1:10" s="393" customFormat="1" x14ac:dyDescent="0.25">
      <c r="A7630" s="394" t="s">
        <v>22</v>
      </c>
      <c r="B7630" s="29">
        <v>44210</v>
      </c>
      <c r="C7630" s="1">
        <v>1395</v>
      </c>
      <c r="D7630" s="278">
        <f t="shared" si="593"/>
        <v>191841</v>
      </c>
      <c r="E7630" s="1">
        <v>19</v>
      </c>
      <c r="F7630" s="39">
        <f t="shared" si="594"/>
        <v>3148</v>
      </c>
      <c r="G7630" s="395">
        <v>13</v>
      </c>
      <c r="H7630" s="395">
        <v>6</v>
      </c>
      <c r="J7630" s="42"/>
    </row>
    <row r="7631" spans="1:10" s="393" customFormat="1" x14ac:dyDescent="0.25">
      <c r="A7631" s="394" t="s">
        <v>38</v>
      </c>
      <c r="B7631" s="29">
        <v>44210</v>
      </c>
      <c r="C7631" s="1">
        <v>198</v>
      </c>
      <c r="D7631" s="278">
        <f t="shared" si="593"/>
        <v>19250</v>
      </c>
      <c r="E7631" s="1"/>
      <c r="F7631" s="39">
        <f t="shared" si="594"/>
        <v>229</v>
      </c>
      <c r="G7631" s="395"/>
      <c r="H7631" s="395"/>
      <c r="J7631" s="42"/>
    </row>
    <row r="7632" spans="1:10" s="393" customFormat="1" x14ac:dyDescent="0.25">
      <c r="A7632" s="394" t="s">
        <v>39</v>
      </c>
      <c r="B7632" s="29">
        <v>44210</v>
      </c>
      <c r="C7632" s="1">
        <v>72</v>
      </c>
      <c r="D7632" s="278">
        <f t="shared" si="593"/>
        <v>20570</v>
      </c>
      <c r="E7632" s="1">
        <v>3</v>
      </c>
      <c r="F7632" s="39">
        <f t="shared" si="594"/>
        <v>287</v>
      </c>
      <c r="G7632" s="395">
        <v>3</v>
      </c>
      <c r="H7632" s="395"/>
      <c r="J7632" s="42"/>
    </row>
    <row r="7633" spans="1:10" s="393" customFormat="1" x14ac:dyDescent="0.25">
      <c r="A7633" s="394" t="s">
        <v>40</v>
      </c>
      <c r="B7633" s="29">
        <v>44210</v>
      </c>
      <c r="C7633" s="1">
        <v>231</v>
      </c>
      <c r="D7633" s="278">
        <f t="shared" si="593"/>
        <v>73846</v>
      </c>
      <c r="E7633" s="1"/>
      <c r="F7633" s="39">
        <f t="shared" si="594"/>
        <v>1399</v>
      </c>
      <c r="G7633" s="395"/>
      <c r="H7633" s="395"/>
      <c r="J7633" s="42"/>
    </row>
    <row r="7634" spans="1:10" s="393" customFormat="1" x14ac:dyDescent="0.25">
      <c r="A7634" s="394" t="s">
        <v>16</v>
      </c>
      <c r="B7634" s="29">
        <v>44211</v>
      </c>
      <c r="C7634" s="1">
        <v>4742</v>
      </c>
      <c r="D7634" s="278">
        <f>C7634+D7610</f>
        <v>745329</v>
      </c>
      <c r="E7634" s="1">
        <v>41</v>
      </c>
      <c r="F7634" s="39">
        <f>E7634+F7610</f>
        <v>23222</v>
      </c>
      <c r="G7634" s="395">
        <v>23</v>
      </c>
      <c r="H7634" s="395">
        <v>18</v>
      </c>
      <c r="J7634" s="42"/>
    </row>
    <row r="7635" spans="1:10" s="393" customFormat="1" x14ac:dyDescent="0.25">
      <c r="A7635" s="394" t="s">
        <v>43</v>
      </c>
      <c r="B7635" s="29">
        <v>44211</v>
      </c>
      <c r="C7635" s="1">
        <v>1306</v>
      </c>
      <c r="D7635" s="278">
        <f t="shared" si="593"/>
        <v>192387</v>
      </c>
      <c r="E7635" s="1">
        <v>6</v>
      </c>
      <c r="F7635" s="39">
        <f t="shared" si="594"/>
        <v>5647</v>
      </c>
      <c r="G7635" s="395">
        <v>3</v>
      </c>
      <c r="H7635" s="395">
        <v>2</v>
      </c>
      <c r="J7635" s="42"/>
    </row>
    <row r="7636" spans="1:10" s="393" customFormat="1" x14ac:dyDescent="0.25">
      <c r="A7636" s="394" t="s">
        <v>28</v>
      </c>
      <c r="B7636" s="29">
        <v>44211</v>
      </c>
      <c r="C7636" s="1">
        <v>395</v>
      </c>
      <c r="D7636" s="278">
        <f t="shared" si="593"/>
        <v>3829</v>
      </c>
      <c r="E7636" s="1"/>
      <c r="F7636" s="39">
        <f t="shared" si="594"/>
        <v>17</v>
      </c>
      <c r="G7636" s="395"/>
      <c r="H7636" s="395"/>
      <c r="J7636" s="42"/>
    </row>
    <row r="7637" spans="1:10" s="393" customFormat="1" x14ac:dyDescent="0.25">
      <c r="A7637" s="394" t="s">
        <v>15</v>
      </c>
      <c r="B7637" s="29">
        <v>44211</v>
      </c>
      <c r="C7637" s="1">
        <v>226</v>
      </c>
      <c r="D7637" s="278">
        <f t="shared" si="593"/>
        <v>28168</v>
      </c>
      <c r="E7637" s="1">
        <v>3</v>
      </c>
      <c r="F7637" s="39">
        <f t="shared" si="594"/>
        <v>755</v>
      </c>
      <c r="G7637" s="395">
        <v>1</v>
      </c>
      <c r="H7637" s="395">
        <v>2</v>
      </c>
      <c r="J7637" s="42"/>
    </row>
    <row r="7638" spans="1:10" s="393" customFormat="1" x14ac:dyDescent="0.25">
      <c r="A7638" s="394" t="s">
        <v>29</v>
      </c>
      <c r="B7638" s="29">
        <v>44211</v>
      </c>
      <c r="C7638" s="1">
        <v>408</v>
      </c>
      <c r="D7638" s="278">
        <f t="shared" si="593"/>
        <v>37906</v>
      </c>
      <c r="E7638" s="1"/>
      <c r="F7638" s="39">
        <f t="shared" si="594"/>
        <v>559</v>
      </c>
      <c r="G7638" s="395"/>
      <c r="H7638" s="395"/>
      <c r="J7638" s="42"/>
    </row>
    <row r="7639" spans="1:10" s="393" customFormat="1" x14ac:dyDescent="0.25">
      <c r="A7639" s="394" t="s">
        <v>20</v>
      </c>
      <c r="B7639" s="29">
        <v>44211</v>
      </c>
      <c r="C7639" s="1">
        <v>649</v>
      </c>
      <c r="D7639" s="278">
        <f t="shared" si="593"/>
        <v>136868</v>
      </c>
      <c r="E7639" s="1"/>
      <c r="F7639" s="39">
        <f t="shared" si="594"/>
        <v>2546</v>
      </c>
      <c r="G7639" s="395"/>
      <c r="H7639" s="395"/>
      <c r="J7639" s="42"/>
    </row>
    <row r="7640" spans="1:10" s="393" customFormat="1" x14ac:dyDescent="0.25">
      <c r="A7640" s="394" t="s">
        <v>30</v>
      </c>
      <c r="B7640" s="29">
        <v>44211</v>
      </c>
      <c r="C7640" s="1">
        <v>235</v>
      </c>
      <c r="D7640" s="278">
        <f t="shared" si="593"/>
        <v>15227</v>
      </c>
      <c r="E7640" s="1"/>
      <c r="F7640" s="39">
        <f t="shared" si="594"/>
        <v>181</v>
      </c>
      <c r="G7640" s="395"/>
      <c r="H7640" s="395"/>
      <c r="J7640" s="42"/>
    </row>
    <row r="7641" spans="1:10" x14ac:dyDescent="0.25">
      <c r="A7641" s="394" t="s">
        <v>31</v>
      </c>
      <c r="B7641" s="29">
        <v>44211</v>
      </c>
      <c r="C7641" s="1">
        <v>537</v>
      </c>
      <c r="D7641" s="278">
        <f t="shared" si="593"/>
        <v>35862</v>
      </c>
      <c r="E7641" s="1">
        <v>1</v>
      </c>
      <c r="F7641" s="39">
        <f t="shared" si="594"/>
        <v>627</v>
      </c>
      <c r="G7641" s="17">
        <v>1</v>
      </c>
    </row>
    <row r="7642" spans="1:10" s="393" customFormat="1" x14ac:dyDescent="0.25">
      <c r="A7642" s="394" t="s">
        <v>41</v>
      </c>
      <c r="B7642" s="29">
        <v>44211</v>
      </c>
      <c r="C7642" s="1">
        <v>58</v>
      </c>
      <c r="D7642" s="278">
        <f t="shared" si="593"/>
        <v>558</v>
      </c>
      <c r="E7642" s="1">
        <v>1</v>
      </c>
      <c r="F7642" s="39">
        <f t="shared" si="594"/>
        <v>4</v>
      </c>
      <c r="G7642" s="395">
        <v>1</v>
      </c>
      <c r="H7642" s="395"/>
      <c r="J7642" s="42"/>
    </row>
    <row r="7643" spans="1:10" s="393" customFormat="1" x14ac:dyDescent="0.25">
      <c r="A7643" s="394" t="s">
        <v>32</v>
      </c>
      <c r="B7643" s="29">
        <v>44211</v>
      </c>
      <c r="C7643" s="1">
        <v>21</v>
      </c>
      <c r="D7643" s="278">
        <f t="shared" si="593"/>
        <v>18780</v>
      </c>
      <c r="E7643" s="1">
        <v>1</v>
      </c>
      <c r="F7643" s="39">
        <f t="shared" si="594"/>
        <v>861</v>
      </c>
      <c r="G7643" s="395">
        <v>1</v>
      </c>
      <c r="H7643" s="395"/>
      <c r="J7643" s="42"/>
    </row>
    <row r="7644" spans="1:10" s="393" customFormat="1" x14ac:dyDescent="0.25">
      <c r="A7644" s="394" t="s">
        <v>33</v>
      </c>
      <c r="B7644" s="29">
        <v>44211</v>
      </c>
      <c r="C7644" s="1">
        <v>195</v>
      </c>
      <c r="D7644" s="278">
        <f t="shared" si="593"/>
        <v>14734</v>
      </c>
      <c r="E7644" s="1">
        <v>10</v>
      </c>
      <c r="F7644" s="39">
        <f t="shared" si="594"/>
        <v>183</v>
      </c>
      <c r="G7644" s="395">
        <v>5</v>
      </c>
      <c r="H7644" s="395">
        <v>5</v>
      </c>
      <c r="J7644" s="42"/>
    </row>
    <row r="7645" spans="1:10" s="393" customFormat="1" x14ac:dyDescent="0.25">
      <c r="A7645" s="394" t="s">
        <v>21</v>
      </c>
      <c r="B7645" s="29">
        <v>44211</v>
      </c>
      <c r="C7645" s="1">
        <v>13</v>
      </c>
      <c r="D7645" s="278">
        <f t="shared" si="593"/>
        <v>9272</v>
      </c>
      <c r="E7645" s="1"/>
      <c r="F7645" s="39">
        <f t="shared" si="594"/>
        <v>401</v>
      </c>
      <c r="G7645" s="395"/>
      <c r="H7645" s="395"/>
      <c r="J7645" s="42"/>
    </row>
    <row r="7646" spans="1:10" s="393" customFormat="1" x14ac:dyDescent="0.25">
      <c r="A7646" s="394" t="s">
        <v>17</v>
      </c>
      <c r="B7646" s="29">
        <v>44211</v>
      </c>
      <c r="C7646" s="1">
        <v>135</v>
      </c>
      <c r="D7646" s="278">
        <f t="shared" si="593"/>
        <v>62038</v>
      </c>
      <c r="E7646" s="1">
        <v>4</v>
      </c>
      <c r="F7646" s="39">
        <f t="shared" si="594"/>
        <v>1278</v>
      </c>
      <c r="G7646" s="395">
        <v>2</v>
      </c>
      <c r="H7646" s="395">
        <v>2</v>
      </c>
      <c r="J7646" s="42"/>
    </row>
    <row r="7647" spans="1:10" s="393" customFormat="1" x14ac:dyDescent="0.25">
      <c r="A7647" s="394" t="s">
        <v>23</v>
      </c>
      <c r="B7647" s="29">
        <v>44211</v>
      </c>
      <c r="C7647" s="1">
        <v>104</v>
      </c>
      <c r="D7647" s="278">
        <f t="shared" si="593"/>
        <v>1866</v>
      </c>
      <c r="E7647" s="1">
        <v>3</v>
      </c>
      <c r="F7647" s="39">
        <f t="shared" si="594"/>
        <v>36</v>
      </c>
      <c r="G7647" s="395">
        <v>2</v>
      </c>
      <c r="H7647" s="395">
        <v>1</v>
      </c>
      <c r="J7647" s="42"/>
    </row>
    <row r="7648" spans="1:10" s="393" customFormat="1" x14ac:dyDescent="0.25">
      <c r="A7648" s="394" t="s">
        <v>19</v>
      </c>
      <c r="B7648" s="29">
        <v>44211</v>
      </c>
      <c r="C7648" s="1">
        <v>515</v>
      </c>
      <c r="D7648" s="278">
        <f t="shared" si="593"/>
        <v>47712</v>
      </c>
      <c r="E7648" s="1">
        <v>1</v>
      </c>
      <c r="F7648" s="39">
        <f t="shared" si="594"/>
        <v>755</v>
      </c>
      <c r="G7648" s="395"/>
      <c r="H7648" s="395">
        <v>1</v>
      </c>
      <c r="J7648" s="42"/>
    </row>
    <row r="7649" spans="1:10" s="393" customFormat="1" x14ac:dyDescent="0.25">
      <c r="A7649" s="394" t="s">
        <v>18</v>
      </c>
      <c r="B7649" s="29">
        <v>44211</v>
      </c>
      <c r="C7649" s="1">
        <v>334</v>
      </c>
      <c r="D7649" s="278">
        <f t="shared" si="593"/>
        <v>43411</v>
      </c>
      <c r="E7649" s="1">
        <v>4</v>
      </c>
      <c r="F7649" s="39">
        <f t="shared" si="594"/>
        <v>997</v>
      </c>
      <c r="G7649" s="395">
        <v>3</v>
      </c>
      <c r="H7649" s="395">
        <v>1</v>
      </c>
      <c r="J7649" s="42"/>
    </row>
    <row r="7650" spans="1:10" s="393" customFormat="1" x14ac:dyDescent="0.25">
      <c r="A7650" s="394" t="s">
        <v>34</v>
      </c>
      <c r="B7650" s="29">
        <v>44211</v>
      </c>
      <c r="C7650" s="1">
        <v>59</v>
      </c>
      <c r="D7650" s="278">
        <f t="shared" si="593"/>
        <v>22979</v>
      </c>
      <c r="E7650" s="1"/>
      <c r="F7650" s="39">
        <f t="shared" si="594"/>
        <v>1025</v>
      </c>
      <c r="G7650" s="395"/>
      <c r="H7650" s="395"/>
      <c r="J7650" s="42"/>
    </row>
    <row r="7651" spans="1:10" s="393" customFormat="1" x14ac:dyDescent="0.25">
      <c r="A7651" s="394" t="s">
        <v>35</v>
      </c>
      <c r="B7651" s="29">
        <v>44211</v>
      </c>
      <c r="C7651" s="1">
        <v>111</v>
      </c>
      <c r="D7651" s="278">
        <f t="shared" si="593"/>
        <v>13028</v>
      </c>
      <c r="E7651" s="1">
        <v>1</v>
      </c>
      <c r="F7651" s="39">
        <f t="shared" si="594"/>
        <v>214</v>
      </c>
      <c r="G7651" s="395">
        <v>1</v>
      </c>
      <c r="H7651" s="395"/>
      <c r="J7651" s="42"/>
    </row>
    <row r="7652" spans="1:10" s="393" customFormat="1" x14ac:dyDescent="0.25">
      <c r="A7652" s="394" t="s">
        <v>36</v>
      </c>
      <c r="B7652" s="29">
        <v>44211</v>
      </c>
      <c r="C7652" s="1">
        <v>33</v>
      </c>
      <c r="D7652" s="278">
        <f t="shared" si="593"/>
        <v>16793</v>
      </c>
      <c r="E7652" s="1">
        <v>1</v>
      </c>
      <c r="F7652" s="39">
        <f t="shared" si="594"/>
        <v>328</v>
      </c>
      <c r="G7652" s="395">
        <v>1</v>
      </c>
      <c r="H7652" s="395"/>
      <c r="J7652" s="42"/>
    </row>
    <row r="7653" spans="1:10" s="393" customFormat="1" x14ac:dyDescent="0.25">
      <c r="A7653" s="394" t="s">
        <v>37</v>
      </c>
      <c r="B7653" s="29">
        <v>44211</v>
      </c>
      <c r="C7653" s="1">
        <v>332</v>
      </c>
      <c r="D7653" s="278">
        <f t="shared" si="593"/>
        <v>28869</v>
      </c>
      <c r="E7653" s="1">
        <v>10</v>
      </c>
      <c r="F7653" s="39">
        <f t="shared" si="594"/>
        <v>448</v>
      </c>
      <c r="G7653" s="395">
        <v>6</v>
      </c>
      <c r="H7653" s="395">
        <v>3</v>
      </c>
      <c r="J7653" s="42"/>
    </row>
    <row r="7654" spans="1:10" s="393" customFormat="1" x14ac:dyDescent="0.25">
      <c r="A7654" s="394" t="s">
        <v>22</v>
      </c>
      <c r="B7654" s="29">
        <v>44211</v>
      </c>
      <c r="C7654" s="1">
        <v>1488</v>
      </c>
      <c r="D7654" s="278">
        <f t="shared" si="593"/>
        <v>193329</v>
      </c>
      <c r="E7654" s="1">
        <v>6</v>
      </c>
      <c r="F7654" s="39">
        <f t="shared" si="594"/>
        <v>3154</v>
      </c>
      <c r="G7654" s="395"/>
      <c r="H7654" s="395">
        <v>6</v>
      </c>
      <c r="J7654" s="42"/>
    </row>
    <row r="7655" spans="1:10" s="393" customFormat="1" x14ac:dyDescent="0.25">
      <c r="A7655" s="394" t="s">
        <v>38</v>
      </c>
      <c r="B7655" s="29">
        <v>44211</v>
      </c>
      <c r="C7655" s="1">
        <v>92</v>
      </c>
      <c r="D7655" s="278">
        <f t="shared" si="593"/>
        <v>19342</v>
      </c>
      <c r="E7655" s="1"/>
      <c r="F7655" s="39">
        <f t="shared" si="594"/>
        <v>229</v>
      </c>
      <c r="G7655" s="395"/>
      <c r="H7655" s="395"/>
      <c r="J7655" s="42"/>
    </row>
    <row r="7656" spans="1:10" s="393" customFormat="1" x14ac:dyDescent="0.25">
      <c r="A7656" s="394" t="s">
        <v>39</v>
      </c>
      <c r="B7656" s="29">
        <v>44211</v>
      </c>
      <c r="C7656" s="1">
        <v>91</v>
      </c>
      <c r="D7656" s="278">
        <f t="shared" si="593"/>
        <v>20661</v>
      </c>
      <c r="E7656" s="1">
        <v>9</v>
      </c>
      <c r="F7656" s="39">
        <f t="shared" si="594"/>
        <v>296</v>
      </c>
      <c r="G7656" s="395">
        <v>2</v>
      </c>
      <c r="H7656" s="395">
        <v>7</v>
      </c>
      <c r="J7656" s="42"/>
    </row>
    <row r="7657" spans="1:10" s="393" customFormat="1" x14ac:dyDescent="0.25">
      <c r="A7657" s="394" t="s">
        <v>40</v>
      </c>
      <c r="B7657" s="29">
        <v>44211</v>
      </c>
      <c r="C7657" s="1">
        <v>253</v>
      </c>
      <c r="D7657" s="278">
        <f t="shared" si="593"/>
        <v>74099</v>
      </c>
      <c r="E7657" s="1">
        <v>1</v>
      </c>
      <c r="F7657" s="39">
        <f t="shared" si="594"/>
        <v>1400</v>
      </c>
      <c r="G7657" s="395"/>
      <c r="H7657" s="395">
        <v>1</v>
      </c>
      <c r="J7657" s="42"/>
    </row>
    <row r="7658" spans="1:10" s="393" customFormat="1" x14ac:dyDescent="0.25">
      <c r="A7658" s="394" t="s">
        <v>16</v>
      </c>
      <c r="B7658" s="29">
        <v>44212</v>
      </c>
      <c r="C7658" s="1">
        <v>3531</v>
      </c>
      <c r="D7658" s="278">
        <f>C7658+D7634</f>
        <v>748860</v>
      </c>
      <c r="E7658" s="1">
        <v>21</v>
      </c>
      <c r="F7658" s="39">
        <f>E7658+F7634</f>
        <v>23243</v>
      </c>
      <c r="G7658" s="395">
        <v>12</v>
      </c>
      <c r="H7658" s="395">
        <v>9</v>
      </c>
      <c r="J7658" s="42"/>
    </row>
    <row r="7659" spans="1:10" s="393" customFormat="1" x14ac:dyDescent="0.25">
      <c r="A7659" s="394" t="s">
        <v>43</v>
      </c>
      <c r="B7659" s="29">
        <v>44212</v>
      </c>
      <c r="C7659" s="1">
        <v>1144</v>
      </c>
      <c r="D7659" s="278">
        <f t="shared" si="593"/>
        <v>193531</v>
      </c>
      <c r="E7659" s="1">
        <v>6</v>
      </c>
      <c r="F7659" s="39">
        <f t="shared" si="594"/>
        <v>5653</v>
      </c>
      <c r="G7659" s="395">
        <v>2</v>
      </c>
      <c r="H7659" s="395">
        <v>4</v>
      </c>
      <c r="J7659" s="42"/>
    </row>
    <row r="7660" spans="1:10" s="393" customFormat="1" x14ac:dyDescent="0.25">
      <c r="A7660" s="394" t="s">
        <v>28</v>
      </c>
      <c r="B7660" s="29">
        <v>44212</v>
      </c>
      <c r="C7660" s="1">
        <v>235</v>
      </c>
      <c r="D7660" s="278">
        <f t="shared" si="593"/>
        <v>4064</v>
      </c>
      <c r="E7660" s="1"/>
      <c r="F7660" s="39">
        <f t="shared" si="594"/>
        <v>17</v>
      </c>
      <c r="G7660" s="395"/>
      <c r="H7660" s="395"/>
      <c r="J7660" s="42"/>
    </row>
    <row r="7661" spans="1:10" s="393" customFormat="1" x14ac:dyDescent="0.25">
      <c r="A7661" s="394" t="s">
        <v>15</v>
      </c>
      <c r="B7661" s="29">
        <v>44212</v>
      </c>
      <c r="C7661" s="1">
        <v>170</v>
      </c>
      <c r="D7661" s="278">
        <f t="shared" si="593"/>
        <v>28338</v>
      </c>
      <c r="E7661" s="1">
        <v>1</v>
      </c>
      <c r="F7661" s="39">
        <f t="shared" si="594"/>
        <v>756</v>
      </c>
      <c r="G7661" s="395"/>
      <c r="H7661" s="395">
        <v>1</v>
      </c>
      <c r="J7661" s="42"/>
    </row>
    <row r="7662" spans="1:10" s="393" customFormat="1" x14ac:dyDescent="0.25">
      <c r="A7662" s="394" t="s">
        <v>29</v>
      </c>
      <c r="B7662" s="29">
        <v>44212</v>
      </c>
      <c r="C7662" s="1">
        <v>181</v>
      </c>
      <c r="D7662" s="278">
        <f t="shared" si="593"/>
        <v>38087</v>
      </c>
      <c r="E7662" s="1">
        <v>2</v>
      </c>
      <c r="F7662" s="39">
        <f t="shared" si="594"/>
        <v>561</v>
      </c>
      <c r="G7662" s="395"/>
      <c r="H7662" s="395">
        <v>2</v>
      </c>
      <c r="J7662" s="42"/>
    </row>
    <row r="7663" spans="1:10" s="393" customFormat="1" x14ac:dyDescent="0.25">
      <c r="A7663" s="394" t="s">
        <v>20</v>
      </c>
      <c r="B7663" s="29">
        <v>44212</v>
      </c>
      <c r="C7663" s="1">
        <v>536</v>
      </c>
      <c r="D7663" s="278">
        <f t="shared" si="593"/>
        <v>137404</v>
      </c>
      <c r="E7663" s="1">
        <v>4</v>
      </c>
      <c r="F7663" s="39">
        <f t="shared" si="594"/>
        <v>2550</v>
      </c>
      <c r="G7663" s="395">
        <v>3</v>
      </c>
      <c r="H7663" s="395">
        <v>1</v>
      </c>
      <c r="J7663" s="42"/>
    </row>
    <row r="7664" spans="1:10" s="393" customFormat="1" x14ac:dyDescent="0.25">
      <c r="A7664" s="394" t="s">
        <v>30</v>
      </c>
      <c r="B7664" s="29">
        <v>44212</v>
      </c>
      <c r="C7664" s="1">
        <v>78</v>
      </c>
      <c r="D7664" s="278">
        <f t="shared" si="593"/>
        <v>15305</v>
      </c>
      <c r="E7664" s="1"/>
      <c r="F7664" s="39">
        <f t="shared" si="594"/>
        <v>181</v>
      </c>
      <c r="G7664" s="395"/>
      <c r="H7664" s="395"/>
      <c r="J7664" s="42"/>
    </row>
    <row r="7665" spans="1:10" x14ac:dyDescent="0.25">
      <c r="A7665" s="394" t="s">
        <v>31</v>
      </c>
      <c r="B7665" s="29">
        <v>44212</v>
      </c>
      <c r="C7665" s="1">
        <v>314</v>
      </c>
      <c r="D7665" s="278">
        <f t="shared" si="593"/>
        <v>36176</v>
      </c>
      <c r="E7665" s="1">
        <v>5</v>
      </c>
      <c r="F7665" s="39">
        <f t="shared" si="594"/>
        <v>632</v>
      </c>
      <c r="G7665" s="17">
        <v>3</v>
      </c>
      <c r="H7665" s="17">
        <v>2</v>
      </c>
    </row>
    <row r="7666" spans="1:10" s="393" customFormat="1" x14ac:dyDescent="0.25">
      <c r="A7666" s="394" t="s">
        <v>41</v>
      </c>
      <c r="B7666" s="29">
        <v>44212</v>
      </c>
      <c r="C7666" s="1">
        <v>29</v>
      </c>
      <c r="D7666" s="278">
        <f t="shared" si="593"/>
        <v>587</v>
      </c>
      <c r="E7666" s="1"/>
      <c r="F7666" s="39">
        <f t="shared" si="594"/>
        <v>4</v>
      </c>
      <c r="G7666" s="395"/>
      <c r="H7666" s="395"/>
      <c r="J7666" s="42"/>
    </row>
    <row r="7667" spans="1:10" s="393" customFormat="1" x14ac:dyDescent="0.25">
      <c r="A7667" s="394" t="s">
        <v>32</v>
      </c>
      <c r="B7667" s="29">
        <v>44212</v>
      </c>
      <c r="C7667" s="1">
        <v>21</v>
      </c>
      <c r="D7667" s="278">
        <f t="shared" si="593"/>
        <v>18801</v>
      </c>
      <c r="E7667" s="1">
        <v>2</v>
      </c>
      <c r="F7667" s="39">
        <f t="shared" si="594"/>
        <v>863</v>
      </c>
      <c r="G7667" s="395">
        <v>1</v>
      </c>
      <c r="H7667" s="395">
        <v>1</v>
      </c>
      <c r="J7667" s="42"/>
    </row>
    <row r="7668" spans="1:10" s="393" customFormat="1" x14ac:dyDescent="0.25">
      <c r="A7668" s="394" t="s">
        <v>33</v>
      </c>
      <c r="B7668" s="29">
        <v>44212</v>
      </c>
      <c r="C7668" s="1">
        <v>110</v>
      </c>
      <c r="D7668" s="278">
        <f t="shared" si="593"/>
        <v>14844</v>
      </c>
      <c r="E7668" s="1">
        <v>1</v>
      </c>
      <c r="F7668" s="39">
        <f t="shared" si="594"/>
        <v>184</v>
      </c>
      <c r="G7668" s="395"/>
      <c r="H7668" s="395">
        <v>1</v>
      </c>
      <c r="J7668" s="42"/>
    </row>
    <row r="7669" spans="1:10" s="393" customFormat="1" x14ac:dyDescent="0.25">
      <c r="A7669" s="394" t="s">
        <v>21</v>
      </c>
      <c r="B7669" s="29">
        <v>44212</v>
      </c>
      <c r="C7669" s="1">
        <v>12</v>
      </c>
      <c r="D7669" s="278">
        <f t="shared" si="593"/>
        <v>9284</v>
      </c>
      <c r="E7669" s="1"/>
      <c r="F7669" s="39">
        <f t="shared" si="594"/>
        <v>401</v>
      </c>
      <c r="G7669" s="395"/>
      <c r="H7669" s="395"/>
      <c r="J7669" s="42"/>
    </row>
    <row r="7670" spans="1:10" s="393" customFormat="1" x14ac:dyDescent="0.25">
      <c r="A7670" s="394" t="s">
        <v>17</v>
      </c>
      <c r="B7670" s="29">
        <v>44212</v>
      </c>
      <c r="C7670" s="1">
        <v>135</v>
      </c>
      <c r="D7670" s="278">
        <f t="shared" si="593"/>
        <v>62173</v>
      </c>
      <c r="E7670" s="1">
        <v>5</v>
      </c>
      <c r="F7670" s="39">
        <f t="shared" si="594"/>
        <v>1283</v>
      </c>
      <c r="G7670" s="395">
        <v>5</v>
      </c>
      <c r="H7670" s="395"/>
      <c r="J7670" s="42"/>
    </row>
    <row r="7671" spans="1:10" s="393" customFormat="1" x14ac:dyDescent="0.25">
      <c r="A7671" s="394" t="s">
        <v>23</v>
      </c>
      <c r="B7671" s="29">
        <v>44212</v>
      </c>
      <c r="C7671" s="1">
        <v>144</v>
      </c>
      <c r="D7671" s="278">
        <f t="shared" si="593"/>
        <v>2010</v>
      </c>
      <c r="E7671" s="1">
        <v>3</v>
      </c>
      <c r="F7671" s="39">
        <f t="shared" si="594"/>
        <v>39</v>
      </c>
      <c r="G7671" s="395">
        <v>3</v>
      </c>
      <c r="H7671" s="395"/>
      <c r="J7671" s="42"/>
    </row>
    <row r="7672" spans="1:10" s="393" customFormat="1" x14ac:dyDescent="0.25">
      <c r="A7672" s="394" t="s">
        <v>19</v>
      </c>
      <c r="B7672" s="29">
        <v>44212</v>
      </c>
      <c r="C7672" s="1">
        <v>280</v>
      </c>
      <c r="D7672" s="278">
        <f t="shared" si="593"/>
        <v>47992</v>
      </c>
      <c r="E7672" s="1"/>
      <c r="F7672" s="39">
        <f t="shared" si="594"/>
        <v>755</v>
      </c>
      <c r="G7672" s="395"/>
      <c r="H7672" s="395"/>
      <c r="J7672" s="42"/>
    </row>
    <row r="7673" spans="1:10" s="393" customFormat="1" x14ac:dyDescent="0.25">
      <c r="A7673" s="394" t="s">
        <v>18</v>
      </c>
      <c r="B7673" s="29">
        <v>44212</v>
      </c>
      <c r="C7673" s="1">
        <v>296</v>
      </c>
      <c r="D7673" s="278">
        <f t="shared" si="593"/>
        <v>43707</v>
      </c>
      <c r="E7673" s="1">
        <v>1</v>
      </c>
      <c r="F7673" s="39">
        <f t="shared" si="594"/>
        <v>998</v>
      </c>
      <c r="G7673" s="395">
        <v>1</v>
      </c>
      <c r="H7673" s="395"/>
      <c r="J7673" s="42"/>
    </row>
    <row r="7674" spans="1:10" s="393" customFormat="1" x14ac:dyDescent="0.25">
      <c r="A7674" s="394" t="s">
        <v>34</v>
      </c>
      <c r="B7674" s="29">
        <v>44212</v>
      </c>
      <c r="C7674" s="1">
        <v>64</v>
      </c>
      <c r="D7674" s="278">
        <f t="shared" si="593"/>
        <v>23043</v>
      </c>
      <c r="E7674" s="1"/>
      <c r="F7674" s="39">
        <f t="shared" si="594"/>
        <v>1025</v>
      </c>
      <c r="G7674" s="395"/>
      <c r="H7674" s="395"/>
      <c r="J7674" s="42"/>
    </row>
    <row r="7675" spans="1:10" s="393" customFormat="1" x14ac:dyDescent="0.25">
      <c r="A7675" s="394" t="s">
        <v>35</v>
      </c>
      <c r="B7675" s="29">
        <v>44212</v>
      </c>
      <c r="C7675" s="1">
        <v>60</v>
      </c>
      <c r="D7675" s="278">
        <f t="shared" ref="D7675:D7681" si="595">C7675+D7651</f>
        <v>13088</v>
      </c>
      <c r="E7675" s="1"/>
      <c r="F7675" s="39">
        <f t="shared" ref="F7675:F7681" si="596">E7675+F7651</f>
        <v>214</v>
      </c>
      <c r="G7675" s="395"/>
      <c r="H7675" s="395"/>
      <c r="J7675" s="42"/>
    </row>
    <row r="7676" spans="1:10" s="393" customFormat="1" x14ac:dyDescent="0.25">
      <c r="A7676" s="394" t="s">
        <v>36</v>
      </c>
      <c r="B7676" s="29">
        <v>44212</v>
      </c>
      <c r="C7676" s="1">
        <v>24</v>
      </c>
      <c r="D7676" s="278">
        <f t="shared" si="595"/>
        <v>16817</v>
      </c>
      <c r="E7676" s="1"/>
      <c r="F7676" s="39">
        <f t="shared" si="596"/>
        <v>328</v>
      </c>
      <c r="G7676" s="395"/>
      <c r="H7676" s="395"/>
      <c r="J7676" s="42"/>
    </row>
    <row r="7677" spans="1:10" s="393" customFormat="1" x14ac:dyDescent="0.25">
      <c r="A7677" s="394" t="s">
        <v>37</v>
      </c>
      <c r="B7677" s="29">
        <v>44212</v>
      </c>
      <c r="C7677" s="1">
        <v>244</v>
      </c>
      <c r="D7677" s="278">
        <f t="shared" si="595"/>
        <v>29113</v>
      </c>
      <c r="E7677" s="1">
        <v>2</v>
      </c>
      <c r="F7677" s="39">
        <f t="shared" si="596"/>
        <v>450</v>
      </c>
      <c r="G7677" s="395">
        <v>1</v>
      </c>
      <c r="H7677" s="395">
        <v>1</v>
      </c>
      <c r="J7677" s="42"/>
    </row>
    <row r="7678" spans="1:10" s="393" customFormat="1" x14ac:dyDescent="0.25">
      <c r="A7678" s="394" t="s">
        <v>22</v>
      </c>
      <c r="B7678" s="29">
        <v>44212</v>
      </c>
      <c r="C7678" s="1">
        <v>1078</v>
      </c>
      <c r="D7678" s="278">
        <f t="shared" si="595"/>
        <v>194407</v>
      </c>
      <c r="E7678" s="1">
        <v>12</v>
      </c>
      <c r="F7678" s="39">
        <f t="shared" si="596"/>
        <v>3166</v>
      </c>
      <c r="G7678" s="395">
        <v>6</v>
      </c>
      <c r="H7678" s="395">
        <v>6</v>
      </c>
      <c r="J7678" s="42"/>
    </row>
    <row r="7679" spans="1:10" s="393" customFormat="1" x14ac:dyDescent="0.25">
      <c r="A7679" s="394" t="s">
        <v>38</v>
      </c>
      <c r="B7679" s="29">
        <v>44212</v>
      </c>
      <c r="C7679" s="1">
        <v>113</v>
      </c>
      <c r="D7679" s="278">
        <f t="shared" si="595"/>
        <v>19455</v>
      </c>
      <c r="E7679" s="1"/>
      <c r="F7679" s="39">
        <f t="shared" si="596"/>
        <v>229</v>
      </c>
      <c r="G7679" s="395"/>
      <c r="H7679" s="395"/>
      <c r="J7679" s="42"/>
    </row>
    <row r="7680" spans="1:10" s="393" customFormat="1" x14ac:dyDescent="0.25">
      <c r="A7680" s="394" t="s">
        <v>39</v>
      </c>
      <c r="B7680" s="29">
        <v>44212</v>
      </c>
      <c r="C7680" s="1">
        <v>39</v>
      </c>
      <c r="D7680" s="278">
        <f t="shared" si="595"/>
        <v>20700</v>
      </c>
      <c r="E7680" s="1">
        <v>3</v>
      </c>
      <c r="F7680" s="39">
        <f t="shared" si="596"/>
        <v>299</v>
      </c>
      <c r="G7680" s="395">
        <v>2</v>
      </c>
      <c r="H7680" s="395">
        <v>1</v>
      </c>
      <c r="J7680" s="42"/>
    </row>
    <row r="7681" spans="1:10" s="393" customFormat="1" x14ac:dyDescent="0.25">
      <c r="A7681" s="394" t="s">
        <v>40</v>
      </c>
      <c r="B7681" s="29">
        <v>44212</v>
      </c>
      <c r="C7681" s="1">
        <v>94</v>
      </c>
      <c r="D7681" s="278">
        <f t="shared" si="595"/>
        <v>74193</v>
      </c>
      <c r="E7681" s="1"/>
      <c r="F7681" s="39">
        <f t="shared" si="596"/>
        <v>1400</v>
      </c>
      <c r="G7681" s="395"/>
      <c r="H7681" s="395"/>
      <c r="J7681" s="42"/>
    </row>
    <row r="7682" spans="1:10" s="393" customFormat="1" x14ac:dyDescent="0.25">
      <c r="A7682" s="394" t="s">
        <v>16</v>
      </c>
      <c r="B7682" s="29">
        <v>44213</v>
      </c>
      <c r="C7682" s="1">
        <v>2598</v>
      </c>
      <c r="D7682" s="278">
        <f>C7682+D7658</f>
        <v>751458</v>
      </c>
      <c r="E7682" s="1">
        <v>76</v>
      </c>
      <c r="F7682" s="39">
        <f>E7682+F7658</f>
        <v>23319</v>
      </c>
      <c r="G7682" s="395">
        <v>35</v>
      </c>
      <c r="H7682" s="395">
        <v>40</v>
      </c>
      <c r="J7682" s="42"/>
    </row>
    <row r="7683" spans="1:10" s="393" customFormat="1" x14ac:dyDescent="0.25">
      <c r="A7683" s="394" t="s">
        <v>43</v>
      </c>
      <c r="B7683" s="29">
        <v>44213</v>
      </c>
      <c r="C7683" s="1">
        <v>1157</v>
      </c>
      <c r="D7683" s="278">
        <f t="shared" ref="D7683:D7746" si="597">C7683+D7659</f>
        <v>194688</v>
      </c>
      <c r="E7683" s="1">
        <v>8</v>
      </c>
      <c r="F7683" s="39">
        <f t="shared" ref="F7683:F7746" si="598">E7683+F7659</f>
        <v>5661</v>
      </c>
      <c r="G7683" s="395">
        <v>4</v>
      </c>
      <c r="H7683" s="395">
        <v>2</v>
      </c>
      <c r="J7683" s="42"/>
    </row>
    <row r="7684" spans="1:10" s="393" customFormat="1" x14ac:dyDescent="0.25">
      <c r="A7684" s="394" t="s">
        <v>28</v>
      </c>
      <c r="B7684" s="29">
        <v>44213</v>
      </c>
      <c r="C7684" s="1">
        <v>117</v>
      </c>
      <c r="D7684" s="278">
        <f t="shared" si="597"/>
        <v>4181</v>
      </c>
      <c r="E7684" s="1"/>
      <c r="F7684" s="39">
        <f t="shared" si="598"/>
        <v>17</v>
      </c>
      <c r="G7684" s="395"/>
      <c r="H7684" s="395"/>
      <c r="J7684" s="42"/>
    </row>
    <row r="7685" spans="1:10" s="393" customFormat="1" x14ac:dyDescent="0.25">
      <c r="A7685" s="394" t="s">
        <v>15</v>
      </c>
      <c r="B7685" s="29">
        <v>44213</v>
      </c>
      <c r="C7685" s="1">
        <v>173</v>
      </c>
      <c r="D7685" s="278">
        <f t="shared" si="597"/>
        <v>28511</v>
      </c>
      <c r="E7685" s="1">
        <v>1</v>
      </c>
      <c r="F7685" s="39">
        <f t="shared" si="598"/>
        <v>757</v>
      </c>
      <c r="G7685" s="395">
        <v>1</v>
      </c>
      <c r="H7685" s="395"/>
      <c r="J7685" s="42"/>
    </row>
    <row r="7686" spans="1:10" s="393" customFormat="1" x14ac:dyDescent="0.25">
      <c r="A7686" s="394" t="s">
        <v>29</v>
      </c>
      <c r="B7686" s="29">
        <v>44213</v>
      </c>
      <c r="C7686" s="1">
        <v>151</v>
      </c>
      <c r="D7686" s="278">
        <f t="shared" si="597"/>
        <v>38238</v>
      </c>
      <c r="E7686" s="1">
        <v>1</v>
      </c>
      <c r="F7686" s="39">
        <f t="shared" si="598"/>
        <v>562</v>
      </c>
      <c r="G7686" s="395">
        <v>1</v>
      </c>
      <c r="H7686" s="395"/>
      <c r="J7686" s="42"/>
    </row>
    <row r="7687" spans="1:10" s="393" customFormat="1" x14ac:dyDescent="0.25">
      <c r="A7687" s="394" t="s">
        <v>20</v>
      </c>
      <c r="B7687" s="29">
        <v>44213</v>
      </c>
      <c r="C7687" s="1">
        <v>336</v>
      </c>
      <c r="D7687" s="278">
        <f t="shared" si="597"/>
        <v>137740</v>
      </c>
      <c r="E7687" s="1">
        <v>1</v>
      </c>
      <c r="F7687" s="39">
        <f t="shared" si="598"/>
        <v>2551</v>
      </c>
      <c r="G7687" s="395"/>
      <c r="H7687" s="395">
        <v>1</v>
      </c>
      <c r="J7687" s="42"/>
    </row>
    <row r="7688" spans="1:10" s="393" customFormat="1" x14ac:dyDescent="0.25">
      <c r="A7688" s="394" t="s">
        <v>30</v>
      </c>
      <c r="B7688" s="29">
        <v>44213</v>
      </c>
      <c r="C7688" s="1">
        <v>162</v>
      </c>
      <c r="D7688" s="278">
        <f t="shared" si="597"/>
        <v>15467</v>
      </c>
      <c r="E7688" s="1">
        <v>1</v>
      </c>
      <c r="F7688" s="39">
        <f t="shared" si="598"/>
        <v>182</v>
      </c>
      <c r="G7688" s="395"/>
      <c r="H7688" s="395">
        <v>1</v>
      </c>
      <c r="J7688" s="42"/>
    </row>
    <row r="7689" spans="1:10" x14ac:dyDescent="0.25">
      <c r="A7689" s="394" t="s">
        <v>31</v>
      </c>
      <c r="B7689" s="29">
        <v>44213</v>
      </c>
      <c r="C7689" s="1">
        <v>315</v>
      </c>
      <c r="D7689" s="278">
        <f t="shared" si="597"/>
        <v>36491</v>
      </c>
      <c r="E7689" s="1">
        <v>3</v>
      </c>
      <c r="F7689" s="39">
        <f t="shared" si="598"/>
        <v>635</v>
      </c>
      <c r="G7689" s="17">
        <v>2</v>
      </c>
    </row>
    <row r="7690" spans="1:10" s="393" customFormat="1" x14ac:dyDescent="0.25">
      <c r="A7690" s="394" t="s">
        <v>41</v>
      </c>
      <c r="B7690" s="29">
        <v>44213</v>
      </c>
      <c r="C7690" s="1">
        <v>76</v>
      </c>
      <c r="D7690" s="278">
        <f t="shared" si="597"/>
        <v>663</v>
      </c>
      <c r="E7690" s="1">
        <v>2</v>
      </c>
      <c r="F7690" s="39">
        <f t="shared" si="598"/>
        <v>6</v>
      </c>
      <c r="G7690" s="395">
        <v>1</v>
      </c>
      <c r="H7690" s="395"/>
      <c r="J7690" s="42"/>
    </row>
    <row r="7691" spans="1:10" s="393" customFormat="1" x14ac:dyDescent="0.25">
      <c r="A7691" s="394" t="s">
        <v>32</v>
      </c>
      <c r="B7691" s="29">
        <v>44213</v>
      </c>
      <c r="C7691" s="1">
        <v>60</v>
      </c>
      <c r="D7691" s="278">
        <f t="shared" si="597"/>
        <v>18861</v>
      </c>
      <c r="E7691" s="1"/>
      <c r="F7691" s="39">
        <f t="shared" si="598"/>
        <v>863</v>
      </c>
      <c r="G7691" s="395"/>
      <c r="H7691" s="395"/>
      <c r="J7691" s="42"/>
    </row>
    <row r="7692" spans="1:10" s="393" customFormat="1" x14ac:dyDescent="0.25">
      <c r="A7692" s="394" t="s">
        <v>33</v>
      </c>
      <c r="B7692" s="29">
        <v>44213</v>
      </c>
      <c r="C7692" s="1">
        <v>151</v>
      </c>
      <c r="D7692" s="278">
        <f t="shared" si="597"/>
        <v>14995</v>
      </c>
      <c r="E7692" s="1">
        <v>3</v>
      </c>
      <c r="F7692" s="39">
        <f t="shared" si="598"/>
        <v>187</v>
      </c>
      <c r="G7692" s="395">
        <v>2</v>
      </c>
      <c r="H7692" s="395">
        <v>1</v>
      </c>
      <c r="J7692" s="42"/>
    </row>
    <row r="7693" spans="1:10" s="393" customFormat="1" x14ac:dyDescent="0.25">
      <c r="A7693" s="394" t="s">
        <v>21</v>
      </c>
      <c r="B7693" s="29">
        <v>44213</v>
      </c>
      <c r="C7693" s="1">
        <v>24</v>
      </c>
      <c r="D7693" s="278">
        <f t="shared" si="597"/>
        <v>9308</v>
      </c>
      <c r="E7693" s="1"/>
      <c r="F7693" s="39">
        <f t="shared" si="598"/>
        <v>401</v>
      </c>
      <c r="G7693" s="395"/>
      <c r="H7693" s="395"/>
      <c r="J7693" s="42"/>
    </row>
    <row r="7694" spans="1:10" s="393" customFormat="1" x14ac:dyDescent="0.25">
      <c r="A7694" s="394" t="s">
        <v>17</v>
      </c>
      <c r="B7694" s="29">
        <v>44213</v>
      </c>
      <c r="C7694" s="1">
        <v>47</v>
      </c>
      <c r="D7694" s="278">
        <f t="shared" si="597"/>
        <v>62220</v>
      </c>
      <c r="E7694" s="1">
        <v>3</v>
      </c>
      <c r="F7694" s="39">
        <f t="shared" si="598"/>
        <v>1286</v>
      </c>
      <c r="G7694" s="395">
        <v>2</v>
      </c>
      <c r="H7694" s="395">
        <v>1</v>
      </c>
      <c r="J7694" s="42"/>
    </row>
    <row r="7695" spans="1:10" s="393" customFormat="1" x14ac:dyDescent="0.25">
      <c r="A7695" s="394" t="s">
        <v>23</v>
      </c>
      <c r="B7695" s="29">
        <v>44213</v>
      </c>
      <c r="C7695" s="1">
        <v>170</v>
      </c>
      <c r="D7695" s="278">
        <f t="shared" si="597"/>
        <v>2180</v>
      </c>
      <c r="E7695" s="1"/>
      <c r="F7695" s="39">
        <f t="shared" si="598"/>
        <v>39</v>
      </c>
      <c r="G7695" s="395"/>
      <c r="H7695" s="395"/>
      <c r="J7695" s="42"/>
    </row>
    <row r="7696" spans="1:10" s="393" customFormat="1" x14ac:dyDescent="0.25">
      <c r="A7696" s="394" t="s">
        <v>19</v>
      </c>
      <c r="B7696" s="29">
        <v>44213</v>
      </c>
      <c r="C7696" s="1">
        <v>218</v>
      </c>
      <c r="D7696" s="278">
        <f t="shared" si="597"/>
        <v>48210</v>
      </c>
      <c r="E7696" s="1"/>
      <c r="F7696" s="39">
        <f t="shared" si="598"/>
        <v>755</v>
      </c>
      <c r="G7696" s="395"/>
      <c r="H7696" s="395"/>
      <c r="J7696" s="42"/>
    </row>
    <row r="7697" spans="1:10" s="393" customFormat="1" x14ac:dyDescent="0.25">
      <c r="A7697" s="394" t="s">
        <v>18</v>
      </c>
      <c r="B7697" s="29">
        <v>44213</v>
      </c>
      <c r="C7697" s="1">
        <v>177</v>
      </c>
      <c r="D7697" s="278">
        <f t="shared" si="597"/>
        <v>43884</v>
      </c>
      <c r="E7697" s="1">
        <v>4</v>
      </c>
      <c r="F7697" s="39">
        <f t="shared" si="598"/>
        <v>1002</v>
      </c>
      <c r="G7697" s="395">
        <v>2</v>
      </c>
      <c r="H7697" s="395">
        <v>2</v>
      </c>
      <c r="J7697" s="42"/>
    </row>
    <row r="7698" spans="1:10" s="393" customFormat="1" x14ac:dyDescent="0.25">
      <c r="A7698" s="394" t="s">
        <v>34</v>
      </c>
      <c r="B7698" s="29">
        <v>44213</v>
      </c>
      <c r="C7698" s="1">
        <v>42</v>
      </c>
      <c r="D7698" s="278">
        <f t="shared" si="597"/>
        <v>23085</v>
      </c>
      <c r="E7698" s="1"/>
      <c r="F7698" s="39">
        <f t="shared" si="598"/>
        <v>1025</v>
      </c>
      <c r="G7698" s="395"/>
      <c r="H7698" s="395"/>
      <c r="J7698" s="42"/>
    </row>
    <row r="7699" spans="1:10" s="393" customFormat="1" x14ac:dyDescent="0.25">
      <c r="A7699" s="394" t="s">
        <v>35</v>
      </c>
      <c r="B7699" s="29">
        <v>44213</v>
      </c>
      <c r="C7699" s="1">
        <v>3</v>
      </c>
      <c r="D7699" s="278">
        <f t="shared" si="597"/>
        <v>13091</v>
      </c>
      <c r="E7699" s="1"/>
      <c r="F7699" s="39">
        <f t="shared" si="598"/>
        <v>214</v>
      </c>
      <c r="G7699" s="395"/>
      <c r="H7699" s="395"/>
      <c r="J7699" s="42"/>
    </row>
    <row r="7700" spans="1:10" s="393" customFormat="1" x14ac:dyDescent="0.25">
      <c r="A7700" s="394" t="s">
        <v>36</v>
      </c>
      <c r="B7700" s="29">
        <v>44213</v>
      </c>
      <c r="C7700" s="1">
        <v>58</v>
      </c>
      <c r="D7700" s="278">
        <f t="shared" si="597"/>
        <v>16875</v>
      </c>
      <c r="E7700" s="1"/>
      <c r="F7700" s="39">
        <f t="shared" si="598"/>
        <v>328</v>
      </c>
      <c r="G7700" s="395"/>
      <c r="H7700" s="395"/>
      <c r="J7700" s="42"/>
    </row>
    <row r="7701" spans="1:10" s="393" customFormat="1" x14ac:dyDescent="0.25">
      <c r="A7701" s="394" t="s">
        <v>37</v>
      </c>
      <c r="B7701" s="29">
        <v>44213</v>
      </c>
      <c r="C7701" s="1">
        <v>266</v>
      </c>
      <c r="D7701" s="278">
        <f t="shared" si="597"/>
        <v>29379</v>
      </c>
      <c r="E7701" s="1">
        <v>1</v>
      </c>
      <c r="F7701" s="39">
        <f t="shared" si="598"/>
        <v>451</v>
      </c>
      <c r="G7701" s="395">
        <v>1</v>
      </c>
      <c r="H7701" s="395"/>
      <c r="J7701" s="42"/>
    </row>
    <row r="7702" spans="1:10" s="393" customFormat="1" x14ac:dyDescent="0.25">
      <c r="A7702" s="394" t="s">
        <v>22</v>
      </c>
      <c r="B7702" s="29">
        <v>44213</v>
      </c>
      <c r="C7702" s="1">
        <v>655</v>
      </c>
      <c r="D7702" s="278">
        <f t="shared" si="597"/>
        <v>195062</v>
      </c>
      <c r="E7702" s="1">
        <v>7</v>
      </c>
      <c r="F7702" s="39">
        <f t="shared" si="598"/>
        <v>3173</v>
      </c>
      <c r="G7702" s="395"/>
      <c r="H7702" s="395">
        <v>6</v>
      </c>
      <c r="J7702" s="42"/>
    </row>
    <row r="7703" spans="1:10" s="393" customFormat="1" x14ac:dyDescent="0.25">
      <c r="A7703" s="394" t="s">
        <v>38</v>
      </c>
      <c r="B7703" s="29">
        <v>44213</v>
      </c>
      <c r="C7703" s="1">
        <v>144</v>
      </c>
      <c r="D7703" s="278">
        <f t="shared" si="597"/>
        <v>19599</v>
      </c>
      <c r="E7703" s="1"/>
      <c r="F7703" s="39">
        <f t="shared" si="598"/>
        <v>229</v>
      </c>
      <c r="G7703" s="395"/>
      <c r="H7703" s="395"/>
      <c r="J7703" s="42"/>
    </row>
    <row r="7704" spans="1:10" s="393" customFormat="1" x14ac:dyDescent="0.25">
      <c r="A7704" s="394" t="s">
        <v>39</v>
      </c>
      <c r="B7704" s="29">
        <v>44213</v>
      </c>
      <c r="C7704" s="1">
        <v>60</v>
      </c>
      <c r="D7704" s="278">
        <f t="shared" si="597"/>
        <v>20760</v>
      </c>
      <c r="E7704" s="1"/>
      <c r="F7704" s="39">
        <f t="shared" si="598"/>
        <v>299</v>
      </c>
      <c r="G7704" s="395"/>
      <c r="H7704" s="395"/>
      <c r="J7704" s="42"/>
    </row>
    <row r="7705" spans="1:10" s="393" customFormat="1" x14ac:dyDescent="0.25">
      <c r="A7705" s="394" t="s">
        <v>40</v>
      </c>
      <c r="B7705" s="29">
        <v>44213</v>
      </c>
      <c r="C7705" s="1">
        <v>104</v>
      </c>
      <c r="D7705" s="278">
        <f t="shared" si="597"/>
        <v>74297</v>
      </c>
      <c r="E7705" s="1">
        <v>1</v>
      </c>
      <c r="F7705" s="39">
        <f t="shared" si="598"/>
        <v>1401</v>
      </c>
      <c r="G7705" s="395">
        <v>1</v>
      </c>
      <c r="H7705" s="395"/>
      <c r="J7705" s="42"/>
    </row>
    <row r="7706" spans="1:10" s="393" customFormat="1" x14ac:dyDescent="0.25">
      <c r="A7706" s="394" t="s">
        <v>16</v>
      </c>
      <c r="B7706" s="29">
        <v>44214</v>
      </c>
      <c r="C7706" s="1">
        <v>2987</v>
      </c>
      <c r="D7706" s="278">
        <f>C7706+D7682</f>
        <v>754445</v>
      </c>
      <c r="E7706" s="1">
        <v>248</v>
      </c>
      <c r="F7706" s="39">
        <f>E7706+F7682</f>
        <v>23567</v>
      </c>
      <c r="G7706" s="395">
        <v>10</v>
      </c>
      <c r="H7706" s="395">
        <v>98</v>
      </c>
      <c r="J7706" s="42"/>
    </row>
    <row r="7707" spans="1:10" s="393" customFormat="1" x14ac:dyDescent="0.25">
      <c r="A7707" s="394" t="s">
        <v>43</v>
      </c>
      <c r="B7707" s="29">
        <v>44214</v>
      </c>
      <c r="C7707" s="1">
        <v>1210</v>
      </c>
      <c r="D7707" s="278">
        <f t="shared" si="597"/>
        <v>195898</v>
      </c>
      <c r="E7707" s="1">
        <v>40</v>
      </c>
      <c r="F7707" s="39">
        <f t="shared" si="598"/>
        <v>5701</v>
      </c>
      <c r="G7707" s="395">
        <v>4</v>
      </c>
      <c r="H7707" s="395">
        <v>13</v>
      </c>
      <c r="J7707" s="42"/>
    </row>
    <row r="7708" spans="1:10" s="393" customFormat="1" x14ac:dyDescent="0.25">
      <c r="A7708" s="394" t="s">
        <v>28</v>
      </c>
      <c r="B7708" s="29">
        <v>44214</v>
      </c>
      <c r="C7708" s="1">
        <v>59</v>
      </c>
      <c r="D7708" s="278">
        <f t="shared" si="597"/>
        <v>4240</v>
      </c>
      <c r="E7708" s="1"/>
      <c r="F7708" s="39">
        <f t="shared" si="598"/>
        <v>17</v>
      </c>
      <c r="G7708" s="395"/>
      <c r="H7708" s="395"/>
      <c r="J7708" s="42"/>
    </row>
    <row r="7709" spans="1:10" s="393" customFormat="1" x14ac:dyDescent="0.25">
      <c r="A7709" s="394" t="s">
        <v>15</v>
      </c>
      <c r="B7709" s="29">
        <v>44214</v>
      </c>
      <c r="C7709" s="1">
        <v>141</v>
      </c>
      <c r="D7709" s="278">
        <f t="shared" si="597"/>
        <v>28652</v>
      </c>
      <c r="E7709" s="1">
        <v>8</v>
      </c>
      <c r="F7709" s="39">
        <f t="shared" si="598"/>
        <v>765</v>
      </c>
      <c r="G7709" s="395">
        <v>2</v>
      </c>
      <c r="H7709" s="395">
        <v>6</v>
      </c>
      <c r="J7709" s="42"/>
    </row>
    <row r="7710" spans="1:10" s="393" customFormat="1" x14ac:dyDescent="0.25">
      <c r="A7710" s="394" t="s">
        <v>29</v>
      </c>
      <c r="B7710" s="29">
        <v>44214</v>
      </c>
      <c r="C7710" s="1">
        <v>183</v>
      </c>
      <c r="D7710" s="278">
        <f t="shared" si="597"/>
        <v>38421</v>
      </c>
      <c r="E7710" s="1">
        <v>1</v>
      </c>
      <c r="F7710" s="39">
        <f t="shared" si="598"/>
        <v>563</v>
      </c>
      <c r="G7710" s="395">
        <v>1</v>
      </c>
      <c r="H7710" s="395"/>
      <c r="J7710" s="42"/>
    </row>
    <row r="7711" spans="1:10" s="393" customFormat="1" x14ac:dyDescent="0.25">
      <c r="A7711" s="394" t="s">
        <v>30</v>
      </c>
      <c r="B7711" s="29">
        <v>44214</v>
      </c>
      <c r="C7711" s="1">
        <v>94</v>
      </c>
      <c r="D7711" s="278">
        <f>C7711+D7688</f>
        <v>15561</v>
      </c>
      <c r="E7711" s="1"/>
      <c r="F7711" s="39">
        <f t="shared" si="598"/>
        <v>2551</v>
      </c>
      <c r="G7711" s="395"/>
      <c r="H7711" s="395"/>
      <c r="J7711" s="42"/>
    </row>
    <row r="7712" spans="1:10" s="393" customFormat="1" x14ac:dyDescent="0.25">
      <c r="A7712" s="394" t="s">
        <v>20</v>
      </c>
      <c r="B7712" s="29">
        <v>44214</v>
      </c>
      <c r="C7712" s="1">
        <v>343</v>
      </c>
      <c r="D7712" s="278">
        <f>C7712+D7687</f>
        <v>138083</v>
      </c>
      <c r="E7712" s="1">
        <v>11</v>
      </c>
      <c r="F7712" s="39">
        <f t="shared" si="598"/>
        <v>193</v>
      </c>
      <c r="G7712" s="395">
        <v>3</v>
      </c>
      <c r="H7712" s="395">
        <v>8</v>
      </c>
      <c r="J7712" s="42"/>
    </row>
    <row r="7713" spans="1:10" x14ac:dyDescent="0.25">
      <c r="A7713" s="394" t="s">
        <v>31</v>
      </c>
      <c r="B7713" s="29">
        <v>44214</v>
      </c>
      <c r="C7713" s="1">
        <v>241</v>
      </c>
      <c r="D7713" s="278">
        <f t="shared" si="597"/>
        <v>36732</v>
      </c>
      <c r="E7713" s="1">
        <v>5</v>
      </c>
      <c r="F7713" s="39">
        <f t="shared" si="598"/>
        <v>640</v>
      </c>
      <c r="G7713" s="17">
        <v>2</v>
      </c>
      <c r="H7713" s="17">
        <v>3</v>
      </c>
    </row>
    <row r="7714" spans="1:10" s="393" customFormat="1" x14ac:dyDescent="0.25">
      <c r="A7714" s="394" t="s">
        <v>41</v>
      </c>
      <c r="B7714" s="29">
        <v>44214</v>
      </c>
      <c r="C7714" s="1">
        <v>13</v>
      </c>
      <c r="D7714" s="278">
        <f t="shared" si="597"/>
        <v>676</v>
      </c>
      <c r="E7714" s="1"/>
      <c r="F7714" s="39">
        <f t="shared" si="598"/>
        <v>6</v>
      </c>
      <c r="G7714" s="395"/>
      <c r="H7714" s="395"/>
      <c r="J7714" s="42"/>
    </row>
    <row r="7715" spans="1:10" s="393" customFormat="1" x14ac:dyDescent="0.25">
      <c r="A7715" s="394" t="s">
        <v>32</v>
      </c>
      <c r="B7715" s="29">
        <v>44214</v>
      </c>
      <c r="C7715" s="1">
        <v>56</v>
      </c>
      <c r="D7715" s="278">
        <f t="shared" si="597"/>
        <v>18917</v>
      </c>
      <c r="E7715" s="1"/>
      <c r="F7715" s="39">
        <f t="shared" si="598"/>
        <v>863</v>
      </c>
      <c r="G7715" s="395"/>
      <c r="H7715" s="395"/>
      <c r="J7715" s="42"/>
    </row>
    <row r="7716" spans="1:10" s="393" customFormat="1" x14ac:dyDescent="0.25">
      <c r="A7716" s="394" t="s">
        <v>33</v>
      </c>
      <c r="B7716" s="29">
        <v>44214</v>
      </c>
      <c r="C7716" s="1">
        <v>133</v>
      </c>
      <c r="D7716" s="278">
        <f t="shared" si="597"/>
        <v>15128</v>
      </c>
      <c r="E7716" s="1">
        <v>17</v>
      </c>
      <c r="F7716" s="39">
        <f t="shared" si="598"/>
        <v>204</v>
      </c>
      <c r="G7716" s="395">
        <v>2</v>
      </c>
      <c r="H7716" s="395">
        <v>8</v>
      </c>
      <c r="J7716" s="42"/>
    </row>
    <row r="7717" spans="1:10" s="393" customFormat="1" x14ac:dyDescent="0.25">
      <c r="A7717" s="394" t="s">
        <v>21</v>
      </c>
      <c r="B7717" s="29">
        <v>44214</v>
      </c>
      <c r="C7717" s="1">
        <v>12</v>
      </c>
      <c r="D7717" s="278">
        <f t="shared" si="597"/>
        <v>9320</v>
      </c>
      <c r="E7717" s="1">
        <v>1</v>
      </c>
      <c r="F7717" s="39">
        <f t="shared" si="598"/>
        <v>402</v>
      </c>
      <c r="G7717" s="395">
        <v>1</v>
      </c>
      <c r="H7717" s="395"/>
      <c r="J7717" s="42"/>
    </row>
    <row r="7718" spans="1:10" s="393" customFormat="1" x14ac:dyDescent="0.25">
      <c r="A7718" s="394" t="s">
        <v>17</v>
      </c>
      <c r="B7718" s="29">
        <v>44214</v>
      </c>
      <c r="C7718" s="1">
        <v>71</v>
      </c>
      <c r="D7718" s="278">
        <f t="shared" si="597"/>
        <v>62291</v>
      </c>
      <c r="E7718" s="1">
        <v>9</v>
      </c>
      <c r="F7718" s="39">
        <f t="shared" si="598"/>
        <v>1295</v>
      </c>
      <c r="G7718" s="395">
        <v>1</v>
      </c>
      <c r="H7718" s="395">
        <v>6</v>
      </c>
      <c r="J7718" s="42"/>
    </row>
    <row r="7719" spans="1:10" s="393" customFormat="1" x14ac:dyDescent="0.25">
      <c r="A7719" s="394" t="s">
        <v>23</v>
      </c>
      <c r="B7719" s="29">
        <v>44214</v>
      </c>
      <c r="C7719" s="1">
        <v>148</v>
      </c>
      <c r="D7719" s="278">
        <f t="shared" si="597"/>
        <v>2328</v>
      </c>
      <c r="E7719" s="1">
        <v>6</v>
      </c>
      <c r="F7719" s="39">
        <f t="shared" si="598"/>
        <v>45</v>
      </c>
      <c r="G7719" s="395">
        <v>2</v>
      </c>
      <c r="H7719" s="395">
        <v>4</v>
      </c>
      <c r="J7719" s="42"/>
    </row>
    <row r="7720" spans="1:10" s="393" customFormat="1" x14ac:dyDescent="0.25">
      <c r="A7720" s="394" t="s">
        <v>19</v>
      </c>
      <c r="B7720" s="29">
        <v>44214</v>
      </c>
      <c r="C7720" s="1">
        <v>469</v>
      </c>
      <c r="D7720" s="278">
        <f t="shared" si="597"/>
        <v>48679</v>
      </c>
      <c r="E7720" s="1">
        <v>1</v>
      </c>
      <c r="F7720" s="39">
        <f t="shared" si="598"/>
        <v>756</v>
      </c>
      <c r="G7720" s="395">
        <v>1</v>
      </c>
      <c r="H7720" s="395"/>
      <c r="J7720" s="42"/>
    </row>
    <row r="7721" spans="1:10" s="393" customFormat="1" x14ac:dyDescent="0.25">
      <c r="A7721" s="394" t="s">
        <v>18</v>
      </c>
      <c r="B7721" s="29">
        <v>44214</v>
      </c>
      <c r="C7721" s="1">
        <v>276</v>
      </c>
      <c r="D7721" s="278">
        <f t="shared" si="597"/>
        <v>44160</v>
      </c>
      <c r="E7721" s="1">
        <v>2</v>
      </c>
      <c r="F7721" s="39">
        <f t="shared" si="598"/>
        <v>1004</v>
      </c>
      <c r="G7721" s="395">
        <v>1</v>
      </c>
      <c r="H7721" s="395">
        <v>1</v>
      </c>
      <c r="J7721" s="42"/>
    </row>
    <row r="7722" spans="1:10" s="393" customFormat="1" x14ac:dyDescent="0.25">
      <c r="A7722" s="394" t="s">
        <v>34</v>
      </c>
      <c r="B7722" s="29">
        <v>44214</v>
      </c>
      <c r="C7722" s="1">
        <v>22</v>
      </c>
      <c r="D7722" s="278">
        <f t="shared" si="597"/>
        <v>23107</v>
      </c>
      <c r="E7722" s="1">
        <v>2</v>
      </c>
      <c r="F7722" s="39">
        <f t="shared" si="598"/>
        <v>1027</v>
      </c>
      <c r="G7722" s="395">
        <v>2</v>
      </c>
      <c r="H7722" s="395"/>
      <c r="J7722" s="42"/>
    </row>
    <row r="7723" spans="1:10" s="393" customFormat="1" x14ac:dyDescent="0.25">
      <c r="A7723" s="394" t="s">
        <v>35</v>
      </c>
      <c r="B7723" s="29">
        <v>44214</v>
      </c>
      <c r="C7723" s="1">
        <v>78</v>
      </c>
      <c r="D7723" s="278">
        <f t="shared" si="597"/>
        <v>13169</v>
      </c>
      <c r="E7723" s="1">
        <v>2</v>
      </c>
      <c r="F7723" s="39">
        <f t="shared" si="598"/>
        <v>216</v>
      </c>
      <c r="G7723" s="395">
        <v>2</v>
      </c>
      <c r="H7723" s="395"/>
      <c r="J7723" s="42"/>
    </row>
    <row r="7724" spans="1:10" s="393" customFormat="1" x14ac:dyDescent="0.25">
      <c r="A7724" s="394" t="s">
        <v>36</v>
      </c>
      <c r="B7724" s="29">
        <v>44214</v>
      </c>
      <c r="C7724" s="1">
        <v>89</v>
      </c>
      <c r="D7724" s="278">
        <f t="shared" si="597"/>
        <v>16964</v>
      </c>
      <c r="E7724" s="1"/>
      <c r="F7724" s="39">
        <f t="shared" si="598"/>
        <v>328</v>
      </c>
      <c r="G7724" s="395"/>
      <c r="H7724" s="395"/>
      <c r="J7724" s="42"/>
    </row>
    <row r="7725" spans="1:10" s="393" customFormat="1" x14ac:dyDescent="0.25">
      <c r="A7725" s="394" t="s">
        <v>37</v>
      </c>
      <c r="B7725" s="29">
        <v>44214</v>
      </c>
      <c r="C7725" s="1">
        <v>299</v>
      </c>
      <c r="D7725" s="278">
        <f t="shared" si="597"/>
        <v>29678</v>
      </c>
      <c r="E7725" s="1">
        <v>13</v>
      </c>
      <c r="F7725" s="39">
        <f t="shared" si="598"/>
        <v>464</v>
      </c>
      <c r="G7725" s="395">
        <v>4</v>
      </c>
      <c r="H7725" s="395">
        <v>10</v>
      </c>
      <c r="J7725" s="42"/>
    </row>
    <row r="7726" spans="1:10" s="393" customFormat="1" x14ac:dyDescent="0.25">
      <c r="A7726" s="394" t="s">
        <v>22</v>
      </c>
      <c r="B7726" s="29">
        <v>44214</v>
      </c>
      <c r="C7726" s="1">
        <v>855</v>
      </c>
      <c r="D7726" s="278">
        <f t="shared" si="597"/>
        <v>195917</v>
      </c>
      <c r="E7726" s="1">
        <v>37</v>
      </c>
      <c r="F7726" s="39">
        <f t="shared" si="598"/>
        <v>3210</v>
      </c>
      <c r="G7726" s="395">
        <v>19</v>
      </c>
      <c r="H7726" s="395">
        <v>18</v>
      </c>
      <c r="J7726" s="42"/>
    </row>
    <row r="7727" spans="1:10" s="393" customFormat="1" x14ac:dyDescent="0.25">
      <c r="A7727" s="394" t="s">
        <v>38</v>
      </c>
      <c r="B7727" s="29">
        <v>44214</v>
      </c>
      <c r="C7727" s="1">
        <v>102</v>
      </c>
      <c r="D7727" s="278">
        <f t="shared" si="597"/>
        <v>19701</v>
      </c>
      <c r="E7727" s="1">
        <v>9</v>
      </c>
      <c r="F7727" s="39">
        <f t="shared" si="598"/>
        <v>238</v>
      </c>
      <c r="G7727" s="395">
        <v>4</v>
      </c>
      <c r="H7727" s="395">
        <v>5</v>
      </c>
      <c r="J7727" s="42"/>
    </row>
    <row r="7728" spans="1:10" s="393" customFormat="1" x14ac:dyDescent="0.25">
      <c r="A7728" s="394" t="s">
        <v>39</v>
      </c>
      <c r="B7728" s="29">
        <v>44214</v>
      </c>
      <c r="C7728" s="1">
        <v>125</v>
      </c>
      <c r="D7728" s="278">
        <f t="shared" si="597"/>
        <v>20885</v>
      </c>
      <c r="E7728" s="1">
        <v>5</v>
      </c>
      <c r="F7728" s="39">
        <f t="shared" si="598"/>
        <v>304</v>
      </c>
      <c r="G7728" s="395">
        <v>1</v>
      </c>
      <c r="H7728" s="395">
        <v>4</v>
      </c>
      <c r="J7728" s="42"/>
    </row>
    <row r="7729" spans="1:10" s="393" customFormat="1" x14ac:dyDescent="0.25">
      <c r="A7729" s="394" t="s">
        <v>40</v>
      </c>
      <c r="B7729" s="29">
        <v>44214</v>
      </c>
      <c r="C7729" s="1">
        <v>179</v>
      </c>
      <c r="D7729" s="278">
        <f t="shared" si="597"/>
        <v>74476</v>
      </c>
      <c r="E7729" s="1">
        <v>5</v>
      </c>
      <c r="F7729" s="39">
        <f t="shared" si="598"/>
        <v>1406</v>
      </c>
      <c r="G7729" s="395">
        <v>1</v>
      </c>
      <c r="H7729" s="395">
        <v>4</v>
      </c>
      <c r="J7729" s="42"/>
    </row>
    <row r="7730" spans="1:10" s="393" customFormat="1" x14ac:dyDescent="0.25">
      <c r="A7730" s="394" t="s">
        <v>16</v>
      </c>
      <c r="B7730" s="29">
        <v>44215</v>
      </c>
      <c r="C7730" s="1">
        <v>5123</v>
      </c>
      <c r="D7730" s="278">
        <f>C7730+D7706</f>
        <v>759568</v>
      </c>
      <c r="E7730" s="1">
        <v>124</v>
      </c>
      <c r="F7730" s="39">
        <f>E7730+F7706</f>
        <v>23691</v>
      </c>
      <c r="G7730" s="395">
        <v>70</v>
      </c>
      <c r="H7730" s="395">
        <v>56</v>
      </c>
      <c r="J7730" s="42"/>
    </row>
    <row r="7731" spans="1:10" s="393" customFormat="1" x14ac:dyDescent="0.25">
      <c r="A7731" s="394" t="s">
        <v>43</v>
      </c>
      <c r="B7731" s="29">
        <v>44215</v>
      </c>
      <c r="C7731" s="1">
        <v>1388</v>
      </c>
      <c r="D7731" s="278">
        <f t="shared" si="597"/>
        <v>197286</v>
      </c>
      <c r="E7731" s="1">
        <v>9</v>
      </c>
      <c r="F7731" s="39">
        <f t="shared" si="598"/>
        <v>5710</v>
      </c>
      <c r="G7731" s="395">
        <v>1</v>
      </c>
      <c r="H7731" s="395">
        <v>6</v>
      </c>
      <c r="J7731" s="42"/>
    </row>
    <row r="7732" spans="1:10" s="393" customFormat="1" x14ac:dyDescent="0.25">
      <c r="A7732" s="394" t="s">
        <v>28</v>
      </c>
      <c r="B7732" s="29">
        <v>44215</v>
      </c>
      <c r="C7732" s="1">
        <v>154</v>
      </c>
      <c r="D7732" s="278">
        <f t="shared" si="597"/>
        <v>4394</v>
      </c>
      <c r="E7732" s="1"/>
      <c r="F7732" s="39">
        <f t="shared" si="598"/>
        <v>17</v>
      </c>
      <c r="G7732" s="395"/>
      <c r="H7732" s="395"/>
      <c r="J7732" s="42"/>
    </row>
    <row r="7733" spans="1:10" s="393" customFormat="1" x14ac:dyDescent="0.25">
      <c r="A7733" s="394" t="s">
        <v>15</v>
      </c>
      <c r="B7733" s="29">
        <v>44215</v>
      </c>
      <c r="C7733" s="1">
        <v>212</v>
      </c>
      <c r="D7733" s="278">
        <f t="shared" si="597"/>
        <v>28864</v>
      </c>
      <c r="E7733" s="1">
        <v>2</v>
      </c>
      <c r="F7733" s="39">
        <f t="shared" si="598"/>
        <v>767</v>
      </c>
      <c r="G7733" s="395">
        <v>2</v>
      </c>
      <c r="H7733" s="395"/>
      <c r="J7733" s="42"/>
    </row>
    <row r="7734" spans="1:10" s="393" customFormat="1" x14ac:dyDescent="0.25">
      <c r="A7734" s="394" t="s">
        <v>29</v>
      </c>
      <c r="B7734" s="29">
        <v>44215</v>
      </c>
      <c r="C7734" s="1">
        <v>349</v>
      </c>
      <c r="D7734" s="278">
        <f t="shared" si="597"/>
        <v>38770</v>
      </c>
      <c r="E7734" s="1">
        <v>5</v>
      </c>
      <c r="F7734" s="39">
        <f t="shared" si="598"/>
        <v>568</v>
      </c>
      <c r="G7734" s="395">
        <v>4</v>
      </c>
      <c r="H7734" s="395">
        <v>1</v>
      </c>
      <c r="J7734" s="42"/>
    </row>
    <row r="7735" spans="1:10" s="393" customFormat="1" x14ac:dyDescent="0.25">
      <c r="A7735" s="394" t="s">
        <v>30</v>
      </c>
      <c r="B7735" s="29">
        <v>44215</v>
      </c>
      <c r="C7735" s="1">
        <v>90</v>
      </c>
      <c r="D7735" s="278">
        <f>C7735+D7711</f>
        <v>15651</v>
      </c>
      <c r="E7735" s="1">
        <v>2</v>
      </c>
      <c r="F7735" s="39">
        <f t="shared" si="598"/>
        <v>2553</v>
      </c>
      <c r="G7735" s="395">
        <v>2</v>
      </c>
      <c r="H7735" s="395"/>
      <c r="J7735" s="42"/>
    </row>
    <row r="7736" spans="1:10" s="393" customFormat="1" x14ac:dyDescent="0.25">
      <c r="A7736" s="394" t="s">
        <v>20</v>
      </c>
      <c r="B7736" s="29">
        <v>44215</v>
      </c>
      <c r="C7736" s="1">
        <v>668</v>
      </c>
      <c r="D7736" s="278">
        <f>C7736+D7712</f>
        <v>138751</v>
      </c>
      <c r="E7736" s="1">
        <v>8</v>
      </c>
      <c r="F7736" s="39">
        <f t="shared" si="598"/>
        <v>201</v>
      </c>
      <c r="G7736" s="395">
        <v>7</v>
      </c>
      <c r="H7736" s="395">
        <v>1</v>
      </c>
      <c r="J7736" s="42"/>
    </row>
    <row r="7737" spans="1:10" x14ac:dyDescent="0.25">
      <c r="A7737" s="394" t="s">
        <v>31</v>
      </c>
      <c r="B7737" s="29">
        <v>44215</v>
      </c>
      <c r="C7737" s="1">
        <v>445</v>
      </c>
      <c r="D7737" s="278">
        <f t="shared" si="597"/>
        <v>37177</v>
      </c>
      <c r="E7737" s="1">
        <v>7</v>
      </c>
      <c r="F7737" s="39">
        <f t="shared" si="598"/>
        <v>647</v>
      </c>
      <c r="G7737" s="17">
        <v>6</v>
      </c>
      <c r="H7737" s="17">
        <v>1</v>
      </c>
    </row>
    <row r="7738" spans="1:10" s="393" customFormat="1" x14ac:dyDescent="0.25">
      <c r="A7738" s="394" t="s">
        <v>41</v>
      </c>
      <c r="B7738" s="29">
        <v>44215</v>
      </c>
      <c r="C7738" s="1">
        <v>8</v>
      </c>
      <c r="D7738" s="278">
        <f t="shared" si="597"/>
        <v>684</v>
      </c>
      <c r="E7738" s="1"/>
      <c r="F7738" s="39">
        <f t="shared" si="598"/>
        <v>6</v>
      </c>
      <c r="G7738" s="395"/>
      <c r="H7738" s="395"/>
      <c r="J7738" s="42"/>
    </row>
    <row r="7739" spans="1:10" s="393" customFormat="1" x14ac:dyDescent="0.25">
      <c r="A7739" s="394" t="s">
        <v>32</v>
      </c>
      <c r="B7739" s="29">
        <v>44215</v>
      </c>
      <c r="C7739" s="1">
        <v>25</v>
      </c>
      <c r="D7739" s="278">
        <f t="shared" si="597"/>
        <v>18942</v>
      </c>
      <c r="E7739" s="1">
        <v>1</v>
      </c>
      <c r="F7739" s="39">
        <f t="shared" si="598"/>
        <v>864</v>
      </c>
      <c r="G7739" s="395"/>
      <c r="H7739" s="395">
        <v>1</v>
      </c>
      <c r="J7739" s="42"/>
    </row>
    <row r="7740" spans="1:10" s="393" customFormat="1" x14ac:dyDescent="0.25">
      <c r="A7740" s="394" t="s">
        <v>33</v>
      </c>
      <c r="B7740" s="29">
        <v>44215</v>
      </c>
      <c r="C7740" s="1">
        <v>157</v>
      </c>
      <c r="D7740" s="278">
        <f t="shared" si="597"/>
        <v>15285</v>
      </c>
      <c r="E7740" s="1">
        <v>1</v>
      </c>
      <c r="F7740" s="39">
        <f t="shared" si="598"/>
        <v>205</v>
      </c>
      <c r="G7740" s="395">
        <v>1</v>
      </c>
      <c r="H7740" s="395"/>
      <c r="J7740" s="42"/>
    </row>
    <row r="7741" spans="1:10" s="393" customFormat="1" x14ac:dyDescent="0.25">
      <c r="A7741" s="394" t="s">
        <v>21</v>
      </c>
      <c r="B7741" s="29">
        <v>44215</v>
      </c>
      <c r="C7741" s="1">
        <v>9</v>
      </c>
      <c r="D7741" s="278">
        <f t="shared" si="597"/>
        <v>9329</v>
      </c>
      <c r="E7741" s="1"/>
      <c r="F7741" s="39">
        <f t="shared" si="598"/>
        <v>402</v>
      </c>
      <c r="G7741" s="395"/>
      <c r="H7741" s="395"/>
      <c r="J7741" s="42"/>
    </row>
    <row r="7742" spans="1:10" s="393" customFormat="1" x14ac:dyDescent="0.25">
      <c r="A7742" s="394" t="s">
        <v>17</v>
      </c>
      <c r="B7742" s="29">
        <v>44215</v>
      </c>
      <c r="C7742" s="1">
        <v>148</v>
      </c>
      <c r="D7742" s="278">
        <f t="shared" si="597"/>
        <v>62439</v>
      </c>
      <c r="E7742" s="1">
        <v>3</v>
      </c>
      <c r="F7742" s="39">
        <f t="shared" si="598"/>
        <v>1298</v>
      </c>
      <c r="G7742" s="395">
        <v>1</v>
      </c>
      <c r="H7742" s="395">
        <v>2</v>
      </c>
      <c r="J7742" s="42"/>
    </row>
    <row r="7743" spans="1:10" s="393" customFormat="1" x14ac:dyDescent="0.25">
      <c r="A7743" s="394" t="s">
        <v>23</v>
      </c>
      <c r="B7743" s="29">
        <v>44215</v>
      </c>
      <c r="C7743" s="1">
        <v>238</v>
      </c>
      <c r="D7743" s="278">
        <f t="shared" si="597"/>
        <v>2566</v>
      </c>
      <c r="E7743" s="1">
        <v>4</v>
      </c>
      <c r="F7743" s="39">
        <f t="shared" si="598"/>
        <v>49</v>
      </c>
      <c r="G7743" s="395">
        <v>4</v>
      </c>
      <c r="H7743" s="395"/>
      <c r="J7743" s="42"/>
    </row>
    <row r="7744" spans="1:10" s="393" customFormat="1" x14ac:dyDescent="0.25">
      <c r="A7744" s="394" t="s">
        <v>19</v>
      </c>
      <c r="B7744" s="29">
        <v>44215</v>
      </c>
      <c r="C7744" s="1">
        <v>417</v>
      </c>
      <c r="D7744" s="278">
        <f t="shared" si="597"/>
        <v>49096</v>
      </c>
      <c r="E7744" s="1">
        <v>1</v>
      </c>
      <c r="F7744" s="39">
        <f t="shared" si="598"/>
        <v>757</v>
      </c>
      <c r="G7744" s="395"/>
      <c r="H7744" s="395">
        <v>1</v>
      </c>
      <c r="J7744" s="42"/>
    </row>
    <row r="7745" spans="1:10" s="393" customFormat="1" x14ac:dyDescent="0.25">
      <c r="A7745" s="394" t="s">
        <v>18</v>
      </c>
      <c r="B7745" s="29">
        <v>44215</v>
      </c>
      <c r="C7745" s="1">
        <v>405</v>
      </c>
      <c r="D7745" s="278">
        <f t="shared" si="597"/>
        <v>44565</v>
      </c>
      <c r="E7745" s="1">
        <v>4</v>
      </c>
      <c r="F7745" s="39">
        <f t="shared" si="598"/>
        <v>1008</v>
      </c>
      <c r="G7745" s="395">
        <v>1</v>
      </c>
      <c r="H7745" s="395">
        <v>3</v>
      </c>
      <c r="J7745" s="42"/>
    </row>
    <row r="7746" spans="1:10" s="393" customFormat="1" x14ac:dyDescent="0.25">
      <c r="A7746" s="394" t="s">
        <v>34</v>
      </c>
      <c r="B7746" s="29">
        <v>44215</v>
      </c>
      <c r="C7746" s="1">
        <v>45</v>
      </c>
      <c r="D7746" s="278">
        <f t="shared" si="597"/>
        <v>23152</v>
      </c>
      <c r="E7746" s="1">
        <v>3</v>
      </c>
      <c r="F7746" s="39">
        <f t="shared" si="598"/>
        <v>1030</v>
      </c>
      <c r="G7746" s="395">
        <v>1</v>
      </c>
      <c r="H7746" s="395">
        <v>2</v>
      </c>
      <c r="J7746" s="42"/>
    </row>
    <row r="7747" spans="1:10" s="393" customFormat="1" x14ac:dyDescent="0.25">
      <c r="A7747" s="394" t="s">
        <v>35</v>
      </c>
      <c r="B7747" s="29">
        <v>44215</v>
      </c>
      <c r="C7747" s="1">
        <v>87</v>
      </c>
      <c r="D7747" s="278">
        <f t="shared" ref="D7747:D7753" si="599">C7747+D7723</f>
        <v>13256</v>
      </c>
      <c r="E7747" s="1"/>
      <c r="F7747" s="39">
        <f t="shared" ref="F7747:F7753" si="600">E7747+F7723</f>
        <v>216</v>
      </c>
      <c r="G7747" s="395"/>
      <c r="H7747" s="395"/>
      <c r="J7747" s="42"/>
    </row>
    <row r="7748" spans="1:10" s="393" customFormat="1" x14ac:dyDescent="0.25">
      <c r="A7748" s="394" t="s">
        <v>36</v>
      </c>
      <c r="B7748" s="29">
        <v>44215</v>
      </c>
      <c r="C7748" s="1">
        <v>94</v>
      </c>
      <c r="D7748" s="278">
        <f t="shared" si="599"/>
        <v>17058</v>
      </c>
      <c r="E7748" s="1">
        <v>2</v>
      </c>
      <c r="F7748" s="39">
        <f t="shared" si="600"/>
        <v>330</v>
      </c>
      <c r="G7748" s="395">
        <v>2</v>
      </c>
      <c r="H7748" s="395"/>
      <c r="J7748" s="42"/>
    </row>
    <row r="7749" spans="1:10" s="393" customFormat="1" x14ac:dyDescent="0.25">
      <c r="A7749" s="394" t="s">
        <v>37</v>
      </c>
      <c r="B7749" s="29">
        <v>44215</v>
      </c>
      <c r="C7749" s="1">
        <v>437</v>
      </c>
      <c r="D7749" s="278">
        <f t="shared" si="599"/>
        <v>30115</v>
      </c>
      <c r="E7749" s="1">
        <v>5</v>
      </c>
      <c r="F7749" s="39">
        <f t="shared" si="600"/>
        <v>469</v>
      </c>
      <c r="G7749" s="395">
        <v>4</v>
      </c>
      <c r="H7749" s="395">
        <v>1</v>
      </c>
      <c r="J7749" s="42"/>
    </row>
    <row r="7750" spans="1:10" s="393" customFormat="1" x14ac:dyDescent="0.25">
      <c r="A7750" s="394" t="s">
        <v>22</v>
      </c>
      <c r="B7750" s="29">
        <v>44215</v>
      </c>
      <c r="C7750" s="1">
        <v>1206</v>
      </c>
      <c r="D7750" s="278">
        <f t="shared" si="599"/>
        <v>197123</v>
      </c>
      <c r="E7750" s="1">
        <v>46</v>
      </c>
      <c r="F7750" s="39">
        <f t="shared" si="600"/>
        <v>3256</v>
      </c>
      <c r="G7750" s="395">
        <v>25</v>
      </c>
      <c r="H7750" s="395">
        <v>21</v>
      </c>
      <c r="J7750" s="42"/>
    </row>
    <row r="7751" spans="1:10" s="393" customFormat="1" x14ac:dyDescent="0.25">
      <c r="A7751" s="394" t="s">
        <v>38</v>
      </c>
      <c r="B7751" s="29">
        <v>44215</v>
      </c>
      <c r="C7751" s="1">
        <v>92</v>
      </c>
      <c r="D7751" s="278">
        <f t="shared" si="599"/>
        <v>19793</v>
      </c>
      <c r="E7751" s="1">
        <v>1</v>
      </c>
      <c r="F7751" s="39">
        <f t="shared" si="600"/>
        <v>239</v>
      </c>
      <c r="G7751" s="395"/>
      <c r="H7751" s="395">
        <v>1</v>
      </c>
      <c r="J7751" s="42"/>
    </row>
    <row r="7752" spans="1:10" s="393" customFormat="1" x14ac:dyDescent="0.25">
      <c r="A7752" s="394" t="s">
        <v>39</v>
      </c>
      <c r="B7752" s="29">
        <v>44215</v>
      </c>
      <c r="C7752" s="1">
        <v>140</v>
      </c>
      <c r="D7752" s="278">
        <f t="shared" si="599"/>
        <v>21025</v>
      </c>
      <c r="E7752" s="1">
        <v>2</v>
      </c>
      <c r="F7752" s="39">
        <f t="shared" si="600"/>
        <v>306</v>
      </c>
      <c r="G7752" s="395">
        <v>2</v>
      </c>
      <c r="H7752" s="395"/>
      <c r="J7752" s="42"/>
    </row>
    <row r="7753" spans="1:10" s="393" customFormat="1" x14ac:dyDescent="0.25">
      <c r="A7753" s="394" t="s">
        <v>40</v>
      </c>
      <c r="B7753" s="29">
        <v>44215</v>
      </c>
      <c r="C7753" s="1">
        <v>204</v>
      </c>
      <c r="D7753" s="278">
        <f t="shared" si="599"/>
        <v>74680</v>
      </c>
      <c r="E7753" s="1">
        <v>5</v>
      </c>
      <c r="F7753" s="39">
        <f t="shared" si="600"/>
        <v>1411</v>
      </c>
      <c r="G7753" s="395">
        <v>4</v>
      </c>
      <c r="H7753" s="395">
        <v>1</v>
      </c>
      <c r="J7753" s="42"/>
    </row>
    <row r="7754" spans="1:10" s="393" customFormat="1" x14ac:dyDescent="0.25">
      <c r="A7754" s="394" t="s">
        <v>16</v>
      </c>
      <c r="B7754" s="29">
        <v>44216</v>
      </c>
      <c r="C7754" s="1">
        <v>4898</v>
      </c>
      <c r="D7754" s="278">
        <f>C7754+D7730</f>
        <v>764466</v>
      </c>
      <c r="E7754" s="1">
        <v>69</v>
      </c>
      <c r="F7754" s="39">
        <f>E7754+F7730</f>
        <v>23760</v>
      </c>
      <c r="G7754" s="395"/>
      <c r="H7754" s="395"/>
      <c r="J7754" s="42"/>
    </row>
    <row r="7755" spans="1:10" s="393" customFormat="1" x14ac:dyDescent="0.25">
      <c r="A7755" s="394" t="s">
        <v>43</v>
      </c>
      <c r="B7755" s="29">
        <v>44216</v>
      </c>
      <c r="C7755" s="1">
        <v>1272</v>
      </c>
      <c r="D7755" s="278">
        <f t="shared" ref="D7755:D7818" si="601">C7755+D7731</f>
        <v>198558</v>
      </c>
      <c r="E7755" s="1">
        <v>22</v>
      </c>
      <c r="F7755" s="39">
        <f t="shared" ref="F7755:F7818" si="602">E7755+F7731</f>
        <v>5732</v>
      </c>
      <c r="G7755" s="395"/>
      <c r="H7755" s="395"/>
      <c r="J7755" s="42"/>
    </row>
    <row r="7756" spans="1:10" s="393" customFormat="1" x14ac:dyDescent="0.25">
      <c r="A7756" s="394" t="s">
        <v>28</v>
      </c>
      <c r="B7756" s="29">
        <v>44216</v>
      </c>
      <c r="C7756" s="1">
        <v>88</v>
      </c>
      <c r="D7756" s="278">
        <f t="shared" si="601"/>
        <v>4482</v>
      </c>
      <c r="E7756" s="1"/>
      <c r="F7756" s="39">
        <f t="shared" si="602"/>
        <v>17</v>
      </c>
      <c r="G7756" s="395"/>
      <c r="H7756" s="395"/>
      <c r="J7756" s="42"/>
    </row>
    <row r="7757" spans="1:10" s="393" customFormat="1" x14ac:dyDescent="0.25">
      <c r="A7757" s="394" t="s">
        <v>15</v>
      </c>
      <c r="B7757" s="29">
        <v>44216</v>
      </c>
      <c r="C7757" s="1">
        <v>178</v>
      </c>
      <c r="D7757" s="278">
        <f t="shared" si="601"/>
        <v>29042</v>
      </c>
      <c r="E7757" s="1">
        <v>4</v>
      </c>
      <c r="F7757" s="39">
        <f t="shared" si="602"/>
        <v>771</v>
      </c>
      <c r="G7757" s="395"/>
      <c r="H7757" s="395"/>
      <c r="J7757" s="42"/>
    </row>
    <row r="7758" spans="1:10" s="393" customFormat="1" x14ac:dyDescent="0.25">
      <c r="A7758" s="394" t="s">
        <v>29</v>
      </c>
      <c r="B7758" s="29">
        <v>44216</v>
      </c>
      <c r="C7758" s="1">
        <v>341</v>
      </c>
      <c r="D7758" s="278">
        <f t="shared" si="601"/>
        <v>39111</v>
      </c>
      <c r="E7758" s="1">
        <v>2</v>
      </c>
      <c r="F7758" s="39">
        <f t="shared" si="602"/>
        <v>570</v>
      </c>
      <c r="G7758" s="395"/>
      <c r="H7758" s="395"/>
      <c r="J7758" s="42"/>
    </row>
    <row r="7759" spans="1:10" s="393" customFormat="1" x14ac:dyDescent="0.25">
      <c r="A7759" s="394" t="s">
        <v>30</v>
      </c>
      <c r="B7759" s="29">
        <v>44216</v>
      </c>
      <c r="C7759" s="1">
        <v>123</v>
      </c>
      <c r="D7759" s="278">
        <f>C7759+D7735</f>
        <v>15774</v>
      </c>
      <c r="E7759" s="1">
        <v>1</v>
      </c>
      <c r="F7759" s="39">
        <f t="shared" si="602"/>
        <v>2554</v>
      </c>
      <c r="G7759" s="395"/>
      <c r="H7759" s="395"/>
      <c r="J7759" s="42"/>
    </row>
    <row r="7760" spans="1:10" s="393" customFormat="1" x14ac:dyDescent="0.25">
      <c r="A7760" s="394" t="s">
        <v>20</v>
      </c>
      <c r="B7760" s="29">
        <v>44216</v>
      </c>
      <c r="C7760" s="1">
        <v>694</v>
      </c>
      <c r="D7760" s="278">
        <f>C7760+D7736</f>
        <v>139445</v>
      </c>
      <c r="E7760" s="1">
        <v>6</v>
      </c>
      <c r="F7760" s="39">
        <f t="shared" si="602"/>
        <v>207</v>
      </c>
      <c r="G7760" s="395"/>
      <c r="H7760" s="395"/>
      <c r="J7760" s="42"/>
    </row>
    <row r="7761" spans="1:10" x14ac:dyDescent="0.25">
      <c r="A7761" s="394" t="s">
        <v>31</v>
      </c>
      <c r="B7761" s="29">
        <v>44216</v>
      </c>
      <c r="C7761" s="1">
        <v>548</v>
      </c>
      <c r="D7761" s="278">
        <f t="shared" si="601"/>
        <v>37725</v>
      </c>
      <c r="E7761" s="1">
        <v>6</v>
      </c>
      <c r="F7761" s="39">
        <f t="shared" si="602"/>
        <v>653</v>
      </c>
    </row>
    <row r="7762" spans="1:10" s="393" customFormat="1" x14ac:dyDescent="0.25">
      <c r="A7762" s="394" t="s">
        <v>41</v>
      </c>
      <c r="B7762" s="29">
        <v>44216</v>
      </c>
      <c r="C7762" s="1">
        <v>16</v>
      </c>
      <c r="D7762" s="278">
        <f t="shared" si="601"/>
        <v>700</v>
      </c>
      <c r="E7762" s="1"/>
      <c r="F7762" s="39">
        <f t="shared" si="602"/>
        <v>6</v>
      </c>
      <c r="G7762" s="395"/>
      <c r="H7762" s="395"/>
      <c r="J7762" s="42"/>
    </row>
    <row r="7763" spans="1:10" s="393" customFormat="1" x14ac:dyDescent="0.25">
      <c r="A7763" s="394" t="s">
        <v>32</v>
      </c>
      <c r="B7763" s="29">
        <v>44216</v>
      </c>
      <c r="C7763" s="1">
        <v>39</v>
      </c>
      <c r="D7763" s="278">
        <f t="shared" si="601"/>
        <v>18981</v>
      </c>
      <c r="E7763" s="1"/>
      <c r="F7763" s="39">
        <f t="shared" si="602"/>
        <v>864</v>
      </c>
      <c r="G7763" s="395"/>
      <c r="H7763" s="395"/>
      <c r="J7763" s="42"/>
    </row>
    <row r="7764" spans="1:10" s="393" customFormat="1" x14ac:dyDescent="0.25">
      <c r="A7764" s="394" t="s">
        <v>33</v>
      </c>
      <c r="B7764" s="29">
        <v>44216</v>
      </c>
      <c r="C7764" s="1">
        <v>121</v>
      </c>
      <c r="D7764" s="278">
        <f t="shared" si="601"/>
        <v>15406</v>
      </c>
      <c r="E7764" s="1">
        <v>4</v>
      </c>
      <c r="F7764" s="39">
        <f t="shared" si="602"/>
        <v>209</v>
      </c>
      <c r="G7764" s="395"/>
      <c r="H7764" s="395"/>
      <c r="J7764" s="42"/>
    </row>
    <row r="7765" spans="1:10" s="393" customFormat="1" x14ac:dyDescent="0.25">
      <c r="A7765" s="394" t="s">
        <v>21</v>
      </c>
      <c r="B7765" s="29">
        <v>44216</v>
      </c>
      <c r="C7765" s="1">
        <v>30</v>
      </c>
      <c r="D7765" s="278">
        <f t="shared" si="601"/>
        <v>9359</v>
      </c>
      <c r="E7765" s="1"/>
      <c r="F7765" s="39">
        <f t="shared" si="602"/>
        <v>402</v>
      </c>
      <c r="G7765" s="395"/>
      <c r="H7765" s="395"/>
      <c r="J7765" s="42"/>
    </row>
    <row r="7766" spans="1:10" s="393" customFormat="1" x14ac:dyDescent="0.25">
      <c r="A7766" s="394" t="s">
        <v>17</v>
      </c>
      <c r="B7766" s="29">
        <v>44216</v>
      </c>
      <c r="C7766" s="1">
        <v>198</v>
      </c>
      <c r="D7766" s="278">
        <f t="shared" si="601"/>
        <v>62637</v>
      </c>
      <c r="E7766" s="1">
        <v>4</v>
      </c>
      <c r="F7766" s="39">
        <f t="shared" si="602"/>
        <v>1302</v>
      </c>
      <c r="G7766" s="395"/>
      <c r="H7766" s="395"/>
      <c r="J7766" s="42"/>
    </row>
    <row r="7767" spans="1:10" s="393" customFormat="1" x14ac:dyDescent="0.25">
      <c r="A7767" s="394" t="s">
        <v>23</v>
      </c>
      <c r="B7767" s="29">
        <v>44216</v>
      </c>
      <c r="C7767" s="1">
        <v>193</v>
      </c>
      <c r="D7767" s="278">
        <f t="shared" si="601"/>
        <v>2759</v>
      </c>
      <c r="E7767" s="1">
        <v>4</v>
      </c>
      <c r="F7767" s="39">
        <f t="shared" si="602"/>
        <v>53</v>
      </c>
      <c r="G7767" s="395"/>
      <c r="H7767" s="395"/>
      <c r="J7767" s="42"/>
    </row>
    <row r="7768" spans="1:10" s="393" customFormat="1" x14ac:dyDescent="0.25">
      <c r="A7768" s="394" t="s">
        <v>19</v>
      </c>
      <c r="B7768" s="29">
        <v>44216</v>
      </c>
      <c r="C7768" s="1">
        <v>533</v>
      </c>
      <c r="D7768" s="278">
        <f t="shared" si="601"/>
        <v>49629</v>
      </c>
      <c r="E7768" s="1"/>
      <c r="F7768" s="39">
        <f t="shared" si="602"/>
        <v>757</v>
      </c>
      <c r="G7768" s="395"/>
      <c r="H7768" s="395"/>
      <c r="J7768" s="42"/>
    </row>
    <row r="7769" spans="1:10" s="393" customFormat="1" x14ac:dyDescent="0.25">
      <c r="A7769" s="394" t="s">
        <v>18</v>
      </c>
      <c r="B7769" s="29">
        <v>44216</v>
      </c>
      <c r="C7769" s="1">
        <v>442</v>
      </c>
      <c r="D7769" s="278">
        <f t="shared" si="601"/>
        <v>45007</v>
      </c>
      <c r="E7769" s="1">
        <v>2</v>
      </c>
      <c r="F7769" s="39">
        <f t="shared" si="602"/>
        <v>1010</v>
      </c>
      <c r="G7769" s="395"/>
      <c r="H7769" s="395"/>
      <c r="J7769" s="42"/>
    </row>
    <row r="7770" spans="1:10" s="393" customFormat="1" x14ac:dyDescent="0.25">
      <c r="A7770" s="394" t="s">
        <v>34</v>
      </c>
      <c r="B7770" s="29">
        <v>44216</v>
      </c>
      <c r="C7770" s="1">
        <v>77</v>
      </c>
      <c r="D7770" s="278">
        <f t="shared" si="601"/>
        <v>23229</v>
      </c>
      <c r="E7770" s="1"/>
      <c r="F7770" s="39">
        <f t="shared" si="602"/>
        <v>1030</v>
      </c>
      <c r="G7770" s="395"/>
      <c r="H7770" s="395"/>
      <c r="J7770" s="42"/>
    </row>
    <row r="7771" spans="1:10" s="393" customFormat="1" x14ac:dyDescent="0.25">
      <c r="A7771" s="394" t="s">
        <v>35</v>
      </c>
      <c r="B7771" s="29">
        <v>44216</v>
      </c>
      <c r="C7771" s="1">
        <v>96</v>
      </c>
      <c r="D7771" s="278">
        <f t="shared" si="601"/>
        <v>13352</v>
      </c>
      <c r="E7771" s="1"/>
      <c r="F7771" s="39">
        <f t="shared" si="602"/>
        <v>216</v>
      </c>
      <c r="G7771" s="395"/>
      <c r="H7771" s="395"/>
      <c r="J7771" s="42"/>
    </row>
    <row r="7772" spans="1:10" s="393" customFormat="1" x14ac:dyDescent="0.25">
      <c r="A7772" s="394" t="s">
        <v>36</v>
      </c>
      <c r="B7772" s="29">
        <v>44216</v>
      </c>
      <c r="C7772" s="1">
        <v>104</v>
      </c>
      <c r="D7772" s="278">
        <f t="shared" si="601"/>
        <v>17162</v>
      </c>
      <c r="E7772" s="1">
        <v>3</v>
      </c>
      <c r="F7772" s="39">
        <f t="shared" si="602"/>
        <v>333</v>
      </c>
      <c r="G7772" s="395"/>
      <c r="H7772" s="395"/>
      <c r="J7772" s="42"/>
    </row>
    <row r="7773" spans="1:10" s="393" customFormat="1" x14ac:dyDescent="0.25">
      <c r="A7773" s="394" t="s">
        <v>37</v>
      </c>
      <c r="B7773" s="29">
        <v>44216</v>
      </c>
      <c r="C7773" s="1">
        <v>494</v>
      </c>
      <c r="D7773" s="278">
        <f t="shared" si="601"/>
        <v>30609</v>
      </c>
      <c r="E7773" s="1">
        <v>4</v>
      </c>
      <c r="F7773" s="39">
        <f t="shared" si="602"/>
        <v>473</v>
      </c>
      <c r="G7773" s="395"/>
      <c r="H7773" s="395"/>
      <c r="J7773" s="42"/>
    </row>
    <row r="7774" spans="1:10" s="393" customFormat="1" x14ac:dyDescent="0.25">
      <c r="A7774" s="394" t="s">
        <v>22</v>
      </c>
      <c r="B7774" s="29">
        <v>44216</v>
      </c>
      <c r="C7774" s="1">
        <v>1222</v>
      </c>
      <c r="D7774" s="278">
        <f t="shared" si="601"/>
        <v>198345</v>
      </c>
      <c r="E7774" s="1">
        <v>13</v>
      </c>
      <c r="F7774" s="39">
        <f t="shared" si="602"/>
        <v>3269</v>
      </c>
      <c r="G7774" s="395"/>
      <c r="H7774" s="395"/>
      <c r="J7774" s="42"/>
    </row>
    <row r="7775" spans="1:10" s="393" customFormat="1" x14ac:dyDescent="0.25">
      <c r="A7775" s="394" t="s">
        <v>38</v>
      </c>
      <c r="B7775" s="29">
        <v>44216</v>
      </c>
      <c r="C7775" s="1">
        <v>166</v>
      </c>
      <c r="D7775" s="278">
        <f t="shared" si="601"/>
        <v>19959</v>
      </c>
      <c r="E7775" s="1"/>
      <c r="F7775" s="39">
        <f t="shared" si="602"/>
        <v>239</v>
      </c>
      <c r="G7775" s="395"/>
      <c r="H7775" s="395"/>
      <c r="J7775" s="42"/>
    </row>
    <row r="7776" spans="1:10" s="393" customFormat="1" x14ac:dyDescent="0.25">
      <c r="A7776" s="394" t="s">
        <v>39</v>
      </c>
      <c r="B7776" s="29">
        <v>44216</v>
      </c>
      <c r="C7776" s="1">
        <v>91</v>
      </c>
      <c r="D7776" s="278">
        <f t="shared" si="601"/>
        <v>21116</v>
      </c>
      <c r="E7776" s="1">
        <v>1</v>
      </c>
      <c r="F7776" s="39">
        <f t="shared" si="602"/>
        <v>307</v>
      </c>
      <c r="G7776" s="395"/>
      <c r="H7776" s="395"/>
      <c r="J7776" s="42"/>
    </row>
    <row r="7777" spans="1:10" s="393" customFormat="1" x14ac:dyDescent="0.25">
      <c r="A7777" s="394" t="s">
        <v>40</v>
      </c>
      <c r="B7777" s="29">
        <v>44216</v>
      </c>
      <c r="C7777" s="1">
        <v>148</v>
      </c>
      <c r="D7777" s="278">
        <f t="shared" si="601"/>
        <v>74828</v>
      </c>
      <c r="E7777" s="1">
        <v>4</v>
      </c>
      <c r="F7777" s="39">
        <f t="shared" si="602"/>
        <v>1415</v>
      </c>
      <c r="G7777" s="395"/>
      <c r="H7777" s="395"/>
      <c r="J7777" s="42"/>
    </row>
    <row r="7778" spans="1:10" s="393" customFormat="1" x14ac:dyDescent="0.25">
      <c r="A7778" s="394" t="s">
        <v>16</v>
      </c>
      <c r="B7778" s="29">
        <v>44217</v>
      </c>
      <c r="C7778" s="1">
        <v>4630</v>
      </c>
      <c r="D7778" s="278">
        <f>C7778+D7754</f>
        <v>769096</v>
      </c>
      <c r="E7778" s="1">
        <v>45</v>
      </c>
      <c r="F7778" s="39">
        <f>E7778+F7754</f>
        <v>23805</v>
      </c>
      <c r="G7778" s="395"/>
      <c r="H7778" s="395"/>
      <c r="J7778" s="42"/>
    </row>
    <row r="7779" spans="1:10" s="393" customFormat="1" x14ac:dyDescent="0.25">
      <c r="A7779" s="394" t="s">
        <v>43</v>
      </c>
      <c r="B7779" s="29">
        <v>44217</v>
      </c>
      <c r="C7779" s="1">
        <v>1265</v>
      </c>
      <c r="D7779" s="278">
        <f t="shared" si="601"/>
        <v>199823</v>
      </c>
      <c r="E7779" s="1">
        <v>25</v>
      </c>
      <c r="F7779" s="39">
        <f t="shared" si="602"/>
        <v>5757</v>
      </c>
      <c r="G7779" s="395"/>
      <c r="H7779" s="395"/>
      <c r="J7779" s="42"/>
    </row>
    <row r="7780" spans="1:10" s="393" customFormat="1" x14ac:dyDescent="0.25">
      <c r="A7780" s="394" t="s">
        <v>28</v>
      </c>
      <c r="B7780" s="29">
        <v>44217</v>
      </c>
      <c r="C7780" s="1">
        <v>95</v>
      </c>
      <c r="D7780" s="278">
        <f t="shared" si="601"/>
        <v>4577</v>
      </c>
      <c r="E7780" s="1"/>
      <c r="F7780" s="39">
        <f t="shared" si="602"/>
        <v>17</v>
      </c>
      <c r="G7780" s="395"/>
      <c r="H7780" s="395"/>
      <c r="J7780" s="42"/>
    </row>
    <row r="7781" spans="1:10" s="393" customFormat="1" x14ac:dyDescent="0.25">
      <c r="A7781" s="394" t="s">
        <v>15</v>
      </c>
      <c r="B7781" s="29">
        <v>44217</v>
      </c>
      <c r="C7781" s="1">
        <v>281</v>
      </c>
      <c r="D7781" s="278">
        <f t="shared" si="601"/>
        <v>29323</v>
      </c>
      <c r="E7781" s="1"/>
      <c r="F7781" s="39">
        <f t="shared" si="602"/>
        <v>771</v>
      </c>
      <c r="G7781" s="395"/>
      <c r="H7781" s="395"/>
      <c r="J7781" s="42"/>
    </row>
    <row r="7782" spans="1:10" s="393" customFormat="1" x14ac:dyDescent="0.25">
      <c r="A7782" s="394" t="s">
        <v>29</v>
      </c>
      <c r="B7782" s="29">
        <v>44217</v>
      </c>
      <c r="C7782" s="1">
        <v>381</v>
      </c>
      <c r="D7782" s="278">
        <f t="shared" si="601"/>
        <v>39492</v>
      </c>
      <c r="E7782" s="1">
        <v>8</v>
      </c>
      <c r="F7782" s="39">
        <f t="shared" si="602"/>
        <v>578</v>
      </c>
      <c r="G7782" s="395"/>
      <c r="H7782" s="395"/>
      <c r="J7782" s="42"/>
    </row>
    <row r="7783" spans="1:10" s="393" customFormat="1" x14ac:dyDescent="0.25">
      <c r="A7783" s="394" t="s">
        <v>30</v>
      </c>
      <c r="B7783" s="29">
        <v>44217</v>
      </c>
      <c r="C7783" s="1">
        <v>135</v>
      </c>
      <c r="D7783" s="278">
        <f>C7783+D7759</f>
        <v>15909</v>
      </c>
      <c r="E7783" s="1">
        <v>4</v>
      </c>
      <c r="F7783" s="39">
        <f t="shared" si="602"/>
        <v>2558</v>
      </c>
      <c r="G7783" s="395"/>
      <c r="H7783" s="395"/>
      <c r="J7783" s="42"/>
    </row>
    <row r="7784" spans="1:10" s="393" customFormat="1" x14ac:dyDescent="0.25">
      <c r="A7784" s="394" t="s">
        <v>20</v>
      </c>
      <c r="B7784" s="29">
        <v>44217</v>
      </c>
      <c r="C7784" s="1">
        <v>649</v>
      </c>
      <c r="D7784" s="278">
        <f>C7784+D7760</f>
        <v>140094</v>
      </c>
      <c r="E7784" s="1">
        <v>7</v>
      </c>
      <c r="F7784" s="39">
        <f t="shared" si="602"/>
        <v>214</v>
      </c>
      <c r="G7784" s="395"/>
      <c r="H7784" s="395"/>
      <c r="J7784" s="42"/>
    </row>
    <row r="7785" spans="1:10" x14ac:dyDescent="0.25">
      <c r="A7785" s="394" t="s">
        <v>31</v>
      </c>
      <c r="B7785" s="29">
        <v>44217</v>
      </c>
      <c r="C7785" s="1">
        <v>445</v>
      </c>
      <c r="D7785" s="278">
        <f t="shared" si="601"/>
        <v>38170</v>
      </c>
      <c r="E7785" s="1">
        <v>6</v>
      </c>
      <c r="F7785" s="39">
        <f t="shared" si="602"/>
        <v>659</v>
      </c>
    </row>
    <row r="7786" spans="1:10" s="393" customFormat="1" x14ac:dyDescent="0.25">
      <c r="A7786" s="394" t="s">
        <v>41</v>
      </c>
      <c r="B7786" s="29">
        <v>44217</v>
      </c>
      <c r="C7786" s="1">
        <v>59</v>
      </c>
      <c r="D7786" s="278">
        <f t="shared" si="601"/>
        <v>759</v>
      </c>
      <c r="E7786" s="1"/>
      <c r="F7786" s="39">
        <f t="shared" si="602"/>
        <v>6</v>
      </c>
      <c r="G7786" s="395"/>
      <c r="H7786" s="395"/>
      <c r="J7786" s="42"/>
    </row>
    <row r="7787" spans="1:10" s="393" customFormat="1" x14ac:dyDescent="0.25">
      <c r="A7787" s="394" t="s">
        <v>32</v>
      </c>
      <c r="B7787" s="29">
        <v>44217</v>
      </c>
      <c r="C7787" s="1">
        <v>45</v>
      </c>
      <c r="D7787" s="278">
        <f t="shared" si="601"/>
        <v>19026</v>
      </c>
      <c r="E7787" s="1"/>
      <c r="F7787" s="39">
        <f t="shared" si="602"/>
        <v>864</v>
      </c>
      <c r="G7787" s="395"/>
      <c r="H7787" s="395"/>
      <c r="J7787" s="42"/>
    </row>
    <row r="7788" spans="1:10" s="393" customFormat="1" x14ac:dyDescent="0.25">
      <c r="A7788" s="394" t="s">
        <v>33</v>
      </c>
      <c r="B7788" s="29">
        <v>44217</v>
      </c>
      <c r="C7788" s="1">
        <v>139</v>
      </c>
      <c r="D7788" s="278">
        <f t="shared" si="601"/>
        <v>15545</v>
      </c>
      <c r="E7788" s="1"/>
      <c r="F7788" s="39">
        <f t="shared" si="602"/>
        <v>209</v>
      </c>
      <c r="G7788" s="395"/>
      <c r="H7788" s="395"/>
      <c r="J7788" s="42"/>
    </row>
    <row r="7789" spans="1:10" s="393" customFormat="1" x14ac:dyDescent="0.25">
      <c r="A7789" s="394" t="s">
        <v>21</v>
      </c>
      <c r="B7789" s="29">
        <v>44217</v>
      </c>
      <c r="C7789" s="1">
        <v>19</v>
      </c>
      <c r="D7789" s="278">
        <f t="shared" si="601"/>
        <v>9378</v>
      </c>
      <c r="E7789" s="1"/>
      <c r="F7789" s="39">
        <f t="shared" si="602"/>
        <v>402</v>
      </c>
      <c r="G7789" s="395"/>
      <c r="H7789" s="395"/>
      <c r="J7789" s="42"/>
    </row>
    <row r="7790" spans="1:10" s="393" customFormat="1" x14ac:dyDescent="0.25">
      <c r="A7790" s="394" t="s">
        <v>17</v>
      </c>
      <c r="B7790" s="29">
        <v>44217</v>
      </c>
      <c r="C7790" s="1">
        <v>172</v>
      </c>
      <c r="D7790" s="278">
        <f t="shared" si="601"/>
        <v>62809</v>
      </c>
      <c r="E7790" s="1">
        <v>9</v>
      </c>
      <c r="F7790" s="39">
        <f t="shared" si="602"/>
        <v>1311</v>
      </c>
      <c r="G7790" s="395"/>
      <c r="H7790" s="395"/>
      <c r="J7790" s="42"/>
    </row>
    <row r="7791" spans="1:10" s="393" customFormat="1" x14ac:dyDescent="0.25">
      <c r="A7791" s="394" t="s">
        <v>23</v>
      </c>
      <c r="B7791" s="29">
        <v>44217</v>
      </c>
      <c r="C7791" s="1">
        <v>175</v>
      </c>
      <c r="D7791" s="278">
        <f t="shared" si="601"/>
        <v>2934</v>
      </c>
      <c r="E7791" s="1">
        <v>7</v>
      </c>
      <c r="F7791" s="39">
        <f t="shared" si="602"/>
        <v>60</v>
      </c>
      <c r="G7791" s="395"/>
      <c r="H7791" s="395"/>
      <c r="J7791" s="42"/>
    </row>
    <row r="7792" spans="1:10" s="393" customFormat="1" x14ac:dyDescent="0.25">
      <c r="A7792" s="394" t="s">
        <v>19</v>
      </c>
      <c r="B7792" s="29">
        <v>44217</v>
      </c>
      <c r="C7792" s="1">
        <v>524</v>
      </c>
      <c r="D7792" s="278">
        <f t="shared" si="601"/>
        <v>50153</v>
      </c>
      <c r="E7792" s="1">
        <v>1</v>
      </c>
      <c r="F7792" s="39">
        <f t="shared" si="602"/>
        <v>758</v>
      </c>
      <c r="G7792" s="395"/>
      <c r="H7792" s="395"/>
      <c r="J7792" s="42"/>
    </row>
    <row r="7793" spans="1:10" s="393" customFormat="1" x14ac:dyDescent="0.25">
      <c r="A7793" s="394" t="s">
        <v>18</v>
      </c>
      <c r="B7793" s="29">
        <v>44217</v>
      </c>
      <c r="C7793" s="1">
        <v>265</v>
      </c>
      <c r="D7793" s="278">
        <f t="shared" si="601"/>
        <v>45272</v>
      </c>
      <c r="E7793" s="1">
        <v>6</v>
      </c>
      <c r="F7793" s="39">
        <f t="shared" si="602"/>
        <v>1016</v>
      </c>
      <c r="G7793" s="395"/>
      <c r="H7793" s="395"/>
      <c r="J7793" s="42"/>
    </row>
    <row r="7794" spans="1:10" s="393" customFormat="1" x14ac:dyDescent="0.25">
      <c r="A7794" s="394" t="s">
        <v>34</v>
      </c>
      <c r="B7794" s="29">
        <v>44217</v>
      </c>
      <c r="C7794" s="1">
        <v>75</v>
      </c>
      <c r="D7794" s="278">
        <f t="shared" si="601"/>
        <v>23304</v>
      </c>
      <c r="E7794" s="1"/>
      <c r="F7794" s="39">
        <f t="shared" si="602"/>
        <v>1030</v>
      </c>
      <c r="G7794" s="395"/>
      <c r="H7794" s="395"/>
      <c r="J7794" s="42"/>
    </row>
    <row r="7795" spans="1:10" s="393" customFormat="1" x14ac:dyDescent="0.25">
      <c r="A7795" s="394" t="s">
        <v>35</v>
      </c>
      <c r="B7795" s="29">
        <v>44217</v>
      </c>
      <c r="C7795" s="1">
        <v>81</v>
      </c>
      <c r="D7795" s="278">
        <f t="shared" si="601"/>
        <v>13433</v>
      </c>
      <c r="E7795" s="1"/>
      <c r="F7795" s="39">
        <f t="shared" si="602"/>
        <v>216</v>
      </c>
      <c r="G7795" s="395"/>
      <c r="H7795" s="395"/>
      <c r="J7795" s="42"/>
    </row>
    <row r="7796" spans="1:10" s="393" customFormat="1" x14ac:dyDescent="0.25">
      <c r="A7796" s="394" t="s">
        <v>36</v>
      </c>
      <c r="B7796" s="29">
        <v>44217</v>
      </c>
      <c r="C7796" s="1">
        <v>202</v>
      </c>
      <c r="D7796" s="278">
        <f t="shared" si="601"/>
        <v>17364</v>
      </c>
      <c r="E7796" s="1">
        <v>2</v>
      </c>
      <c r="F7796" s="39">
        <f t="shared" si="602"/>
        <v>335</v>
      </c>
      <c r="G7796" s="395"/>
      <c r="H7796" s="395"/>
      <c r="J7796" s="42"/>
    </row>
    <row r="7797" spans="1:10" s="393" customFormat="1" x14ac:dyDescent="0.25">
      <c r="A7797" s="394" t="s">
        <v>37</v>
      </c>
      <c r="B7797" s="29">
        <v>44217</v>
      </c>
      <c r="C7797" s="1">
        <v>314</v>
      </c>
      <c r="D7797" s="278">
        <f t="shared" si="601"/>
        <v>30923</v>
      </c>
      <c r="E7797" s="1">
        <v>3</v>
      </c>
      <c r="F7797" s="39">
        <f t="shared" si="602"/>
        <v>476</v>
      </c>
      <c r="G7797" s="395"/>
      <c r="H7797" s="395"/>
      <c r="J7797" s="42"/>
    </row>
    <row r="7798" spans="1:10" s="393" customFormat="1" x14ac:dyDescent="0.25">
      <c r="A7798" s="394" t="s">
        <v>22</v>
      </c>
      <c r="B7798" s="29">
        <v>44217</v>
      </c>
      <c r="C7798" s="1">
        <v>1101</v>
      </c>
      <c r="D7798" s="278">
        <f t="shared" si="601"/>
        <v>199446</v>
      </c>
      <c r="E7798" s="1">
        <v>13</v>
      </c>
      <c r="F7798" s="39">
        <f t="shared" si="602"/>
        <v>3282</v>
      </c>
      <c r="G7798" s="395"/>
      <c r="H7798" s="395"/>
      <c r="J7798" s="42"/>
    </row>
    <row r="7799" spans="1:10" s="393" customFormat="1" x14ac:dyDescent="0.25">
      <c r="A7799" s="394" t="s">
        <v>38</v>
      </c>
      <c r="B7799" s="29">
        <v>44217</v>
      </c>
      <c r="C7799" s="1">
        <v>100</v>
      </c>
      <c r="D7799" s="278">
        <f t="shared" si="601"/>
        <v>20059</v>
      </c>
      <c r="E7799" s="1">
        <v>1</v>
      </c>
      <c r="F7799" s="39">
        <f t="shared" si="602"/>
        <v>240</v>
      </c>
      <c r="G7799" s="395"/>
      <c r="H7799" s="395"/>
      <c r="J7799" s="42"/>
    </row>
    <row r="7800" spans="1:10" s="393" customFormat="1" x14ac:dyDescent="0.25">
      <c r="A7800" s="394" t="s">
        <v>39</v>
      </c>
      <c r="B7800" s="29">
        <v>44217</v>
      </c>
      <c r="C7800" s="1">
        <v>106</v>
      </c>
      <c r="D7800" s="278">
        <f t="shared" si="601"/>
        <v>21222</v>
      </c>
      <c r="E7800" s="1">
        <v>4</v>
      </c>
      <c r="F7800" s="39">
        <f t="shared" si="602"/>
        <v>311</v>
      </c>
      <c r="G7800" s="395"/>
      <c r="H7800" s="395"/>
      <c r="J7800" s="42"/>
    </row>
    <row r="7801" spans="1:10" s="393" customFormat="1" ht="15.75" thickBot="1" x14ac:dyDescent="0.3">
      <c r="A7801" s="394" t="s">
        <v>40</v>
      </c>
      <c r="B7801" s="29">
        <v>44217</v>
      </c>
      <c r="C7801" s="1">
        <v>138</v>
      </c>
      <c r="D7801" s="278">
        <f t="shared" si="601"/>
        <v>74966</v>
      </c>
      <c r="E7801" s="1">
        <v>1</v>
      </c>
      <c r="F7801" s="39">
        <f t="shared" si="602"/>
        <v>1416</v>
      </c>
      <c r="G7801" s="395"/>
      <c r="H7801" s="395"/>
      <c r="J7801" s="42"/>
    </row>
    <row r="7802" spans="1:10" s="393" customFormat="1" ht="15.75" thickBot="1" x14ac:dyDescent="0.3">
      <c r="A7802" s="394" t="s">
        <v>16</v>
      </c>
      <c r="B7802" s="29">
        <v>44218</v>
      </c>
      <c r="C7802" s="1">
        <v>4177</v>
      </c>
      <c r="D7802" s="278">
        <f>C7802+D7778</f>
        <v>773273</v>
      </c>
      <c r="E7802" s="1">
        <v>117</v>
      </c>
      <c r="F7802" s="39">
        <f>E7802+F7778</f>
        <v>23922</v>
      </c>
      <c r="G7802" s="410">
        <f>SUM(C7802,C7778,C7754,C7730,C7706,C7682,C7658,C7634,C7610,C7586,C7562,C7538,C7514,C7490)/POBLA!$B$1*100000</f>
        <v>336.36922478418023</v>
      </c>
      <c r="H7802" s="411">
        <f t="shared" ref="H7802:H7825" si="603">SUM(C7802,C7778,C7754,C7730,C7706,C7682,C7658,C7634,C7610,C7586,C7562,C7538,C7514,C7490)/SUM(C7466,C7442,C7418,C7394,C7370,C7346,C7322,C7298,C7274,C7250,C7226,C7202,C7178,C7154)</f>
        <v>1.1891211028033617</v>
      </c>
      <c r="J7802" s="42"/>
    </row>
    <row r="7803" spans="1:10" s="393" customFormat="1" ht="15.75" thickBot="1" x14ac:dyDescent="0.3">
      <c r="A7803" s="394" t="s">
        <v>43</v>
      </c>
      <c r="B7803" s="29">
        <v>44218</v>
      </c>
      <c r="C7803" s="1">
        <v>1160</v>
      </c>
      <c r="D7803" s="278">
        <f t="shared" si="601"/>
        <v>200983</v>
      </c>
      <c r="E7803" s="1">
        <v>14</v>
      </c>
      <c r="F7803" s="39">
        <f t="shared" si="602"/>
        <v>5771</v>
      </c>
      <c r="G7803" s="410">
        <f>SUM(C7803,C7779,C7755,C7731,C7707,C7683,C7659,C7635,C7611,C7587,C7563,C7539,C7515,C7491)/POBLA!$B$2*100000</f>
        <v>570.3842379779727</v>
      </c>
      <c r="H7803" s="411">
        <f t="shared" si="603"/>
        <v>1.2340320765334833</v>
      </c>
      <c r="J7803" s="42"/>
    </row>
    <row r="7804" spans="1:10" s="393" customFormat="1" ht="15.75" thickBot="1" x14ac:dyDescent="0.3">
      <c r="A7804" s="394" t="s">
        <v>28</v>
      </c>
      <c r="B7804" s="29">
        <v>44218</v>
      </c>
      <c r="C7804" s="1">
        <v>52</v>
      </c>
      <c r="D7804" s="278">
        <f t="shared" si="601"/>
        <v>4629</v>
      </c>
      <c r="E7804" s="1"/>
      <c r="F7804" s="39">
        <f t="shared" si="602"/>
        <v>17</v>
      </c>
      <c r="G7804" s="410">
        <f>SUM(C7804,C7780,C7756,C7732,C7708,C7684,C7660,C7636,C7612,C7588,C7564,C7540,C7516,C7492)/POBLA!$B$3*100000</f>
        <v>379.35865279536301</v>
      </c>
      <c r="H7804" s="411">
        <f t="shared" si="603"/>
        <v>2.8864468864468864</v>
      </c>
      <c r="J7804" s="42"/>
    </row>
    <row r="7805" spans="1:10" s="393" customFormat="1" ht="15.75" thickBot="1" x14ac:dyDescent="0.3">
      <c r="A7805" s="394" t="s">
        <v>15</v>
      </c>
      <c r="B7805" s="29">
        <v>44218</v>
      </c>
      <c r="C7805" s="1">
        <v>182</v>
      </c>
      <c r="D7805" s="278">
        <f t="shared" si="601"/>
        <v>29505</v>
      </c>
      <c r="E7805" s="1">
        <v>5</v>
      </c>
      <c r="F7805" s="39">
        <f t="shared" si="602"/>
        <v>776</v>
      </c>
      <c r="G7805" s="410">
        <f>SUM(C7805,C7781,C7757,C7733,C7709,C7685,C7661,C7637,C7613,C7589,C7565,C7541,C7517,C7493)/POBLA!$B$4*100000</f>
        <v>248.39337141699616</v>
      </c>
      <c r="H7805" s="411">
        <f t="shared" si="603"/>
        <v>1.0689531975705608</v>
      </c>
      <c r="J7805" s="42"/>
    </row>
    <row r="7806" spans="1:10" s="393" customFormat="1" ht="15.75" thickBot="1" x14ac:dyDescent="0.3">
      <c r="A7806" s="394" t="s">
        <v>29</v>
      </c>
      <c r="B7806" s="29">
        <v>44218</v>
      </c>
      <c r="C7806" s="1">
        <v>457</v>
      </c>
      <c r="D7806" s="278">
        <f t="shared" si="601"/>
        <v>39949</v>
      </c>
      <c r="E7806" s="1">
        <v>14</v>
      </c>
      <c r="F7806" s="39">
        <f t="shared" si="602"/>
        <v>592</v>
      </c>
      <c r="G7806" s="410">
        <f>SUM(C7806,C7782,C7758,C7734,C7710,C7686,C7662,C7638,C7614,C7590,C7566,C7542,C7518,C7494)/POBLA!$B$5*100000</f>
        <v>832.47979786556891</v>
      </c>
      <c r="H7806" s="411">
        <f t="shared" si="603"/>
        <v>0.97502365184484385</v>
      </c>
      <c r="J7806" s="42"/>
    </row>
    <row r="7807" spans="1:10" s="393" customFormat="1" ht="15.75" thickBot="1" x14ac:dyDescent="0.3">
      <c r="A7807" s="394" t="s">
        <v>30</v>
      </c>
      <c r="B7807" s="29">
        <v>44218</v>
      </c>
      <c r="C7807" s="1">
        <v>168</v>
      </c>
      <c r="D7807" s="278">
        <f>C7807+D7783</f>
        <v>16077</v>
      </c>
      <c r="E7807" s="1">
        <v>6</v>
      </c>
      <c r="F7807" s="39">
        <f t="shared" si="602"/>
        <v>2564</v>
      </c>
      <c r="G7807" s="410">
        <f>SUM(C7807,C7783,C7759,C7735,C7711,C7687,C7663,C7639,C7615,C7591,C7567,C7543,C7519,C7495)/POBLA!$B$7*100000</f>
        <v>156.89611615631108</v>
      </c>
      <c r="H7807" s="411">
        <f t="shared" si="603"/>
        <v>0.76158512972763648</v>
      </c>
      <c r="J7807" s="42"/>
    </row>
    <row r="7808" spans="1:10" s="393" customFormat="1" ht="15.75" thickBot="1" x14ac:dyDescent="0.3">
      <c r="A7808" s="394" t="s">
        <v>20</v>
      </c>
      <c r="B7808" s="29">
        <v>44218</v>
      </c>
      <c r="C7808" s="1">
        <v>582</v>
      </c>
      <c r="D7808" s="278">
        <f>C7808+D7784</f>
        <v>140676</v>
      </c>
      <c r="E7808" s="1">
        <v>8</v>
      </c>
      <c r="F7808" s="39">
        <f t="shared" si="602"/>
        <v>222</v>
      </c>
      <c r="G7808" s="410">
        <f>SUM(C7808,C7784,C7760,C7736,C7712,C7688,C7664,C7640,C7616,C7592,C7568,C7544,C7520,C7496)/POBLA!$B$6*100000</f>
        <v>451.01672821491059</v>
      </c>
      <c r="H7808" s="411">
        <f t="shared" si="603"/>
        <v>2.2729316546762588</v>
      </c>
      <c r="J7808" s="42"/>
    </row>
    <row r="7809" spans="1:10" ht="15.75" thickBot="1" x14ac:dyDescent="0.3">
      <c r="A7809" s="394" t="s">
        <v>31</v>
      </c>
      <c r="B7809" s="29">
        <v>44218</v>
      </c>
      <c r="C7809" s="1">
        <v>382</v>
      </c>
      <c r="D7809" s="278">
        <f t="shared" si="601"/>
        <v>38552</v>
      </c>
      <c r="E7809" s="1">
        <v>6</v>
      </c>
      <c r="F7809" s="39">
        <f t="shared" si="602"/>
        <v>665</v>
      </c>
      <c r="G7809" s="176">
        <f>SUM(C7809,C7785,C7761,C7737,C7713,C7689,C7665,C7641,C7617,C7593,C7569,C7545,C7521,C7497)/POBLA!$B$8*100000</f>
        <v>424.037905828519</v>
      </c>
      <c r="H7809" s="525">
        <f t="shared" si="603"/>
        <v>1.2150093032871614</v>
      </c>
    </row>
    <row r="7810" spans="1:10" s="393" customFormat="1" ht="15.75" thickBot="1" x14ac:dyDescent="0.3">
      <c r="A7810" s="394" t="s">
        <v>41</v>
      </c>
      <c r="B7810" s="29">
        <v>44218</v>
      </c>
      <c r="C7810" s="1">
        <v>38</v>
      </c>
      <c r="D7810" s="278">
        <f t="shared" si="601"/>
        <v>797</v>
      </c>
      <c r="E7810" s="1"/>
      <c r="F7810" s="39">
        <f t="shared" si="602"/>
        <v>6</v>
      </c>
      <c r="G7810" s="410">
        <f>SUM(C7810,C7786,C7762,C7738,C7714,C7690,C7666,C7642,C7618,C7594,C7570,C7546,C7522,C7498)/POBLA!$B$9*100000</f>
        <v>91.871518672555695</v>
      </c>
      <c r="H7810" s="411">
        <f t="shared" si="603"/>
        <v>19.857142857142858</v>
      </c>
      <c r="J7810" s="42"/>
    </row>
    <row r="7811" spans="1:10" s="393" customFormat="1" ht="15.75" thickBot="1" x14ac:dyDescent="0.3">
      <c r="A7811" s="394" t="s">
        <v>32</v>
      </c>
      <c r="B7811" s="29">
        <v>44218</v>
      </c>
      <c r="C7811" s="1">
        <v>30</v>
      </c>
      <c r="D7811" s="278">
        <f t="shared" si="601"/>
        <v>19056</v>
      </c>
      <c r="E7811" s="1">
        <v>1</v>
      </c>
      <c r="F7811" s="39">
        <f t="shared" si="602"/>
        <v>865</v>
      </c>
      <c r="G7811" s="410">
        <f>SUM(C7811,C7787,C7763,C7739,C7715,C7691,C7667,C7643,C7619,C7595,C7571,C7547,C7523,C7499)/POBLA!$B$10*100000</f>
        <v>51.629239791874497</v>
      </c>
      <c r="H7811" s="411">
        <f t="shared" si="603"/>
        <v>2.4874999999999998</v>
      </c>
      <c r="J7811" s="42"/>
    </row>
    <row r="7812" spans="1:10" s="393" customFormat="1" ht="15.75" thickBot="1" x14ac:dyDescent="0.3">
      <c r="A7812" s="394" t="s">
        <v>33</v>
      </c>
      <c r="B7812" s="29">
        <v>44218</v>
      </c>
      <c r="C7812" s="1">
        <v>99</v>
      </c>
      <c r="D7812" s="278">
        <f t="shared" si="601"/>
        <v>15644</v>
      </c>
      <c r="E7812" s="1"/>
      <c r="F7812" s="39">
        <f t="shared" si="602"/>
        <v>209</v>
      </c>
      <c r="G7812" s="410">
        <f>SUM(C7812,C7788,C7764,C7740,C7716,C7692,C7668,C7644,C7620,C7596,C7572,C7548,C7524,C7500)/POBLA!$B$11*100000</f>
        <v>714.50891113417481</v>
      </c>
      <c r="H7812" s="411">
        <f t="shared" si="603"/>
        <v>0.68329775880469579</v>
      </c>
      <c r="J7812" s="42"/>
    </row>
    <row r="7813" spans="1:10" s="393" customFormat="1" ht="15.75" thickBot="1" x14ac:dyDescent="0.3">
      <c r="A7813" s="394" t="s">
        <v>21</v>
      </c>
      <c r="B7813" s="29">
        <v>44218</v>
      </c>
      <c r="C7813" s="1">
        <v>11</v>
      </c>
      <c r="D7813" s="278">
        <f t="shared" si="601"/>
        <v>9389</v>
      </c>
      <c r="E7813" s="1">
        <v>2</v>
      </c>
      <c r="F7813" s="39">
        <f t="shared" si="602"/>
        <v>404</v>
      </c>
      <c r="G7813" s="410">
        <f>SUM(C7813,C7789,C7765,C7741,C7717,C7693,C7669,C7645,C7621,C7597,C7573,C7549,C7525,C7501)/POBLA!$B$12*100000</f>
        <v>52.092465396626949</v>
      </c>
      <c r="H7813" s="411">
        <f t="shared" si="603"/>
        <v>1.6141732283464567</v>
      </c>
      <c r="J7813" s="42"/>
    </row>
    <row r="7814" spans="1:10" s="393" customFormat="1" ht="15.75" thickBot="1" x14ac:dyDescent="0.3">
      <c r="A7814" s="394" t="s">
        <v>17</v>
      </c>
      <c r="B7814" s="29">
        <v>44218</v>
      </c>
      <c r="C7814" s="1">
        <v>182</v>
      </c>
      <c r="D7814" s="278">
        <f t="shared" si="601"/>
        <v>62991</v>
      </c>
      <c r="E7814" s="1">
        <v>2</v>
      </c>
      <c r="F7814" s="39">
        <f t="shared" si="602"/>
        <v>1313</v>
      </c>
      <c r="G7814" s="410">
        <f>SUM(C7814,C7790,C7766,C7742,C7718,C7694,C7670,C7646,C7622,C7598,C7574,C7550,C7526,C7502)/POBLA!$B$13*100000</f>
        <v>96.566512823450097</v>
      </c>
      <c r="H7814" s="411">
        <f t="shared" si="603"/>
        <v>1.2289002557544757</v>
      </c>
      <c r="J7814" s="42"/>
    </row>
    <row r="7815" spans="1:10" s="393" customFormat="1" ht="15.75" thickBot="1" x14ac:dyDescent="0.3">
      <c r="A7815" s="394" t="s">
        <v>23</v>
      </c>
      <c r="B7815" s="29">
        <v>44218</v>
      </c>
      <c r="C7815" s="1">
        <v>160</v>
      </c>
      <c r="D7815" s="278">
        <f t="shared" si="601"/>
        <v>3094</v>
      </c>
      <c r="E7815" s="1">
        <v>3</v>
      </c>
      <c r="F7815" s="39">
        <f t="shared" si="602"/>
        <v>63</v>
      </c>
      <c r="G7815" s="410">
        <f>SUM(C7815,C7791,C7767,C7743,C7719,C7695,C7671,C7647,C7623,C7599,C7575,C7551,C7527,C7503)/POBLA!$B$14*100000</f>
        <v>151.82820183081819</v>
      </c>
      <c r="H7815" s="411">
        <f t="shared" si="603"/>
        <v>8.1837606837606831</v>
      </c>
      <c r="J7815" s="42"/>
    </row>
    <row r="7816" spans="1:10" s="393" customFormat="1" ht="15.75" thickBot="1" x14ac:dyDescent="0.3">
      <c r="A7816" s="394" t="s">
        <v>19</v>
      </c>
      <c r="B7816" s="29">
        <v>44218</v>
      </c>
      <c r="C7816" s="1">
        <v>442</v>
      </c>
      <c r="D7816" s="278">
        <f t="shared" si="601"/>
        <v>50595</v>
      </c>
      <c r="E7816" s="1">
        <v>2</v>
      </c>
      <c r="F7816" s="39">
        <f t="shared" si="602"/>
        <v>760</v>
      </c>
      <c r="G7816" s="410">
        <f>SUM(C7816,C7792,C7768,C7744,C7720,C7696,C7672,C7648,C7624,C7600,C7576,C7552,C7528,C7504)/POBLA!$B$15*100000</f>
        <v>907.3016322394011</v>
      </c>
      <c r="H7816" s="411">
        <f t="shared" si="603"/>
        <v>1.1180181851920579</v>
      </c>
      <c r="J7816" s="42"/>
    </row>
    <row r="7817" spans="1:10" s="393" customFormat="1" ht="15.75" thickBot="1" x14ac:dyDescent="0.3">
      <c r="A7817" s="394" t="s">
        <v>18</v>
      </c>
      <c r="B7817" s="29">
        <v>44218</v>
      </c>
      <c r="C7817" s="1">
        <v>312</v>
      </c>
      <c r="D7817" s="278">
        <f t="shared" si="601"/>
        <v>45584</v>
      </c>
      <c r="E7817" s="1">
        <v>7</v>
      </c>
      <c r="F7817" s="39">
        <f t="shared" si="602"/>
        <v>1023</v>
      </c>
      <c r="G7817" s="410">
        <f>SUM(C7817,C7793,C7769,C7745,C7721,C7697,C7673,C7649,C7625,C7601,C7577,C7553,C7529,C7505)/POBLA!$B$16*100000</f>
        <v>607.00097644493781</v>
      </c>
      <c r="H7817" s="411">
        <f t="shared" si="603"/>
        <v>1.1081807081807082</v>
      </c>
      <c r="J7817" s="42"/>
    </row>
    <row r="7818" spans="1:10" s="393" customFormat="1" ht="15.75" thickBot="1" x14ac:dyDescent="0.3">
      <c r="A7818" s="394" t="s">
        <v>34</v>
      </c>
      <c r="B7818" s="29">
        <v>44218</v>
      </c>
      <c r="C7818" s="1">
        <v>53</v>
      </c>
      <c r="D7818" s="278">
        <f t="shared" si="601"/>
        <v>23357</v>
      </c>
      <c r="E7818" s="1">
        <v>1</v>
      </c>
      <c r="F7818" s="39">
        <f t="shared" si="602"/>
        <v>1031</v>
      </c>
      <c r="G7818" s="410">
        <f>SUM(C7818,C7794,C7770,C7746,C7722,C7698,C7674,C7650,C7626,C7602,C7578,C7554,C7530,C7506)/POBLA!$B$17*100000</f>
        <v>52.022013525723516</v>
      </c>
      <c r="H7818" s="411">
        <f t="shared" si="603"/>
        <v>1.5765957446808512</v>
      </c>
      <c r="J7818" s="42"/>
    </row>
    <row r="7819" spans="1:10" s="393" customFormat="1" ht="15.75" thickBot="1" x14ac:dyDescent="0.3">
      <c r="A7819" s="394" t="s">
        <v>35</v>
      </c>
      <c r="B7819" s="29">
        <v>44218</v>
      </c>
      <c r="C7819" s="1">
        <v>71</v>
      </c>
      <c r="D7819" s="278">
        <f t="shared" ref="D7819:D7825" si="604">C7819+D7795</f>
        <v>13504</v>
      </c>
      <c r="E7819" s="1"/>
      <c r="F7819" s="39">
        <f t="shared" ref="F7819:F7825" si="605">E7819+F7795</f>
        <v>216</v>
      </c>
      <c r="G7819" s="410">
        <f>SUM(C7819,C7795,C7771,C7747,C7723,C7699,C7675,C7651,C7627,C7603,C7579,C7555,C7531,C7507)/POBLA!$B$18*100000</f>
        <v>156.67861810482873</v>
      </c>
      <c r="H7819" s="411">
        <f t="shared" si="603"/>
        <v>0.87303851640513552</v>
      </c>
      <c r="J7819" s="42"/>
    </row>
    <row r="7820" spans="1:10" s="393" customFormat="1" ht="15.75" thickBot="1" x14ac:dyDescent="0.3">
      <c r="A7820" s="394" t="s">
        <v>36</v>
      </c>
      <c r="B7820" s="29">
        <v>44218</v>
      </c>
      <c r="C7820" s="1">
        <v>562</v>
      </c>
      <c r="D7820" s="278">
        <f t="shared" si="604"/>
        <v>17926</v>
      </c>
      <c r="E7820" s="1"/>
      <c r="F7820" s="39">
        <f t="shared" si="605"/>
        <v>335</v>
      </c>
      <c r="G7820" s="410">
        <f>SUM(C7820,C7796,C7772,C7748,C7724,C7700,C7676,C7652,C7628,C7604,C7580,C7556,C7532,C7508)/POBLA!$B$19*100000</f>
        <v>276.5930658944618</v>
      </c>
      <c r="H7820" s="411">
        <f t="shared" si="603"/>
        <v>2.6428571428571428</v>
      </c>
      <c r="J7820" s="42"/>
    </row>
    <row r="7821" spans="1:10" s="393" customFormat="1" ht="15.75" thickBot="1" x14ac:dyDescent="0.3">
      <c r="A7821" s="394" t="s">
        <v>37</v>
      </c>
      <c r="B7821" s="29">
        <v>44218</v>
      </c>
      <c r="C7821" s="1">
        <v>245</v>
      </c>
      <c r="D7821" s="278">
        <f t="shared" si="604"/>
        <v>31168</v>
      </c>
      <c r="E7821" s="1">
        <v>1</v>
      </c>
      <c r="F7821" s="39">
        <f t="shared" si="605"/>
        <v>477</v>
      </c>
      <c r="G7821" s="410">
        <f>SUM(C7821,C7797,C7773,C7749,C7725,C7701,C7677,C7653,C7629,C7605,C7581,C7557,C7533,C7509)/POBLA!$B$20*100000</f>
        <v>1256.2278163949488</v>
      </c>
      <c r="H7821" s="411">
        <f t="shared" si="603"/>
        <v>0.97001689189189189</v>
      </c>
      <c r="J7821" s="42"/>
    </row>
    <row r="7822" spans="1:10" s="393" customFormat="1" ht="15.75" thickBot="1" x14ac:dyDescent="0.3">
      <c r="A7822" s="394" t="s">
        <v>22</v>
      </c>
      <c r="B7822" s="29">
        <v>44218</v>
      </c>
      <c r="C7822" s="1">
        <v>1043</v>
      </c>
      <c r="D7822" s="278">
        <f t="shared" si="604"/>
        <v>200489</v>
      </c>
      <c r="E7822" s="1">
        <v>17</v>
      </c>
      <c r="F7822" s="39">
        <f t="shared" si="605"/>
        <v>3299</v>
      </c>
      <c r="G7822" s="410">
        <f>SUM(C7822,C7798,C7774,C7750,C7726,C7702,C7678,C7654,C7630,C7606,C7582,C7558,C7534,C7510)/POBLA!$B$21*100000</f>
        <v>445.93144814894617</v>
      </c>
      <c r="H7822" s="411">
        <f t="shared" si="603"/>
        <v>1.1445783132530121</v>
      </c>
      <c r="J7822" s="42"/>
    </row>
    <row r="7823" spans="1:10" s="393" customFormat="1" ht="15.75" thickBot="1" x14ac:dyDescent="0.3">
      <c r="A7823" s="394" t="s">
        <v>38</v>
      </c>
      <c r="B7823" s="29">
        <v>44218</v>
      </c>
      <c r="C7823" s="1">
        <v>99</v>
      </c>
      <c r="D7823" s="278">
        <f t="shared" si="604"/>
        <v>20158</v>
      </c>
      <c r="E7823" s="1">
        <v>3</v>
      </c>
      <c r="F7823" s="39">
        <f t="shared" si="605"/>
        <v>243</v>
      </c>
      <c r="G7823" s="410">
        <f>SUM(C7823,C7799,C7775,C7751,C7727,C7703,C7679,C7655,C7631,C7607,C7583,C7559,C7535,C7511)/POBLA!$B$22*100000</f>
        <v>176.93723787785709</v>
      </c>
      <c r="H7823" s="411">
        <f t="shared" si="603"/>
        <v>1.2130343377715487</v>
      </c>
      <c r="J7823" s="42"/>
    </row>
    <row r="7824" spans="1:10" s="393" customFormat="1" ht="15.75" thickBot="1" x14ac:dyDescent="0.3">
      <c r="A7824" s="394" t="s">
        <v>39</v>
      </c>
      <c r="B7824" s="29">
        <v>44218</v>
      </c>
      <c r="C7824" s="1">
        <v>48</v>
      </c>
      <c r="D7824" s="278">
        <f t="shared" si="604"/>
        <v>21270</v>
      </c>
      <c r="E7824" s="1">
        <v>9</v>
      </c>
      <c r="F7824" s="39">
        <f t="shared" si="605"/>
        <v>320</v>
      </c>
      <c r="G7824" s="410">
        <f>SUM(C7824,C7800,C7776,C7752,C7728,C7704,C7680,C7656,C7632,C7608,C7584,C7560,C7536,C7512)/POBLA!$B$23*100000</f>
        <v>695.58332862070915</v>
      </c>
      <c r="H7824" s="411">
        <f t="shared" si="603"/>
        <v>0.81295439524124258</v>
      </c>
      <c r="J7824" s="42"/>
    </row>
    <row r="7825" spans="1:10" s="393" customFormat="1" ht="15.75" thickBot="1" x14ac:dyDescent="0.3">
      <c r="A7825" s="394" t="s">
        <v>40</v>
      </c>
      <c r="B7825" s="29">
        <v>44218</v>
      </c>
      <c r="C7825" s="1">
        <v>198</v>
      </c>
      <c r="D7825" s="278">
        <f t="shared" si="604"/>
        <v>75164</v>
      </c>
      <c r="E7825" s="1">
        <v>2</v>
      </c>
      <c r="F7825" s="39">
        <f t="shared" si="605"/>
        <v>1418</v>
      </c>
      <c r="G7825" s="410">
        <f>SUM(C7825,C7801,C7777,C7753,C7729,C7705,C7681,C7657,C7633,C7609,C7585,C7561,C7537,C7513)/POBLA!$B$24*100000</f>
        <v>151.24013369084935</v>
      </c>
      <c r="H7825" s="411">
        <f t="shared" si="603"/>
        <v>1.1037898363479759</v>
      </c>
      <c r="J7825" s="42"/>
    </row>
    <row r="7826" spans="1:10" s="393" customFormat="1" ht="15.75" thickBot="1" x14ac:dyDescent="0.3">
      <c r="A7826" s="394" t="s">
        <v>16</v>
      </c>
      <c r="B7826" s="29">
        <v>44219</v>
      </c>
      <c r="C7826" s="279">
        <v>3265</v>
      </c>
      <c r="D7826" s="278">
        <f>C7826+D7802</f>
        <v>776538</v>
      </c>
      <c r="E7826" s="1">
        <v>109</v>
      </c>
      <c r="F7826" s="39">
        <f>E7826+F7802</f>
        <v>24031</v>
      </c>
      <c r="G7826" s="410">
        <f>SUM(C7826,C7802,C7778,C7754,C7730,C7706,C7682,C7658,C7634,C7610,C7586,C7562,C7538,C7514)/POBLA!$B$1*100000</f>
        <v>329.9614318133581</v>
      </c>
      <c r="H7826" s="411">
        <f t="shared" ref="H7826:H7849" si="606">SUM(C7826,C7802,C7778,C7754,C7730,C7706,C7682,C7658,C7634,C7610,C7586,C7562,C7538,C7514)/SUM(C7490,C7466,C7442,C7418,C7394,C7370,C7346,C7322,C7298,C7274,C7250,C7226,C7202,C7178)</f>
        <v>1.0990031330105383</v>
      </c>
      <c r="J7826" s="42"/>
    </row>
    <row r="7827" spans="1:10" s="393" customFormat="1" ht="15.75" thickBot="1" x14ac:dyDescent="0.3">
      <c r="A7827" s="394" t="s">
        <v>43</v>
      </c>
      <c r="B7827" s="29">
        <v>44219</v>
      </c>
      <c r="C7827" s="279">
        <v>924</v>
      </c>
      <c r="D7827" s="278">
        <f t="shared" ref="D7827:D7873" si="607">C7827+D7803</f>
        <v>201907</v>
      </c>
      <c r="E7827" s="1">
        <v>11</v>
      </c>
      <c r="F7827" s="39">
        <f t="shared" ref="F7827:F7873" si="608">E7827+F7803</f>
        <v>5782</v>
      </c>
      <c r="G7827" s="410">
        <f>SUM(C7827,C7803,C7779,C7755,C7731,C7707,C7683,C7659,C7635,C7611,C7587,C7563,C7539,C7515)/POBLA!$B$2*100000</f>
        <v>556.53348922470275</v>
      </c>
      <c r="H7827" s="411">
        <f t="shared" si="606"/>
        <v>1.1267855967349087</v>
      </c>
      <c r="J7827" s="42"/>
    </row>
    <row r="7828" spans="1:10" s="393" customFormat="1" ht="15.75" thickBot="1" x14ac:dyDescent="0.3">
      <c r="A7828" s="394" t="s">
        <v>28</v>
      </c>
      <c r="B7828" s="29">
        <v>44219</v>
      </c>
      <c r="C7828" s="279">
        <v>53</v>
      </c>
      <c r="D7828" s="278">
        <f t="shared" si="607"/>
        <v>4682</v>
      </c>
      <c r="E7828" s="1"/>
      <c r="F7828" s="39">
        <f t="shared" si="608"/>
        <v>17</v>
      </c>
      <c r="G7828" s="410">
        <f>SUM(C7828,C7804,C7780,C7756,C7732,C7708,C7684,C7660,C7636,C7612,C7588,C7564,C7540,C7516)/POBLA!$B$3*100000</f>
        <v>375.50729591419179</v>
      </c>
      <c r="H7828" s="411">
        <f t="shared" si="606"/>
        <v>2.6351351351351351</v>
      </c>
      <c r="J7828" s="42"/>
    </row>
    <row r="7829" spans="1:10" s="393" customFormat="1" ht="15.75" thickBot="1" x14ac:dyDescent="0.3">
      <c r="A7829" s="394" t="s">
        <v>15</v>
      </c>
      <c r="B7829" s="29">
        <v>44219</v>
      </c>
      <c r="C7829" s="279">
        <v>172</v>
      </c>
      <c r="D7829" s="278">
        <f t="shared" si="607"/>
        <v>29677</v>
      </c>
      <c r="E7829" s="1"/>
      <c r="F7829" s="39">
        <f t="shared" si="608"/>
        <v>776</v>
      </c>
      <c r="G7829" s="410">
        <f>SUM(C7829,C7805,C7781,C7757,C7733,C7709,C7685,C7661,C7637,C7613,C7589,C7565,C7541,C7517)/POBLA!$B$4*100000</f>
        <v>243.9933551452379</v>
      </c>
      <c r="H7829" s="411">
        <f t="shared" si="606"/>
        <v>0.99257007767646066</v>
      </c>
      <c r="J7829" s="42"/>
    </row>
    <row r="7830" spans="1:10" s="393" customFormat="1" ht="15.75" thickBot="1" x14ac:dyDescent="0.3">
      <c r="A7830" s="394" t="s">
        <v>29</v>
      </c>
      <c r="B7830" s="29">
        <v>44219</v>
      </c>
      <c r="C7830" s="279">
        <v>199</v>
      </c>
      <c r="D7830" s="278">
        <f t="shared" si="607"/>
        <v>40148</v>
      </c>
      <c r="E7830" s="1">
        <v>2</v>
      </c>
      <c r="F7830" s="39">
        <f t="shared" si="608"/>
        <v>594</v>
      </c>
      <c r="G7830" s="410">
        <f>SUM(C7830,C7806,C7782,C7758,C7734,C7710,C7686,C7662,C7638,C7614,C7590,C7566,C7542,C7518)/POBLA!$B$5*100000</f>
        <v>811.31642633046533</v>
      </c>
      <c r="H7830" s="411">
        <f t="shared" si="606"/>
        <v>0.93</v>
      </c>
      <c r="J7830" s="42"/>
    </row>
    <row r="7831" spans="1:10" s="393" customFormat="1" ht="15.75" thickBot="1" x14ac:dyDescent="0.3">
      <c r="A7831" s="394" t="s">
        <v>30</v>
      </c>
      <c r="B7831" s="29">
        <v>44219</v>
      </c>
      <c r="C7831" s="279">
        <v>162</v>
      </c>
      <c r="D7831" s="278">
        <f>C7831+D7807</f>
        <v>16239</v>
      </c>
      <c r="E7831" s="1">
        <v>1</v>
      </c>
      <c r="F7831" s="39">
        <f t="shared" si="608"/>
        <v>2565</v>
      </c>
      <c r="G7831" s="410">
        <f>SUM(C7831,C7807,C7783,C7759,C7735,C7711,C7687,C7663,C7639,C7615,C7591,C7567,C7543,C7519)/POBLA!$B$7*100000</f>
        <v>144.50398223616855</v>
      </c>
      <c r="H7831" s="411">
        <f t="shared" si="606"/>
        <v>0.66171456405260598</v>
      </c>
      <c r="J7831" s="42"/>
    </row>
    <row r="7832" spans="1:10" s="393" customFormat="1" ht="15.75" thickBot="1" x14ac:dyDescent="0.3">
      <c r="A7832" s="394" t="s">
        <v>20</v>
      </c>
      <c r="B7832" s="29">
        <v>44219</v>
      </c>
      <c r="C7832" s="279">
        <v>544</v>
      </c>
      <c r="D7832" s="278">
        <f>C7832+D7808</f>
        <v>141220</v>
      </c>
      <c r="E7832" s="1">
        <v>17</v>
      </c>
      <c r="F7832" s="39">
        <f t="shared" si="608"/>
        <v>239</v>
      </c>
      <c r="G7832" s="410">
        <f>SUM(C7832,C7808,C7784,C7760,C7736,C7712,C7688,C7664,C7640,C7616,C7592,C7568,C7544,C7520)/POBLA!$B$6*100000</f>
        <v>472.96531676898934</v>
      </c>
      <c r="H7832" s="411">
        <f t="shared" si="606"/>
        <v>2.1220976781425138</v>
      </c>
      <c r="J7832" s="42"/>
    </row>
    <row r="7833" spans="1:10" ht="15.75" thickBot="1" x14ac:dyDescent="0.3">
      <c r="A7833" s="394" t="s">
        <v>31</v>
      </c>
      <c r="B7833" s="29">
        <v>44219</v>
      </c>
      <c r="C7833" s="279">
        <v>302</v>
      </c>
      <c r="D7833" s="278">
        <f t="shared" si="607"/>
        <v>38854</v>
      </c>
      <c r="E7833" s="1">
        <v>1</v>
      </c>
      <c r="F7833" s="39">
        <f t="shared" si="608"/>
        <v>666</v>
      </c>
      <c r="G7833" s="176">
        <f>SUM(C7833,C7809,C7785,C7761,C7737,C7713,C7689,C7665,C7641,C7617,C7593,C7569,C7545,C7521)/POBLA!$B$8*100000</f>
        <v>408.5973559140553</v>
      </c>
      <c r="H7833" s="525">
        <f t="shared" si="606"/>
        <v>1.0749810174639332</v>
      </c>
    </row>
    <row r="7834" spans="1:10" s="393" customFormat="1" ht="15.75" thickBot="1" x14ac:dyDescent="0.3">
      <c r="A7834" s="394" t="s">
        <v>41</v>
      </c>
      <c r="B7834" s="29">
        <v>44219</v>
      </c>
      <c r="C7834" s="279">
        <v>3</v>
      </c>
      <c r="D7834" s="278">
        <f t="shared" si="607"/>
        <v>800</v>
      </c>
      <c r="E7834" s="1"/>
      <c r="F7834" s="39">
        <f t="shared" si="608"/>
        <v>6</v>
      </c>
      <c r="G7834" s="410">
        <f>SUM(C7834,C7810,C7786,C7762,C7738,C7714,C7690,C7666,C7642,C7618,C7594,C7570,C7546,C7522)/POBLA!$B$9*100000</f>
        <v>89.392970506929188</v>
      </c>
      <c r="H7834" s="411">
        <f t="shared" si="606"/>
        <v>11.760869565217391</v>
      </c>
      <c r="J7834" s="42"/>
    </row>
    <row r="7835" spans="1:10" s="393" customFormat="1" ht="15.75" thickBot="1" x14ac:dyDescent="0.3">
      <c r="A7835" s="394" t="s">
        <v>32</v>
      </c>
      <c r="B7835" s="29">
        <v>44219</v>
      </c>
      <c r="C7835" s="279">
        <v>8</v>
      </c>
      <c r="D7835" s="278">
        <f t="shared" si="607"/>
        <v>19064</v>
      </c>
      <c r="E7835" s="1">
        <v>1</v>
      </c>
      <c r="F7835" s="39">
        <f t="shared" si="608"/>
        <v>866</v>
      </c>
      <c r="G7835" s="410">
        <f>SUM(C7835,C7811,C7787,C7763,C7739,C7715,C7691,C7667,C7643,C7619,C7595,C7571,C7547,C7523)/POBLA!$B$10*100000</f>
        <v>51.629239791874497</v>
      </c>
      <c r="H7835" s="411">
        <f t="shared" si="606"/>
        <v>2.3975903614457832</v>
      </c>
      <c r="J7835" s="42"/>
    </row>
    <row r="7836" spans="1:10" s="393" customFormat="1" ht="15.75" thickBot="1" x14ac:dyDescent="0.3">
      <c r="A7836" s="394" t="s">
        <v>33</v>
      </c>
      <c r="B7836" s="29">
        <v>44219</v>
      </c>
      <c r="C7836" s="279">
        <v>106</v>
      </c>
      <c r="D7836" s="278">
        <f t="shared" si="607"/>
        <v>15750</v>
      </c>
      <c r="E7836" s="1"/>
      <c r="F7836" s="39">
        <f t="shared" si="608"/>
        <v>209</v>
      </c>
      <c r="G7836" s="410">
        <f>SUM(C7836,C7812,C7788,C7764,C7740,C7716,C7692,C7668,C7644,C7620,C7596,C7572,C7548,C7524)/POBLA!$B$11*100000</f>
        <v>656.19873447386919</v>
      </c>
      <c r="H7836" s="411">
        <f t="shared" si="606"/>
        <v>0.60602937387271327</v>
      </c>
      <c r="J7836" s="42"/>
    </row>
    <row r="7837" spans="1:10" s="393" customFormat="1" ht="15.75" thickBot="1" x14ac:dyDescent="0.3">
      <c r="A7837" s="394" t="s">
        <v>21</v>
      </c>
      <c r="B7837" s="29">
        <v>44219</v>
      </c>
      <c r="C7837" s="279">
        <v>13</v>
      </c>
      <c r="D7837" s="278">
        <f t="shared" si="607"/>
        <v>9402</v>
      </c>
      <c r="E7837" s="1"/>
      <c r="F7837" s="39">
        <f t="shared" si="608"/>
        <v>404</v>
      </c>
      <c r="G7837" s="410">
        <f>SUM(C7837,C7813,C7789,C7765,C7741,C7717,C7693,C7669,C7645,C7621,C7597,C7573,C7549,C7525)/POBLA!$B$12*100000</f>
        <v>51.584246222025719</v>
      </c>
      <c r="H7837" s="411">
        <f t="shared" si="606"/>
        <v>1.4710144927536233</v>
      </c>
      <c r="J7837" s="42"/>
    </row>
    <row r="7838" spans="1:10" s="393" customFormat="1" ht="15.75" thickBot="1" x14ac:dyDescent="0.3">
      <c r="A7838" s="394" t="s">
        <v>17</v>
      </c>
      <c r="B7838" s="29">
        <v>44219</v>
      </c>
      <c r="C7838" s="279">
        <v>101</v>
      </c>
      <c r="D7838" s="278">
        <f t="shared" si="607"/>
        <v>63092</v>
      </c>
      <c r="E7838" s="1">
        <v>2</v>
      </c>
      <c r="F7838" s="39">
        <f t="shared" si="608"/>
        <v>1315</v>
      </c>
      <c r="G7838" s="410">
        <f>SUM(C7838,C7814,C7790,C7766,C7742,C7718,C7694,C7670,C7646,C7622,C7598,C7574,C7550,C7526)/POBLA!$B$13*100000</f>
        <v>94.355833029364859</v>
      </c>
      <c r="H7838" s="411">
        <f t="shared" si="606"/>
        <v>1.1340579710144927</v>
      </c>
      <c r="J7838" s="42"/>
    </row>
    <row r="7839" spans="1:10" s="393" customFormat="1" ht="15.75" thickBot="1" x14ac:dyDescent="0.3">
      <c r="A7839" s="394" t="s">
        <v>23</v>
      </c>
      <c r="B7839" s="29">
        <v>44219</v>
      </c>
      <c r="C7839" s="279">
        <v>214</v>
      </c>
      <c r="D7839" s="278">
        <f t="shared" si="607"/>
        <v>3308</v>
      </c>
      <c r="E7839" s="1"/>
      <c r="F7839" s="39">
        <f t="shared" si="608"/>
        <v>63</v>
      </c>
      <c r="G7839" s="410">
        <f>SUM(C7839,C7815,C7791,C7767,C7743,C7719,C7695,C7671,C7647,C7623,C7599,C7575,C7551,C7527)/POBLA!$B$14*100000</f>
        <v>156.42665389671242</v>
      </c>
      <c r="H7839" s="411">
        <f t="shared" si="606"/>
        <v>5.6858789625360231</v>
      </c>
      <c r="J7839" s="42"/>
    </row>
    <row r="7840" spans="1:10" s="393" customFormat="1" ht="15.75" thickBot="1" x14ac:dyDescent="0.3">
      <c r="A7840" s="394" t="s">
        <v>19</v>
      </c>
      <c r="B7840" s="29">
        <v>44219</v>
      </c>
      <c r="C7840" s="279">
        <v>241</v>
      </c>
      <c r="D7840" s="278">
        <f t="shared" si="607"/>
        <v>50836</v>
      </c>
      <c r="E7840" s="1">
        <v>1</v>
      </c>
      <c r="F7840" s="39">
        <f t="shared" si="608"/>
        <v>761</v>
      </c>
      <c r="G7840" s="410">
        <f>SUM(C7840,C7816,C7792,C7768,C7744,C7720,C7696,C7672,C7648,C7624,C7600,C7576,C7552,C7528)/POBLA!$B$15*100000</f>
        <v>890.73678916117149</v>
      </c>
      <c r="H7840" s="411">
        <f t="shared" si="606"/>
        <v>1.0491308974813764</v>
      </c>
      <c r="J7840" s="42"/>
    </row>
    <row r="7841" spans="1:10" s="393" customFormat="1" ht="15.75" thickBot="1" x14ac:dyDescent="0.3">
      <c r="A7841" s="394" t="s">
        <v>18</v>
      </c>
      <c r="B7841" s="29">
        <v>44219</v>
      </c>
      <c r="C7841" s="279">
        <v>286</v>
      </c>
      <c r="D7841" s="278">
        <f t="shared" si="607"/>
        <v>45870</v>
      </c>
      <c r="E7841" s="1">
        <v>3</v>
      </c>
      <c r="F7841" s="39">
        <f t="shared" si="608"/>
        <v>1026</v>
      </c>
      <c r="G7841" s="410">
        <f>SUM(C7841,C7817,C7793,C7769,C7745,C7721,C7697,C7673,C7649,C7625,C7601,C7577,C7553,C7529)/POBLA!$B$16*100000</f>
        <v>613.55519589090568</v>
      </c>
      <c r="H7841" s="411">
        <f t="shared" si="606"/>
        <v>1.1002638522427441</v>
      </c>
      <c r="J7841" s="42"/>
    </row>
    <row r="7842" spans="1:10" s="393" customFormat="1" ht="15.75" thickBot="1" x14ac:dyDescent="0.3">
      <c r="A7842" s="394" t="s">
        <v>34</v>
      </c>
      <c r="B7842" s="29">
        <v>44219</v>
      </c>
      <c r="C7842" s="279">
        <v>59</v>
      </c>
      <c r="D7842" s="278">
        <f t="shared" si="607"/>
        <v>23416</v>
      </c>
      <c r="E7842" s="1">
        <v>2</v>
      </c>
      <c r="F7842" s="39">
        <f t="shared" si="608"/>
        <v>1033</v>
      </c>
      <c r="G7842" s="410">
        <f>SUM(C7842,C7818,C7794,C7770,C7746,C7722,C7698,C7674,C7650,C7626,C7602,C7578,C7554,C7530)/POBLA!$B$17*100000</f>
        <v>51.039141475304987</v>
      </c>
      <c r="H7842" s="411">
        <f t="shared" si="606"/>
        <v>1.4034749034749034</v>
      </c>
      <c r="J7842" s="42"/>
    </row>
    <row r="7843" spans="1:10" s="393" customFormat="1" ht="15.75" thickBot="1" x14ac:dyDescent="0.3">
      <c r="A7843" s="394" t="s">
        <v>35</v>
      </c>
      <c r="B7843" s="29">
        <v>44219</v>
      </c>
      <c r="C7843" s="279">
        <v>32</v>
      </c>
      <c r="D7843" s="278">
        <f t="shared" si="607"/>
        <v>13536</v>
      </c>
      <c r="E7843" s="1"/>
      <c r="F7843" s="39">
        <f t="shared" si="608"/>
        <v>216</v>
      </c>
      <c r="G7843" s="410">
        <f>SUM(C7843,C7819,C7795,C7771,C7747,C7723,C7699,C7675,C7651,C7627,C7603,C7579,C7555,C7531)/POBLA!$B$18*100000</f>
        <v>150.66236397825443</v>
      </c>
      <c r="H7843" s="411">
        <f t="shared" si="606"/>
        <v>0.80122532334921714</v>
      </c>
      <c r="J7843" s="42"/>
    </row>
    <row r="7844" spans="1:10" s="393" customFormat="1" ht="15.75" thickBot="1" x14ac:dyDescent="0.3">
      <c r="A7844" s="394" t="s">
        <v>36</v>
      </c>
      <c r="B7844" s="29">
        <v>44219</v>
      </c>
      <c r="C7844" s="279">
        <v>475</v>
      </c>
      <c r="D7844" s="278">
        <f t="shared" si="607"/>
        <v>18401</v>
      </c>
      <c r="E7844" s="1">
        <v>1</v>
      </c>
      <c r="F7844" s="39">
        <f t="shared" si="608"/>
        <v>336</v>
      </c>
      <c r="G7844" s="410">
        <f>SUM(C7844,C7820,C7796,C7772,C7748,C7724,C7700,C7676,C7652,C7628,C7604,C7580,C7556,C7532)/POBLA!$B$19*100000</f>
        <v>366.88909522985159</v>
      </c>
      <c r="H7844" s="411">
        <f t="shared" si="606"/>
        <v>3.4409594095940959</v>
      </c>
      <c r="J7844" s="42"/>
    </row>
    <row r="7845" spans="1:10" s="393" customFormat="1" ht="15.75" thickBot="1" x14ac:dyDescent="0.3">
      <c r="A7845" s="394" t="s">
        <v>37</v>
      </c>
      <c r="B7845" s="29">
        <v>44219</v>
      </c>
      <c r="C7845" s="279">
        <v>179</v>
      </c>
      <c r="D7845" s="278">
        <f t="shared" si="607"/>
        <v>31347</v>
      </c>
      <c r="E7845" s="1">
        <v>4</v>
      </c>
      <c r="F7845" s="39">
        <f t="shared" si="608"/>
        <v>481</v>
      </c>
      <c r="G7845" s="410">
        <f>SUM(C7845,C7821,C7797,C7773,C7749,C7725,C7701,C7677,C7653,C7629,C7605,C7581,C7557,C7533)/POBLA!$B$20*100000</f>
        <v>1205.3661764625456</v>
      </c>
      <c r="H7845" s="411">
        <f t="shared" si="606"/>
        <v>0.89194658033184948</v>
      </c>
      <c r="J7845" s="42"/>
    </row>
    <row r="7846" spans="1:10" s="393" customFormat="1" ht="15.75" thickBot="1" x14ac:dyDescent="0.3">
      <c r="A7846" s="394" t="s">
        <v>22</v>
      </c>
      <c r="B7846" s="29">
        <v>44219</v>
      </c>
      <c r="C7846" s="279">
        <v>698</v>
      </c>
      <c r="D7846" s="278">
        <f t="shared" si="607"/>
        <v>201187</v>
      </c>
      <c r="E7846" s="1">
        <v>5</v>
      </c>
      <c r="F7846" s="39">
        <f t="shared" si="608"/>
        <v>3304</v>
      </c>
      <c r="G7846" s="410">
        <f>SUM(C7846,C7822,C7798,C7774,C7750,C7726,C7702,C7678,C7654,C7630,C7606,C7582,C7558,C7534)/POBLA!$B$21*100000</f>
        <v>432.55633242450415</v>
      </c>
      <c r="H7846" s="411">
        <f t="shared" si="606"/>
        <v>1.0530772408095828</v>
      </c>
      <c r="J7846" s="42"/>
    </row>
    <row r="7847" spans="1:10" s="393" customFormat="1" ht="15.75" thickBot="1" x14ac:dyDescent="0.3">
      <c r="A7847" s="394" t="s">
        <v>38</v>
      </c>
      <c r="B7847" s="29">
        <v>44219</v>
      </c>
      <c r="C7847" s="279">
        <v>170</v>
      </c>
      <c r="D7847" s="278">
        <f t="shared" si="607"/>
        <v>20328</v>
      </c>
      <c r="E7847" s="1">
        <v>1</v>
      </c>
      <c r="F7847" s="39">
        <f t="shared" si="608"/>
        <v>244</v>
      </c>
      <c r="G7847" s="410">
        <f>SUM(C7847,C7823,C7799,C7775,C7751,C7727,C7703,C7679,C7655,C7631,C7607,C7583,C7559,C7535)/POBLA!$B$22*100000</f>
        <v>181.53699276203014</v>
      </c>
      <c r="H7847" s="411">
        <f t="shared" si="606"/>
        <v>1.1800664451827243</v>
      </c>
      <c r="J7847" s="42"/>
    </row>
    <row r="7848" spans="1:10" s="393" customFormat="1" ht="15.75" thickBot="1" x14ac:dyDescent="0.3">
      <c r="A7848" s="394" t="s">
        <v>39</v>
      </c>
      <c r="B7848" s="29">
        <v>44219</v>
      </c>
      <c r="C7848" s="279">
        <v>74</v>
      </c>
      <c r="D7848" s="278">
        <f t="shared" si="607"/>
        <v>21344</v>
      </c>
      <c r="E7848" s="1">
        <v>1</v>
      </c>
      <c r="F7848" s="39">
        <f t="shared" si="608"/>
        <v>321</v>
      </c>
      <c r="G7848" s="410">
        <f>SUM(C7848,C7824,C7800,C7776,C7752,C7728,C7704,C7680,C7656,C7632,C7608,C7584,C7560,C7536)/POBLA!$B$23*100000</f>
        <v>705.1970819431092</v>
      </c>
      <c r="H7848" s="411">
        <f t="shared" si="606"/>
        <v>0.86237897648686035</v>
      </c>
      <c r="J7848" s="42"/>
    </row>
    <row r="7849" spans="1:10" s="393" customFormat="1" ht="15.75" thickBot="1" x14ac:dyDescent="0.3">
      <c r="A7849" s="394" t="s">
        <v>40</v>
      </c>
      <c r="B7849" s="29">
        <v>44219</v>
      </c>
      <c r="C7849" s="279">
        <v>82</v>
      </c>
      <c r="D7849" s="278">
        <f t="shared" si="607"/>
        <v>75246</v>
      </c>
      <c r="E7849" s="1"/>
      <c r="F7849" s="67">
        <f t="shared" si="608"/>
        <v>1418</v>
      </c>
      <c r="G7849" s="410">
        <f>SUM(C7849,C7825,C7801,C7777,C7753,C7729,C7705,C7681,C7657,C7633,C7609,C7585,C7561,C7537)/POBLA!$B$24*100000</f>
        <v>148.93878167604515</v>
      </c>
      <c r="H7849" s="411">
        <f t="shared" si="606"/>
        <v>1.0667793744716823</v>
      </c>
      <c r="J7849" s="42"/>
    </row>
    <row r="7850" spans="1:10" s="393" customFormat="1" ht="15.75" thickBot="1" x14ac:dyDescent="0.3">
      <c r="A7850" s="394" t="s">
        <v>16</v>
      </c>
      <c r="B7850" s="29">
        <v>44220</v>
      </c>
      <c r="C7850" s="1">
        <v>2091</v>
      </c>
      <c r="D7850" s="278">
        <f>C7850+D7826</f>
        <v>778629</v>
      </c>
      <c r="E7850" s="1">
        <v>44</v>
      </c>
      <c r="F7850" s="39">
        <f>E7850+F7826</f>
        <v>24075</v>
      </c>
      <c r="G7850" s="410">
        <f>SUM(C7850,C7826,C7802,C7778,C7754,C7730,C7706,C7682,C7658,C7634,C7610,C7586,C7562,C7538)/POBLA!$B$1*100000</f>
        <v>323.09756816845606</v>
      </c>
      <c r="H7850" s="411">
        <f t="shared" ref="H7850:H7872" si="609">SUM(C7850,C7826,C7802,C7778,C7754,C7730,C7706,C7682,C7658,C7634,C7610,C7586,C7562,C7538)/SUM(C7514,C7490,C7466,C7442,C7418,C7394,C7370,C7346,C7322,C7298,C7274,C7250,C7226,C7202)</f>
        <v>1.0502371951671485</v>
      </c>
      <c r="J7850" s="42"/>
    </row>
    <row r="7851" spans="1:10" s="393" customFormat="1" ht="15.75" thickBot="1" x14ac:dyDescent="0.3">
      <c r="A7851" s="394" t="s">
        <v>43</v>
      </c>
      <c r="B7851" s="29">
        <v>44220</v>
      </c>
      <c r="C7851" s="1">
        <v>706</v>
      </c>
      <c r="D7851" s="278">
        <f t="shared" si="607"/>
        <v>202613</v>
      </c>
      <c r="E7851" s="1">
        <v>21</v>
      </c>
      <c r="F7851" s="39">
        <f t="shared" si="608"/>
        <v>5803</v>
      </c>
      <c r="G7851" s="410">
        <f>SUM(C7851,C7827,C7803,C7779,C7755,C7731,C7707,C7683,C7659,C7635,C7611,C7587,C7563,C7539)/POBLA!$B$2*100000</f>
        <v>538.94368857794427</v>
      </c>
      <c r="H7851" s="411">
        <f t="shared" si="609"/>
        <v>1.0551241247612986</v>
      </c>
      <c r="J7851" s="42"/>
    </row>
    <row r="7852" spans="1:10" s="393" customFormat="1" ht="15.75" thickBot="1" x14ac:dyDescent="0.3">
      <c r="A7852" s="394" t="s">
        <v>28</v>
      </c>
      <c r="B7852" s="29">
        <v>44220</v>
      </c>
      <c r="C7852" s="1">
        <v>49</v>
      </c>
      <c r="D7852" s="278">
        <f t="shared" si="607"/>
        <v>4731</v>
      </c>
      <c r="E7852" s="1"/>
      <c r="F7852" s="39">
        <f t="shared" si="608"/>
        <v>17</v>
      </c>
      <c r="G7852" s="410">
        <f>SUM(C7852,C7828,C7804,C7780,C7756,C7732,C7708,C7684,C7660,C7636,C7612,C7588,C7564,C7540)/POBLA!$B$3*100000</f>
        <v>375.02587630404537</v>
      </c>
      <c r="H7852" s="411">
        <f t="shared" si="609"/>
        <v>2.6097152428810722</v>
      </c>
      <c r="J7852" s="42"/>
    </row>
    <row r="7853" spans="1:10" s="393" customFormat="1" ht="15.75" thickBot="1" x14ac:dyDescent="0.3">
      <c r="A7853" s="394" t="s">
        <v>15</v>
      </c>
      <c r="B7853" s="29">
        <v>44220</v>
      </c>
      <c r="C7853" s="1">
        <v>137</v>
      </c>
      <c r="D7853" s="278">
        <f t="shared" si="607"/>
        <v>29814</v>
      </c>
      <c r="E7853" s="1"/>
      <c r="F7853" s="39">
        <f t="shared" si="608"/>
        <v>776</v>
      </c>
      <c r="G7853" s="410">
        <f>SUM(C7853,C7829,C7805,C7781,C7757,C7733,C7709,C7685,C7661,C7637,C7613,C7589,C7565,C7541)/POBLA!$B$4*100000</f>
        <v>239.51031969854077</v>
      </c>
      <c r="H7853" s="411">
        <f t="shared" si="609"/>
        <v>0.93608046722907201</v>
      </c>
      <c r="J7853" s="42"/>
    </row>
    <row r="7854" spans="1:10" s="393" customFormat="1" ht="15.75" thickBot="1" x14ac:dyDescent="0.3">
      <c r="A7854" s="394" t="s">
        <v>29</v>
      </c>
      <c r="B7854" s="29">
        <v>44220</v>
      </c>
      <c r="C7854" s="1">
        <v>108</v>
      </c>
      <c r="D7854" s="278">
        <f t="shared" si="607"/>
        <v>40256</v>
      </c>
      <c r="E7854" s="1"/>
      <c r="F7854" s="39">
        <f t="shared" si="608"/>
        <v>594</v>
      </c>
      <c r="G7854" s="410">
        <f>SUM(C7854,C7830,C7806,C7782,C7758,C7734,C7710,C7686,C7662,C7638,C7614,C7590,C7566,C7542)/POBLA!$B$5*100000</f>
        <v>797.42291524635129</v>
      </c>
      <c r="H7854" s="411">
        <f t="shared" si="609"/>
        <v>0.90751976466262185</v>
      </c>
      <c r="J7854" s="42"/>
    </row>
    <row r="7855" spans="1:10" s="393" customFormat="1" ht="15.75" thickBot="1" x14ac:dyDescent="0.3">
      <c r="A7855" s="394" t="s">
        <v>30</v>
      </c>
      <c r="B7855" s="29">
        <v>44220</v>
      </c>
      <c r="C7855" s="1">
        <v>64</v>
      </c>
      <c r="D7855" s="278">
        <f>C7855+D7831</f>
        <v>16303</v>
      </c>
      <c r="E7855" s="1"/>
      <c r="F7855" s="39">
        <f t="shared" si="608"/>
        <v>2565</v>
      </c>
      <c r="G7855" s="410">
        <f>SUM(C7855,C7831,C7807,C7783,C7759,C7735,C7711,C7687,C7663,C7639,C7615,C7591,C7567,C7543)/POBLA!$B$7*100000</f>
        <v>133.81377228789106</v>
      </c>
      <c r="H7855" s="411">
        <f t="shared" si="609"/>
        <v>0.5954324931960715</v>
      </c>
      <c r="J7855" s="42"/>
    </row>
    <row r="7856" spans="1:10" s="393" customFormat="1" ht="15.75" thickBot="1" x14ac:dyDescent="0.3">
      <c r="A7856" s="394" t="s">
        <v>20</v>
      </c>
      <c r="B7856" s="29">
        <v>44220</v>
      </c>
      <c r="C7856" s="1">
        <v>264</v>
      </c>
      <c r="D7856" s="278">
        <f>C7856+D7832</f>
        <v>141484</v>
      </c>
      <c r="E7856" s="1">
        <v>4</v>
      </c>
      <c r="F7856" s="39">
        <f t="shared" si="608"/>
        <v>243</v>
      </c>
      <c r="G7856" s="410">
        <f>SUM(C7856,C7832,C7808,C7784,C7760,C7736,C7712,C7688,C7664,C7640,C7616,C7592,C7568,C7544)/POBLA!$B$6*100000</f>
        <v>485.90249294923899</v>
      </c>
      <c r="H7856" s="411">
        <f t="shared" si="609"/>
        <v>2.2863140218303948</v>
      </c>
      <c r="J7856" s="42"/>
    </row>
    <row r="7857" spans="1:10" ht="15.75" thickBot="1" x14ac:dyDescent="0.3">
      <c r="A7857" s="394" t="s">
        <v>31</v>
      </c>
      <c r="B7857" s="29">
        <v>44220</v>
      </c>
      <c r="C7857" s="1">
        <v>219</v>
      </c>
      <c r="D7857" s="278">
        <f t="shared" si="607"/>
        <v>39073</v>
      </c>
      <c r="E7857" s="1">
        <v>4</v>
      </c>
      <c r="F7857" s="39">
        <f t="shared" si="608"/>
        <v>670</v>
      </c>
      <c r="G7857" s="176">
        <f>SUM(C7857,C7833,C7809,C7785,C7761,C7737,C7713,C7689,C7665,C7641,C7617,C7593,C7569,C7545)/POBLA!$B$8*100000</f>
        <v>399.14543049912658</v>
      </c>
      <c r="H7857" s="525">
        <f t="shared" si="609"/>
        <v>1.0126304228445908</v>
      </c>
    </row>
    <row r="7858" spans="1:10" s="393" customFormat="1" ht="15.75" thickBot="1" x14ac:dyDescent="0.3">
      <c r="A7858" s="394" t="s">
        <v>41</v>
      </c>
      <c r="B7858" s="29">
        <v>44220</v>
      </c>
      <c r="C7858" s="1">
        <v>6</v>
      </c>
      <c r="D7858" s="278">
        <f t="shared" si="607"/>
        <v>806</v>
      </c>
      <c r="E7858" s="1"/>
      <c r="F7858" s="39">
        <f t="shared" si="608"/>
        <v>6</v>
      </c>
      <c r="G7858" s="410">
        <f>SUM(C7858,C7834,C7810,C7786,C7762,C7738,C7714,C7690,C7666,C7642,C7618,C7594,C7570,C7546)/POBLA!$B$9*100000</f>
        <v>85.096820353176582</v>
      </c>
      <c r="H7858" s="411">
        <f t="shared" si="609"/>
        <v>6.6883116883116882</v>
      </c>
      <c r="J7858" s="42"/>
    </row>
    <row r="7859" spans="1:10" s="393" customFormat="1" ht="15.75" thickBot="1" x14ac:dyDescent="0.3">
      <c r="A7859" s="394" t="s">
        <v>32</v>
      </c>
      <c r="B7859" s="29">
        <v>44220</v>
      </c>
      <c r="C7859" s="1">
        <v>29</v>
      </c>
      <c r="D7859" s="278">
        <f t="shared" si="607"/>
        <v>19093</v>
      </c>
      <c r="E7859" s="1"/>
      <c r="F7859" s="39">
        <f t="shared" si="608"/>
        <v>866</v>
      </c>
      <c r="G7859" s="410">
        <f>SUM(C7859,C7835,C7811,C7787,C7763,C7739,C7715,C7691,C7667,C7643,C7619,C7595,C7571,C7547)/POBLA!$B$10*100000</f>
        <v>52.796735164052556</v>
      </c>
      <c r="H7859" s="411">
        <f t="shared" si="609"/>
        <v>2.2611111111111111</v>
      </c>
      <c r="J7859" s="42"/>
    </row>
    <row r="7860" spans="1:10" s="393" customFormat="1" ht="15.75" thickBot="1" x14ac:dyDescent="0.3">
      <c r="A7860" s="394" t="s">
        <v>33</v>
      </c>
      <c r="B7860" s="29">
        <v>44220</v>
      </c>
      <c r="C7860" s="1">
        <v>43</v>
      </c>
      <c r="D7860" s="278">
        <f t="shared" si="607"/>
        <v>15793</v>
      </c>
      <c r="E7860" s="1">
        <v>1</v>
      </c>
      <c r="F7860" s="39">
        <f t="shared" si="608"/>
        <v>210</v>
      </c>
      <c r="G7860" s="410">
        <f>SUM(C7860,C7836,C7812,C7788,C7764,C7740,C7716,C7692,C7668,C7644,C7620,C7596,C7572,C7548)/POBLA!$B$11*100000</f>
        <v>639.73796689990741</v>
      </c>
      <c r="H7860" s="411">
        <f t="shared" si="609"/>
        <v>0.60437532946758044</v>
      </c>
      <c r="J7860" s="42"/>
    </row>
    <row r="7861" spans="1:10" s="393" customFormat="1" ht="15.75" thickBot="1" x14ac:dyDescent="0.3">
      <c r="A7861" s="394" t="s">
        <v>21</v>
      </c>
      <c r="B7861" s="29">
        <v>44220</v>
      </c>
      <c r="C7861" s="1">
        <v>36</v>
      </c>
      <c r="D7861" s="278">
        <f t="shared" si="607"/>
        <v>9438</v>
      </c>
      <c r="E7861" s="1"/>
      <c r="F7861" s="39">
        <f t="shared" si="608"/>
        <v>404</v>
      </c>
      <c r="G7861" s="410">
        <f>SUM(C7861,C7837,C7813,C7789,C7765,C7741,C7717,C7693,C7669,C7645,C7621,C7597,C7573,C7549)/POBLA!$B$12*100000</f>
        <v>56.920547555338715</v>
      </c>
      <c r="H7861" s="411">
        <f t="shared" si="609"/>
        <v>1.5342465753424657</v>
      </c>
      <c r="J7861" s="42"/>
    </row>
    <row r="7862" spans="1:10" s="393" customFormat="1" ht="15.75" thickBot="1" x14ac:dyDescent="0.3">
      <c r="A7862" s="394" t="s">
        <v>17</v>
      </c>
      <c r="B7862" s="29">
        <v>44220</v>
      </c>
      <c r="C7862" s="1">
        <v>63</v>
      </c>
      <c r="D7862" s="278">
        <f t="shared" si="607"/>
        <v>63155</v>
      </c>
      <c r="E7862" s="1">
        <v>2</v>
      </c>
      <c r="F7862" s="39">
        <f t="shared" si="608"/>
        <v>1317</v>
      </c>
      <c r="G7862" s="410">
        <f>SUM(C7862,C7838,C7814,C7790,C7766,C7742,C7718,C7694,C7670,C7646,C7622,C7598,C7574,C7550)/POBLA!$B$13*100000</f>
        <v>93.702677635657864</v>
      </c>
      <c r="H7862" s="411">
        <f t="shared" si="609"/>
        <v>1.1094586555621653</v>
      </c>
      <c r="J7862" s="42"/>
    </row>
    <row r="7863" spans="1:10" s="393" customFormat="1" ht="15.75" thickBot="1" x14ac:dyDescent="0.3">
      <c r="A7863" s="394" t="s">
        <v>23</v>
      </c>
      <c r="B7863" s="29">
        <v>44220</v>
      </c>
      <c r="C7863" s="1">
        <v>159</v>
      </c>
      <c r="D7863" s="278">
        <f t="shared" si="607"/>
        <v>3467</v>
      </c>
      <c r="E7863" s="1">
        <v>1</v>
      </c>
      <c r="F7863" s="39">
        <f t="shared" si="608"/>
        <v>64</v>
      </c>
      <c r="G7863" s="410">
        <f>SUM(C7863,C7839,C7815,C7791,C7767,C7743,C7719,C7695,C7671,C7647,C7623,C7599,C7575,C7551)/POBLA!$B$14*100000</f>
        <v>160.31155305582996</v>
      </c>
      <c r="H7863" s="411">
        <f t="shared" si="609"/>
        <v>4.6589861751152073</v>
      </c>
      <c r="J7863" s="42"/>
    </row>
    <row r="7864" spans="1:10" s="393" customFormat="1" ht="15.75" thickBot="1" x14ac:dyDescent="0.3">
      <c r="A7864" s="394" t="s">
        <v>19</v>
      </c>
      <c r="B7864" s="29">
        <v>44220</v>
      </c>
      <c r="C7864" s="1">
        <v>149</v>
      </c>
      <c r="D7864" s="278">
        <f t="shared" si="607"/>
        <v>50985</v>
      </c>
      <c r="E7864" s="1"/>
      <c r="F7864" s="39">
        <f t="shared" si="608"/>
        <v>761</v>
      </c>
      <c r="G7864" s="410">
        <f>SUM(C7864,C7840,C7816,C7792,C7768,C7744,C7720,C7696,C7672,C7648,C7624,C7600,C7576,C7552)/POBLA!$B$15*100000</f>
        <v>878.6896305588225</v>
      </c>
      <c r="H7864" s="411">
        <f t="shared" si="609"/>
        <v>1.0086430423509076</v>
      </c>
      <c r="J7864" s="42"/>
    </row>
    <row r="7865" spans="1:10" s="393" customFormat="1" ht="15.75" thickBot="1" x14ac:dyDescent="0.3">
      <c r="A7865" s="394" t="s">
        <v>18</v>
      </c>
      <c r="B7865" s="29">
        <v>44220</v>
      </c>
      <c r="C7865" s="1">
        <v>108</v>
      </c>
      <c r="D7865" s="278">
        <f t="shared" si="607"/>
        <v>45978</v>
      </c>
      <c r="E7865" s="1">
        <v>7</v>
      </c>
      <c r="F7865" s="39">
        <f t="shared" si="608"/>
        <v>1033</v>
      </c>
      <c r="G7865" s="410">
        <f>SUM(C7865,C7841,C7817,C7793,C7769,C7745,C7721,C7697,C7673,C7649,C7625,C7601,C7577,C7553)/POBLA!$B$16*100000</f>
        <v>601.11555490161982</v>
      </c>
      <c r="H7865" s="411">
        <f t="shared" si="609"/>
        <v>1.0682196339434276</v>
      </c>
      <c r="J7865" s="42"/>
    </row>
    <row r="7866" spans="1:10" s="393" customFormat="1" ht="15.75" thickBot="1" x14ac:dyDescent="0.3">
      <c r="A7866" s="394" t="s">
        <v>34</v>
      </c>
      <c r="B7866" s="29">
        <v>44220</v>
      </c>
      <c r="C7866" s="1">
        <v>26</v>
      </c>
      <c r="D7866" s="278">
        <f t="shared" si="607"/>
        <v>23442</v>
      </c>
      <c r="E7866" s="1"/>
      <c r="F7866" s="39">
        <f t="shared" si="608"/>
        <v>1033</v>
      </c>
      <c r="G7866" s="410">
        <f>SUM(C7866,C7842,C7818,C7794,C7770,C7746,C7722,C7698,C7674,C7650,C7626,C7602,C7578,C7554)/POBLA!$B$17*100000</f>
        <v>51.390167207597322</v>
      </c>
      <c r="H7866" s="411">
        <f t="shared" si="609"/>
        <v>1.4581673306772909</v>
      </c>
      <c r="J7866" s="42"/>
    </row>
    <row r="7867" spans="1:10" s="393" customFormat="1" ht="15.75" thickBot="1" x14ac:dyDescent="0.3">
      <c r="A7867" s="394" t="s">
        <v>35</v>
      </c>
      <c r="B7867" s="29">
        <v>44220</v>
      </c>
      <c r="C7867" s="1">
        <v>9</v>
      </c>
      <c r="D7867" s="278">
        <f t="shared" si="607"/>
        <v>13545</v>
      </c>
      <c r="E7867" s="1">
        <v>1</v>
      </c>
      <c r="F7867" s="39">
        <f t="shared" si="608"/>
        <v>217</v>
      </c>
      <c r="G7867" s="410">
        <f>SUM(C7867,C7843,C7819,C7795,C7771,C7747,C7723,C7699,C7675,C7651,C7627,C7603,C7579,C7555)/POBLA!$B$18*100000</f>
        <v>148.87028828097698</v>
      </c>
      <c r="H7867" s="411">
        <f t="shared" si="609"/>
        <v>0.78475033738191635</v>
      </c>
      <c r="J7867" s="42"/>
    </row>
    <row r="7868" spans="1:10" s="393" customFormat="1" ht="15.75" thickBot="1" x14ac:dyDescent="0.3">
      <c r="A7868" s="394" t="s">
        <v>36</v>
      </c>
      <c r="B7868" s="29">
        <v>44220</v>
      </c>
      <c r="C7868" s="1">
        <v>52</v>
      </c>
      <c r="D7868" s="278">
        <f t="shared" si="607"/>
        <v>18453</v>
      </c>
      <c r="E7868" s="1"/>
      <c r="F7868" s="39">
        <f t="shared" si="608"/>
        <v>336</v>
      </c>
      <c r="G7868" s="410">
        <f>SUM(C7868,C7844,C7820,C7796,C7772,C7748,C7724,C7700,C7676,C7652,C7628,C7604,C7580,C7556)/POBLA!$B$19*100000</f>
        <v>375.54492375001968</v>
      </c>
      <c r="H7868" s="411">
        <f t="shared" si="609"/>
        <v>3.728515625</v>
      </c>
      <c r="J7868" s="42"/>
    </row>
    <row r="7869" spans="1:10" s="393" customFormat="1" ht="15.75" thickBot="1" x14ac:dyDescent="0.3">
      <c r="A7869" s="394" t="s">
        <v>37</v>
      </c>
      <c r="B7869" s="29">
        <v>44220</v>
      </c>
      <c r="C7869" s="1">
        <v>131</v>
      </c>
      <c r="D7869" s="278">
        <f t="shared" si="607"/>
        <v>31478</v>
      </c>
      <c r="E7869" s="1"/>
      <c r="F7869" s="39">
        <f t="shared" si="608"/>
        <v>481</v>
      </c>
      <c r="G7869" s="410">
        <f>SUM(C7869,C7845,C7821,C7797,C7773,C7749,C7725,C7701,C7677,C7653,C7629,C7605,C7581,C7557)/POBLA!$B$20*100000</f>
        <v>1171.4584165076101</v>
      </c>
      <c r="H7869" s="411">
        <f t="shared" si="609"/>
        <v>0.8645812310797174</v>
      </c>
      <c r="J7869" s="42"/>
    </row>
    <row r="7870" spans="1:10" s="393" customFormat="1" ht="15.75" thickBot="1" x14ac:dyDescent="0.3">
      <c r="A7870" s="394" t="s">
        <v>22</v>
      </c>
      <c r="B7870" s="29">
        <v>44220</v>
      </c>
      <c r="C7870" s="1">
        <v>438</v>
      </c>
      <c r="D7870" s="278">
        <f t="shared" si="607"/>
        <v>201625</v>
      </c>
      <c r="E7870" s="1">
        <v>2</v>
      </c>
      <c r="F7870" s="39">
        <f t="shared" si="608"/>
        <v>3306</v>
      </c>
      <c r="G7870" s="410">
        <f>SUM(C7870,C7846,C7822,C7798,C7774,C7750,C7726,C7702,C7678,C7654,C7630,C7606,C7582,C7558)/POBLA!$B$21*100000</f>
        <v>429.44584039556406</v>
      </c>
      <c r="H7870" s="411">
        <f t="shared" si="609"/>
        <v>1.0353831469866375</v>
      </c>
      <c r="J7870" s="42"/>
    </row>
    <row r="7871" spans="1:10" s="393" customFormat="1" ht="15.75" thickBot="1" x14ac:dyDescent="0.3">
      <c r="A7871" s="394" t="s">
        <v>38</v>
      </c>
      <c r="B7871" s="29">
        <v>44220</v>
      </c>
      <c r="C7871" s="1">
        <v>60</v>
      </c>
      <c r="D7871" s="278">
        <f t="shared" si="607"/>
        <v>20388</v>
      </c>
      <c r="E7871" s="1">
        <v>2</v>
      </c>
      <c r="F7871" s="39">
        <f t="shared" si="608"/>
        <v>246</v>
      </c>
      <c r="G7871" s="410">
        <f>SUM(C7871,C7847,C7823,C7799,C7775,C7751,C7727,C7703,C7679,C7655,C7631,C7607,C7583,C7559)/POBLA!$B$22*100000</f>
        <v>181.02590888601091</v>
      </c>
      <c r="H7871" s="411">
        <f t="shared" si="609"/>
        <v>1.1455368693402328</v>
      </c>
      <c r="J7871" s="42"/>
    </row>
    <row r="7872" spans="1:10" s="393" customFormat="1" ht="15.75" thickBot="1" x14ac:dyDescent="0.3">
      <c r="A7872" s="394" t="s">
        <v>39</v>
      </c>
      <c r="B7872" s="29">
        <v>44220</v>
      </c>
      <c r="C7872" s="1">
        <v>46</v>
      </c>
      <c r="D7872" s="278">
        <f t="shared" si="607"/>
        <v>21390</v>
      </c>
      <c r="E7872" s="1">
        <v>1</v>
      </c>
      <c r="F7872" s="39">
        <f t="shared" si="608"/>
        <v>322</v>
      </c>
      <c r="G7872" s="410">
        <f>SUM(C7872,C7848,C7824,C7800,C7776,C7752,C7728,C7704,C7680,C7656,C7632,C7608,C7584,C7560)/POBLA!$B$23*100000</f>
        <v>689.36266470621501</v>
      </c>
      <c r="H7872" s="411">
        <f t="shared" si="609"/>
        <v>0.85125698324022347</v>
      </c>
      <c r="J7872" s="42"/>
    </row>
    <row r="7873" spans="1:10" s="393" customFormat="1" ht="15.75" thickBot="1" x14ac:dyDescent="0.3">
      <c r="A7873" s="394" t="s">
        <v>40</v>
      </c>
      <c r="B7873" s="29">
        <v>44220</v>
      </c>
      <c r="C7873" s="1">
        <v>38</v>
      </c>
      <c r="D7873" s="278">
        <f t="shared" si="607"/>
        <v>75284</v>
      </c>
      <c r="E7873" s="1"/>
      <c r="F7873" s="39">
        <f t="shared" si="608"/>
        <v>1418</v>
      </c>
      <c r="G7873" s="410">
        <f>SUM(C7873,C7849,C7825,C7801,C7777,C7753,C7729,C7705,C7681,C7657,C7633,C7609,C7585,C7561)/POBLA!$B$24*100000</f>
        <v>144.33607764643679</v>
      </c>
      <c r="H7873" s="411">
        <f t="shared" ref="H7873:H7902" si="610">SUM(C7873,C7849,C7825,C7801,C7777,C7753,C7729,C7705,C7681,C7657,C7633,C7609,C7585,C7561)/SUM(C7537,C7513,C7489,C7465,C7441,C7417,C7393,C7369,C7345,C7321,C7297,C7273,C7249,C7225)</f>
        <v>1.0061703002879474</v>
      </c>
      <c r="J7873" s="42"/>
    </row>
    <row r="7874" spans="1:10" s="393" customFormat="1" ht="15.75" thickBot="1" x14ac:dyDescent="0.3">
      <c r="A7874" s="394" t="s">
        <v>16</v>
      </c>
      <c r="B7874" s="29">
        <v>44221</v>
      </c>
      <c r="C7874" s="1">
        <v>2749</v>
      </c>
      <c r="D7874" s="278">
        <f t="shared" ref="D7874:D7905" si="611">C7874+D7850</f>
        <v>781378</v>
      </c>
      <c r="E7874" s="1">
        <v>81</v>
      </c>
      <c r="F7874" s="39">
        <f>E7874+F7850</f>
        <v>24156</v>
      </c>
      <c r="G7874" s="410">
        <f>SUM(C7874,C7850,C7826,C7802,C7778,C7754,C7730,C7706,C7682,C7658,C7634,C7610,C7586,C7562)/POBLA!$B$1*100000</f>
        <v>320.64048741185081</v>
      </c>
      <c r="H7874" s="411">
        <f t="shared" si="610"/>
        <v>1.036354590849625</v>
      </c>
      <c r="I7874" s="412"/>
      <c r="J7874" s="42"/>
    </row>
    <row r="7875" spans="1:10" s="393" customFormat="1" ht="16.5" thickTop="1" thickBot="1" x14ac:dyDescent="0.3">
      <c r="A7875" s="394" t="s">
        <v>43</v>
      </c>
      <c r="B7875" s="29">
        <v>44221</v>
      </c>
      <c r="C7875" s="1">
        <v>1094</v>
      </c>
      <c r="D7875" s="278">
        <f t="shared" si="611"/>
        <v>203707</v>
      </c>
      <c r="E7875" s="1">
        <v>26</v>
      </c>
      <c r="F7875" s="39">
        <f t="shared" ref="F7875:F7897" si="612">E7875+F7851</f>
        <v>5829</v>
      </c>
      <c r="G7875" s="410">
        <f>SUM(C7875,C7851,C7827,C7803,C7779,C7755,C7731,C7707,C7683,C7659,C7635,C7611,C7587,C7563)/POBLA!$B$2*100000</f>
        <v>544.7636041338958</v>
      </c>
      <c r="H7875" s="411">
        <f t="shared" si="610"/>
        <v>1.0629996193376474</v>
      </c>
      <c r="I7875" s="412"/>
      <c r="J7875" s="42"/>
    </row>
    <row r="7876" spans="1:10" s="393" customFormat="1" ht="16.5" thickTop="1" thickBot="1" x14ac:dyDescent="0.3">
      <c r="A7876" s="394" t="s">
        <v>28</v>
      </c>
      <c r="B7876" s="29">
        <v>44221</v>
      </c>
      <c r="C7876" s="1">
        <v>30</v>
      </c>
      <c r="D7876" s="278">
        <f t="shared" si="611"/>
        <v>4761</v>
      </c>
      <c r="E7876" s="1"/>
      <c r="F7876" s="39">
        <f t="shared" si="612"/>
        <v>17</v>
      </c>
      <c r="G7876" s="410">
        <f>SUM(C7876,C7852,C7828,C7804,C7780,C7756,C7732,C7708,C7684,C7660,C7636,C7612,C7588,C7564)/POBLA!$B$3*100000</f>
        <v>374.78516649897216</v>
      </c>
      <c r="H7876" s="411">
        <f t="shared" si="610"/>
        <v>2.608040201005025</v>
      </c>
      <c r="I7876" s="413"/>
      <c r="J7876" s="42"/>
    </row>
    <row r="7877" spans="1:10" s="393" customFormat="1" ht="16.5" thickTop="1" thickBot="1" x14ac:dyDescent="0.3">
      <c r="A7877" s="394" t="s">
        <v>15</v>
      </c>
      <c r="B7877" s="29">
        <v>44221</v>
      </c>
      <c r="C7877" s="1">
        <v>76</v>
      </c>
      <c r="D7877" s="278">
        <f t="shared" si="611"/>
        <v>29890</v>
      </c>
      <c r="E7877" s="1">
        <v>5</v>
      </c>
      <c r="F7877" s="39">
        <f t="shared" si="612"/>
        <v>781</v>
      </c>
      <c r="G7877" s="410">
        <f>SUM(C7877,C7853,C7829,C7805,C7781,C7757,C7733,C7709,C7685,C7661,C7637,C7613,C7589,C7565)/POBLA!$B$4*100000</f>
        <v>233.03482405331158</v>
      </c>
      <c r="H7877" s="411">
        <f t="shared" si="610"/>
        <v>0.90112359550561794</v>
      </c>
      <c r="I7877" s="414"/>
      <c r="J7877" s="42"/>
    </row>
    <row r="7878" spans="1:10" s="393" customFormat="1" ht="16.5" thickTop="1" thickBot="1" x14ac:dyDescent="0.3">
      <c r="A7878" s="394" t="s">
        <v>29</v>
      </c>
      <c r="B7878" s="29">
        <v>44221</v>
      </c>
      <c r="C7878" s="1">
        <v>304</v>
      </c>
      <c r="D7878" s="278">
        <f t="shared" si="611"/>
        <v>40560</v>
      </c>
      <c r="E7878" s="1">
        <v>11</v>
      </c>
      <c r="F7878" s="39">
        <f t="shared" si="612"/>
        <v>605</v>
      </c>
      <c r="G7878" s="410">
        <f>SUM(C7878,C7854,C7830,C7806,C7782,C7758,C7734,C7710,C7686,C7662,C7638,C7614,C7590,C7566)/POBLA!$B$5*100000</f>
        <v>764.95087189859669</v>
      </c>
      <c r="H7878" s="411">
        <f t="shared" si="610"/>
        <v>0.86200618969597664</v>
      </c>
      <c r="I7878" s="414"/>
      <c r="J7878" s="42"/>
    </row>
    <row r="7879" spans="1:10" s="393" customFormat="1" ht="16.5" thickTop="1" thickBot="1" x14ac:dyDescent="0.3">
      <c r="A7879" s="394" t="s">
        <v>30</v>
      </c>
      <c r="B7879" s="29">
        <v>44221</v>
      </c>
      <c r="C7879" s="1">
        <v>160</v>
      </c>
      <c r="D7879" s="278">
        <f t="shared" si="611"/>
        <v>16463</v>
      </c>
      <c r="E7879" s="1">
        <v>1</v>
      </c>
      <c r="F7879" s="39">
        <f t="shared" si="612"/>
        <v>2566</v>
      </c>
      <c r="G7879" s="410">
        <f>SUM(C7879,C7855,C7831,C7807,C7783,C7759,C7735,C7711,C7687,C7663,C7639,C7615,C7591,C7567)/POBLA!$B$7*100000</f>
        <v>130.17059128561741</v>
      </c>
      <c r="H7879" s="411">
        <f t="shared" si="610"/>
        <v>0.57846844717560864</v>
      </c>
      <c r="I7879" s="414"/>
      <c r="J7879" s="42"/>
    </row>
    <row r="7880" spans="1:10" s="393" customFormat="1" ht="16.5" thickTop="1" thickBot="1" x14ac:dyDescent="0.3">
      <c r="A7880" s="394" t="s">
        <v>20</v>
      </c>
      <c r="B7880" s="29">
        <v>44221</v>
      </c>
      <c r="C7880" s="1">
        <v>340</v>
      </c>
      <c r="D7880" s="278">
        <f t="shared" si="611"/>
        <v>141824</v>
      </c>
      <c r="E7880" s="1">
        <v>9</v>
      </c>
      <c r="F7880" s="39">
        <f t="shared" si="612"/>
        <v>252</v>
      </c>
      <c r="G7880" s="410">
        <f>SUM(C7880,C7856,C7832,C7808,C7784,C7760,C7736,C7712,C7688,C7664,C7640,C7616,C7592,C7568)/POBLA!$B$6*100000</f>
        <v>501.15943865146443</v>
      </c>
      <c r="H7880" s="411">
        <f t="shared" si="610"/>
        <v>2.3720439189189189</v>
      </c>
      <c r="I7880" s="412"/>
      <c r="J7880" s="42"/>
    </row>
    <row r="7881" spans="1:10" ht="16.5" thickTop="1" thickBot="1" x14ac:dyDescent="0.3">
      <c r="A7881" s="394" t="s">
        <v>31</v>
      </c>
      <c r="B7881" s="29">
        <v>44221</v>
      </c>
      <c r="C7881" s="1">
        <v>302</v>
      </c>
      <c r="D7881" s="278">
        <f t="shared" si="611"/>
        <v>39375</v>
      </c>
      <c r="E7881" s="1">
        <v>10</v>
      </c>
      <c r="F7881" s="39">
        <f t="shared" si="612"/>
        <v>680</v>
      </c>
      <c r="G7881" s="176">
        <f>SUM(C7881,C7857,C7833,C7809,C7785,C7761,C7737,C7713,C7689,C7665,C7641,C7617,C7593,C7569)/POBLA!$B$8*100000</f>
        <v>408.02013909482298</v>
      </c>
      <c r="H7881" s="525">
        <f t="shared" si="610"/>
        <v>1.0349560761346999</v>
      </c>
      <c r="I7881" s="526"/>
    </row>
    <row r="7882" spans="1:10" s="393" customFormat="1" ht="16.5" thickTop="1" thickBot="1" x14ac:dyDescent="0.3">
      <c r="A7882" s="394" t="s">
        <v>41</v>
      </c>
      <c r="B7882" s="29">
        <v>44221</v>
      </c>
      <c r="C7882" s="1">
        <v>1</v>
      </c>
      <c r="D7882" s="278">
        <f t="shared" si="611"/>
        <v>807</v>
      </c>
      <c r="E7882" s="1"/>
      <c r="F7882" s="39">
        <f t="shared" si="612"/>
        <v>6</v>
      </c>
      <c r="G7882" s="410">
        <f>SUM(C7882,C7858,C7834,C7810,C7786,C7762,C7738,C7714,C7690,C7666,C7642,C7618,C7594,C7570)/POBLA!$B$9*100000</f>
        <v>81.792089465674593</v>
      </c>
      <c r="H7882" s="411">
        <f t="shared" si="610"/>
        <v>5.4395604395604398</v>
      </c>
      <c r="I7882" s="413"/>
      <c r="J7882" s="42"/>
    </row>
    <row r="7883" spans="1:10" s="393" customFormat="1" ht="16.5" thickTop="1" thickBot="1" x14ac:dyDescent="0.3">
      <c r="A7883" s="394" t="s">
        <v>32</v>
      </c>
      <c r="B7883" s="29">
        <v>44221</v>
      </c>
      <c r="C7883" s="1">
        <v>7</v>
      </c>
      <c r="D7883" s="278">
        <f t="shared" si="611"/>
        <v>19100</v>
      </c>
      <c r="E7883" s="1"/>
      <c r="F7883" s="39">
        <f t="shared" si="612"/>
        <v>866</v>
      </c>
      <c r="G7883" s="410">
        <f>SUM(C7883,C7859,C7835,C7811,C7787,C7763,C7739,C7715,C7691,C7667,C7643,C7619,C7595,C7571)/POBLA!$B$10*100000</f>
        <v>51.499518083854703</v>
      </c>
      <c r="H7883" s="411">
        <f t="shared" si="610"/>
        <v>2.0463917525773194</v>
      </c>
      <c r="I7883" s="414"/>
      <c r="J7883" s="42"/>
    </row>
    <row r="7884" spans="1:10" s="393" customFormat="1" ht="16.5" thickTop="1" thickBot="1" x14ac:dyDescent="0.3">
      <c r="A7884" s="394" t="s">
        <v>33</v>
      </c>
      <c r="B7884" s="29">
        <v>44221</v>
      </c>
      <c r="C7884" s="1">
        <v>101</v>
      </c>
      <c r="D7884" s="278">
        <f t="shared" si="611"/>
        <v>15894</v>
      </c>
      <c r="E7884" s="1">
        <v>12</v>
      </c>
      <c r="F7884" s="39">
        <f t="shared" si="612"/>
        <v>222</v>
      </c>
      <c r="G7884" s="410">
        <f>SUM(C7884,C7860,C7836,C7812,C7788,C7764,C7740,C7716,C7692,C7668,C7644,C7620,C7596,C7572)/POBLA!$B$11*100000</f>
        <v>611.28036872119367</v>
      </c>
      <c r="H7884" s="411">
        <f t="shared" si="610"/>
        <v>0.57825283716020059</v>
      </c>
      <c r="I7884" s="414"/>
      <c r="J7884" s="42"/>
    </row>
    <row r="7885" spans="1:10" s="393" customFormat="1" ht="16.5" thickTop="1" thickBot="1" x14ac:dyDescent="0.3">
      <c r="A7885" s="394" t="s">
        <v>21</v>
      </c>
      <c r="B7885" s="29">
        <v>44221</v>
      </c>
      <c r="C7885" s="1">
        <v>3</v>
      </c>
      <c r="D7885" s="278">
        <f t="shared" si="611"/>
        <v>9441</v>
      </c>
      <c r="E7885" s="1">
        <v>1</v>
      </c>
      <c r="F7885" s="39">
        <f t="shared" si="612"/>
        <v>405</v>
      </c>
      <c r="G7885" s="410">
        <f>SUM(C7885,C7861,C7837,C7813,C7789,C7765,C7741,C7717,C7693,C7669,C7645,C7621,C7597,C7573)/POBLA!$B$12*100000</f>
        <v>54.379451682332522</v>
      </c>
      <c r="H7885" s="411">
        <f t="shared" si="610"/>
        <v>1.3806451612903226</v>
      </c>
      <c r="I7885" s="413"/>
      <c r="J7885" s="42"/>
    </row>
    <row r="7886" spans="1:10" s="393" customFormat="1" ht="16.5" thickTop="1" thickBot="1" x14ac:dyDescent="0.3">
      <c r="A7886" s="394" t="s">
        <v>17</v>
      </c>
      <c r="B7886" s="29">
        <v>44221</v>
      </c>
      <c r="C7886" s="1">
        <v>55</v>
      </c>
      <c r="D7886" s="278">
        <f t="shared" si="611"/>
        <v>63210</v>
      </c>
      <c r="E7886" s="1">
        <v>3</v>
      </c>
      <c r="F7886" s="39">
        <f t="shared" si="612"/>
        <v>1320</v>
      </c>
      <c r="G7886" s="410">
        <f>SUM(C7886,C7862,C7838,C7814,C7790,C7766,C7742,C7718,C7694,C7670,C7646,C7622,C7598,C7574)/POBLA!$B$13*100000</f>
        <v>91.190541506015563</v>
      </c>
      <c r="H7886" s="411">
        <f t="shared" si="610"/>
        <v>1.0620245757753073</v>
      </c>
      <c r="I7886" s="412"/>
      <c r="J7886" s="42"/>
    </row>
    <row r="7887" spans="1:10" s="393" customFormat="1" ht="16.5" thickTop="1" thickBot="1" x14ac:dyDescent="0.3">
      <c r="A7887" s="394" t="s">
        <v>23</v>
      </c>
      <c r="B7887" s="29">
        <v>44221</v>
      </c>
      <c r="C7887" s="1">
        <v>145</v>
      </c>
      <c r="D7887" s="278">
        <f t="shared" si="611"/>
        <v>3612</v>
      </c>
      <c r="E7887" s="1"/>
      <c r="F7887" s="39">
        <f t="shared" si="612"/>
        <v>64</v>
      </c>
      <c r="G7887" s="410">
        <f>SUM(C7887,C7863,C7839,C7815,C7791,C7767,C7743,C7719,C7695,C7671,C7647,C7623,C7599,C7575)/POBLA!$B$14*100000</f>
        <v>169.82559181285251</v>
      </c>
      <c r="H7887" s="411">
        <f t="shared" si="610"/>
        <v>4.6973684210526319</v>
      </c>
      <c r="I7887" s="413"/>
      <c r="J7887" s="42"/>
    </row>
    <row r="7888" spans="1:10" s="393" customFormat="1" ht="16.5" thickTop="1" thickBot="1" x14ac:dyDescent="0.3">
      <c r="A7888" s="394" t="s">
        <v>19</v>
      </c>
      <c r="B7888" s="29">
        <v>44221</v>
      </c>
      <c r="C7888" s="1">
        <v>552</v>
      </c>
      <c r="D7888" s="278">
        <f t="shared" si="611"/>
        <v>51537</v>
      </c>
      <c r="E7888" s="1">
        <v>2</v>
      </c>
      <c r="F7888" s="39">
        <f t="shared" si="612"/>
        <v>763</v>
      </c>
      <c r="G7888" s="410">
        <f>SUM(C7888,C7864,C7840,C7816,C7792,C7768,C7744,C7720,C7696,C7672,C7648,C7624,C7600,C7576)/POBLA!$B$15*100000</f>
        <v>900.82628449063861</v>
      </c>
      <c r="H7888" s="411">
        <f t="shared" si="610"/>
        <v>0.99966577540106949</v>
      </c>
      <c r="I7888" s="412"/>
      <c r="J7888" s="42"/>
    </row>
    <row r="7889" spans="1:10" s="393" customFormat="1" ht="16.5" thickTop="1" thickBot="1" x14ac:dyDescent="0.3">
      <c r="A7889" s="394" t="s">
        <v>18</v>
      </c>
      <c r="B7889" s="29">
        <v>44221</v>
      </c>
      <c r="C7889" s="1">
        <v>255</v>
      </c>
      <c r="D7889" s="278">
        <f t="shared" si="611"/>
        <v>46233</v>
      </c>
      <c r="E7889" s="1">
        <v>4</v>
      </c>
      <c r="F7889" s="39">
        <f t="shared" si="612"/>
        <v>1037</v>
      </c>
      <c r="G7889" s="410">
        <f>SUM(C7889,C7865,C7841,C7817,C7793,C7769,C7745,C7721,C7697,C7673,C7649,C7625,C7601,C7577)/POBLA!$B$16*100000</f>
        <v>588.40839475127416</v>
      </c>
      <c r="H7889" s="411">
        <f t="shared" si="610"/>
        <v>1.0244527247321844</v>
      </c>
      <c r="I7889" s="414"/>
      <c r="J7889" s="42"/>
    </row>
    <row r="7890" spans="1:10" s="393" customFormat="1" ht="16.5" thickTop="1" thickBot="1" x14ac:dyDescent="0.3">
      <c r="A7890" s="394" t="s">
        <v>34</v>
      </c>
      <c r="B7890" s="29">
        <v>44221</v>
      </c>
      <c r="C7890" s="1">
        <v>22</v>
      </c>
      <c r="D7890" s="278">
        <f t="shared" si="611"/>
        <v>23464</v>
      </c>
      <c r="E7890" s="1">
        <v>1</v>
      </c>
      <c r="F7890" s="39">
        <f t="shared" si="612"/>
        <v>1034</v>
      </c>
      <c r="G7890" s="410">
        <f>SUM(C7890,C7866,C7842,C7818,C7794,C7770,C7746,C7722,C7698,C7674,C7650,C7626,C7602,C7578)/POBLA!$B$17*100000</f>
        <v>49.494628253218735</v>
      </c>
      <c r="H7890" s="411">
        <f t="shared" si="610"/>
        <v>1.298342541436464</v>
      </c>
      <c r="I7890" s="414"/>
      <c r="J7890" s="42"/>
    </row>
    <row r="7891" spans="1:10" s="393" customFormat="1" ht="16.5" thickTop="1" thickBot="1" x14ac:dyDescent="0.3">
      <c r="A7891" s="394" t="s">
        <v>35</v>
      </c>
      <c r="B7891" s="29">
        <v>44221</v>
      </c>
      <c r="C7891" s="1">
        <v>80</v>
      </c>
      <c r="D7891" s="278">
        <f t="shared" si="611"/>
        <v>13625</v>
      </c>
      <c r="E7891" s="1"/>
      <c r="F7891" s="39">
        <f t="shared" si="612"/>
        <v>217</v>
      </c>
      <c r="G7891" s="410">
        <f>SUM(C7891,C7867,C7843,C7819,C7795,C7771,C7747,C7723,C7699,C7675,C7651,C7627,C7603,C7579)/POBLA!$B$18*100000</f>
        <v>148.10225583928664</v>
      </c>
      <c r="H7891" s="411">
        <f t="shared" si="610"/>
        <v>0.81593794076163606</v>
      </c>
      <c r="I7891" s="414"/>
      <c r="J7891" s="42"/>
    </row>
    <row r="7892" spans="1:10" s="393" customFormat="1" ht="16.5" thickTop="1" thickBot="1" x14ac:dyDescent="0.3">
      <c r="A7892" s="394" t="s">
        <v>36</v>
      </c>
      <c r="B7892" s="29">
        <v>44221</v>
      </c>
      <c r="C7892" s="1">
        <v>300</v>
      </c>
      <c r="D7892" s="278">
        <f t="shared" si="611"/>
        <v>18753</v>
      </c>
      <c r="E7892" s="1">
        <v>7</v>
      </c>
      <c r="F7892" s="39">
        <f t="shared" si="612"/>
        <v>343</v>
      </c>
      <c r="G7892" s="410">
        <f>SUM(C7892,C7868,C7844,C7820,C7796,C7772,C7748,C7724,C7700,C7676,C7652,C7628,C7604,C7580)/POBLA!$B$19*100000</f>
        <v>420.98802348090214</v>
      </c>
      <c r="H7892" s="411">
        <f t="shared" si="610"/>
        <v>3.9122486288848264</v>
      </c>
      <c r="I7892" s="414"/>
      <c r="J7892" s="42"/>
    </row>
    <row r="7893" spans="1:10" s="393" customFormat="1" ht="16.5" thickTop="1" thickBot="1" x14ac:dyDescent="0.3">
      <c r="A7893" s="394" t="s">
        <v>37</v>
      </c>
      <c r="B7893" s="29">
        <v>44221</v>
      </c>
      <c r="C7893" s="1">
        <v>167</v>
      </c>
      <c r="D7893" s="278">
        <f t="shared" si="611"/>
        <v>31645</v>
      </c>
      <c r="E7893" s="1">
        <v>1</v>
      </c>
      <c r="F7893" s="39">
        <f t="shared" si="612"/>
        <v>482</v>
      </c>
      <c r="G7893" s="410">
        <f>SUM(C7893,C7869,C7845,C7821,C7797,C7773,C7749,C7725,C7701,C7677,C7653,C7629,C7605,C7581)/POBLA!$B$20*100000</f>
        <v>1123.6047230228221</v>
      </c>
      <c r="H7893" s="411">
        <f t="shared" si="610"/>
        <v>0.81657392686804453</v>
      </c>
      <c r="I7893" s="414"/>
      <c r="J7893" s="42"/>
    </row>
    <row r="7894" spans="1:10" s="393" customFormat="1" ht="16.5" thickTop="1" thickBot="1" x14ac:dyDescent="0.3">
      <c r="A7894" s="394" t="s">
        <v>22</v>
      </c>
      <c r="B7894" s="29">
        <v>44221</v>
      </c>
      <c r="C7894" s="1">
        <v>482</v>
      </c>
      <c r="D7894" s="278">
        <f t="shared" si="611"/>
        <v>202107</v>
      </c>
      <c r="E7894" s="1">
        <v>32</v>
      </c>
      <c r="F7894" s="39">
        <f t="shared" si="612"/>
        <v>3338</v>
      </c>
      <c r="G7894" s="410">
        <f>SUM(C7894,C7870,C7846,C7822,C7798,C7774,C7750,C7726,C7702,C7678,C7654,C7630,C7606,C7582)/POBLA!$B$21*100000</f>
        <v>412.76229224034034</v>
      </c>
      <c r="H7894" s="411">
        <f t="shared" si="610"/>
        <v>0.97170816136333382</v>
      </c>
      <c r="I7894" s="412"/>
      <c r="J7894" s="42"/>
    </row>
    <row r="7895" spans="1:10" s="393" customFormat="1" ht="16.5" thickTop="1" thickBot="1" x14ac:dyDescent="0.3">
      <c r="A7895" s="394" t="s">
        <v>38</v>
      </c>
      <c r="B7895" s="29">
        <v>44221</v>
      </c>
      <c r="C7895" s="1">
        <v>84</v>
      </c>
      <c r="D7895" s="278">
        <f t="shared" si="611"/>
        <v>20472</v>
      </c>
      <c r="E7895" s="1"/>
      <c r="F7895" s="39">
        <f t="shared" si="612"/>
        <v>246</v>
      </c>
      <c r="G7895" s="410">
        <f>SUM(C7895,C7871,C7847,C7823,C7799,C7775,C7751,C7727,C7703,C7679,C7655,C7631,C7607,C7583)/POBLA!$B$22*100000</f>
        <v>172.13304944327632</v>
      </c>
      <c r="H7895" s="411">
        <f t="shared" si="610"/>
        <v>1.0169082125603865</v>
      </c>
      <c r="I7895" s="414"/>
      <c r="J7895" s="42"/>
    </row>
    <row r="7896" spans="1:10" s="393" customFormat="1" ht="16.5" thickTop="1" thickBot="1" x14ac:dyDescent="0.3">
      <c r="A7896" s="394" t="s">
        <v>39</v>
      </c>
      <c r="B7896" s="29">
        <v>44221</v>
      </c>
      <c r="C7896" s="1">
        <v>130</v>
      </c>
      <c r="D7896" s="278">
        <f t="shared" si="611"/>
        <v>21520</v>
      </c>
      <c r="E7896" s="1">
        <v>2</v>
      </c>
      <c r="F7896" s="39">
        <f t="shared" si="612"/>
        <v>324</v>
      </c>
      <c r="G7896" s="410">
        <f>SUM(C7896,C7872,C7848,C7824,C7800,C7776,C7752,C7728,C7704,C7680,C7656,C7632,C7608,C7584)/POBLA!$B$23*100000</f>
        <v>714.81083526550924</v>
      </c>
      <c r="H7896" s="411">
        <f t="shared" si="610"/>
        <v>0.86932599724896842</v>
      </c>
      <c r="I7896" s="414"/>
      <c r="J7896" s="42"/>
    </row>
    <row r="7897" spans="1:10" s="393" customFormat="1" ht="16.5" thickTop="1" thickBot="1" x14ac:dyDescent="0.3">
      <c r="A7897" s="392" t="s">
        <v>40</v>
      </c>
      <c r="B7897" s="280">
        <v>44221</v>
      </c>
      <c r="C7897" s="234">
        <v>139</v>
      </c>
      <c r="D7897" s="281">
        <f t="shared" si="611"/>
        <v>75423</v>
      </c>
      <c r="E7897" s="234"/>
      <c r="F7897" s="67">
        <f t="shared" si="612"/>
        <v>1418</v>
      </c>
      <c r="G7897" s="410">
        <f>SUM(C7897,C7873,C7849,C7825,C7801,C7777,C7753,C7729,C7705,C7681,C7657,C7633,C7609,C7585)/POBLA!$B$24*100000</f>
        <v>137.13697647192114</v>
      </c>
      <c r="H7897" s="415">
        <f t="shared" si="610"/>
        <v>0.91785150078988942</v>
      </c>
      <c r="I7897" s="412"/>
      <c r="J7897" s="42"/>
    </row>
    <row r="7898" spans="1:10" s="393" customFormat="1" ht="16.5" thickTop="1" thickBot="1" x14ac:dyDescent="0.3">
      <c r="A7898" s="397" t="s">
        <v>16</v>
      </c>
      <c r="B7898" s="282">
        <v>44222</v>
      </c>
      <c r="C7898" s="43">
        <v>4574</v>
      </c>
      <c r="D7898" s="283">
        <f t="shared" si="611"/>
        <v>785952</v>
      </c>
      <c r="E7898" s="43">
        <v>74</v>
      </c>
      <c r="F7898" s="175">
        <f>E7898+F7874</f>
        <v>24230</v>
      </c>
      <c r="G7898" s="410">
        <f>SUM(C7898,C7874,C7850,C7826,C7802,C7778,C7754,C7730,C7706,C7682,C7658,C7634,C7610,C7586)/POBLA!$B$1*100000</f>
        <v>315.88024975114217</v>
      </c>
      <c r="H7898" s="416">
        <f t="shared" si="610"/>
        <v>1.0026419123102257</v>
      </c>
      <c r="I7898" s="417"/>
      <c r="J7898" s="529"/>
    </row>
    <row r="7899" spans="1:10" s="393" customFormat="1" ht="16.5" thickTop="1" thickBot="1" x14ac:dyDescent="0.3">
      <c r="A7899" s="402" t="s">
        <v>43</v>
      </c>
      <c r="B7899" s="29">
        <v>44222</v>
      </c>
      <c r="C7899" s="1">
        <v>1290</v>
      </c>
      <c r="D7899" s="278">
        <f t="shared" si="611"/>
        <v>204997</v>
      </c>
      <c r="E7899" s="1">
        <v>16</v>
      </c>
      <c r="F7899" s="39">
        <f t="shared" ref="F7899:F7921" si="613">E7899+F7875</f>
        <v>5845</v>
      </c>
      <c r="G7899" s="410">
        <f>SUM(C7899,C7875,C7851,C7827,C7803,C7779,C7755,C7731,C7707,C7683,C7659,C7635,C7611,C7587)/POBLA!$B$2*100000</f>
        <v>536.04998754733151</v>
      </c>
      <c r="H7899" s="418">
        <f t="shared" si="610"/>
        <v>1.0099852977211468</v>
      </c>
      <c r="I7899" s="417"/>
      <c r="J7899" s="529"/>
    </row>
    <row r="7900" spans="1:10" s="393" customFormat="1" ht="16.5" thickTop="1" thickBot="1" x14ac:dyDescent="0.3">
      <c r="A7900" s="402" t="s">
        <v>28</v>
      </c>
      <c r="B7900" s="29">
        <v>44222</v>
      </c>
      <c r="C7900" s="1">
        <v>77</v>
      </c>
      <c r="D7900" s="278">
        <f t="shared" si="611"/>
        <v>4838</v>
      </c>
      <c r="E7900" s="1"/>
      <c r="F7900" s="39">
        <f t="shared" si="613"/>
        <v>17</v>
      </c>
      <c r="G7900" s="410">
        <f>SUM(C7900,C7876,C7852,C7828,C7804,C7780,C7756,C7732,C7708,C7684,C7660,C7636,C7612,C7588)/POBLA!$B$3*100000</f>
        <v>373.58161747360617</v>
      </c>
      <c r="H7900" s="418">
        <f t="shared" si="610"/>
        <v>2.3408748114630469</v>
      </c>
      <c r="J7900" s="42"/>
    </row>
    <row r="7901" spans="1:10" s="393" customFormat="1" ht="15.75" thickBot="1" x14ac:dyDescent="0.3">
      <c r="A7901" s="402" t="s">
        <v>15</v>
      </c>
      <c r="B7901" s="29">
        <v>44222</v>
      </c>
      <c r="C7901" s="1">
        <v>177</v>
      </c>
      <c r="D7901" s="278">
        <f t="shared" si="611"/>
        <v>30067</v>
      </c>
      <c r="E7901" s="1">
        <v>6</v>
      </c>
      <c r="F7901" s="39">
        <f t="shared" si="613"/>
        <v>787</v>
      </c>
      <c r="G7901" s="410">
        <f>SUM(C7901,C7877,C7853,C7829,C7805,C7781,C7757,C7733,C7709,C7685,C7661,C7637,C7613,C7589)/POBLA!$B$4*100000</f>
        <v>225.56309830881639</v>
      </c>
      <c r="H7901" s="418">
        <f t="shared" si="610"/>
        <v>0.88328998699609884</v>
      </c>
      <c r="I7901" s="417"/>
      <c r="J7901" s="558"/>
    </row>
    <row r="7902" spans="1:10" s="393" customFormat="1" ht="16.5" thickTop="1" thickBot="1" x14ac:dyDescent="0.3">
      <c r="A7902" s="402" t="s">
        <v>29</v>
      </c>
      <c r="B7902" s="29">
        <v>44222</v>
      </c>
      <c r="C7902" s="1">
        <v>320</v>
      </c>
      <c r="D7902" s="278">
        <f t="shared" si="611"/>
        <v>40880</v>
      </c>
      <c r="E7902" s="1">
        <v>11</v>
      </c>
      <c r="F7902" s="39">
        <f t="shared" si="613"/>
        <v>616</v>
      </c>
      <c r="G7902" s="410">
        <f>SUM(C7902,C7878,C7854,C7830,C7806,C7782,C7758,C7734,C7710,C7686,C7662,C7638,C7614,C7590)/POBLA!$B$5*100000</f>
        <v>719.39307973906045</v>
      </c>
      <c r="H7902" s="418">
        <f t="shared" si="610"/>
        <v>0.81125888139916191</v>
      </c>
      <c r="I7902" s="417"/>
      <c r="J7902" s="526"/>
    </row>
    <row r="7903" spans="1:10" s="393" customFormat="1" ht="16.5" thickTop="1" thickBot="1" x14ac:dyDescent="0.3">
      <c r="A7903" s="402" t="s">
        <v>30</v>
      </c>
      <c r="B7903" s="29">
        <v>44222</v>
      </c>
      <c r="C7903" s="1">
        <v>167</v>
      </c>
      <c r="D7903" s="278">
        <f t="shared" si="611"/>
        <v>16630</v>
      </c>
      <c r="E7903" s="1">
        <v>3</v>
      </c>
      <c r="F7903" s="39">
        <f t="shared" si="613"/>
        <v>2569</v>
      </c>
      <c r="G7903" s="410">
        <f>SUM(C7903,C7879,C7855,C7831,C7807,C7783,C7759,C7735,C7711,C7687,C7663,C7639,C7615,C7591)/POBLA!$B$7*100000</f>
        <v>113.60342512199337</v>
      </c>
      <c r="H7903" s="418">
        <f>SUM(C7903,C7879,C7855,C7831,C7807,C7783,C7759,C7735,C7711,C7687,C7663,C7639,C7615,C7591)/SUM(C7567,C7543,C7519,C7495,C7472,C7448,C7424,C7400,C7376,C7352,C7328,C7304,C7280,C7256)</f>
        <v>1.1401120896717374</v>
      </c>
      <c r="I7903" s="417"/>
      <c r="J7903" s="526"/>
    </row>
    <row r="7904" spans="1:10" s="393" customFormat="1" ht="16.5" thickTop="1" thickBot="1" x14ac:dyDescent="0.3">
      <c r="A7904" s="402" t="s">
        <v>20</v>
      </c>
      <c r="B7904" s="29">
        <v>44222</v>
      </c>
      <c r="C7904" s="1">
        <v>662</v>
      </c>
      <c r="D7904" s="278">
        <f t="shared" si="611"/>
        <v>142486</v>
      </c>
      <c r="E7904" s="1">
        <v>7</v>
      </c>
      <c r="F7904" s="39">
        <f t="shared" si="613"/>
        <v>259</v>
      </c>
      <c r="G7904" s="410">
        <f>SUM(C7904,C7880,C7856,C7832,C7808,C7784,C7760,C7736,C7712,C7688,C7664,C7640,C7616,C7592)/POBLA!$B$6*100000</f>
        <v>538.09730719369452</v>
      </c>
      <c r="H7904" s="418">
        <f>SUM(C7904,C7880,C7856,C7832,C7808,C7784,C7760,C7736,C7712,C7688,C7664,C7640,C7616,C7592)/SUM(C7568,C7544,C7520,C7496,C7471,C7447,C7423,C7399,C7375,C7351,C7327,C7303,C7279,C7255)</f>
        <v>0.84586255259467036</v>
      </c>
      <c r="I7904" s="417"/>
      <c r="J7904" s="526"/>
    </row>
    <row r="7905" spans="1:10" ht="16.5" thickTop="1" thickBot="1" x14ac:dyDescent="0.3">
      <c r="A7905" s="402" t="s">
        <v>31</v>
      </c>
      <c r="B7905" s="29">
        <v>44222</v>
      </c>
      <c r="C7905" s="1">
        <v>332</v>
      </c>
      <c r="D7905" s="278">
        <f t="shared" si="611"/>
        <v>39707</v>
      </c>
      <c r="E7905" s="1">
        <v>14</v>
      </c>
      <c r="F7905" s="39">
        <f t="shared" si="613"/>
        <v>694</v>
      </c>
      <c r="G7905" s="176">
        <f>SUM(C7905,C7881,C7857,C7833,C7809,C7785,C7761,C7737,C7713,C7689,C7665,C7641,C7617,C7593)/POBLA!$B$8*100000</f>
        <v>396.98086742700553</v>
      </c>
      <c r="H7905" s="527">
        <f t="shared" ref="H7905:H7926" si="614">SUM(C7905,C7881,C7857,C7833,C7809,C7785,C7761,C7737,C7713,C7689,C7665,C7641,C7617,C7593)/SUM(C7569,C7545,C7521,C7497,C7473,C7449,C7425,C7401,C7377,C7353,C7329,C7305,C7281,C7257)</f>
        <v>0.97865528281750269</v>
      </c>
      <c r="I7905" s="528"/>
      <c r="J7905" s="529"/>
    </row>
    <row r="7906" spans="1:10" s="393" customFormat="1" ht="16.5" thickTop="1" thickBot="1" x14ac:dyDescent="0.3">
      <c r="A7906" s="402" t="s">
        <v>41</v>
      </c>
      <c r="B7906" s="29">
        <v>44222</v>
      </c>
      <c r="C7906" s="1">
        <v>7</v>
      </c>
      <c r="D7906" s="278">
        <f t="shared" ref="D7906:D7937" si="615">C7906+D7882</f>
        <v>814</v>
      </c>
      <c r="E7906" s="1"/>
      <c r="F7906" s="39">
        <f t="shared" si="613"/>
        <v>6</v>
      </c>
      <c r="G7906" s="410">
        <f>SUM(C7906,C7882,C7858,C7834,C7810,C7786,C7762,C7738,C7714,C7690,C7666,C7642,C7618,C7594)/POBLA!$B$9*100000</f>
        <v>73.199789158169381</v>
      </c>
      <c r="H7906" s="418">
        <f t="shared" si="614"/>
        <v>2.7861635220125787</v>
      </c>
      <c r="J7906" s="42"/>
    </row>
    <row r="7907" spans="1:10" s="393" customFormat="1" ht="15.75" thickBot="1" x14ac:dyDescent="0.3">
      <c r="A7907" s="402" t="s">
        <v>32</v>
      </c>
      <c r="B7907" s="29">
        <v>44222</v>
      </c>
      <c r="C7907" s="1">
        <v>57</v>
      </c>
      <c r="D7907" s="278">
        <f t="shared" si="615"/>
        <v>19157</v>
      </c>
      <c r="E7907" s="1"/>
      <c r="F7907" s="39">
        <f t="shared" si="613"/>
        <v>866</v>
      </c>
      <c r="G7907" s="410">
        <f>SUM(C7907,C7883,C7859,C7835,C7811,C7787,C7763,C7739,C7715,C7691,C7667,C7643,C7619,C7595)/POBLA!$B$10*100000</f>
        <v>56.818108112665897</v>
      </c>
      <c r="H7907" s="418">
        <f t="shared" si="614"/>
        <v>2.2346938775510203</v>
      </c>
      <c r="J7907" s="42"/>
    </row>
    <row r="7908" spans="1:10" s="393" customFormat="1" ht="15.75" thickBot="1" x14ac:dyDescent="0.3">
      <c r="A7908" s="402" t="s">
        <v>33</v>
      </c>
      <c r="B7908" s="29">
        <v>44222</v>
      </c>
      <c r="C7908" s="1">
        <v>96</v>
      </c>
      <c r="D7908" s="278">
        <f t="shared" si="615"/>
        <v>15990</v>
      </c>
      <c r="E7908" s="1">
        <v>15</v>
      </c>
      <c r="F7908" s="39">
        <f t="shared" si="613"/>
        <v>237</v>
      </c>
      <c r="G7908" s="410">
        <f>SUM(C7908,C7884,C7860,C7836,C7812,C7788,C7764,C7740,C7716,C7692,C7668,C7644,C7620,C7596)/POBLA!$B$11*100000</f>
        <v>539.85737721383373</v>
      </c>
      <c r="H7908" s="418">
        <f t="shared" si="614"/>
        <v>0.5056179775280899</v>
      </c>
      <c r="I7908" s="417"/>
      <c r="J7908" s="526"/>
    </row>
    <row r="7909" spans="1:10" s="393" customFormat="1" ht="16.5" thickTop="1" thickBot="1" x14ac:dyDescent="0.3">
      <c r="A7909" s="402" t="s">
        <v>21</v>
      </c>
      <c r="B7909" s="29">
        <v>44222</v>
      </c>
      <c r="C7909" s="1">
        <v>11</v>
      </c>
      <c r="D7909" s="278">
        <f t="shared" si="615"/>
        <v>9452</v>
      </c>
      <c r="E7909" s="1"/>
      <c r="F7909" s="39">
        <f t="shared" si="613"/>
        <v>405</v>
      </c>
      <c r="G7909" s="410">
        <f>SUM(C7909,C7885,C7861,C7837,C7813,C7789,C7765,C7741,C7717,C7693,C7669,C7645,C7621,C7597)/POBLA!$B$12*100000</f>
        <v>54.887670856933767</v>
      </c>
      <c r="H7909" s="418">
        <f t="shared" si="614"/>
        <v>1.3416149068322982</v>
      </c>
      <c r="J7909" s="42"/>
    </row>
    <row r="7910" spans="1:10" s="393" customFormat="1" ht="15.75" thickBot="1" x14ac:dyDescent="0.3">
      <c r="A7910" s="402" t="s">
        <v>17</v>
      </c>
      <c r="B7910" s="29">
        <v>44222</v>
      </c>
      <c r="C7910" s="1">
        <v>112</v>
      </c>
      <c r="D7910" s="278">
        <f t="shared" si="615"/>
        <v>63322</v>
      </c>
      <c r="E7910" s="1">
        <v>5</v>
      </c>
      <c r="F7910" s="39">
        <f t="shared" si="613"/>
        <v>1325</v>
      </c>
      <c r="G7910" s="410">
        <f>SUM(C7910,C7886,C7862,C7838,C7814,C7790,C7766,C7742,C7718,C7694,C7670,C7646,C7622,C7598)/POBLA!$B$13*100000</f>
        <v>86.970152808216497</v>
      </c>
      <c r="H7910" s="418">
        <f t="shared" si="614"/>
        <v>0.99254587155963303</v>
      </c>
      <c r="I7910" s="417"/>
      <c r="J7910" s="558"/>
    </row>
    <row r="7911" spans="1:10" s="393" customFormat="1" ht="16.5" thickTop="1" thickBot="1" x14ac:dyDescent="0.3">
      <c r="A7911" s="402" t="s">
        <v>23</v>
      </c>
      <c r="B7911" s="29">
        <v>44222</v>
      </c>
      <c r="C7911" s="1">
        <v>169</v>
      </c>
      <c r="D7911" s="278">
        <f t="shared" si="615"/>
        <v>3781</v>
      </c>
      <c r="E7911" s="1">
        <v>5</v>
      </c>
      <c r="F7911" s="39">
        <f t="shared" si="613"/>
        <v>69</v>
      </c>
      <c r="G7911" s="410">
        <f>SUM(C7911,C7887,C7863,C7839,C7815,C7791,C7767,C7743,C7719,C7695,C7671,C7647,C7623,C7599)/POBLA!$B$14*100000</f>
        <v>179.26034691356654</v>
      </c>
      <c r="H7911" s="418">
        <f t="shared" si="614"/>
        <v>4.75</v>
      </c>
      <c r="I7911" s="417"/>
      <c r="J7911" s="526"/>
    </row>
    <row r="7912" spans="1:10" s="393" customFormat="1" ht="16.5" thickTop="1" thickBot="1" x14ac:dyDescent="0.3">
      <c r="A7912" s="402" t="s">
        <v>19</v>
      </c>
      <c r="B7912" s="29">
        <v>44222</v>
      </c>
      <c r="C7912" s="1">
        <v>506</v>
      </c>
      <c r="D7912" s="278">
        <f t="shared" si="615"/>
        <v>52043</v>
      </c>
      <c r="E7912" s="1">
        <v>3</v>
      </c>
      <c r="F7912" s="39">
        <f t="shared" si="613"/>
        <v>766</v>
      </c>
      <c r="G7912" s="410">
        <f>SUM(C7912,C7888,C7864,C7840,C7816,C7792,C7768,C7744,C7720,C7696,C7672,C7648,C7624,C7600)/POBLA!$B$15*100000</f>
        <v>879.5931674539986</v>
      </c>
      <c r="H7912" s="418">
        <f t="shared" si="614"/>
        <v>0.96179812283879462</v>
      </c>
      <c r="I7912" s="417"/>
      <c r="J7912" s="526"/>
    </row>
    <row r="7913" spans="1:10" s="393" customFormat="1" ht="16.5" thickTop="1" thickBot="1" x14ac:dyDescent="0.3">
      <c r="A7913" s="402" t="s">
        <v>18</v>
      </c>
      <c r="B7913" s="29">
        <v>44222</v>
      </c>
      <c r="C7913" s="1">
        <v>393</v>
      </c>
      <c r="D7913" s="278">
        <f t="shared" si="615"/>
        <v>46626</v>
      </c>
      <c r="E7913" s="1">
        <v>4</v>
      </c>
      <c r="F7913" s="39">
        <f t="shared" si="613"/>
        <v>1041</v>
      </c>
      <c r="G7913" s="410">
        <f>SUM(C7913,C7889,C7865,C7841,C7817,C7793,C7769,C7745,C7721,C7697,C7673,C7649,C7625,C7601)/POBLA!$B$16*100000</f>
        <v>585.73320314067496</v>
      </c>
      <c r="H7913" s="418">
        <f t="shared" si="614"/>
        <v>1.0136574074074074</v>
      </c>
      <c r="I7913" s="417"/>
      <c r="J7913" s="558"/>
    </row>
    <row r="7914" spans="1:10" s="393" customFormat="1" ht="16.5" thickTop="1" thickBot="1" x14ac:dyDescent="0.3">
      <c r="A7914" s="402" t="s">
        <v>34</v>
      </c>
      <c r="B7914" s="29">
        <v>44222</v>
      </c>
      <c r="C7914" s="1">
        <v>66</v>
      </c>
      <c r="D7914" s="278">
        <f t="shared" si="615"/>
        <v>23530</v>
      </c>
      <c r="E7914" s="1">
        <v>2</v>
      </c>
      <c r="F7914" s="39">
        <f t="shared" si="613"/>
        <v>1036</v>
      </c>
      <c r="G7914" s="410">
        <f>SUM(C7914,C7890,C7866,C7842,C7818,C7794,C7770,C7746,C7722,C7698,C7674,C7650,C7626,C7602)/POBLA!$B$17*100000</f>
        <v>51.530577500514248</v>
      </c>
      <c r="H7914" s="418">
        <f t="shared" si="614"/>
        <v>1.3592592592592592</v>
      </c>
      <c r="I7914" s="417"/>
      <c r="J7914" s="529"/>
    </row>
    <row r="7915" spans="1:10" s="393" customFormat="1" ht="16.5" thickTop="1" thickBot="1" x14ac:dyDescent="0.3">
      <c r="A7915" s="402" t="s">
        <v>35</v>
      </c>
      <c r="B7915" s="29">
        <v>44222</v>
      </c>
      <c r="C7915" s="1">
        <v>78</v>
      </c>
      <c r="D7915" s="278">
        <f t="shared" si="615"/>
        <v>13703</v>
      </c>
      <c r="E7915" s="1"/>
      <c r="F7915" s="39">
        <f t="shared" si="613"/>
        <v>217</v>
      </c>
      <c r="G7915" s="410">
        <f>SUM(C7915,C7891,C7867,C7843,C7819,C7795,C7771,C7747,C7723,C7699,C7675,C7651,C7627,C7603)/POBLA!$B$18*100000</f>
        <v>131.46155293599602</v>
      </c>
      <c r="H7915" s="418">
        <f t="shared" si="614"/>
        <v>0.77744133232399693</v>
      </c>
      <c r="J7915" s="42"/>
    </row>
    <row r="7916" spans="1:10" s="393" customFormat="1" ht="15.75" thickBot="1" x14ac:dyDescent="0.3">
      <c r="A7916" s="402" t="s">
        <v>36</v>
      </c>
      <c r="B7916" s="29">
        <v>44222</v>
      </c>
      <c r="C7916" s="1">
        <v>45</v>
      </c>
      <c r="D7916" s="278">
        <f t="shared" si="615"/>
        <v>18798</v>
      </c>
      <c r="E7916" s="1">
        <v>1</v>
      </c>
      <c r="F7916" s="39">
        <f t="shared" si="613"/>
        <v>344</v>
      </c>
      <c r="G7916" s="410">
        <f>SUM(C7916,C7892,C7868,C7844,C7820,C7796,C7772,C7748,C7724,C7700,C7676,C7652,C7628,C7604)/POBLA!$B$19*100000</f>
        <v>419.80768322815192</v>
      </c>
      <c r="H7916" s="418">
        <f t="shared" si="614"/>
        <v>3.9300184162062615</v>
      </c>
      <c r="I7916" s="417"/>
      <c r="J7916" s="558"/>
    </row>
    <row r="7917" spans="1:10" s="393" customFormat="1" ht="16.5" thickTop="1" thickBot="1" x14ac:dyDescent="0.3">
      <c r="A7917" s="402" t="s">
        <v>37</v>
      </c>
      <c r="B7917" s="29">
        <v>44222</v>
      </c>
      <c r="C7917" s="1">
        <v>181</v>
      </c>
      <c r="D7917" s="278">
        <f t="shared" si="615"/>
        <v>31826</v>
      </c>
      <c r="E7917" s="1">
        <v>6</v>
      </c>
      <c r="F7917" s="39">
        <f t="shared" si="613"/>
        <v>488</v>
      </c>
      <c r="G7917" s="410">
        <f>SUM(C7917,C7893,C7869,C7845,C7821,C7797,C7773,C7749,C7725,C7701,C7677,C7653,C7629,C7605)/POBLA!$B$20*100000</f>
        <v>1065.6333914869647</v>
      </c>
      <c r="H7917" s="418">
        <f t="shared" si="614"/>
        <v>0.77505966587112174</v>
      </c>
      <c r="I7917" s="417"/>
      <c r="J7917" s="529"/>
    </row>
    <row r="7918" spans="1:10" s="393" customFormat="1" ht="16.5" thickTop="1" thickBot="1" x14ac:dyDescent="0.3">
      <c r="A7918" s="402" t="s">
        <v>22</v>
      </c>
      <c r="B7918" s="29">
        <v>44222</v>
      </c>
      <c r="C7918" s="1">
        <v>770</v>
      </c>
      <c r="D7918" s="278">
        <f t="shared" si="615"/>
        <v>202877</v>
      </c>
      <c r="E7918" s="1">
        <v>43</v>
      </c>
      <c r="F7918" s="39">
        <f t="shared" si="613"/>
        <v>3381</v>
      </c>
      <c r="G7918" s="410">
        <f>SUM(C7918,C7894,C7870,C7846,C7822,C7798,C7774,C7750,C7726,C7702,C7678,C7654,C7630,C7606)/POBLA!$B$21*100000</f>
        <v>393.98623126564786</v>
      </c>
      <c r="H7918" s="418">
        <f t="shared" si="614"/>
        <v>0.91483913328956012</v>
      </c>
      <c r="I7918" s="417"/>
      <c r="J7918" s="526"/>
    </row>
    <row r="7919" spans="1:10" s="393" customFormat="1" ht="16.5" thickTop="1" thickBot="1" x14ac:dyDescent="0.3">
      <c r="A7919" s="402" t="s">
        <v>38</v>
      </c>
      <c r="B7919" s="29">
        <v>44222</v>
      </c>
      <c r="C7919" s="1">
        <v>79</v>
      </c>
      <c r="D7919" s="278">
        <f t="shared" si="615"/>
        <v>20551</v>
      </c>
      <c r="E7919" s="1">
        <v>1</v>
      </c>
      <c r="F7919" s="39">
        <f t="shared" si="613"/>
        <v>247</v>
      </c>
      <c r="G7919" s="410">
        <f>SUM(C7919,C7895,C7871,C7847,C7823,C7799,C7775,C7751,C7727,C7703,C7679,C7655,C7631,C7607)/POBLA!$B$22*100000</f>
        <v>170.08871393919941</v>
      </c>
      <c r="H7919" s="418">
        <f t="shared" si="614"/>
        <v>0.99047619047619051</v>
      </c>
      <c r="I7919" s="417"/>
      <c r="J7919" s="526"/>
    </row>
    <row r="7920" spans="1:10" s="393" customFormat="1" ht="16.5" thickTop="1" thickBot="1" x14ac:dyDescent="0.3">
      <c r="A7920" s="402" t="s">
        <v>39</v>
      </c>
      <c r="B7920" s="29">
        <v>44222</v>
      </c>
      <c r="C7920" s="1">
        <v>52</v>
      </c>
      <c r="D7920" s="278">
        <f t="shared" si="615"/>
        <v>21572</v>
      </c>
      <c r="E7920" s="1"/>
      <c r="F7920" s="39">
        <f t="shared" si="613"/>
        <v>324</v>
      </c>
      <c r="G7920" s="410">
        <f>SUM(C7920,C7896,C7872,C7848,C7824,C7800,C7776,C7752,C7728,C7704,C7680,C7656,C7632,C7608)/POBLA!$B$23*100000</f>
        <v>664.48000904823834</v>
      </c>
      <c r="H7920" s="418">
        <f t="shared" si="614"/>
        <v>0.81824512534818938</v>
      </c>
      <c r="J7920" s="42"/>
    </row>
    <row r="7921" spans="1:10" s="393" customFormat="1" ht="15.75" thickBot="1" x14ac:dyDescent="0.3">
      <c r="A7921" s="404" t="s">
        <v>40</v>
      </c>
      <c r="B7921" s="284">
        <v>44222</v>
      </c>
      <c r="C7921" s="44">
        <v>188</v>
      </c>
      <c r="D7921" s="285">
        <f t="shared" si="615"/>
        <v>75611</v>
      </c>
      <c r="E7921" s="44">
        <v>3</v>
      </c>
      <c r="F7921" s="177">
        <f t="shared" si="613"/>
        <v>1421</v>
      </c>
      <c r="G7921" s="410">
        <f>SUM(C7921,C7897,C7873,C7849,C7825,C7801,C7777,C7753,C7729,C7705,C7681,C7657,C7633,C7609)/POBLA!$B$24*100000</f>
        <v>134.24553419691077</v>
      </c>
      <c r="H7921" s="419">
        <f t="shared" si="614"/>
        <v>0.91255515443241075</v>
      </c>
      <c r="I7921" s="417"/>
      <c r="J7921" s="526"/>
    </row>
    <row r="7922" spans="1:10" s="393" customFormat="1" ht="15.75" thickBot="1" x14ac:dyDescent="0.3">
      <c r="A7922" s="397" t="s">
        <v>16</v>
      </c>
      <c r="B7922" s="284">
        <v>44223</v>
      </c>
      <c r="C7922" s="227">
        <v>4445</v>
      </c>
      <c r="D7922" s="283">
        <f t="shared" si="615"/>
        <v>790397</v>
      </c>
      <c r="E7922" s="227">
        <v>44</v>
      </c>
      <c r="F7922" s="175">
        <f>E7922+F7898</f>
        <v>24274</v>
      </c>
      <c r="G7922" s="410">
        <f>SUM(C7922,C7898,C7874,C7850,C7826,C7802,C7778,C7754,C7730,C7706,C7682,C7658,C7634,C7610)/POBLA!$B$1*100000</f>
        <v>313.52008401277891</v>
      </c>
      <c r="H7922" s="416">
        <f t="shared" si="614"/>
        <v>0.99338884774480229</v>
      </c>
      <c r="J7922" s="42"/>
    </row>
    <row r="7923" spans="1:10" s="393" customFormat="1" ht="15.75" thickBot="1" x14ac:dyDescent="0.3">
      <c r="A7923" s="402" t="s">
        <v>43</v>
      </c>
      <c r="B7923" s="284">
        <v>44223</v>
      </c>
      <c r="C7923" s="1">
        <v>1247</v>
      </c>
      <c r="D7923" s="278">
        <f t="shared" si="615"/>
        <v>206244</v>
      </c>
      <c r="E7923" s="1">
        <v>25</v>
      </c>
      <c r="F7923" s="39">
        <f t="shared" ref="F7923:F7945" si="616">E7923+F7899</f>
        <v>5870</v>
      </c>
      <c r="G7923" s="410">
        <f>SUM(C7923,C7899,C7875,C7851,C7827,C7803,C7779,C7755,C7731,C7707,C7683,C7659,C7635,C7611)/POBLA!$B$2*100000</f>
        <v>537.44806782054889</v>
      </c>
      <c r="H7923" s="418">
        <f t="shared" si="614"/>
        <v>1.0047410649161197</v>
      </c>
      <c r="J7923" s="42"/>
    </row>
    <row r="7924" spans="1:10" s="393" customFormat="1" ht="15.75" thickBot="1" x14ac:dyDescent="0.3">
      <c r="A7924" s="402" t="s">
        <v>28</v>
      </c>
      <c r="B7924" s="284">
        <v>44223</v>
      </c>
      <c r="C7924" s="1">
        <v>116</v>
      </c>
      <c r="D7924" s="278">
        <f t="shared" si="615"/>
        <v>4954</v>
      </c>
      <c r="E7924" s="1"/>
      <c r="F7924" s="39">
        <f t="shared" si="616"/>
        <v>17</v>
      </c>
      <c r="G7924" s="410">
        <f>SUM(C7924,C7900,C7876,C7852,C7828,C7804,C7780,C7756,C7732,C7708,C7684,C7660,C7636,C7612)/POBLA!$B$3*100000</f>
        <v>384.65426850697338</v>
      </c>
      <c r="H7924" s="418">
        <f t="shared" si="614"/>
        <v>2.3815201192250375</v>
      </c>
      <c r="J7924" s="42"/>
    </row>
    <row r="7925" spans="1:10" s="393" customFormat="1" ht="15.75" thickBot="1" x14ac:dyDescent="0.3">
      <c r="A7925" s="402" t="s">
        <v>15</v>
      </c>
      <c r="B7925" s="284">
        <v>44223</v>
      </c>
      <c r="C7925" s="1">
        <v>146</v>
      </c>
      <c r="D7925" s="278">
        <f t="shared" si="615"/>
        <v>30213</v>
      </c>
      <c r="E7925" s="1">
        <v>3</v>
      </c>
      <c r="F7925" s="39">
        <f t="shared" si="616"/>
        <v>790</v>
      </c>
      <c r="G7925" s="410">
        <f>SUM(C7925,C7901,C7877,C7853,C7829,C7805,C7781,C7757,C7733,C7709,C7685,C7661,C7637,C7613)/POBLA!$B$4*100000</f>
        <v>213.77437546750176</v>
      </c>
      <c r="H7925" s="418">
        <f t="shared" si="614"/>
        <v>0.826645264847512</v>
      </c>
      <c r="J7925" s="42"/>
    </row>
    <row r="7926" spans="1:10" s="393" customFormat="1" ht="15.75" thickBot="1" x14ac:dyDescent="0.3">
      <c r="A7926" s="402" t="s">
        <v>29</v>
      </c>
      <c r="B7926" s="284">
        <v>44223</v>
      </c>
      <c r="C7926" s="1">
        <v>395</v>
      </c>
      <c r="D7926" s="278">
        <f t="shared" si="615"/>
        <v>41275</v>
      </c>
      <c r="E7926" s="1">
        <v>28</v>
      </c>
      <c r="F7926" s="39">
        <f t="shared" si="616"/>
        <v>644</v>
      </c>
      <c r="G7926" s="410">
        <f>SUM(C7926,C7902,C7878,C7854,C7830,C7806,C7782,C7758,C7734,C7710,C7686,C7662,C7638,C7614)/POBLA!$B$5*100000</f>
        <v>697.90660329502384</v>
      </c>
      <c r="H7926" s="418">
        <f t="shared" si="614"/>
        <v>0.78846504836649023</v>
      </c>
      <c r="J7926" s="42"/>
    </row>
    <row r="7927" spans="1:10" s="393" customFormat="1" ht="15.75" thickBot="1" x14ac:dyDescent="0.3">
      <c r="A7927" s="402" t="s">
        <v>30</v>
      </c>
      <c r="B7927" s="284">
        <v>44223</v>
      </c>
      <c r="C7927" s="1">
        <v>224</v>
      </c>
      <c r="D7927" s="278">
        <f t="shared" si="615"/>
        <v>16854</v>
      </c>
      <c r="E7927" s="1">
        <v>3</v>
      </c>
      <c r="F7927" s="39">
        <f t="shared" si="616"/>
        <v>2572</v>
      </c>
      <c r="G7927" s="410">
        <f>SUM(C7927,C7903,C7879,C7855,C7831,C7807,C7783,C7759,C7735,C7711,C7687,C7663,C7639,C7615)/POBLA!$B$7*100000</f>
        <v>97.807443258120699</v>
      </c>
      <c r="H7927" s="418">
        <f>SUM(C7927,C7903,C7879,C7855,C7831,C7807,C7783,C7759,C7735,C7711,C7687,C7663,C7639,C7615)/SUM(C7591,C7567,C7543,C7519,C7495,C7471,C7447,C7423,C7399,C7375,C7351,C7327,C7303,C7279)</f>
        <v>0.4310829817158931</v>
      </c>
      <c r="J7927" s="42"/>
    </row>
    <row r="7928" spans="1:10" s="393" customFormat="1" ht="15.75" thickBot="1" x14ac:dyDescent="0.3">
      <c r="A7928" s="402" t="s">
        <v>20</v>
      </c>
      <c r="B7928" s="284">
        <v>44223</v>
      </c>
      <c r="C7928" s="1">
        <v>687</v>
      </c>
      <c r="D7928" s="278">
        <f t="shared" si="615"/>
        <v>143173</v>
      </c>
      <c r="E7928" s="1">
        <v>11</v>
      </c>
      <c r="F7928" s="39">
        <f t="shared" si="616"/>
        <v>270</v>
      </c>
      <c r="G7928" s="410">
        <f>SUM(C7928,C7904,C7880,C7856,C7832,C7808,C7784,C7760,C7736,C7712,C7688,C7664,C7640,C7616)/POBLA!$B$6*100000</f>
        <v>564.15010336357659</v>
      </c>
      <c r="H7928" s="418">
        <f>SUM(C7928,C7904,C7880,C7856,C7832,C7808,C7784,C7760,C7736,C7712,C7688,C7664,C7640,C7616)/SUM(C7592,C7568,C7544,C7520,C7496,C7472,C7448,C7424,C7400,C7376,C7352,C7328,C7304,C7280)</f>
        <v>2.361972357116175</v>
      </c>
      <c r="J7928" s="42"/>
    </row>
    <row r="7929" spans="1:10" ht="15.75" thickBot="1" x14ac:dyDescent="0.3">
      <c r="A7929" s="402" t="s">
        <v>31</v>
      </c>
      <c r="B7929" s="284">
        <v>44223</v>
      </c>
      <c r="C7929" s="1">
        <v>293</v>
      </c>
      <c r="D7929" s="278">
        <f t="shared" si="615"/>
        <v>40000</v>
      </c>
      <c r="E7929" s="1">
        <v>8</v>
      </c>
      <c r="F7929" s="39">
        <f t="shared" si="616"/>
        <v>702</v>
      </c>
      <c r="G7929" s="176">
        <f>SUM(C7929,C7905,C7881,C7857,C7833,C7809,C7785,C7761,C7737,C7713,C7689,C7665,C7641,C7617)/POBLA!$B$8*100000</f>
        <v>376.20106193464318</v>
      </c>
      <c r="H7929" s="527">
        <f t="shared" ref="H7929:H7945" si="617">SUM(C7929,C7905,C7881,C7857,C7833,C7809,C7785,C7761,C7737,C7713,C7689,C7665,C7641,C7617)/SUM(C7593,C7569,C7545,C7521,C7497,C7473,C7449,C7425,C7401,C7377,C7353,C7329,C7305,C7281)</f>
        <v>0.90145228215767637</v>
      </c>
    </row>
    <row r="7930" spans="1:10" s="393" customFormat="1" ht="15.75" thickBot="1" x14ac:dyDescent="0.3">
      <c r="A7930" s="402" t="s">
        <v>41</v>
      </c>
      <c r="B7930" s="284">
        <v>44223</v>
      </c>
      <c r="C7930" s="1">
        <v>14</v>
      </c>
      <c r="D7930" s="278">
        <f t="shared" si="615"/>
        <v>828</v>
      </c>
      <c r="E7930" s="1"/>
      <c r="F7930" s="39">
        <f t="shared" si="616"/>
        <v>6</v>
      </c>
      <c r="G7930" s="410">
        <f>SUM(C7930,C7906,C7882,C7858,C7834,C7810,C7786,C7762,C7738,C7714,C7690,C7666,C7642,C7618)/POBLA!$B$9*100000</f>
        <v>66.590327383165373</v>
      </c>
      <c r="H7930" s="418">
        <f t="shared" si="617"/>
        <v>1.892018779342723</v>
      </c>
      <c r="J7930" s="42"/>
    </row>
    <row r="7931" spans="1:10" s="393" customFormat="1" ht="15.75" thickBot="1" x14ac:dyDescent="0.3">
      <c r="A7931" s="402" t="s">
        <v>32</v>
      </c>
      <c r="B7931" s="284">
        <v>44223</v>
      </c>
      <c r="C7931" s="1">
        <v>49</v>
      </c>
      <c r="D7931" s="278">
        <f t="shared" si="615"/>
        <v>19206</v>
      </c>
      <c r="E7931" s="1"/>
      <c r="F7931" s="39">
        <f t="shared" si="616"/>
        <v>866</v>
      </c>
      <c r="G7931" s="410">
        <f>SUM(C7931,C7907,C7883,C7859,C7835,C7811,C7787,C7763,C7739,C7715,C7691,C7667,C7643,C7619)/POBLA!$B$10*100000</f>
        <v>60.969202769299024</v>
      </c>
      <c r="H7931" s="418">
        <f t="shared" si="617"/>
        <v>2.4607329842931938</v>
      </c>
      <c r="J7931" s="42"/>
    </row>
    <row r="7932" spans="1:10" s="393" customFormat="1" ht="15.75" thickBot="1" x14ac:dyDescent="0.3">
      <c r="A7932" s="402" t="s">
        <v>33</v>
      </c>
      <c r="B7932" s="284">
        <v>44223</v>
      </c>
      <c r="C7932" s="1">
        <v>130</v>
      </c>
      <c r="D7932" s="278">
        <f t="shared" si="615"/>
        <v>16120</v>
      </c>
      <c r="E7932" s="1"/>
      <c r="F7932" s="39">
        <f t="shared" si="616"/>
        <v>237</v>
      </c>
      <c r="G7932" s="410">
        <f>SUM(C7932,C7908,C7884,C7860,C7836,C7812,C7788,C7764,C7740,C7716,C7692,C7668,C7644,C7620)/POBLA!$B$11*100000</f>
        <v>512.23676721684694</v>
      </c>
      <c r="H7932" s="418">
        <f t="shared" si="617"/>
        <v>0.49156626506024098</v>
      </c>
      <c r="J7932" s="42"/>
    </row>
    <row r="7933" spans="1:10" s="393" customFormat="1" ht="15.75" thickBot="1" x14ac:dyDescent="0.3">
      <c r="A7933" s="402" t="s">
        <v>21</v>
      </c>
      <c r="B7933" s="284">
        <v>44223</v>
      </c>
      <c r="C7933" s="1">
        <v>36</v>
      </c>
      <c r="D7933" s="278">
        <f t="shared" si="615"/>
        <v>9488</v>
      </c>
      <c r="E7933" s="1"/>
      <c r="F7933" s="39">
        <f t="shared" si="616"/>
        <v>405</v>
      </c>
      <c r="G7933" s="410">
        <f>SUM(C7933,C7909,C7885,C7861,C7837,C7813,C7789,C7765,C7741,C7717,C7693,C7669,C7645,C7621)/POBLA!$B$12*100000</f>
        <v>61.240410539449236</v>
      </c>
      <c r="H7933" s="418">
        <f t="shared" si="617"/>
        <v>1.4876543209876543</v>
      </c>
      <c r="J7933" s="42"/>
    </row>
    <row r="7934" spans="1:10" s="393" customFormat="1" ht="15.75" thickBot="1" x14ac:dyDescent="0.3">
      <c r="A7934" s="402" t="s">
        <v>17</v>
      </c>
      <c r="B7934" s="284">
        <v>44223</v>
      </c>
      <c r="C7934" s="1">
        <v>149</v>
      </c>
      <c r="D7934" s="278">
        <f t="shared" si="615"/>
        <v>63471</v>
      </c>
      <c r="E7934" s="1">
        <v>11</v>
      </c>
      <c r="F7934" s="39">
        <f t="shared" si="616"/>
        <v>1336</v>
      </c>
      <c r="G7934" s="410">
        <f>SUM(C7934,C7910,C7886,C7862,C7838,C7814,C7790,C7766,C7742,C7718,C7694,C7670,C7646,C7622)/POBLA!$B$13*100000</f>
        <v>86.919910085623656</v>
      </c>
      <c r="H7934" s="418">
        <f t="shared" si="617"/>
        <v>1.0028985507246377</v>
      </c>
      <c r="J7934" s="42"/>
    </row>
    <row r="7935" spans="1:10" s="393" customFormat="1" ht="15.75" thickBot="1" x14ac:dyDescent="0.3">
      <c r="A7935" s="402" t="s">
        <v>23</v>
      </c>
      <c r="B7935" s="284">
        <v>44223</v>
      </c>
      <c r="C7935" s="1">
        <v>241</v>
      </c>
      <c r="D7935" s="278">
        <f t="shared" si="615"/>
        <v>4022</v>
      </c>
      <c r="E7935" s="1">
        <v>5</v>
      </c>
      <c r="F7935" s="39">
        <f t="shared" si="616"/>
        <v>74</v>
      </c>
      <c r="G7935" s="410">
        <f>SUM(C7935,C7911,C7887,C7863,C7839,C7815,C7791,C7767,C7743,C7719,C7695,C7671,C7647,C7623)/POBLA!$B$14*100000</f>
        <v>196.22704936359008</v>
      </c>
      <c r="H7935" s="418">
        <f>SUM(C7935,C7911,C7887,C7863,C7839,C7815,C7791,C7767,C7743,C7719,C7695,C7671,C7647,C7623)/SUM(C7599,C7575,C7551,C7527,C7503,C7479,C7455,C7431,C7407,C7383,C7359,C7335,C7311,C7287)</f>
        <v>5.2547770700636942</v>
      </c>
      <c r="J7935" s="42"/>
    </row>
    <row r="7936" spans="1:10" s="393" customFormat="1" ht="15.75" thickBot="1" x14ac:dyDescent="0.3">
      <c r="A7936" s="402" t="s">
        <v>19</v>
      </c>
      <c r="B7936" s="284">
        <v>44223</v>
      </c>
      <c r="C7936" s="1">
        <v>538</v>
      </c>
      <c r="D7936" s="278">
        <f t="shared" si="615"/>
        <v>52581</v>
      </c>
      <c r="E7936" s="1"/>
      <c r="F7936" s="39">
        <f t="shared" si="616"/>
        <v>766</v>
      </c>
      <c r="G7936" s="410">
        <f>SUM(C7936,C7912,C7888,C7864,C7840,C7816,C7792,C7768,C7744,C7720,C7696,C7672,C7648,C7624)/POBLA!$B$15*100000</f>
        <v>890.88737864370069</v>
      </c>
      <c r="H7936" s="418">
        <f t="shared" si="617"/>
        <v>0.98305084745762716</v>
      </c>
      <c r="J7936" s="42"/>
    </row>
    <row r="7937" spans="1:10" s="393" customFormat="1" ht="15.75" thickBot="1" x14ac:dyDescent="0.3">
      <c r="A7937" s="402" t="s">
        <v>18</v>
      </c>
      <c r="B7937" s="284">
        <v>44223</v>
      </c>
      <c r="C7937" s="1">
        <v>365</v>
      </c>
      <c r="D7937" s="278">
        <f t="shared" si="615"/>
        <v>46991</v>
      </c>
      <c r="E7937" s="1">
        <v>10</v>
      </c>
      <c r="F7937" s="39">
        <f t="shared" si="616"/>
        <v>1051</v>
      </c>
      <c r="G7937" s="410">
        <f>SUM(C7937,C7913,C7889,C7865,C7841,C7817,C7793,C7769,C7745,C7721,C7697,C7673,C7649,C7625)/POBLA!$B$16*100000</f>
        <v>581.98793488583624</v>
      </c>
      <c r="H7937" s="418">
        <f t="shared" si="617"/>
        <v>1.0057790106333795</v>
      </c>
      <c r="J7937" s="42"/>
    </row>
    <row r="7938" spans="1:10" s="393" customFormat="1" ht="15.75" thickBot="1" x14ac:dyDescent="0.3">
      <c r="A7938" s="402" t="s">
        <v>34</v>
      </c>
      <c r="B7938" s="284">
        <v>44223</v>
      </c>
      <c r="C7938" s="1">
        <v>65</v>
      </c>
      <c r="D7938" s="278">
        <f t="shared" ref="D7938:D7969" si="618">C7938+D7914</f>
        <v>23595</v>
      </c>
      <c r="E7938" s="1"/>
      <c r="F7938" s="39">
        <f t="shared" si="616"/>
        <v>1036</v>
      </c>
      <c r="G7938" s="410">
        <f>SUM(C7938,C7914,C7890,C7866,C7842,C7818,C7794,C7770,C7746,C7722,C7698,C7674,C7650,C7626)/POBLA!$B$17*100000</f>
        <v>51.390167207597322</v>
      </c>
      <c r="H7938" s="418">
        <f t="shared" si="617"/>
        <v>1.318918918918919</v>
      </c>
      <c r="J7938" s="42"/>
    </row>
    <row r="7939" spans="1:10" s="393" customFormat="1" ht="15.75" thickBot="1" x14ac:dyDescent="0.3">
      <c r="A7939" s="402" t="s">
        <v>35</v>
      </c>
      <c r="B7939" s="284">
        <v>44223</v>
      </c>
      <c r="C7939" s="1">
        <v>58</v>
      </c>
      <c r="D7939" s="278">
        <f t="shared" si="618"/>
        <v>13761</v>
      </c>
      <c r="E7939" s="1"/>
      <c r="F7939" s="39">
        <f t="shared" si="616"/>
        <v>217</v>
      </c>
      <c r="G7939" s="410">
        <f>SUM(C7939,C7915,C7891,C7867,C7843,C7819,C7795,C7771,C7747,C7723,C7699,C7675,C7651,C7627)/POBLA!$B$18*100000</f>
        <v>118.02098520641512</v>
      </c>
      <c r="H7939" s="418">
        <f t="shared" si="617"/>
        <v>0.69011976047904189</v>
      </c>
      <c r="J7939" s="42"/>
    </row>
    <row r="7940" spans="1:10" s="393" customFormat="1" ht="15.75" thickBot="1" x14ac:dyDescent="0.3">
      <c r="A7940" s="402" t="s">
        <v>36</v>
      </c>
      <c r="B7940" s="284">
        <v>44223</v>
      </c>
      <c r="C7940" s="1">
        <v>81</v>
      </c>
      <c r="D7940" s="278">
        <f t="shared" si="618"/>
        <v>18879</v>
      </c>
      <c r="E7940" s="1"/>
      <c r="F7940" s="39">
        <f t="shared" si="616"/>
        <v>344</v>
      </c>
      <c r="G7940" s="410">
        <f>SUM(C7940,C7916,C7892,C7868,C7844,C7820,C7796,C7772,C7748,C7724,C7700,C7676,C7652,C7628)/POBLA!$B$19*100000</f>
        <v>428.26678837286158</v>
      </c>
      <c r="H7940" s="418">
        <f t="shared" si="617"/>
        <v>4.0092081031307547</v>
      </c>
      <c r="J7940" s="42"/>
    </row>
    <row r="7941" spans="1:10" s="393" customFormat="1" ht="15.75" thickBot="1" x14ac:dyDescent="0.3">
      <c r="A7941" s="402" t="s">
        <v>37</v>
      </c>
      <c r="B7941" s="284">
        <v>44223</v>
      </c>
      <c r="C7941" s="1">
        <v>167</v>
      </c>
      <c r="D7941" s="278">
        <f t="shared" si="618"/>
        <v>31993</v>
      </c>
      <c r="E7941" s="1">
        <v>2</v>
      </c>
      <c r="F7941" s="39">
        <f t="shared" si="616"/>
        <v>490</v>
      </c>
      <c r="G7941" s="410">
        <f>SUM(C7941,C7917,C7893,C7869,C7845,C7821,C7797,C7773,C7749,C7725,C7701,C7677,C7653,C7629)/POBLA!$B$20*100000</f>
        <v>1022.9752418662393</v>
      </c>
      <c r="H7941" s="418">
        <f t="shared" si="617"/>
        <v>0.76082977425259302</v>
      </c>
      <c r="J7941" s="42"/>
    </row>
    <row r="7942" spans="1:10" s="393" customFormat="1" ht="15.75" thickBot="1" x14ac:dyDescent="0.3">
      <c r="A7942" s="402" t="s">
        <v>22</v>
      </c>
      <c r="B7942" s="284">
        <v>44223</v>
      </c>
      <c r="C7942" s="1">
        <v>924</v>
      </c>
      <c r="D7942" s="278">
        <f t="shared" si="618"/>
        <v>203801</v>
      </c>
      <c r="E7942" s="1">
        <v>29</v>
      </c>
      <c r="F7942" s="39">
        <f t="shared" si="616"/>
        <v>3410</v>
      </c>
      <c r="G7942" s="410">
        <f>SUM(C7942,C7918,C7894,C7870,C7846,C7822,C7798,C7774,C7750,C7726,C7702,C7678,C7654,C7630)/POBLA!$B$21*100000</f>
        <v>377.64200951358123</v>
      </c>
      <c r="H7942" s="418">
        <f t="shared" si="617"/>
        <v>0.86580226904376012</v>
      </c>
      <c r="J7942" s="42"/>
    </row>
    <row r="7943" spans="1:10" s="393" customFormat="1" ht="15.75" thickBot="1" x14ac:dyDescent="0.3">
      <c r="A7943" s="402" t="s">
        <v>38</v>
      </c>
      <c r="B7943" s="284">
        <v>44223</v>
      </c>
      <c r="C7943" s="1">
        <v>101</v>
      </c>
      <c r="D7943" s="278">
        <f t="shared" si="618"/>
        <v>20652</v>
      </c>
      <c r="E7943" s="1">
        <v>2</v>
      </c>
      <c r="F7943" s="39">
        <f t="shared" si="616"/>
        <v>249</v>
      </c>
      <c r="G7943" s="410">
        <f>SUM(C7943,C7919,C7895,C7871,C7847,C7823,C7799,C7775,C7751,C7727,C7703,C7679,C7655,C7631)/POBLA!$B$22*100000</f>
        <v>163.54684032615327</v>
      </c>
      <c r="H7943" s="418">
        <f t="shared" si="617"/>
        <v>0.92915214866434381</v>
      </c>
      <c r="J7943" s="42"/>
    </row>
    <row r="7944" spans="1:10" s="393" customFormat="1" ht="15.75" thickBot="1" x14ac:dyDescent="0.3">
      <c r="A7944" s="402" t="s">
        <v>39</v>
      </c>
      <c r="B7944" s="284">
        <v>44223</v>
      </c>
      <c r="C7944" s="1">
        <v>85</v>
      </c>
      <c r="D7944" s="278">
        <f t="shared" si="618"/>
        <v>21657</v>
      </c>
      <c r="E7944" s="1">
        <v>1</v>
      </c>
      <c r="F7944" s="39">
        <f t="shared" si="616"/>
        <v>325</v>
      </c>
      <c r="G7944" s="410">
        <f>SUM(C7944,C7920,C7896,C7872,C7848,C7824,C7800,C7776,C7752,C7728,C7704,C7680,C7656,C7632)/POBLA!$B$23*100000</f>
        <v>655.43177062715597</v>
      </c>
      <c r="H7944" s="418">
        <f t="shared" si="617"/>
        <v>0.78843537414965992</v>
      </c>
      <c r="J7944" s="42"/>
    </row>
    <row r="7945" spans="1:10" s="393" customFormat="1" ht="15.75" thickBot="1" x14ac:dyDescent="0.3">
      <c r="A7945" s="404" t="s">
        <v>40</v>
      </c>
      <c r="B7945" s="284">
        <v>44223</v>
      </c>
      <c r="C7945" s="1">
        <v>287</v>
      </c>
      <c r="D7945" s="285">
        <f t="shared" si="618"/>
        <v>75898</v>
      </c>
      <c r="E7945" s="1"/>
      <c r="F7945" s="177">
        <f t="shared" si="616"/>
        <v>1421</v>
      </c>
      <c r="G7945" s="410">
        <f>SUM(C7945,C7921,C7897,C7873,C7849,C7825,C7801,C7777,C7753,C7729,C7705,C7681,C7657,C7633)/POBLA!$B$24*100000</f>
        <v>134.71760640507571</v>
      </c>
      <c r="H7945" s="419">
        <f t="shared" si="617"/>
        <v>0.87104158718046543</v>
      </c>
      <c r="J7945" s="42"/>
    </row>
    <row r="7946" spans="1:10" s="393" customFormat="1" ht="15.75" thickBot="1" x14ac:dyDescent="0.3">
      <c r="A7946" s="397" t="s">
        <v>16</v>
      </c>
      <c r="B7946" s="284">
        <v>44224</v>
      </c>
      <c r="C7946" s="1">
        <v>4175</v>
      </c>
      <c r="D7946" s="283">
        <f t="shared" si="618"/>
        <v>794572</v>
      </c>
      <c r="E7946" s="1">
        <v>91</v>
      </c>
      <c r="F7946" s="175">
        <f>E7946+F7922</f>
        <v>24365</v>
      </c>
      <c r="G7946" s="410">
        <f>SUM(C7946,C7922,C7898,C7874,C7850,C7826,C7802,C7778,C7754,C7730,C7706,C7682,C7658,C7634)/POBLA!$B$1*100000</f>
        <v>307.76219175252055</v>
      </c>
      <c r="H7946" s="416">
        <f t="shared" ref="H7946:H7952" si="619">SUM(C7946,C7922,C7898,C7874,C7850,C7826,C7802,C7778,C7754,C7730,C7706,C7682,C7658,C7634)/SUM(C7610,C7586,C7562,C7538,C7514,C7490,C7466,C7442,C7418,C7394,C7370,C7346,C7322,C7298)</f>
        <v>0.96709182759485512</v>
      </c>
      <c r="J7946" s="42"/>
    </row>
    <row r="7947" spans="1:10" s="393" customFormat="1" ht="15.75" thickBot="1" x14ac:dyDescent="0.3">
      <c r="A7947" s="402" t="s">
        <v>43</v>
      </c>
      <c r="B7947" s="284">
        <v>44224</v>
      </c>
      <c r="C7947" s="1">
        <v>1101</v>
      </c>
      <c r="D7947" s="278">
        <f t="shared" si="618"/>
        <v>207345</v>
      </c>
      <c r="E7947" s="1">
        <v>9</v>
      </c>
      <c r="F7947" s="39">
        <f t="shared" ref="F7947:F7969" si="620">E7947+F7923</f>
        <v>5879</v>
      </c>
      <c r="G7947" s="410">
        <f>SUM(C7947,C7923,C7899,C7875,C7851,C7827,C7803,C7779,C7755,C7731,C7707,C7683,C7659,C7635)/POBLA!$B$2*100000</f>
        <v>528.79947822343661</v>
      </c>
      <c r="H7947" s="418">
        <f t="shared" si="619"/>
        <v>0.98677344982405046</v>
      </c>
      <c r="J7947" s="42"/>
    </row>
    <row r="7948" spans="1:10" s="393" customFormat="1" ht="15.75" thickBot="1" x14ac:dyDescent="0.3">
      <c r="A7948" s="402" t="s">
        <v>28</v>
      </c>
      <c r="B7948" s="284">
        <v>44224</v>
      </c>
      <c r="C7948" s="1">
        <v>86</v>
      </c>
      <c r="D7948" s="278">
        <f t="shared" si="618"/>
        <v>5040</v>
      </c>
      <c r="E7948" s="1"/>
      <c r="F7948" s="39">
        <f t="shared" si="620"/>
        <v>17</v>
      </c>
      <c r="G7948" s="410">
        <f>SUM(C7948,C7924,C7900,C7876,C7852,C7828,C7804,C7780,C7756,C7732,C7708,C7684,C7660,C7636)/POBLA!$B$3*100000</f>
        <v>386.57994694755894</v>
      </c>
      <c r="H7948" s="418">
        <f t="shared" si="619"/>
        <v>2.4077961019490255</v>
      </c>
      <c r="J7948" s="42"/>
    </row>
    <row r="7949" spans="1:10" s="393" customFormat="1" ht="15.75" thickBot="1" x14ac:dyDescent="0.3">
      <c r="A7949" s="402" t="s">
        <v>15</v>
      </c>
      <c r="B7949" s="284">
        <v>44224</v>
      </c>
      <c r="C7949" s="1">
        <v>137</v>
      </c>
      <c r="D7949" s="278">
        <f t="shared" si="618"/>
        <v>30350</v>
      </c>
      <c r="E7949" s="1">
        <v>3</v>
      </c>
      <c r="F7949" s="39">
        <f t="shared" si="620"/>
        <v>793</v>
      </c>
      <c r="G7949" s="410">
        <f>SUM(C7949,C7925,C7901,C7877,C7853,C7829,C7805,C7781,C7757,C7733,C7709,C7685,C7661,C7637)/POBLA!$B$4*100000</f>
        <v>199.91017325271619</v>
      </c>
      <c r="H7949" s="418">
        <f t="shared" si="619"/>
        <v>0.76202531645569616</v>
      </c>
      <c r="J7949" s="42"/>
    </row>
    <row r="7950" spans="1:10" s="393" customFormat="1" ht="15.75" thickBot="1" x14ac:dyDescent="0.3">
      <c r="A7950" s="402" t="s">
        <v>29</v>
      </c>
      <c r="B7950" s="284">
        <v>44224</v>
      </c>
      <c r="C7950" s="1">
        <v>316</v>
      </c>
      <c r="D7950" s="278">
        <f t="shared" si="618"/>
        <v>41591</v>
      </c>
      <c r="E7950" s="1">
        <v>8</v>
      </c>
      <c r="F7950" s="39">
        <f t="shared" si="620"/>
        <v>652</v>
      </c>
      <c r="G7950" s="410">
        <f>SUM(C7950,C7926,C7902,C7878,C7854,C7830,C7806,C7782,C7758,C7734,C7710,C7686,C7662,C7638)/POBLA!$B$5*100000</f>
        <v>661.23419613114186</v>
      </c>
      <c r="H7950" s="418">
        <f t="shared" si="619"/>
        <v>0.73522543560265852</v>
      </c>
      <c r="J7950" s="42"/>
    </row>
    <row r="7951" spans="1:10" s="393" customFormat="1" ht="15.75" thickBot="1" x14ac:dyDescent="0.3">
      <c r="A7951" s="402" t="s">
        <v>30</v>
      </c>
      <c r="B7951" s="284">
        <v>44224</v>
      </c>
      <c r="C7951" s="1">
        <v>108</v>
      </c>
      <c r="D7951" s="278">
        <f t="shared" si="618"/>
        <v>16962</v>
      </c>
      <c r="E7951" s="1">
        <v>2</v>
      </c>
      <c r="F7951" s="39">
        <f t="shared" si="620"/>
        <v>2574</v>
      </c>
      <c r="G7951" s="410">
        <f>SUM(C7951,C7927,C7903,C7879,C7855,C7831,C7807,C7783,C7759,C7735,C7711,C7687,C7663,C7639)/POBLA!$B$7*100000</f>
        <v>80.203167174141399</v>
      </c>
      <c r="H7951" s="418">
        <f t="shared" si="619"/>
        <v>0.35390753344285381</v>
      </c>
      <c r="J7951" s="42"/>
    </row>
    <row r="7952" spans="1:10" s="393" customFormat="1" ht="15.75" thickBot="1" x14ac:dyDescent="0.3">
      <c r="A7952" s="402" t="s">
        <v>20</v>
      </c>
      <c r="B7952" s="284">
        <v>44224</v>
      </c>
      <c r="C7952" s="1">
        <v>678</v>
      </c>
      <c r="D7952" s="278">
        <f t="shared" si="618"/>
        <v>143851</v>
      </c>
      <c r="E7952" s="1">
        <v>6</v>
      </c>
      <c r="F7952" s="39">
        <f t="shared" si="620"/>
        <v>276</v>
      </c>
      <c r="G7952" s="410">
        <f>SUM(C7952,C7928,C7904,C7880,C7856,C7832,C7808,C7784,C7760,C7736,C7712,C7688,C7664,C7640)/POBLA!$B$6*100000</f>
        <v>587.61546429740872</v>
      </c>
      <c r="H7952" s="418">
        <f t="shared" si="619"/>
        <v>2.1829632084852504</v>
      </c>
      <c r="J7952" s="42"/>
    </row>
    <row r="7953" spans="1:10" ht="15.75" thickBot="1" x14ac:dyDescent="0.3">
      <c r="A7953" s="402" t="s">
        <v>31</v>
      </c>
      <c r="B7953" s="284">
        <v>44224</v>
      </c>
      <c r="C7953" s="1">
        <v>316</v>
      </c>
      <c r="D7953" s="278">
        <f t="shared" si="618"/>
        <v>40316</v>
      </c>
      <c r="E7953" s="1">
        <v>3</v>
      </c>
      <c r="F7953" s="39">
        <f t="shared" si="620"/>
        <v>705</v>
      </c>
      <c r="G7953" s="176">
        <f>SUM(C7953,C7929,C7905,C7881,C7857,C7833,C7809,C7785,C7761,C7737,C7713,C7689,C7665,C7641)/POBLA!$B$8*100000</f>
        <v>360.11114309854321</v>
      </c>
      <c r="H7953" s="527">
        <f t="shared" ref="H7953:H7969" si="621">SUM(C7953,C7929,C7905,C7881,C7857,C7833,C7809,C7785,C7761,C7737,C7713,C7689,C7665,C7641)/SUM(C7617,C7593,C7569,C7545,C7521,C7497,C7473,C7449,C7425,C7401,C7377,C7353,C7329,C7305)</f>
        <v>0.85579561042524011</v>
      </c>
    </row>
    <row r="7954" spans="1:10" s="393" customFormat="1" ht="15.75" thickBot="1" x14ac:dyDescent="0.3">
      <c r="A7954" s="402" t="s">
        <v>41</v>
      </c>
      <c r="B7954" s="284">
        <v>44224</v>
      </c>
      <c r="C7954" s="1">
        <v>5</v>
      </c>
      <c r="D7954" s="278">
        <f t="shared" si="618"/>
        <v>833</v>
      </c>
      <c r="E7954" s="1"/>
      <c r="F7954" s="39">
        <f t="shared" si="620"/>
        <v>6</v>
      </c>
      <c r="G7954" s="410">
        <f>SUM(C7954,C7930,C7906,C7882,C7858,C7834,C7810,C7786,C7762,C7738,C7714,C7690,C7666,C7642)/POBLA!$B$9*100000</f>
        <v>55.023769276908361</v>
      </c>
      <c r="H7954" s="418">
        <f t="shared" si="621"/>
        <v>1.1808510638297873</v>
      </c>
      <c r="J7954" s="42"/>
    </row>
    <row r="7955" spans="1:10" s="393" customFormat="1" ht="15.75" thickBot="1" x14ac:dyDescent="0.3">
      <c r="A7955" s="402" t="s">
        <v>32</v>
      </c>
      <c r="B7955" s="284">
        <v>44224</v>
      </c>
      <c r="C7955" s="1">
        <v>40</v>
      </c>
      <c r="D7955" s="278">
        <f t="shared" si="618"/>
        <v>19246</v>
      </c>
      <c r="E7955" s="1"/>
      <c r="F7955" s="39">
        <f t="shared" si="620"/>
        <v>866</v>
      </c>
      <c r="G7955" s="410">
        <f>SUM(C7955,C7931,C7907,C7883,C7859,C7835,C7811,C7787,C7763,C7739,C7715,C7691,C7667,C7643)/POBLA!$B$10*100000</f>
        <v>63.17447180563537</v>
      </c>
      <c r="H7955" s="418">
        <f t="shared" si="621"/>
        <v>2.3413461538461537</v>
      </c>
      <c r="J7955" s="42"/>
    </row>
    <row r="7956" spans="1:10" s="393" customFormat="1" ht="15.75" thickBot="1" x14ac:dyDescent="0.3">
      <c r="A7956" s="402" t="s">
        <v>33</v>
      </c>
      <c r="B7956" s="284">
        <v>44224</v>
      </c>
      <c r="C7956" s="1">
        <v>118</v>
      </c>
      <c r="D7956" s="278">
        <f t="shared" si="618"/>
        <v>16238</v>
      </c>
      <c r="E7956" s="1"/>
      <c r="F7956" s="39">
        <f t="shared" si="620"/>
        <v>237</v>
      </c>
      <c r="G7956" s="410">
        <f>SUM(C7956,C7932,C7908,C7884,C7860,C7836,C7812,C7788,C7764,C7740,C7716,C7692,C7668,C7644)/POBLA!$B$11*100000</f>
        <v>474.01430691798629</v>
      </c>
      <c r="H7956" s="418">
        <f t="shared" si="621"/>
        <v>0.46068329718004336</v>
      </c>
      <c r="J7956" s="42"/>
    </row>
    <row r="7957" spans="1:10" s="393" customFormat="1" ht="15.75" thickBot="1" x14ac:dyDescent="0.3">
      <c r="A7957" s="402" t="s">
        <v>21</v>
      </c>
      <c r="B7957" s="284">
        <v>44224</v>
      </c>
      <c r="C7957" s="1">
        <v>10</v>
      </c>
      <c r="D7957" s="278">
        <f t="shared" si="618"/>
        <v>9498</v>
      </c>
      <c r="E7957" s="1">
        <v>1</v>
      </c>
      <c r="F7957" s="39">
        <f t="shared" si="620"/>
        <v>406</v>
      </c>
      <c r="G7957" s="410">
        <f>SUM(C7957,C7933,C7909,C7885,C7861,C7837,C7813,C7789,C7765,C7741,C7717,C7693,C7669,C7645)/POBLA!$B$12*100000</f>
        <v>60.732191364848006</v>
      </c>
      <c r="H7957" s="418">
        <f t="shared" si="621"/>
        <v>1.4484848484848485</v>
      </c>
      <c r="J7957" s="42"/>
    </row>
    <row r="7958" spans="1:10" s="393" customFormat="1" ht="15.75" thickBot="1" x14ac:dyDescent="0.3">
      <c r="A7958" s="402" t="s">
        <v>17</v>
      </c>
      <c r="B7958" s="284">
        <v>44224</v>
      </c>
      <c r="C7958" s="1">
        <v>101</v>
      </c>
      <c r="D7958" s="278">
        <f t="shared" si="618"/>
        <v>63572</v>
      </c>
      <c r="E7958" s="1">
        <v>3</v>
      </c>
      <c r="F7958" s="39">
        <f t="shared" si="620"/>
        <v>1339</v>
      </c>
      <c r="G7958" s="410">
        <f>SUM(C7958,C7934,C7910,C7886,C7862,C7838,C7814,C7790,C7766,C7742,C7718,C7694,C7670,C7646)/POBLA!$B$13*100000</f>
        <v>83.855104007460042</v>
      </c>
      <c r="H7958" s="418">
        <f t="shared" si="621"/>
        <v>0.95045558086560367</v>
      </c>
      <c r="J7958" s="42"/>
    </row>
    <row r="7959" spans="1:10" s="393" customFormat="1" ht="15.75" thickBot="1" x14ac:dyDescent="0.3">
      <c r="A7959" s="402" t="s">
        <v>23</v>
      </c>
      <c r="B7959" s="284">
        <v>44224</v>
      </c>
      <c r="C7959" s="1">
        <v>130</v>
      </c>
      <c r="D7959" s="278">
        <f t="shared" si="618"/>
        <v>4152</v>
      </c>
      <c r="E7959" s="1">
        <v>5</v>
      </c>
      <c r="F7959" s="39">
        <f t="shared" si="620"/>
        <v>79</v>
      </c>
      <c r="G7959" s="410">
        <f>SUM(C7959,C7935,C7911,C7887,C7863,C7839,C7815,C7791,C7767,C7743,C7719,C7695,C7671,C7647)/POBLA!$B$14*100000</f>
        <v>189.48793857736578</v>
      </c>
      <c r="H7959" s="418">
        <f t="shared" si="621"/>
        <v>3.5147058823529411</v>
      </c>
      <c r="J7959" s="42"/>
    </row>
    <row r="7960" spans="1:10" s="393" customFormat="1" ht="15.75" thickBot="1" x14ac:dyDescent="0.3">
      <c r="A7960" s="402" t="s">
        <v>19</v>
      </c>
      <c r="B7960" s="284">
        <v>44224</v>
      </c>
      <c r="C7960" s="1">
        <v>463</v>
      </c>
      <c r="D7960" s="278">
        <f t="shared" si="618"/>
        <v>53044</v>
      </c>
      <c r="E7960" s="1"/>
      <c r="F7960" s="39">
        <f t="shared" si="620"/>
        <v>766</v>
      </c>
      <c r="G7960" s="410">
        <f>SUM(C7960,C7936,C7912,C7888,C7864,C7840,C7816,C7792,C7768,C7744,C7720,C7696,C7672,C7648)/POBLA!$B$15*100000</f>
        <v>880.49670434917482</v>
      </c>
      <c r="H7960" s="418">
        <f t="shared" si="621"/>
        <v>0.95119570522205954</v>
      </c>
      <c r="J7960" s="42"/>
    </row>
    <row r="7961" spans="1:10" s="393" customFormat="1" ht="15.75" thickBot="1" x14ac:dyDescent="0.3">
      <c r="A7961" s="402" t="s">
        <v>18</v>
      </c>
      <c r="B7961" s="284">
        <v>44224</v>
      </c>
      <c r="C7961" s="1">
        <v>311</v>
      </c>
      <c r="D7961" s="278">
        <f t="shared" si="618"/>
        <v>47302</v>
      </c>
      <c r="E7961" s="1">
        <v>5</v>
      </c>
      <c r="F7961" s="39">
        <f t="shared" si="620"/>
        <v>1056</v>
      </c>
      <c r="G7961" s="410">
        <f>SUM(C7961,C7937,C7913,C7889,C7865,C7841,C7817,C7793,C7769,C7745,C7721,C7697,C7673,C7649)/POBLA!$B$16*100000</f>
        <v>565.13422773906188</v>
      </c>
      <c r="H7961" s="418">
        <f t="shared" si="621"/>
        <v>0.94077042974838565</v>
      </c>
      <c r="J7961" s="42"/>
    </row>
    <row r="7962" spans="1:10" s="393" customFormat="1" ht="15.75" thickBot="1" x14ac:dyDescent="0.3">
      <c r="A7962" s="402" t="s">
        <v>34</v>
      </c>
      <c r="B7962" s="284">
        <v>44224</v>
      </c>
      <c r="C7962" s="1">
        <v>85</v>
      </c>
      <c r="D7962" s="278">
        <f t="shared" si="618"/>
        <v>23680</v>
      </c>
      <c r="E7962" s="1"/>
      <c r="F7962" s="39">
        <f t="shared" si="620"/>
        <v>1036</v>
      </c>
      <c r="G7962" s="410">
        <f>SUM(C7962,C7938,C7914,C7890,C7866,C7842,C7818,C7794,C7770,C7746,C7722,C7698,C7674,C7650)/POBLA!$B$17*100000</f>
        <v>53.355911308434372</v>
      </c>
      <c r="H7962" s="418">
        <f t="shared" si="621"/>
        <v>1.4048059149722736</v>
      </c>
      <c r="J7962" s="42"/>
    </row>
    <row r="7963" spans="1:10" s="393" customFormat="1" ht="15.75" thickBot="1" x14ac:dyDescent="0.3">
      <c r="A7963" s="402" t="s">
        <v>35</v>
      </c>
      <c r="B7963" s="284">
        <v>44224</v>
      </c>
      <c r="C7963" s="1">
        <v>74</v>
      </c>
      <c r="D7963" s="278">
        <f t="shared" si="618"/>
        <v>13835</v>
      </c>
      <c r="E7963" s="1">
        <v>2</v>
      </c>
      <c r="F7963" s="39">
        <f t="shared" si="620"/>
        <v>219</v>
      </c>
      <c r="G7963" s="410">
        <f>SUM(C7963,C7939,C7915,C7891,C7867,C7843,C7819,C7795,C7771,C7747,C7723,C7699,C7675,C7651)/POBLA!$B$18*100000</f>
        <v>117.50896357862156</v>
      </c>
      <c r="H7963" s="418">
        <f t="shared" si="621"/>
        <v>0.67056245434623818</v>
      </c>
      <c r="J7963" s="42"/>
    </row>
    <row r="7964" spans="1:10" s="393" customFormat="1" ht="15.75" thickBot="1" x14ac:dyDescent="0.3">
      <c r="A7964" s="402" t="s">
        <v>36</v>
      </c>
      <c r="B7964" s="284">
        <v>44224</v>
      </c>
      <c r="C7964" s="1">
        <v>68</v>
      </c>
      <c r="D7964" s="278">
        <f t="shared" si="618"/>
        <v>18947</v>
      </c>
      <c r="E7964" s="1">
        <v>4</v>
      </c>
      <c r="F7964" s="39">
        <f t="shared" si="620"/>
        <v>348</v>
      </c>
      <c r="G7964" s="410">
        <f>SUM(C7964,C7940,C7916,C7892,C7868,C7844,C7820,C7796,C7772,C7748,C7724,C7700,C7676,C7652)/POBLA!$B$19*100000</f>
        <v>430.23402212744526</v>
      </c>
      <c r="H7964" s="418">
        <f t="shared" si="621"/>
        <v>3.8435852372583481</v>
      </c>
      <c r="J7964" s="42"/>
    </row>
    <row r="7965" spans="1:10" s="393" customFormat="1" ht="15.75" thickBot="1" x14ac:dyDescent="0.3">
      <c r="A7965" s="402" t="s">
        <v>37</v>
      </c>
      <c r="B7965" s="284">
        <v>44224</v>
      </c>
      <c r="C7965" s="1">
        <v>147</v>
      </c>
      <c r="D7965" s="278">
        <f t="shared" si="618"/>
        <v>32140</v>
      </c>
      <c r="E7965" s="1">
        <v>1</v>
      </c>
      <c r="F7965" s="39">
        <f t="shared" si="620"/>
        <v>491</v>
      </c>
      <c r="G7965" s="410">
        <f>SUM(C7965,C7941,C7917,C7893,C7869,C7845,C7821,C7797,C7773,C7749,C7725,C7701,C7677,C7653)/POBLA!$B$20*100000</f>
        <v>985.23918643252091</v>
      </c>
      <c r="H7965" s="418">
        <f t="shared" si="621"/>
        <v>0.75345043914680054</v>
      </c>
      <c r="J7965" s="42"/>
    </row>
    <row r="7966" spans="1:10" s="393" customFormat="1" ht="15.75" thickBot="1" x14ac:dyDescent="0.3">
      <c r="A7966" s="402" t="s">
        <v>22</v>
      </c>
      <c r="B7966" s="284">
        <v>44224</v>
      </c>
      <c r="C7966" s="1">
        <v>662</v>
      </c>
      <c r="D7966" s="278">
        <f t="shared" si="618"/>
        <v>204463</v>
      </c>
      <c r="E7966" s="1">
        <v>19</v>
      </c>
      <c r="F7966" s="39">
        <f t="shared" si="620"/>
        <v>3429</v>
      </c>
      <c r="G7966" s="410">
        <f>SUM(C7966,C7942,C7918,C7894,C7870,C7846,C7822,C7798,C7774,C7750,C7726,C7702,C7678,C7654)/POBLA!$B$21*100000</f>
        <v>356.91482172073546</v>
      </c>
      <c r="H7966" s="418">
        <f t="shared" si="621"/>
        <v>0.81611276348118456</v>
      </c>
      <c r="J7966" s="42"/>
    </row>
    <row r="7967" spans="1:10" s="393" customFormat="1" ht="15.75" thickBot="1" x14ac:dyDescent="0.3">
      <c r="A7967" s="402" t="s">
        <v>38</v>
      </c>
      <c r="B7967" s="284">
        <v>44224</v>
      </c>
      <c r="C7967" s="1">
        <v>71</v>
      </c>
      <c r="D7967" s="278">
        <f t="shared" si="618"/>
        <v>20723</v>
      </c>
      <c r="E7967" s="1"/>
      <c r="F7967" s="39">
        <f t="shared" si="620"/>
        <v>249</v>
      </c>
      <c r="G7967" s="410">
        <f>SUM(C7967,C7943,C7919,C7895,C7871,C7847,C7823,C7799,C7775,C7751,C7727,C7703,C7679,C7655)/POBLA!$B$22*100000</f>
        <v>150.56530987526486</v>
      </c>
      <c r="H7967" s="418">
        <f t="shared" si="621"/>
        <v>0.80934065934065935</v>
      </c>
      <c r="J7967" s="42"/>
    </row>
    <row r="7968" spans="1:10" s="393" customFormat="1" ht="15.75" thickBot="1" x14ac:dyDescent="0.3">
      <c r="A7968" s="402" t="s">
        <v>39</v>
      </c>
      <c r="B7968" s="284">
        <v>44224</v>
      </c>
      <c r="C7968" s="1">
        <v>37</v>
      </c>
      <c r="D7968" s="278">
        <f t="shared" si="618"/>
        <v>21694</v>
      </c>
      <c r="E7968" s="1">
        <v>4</v>
      </c>
      <c r="F7968" s="39">
        <f t="shared" si="620"/>
        <v>329</v>
      </c>
      <c r="G7968" s="410">
        <f>SUM(C7968,C7944,C7920,C7896,C7872,C7848,C7824,C7800,C7776,C7752,C7728,C7704,C7680,C7656)/POBLA!$B$23*100000</f>
        <v>635.63874908103821</v>
      </c>
      <c r="H7968" s="418">
        <f t="shared" si="621"/>
        <v>0.78546470999301188</v>
      </c>
      <c r="J7968" s="42"/>
    </row>
    <row r="7969" spans="1:10" s="393" customFormat="1" ht="15.75" thickBot="1" x14ac:dyDescent="0.3">
      <c r="A7969" s="404" t="s">
        <v>40</v>
      </c>
      <c r="B7969" s="284">
        <v>44224</v>
      </c>
      <c r="C7969" s="1">
        <v>232</v>
      </c>
      <c r="D7969" s="285">
        <f t="shared" si="618"/>
        <v>76130</v>
      </c>
      <c r="E7969" s="1"/>
      <c r="F7969" s="177">
        <f t="shared" si="620"/>
        <v>1421</v>
      </c>
      <c r="G7969" s="410">
        <f>SUM(C7969,C7945,C7921,C7897,C7873,C7849,C7825,C7801,C7777,C7753,C7729,C7705,C7681,C7657)/POBLA!$B$24*100000</f>
        <v>134.77661543109633</v>
      </c>
      <c r="H7969" s="419">
        <f t="shared" si="621"/>
        <v>0.83479532163742687</v>
      </c>
      <c r="J7969" s="42"/>
    </row>
    <row r="7970" spans="1:10" s="393" customFormat="1" ht="15.75" thickBot="1" x14ac:dyDescent="0.3">
      <c r="A7970" s="397" t="s">
        <v>16</v>
      </c>
      <c r="B7970" s="284">
        <v>44225</v>
      </c>
      <c r="C7970" s="1">
        <v>4483</v>
      </c>
      <c r="D7970" s="283">
        <f t="shared" ref="D7970:D8001" si="622">C7970+D7946</f>
        <v>799055</v>
      </c>
      <c r="E7970" s="1">
        <v>79</v>
      </c>
      <c r="F7970" s="175">
        <v>24351</v>
      </c>
      <c r="G7970" s="410">
        <f>SUM(C7970,C7946,C7922,C7898,C7874,C7850,C7826,C7802,C7778,C7754,C7730,C7706,C7682,C7658)/POBLA!$B$1*100000</f>
        <v>306.28566294518697</v>
      </c>
      <c r="H7970" s="416">
        <f t="shared" ref="H7970:H7976" si="623">SUM(C7970,C7946,C7922,C7898,C7874,C7850,C7826,C7802,C7778,C7754,C7730,C7706,C7682,C7658)/SUM(C7634,C7610,C7586,C7562,C7538,C7514,C7490,C7466,C7442,C7418,C7394,C7370,C7346,C7322)</f>
        <v>0.90940790141846373</v>
      </c>
      <c r="J7970" s="42"/>
    </row>
    <row r="7971" spans="1:10" s="393" customFormat="1" ht="15.75" thickBot="1" x14ac:dyDescent="0.3">
      <c r="A7971" s="402" t="s">
        <v>43</v>
      </c>
      <c r="B7971" s="284">
        <v>44225</v>
      </c>
      <c r="C7971" s="1">
        <v>1195</v>
      </c>
      <c r="D7971" s="278">
        <f t="shared" si="622"/>
        <v>208540</v>
      </c>
      <c r="E7971" s="1">
        <v>9</v>
      </c>
      <c r="F7971" s="39">
        <v>6039</v>
      </c>
      <c r="G7971" s="410">
        <f>SUM(C7971,C7947,C7923,C7899,C7875,C7851,C7827,C7803,C7779,C7755,C7731,C7707,C7683,C7659)/POBLA!$B$2*100000</f>
        <v>525.19048030885222</v>
      </c>
      <c r="H7971" s="418">
        <f t="shared" si="623"/>
        <v>0.938364122226095</v>
      </c>
      <c r="J7971" s="42"/>
    </row>
    <row r="7972" spans="1:10" s="393" customFormat="1" ht="15.75" thickBot="1" x14ac:dyDescent="0.3">
      <c r="A7972" s="402" t="s">
        <v>28</v>
      </c>
      <c r="B7972" s="284">
        <v>44225</v>
      </c>
      <c r="C7972" s="1">
        <v>115</v>
      </c>
      <c r="D7972" s="278">
        <f t="shared" si="622"/>
        <v>5155</v>
      </c>
      <c r="E7972" s="1"/>
      <c r="F7972" s="39">
        <v>17</v>
      </c>
      <c r="G7972" s="410">
        <f>SUM(C7972,C7948,C7924,C7900,C7876,C7852,C7828,C7804,C7780,C7756,C7732,C7708,C7684,C7660)/POBLA!$B$3*100000</f>
        <v>319.18120152706297</v>
      </c>
      <c r="H7972" s="418">
        <f t="shared" si="623"/>
        <v>1.2485875706214689</v>
      </c>
      <c r="J7972" s="42"/>
    </row>
    <row r="7973" spans="1:10" s="393" customFormat="1" ht="15.75" thickBot="1" x14ac:dyDescent="0.3">
      <c r="A7973" s="402" t="s">
        <v>15</v>
      </c>
      <c r="B7973" s="284">
        <v>44225</v>
      </c>
      <c r="C7973" s="1">
        <v>202</v>
      </c>
      <c r="D7973" s="278">
        <f t="shared" si="622"/>
        <v>30552</v>
      </c>
      <c r="E7973" s="1">
        <v>2</v>
      </c>
      <c r="F7973" s="39">
        <v>788</v>
      </c>
      <c r="G7973" s="410">
        <f>SUM(C7973,C7949,C7925,C7901,C7877,C7853,C7829,C7805,C7781,C7757,C7733,C7709,C7685,C7661)/POBLA!$B$4*100000</f>
        <v>197.91771305418411</v>
      </c>
      <c r="H7973" s="418">
        <f t="shared" si="623"/>
        <v>0.72572298325722984</v>
      </c>
      <c r="J7973" s="42"/>
    </row>
    <row r="7974" spans="1:10" s="393" customFormat="1" ht="15.75" thickBot="1" x14ac:dyDescent="0.3">
      <c r="A7974" s="402" t="s">
        <v>29</v>
      </c>
      <c r="B7974" s="284">
        <v>44225</v>
      </c>
      <c r="C7974" s="1">
        <v>392</v>
      </c>
      <c r="D7974" s="278">
        <f t="shared" si="622"/>
        <v>41983</v>
      </c>
      <c r="E7974" s="1">
        <v>6</v>
      </c>
      <c r="F7974" s="39">
        <v>610</v>
      </c>
      <c r="G7974" s="410">
        <f>SUM(C7974,C7950,C7926,C7902,C7878,C7854,C7830,C7806,C7782,C7758,C7734,C7710,C7686,C7662)/POBLA!$B$5*100000</f>
        <v>658.64935685967873</v>
      </c>
      <c r="H7974" s="418">
        <f t="shared" si="623"/>
        <v>0.69597132127005801</v>
      </c>
      <c r="J7974" s="42"/>
    </row>
    <row r="7975" spans="1:10" s="393" customFormat="1" ht="15.75" thickBot="1" x14ac:dyDescent="0.3">
      <c r="A7975" s="402" t="s">
        <v>30</v>
      </c>
      <c r="B7975" s="284">
        <v>44225</v>
      </c>
      <c r="C7975" s="1">
        <v>178</v>
      </c>
      <c r="D7975" s="278">
        <f t="shared" si="622"/>
        <v>17140</v>
      </c>
      <c r="E7975" s="1"/>
      <c r="F7975" s="39">
        <v>2694</v>
      </c>
      <c r="G7975" s="410">
        <f>SUM(C7975,C7951,C7927,C7903,C7879,C7855,C7831,C7807,C7783,C7759,C7735,C7711,C7687,C7663)/POBLA!$B$7*100000</f>
        <v>67.678070443696896</v>
      </c>
      <c r="H7975" s="418">
        <f t="shared" si="623"/>
        <v>0.28509017587095331</v>
      </c>
      <c r="J7975" s="42"/>
    </row>
    <row r="7976" spans="1:10" s="393" customFormat="1" ht="15.75" thickBot="1" x14ac:dyDescent="0.3">
      <c r="A7976" s="402" t="s">
        <v>20</v>
      </c>
      <c r="B7976" s="284">
        <v>44225</v>
      </c>
      <c r="C7976" s="1">
        <v>606</v>
      </c>
      <c r="D7976" s="278">
        <f t="shared" si="622"/>
        <v>144457</v>
      </c>
      <c r="E7976" s="1">
        <v>11</v>
      </c>
      <c r="F7976" s="39">
        <v>199</v>
      </c>
      <c r="G7976" s="410">
        <f>SUM(C7976,C7952,C7928,C7904,C7880,C7856,C7832,C7808,C7784,C7760,C7736,C7712,C7688,C7664)/POBLA!$B$6*100000</f>
        <v>620.71679093790954</v>
      </c>
      <c r="H7976" s="418">
        <f t="shared" si="623"/>
        <v>2.1659402241594021</v>
      </c>
      <c r="J7976" s="42"/>
    </row>
    <row r="7977" spans="1:10" ht="15.75" thickBot="1" x14ac:dyDescent="0.3">
      <c r="A7977" s="402" t="s">
        <v>31</v>
      </c>
      <c r="B7977" s="284">
        <v>44225</v>
      </c>
      <c r="C7977" s="1">
        <v>306</v>
      </c>
      <c r="D7977" s="278">
        <f t="shared" si="622"/>
        <v>40622</v>
      </c>
      <c r="E7977" s="1">
        <v>7</v>
      </c>
      <c r="F7977" s="39">
        <v>714</v>
      </c>
      <c r="G7977" s="176">
        <f>SUM(C7977,C7953,C7929,C7905,C7881,C7857,C7833,C7809,C7785,C7761,C7737,C7713,C7689,C7665)/POBLA!$B$8*100000</f>
        <v>343.44400744321086</v>
      </c>
      <c r="H7977" s="527">
        <f t="shared" ref="H7977:H7993" si="624">SUM(C7977,C7953,C7929,C7905,C7881,C7857,C7833,C7809,C7785,C7761,C7737,C7713,C7689,C7665)/SUM(C7641,C7617,C7593,C7569,C7545,C7521,C7497,C7473,C7449,C7425,C7401,C7377,C7353,C7329)</f>
        <v>0.77905073649754497</v>
      </c>
    </row>
    <row r="7978" spans="1:10" s="393" customFormat="1" ht="15.75" thickBot="1" x14ac:dyDescent="0.3">
      <c r="A7978" s="402" t="s">
        <v>41</v>
      </c>
      <c r="B7978" s="284">
        <v>44225</v>
      </c>
      <c r="C7978" s="1">
        <v>8</v>
      </c>
      <c r="D7978" s="278">
        <f t="shared" si="622"/>
        <v>841</v>
      </c>
      <c r="E7978" s="1"/>
      <c r="F7978" s="39">
        <v>5</v>
      </c>
      <c r="G7978" s="410">
        <f>SUM(C7978,C7954,C7930,C7906,C7882,C7858,C7834,C7810,C7786,C7762,C7738,C7714,C7690,C7666)/POBLA!$B$9*100000</f>
        <v>46.761942058153345</v>
      </c>
      <c r="H7978" s="418">
        <f t="shared" si="624"/>
        <v>0.83480825958702065</v>
      </c>
      <c r="J7978" s="42"/>
    </row>
    <row r="7979" spans="1:10" s="393" customFormat="1" ht="15.75" thickBot="1" x14ac:dyDescent="0.3">
      <c r="A7979" s="402" t="s">
        <v>32</v>
      </c>
      <c r="B7979" s="284">
        <v>44225</v>
      </c>
      <c r="C7979" s="1">
        <v>29</v>
      </c>
      <c r="D7979" s="278">
        <f t="shared" si="622"/>
        <v>19275</v>
      </c>
      <c r="E7979" s="1">
        <v>1</v>
      </c>
      <c r="F7979" s="39">
        <v>872</v>
      </c>
      <c r="G7979" s="410">
        <f>SUM(C7979,C7955,C7931,C7907,C7883,C7859,C7835,C7811,C7787,C7763,C7739,C7715,C7691,C7667)/POBLA!$B$10*100000</f>
        <v>64.212245469793643</v>
      </c>
      <c r="H7979" s="418">
        <f t="shared" si="624"/>
        <v>2.2811059907834101</v>
      </c>
      <c r="J7979" s="42"/>
    </row>
    <row r="7980" spans="1:10" s="393" customFormat="1" ht="15.75" thickBot="1" x14ac:dyDescent="0.3">
      <c r="A7980" s="402" t="s">
        <v>33</v>
      </c>
      <c r="B7980" s="284">
        <v>44225</v>
      </c>
      <c r="C7980" s="1">
        <v>82</v>
      </c>
      <c r="D7980" s="278">
        <f t="shared" si="622"/>
        <v>16320</v>
      </c>
      <c r="E7980" s="1"/>
      <c r="F7980" s="39">
        <v>237</v>
      </c>
      <c r="G7980" s="410">
        <f>SUM(C7980,C7956,C7932,C7908,C7884,C7860,C7836,C7812,C7788,C7764,C7740,C7716,C7692,C7668)/POBLA!$B$11*100000</f>
        <v>442.48775207294074</v>
      </c>
      <c r="H7980" s="418">
        <f t="shared" si="624"/>
        <v>0.43368881596937381</v>
      </c>
      <c r="J7980" s="42"/>
    </row>
    <row r="7981" spans="1:10" s="393" customFormat="1" ht="15.75" thickBot="1" x14ac:dyDescent="0.3">
      <c r="A7981" s="402" t="s">
        <v>21</v>
      </c>
      <c r="B7981" s="284">
        <v>44225</v>
      </c>
      <c r="C7981" s="1">
        <v>17</v>
      </c>
      <c r="D7981" s="278">
        <f t="shared" si="622"/>
        <v>9515</v>
      </c>
      <c r="E7981" s="1"/>
      <c r="F7981" s="39">
        <v>411</v>
      </c>
      <c r="G7981" s="410">
        <f>SUM(C7981,C7957,C7933,C7909,C7885,C7861,C7837,C7813,C7789,C7765,C7741,C7717,C7693,C7669)/POBLA!$B$12*100000</f>
        <v>61.74862971405048</v>
      </c>
      <c r="H7981" s="418">
        <f t="shared" si="624"/>
        <v>1.51875</v>
      </c>
      <c r="J7981" s="42"/>
    </row>
    <row r="7982" spans="1:10" s="393" customFormat="1" ht="15.75" thickBot="1" x14ac:dyDescent="0.3">
      <c r="A7982" s="402" t="s">
        <v>17</v>
      </c>
      <c r="B7982" s="284">
        <v>44225</v>
      </c>
      <c r="C7982" s="1">
        <v>118</v>
      </c>
      <c r="D7982" s="278">
        <f t="shared" si="622"/>
        <v>63690</v>
      </c>
      <c r="E7982" s="1">
        <v>8</v>
      </c>
      <c r="F7982" s="39">
        <v>1359</v>
      </c>
      <c r="G7982" s="410">
        <f>SUM(C7982,C7958,C7934,C7910,C7886,C7862,C7838,C7814,C7790,C7766,C7742,C7718,C7694,C7670)/POBLA!$B$13*100000</f>
        <v>83.000977723381652</v>
      </c>
      <c r="H7982" s="418">
        <f t="shared" si="624"/>
        <v>0.89297297297297296</v>
      </c>
      <c r="J7982" s="42"/>
    </row>
    <row r="7983" spans="1:10" s="393" customFormat="1" ht="15.75" thickBot="1" x14ac:dyDescent="0.3">
      <c r="A7983" s="402" t="s">
        <v>23</v>
      </c>
      <c r="B7983" s="284">
        <v>44225</v>
      </c>
      <c r="C7983" s="1">
        <v>217</v>
      </c>
      <c r="D7983" s="278">
        <f t="shared" si="622"/>
        <v>4369</v>
      </c>
      <c r="E7983" s="1">
        <v>3</v>
      </c>
      <c r="F7983" s="39">
        <v>82</v>
      </c>
      <c r="G7983" s="410">
        <f>SUM(C7983,C7959,C7935,C7911,C7887,C7863,C7839,C7815,C7791,C7767,C7743,C7719,C7695,C7671)/POBLA!$B$14*100000</f>
        <v>198.4469917402287</v>
      </c>
      <c r="H7983" s="418">
        <f t="shared" si="624"/>
        <v>3.1926020408163267</v>
      </c>
      <c r="J7983" s="42"/>
    </row>
    <row r="7984" spans="1:10" s="393" customFormat="1" ht="15.75" thickBot="1" x14ac:dyDescent="0.3">
      <c r="A7984" s="402" t="s">
        <v>19</v>
      </c>
      <c r="B7984" s="284">
        <v>44225</v>
      </c>
      <c r="C7984" s="1">
        <v>485</v>
      </c>
      <c r="D7984" s="278">
        <f t="shared" si="622"/>
        <v>53529</v>
      </c>
      <c r="E7984" s="1"/>
      <c r="F7984" s="39">
        <v>768</v>
      </c>
      <c r="G7984" s="410">
        <f>SUM(C7984,C7960,C7936,C7912,C7888,C7864,C7840,C7816,C7792,C7768,C7744,C7720,C7696,C7672)/POBLA!$B$15*100000</f>
        <v>875.97901987329396</v>
      </c>
      <c r="H7984" s="418">
        <f t="shared" si="624"/>
        <v>0.90004641807210273</v>
      </c>
      <c r="J7984" s="42"/>
    </row>
    <row r="7985" spans="1:10" s="393" customFormat="1" ht="15.75" thickBot="1" x14ac:dyDescent="0.3">
      <c r="A7985" s="402" t="s">
        <v>18</v>
      </c>
      <c r="B7985" s="284">
        <v>44225</v>
      </c>
      <c r="C7985" s="1">
        <v>330</v>
      </c>
      <c r="D7985" s="278">
        <f t="shared" si="622"/>
        <v>47632</v>
      </c>
      <c r="E7985" s="1">
        <v>9</v>
      </c>
      <c r="F7985" s="39">
        <v>1072</v>
      </c>
      <c r="G7985" s="410">
        <f>SUM(C7985,C7961,C7937,C7913,C7889,C7865,C7841,C7817,C7793,C7769,C7745,C7721,C7697,C7673)/POBLA!$B$16*100000</f>
        <v>564.59918941694207</v>
      </c>
      <c r="H7985" s="418">
        <f t="shared" si="624"/>
        <v>0.89598811292719172</v>
      </c>
      <c r="J7985" s="42"/>
    </row>
    <row r="7986" spans="1:10" s="393" customFormat="1" ht="15.75" thickBot="1" x14ac:dyDescent="0.3">
      <c r="A7986" s="402" t="s">
        <v>34</v>
      </c>
      <c r="B7986" s="284">
        <v>44225</v>
      </c>
      <c r="C7986" s="1">
        <v>44</v>
      </c>
      <c r="D7986" s="278">
        <f t="shared" si="622"/>
        <v>23724</v>
      </c>
      <c r="E7986" s="1">
        <v>3</v>
      </c>
      <c r="F7986" s="39">
        <v>1043</v>
      </c>
      <c r="G7986" s="410">
        <f>SUM(C7986,C7962,C7938,C7914,C7890,C7866,C7842,C7818,C7794,C7770,C7746,C7722,C7698,C7674)/POBLA!$B$17*100000</f>
        <v>52.302834111557388</v>
      </c>
      <c r="H7986" s="418">
        <f t="shared" si="624"/>
        <v>1.2713310580204777</v>
      </c>
      <c r="J7986" s="42"/>
    </row>
    <row r="7987" spans="1:10" s="393" customFormat="1" ht="15.75" thickBot="1" x14ac:dyDescent="0.3">
      <c r="A7987" s="402" t="s">
        <v>35</v>
      </c>
      <c r="B7987" s="284">
        <v>44225</v>
      </c>
      <c r="C7987" s="1">
        <v>71</v>
      </c>
      <c r="D7987" s="278">
        <f t="shared" si="622"/>
        <v>13906</v>
      </c>
      <c r="E7987" s="1"/>
      <c r="F7987" s="39">
        <v>198</v>
      </c>
      <c r="G7987" s="410">
        <f>SUM(C7987,C7963,C7939,C7915,C7891,C7867,C7843,C7819,C7795,C7771,C7747,C7723,C7699,C7675)/POBLA!$B$18*100000</f>
        <v>112.38874730068599</v>
      </c>
      <c r="H7987" s="418">
        <f t="shared" si="624"/>
        <v>0.59850034083162917</v>
      </c>
      <c r="J7987" s="42"/>
    </row>
    <row r="7988" spans="1:10" s="393" customFormat="1" ht="15.75" thickBot="1" x14ac:dyDescent="0.3">
      <c r="A7988" s="402" t="s">
        <v>36</v>
      </c>
      <c r="B7988" s="284">
        <v>44225</v>
      </c>
      <c r="C7988" s="1">
        <v>14</v>
      </c>
      <c r="D7988" s="278">
        <f t="shared" si="622"/>
        <v>18961</v>
      </c>
      <c r="E7988" s="1"/>
      <c r="F7988" s="39">
        <v>330</v>
      </c>
      <c r="G7988" s="410">
        <f>SUM(C7988,C7964,C7940,C7916,C7892,C7868,C7844,C7820,C7796,C7772,C7748,C7724,C7700,C7676)/POBLA!$B$19*100000</f>
        <v>426.49627799373638</v>
      </c>
      <c r="H7988" s="418">
        <f t="shared" si="624"/>
        <v>3.6498316498316496</v>
      </c>
      <c r="J7988" s="42"/>
    </row>
    <row r="7989" spans="1:10" s="393" customFormat="1" ht="15.75" thickBot="1" x14ac:dyDescent="0.3">
      <c r="A7989" s="402" t="s">
        <v>37</v>
      </c>
      <c r="B7989" s="284">
        <v>44225</v>
      </c>
      <c r="C7989" s="1">
        <v>164</v>
      </c>
      <c r="D7989" s="278">
        <f t="shared" si="622"/>
        <v>32304</v>
      </c>
      <c r="E7989" s="1">
        <v>2</v>
      </c>
      <c r="F7989" s="39">
        <v>489</v>
      </c>
      <c r="G7989" s="410">
        <f>SUM(C7989,C7965,C7941,C7917,C7893,C7869,C7845,C7821,C7797,C7773,C7749,C7725,C7701,C7677)/POBLA!$B$20*100000</f>
        <v>939.29964068712445</v>
      </c>
      <c r="H7989" s="418">
        <f t="shared" si="624"/>
        <v>0.68975903614457834</v>
      </c>
      <c r="J7989" s="42"/>
    </row>
    <row r="7990" spans="1:10" s="393" customFormat="1" ht="15.75" thickBot="1" x14ac:dyDescent="0.3">
      <c r="A7990" s="402" t="s">
        <v>22</v>
      </c>
      <c r="B7990" s="284">
        <v>44225</v>
      </c>
      <c r="C7990" s="1">
        <v>631</v>
      </c>
      <c r="D7990" s="278">
        <f t="shared" si="622"/>
        <v>205094</v>
      </c>
      <c r="E7990" s="1">
        <v>27</v>
      </c>
      <c r="F7990" s="39">
        <v>3494</v>
      </c>
      <c r="G7990" s="410">
        <f>SUM(C7990,C7966,C7942,C7918,C7894,C7870,C7846,C7822,C7798,C7774,C7750,C7726,C7702,C7678)/POBLA!$B$21*100000</f>
        <v>332.68126109526645</v>
      </c>
      <c r="H7990" s="418">
        <f t="shared" si="624"/>
        <v>0.70864956029394044</v>
      </c>
      <c r="J7990" s="42"/>
    </row>
    <row r="7991" spans="1:10" s="393" customFormat="1" ht="15.75" thickBot="1" x14ac:dyDescent="0.3">
      <c r="A7991" s="402" t="s">
        <v>38</v>
      </c>
      <c r="B7991" s="284">
        <v>44225</v>
      </c>
      <c r="C7991" s="1">
        <v>-53</v>
      </c>
      <c r="D7991" s="278">
        <f t="shared" si="622"/>
        <v>20670</v>
      </c>
      <c r="E7991" s="1">
        <v>1</v>
      </c>
      <c r="F7991" s="39">
        <v>242</v>
      </c>
      <c r="G7991" s="410">
        <f>SUM(C7991,C7967,C7943,C7919,C7895,C7871,C7847,C7823,C7799,C7775,C7751,C7727,C7703,C7679)/POBLA!$B$22*100000</f>
        <v>135.74387747070722</v>
      </c>
      <c r="H7991" s="418">
        <f t="shared" si="624"/>
        <v>0.69784550709406201</v>
      </c>
      <c r="J7991" s="42"/>
    </row>
    <row r="7992" spans="1:10" s="393" customFormat="1" ht="15.75" thickBot="1" x14ac:dyDescent="0.3">
      <c r="A7992" s="402" t="s">
        <v>39</v>
      </c>
      <c r="B7992" s="284">
        <v>44225</v>
      </c>
      <c r="C7992" s="1">
        <v>66</v>
      </c>
      <c r="D7992" s="278">
        <f t="shared" si="622"/>
        <v>21760</v>
      </c>
      <c r="E7992" s="1"/>
      <c r="F7992" s="39">
        <v>332</v>
      </c>
      <c r="G7992" s="410">
        <f>SUM(C7992,C7968,C7944,C7920,C7896,C7872,C7848,C7824,C7800,C7776,C7752,C7728,C7704,C7680)/POBLA!$B$23*100000</f>
        <v>621.50087654809704</v>
      </c>
      <c r="H7992" s="418">
        <f t="shared" si="624"/>
        <v>0.7631944444444444</v>
      </c>
      <c r="J7992" s="42"/>
    </row>
    <row r="7993" spans="1:10" s="393" customFormat="1" ht="15.75" thickBot="1" x14ac:dyDescent="0.3">
      <c r="A7993" s="403" t="s">
        <v>40</v>
      </c>
      <c r="B7993" s="280">
        <v>44225</v>
      </c>
      <c r="C7993" s="234">
        <v>138</v>
      </c>
      <c r="D7993" s="281">
        <f t="shared" si="622"/>
        <v>76268</v>
      </c>
      <c r="E7993" s="234">
        <v>6</v>
      </c>
      <c r="F7993" s="67">
        <v>1427</v>
      </c>
      <c r="G7993" s="410">
        <f>SUM(C7993,C7969,C7945,C7921,C7897,C7873,C7849,C7825,C7801,C7777,C7753,C7729,C7705,C7681)/POBLA!$B$24*100000</f>
        <v>127.99057743872503</v>
      </c>
      <c r="H7993" s="419">
        <f t="shared" si="624"/>
        <v>0.73425863236289779</v>
      </c>
      <c r="J7993" s="42"/>
    </row>
    <row r="7994" spans="1:10" s="393" customFormat="1" ht="15.75" thickBot="1" x14ac:dyDescent="0.3">
      <c r="A7994" s="397" t="s">
        <v>16</v>
      </c>
      <c r="B7994" s="267">
        <v>44226</v>
      </c>
      <c r="C7994" s="43">
        <v>3066</v>
      </c>
      <c r="D7994" s="175">
        <f t="shared" si="622"/>
        <v>802121</v>
      </c>
      <c r="E7994" s="43">
        <v>120</v>
      </c>
      <c r="F7994" s="175">
        <f>E7994+F7970</f>
        <v>24471</v>
      </c>
      <c r="G7994" s="410">
        <f>SUM(C7994,C7970,C7946,C7922,C7898,C7874,C7850,C7826,C7802,C7778,C7754,C7730,C7706,C7682)/POBLA!$B$1*100000</f>
        <v>303.63475215209775</v>
      </c>
      <c r="H7994" s="416">
        <f t="shared" ref="H7994:H8000" si="625">SUM(C7994,C7970,C7946,C7922,C7898,C7874,C7850,C7826,C7802,C7778,C7754,C7730,C7706,C7682)/SUM(C7658,C7634,C7610,C7586,C7562,C7538,C7514,C7490,C7466,C7442,C7418,C7394,C7370,C7346)</f>
        <v>0.88018707342466662</v>
      </c>
      <c r="J7994" s="42"/>
    </row>
    <row r="7995" spans="1:10" s="393" customFormat="1" ht="15.75" thickBot="1" x14ac:dyDescent="0.3">
      <c r="A7995" s="402" t="s">
        <v>43</v>
      </c>
      <c r="B7995" s="2">
        <v>44226</v>
      </c>
      <c r="C7995" s="1">
        <v>951</v>
      </c>
      <c r="D7995" s="39">
        <f t="shared" si="622"/>
        <v>209491</v>
      </c>
      <c r="E7995" s="1">
        <v>5</v>
      </c>
      <c r="F7995" s="39">
        <f>E7995+F7971</f>
        <v>6044</v>
      </c>
      <c r="G7995" s="410">
        <f>SUM(C7995,C7971,C7947,C7923,C7899,C7875,C7851,C7827,C7803,C7779,C7755,C7731,C7707,C7683)/POBLA!$B$2*100000</f>
        <v>518.91537582673698</v>
      </c>
      <c r="H7995" s="418">
        <f t="shared" si="625"/>
        <v>0.89346694284274752</v>
      </c>
      <c r="J7995" s="42"/>
    </row>
    <row r="7996" spans="1:10" s="393" customFormat="1" ht="15.75" thickBot="1" x14ac:dyDescent="0.3">
      <c r="A7996" s="402" t="s">
        <v>28</v>
      </c>
      <c r="B7996" s="2">
        <v>44226</v>
      </c>
      <c r="C7996" s="1">
        <v>86</v>
      </c>
      <c r="D7996" s="39">
        <f t="shared" si="622"/>
        <v>5241</v>
      </c>
      <c r="E7996" s="1"/>
      <c r="F7996" s="39">
        <f>E7996+F7972</f>
        <v>17</v>
      </c>
      <c r="G7996" s="410">
        <f>SUM(C7996,C7972,C7948,C7924,C7900,C7876,C7852,C7828,C7804,C7780,C7756,C7732,C7708,C7684)/POBLA!$B$3*100000</f>
        <v>283.31544057115622</v>
      </c>
      <c r="H7996" s="418">
        <f t="shared" si="625"/>
        <v>0.9446227929373997</v>
      </c>
      <c r="J7996" s="42"/>
    </row>
    <row r="7997" spans="1:10" s="393" customFormat="1" ht="15.75" thickBot="1" x14ac:dyDescent="0.3">
      <c r="A7997" s="402" t="s">
        <v>15</v>
      </c>
      <c r="B7997" s="2">
        <v>44226</v>
      </c>
      <c r="C7997" s="1">
        <v>116</v>
      </c>
      <c r="D7997" s="39">
        <f t="shared" si="622"/>
        <v>30668</v>
      </c>
      <c r="E7997" s="1"/>
      <c r="F7997" s="39">
        <f t="shared" ref="F7997:F8017" si="626">E7997+F7973</f>
        <v>788</v>
      </c>
      <c r="G7997" s="410">
        <f>SUM(C7997,C7973,C7949,C7925,C7901,C7877,C7853,C7829,C7805,C7781,C7757,C7733,C7709,C7685)/POBLA!$B$4*100000</f>
        <v>193.434677607487</v>
      </c>
      <c r="H7997" s="418">
        <f t="shared" si="625"/>
        <v>0.70541931577353922</v>
      </c>
      <c r="J7997" s="42"/>
    </row>
    <row r="7998" spans="1:10" s="393" customFormat="1" ht="15.75" thickBot="1" x14ac:dyDescent="0.3">
      <c r="A7998" s="402" t="s">
        <v>29</v>
      </c>
      <c r="B7998" s="2">
        <v>44226</v>
      </c>
      <c r="C7998" s="1">
        <v>233</v>
      </c>
      <c r="D7998" s="39">
        <f t="shared" si="622"/>
        <v>42216</v>
      </c>
      <c r="E7998" s="1">
        <v>7</v>
      </c>
      <c r="F7998" s="39">
        <f t="shared" si="626"/>
        <v>617</v>
      </c>
      <c r="G7998" s="410">
        <f>SUM(C7998,C7974,C7950,C7926,C7902,C7878,C7854,C7830,C7806,C7782,C7758,C7734,C7710,C7686)/POBLA!$B$5*100000</f>
        <v>667.05008449193372</v>
      </c>
      <c r="H7998" s="418">
        <f t="shared" si="625"/>
        <v>0.70762639245929737</v>
      </c>
      <c r="J7998" s="42"/>
    </row>
    <row r="7999" spans="1:10" s="393" customFormat="1" ht="15.75" thickBot="1" x14ac:dyDescent="0.3">
      <c r="A7999" s="402" t="s">
        <v>30</v>
      </c>
      <c r="B7999" s="2">
        <v>44226</v>
      </c>
      <c r="C7999" s="1">
        <v>192</v>
      </c>
      <c r="D7999" s="39">
        <f t="shared" si="622"/>
        <v>17332</v>
      </c>
      <c r="E7999" s="1"/>
      <c r="F7999" s="39">
        <f>E8000+F7976</f>
        <v>204</v>
      </c>
      <c r="G7999" s="410">
        <f>SUM(C7999,C7975,C7951,C7927,C7903,C7879,C7855,C7831,C7807,C7783,C7759,C7735,C7711,C7687)/POBLA!$B$7*100000</f>
        <v>58.530229094922156</v>
      </c>
      <c r="H7999" s="418">
        <f t="shared" si="625"/>
        <v>0.23464818763326226</v>
      </c>
      <c r="J7999" s="42"/>
    </row>
    <row r="8000" spans="1:10" s="393" customFormat="1" ht="15.75" thickBot="1" x14ac:dyDescent="0.3">
      <c r="A8000" s="402" t="s">
        <v>20</v>
      </c>
      <c r="B8000" s="2">
        <v>44226</v>
      </c>
      <c r="C8000" s="1">
        <v>239</v>
      </c>
      <c r="D8000" s="39">
        <f t="shared" si="622"/>
        <v>144696</v>
      </c>
      <c r="E8000" s="1">
        <v>5</v>
      </c>
      <c r="F8000" s="39">
        <f>E7999+F7975</f>
        <v>2694</v>
      </c>
      <c r="G8000" s="410">
        <f>SUM(C8000,C7976,C7952,C7928,C7904,C7880,C7856,C7832,C7808,C7784,C7760,C7736,C7712,C7688)/POBLA!$B$6*100000</f>
        <v>635.08151759322129</v>
      </c>
      <c r="H8000" s="418">
        <f t="shared" si="625"/>
        <v>2.2334483840602446</v>
      </c>
      <c r="J8000" s="42"/>
    </row>
    <row r="8001" spans="1:10" ht="15.75" thickBot="1" x14ac:dyDescent="0.3">
      <c r="A8001" s="402" t="s">
        <v>31</v>
      </c>
      <c r="B8001" s="2">
        <v>44226</v>
      </c>
      <c r="C8001" s="1">
        <v>240</v>
      </c>
      <c r="D8001" s="39">
        <f t="shared" si="622"/>
        <v>40862</v>
      </c>
      <c r="E8001" s="1">
        <v>5</v>
      </c>
      <c r="F8001" s="39">
        <f t="shared" si="626"/>
        <v>719</v>
      </c>
      <c r="G8001" s="176">
        <f>SUM(C8001,C7977,C7953,C7929,C7905,C7881,C7857,C7833,C7809,C7785,C7761,C7737,C7713,C7689)/POBLA!$B$8*100000</f>
        <v>338.10475186531221</v>
      </c>
      <c r="H8001" s="527">
        <f t="shared" ref="H8001:H8017" si="627">SUM(C8001,C7977,C7953,C7929,C7905,C7881,C7857,C7833,C7809,C7785,C7761,C7737,C7713,C7689)/SUM(C7665,C7641,C7617,C7593,C7569,C7545,C7521,C7497,C7473,C7449,C7425,C7401,C7377,C7353)</f>
        <v>0.74605954465849389</v>
      </c>
    </row>
    <row r="8002" spans="1:10" s="393" customFormat="1" ht="15.75" thickBot="1" x14ac:dyDescent="0.3">
      <c r="A8002" s="402" t="s">
        <v>41</v>
      </c>
      <c r="B8002" s="2">
        <v>44226</v>
      </c>
      <c r="C8002" s="1">
        <v>2</v>
      </c>
      <c r="D8002" s="39">
        <f t="shared" ref="D8002:D8066" si="628">C8002+D7978</f>
        <v>843</v>
      </c>
      <c r="E8002" s="1"/>
      <c r="F8002" s="39">
        <f t="shared" si="626"/>
        <v>5</v>
      </c>
      <c r="G8002" s="410">
        <f>SUM(C8002,C7978,C7954,C7930,C7906,C7882,C7858,C7834,C7810,C7786,C7762,C7738,C7714,C7690)/POBLA!$B$9*100000</f>
        <v>42.300555360025648</v>
      </c>
      <c r="H8002" s="418">
        <f t="shared" si="627"/>
        <v>0.6975476839237057</v>
      </c>
      <c r="J8002" s="42"/>
    </row>
    <row r="8003" spans="1:10" s="393" customFormat="1" ht="15.75" thickBot="1" x14ac:dyDescent="0.3">
      <c r="A8003" s="402" t="s">
        <v>32</v>
      </c>
      <c r="B8003" s="2">
        <v>44226</v>
      </c>
      <c r="C8003" s="1">
        <v>17</v>
      </c>
      <c r="D8003" s="39">
        <f t="shared" si="628"/>
        <v>19292</v>
      </c>
      <c r="E8003" s="1"/>
      <c r="F8003" s="39">
        <f t="shared" si="626"/>
        <v>872</v>
      </c>
      <c r="G8003" s="410">
        <f>SUM(C8003,C7979,C7955,C7931,C7907,C7883,C7859,C7835,C7811,C7787,C7763,C7739,C7715,C7691)/POBLA!$B$10*100000</f>
        <v>63.69335863771451</v>
      </c>
      <c r="H8003" s="418">
        <f t="shared" si="627"/>
        <v>2.0543933054393304</v>
      </c>
      <c r="J8003" s="42"/>
    </row>
    <row r="8004" spans="1:10" s="393" customFormat="1" ht="15.75" thickBot="1" x14ac:dyDescent="0.3">
      <c r="A8004" s="402" t="s">
        <v>33</v>
      </c>
      <c r="B8004" s="2">
        <v>44226</v>
      </c>
      <c r="C8004" s="1">
        <v>70</v>
      </c>
      <c r="D8004" s="39">
        <f t="shared" si="628"/>
        <v>16390</v>
      </c>
      <c r="E8004" s="1"/>
      <c r="F8004" s="39">
        <f t="shared" si="626"/>
        <v>237</v>
      </c>
      <c r="G8004" s="410">
        <f>SUM(C8004,C7980,C7956,C7932,C7908,C7884,C7860,C7836,C7812,C7788,C7764,C7740,C7716,C7692)/POBLA!$B$11*100000</f>
        <v>431.32790964991574</v>
      </c>
      <c r="H8004" s="418">
        <f t="shared" si="627"/>
        <v>0.43305322128851542</v>
      </c>
      <c r="J8004" s="42"/>
    </row>
    <row r="8005" spans="1:10" s="393" customFormat="1" ht="15.75" thickBot="1" x14ac:dyDescent="0.3">
      <c r="A8005" s="402" t="s">
        <v>21</v>
      </c>
      <c r="B8005" s="2">
        <v>44226</v>
      </c>
      <c r="C8005" s="1">
        <v>17</v>
      </c>
      <c r="D8005" s="39">
        <f t="shared" si="628"/>
        <v>9532</v>
      </c>
      <c r="E8005" s="1"/>
      <c r="F8005" s="39">
        <f t="shared" si="626"/>
        <v>411</v>
      </c>
      <c r="G8005" s="410">
        <f>SUM(C8005,C7981,C7957,C7933,C7909,C7885,C7861,C7837,C7813,C7789,C7765,C7741,C7717,C7693)/POBLA!$B$12*100000</f>
        <v>63.019177650553573</v>
      </c>
      <c r="H8005" s="418">
        <f t="shared" si="627"/>
        <v>1.5214723926380369</v>
      </c>
      <c r="J8005" s="42"/>
    </row>
    <row r="8006" spans="1:10" s="393" customFormat="1" ht="15.75" thickBot="1" x14ac:dyDescent="0.3">
      <c r="A8006" s="402" t="s">
        <v>17</v>
      </c>
      <c r="B8006" s="2">
        <v>44226</v>
      </c>
      <c r="C8006" s="1">
        <v>78</v>
      </c>
      <c r="D8006" s="39">
        <f t="shared" si="628"/>
        <v>63768</v>
      </c>
      <c r="E8006" s="1"/>
      <c r="F8006" s="39">
        <f t="shared" si="626"/>
        <v>1359</v>
      </c>
      <c r="G8006" s="410">
        <f>SUM(C8006,C7982,C7958,C7934,C7910,C7886,C7862,C7838,C7814,C7790,C7766,C7742,C7718,C7694)/POBLA!$B$13*100000</f>
        <v>80.137142535589433</v>
      </c>
      <c r="H8006" s="418">
        <f t="shared" si="627"/>
        <v>0.83072916666666663</v>
      </c>
      <c r="J8006" s="42"/>
    </row>
    <row r="8007" spans="1:10" s="393" customFormat="1" ht="15.75" thickBot="1" x14ac:dyDescent="0.3">
      <c r="A8007" s="402" t="s">
        <v>23</v>
      </c>
      <c r="B8007" s="2">
        <v>44226</v>
      </c>
      <c r="C8007" s="1">
        <v>208</v>
      </c>
      <c r="D8007" s="39">
        <f t="shared" si="628"/>
        <v>4577</v>
      </c>
      <c r="E8007" s="1">
        <v>2</v>
      </c>
      <c r="F8007" s="39">
        <f t="shared" si="626"/>
        <v>84</v>
      </c>
      <c r="G8007" s="410">
        <f>SUM(C8007,C7983,C7959,C7935,C7911,C7887,C7863,C7839,C7815,C7791,C7767,C7743,C7719,C7695)/POBLA!$B$14*100000</f>
        <v>203.52114574397405</v>
      </c>
      <c r="H8007" s="418">
        <f t="shared" si="627"/>
        <v>2.7721382289416847</v>
      </c>
      <c r="J8007" s="42"/>
    </row>
    <row r="8008" spans="1:10" s="393" customFormat="1" ht="15.75" thickBot="1" x14ac:dyDescent="0.3">
      <c r="A8008" s="402" t="s">
        <v>19</v>
      </c>
      <c r="B8008" s="2">
        <v>44226</v>
      </c>
      <c r="C8008" s="1">
        <v>275</v>
      </c>
      <c r="D8008" s="39">
        <f t="shared" si="628"/>
        <v>53804</v>
      </c>
      <c r="E8008" s="1"/>
      <c r="F8008" s="39">
        <f t="shared" si="626"/>
        <v>768</v>
      </c>
      <c r="G8008" s="410">
        <f>SUM(C8008,C7984,C7960,C7936,C7912,C7888,C7864,C7840,C7816,C7792,C7768,C7744,C7720,C7696)/POBLA!$B$15*100000</f>
        <v>875.22607246064717</v>
      </c>
      <c r="H8008" s="418">
        <f t="shared" si="627"/>
        <v>0.9027648337993166</v>
      </c>
      <c r="J8008" s="42"/>
    </row>
    <row r="8009" spans="1:10" s="393" customFormat="1" ht="15.75" thickBot="1" x14ac:dyDescent="0.3">
      <c r="A8009" s="402" t="s">
        <v>18</v>
      </c>
      <c r="B8009" s="2">
        <v>44226</v>
      </c>
      <c r="C8009" s="1">
        <v>182</v>
      </c>
      <c r="D8009" s="39">
        <f t="shared" si="628"/>
        <v>47814</v>
      </c>
      <c r="E8009" s="1">
        <v>2</v>
      </c>
      <c r="F8009" s="39">
        <f t="shared" si="626"/>
        <v>1074</v>
      </c>
      <c r="G8009" s="410">
        <f>SUM(C8009,C7985,C7961,C7937,C7913,C7889,C7865,C7841,C7817,C7793,C7769,C7745,C7721,C7697)/POBLA!$B$16*100000</f>
        <v>549.35059723652705</v>
      </c>
      <c r="H8009" s="418">
        <f t="shared" si="627"/>
        <v>0.84732824427480913</v>
      </c>
      <c r="J8009" s="42"/>
    </row>
    <row r="8010" spans="1:10" s="393" customFormat="1" ht="15.75" thickBot="1" x14ac:dyDescent="0.3">
      <c r="A8010" s="402" t="s">
        <v>34</v>
      </c>
      <c r="B8010" s="2">
        <v>44226</v>
      </c>
      <c r="C8010" s="1">
        <v>54</v>
      </c>
      <c r="D8010" s="39">
        <f t="shared" si="628"/>
        <v>23778</v>
      </c>
      <c r="E8010" s="1"/>
      <c r="F8010" s="39">
        <f t="shared" si="626"/>
        <v>1043</v>
      </c>
      <c r="G8010" s="410">
        <f>SUM(C8010,C7986,C7962,C7938,C7914,C7890,C7866,C7842,C7818,C7794,C7770,C7746,C7722,C7698)/POBLA!$B$17*100000</f>
        <v>51.600782646972718</v>
      </c>
      <c r="H8010" s="418">
        <f t="shared" si="627"/>
        <v>1.152037617554859</v>
      </c>
      <c r="J8010" s="42"/>
    </row>
    <row r="8011" spans="1:10" s="393" customFormat="1" ht="15.75" thickBot="1" x14ac:dyDescent="0.3">
      <c r="A8011" s="402" t="s">
        <v>35</v>
      </c>
      <c r="B8011" s="2">
        <v>44226</v>
      </c>
      <c r="C8011" s="1">
        <v>33</v>
      </c>
      <c r="D8011" s="39">
        <f t="shared" si="628"/>
        <v>13939</v>
      </c>
      <c r="E8011" s="1"/>
      <c r="F8011" s="39">
        <f t="shared" si="626"/>
        <v>198</v>
      </c>
      <c r="G8011" s="410">
        <f>SUM(C8011,C7987,C7963,C7939,C7915,C7891,C7867,C7843,C7819,C7795,C7771,C7747,C7723,C7699)/POBLA!$B$18*100000</f>
        <v>108.93260131307947</v>
      </c>
      <c r="H8011" s="418">
        <f t="shared" si="627"/>
        <v>0.5587655942219304</v>
      </c>
      <c r="J8011" s="42"/>
    </row>
    <row r="8012" spans="1:10" s="393" customFormat="1" ht="15.75" thickBot="1" x14ac:dyDescent="0.3">
      <c r="A8012" s="402" t="s">
        <v>36</v>
      </c>
      <c r="B8012" s="2">
        <v>44226</v>
      </c>
      <c r="C8012" s="1">
        <v>27</v>
      </c>
      <c r="D8012" s="39">
        <f t="shared" si="628"/>
        <v>18988</v>
      </c>
      <c r="E8012" s="1"/>
      <c r="F8012" s="39">
        <f t="shared" si="626"/>
        <v>330</v>
      </c>
      <c r="G8012" s="410">
        <f>SUM(C8012,C7988,C7964,C7940,C7916,C7892,C7868,C7844,C7820,C7796,C7772,C7748,C7724,C7700)/POBLA!$B$19*100000</f>
        <v>427.08644812011147</v>
      </c>
      <c r="H8012" s="418">
        <f t="shared" si="627"/>
        <v>3.5243506493506493</v>
      </c>
      <c r="J8012" s="42"/>
    </row>
    <row r="8013" spans="1:10" s="393" customFormat="1" ht="15.75" thickBot="1" x14ac:dyDescent="0.3">
      <c r="A8013" s="402" t="s">
        <v>37</v>
      </c>
      <c r="B8013" s="2">
        <v>44226</v>
      </c>
      <c r="C8013" s="1">
        <v>137</v>
      </c>
      <c r="D8013" s="39">
        <f t="shared" si="628"/>
        <v>32441</v>
      </c>
      <c r="E8013" s="1">
        <v>4</v>
      </c>
      <c r="F8013" s="39">
        <f t="shared" si="626"/>
        <v>493</v>
      </c>
      <c r="G8013" s="410">
        <f>SUM(C8013,C7989,C7965,C7941,C7917,C7893,C7869,C7845,C7821,C7797,C7773,C7749,C7725,C7701)/POBLA!$B$20*100000</f>
        <v>910.04052524213967</v>
      </c>
      <c r="H8013" s="418">
        <f t="shared" si="627"/>
        <v>0.67656027647895911</v>
      </c>
      <c r="J8013" s="42"/>
    </row>
    <row r="8014" spans="1:10" s="393" customFormat="1" ht="15.75" thickBot="1" x14ac:dyDescent="0.3">
      <c r="A8014" s="402" t="s">
        <v>22</v>
      </c>
      <c r="B8014" s="2">
        <v>44226</v>
      </c>
      <c r="C8014" s="1">
        <v>515</v>
      </c>
      <c r="D8014" s="39">
        <f t="shared" si="628"/>
        <v>205609</v>
      </c>
      <c r="E8014" s="1">
        <v>6</v>
      </c>
      <c r="F8014" s="39">
        <f t="shared" si="626"/>
        <v>3500</v>
      </c>
      <c r="G8014" s="410">
        <f>SUM(C8014,C7990,C7966,C7942,C7918,C7894,C7870,C7846,C7822,C7798,C7774,C7750,C7726,C7702)/POBLA!$B$21*100000</f>
        <v>316.76119734714615</v>
      </c>
      <c r="H8014" s="418">
        <f t="shared" si="627"/>
        <v>0.65462833099579243</v>
      </c>
      <c r="J8014" s="42"/>
    </row>
    <row r="8015" spans="1:10" s="393" customFormat="1" ht="15.75" thickBot="1" x14ac:dyDescent="0.3">
      <c r="A8015" s="402" t="s">
        <v>38</v>
      </c>
      <c r="B8015" s="2">
        <v>44226</v>
      </c>
      <c r="C8015" s="1">
        <v>92</v>
      </c>
      <c r="D8015" s="39">
        <f t="shared" si="628"/>
        <v>20762</v>
      </c>
      <c r="E8015" s="1"/>
      <c r="F8015" s="39">
        <f t="shared" si="626"/>
        <v>242</v>
      </c>
      <c r="G8015" s="410">
        <f>SUM(C8015,C7991,C7967,C7943,C7919,C7895,C7871,C7847,C7823,C7799,C7775,C7751,C7727,C7703)/POBLA!$B$22*100000</f>
        <v>133.59732519142648</v>
      </c>
      <c r="H8015" s="418">
        <f t="shared" si="627"/>
        <v>0.69226694915254239</v>
      </c>
      <c r="J8015" s="42"/>
    </row>
    <row r="8016" spans="1:10" s="393" customFormat="1" ht="15.75" thickBot="1" x14ac:dyDescent="0.3">
      <c r="A8016" s="402" t="s">
        <v>39</v>
      </c>
      <c r="B8016" s="2">
        <v>44226</v>
      </c>
      <c r="C8016" s="1">
        <v>15</v>
      </c>
      <c r="D8016" s="39">
        <f t="shared" si="628"/>
        <v>21775</v>
      </c>
      <c r="E8016" s="1"/>
      <c r="F8016" s="39">
        <f t="shared" si="626"/>
        <v>332</v>
      </c>
      <c r="G8016" s="410">
        <f>SUM(C8016,C7992,C7968,C7944,C7920,C7896,C7872,C7848,C7824,C7800,C7776,C7752,C7728,C7704)/POBLA!$B$23*100000</f>
        <v>607.92851891647342</v>
      </c>
      <c r="H8016" s="418">
        <f t="shared" si="627"/>
        <v>0.78409919766593728</v>
      </c>
      <c r="J8016" s="42"/>
    </row>
    <row r="8017" spans="1:10" s="393" customFormat="1" ht="15.75" thickBot="1" x14ac:dyDescent="0.3">
      <c r="A8017" s="404" t="s">
        <v>40</v>
      </c>
      <c r="B8017" s="268">
        <v>44226</v>
      </c>
      <c r="C8017" s="44">
        <v>57</v>
      </c>
      <c r="D8017" s="177">
        <f t="shared" si="628"/>
        <v>76325</v>
      </c>
      <c r="E8017" s="44"/>
      <c r="F8017" s="177">
        <f t="shared" si="626"/>
        <v>1427</v>
      </c>
      <c r="G8017" s="410">
        <f>SUM(C8017,C7993,C7969,C7945,C7921,C7897,C7873,C7849,C7825,C7801,C7777,C7753,C7729,C7705)/POBLA!$B$24*100000</f>
        <v>125.8072434759621</v>
      </c>
      <c r="H8017" s="419">
        <f t="shared" si="627"/>
        <v>0.71019320453031309</v>
      </c>
      <c r="J8017" s="42"/>
    </row>
    <row r="8018" spans="1:10" s="393" customFormat="1" ht="15.75" thickBot="1" x14ac:dyDescent="0.3">
      <c r="A8018" s="397" t="s">
        <v>16</v>
      </c>
      <c r="B8018" s="268">
        <v>44227</v>
      </c>
      <c r="C8018" s="227">
        <v>2227</v>
      </c>
      <c r="D8018" s="175">
        <f t="shared" si="628"/>
        <v>804348</v>
      </c>
      <c r="E8018" s="227">
        <v>13</v>
      </c>
      <c r="F8018" s="175">
        <f>E8018+F7994</f>
        <v>24484</v>
      </c>
      <c r="G8018" s="410">
        <f>SUM(C8018,C7994,C7970,C7946,C7922,C7898,C7874,C7850,C7826,C7802,C7778,C7754,C7730,C7706)/POBLA!$B$1*100000</f>
        <v>301.51972440105237</v>
      </c>
      <c r="H8018" s="416">
        <f t="shared" ref="H8018:H8024" si="629">SUM(C8018,C7994,C7970,C7946,C7922,C7898,C7874,C7850,C7826,C7802,C7778,C7754,C7730,C7706)/SUM(C7682,C7658,C7634,C7610,C7586,C7562,C7538,C7514,C7490,C7466,C7442,C7418,C7394,C7370)</f>
        <v>0.86598444535407282</v>
      </c>
      <c r="J8018" s="42"/>
    </row>
    <row r="8019" spans="1:10" s="393" customFormat="1" ht="15.75" thickBot="1" x14ac:dyDescent="0.3">
      <c r="A8019" s="402" t="s">
        <v>43</v>
      </c>
      <c r="B8019" s="268">
        <v>44227</v>
      </c>
      <c r="C8019" s="1">
        <v>757</v>
      </c>
      <c r="D8019" s="39">
        <f t="shared" si="628"/>
        <v>210248</v>
      </c>
      <c r="E8019" s="1">
        <v>2</v>
      </c>
      <c r="F8019" s="39">
        <f t="shared" ref="F8019:F8041" si="630">E8019+F7995</f>
        <v>6046</v>
      </c>
      <c r="G8019" s="410">
        <f>SUM(C8019,C7995,C7971,C7947,C7923,C7899,C7875,C7851,C7827,C7803,C7779,C7755,C7731,C7707)/POBLA!$B$2*100000</f>
        <v>505.90997793634244</v>
      </c>
      <c r="H8019" s="418">
        <f t="shared" si="629"/>
        <v>0.85527400648601115</v>
      </c>
      <c r="J8019" s="42"/>
    </row>
    <row r="8020" spans="1:10" s="393" customFormat="1" ht="15.75" thickBot="1" x14ac:dyDescent="0.3">
      <c r="A8020" s="402" t="s">
        <v>28</v>
      </c>
      <c r="B8020" s="268">
        <v>44227</v>
      </c>
      <c r="C8020" s="1">
        <v>142</v>
      </c>
      <c r="D8020" s="39">
        <f t="shared" si="628"/>
        <v>5383</v>
      </c>
      <c r="E8020" s="1"/>
      <c r="F8020" s="39">
        <f t="shared" si="630"/>
        <v>17</v>
      </c>
      <c r="G8020" s="410">
        <f>SUM(C8020,C7996,C7972,C7948,C7924,C7900,C7876,C7852,C7828,C7804,C7780,C7756,C7732,C7708)/POBLA!$B$3*100000</f>
        <v>289.33318569798621</v>
      </c>
      <c r="H8020" s="418">
        <f t="shared" si="629"/>
        <v>0.90375939849624065</v>
      </c>
      <c r="J8020" s="42"/>
    </row>
    <row r="8021" spans="1:10" s="393" customFormat="1" ht="15.75" thickBot="1" x14ac:dyDescent="0.3">
      <c r="A8021" s="402" t="s">
        <v>15</v>
      </c>
      <c r="B8021" s="268">
        <v>44227</v>
      </c>
      <c r="C8021" s="1">
        <v>86</v>
      </c>
      <c r="D8021" s="39">
        <f t="shared" si="628"/>
        <v>30754</v>
      </c>
      <c r="E8021" s="1"/>
      <c r="F8021" s="39">
        <f t="shared" si="630"/>
        <v>788</v>
      </c>
      <c r="G8021" s="410">
        <f>SUM(C8021,C7997,C7973,C7949,C7925,C7901,C7877,C7853,C7829,C7805,C7781,C7757,C7733,C7709)/POBLA!$B$4*100000</f>
        <v>186.21200938780828</v>
      </c>
      <c r="H8021" s="418">
        <f t="shared" si="629"/>
        <v>0.66696402022004164</v>
      </c>
      <c r="J8021" s="42"/>
    </row>
    <row r="8022" spans="1:10" s="393" customFormat="1" ht="15.75" thickBot="1" x14ac:dyDescent="0.3">
      <c r="A8022" s="402" t="s">
        <v>29</v>
      </c>
      <c r="B8022" s="268">
        <v>44227</v>
      </c>
      <c r="C8022" s="1">
        <v>90</v>
      </c>
      <c r="D8022" s="39">
        <f t="shared" si="628"/>
        <v>42306</v>
      </c>
      <c r="E8022" s="1"/>
      <c r="F8022" s="39">
        <f t="shared" si="630"/>
        <v>617</v>
      </c>
      <c r="G8022" s="410">
        <f>SUM(C8022,C7998,C7974,C7950,C7926,C7902,C7878,C7854,C7830,C7806,C7782,C7758,C7734,C7710)/POBLA!$B$5*100000</f>
        <v>657.19538476948082</v>
      </c>
      <c r="H8022" s="418">
        <f t="shared" si="629"/>
        <v>0.70331950207468885</v>
      </c>
      <c r="J8022" s="42"/>
    </row>
    <row r="8023" spans="1:10" s="393" customFormat="1" ht="15.75" thickBot="1" x14ac:dyDescent="0.3">
      <c r="A8023" s="402" t="s">
        <v>30</v>
      </c>
      <c r="B8023" s="268">
        <v>44227</v>
      </c>
      <c r="C8023" s="1">
        <v>41</v>
      </c>
      <c r="D8023" s="39">
        <f t="shared" si="628"/>
        <v>17373</v>
      </c>
      <c r="E8023" s="1"/>
      <c r="F8023" s="39">
        <f t="shared" ref="F8023:F8028" si="631">E8023+F7999</f>
        <v>204</v>
      </c>
      <c r="G8023" s="410">
        <f>SUM(C8023,C7999,C7975,C7951,C7927,C7903,C7879,C7855,C7831,C7807,C7783,C7759,C7735,C7711)/POBLA!$B$7*100000</f>
        <v>50.685423287106602</v>
      </c>
      <c r="H8023" s="418">
        <f t="shared" si="629"/>
        <v>0.20363247863247863</v>
      </c>
      <c r="J8023" s="42"/>
    </row>
    <row r="8024" spans="1:10" s="393" customFormat="1" ht="15.75" thickBot="1" x14ac:dyDescent="0.3">
      <c r="A8024" s="402" t="s">
        <v>20</v>
      </c>
      <c r="B8024" s="268">
        <v>44227</v>
      </c>
      <c r="C8024" s="1">
        <v>344</v>
      </c>
      <c r="D8024" s="39">
        <f t="shared" si="628"/>
        <v>145040</v>
      </c>
      <c r="E8024" s="1">
        <v>1</v>
      </c>
      <c r="F8024" s="39">
        <f t="shared" si="631"/>
        <v>2695</v>
      </c>
      <c r="G8024" s="410">
        <f>SUM(C8024,C8000,C7976,C7952,C7928,C7904,C7880,C7856,C7832,C7808,C7784,C7760,C7736,C7712)/POBLA!$B$6*100000</f>
        <v>651.31990424705191</v>
      </c>
      <c r="H8024" s="418">
        <f t="shared" si="629"/>
        <v>2.2496147919876734</v>
      </c>
      <c r="J8024" s="42"/>
    </row>
    <row r="8025" spans="1:10" ht="15.75" thickBot="1" x14ac:dyDescent="0.3">
      <c r="A8025" s="402" t="s">
        <v>31</v>
      </c>
      <c r="B8025" s="268">
        <v>44227</v>
      </c>
      <c r="C8025" s="1">
        <v>127</v>
      </c>
      <c r="D8025" s="39">
        <f t="shared" si="628"/>
        <v>40989</v>
      </c>
      <c r="E8025" s="1">
        <v>5</v>
      </c>
      <c r="F8025" s="39">
        <f t="shared" si="631"/>
        <v>724</v>
      </c>
      <c r="G8025" s="176">
        <f>SUM(C8025,C8001,C7977,C7953,C7929,C7905,C7881,C7857,C7833,C7809,C7785,C7761,C7737,C7713)/POBLA!$B$8*100000</f>
        <v>324.54015661335347</v>
      </c>
      <c r="H8025" s="527">
        <f t="shared" ref="H8025:H8041" si="632">SUM(C8025,C8001,C7977,C7953,C7929,C7905,C7881,C7857,C7833,C7809,C7785,C7761,C7737,C7713)/SUM(C7689,C7665,C7641,C7617,C7593,C7569,C7545,C7521,C7497,C7473,C7449,C7425,C7401,C7377)</f>
        <v>0.7103600758054327</v>
      </c>
    </row>
    <row r="8026" spans="1:10" s="393" customFormat="1" ht="15.75" thickBot="1" x14ac:dyDescent="0.3">
      <c r="A8026" s="402" t="s">
        <v>41</v>
      </c>
      <c r="B8026" s="268">
        <v>44227</v>
      </c>
      <c r="C8026" s="1">
        <v>0</v>
      </c>
      <c r="D8026" s="39">
        <f t="shared" si="628"/>
        <v>843</v>
      </c>
      <c r="E8026" s="1"/>
      <c r="F8026" s="39">
        <f t="shared" si="631"/>
        <v>5</v>
      </c>
      <c r="G8026" s="410">
        <f>SUM(C8026,C8002,C7978,C7954,C7930,C7906,C7882,C7858,C7834,C7810,C7786,C7762,C7738,C7714)/POBLA!$B$9*100000</f>
        <v>29.742577987518033</v>
      </c>
      <c r="H8026" s="418">
        <f t="shared" si="632"/>
        <v>0.40723981900452488</v>
      </c>
      <c r="J8026" s="42"/>
    </row>
    <row r="8027" spans="1:10" s="393" customFormat="1" ht="15.75" thickBot="1" x14ac:dyDescent="0.3">
      <c r="A8027" s="402" t="s">
        <v>32</v>
      </c>
      <c r="B8027" s="268">
        <v>44227</v>
      </c>
      <c r="C8027" s="1">
        <v>17</v>
      </c>
      <c r="D8027" s="39">
        <f t="shared" si="628"/>
        <v>19309</v>
      </c>
      <c r="E8027" s="1">
        <v>1</v>
      </c>
      <c r="F8027" s="39">
        <f t="shared" si="631"/>
        <v>873</v>
      </c>
      <c r="G8027" s="410">
        <f>SUM(C8027,C8003,C7979,C7955,C7931,C7907,C7883,C7859,C7835,C7811,C7787,C7763,C7739,C7715)/POBLA!$B$10*100000</f>
        <v>58.11532519286375</v>
      </c>
      <c r="H8027" s="418">
        <f t="shared" si="632"/>
        <v>1.5238095238095237</v>
      </c>
      <c r="J8027" s="42"/>
    </row>
    <row r="8028" spans="1:10" s="393" customFormat="1" ht="15.75" thickBot="1" x14ac:dyDescent="0.3">
      <c r="A8028" s="402" t="s">
        <v>33</v>
      </c>
      <c r="B8028" s="268">
        <v>44227</v>
      </c>
      <c r="C8028" s="1">
        <v>49</v>
      </c>
      <c r="D8028" s="39">
        <f t="shared" si="628"/>
        <v>16439</v>
      </c>
      <c r="E8028" s="1">
        <v>1</v>
      </c>
      <c r="F8028" s="39">
        <f t="shared" si="631"/>
        <v>238</v>
      </c>
      <c r="G8028" s="410">
        <f>SUM(C8028,C8004,C7980,C7956,C7932,C7908,C7884,C7860,C7836,C7812,C7788,C7764,C7740,C7716)/POBLA!$B$11*100000</f>
        <v>402.870311471202</v>
      </c>
      <c r="H8028" s="418">
        <f t="shared" si="632"/>
        <v>0.40941309895094979</v>
      </c>
      <c r="J8028" s="42"/>
    </row>
    <row r="8029" spans="1:10" s="393" customFormat="1" ht="15.75" thickBot="1" x14ac:dyDescent="0.3">
      <c r="A8029" s="402" t="s">
        <v>21</v>
      </c>
      <c r="B8029" s="268">
        <v>44227</v>
      </c>
      <c r="C8029" s="1">
        <v>16</v>
      </c>
      <c r="D8029" s="39">
        <f t="shared" si="628"/>
        <v>9548</v>
      </c>
      <c r="E8029" s="1"/>
      <c r="F8029" s="39">
        <f t="shared" si="630"/>
        <v>411</v>
      </c>
      <c r="G8029" s="410">
        <f>SUM(C8029,C8005,C7981,C7957,C7933,C7909,C7885,C7861,C7837,C7813,C7789,C7765,C7741,C7717)/POBLA!$B$12*100000</f>
        <v>60.986300952148625</v>
      </c>
      <c r="H8029" s="418">
        <f t="shared" si="632"/>
        <v>1.3043478260869565</v>
      </c>
      <c r="J8029" s="42"/>
    </row>
    <row r="8030" spans="1:10" s="393" customFormat="1" ht="15.75" thickBot="1" x14ac:dyDescent="0.3">
      <c r="A8030" s="402" t="s">
        <v>17</v>
      </c>
      <c r="B8030" s="268">
        <v>44227</v>
      </c>
      <c r="C8030" s="1">
        <v>45</v>
      </c>
      <c r="D8030" s="39">
        <f t="shared" si="628"/>
        <v>63813</v>
      </c>
      <c r="E8030" s="1">
        <v>3</v>
      </c>
      <c r="F8030" s="39">
        <f t="shared" si="630"/>
        <v>1362</v>
      </c>
      <c r="G8030" s="410">
        <f>SUM(C8030,C8006,C7982,C7958,C7934,C7910,C7886,C7862,C7838,C7814,C7790,C7766,C7742,C7718)/POBLA!$B$13*100000</f>
        <v>80.036657090403736</v>
      </c>
      <c r="H8030" s="418">
        <f t="shared" si="632"/>
        <v>0.84285714285714286</v>
      </c>
      <c r="J8030" s="42"/>
    </row>
    <row r="8031" spans="1:10" s="393" customFormat="1" ht="15.75" thickBot="1" x14ac:dyDescent="0.3">
      <c r="A8031" s="402" t="s">
        <v>23</v>
      </c>
      <c r="B8031" s="268">
        <v>44227</v>
      </c>
      <c r="C8031" s="1">
        <v>132</v>
      </c>
      <c r="D8031" s="39">
        <f t="shared" si="628"/>
        <v>4709</v>
      </c>
      <c r="E8031" s="1"/>
      <c r="F8031" s="39">
        <f t="shared" si="630"/>
        <v>84</v>
      </c>
      <c r="G8031" s="410">
        <f>SUM(C8031,C8007,C7983,C7959,C7935,C7911,C7887,C7863,C7839,C7815,C7791,C7767,C7743,C7719)/POBLA!$B$14*100000</f>
        <v>200.50836680425024</v>
      </c>
      <c r="H8031" s="418">
        <f t="shared" si="632"/>
        <v>2.3948863636363638</v>
      </c>
      <c r="J8031" s="42"/>
    </row>
    <row r="8032" spans="1:10" s="393" customFormat="1" ht="15.75" thickBot="1" x14ac:dyDescent="0.3">
      <c r="A8032" s="402" t="s">
        <v>19</v>
      </c>
      <c r="B8032" s="268">
        <v>44227</v>
      </c>
      <c r="C8032" s="1">
        <v>253</v>
      </c>
      <c r="D8032" s="39">
        <f t="shared" si="628"/>
        <v>54057</v>
      </c>
      <c r="E8032" s="1">
        <v>2</v>
      </c>
      <c r="F8032" s="39">
        <f t="shared" si="630"/>
        <v>770</v>
      </c>
      <c r="G8032" s="410">
        <f>SUM(C8032,C8008,C7984,C7960,C7936,C7912,C7888,C7864,C7840,C7816,C7792,C7768,C7744,C7720)/POBLA!$B$15*100000</f>
        <v>880.49670434917482</v>
      </c>
      <c r="H8032" s="418">
        <f t="shared" si="632"/>
        <v>0.93045830681094843</v>
      </c>
      <c r="J8032" s="42"/>
    </row>
    <row r="8033" spans="1:10" s="393" customFormat="1" ht="15.75" thickBot="1" x14ac:dyDescent="0.3">
      <c r="A8033" s="402" t="s">
        <v>18</v>
      </c>
      <c r="B8033" s="268">
        <v>44227</v>
      </c>
      <c r="C8033" s="1">
        <v>74</v>
      </c>
      <c r="D8033" s="39">
        <f t="shared" si="628"/>
        <v>47888</v>
      </c>
      <c r="E8033" s="1">
        <v>1</v>
      </c>
      <c r="F8033" s="39">
        <f t="shared" si="630"/>
        <v>1075</v>
      </c>
      <c r="G8033" s="410">
        <f>SUM(C8033,C8009,C7985,C7961,C7937,C7913,C7889,C7865,C7841,C7817,C7793,C7769,C7745,C7721)/POBLA!$B$16*100000</f>
        <v>535.57336044194165</v>
      </c>
      <c r="H8033" s="418">
        <f t="shared" si="632"/>
        <v>0.83208645054031583</v>
      </c>
      <c r="J8033" s="42"/>
    </row>
    <row r="8034" spans="1:10" s="393" customFormat="1" ht="15.75" thickBot="1" x14ac:dyDescent="0.3">
      <c r="A8034" s="402" t="s">
        <v>34</v>
      </c>
      <c r="B8034" s="268">
        <v>44227</v>
      </c>
      <c r="C8034" s="1">
        <v>28</v>
      </c>
      <c r="D8034" s="39">
        <f t="shared" si="628"/>
        <v>23806</v>
      </c>
      <c r="E8034" s="1">
        <v>3</v>
      </c>
      <c r="F8034" s="39">
        <f t="shared" si="630"/>
        <v>1046</v>
      </c>
      <c r="G8034" s="410">
        <f>SUM(C8034,C8010,C7986,C7962,C7938,C7914,C7890,C7866,C7842,C7818,C7794,C7770,C7746,C7722)/POBLA!$B$17*100000</f>
        <v>50.617910596554196</v>
      </c>
      <c r="H8034" s="418">
        <f t="shared" si="632"/>
        <v>1.0729166666666667</v>
      </c>
      <c r="J8034" s="42"/>
    </row>
    <row r="8035" spans="1:10" s="393" customFormat="1" ht="15.75" thickBot="1" x14ac:dyDescent="0.3">
      <c r="A8035" s="402" t="s">
        <v>35</v>
      </c>
      <c r="B8035" s="268">
        <v>44227</v>
      </c>
      <c r="C8035" s="1">
        <v>11</v>
      </c>
      <c r="D8035" s="39">
        <f t="shared" si="628"/>
        <v>13950</v>
      </c>
      <c r="E8035" s="1"/>
      <c r="F8035" s="39">
        <f t="shared" si="630"/>
        <v>198</v>
      </c>
      <c r="G8035" s="410">
        <f>SUM(C8035,C8011,C7987,C7963,C7939,C7915,C7891,C7867,C7843,C7819,C7795,C7771,C7747,C7723)/POBLA!$B$18*100000</f>
        <v>109.95664456866658</v>
      </c>
      <c r="H8035" s="418">
        <f t="shared" si="632"/>
        <v>0.57535164099129266</v>
      </c>
      <c r="J8035" s="42"/>
    </row>
    <row r="8036" spans="1:10" s="393" customFormat="1" ht="15.75" thickBot="1" x14ac:dyDescent="0.3">
      <c r="A8036" s="402" t="s">
        <v>36</v>
      </c>
      <c r="B8036" s="268">
        <v>44227</v>
      </c>
      <c r="C8036" s="1">
        <v>22</v>
      </c>
      <c r="D8036" s="39">
        <f t="shared" si="628"/>
        <v>19010</v>
      </c>
      <c r="E8036" s="1"/>
      <c r="F8036" s="39">
        <f t="shared" si="630"/>
        <v>330</v>
      </c>
      <c r="G8036" s="410">
        <f>SUM(C8036,C8012,C7988,C7964,C7940,C7916,C7892,C7868,C7844,C7820,C7796,C7772,C7748,C7724)/POBLA!$B$19*100000</f>
        <v>420.00440660361028</v>
      </c>
      <c r="H8036" s="418">
        <f t="shared" si="632"/>
        <v>3.2846153846153845</v>
      </c>
      <c r="J8036" s="42"/>
    </row>
    <row r="8037" spans="1:10" s="393" customFormat="1" ht="15.75" thickBot="1" x14ac:dyDescent="0.3">
      <c r="A8037" s="402" t="s">
        <v>37</v>
      </c>
      <c r="B8037" s="268">
        <v>44227</v>
      </c>
      <c r="C8037" s="1">
        <v>97</v>
      </c>
      <c r="D8037" s="39">
        <f t="shared" si="628"/>
        <v>32538</v>
      </c>
      <c r="E8037" s="1"/>
      <c r="F8037" s="39">
        <f t="shared" si="630"/>
        <v>493</v>
      </c>
      <c r="G8037" s="410">
        <f>SUM(C8037,C8013,C7989,C7965,C7941,C7917,C7893,C7869,C7845,C7821,C7797,C7773,C7749,C7725)/POBLA!$B$20*100000</f>
        <v>863.82752981968724</v>
      </c>
      <c r="H8037" s="418">
        <f t="shared" si="632"/>
        <v>0.63459220570510244</v>
      </c>
      <c r="J8037" s="42"/>
    </row>
    <row r="8038" spans="1:10" s="393" customFormat="1" ht="15.75" thickBot="1" x14ac:dyDescent="0.3">
      <c r="A8038" s="402" t="s">
        <v>22</v>
      </c>
      <c r="B8038" s="268">
        <v>44227</v>
      </c>
      <c r="C8038" s="1">
        <v>217</v>
      </c>
      <c r="D8038" s="39">
        <f t="shared" si="628"/>
        <v>205826</v>
      </c>
      <c r="E8038" s="1">
        <v>8</v>
      </c>
      <c r="F8038" s="39">
        <f t="shared" si="630"/>
        <v>3508</v>
      </c>
      <c r="G8038" s="410">
        <f>SUM(C8038,C8014,C7990,C7966,C7942,C7918,C7894,C7870,C7846,C7822,C7798,C7774,C7750,C7726)/POBLA!$B$21*100000</f>
        <v>304.37578363191227</v>
      </c>
      <c r="H8038" s="418">
        <f t="shared" si="632"/>
        <v>0.62396382818387341</v>
      </c>
      <c r="J8038" s="42"/>
    </row>
    <row r="8039" spans="1:10" s="393" customFormat="1" ht="15.75" thickBot="1" x14ac:dyDescent="0.3">
      <c r="A8039" s="402" t="s">
        <v>38</v>
      </c>
      <c r="B8039" s="268">
        <v>44227</v>
      </c>
      <c r="C8039" s="1">
        <v>88</v>
      </c>
      <c r="D8039" s="39">
        <f t="shared" si="628"/>
        <v>20850</v>
      </c>
      <c r="E8039" s="1">
        <v>1</v>
      </c>
      <c r="F8039" s="39">
        <f t="shared" si="630"/>
        <v>243</v>
      </c>
      <c r="G8039" s="410">
        <f>SUM(C8039,C8015,C7991,C7967,C7943,C7919,C7895,C7871,C7847,C7823,C7799,C7775,C7751,C7727)/POBLA!$B$22*100000</f>
        <v>127.87318578001111</v>
      </c>
      <c r="H8039" s="418">
        <f t="shared" si="632"/>
        <v>0.63118062563067612</v>
      </c>
      <c r="J8039" s="42"/>
    </row>
    <row r="8040" spans="1:10" s="393" customFormat="1" ht="15.75" thickBot="1" x14ac:dyDescent="0.3">
      <c r="A8040" s="402" t="s">
        <v>39</v>
      </c>
      <c r="B8040" s="268">
        <v>44227</v>
      </c>
      <c r="C8040" s="1">
        <v>41</v>
      </c>
      <c r="D8040" s="39">
        <f t="shared" si="628"/>
        <v>21816</v>
      </c>
      <c r="E8040" s="1">
        <v>2</v>
      </c>
      <c r="F8040" s="39">
        <f t="shared" si="630"/>
        <v>334</v>
      </c>
      <c r="G8040" s="410">
        <f>SUM(C8040,C8016,C7992,C7968,C7944,C7920,C7896,C7872,C7848,C7824,C7800,C7776,C7752,C7728)/POBLA!$B$23*100000</f>
        <v>597.18373579143815</v>
      </c>
      <c r="H8040" s="418">
        <f t="shared" si="632"/>
        <v>0.79518072289156627</v>
      </c>
      <c r="J8040" s="42"/>
    </row>
    <row r="8041" spans="1:10" s="393" customFormat="1" ht="15.75" thickBot="1" x14ac:dyDescent="0.3">
      <c r="A8041" s="403" t="s">
        <v>40</v>
      </c>
      <c r="B8041" s="34">
        <v>44227</v>
      </c>
      <c r="C8041" s="234">
        <v>71</v>
      </c>
      <c r="D8041" s="67">
        <f t="shared" si="628"/>
        <v>76396</v>
      </c>
      <c r="E8041" s="234"/>
      <c r="F8041" s="67">
        <f t="shared" si="630"/>
        <v>1427</v>
      </c>
      <c r="G8041" s="410">
        <f>SUM(C8041,C8017,C7993,C7969,C7945,C7921,C7897,C7873,C7849,C7825,C7801,C7777,C7753,C7729)/POBLA!$B$24*100000</f>
        <v>123.85994561728162</v>
      </c>
      <c r="H8041" s="419">
        <f t="shared" si="632"/>
        <v>0.69966666666666666</v>
      </c>
      <c r="J8041" s="42"/>
    </row>
    <row r="8042" spans="1:10" s="393" customFormat="1" ht="15.75" thickBot="1" x14ac:dyDescent="0.3">
      <c r="A8042" s="394" t="s">
        <v>16</v>
      </c>
      <c r="B8042" s="2">
        <v>44228</v>
      </c>
      <c r="C8042" s="1">
        <v>2566</v>
      </c>
      <c r="D8042" s="39">
        <f t="shared" si="628"/>
        <v>806914</v>
      </c>
      <c r="E8042" s="1">
        <v>144</v>
      </c>
      <c r="F8042" s="39">
        <f>E8042+F8018</f>
        <v>24628</v>
      </c>
      <c r="G8042" s="410">
        <f>SUM(C8042,C8018,C7994,C7970,C7946,C7922,C7898,C7874,C7850,C7826,C7802,C7778,C7754,C7730)/POBLA!$B$1*100000</f>
        <v>299.11965247870705</v>
      </c>
      <c r="H8042" s="416">
        <f t="shared" ref="H8042:H8048" si="633">SUM(C8042,C8018,C7994,C7970,C7946,C7922,C7898,C7874,C7850,C7826,C7802,C7778,C7754,C7730)/SUM(C7706,C7682,C7658,C7634,C7610,C7586,C7562,C7538,C7514,C7490,C7466,C7442,C7418,C7394)</f>
        <v>0.85872571643671958</v>
      </c>
      <c r="J8042" s="42"/>
    </row>
    <row r="8043" spans="1:10" s="393" customFormat="1" ht="15.75" thickBot="1" x14ac:dyDescent="0.3">
      <c r="A8043" s="394" t="s">
        <v>43</v>
      </c>
      <c r="B8043" s="2">
        <v>44228</v>
      </c>
      <c r="C8043" s="1">
        <v>868</v>
      </c>
      <c r="D8043" s="39">
        <f t="shared" si="628"/>
        <v>211116</v>
      </c>
      <c r="E8043" s="1">
        <v>28</v>
      </c>
      <c r="F8043" s="39">
        <f t="shared" ref="F8043:F8065" si="634">E8043+F8019</f>
        <v>6074</v>
      </c>
      <c r="G8043" s="410">
        <f>SUM(C8043,C8019,C7995,C7971,C7947,C7923,C7899,C7875,C7851,C7827,C7803,C7779,C7755,C7731)/POBLA!$B$2*100000</f>
        <v>494.79036274005523</v>
      </c>
      <c r="H8043" s="418">
        <f t="shared" si="633"/>
        <v>0.83031427324312523</v>
      </c>
      <c r="J8043" s="42"/>
    </row>
    <row r="8044" spans="1:10" s="393" customFormat="1" ht="15.75" thickBot="1" x14ac:dyDescent="0.3">
      <c r="A8044" s="394" t="s">
        <v>28</v>
      </c>
      <c r="B8044" s="2">
        <v>44228</v>
      </c>
      <c r="C8044" s="1">
        <v>160</v>
      </c>
      <c r="D8044" s="39">
        <f t="shared" si="628"/>
        <v>5543</v>
      </c>
      <c r="E8044" s="1"/>
      <c r="F8044" s="39">
        <f t="shared" si="634"/>
        <v>17</v>
      </c>
      <c r="G8044" s="410">
        <f>SUM(C8044,C8020,C7996,C7972,C7948,C7924,C7900,C7876,C7852,C7828,C7804,C7780,C7756,C7732)/POBLA!$B$3*100000</f>
        <v>313.64487601037939</v>
      </c>
      <c r="H8044" s="418">
        <f t="shared" si="633"/>
        <v>0.95040116703136401</v>
      </c>
      <c r="J8044" s="42"/>
    </row>
    <row r="8045" spans="1:10" s="393" customFormat="1" ht="15.75" thickBot="1" x14ac:dyDescent="0.3">
      <c r="A8045" s="394" t="s">
        <v>15</v>
      </c>
      <c r="B8045" s="2">
        <v>44228</v>
      </c>
      <c r="C8045" s="1">
        <v>93</v>
      </c>
      <c r="D8045" s="39">
        <f t="shared" si="628"/>
        <v>30847</v>
      </c>
      <c r="E8045" s="1">
        <v>8</v>
      </c>
      <c r="F8045" s="39">
        <f t="shared" si="634"/>
        <v>796</v>
      </c>
      <c r="G8045" s="410">
        <f>SUM(C8045,C8021,C7997,C7973,C7949,C7925,C7901,C7877,C7853,C7829,C7805,C7781,C7757,C7733)/POBLA!$B$4*100000</f>
        <v>182.22708899074419</v>
      </c>
      <c r="H8045" s="418">
        <f t="shared" si="633"/>
        <v>0.65935716431360769</v>
      </c>
      <c r="J8045" s="42"/>
    </row>
    <row r="8046" spans="1:10" s="393" customFormat="1" ht="15.75" thickBot="1" x14ac:dyDescent="0.3">
      <c r="A8046" s="394" t="s">
        <v>29</v>
      </c>
      <c r="B8046" s="2">
        <v>44228</v>
      </c>
      <c r="C8046" s="1">
        <v>216</v>
      </c>
      <c r="D8046" s="39">
        <f t="shared" si="628"/>
        <v>42522</v>
      </c>
      <c r="E8046" s="1">
        <v>19</v>
      </c>
      <c r="F8046" s="39">
        <f t="shared" si="634"/>
        <v>636</v>
      </c>
      <c r="G8046" s="410">
        <f>SUM(C8046,C8022,C7998,C7974,C7950,C7926,C7902,C7878,C7854,C7830,C7806,C7782,C7758,C7734)/POBLA!$B$5*100000</f>
        <v>662.52661576687331</v>
      </c>
      <c r="H8046" s="418">
        <f t="shared" si="633"/>
        <v>0.72558386411889597</v>
      </c>
      <c r="J8046" s="42"/>
    </row>
    <row r="8047" spans="1:10" s="393" customFormat="1" ht="15.75" thickBot="1" x14ac:dyDescent="0.3">
      <c r="A8047" s="394" t="s">
        <v>30</v>
      </c>
      <c r="B8047" s="2">
        <v>44228</v>
      </c>
      <c r="C8047" s="1">
        <v>190</v>
      </c>
      <c r="D8047" s="39">
        <f t="shared" si="628"/>
        <v>17563</v>
      </c>
      <c r="E8047" s="1">
        <v>2</v>
      </c>
      <c r="F8047" s="39">
        <f t="shared" si="634"/>
        <v>206</v>
      </c>
      <c r="G8047" s="410">
        <f>SUM(C8047,C8023,C7999,C7975,C7951,C7927,C7903,C7879,C7855,C7831,C7807,C7783,C7759,C7735)/POBLA!$B$7*100000</f>
        <v>53.238309244904201</v>
      </c>
      <c r="H8047" s="418">
        <f t="shared" si="633"/>
        <v>0.21875</v>
      </c>
      <c r="J8047" s="42"/>
    </row>
    <row r="8048" spans="1:10" s="393" customFormat="1" ht="15.75" thickBot="1" x14ac:dyDescent="0.3">
      <c r="A8048" s="394" t="s">
        <v>20</v>
      </c>
      <c r="B8048" s="2">
        <v>44228</v>
      </c>
      <c r="C8048" s="1">
        <v>298</v>
      </c>
      <c r="D8048" s="39">
        <f t="shared" si="628"/>
        <v>145338</v>
      </c>
      <c r="E8048" s="1">
        <v>4</v>
      </c>
      <c r="F8048" s="39">
        <f t="shared" si="634"/>
        <v>2699</v>
      </c>
      <c r="G8048" s="410">
        <f>SUM(C8048,C8024,C8000,C7976,C7952,C7928,C7904,C7880,C7856,C7832,C7808,C7784,C7760,C7736)/POBLA!$B$6*100000</f>
        <v>647.30491853593992</v>
      </c>
      <c r="H8048" s="418">
        <f t="shared" si="633"/>
        <v>2.1650253655625185</v>
      </c>
      <c r="J8048" s="42"/>
    </row>
    <row r="8049" spans="1:10" ht="15.75" thickBot="1" x14ac:dyDescent="0.3">
      <c r="A8049" s="394" t="s">
        <v>31</v>
      </c>
      <c r="B8049" s="2">
        <v>44228</v>
      </c>
      <c r="C8049" s="1">
        <v>179</v>
      </c>
      <c r="D8049" s="39">
        <f t="shared" si="628"/>
        <v>41168</v>
      </c>
      <c r="E8049" s="1">
        <v>5</v>
      </c>
      <c r="F8049" s="39">
        <f t="shared" si="634"/>
        <v>729</v>
      </c>
      <c r="G8049" s="176">
        <f>SUM(C8049,C8025,C8001,C7977,C7953,C7929,C7905,C7881,C7857,C7833,C7809,C7785,C7761,C7737)/POBLA!$B$8*100000</f>
        <v>320.06672626430327</v>
      </c>
      <c r="H8049" s="527">
        <f t="shared" ref="H8049:H8065" si="635">SUM(C8049,C8025,C8001,C7977,C7953,C7929,C7905,C7881,C7857,C7833,C7809,C7785,C7761,C7737)/SUM(C7713,C7689,C7665,C7641,C7617,C7593,C7569,C7545,C7521,C7497,C7473,C7449,C7425,C7401)</f>
        <v>0.7024544734758511</v>
      </c>
    </row>
    <row r="8050" spans="1:10" s="393" customFormat="1" ht="15.75" thickBot="1" x14ac:dyDescent="0.3">
      <c r="A8050" s="394" t="s">
        <v>41</v>
      </c>
      <c r="B8050" s="2">
        <v>44228</v>
      </c>
      <c r="C8050" s="1">
        <v>4</v>
      </c>
      <c r="D8050" s="39">
        <f t="shared" si="628"/>
        <v>847</v>
      </c>
      <c r="E8050" s="1"/>
      <c r="F8050" s="39">
        <f t="shared" si="634"/>
        <v>5</v>
      </c>
      <c r="G8050" s="410">
        <f>SUM(C8050,C8026,C8002,C7978,C7954,C7930,C7906,C7882,C7858,C7834,C7810,C7786,C7762,C7738)/POBLA!$B$9*100000</f>
        <v>28.255449088142129</v>
      </c>
      <c r="H8050" s="418">
        <f t="shared" si="635"/>
        <v>0.37582417582417582</v>
      </c>
      <c r="J8050" s="42"/>
    </row>
    <row r="8051" spans="1:10" s="393" customFormat="1" ht="15.75" thickBot="1" x14ac:dyDescent="0.3">
      <c r="A8051" s="394" t="s">
        <v>32</v>
      </c>
      <c r="B8051" s="2">
        <v>44228</v>
      </c>
      <c r="C8051" s="1">
        <v>40</v>
      </c>
      <c r="D8051" s="39">
        <f t="shared" si="628"/>
        <v>19349</v>
      </c>
      <c r="E8051" s="1"/>
      <c r="F8051" s="39">
        <f t="shared" si="634"/>
        <v>873</v>
      </c>
      <c r="G8051" s="410">
        <f>SUM(C8051,C8027,C8003,C7979,C7955,C7931,C7907,C7883,C7859,C7835,C7811,C7787,C7763,C7739)/POBLA!$B$10*100000</f>
        <v>56.03977786454719</v>
      </c>
      <c r="H8051" s="418">
        <f t="shared" si="635"/>
        <v>1.2413793103448276</v>
      </c>
      <c r="J8051" s="42"/>
    </row>
    <row r="8052" spans="1:10" s="393" customFormat="1" ht="15.75" thickBot="1" x14ac:dyDescent="0.3">
      <c r="A8052" s="394" t="s">
        <v>33</v>
      </c>
      <c r="B8052" s="2">
        <v>44228</v>
      </c>
      <c r="C8052" s="1">
        <v>74</v>
      </c>
      <c r="D8052" s="39">
        <f t="shared" si="628"/>
        <v>16513</v>
      </c>
      <c r="E8052" s="1">
        <v>1</v>
      </c>
      <c r="F8052" s="39">
        <f t="shared" si="634"/>
        <v>239</v>
      </c>
      <c r="G8052" s="410">
        <f>SUM(C8052,C8028,C8004,C7980,C7956,C7932,C7908,C7884,C7860,C7836,C7812,C7788,C7764,C7740)/POBLA!$B$11*100000</f>
        <v>386.40954389724016</v>
      </c>
      <c r="H8052" s="418">
        <f t="shared" si="635"/>
        <v>0.39696188019489825</v>
      </c>
      <c r="J8052" s="42"/>
    </row>
    <row r="8053" spans="1:10" s="393" customFormat="1" ht="15.75" thickBot="1" x14ac:dyDescent="0.3">
      <c r="A8053" s="394" t="s">
        <v>21</v>
      </c>
      <c r="B8053" s="2">
        <v>44228</v>
      </c>
      <c r="C8053" s="1">
        <v>11</v>
      </c>
      <c r="D8053" s="39">
        <f t="shared" si="628"/>
        <v>9559</v>
      </c>
      <c r="E8053" s="1">
        <v>3</v>
      </c>
      <c r="F8053" s="39">
        <f t="shared" si="634"/>
        <v>414</v>
      </c>
      <c r="G8053" s="410">
        <f>SUM(C8053,C8029,C8005,C7981,C7957,C7933,C7909,C7885,C7861,C7837,C7813,C7789,C7765,C7741)/POBLA!$B$12*100000</f>
        <v>60.732191364848006</v>
      </c>
      <c r="H8053" s="418">
        <f t="shared" si="635"/>
        <v>1.2383419689119171</v>
      </c>
      <c r="J8053" s="42"/>
    </row>
    <row r="8054" spans="1:10" s="393" customFormat="1" ht="15.75" thickBot="1" x14ac:dyDescent="0.3">
      <c r="A8054" s="394" t="s">
        <v>17</v>
      </c>
      <c r="B8054" s="2">
        <v>44228</v>
      </c>
      <c r="C8054" s="1">
        <v>82</v>
      </c>
      <c r="D8054" s="39">
        <f t="shared" si="628"/>
        <v>63895</v>
      </c>
      <c r="E8054" s="1">
        <v>6</v>
      </c>
      <c r="F8054" s="39">
        <f t="shared" si="634"/>
        <v>1368</v>
      </c>
      <c r="G8054" s="410">
        <f>SUM(C8054,C8030,C8006,C7982,C7958,C7934,C7910,C7886,C7862,C7838,C7814,C7790,C7766,C7742)/POBLA!$B$13*100000</f>
        <v>80.589327038925049</v>
      </c>
      <c r="H8054" s="418">
        <f t="shared" si="635"/>
        <v>0.84778012684989434</v>
      </c>
      <c r="J8054" s="42"/>
    </row>
    <row r="8055" spans="1:10" s="393" customFormat="1" ht="15.75" thickBot="1" x14ac:dyDescent="0.3">
      <c r="A8055" s="394" t="s">
        <v>23</v>
      </c>
      <c r="B8055" s="2">
        <v>44228</v>
      </c>
      <c r="C8055" s="1">
        <v>150</v>
      </c>
      <c r="D8055" s="39">
        <f t="shared" si="628"/>
        <v>4859</v>
      </c>
      <c r="E8055" s="1">
        <v>5</v>
      </c>
      <c r="F8055" s="39">
        <f t="shared" si="634"/>
        <v>89</v>
      </c>
      <c r="G8055" s="410">
        <f>SUM(C8055,C8031,C8007,C7983,C7959,C7935,C7911,C7887,C7863,C7839,C7815,C7791,C7767,C7743)/POBLA!$B$14*100000</f>
        <v>200.66693411686728</v>
      </c>
      <c r="H8055" s="418">
        <f t="shared" si="635"/>
        <v>2.161400512382579</v>
      </c>
      <c r="J8055" s="42"/>
    </row>
    <row r="8056" spans="1:10" s="393" customFormat="1" ht="15.75" thickBot="1" x14ac:dyDescent="0.3">
      <c r="A8056" s="394" t="s">
        <v>19</v>
      </c>
      <c r="B8056" s="2">
        <v>44228</v>
      </c>
      <c r="C8056" s="1">
        <v>373</v>
      </c>
      <c r="D8056" s="39">
        <f t="shared" si="628"/>
        <v>54430</v>
      </c>
      <c r="E8056" s="1">
        <v>4</v>
      </c>
      <c r="F8056" s="39">
        <f t="shared" si="634"/>
        <v>774</v>
      </c>
      <c r="G8056" s="410">
        <f>SUM(C8056,C8032,C8008,C7984,C7960,C7936,C7912,C7888,C7864,C7840,C7816,C7792,C7768,C7744)/POBLA!$B$15*100000</f>
        <v>866.04011402635615</v>
      </c>
      <c r="H8056" s="418">
        <f t="shared" si="635"/>
        <v>0.89190446650124067</v>
      </c>
      <c r="J8056" s="42"/>
    </row>
    <row r="8057" spans="1:10" s="393" customFormat="1" ht="15.75" thickBot="1" x14ac:dyDescent="0.3">
      <c r="A8057" s="394" t="s">
        <v>18</v>
      </c>
      <c r="B8057" s="2">
        <v>44228</v>
      </c>
      <c r="C8057" s="1">
        <v>298</v>
      </c>
      <c r="D8057" s="39">
        <f t="shared" si="628"/>
        <v>48186</v>
      </c>
      <c r="E8057" s="1">
        <v>6</v>
      </c>
      <c r="F8057" s="39">
        <f t="shared" si="634"/>
        <v>1081</v>
      </c>
      <c r="G8057" s="410">
        <f>SUM(C8057,C8033,C8009,C7985,C7961,C7937,C7913,C7889,C7865,C7841,C7817,C7793,C7769,C7745)/POBLA!$B$16*100000</f>
        <v>538.51607121360064</v>
      </c>
      <c r="H8057" s="418">
        <f t="shared" si="635"/>
        <v>0.83909962484368483</v>
      </c>
      <c r="J8057" s="42"/>
    </row>
    <row r="8058" spans="1:10" s="393" customFormat="1" ht="15.75" thickBot="1" x14ac:dyDescent="0.3">
      <c r="A8058" s="394" t="s">
        <v>34</v>
      </c>
      <c r="B8058" s="2">
        <v>44228</v>
      </c>
      <c r="C8058" s="1">
        <v>20</v>
      </c>
      <c r="D8058" s="39">
        <f t="shared" si="628"/>
        <v>23826</v>
      </c>
      <c r="E8058" s="1"/>
      <c r="F8058" s="39">
        <f t="shared" si="634"/>
        <v>1046</v>
      </c>
      <c r="G8058" s="410">
        <f>SUM(C8058,C8034,C8010,C7986,C7962,C7938,C7914,C7890,C7866,C7842,C7818,C7794,C7770,C7746)/POBLA!$B$17*100000</f>
        <v>50.477500303637257</v>
      </c>
      <c r="H8058" s="418">
        <f t="shared" si="635"/>
        <v>1.0683506686478454</v>
      </c>
      <c r="J8058" s="42"/>
    </row>
    <row r="8059" spans="1:10" s="393" customFormat="1" ht="15.75" thickBot="1" x14ac:dyDescent="0.3">
      <c r="A8059" s="394" t="s">
        <v>35</v>
      </c>
      <c r="B8059" s="2">
        <v>44228</v>
      </c>
      <c r="C8059" s="1">
        <v>47</v>
      </c>
      <c r="D8059" s="39">
        <f t="shared" si="628"/>
        <v>13997</v>
      </c>
      <c r="E8059" s="1">
        <v>2</v>
      </c>
      <c r="F8059" s="39">
        <f t="shared" si="634"/>
        <v>200</v>
      </c>
      <c r="G8059" s="410">
        <f>SUM(C8059,C8035,C8011,C7987,C7963,C7939,C7915,C7891,C7867,C7843,C7819,C7795,C7771,C7747)/POBLA!$B$18*100000</f>
        <v>105.98847695326651</v>
      </c>
      <c r="H8059" s="418">
        <f t="shared" si="635"/>
        <v>0.55495978552278824</v>
      </c>
      <c r="J8059" s="42"/>
    </row>
    <row r="8060" spans="1:10" s="393" customFormat="1" ht="15.75" thickBot="1" x14ac:dyDescent="0.3">
      <c r="A8060" s="394" t="s">
        <v>36</v>
      </c>
      <c r="B8060" s="2">
        <v>44228</v>
      </c>
      <c r="C8060" s="1">
        <v>6</v>
      </c>
      <c r="D8060" s="39">
        <f t="shared" si="628"/>
        <v>19016</v>
      </c>
      <c r="E8060" s="1"/>
      <c r="F8060" s="39">
        <f t="shared" si="634"/>
        <v>330</v>
      </c>
      <c r="G8060" s="410">
        <f>SUM(C8060,C8036,C8012,C7988,C7964,C7940,C7916,C7892,C7868,C7844,C7820,C7796,C7772,C7748)/POBLA!$B$19*100000</f>
        <v>403.67636644056597</v>
      </c>
      <c r="H8060" s="418">
        <f t="shared" si="635"/>
        <v>2.9696092619392185</v>
      </c>
      <c r="J8060" s="42"/>
    </row>
    <row r="8061" spans="1:10" s="393" customFormat="1" ht="15.75" thickBot="1" x14ac:dyDescent="0.3">
      <c r="A8061" s="394" t="s">
        <v>37</v>
      </c>
      <c r="B8061" s="2">
        <v>44228</v>
      </c>
      <c r="C8061" s="1">
        <v>140</v>
      </c>
      <c r="D8061" s="39">
        <f t="shared" si="628"/>
        <v>32678</v>
      </c>
      <c r="E8061" s="1">
        <v>12</v>
      </c>
      <c r="F8061" s="39">
        <f t="shared" si="634"/>
        <v>505</v>
      </c>
      <c r="G8061" s="410">
        <f>SUM(C8061,C8037,C8013,C7989,C7965,C7941,C7917,C7893,C7869,C7845,C7821,C7797,C7773,C7749)/POBLA!$B$20*100000</f>
        <v>820.34903116779412</v>
      </c>
      <c r="H8061" s="418">
        <f t="shared" si="635"/>
        <v>0.60386473429951693</v>
      </c>
      <c r="J8061" s="42"/>
    </row>
    <row r="8062" spans="1:10" s="393" customFormat="1" ht="15.75" thickBot="1" x14ac:dyDescent="0.3">
      <c r="A8062" s="394" t="s">
        <v>22</v>
      </c>
      <c r="B8062" s="2">
        <v>44228</v>
      </c>
      <c r="C8062" s="1">
        <v>523</v>
      </c>
      <c r="D8062" s="39">
        <f t="shared" si="628"/>
        <v>206349</v>
      </c>
      <c r="E8062" s="1">
        <v>22</v>
      </c>
      <c r="F8062" s="39">
        <f t="shared" si="634"/>
        <v>3530</v>
      </c>
      <c r="G8062" s="410">
        <f>SUM(C8062,C8038,C8014,C7990,C7966,C7942,C7918,C7894,C7870,C7846,C7822,C7798,C7774,C7750)/POBLA!$B$21*100000</f>
        <v>294.98775314456606</v>
      </c>
      <c r="H8062" s="418">
        <f t="shared" si="635"/>
        <v>0.61148886283704573</v>
      </c>
      <c r="J8062" s="42"/>
    </row>
    <row r="8063" spans="1:10" s="393" customFormat="1" ht="15.75" thickBot="1" x14ac:dyDescent="0.3">
      <c r="A8063" s="394" t="s">
        <v>38</v>
      </c>
      <c r="B8063" s="2">
        <v>44228</v>
      </c>
      <c r="C8063" s="1">
        <v>104</v>
      </c>
      <c r="D8063" s="39">
        <f t="shared" si="628"/>
        <v>20954</v>
      </c>
      <c r="E8063" s="1">
        <v>1</v>
      </c>
      <c r="F8063" s="39">
        <f t="shared" si="634"/>
        <v>244</v>
      </c>
      <c r="G8063" s="410">
        <f>SUM(C8063,C8039,C8015,C7991,C7967,C7943,C7919,C7895,C7871,C7847,C7823,C7799,C7775,C7751)/POBLA!$B$22*100000</f>
        <v>128.0776193304188</v>
      </c>
      <c r="H8063" s="418">
        <f t="shared" si="635"/>
        <v>0.63668699186991873</v>
      </c>
      <c r="J8063" s="42"/>
    </row>
    <row r="8064" spans="1:10" s="393" customFormat="1" ht="15.75" thickBot="1" x14ac:dyDescent="0.3">
      <c r="A8064" s="394" t="s">
        <v>39</v>
      </c>
      <c r="B8064" s="2">
        <v>44228</v>
      </c>
      <c r="C8064" s="1">
        <v>36</v>
      </c>
      <c r="D8064" s="39">
        <f t="shared" si="628"/>
        <v>21852</v>
      </c>
      <c r="E8064" s="1"/>
      <c r="F8064" s="39">
        <f t="shared" si="634"/>
        <v>334</v>
      </c>
      <c r="G8064" s="410">
        <f>SUM(C8064,C8040,C8016,C7992,C7968,C7944,C7920,C7896,C7872,C7848,C7824,C7800,C7776,C7752)/POBLA!$B$23*100000</f>
        <v>546.85290957416726</v>
      </c>
      <c r="H8064" s="418">
        <f t="shared" si="635"/>
        <v>0.71470805617147082</v>
      </c>
      <c r="J8064" s="42"/>
    </row>
    <row r="8065" spans="1:10" s="393" customFormat="1" ht="15.75" thickBot="1" x14ac:dyDescent="0.3">
      <c r="A8065" s="392" t="s">
        <v>40</v>
      </c>
      <c r="B8065" s="34">
        <v>44228</v>
      </c>
      <c r="C8065" s="234">
        <v>136</v>
      </c>
      <c r="D8065" s="67">
        <f t="shared" si="628"/>
        <v>76532</v>
      </c>
      <c r="E8065" s="234">
        <v>2</v>
      </c>
      <c r="F8065" s="67">
        <f t="shared" si="634"/>
        <v>1429</v>
      </c>
      <c r="G8065" s="410">
        <f>SUM(C8065,C8041,C8017,C7993,C7969,C7945,C7921,C7897,C7873,C7849,C7825,C7801,C7777,C7753)/POBLA!$B$24*100000</f>
        <v>121.32255749839496</v>
      </c>
      <c r="H8065" s="419">
        <f t="shared" si="635"/>
        <v>0.71141868512110729</v>
      </c>
      <c r="J8065" s="42"/>
    </row>
    <row r="8066" spans="1:10" s="393" customFormat="1" ht="15.75" thickBot="1" x14ac:dyDescent="0.3">
      <c r="A8066" s="397" t="s">
        <v>16</v>
      </c>
      <c r="B8066" s="267">
        <v>44229</v>
      </c>
      <c r="C8066" s="43">
        <v>4243</v>
      </c>
      <c r="D8066" s="175">
        <f t="shared" si="628"/>
        <v>811157</v>
      </c>
      <c r="E8066" s="43">
        <v>42</v>
      </c>
      <c r="F8066" s="175">
        <f>E8066+F8042</f>
        <v>24670</v>
      </c>
      <c r="G8066" s="410">
        <f>SUM(C8066,C8042,C8018,C7994,C7970,C7946,C7922,C7898,C7874,C7850,C7826,C7802,C7778,C7754)/POBLA!$B$1*100000</f>
        <v>294.10287506382849</v>
      </c>
      <c r="H8066" s="416">
        <f t="shared" ref="H8066:H8072" si="636">SUM(C8066,C8042,C8018,C7994,C7970,C7946,C7922,C7898,C7874,C7850,C7826,C7802,C7778,C7754)/SUM(C7730,C7706,C7682,C7658,C7634,C7610,C7586,C7562,C7538,C7514,C7490,C7466,C7442,C7418)</f>
        <v>0.8484335169805115</v>
      </c>
      <c r="J8066" s="42"/>
    </row>
    <row r="8067" spans="1:10" s="393" customFormat="1" ht="15.75" thickBot="1" x14ac:dyDescent="0.3">
      <c r="A8067" s="402" t="s">
        <v>43</v>
      </c>
      <c r="B8067" s="2">
        <v>44229</v>
      </c>
      <c r="C8067" s="1">
        <v>1270</v>
      </c>
      <c r="D8067" s="39">
        <f t="shared" ref="D8067:D8130" si="637">C8067+D8043</f>
        <v>212386</v>
      </c>
      <c r="E8067" s="1">
        <v>15</v>
      </c>
      <c r="F8067" s="39">
        <f t="shared" ref="F8067:F8089" si="638">E8067+F8043</f>
        <v>6089</v>
      </c>
      <c r="G8067" s="410">
        <f>SUM(C8067,C8043,C8019,C7995,C7971,C7947,C7923,C7899,C7875,C7851,C7827,C7803,C7779,C7755)/POBLA!$B$2*100000</f>
        <v>490.95377036238892</v>
      </c>
      <c r="H8067" s="418">
        <f t="shared" si="636"/>
        <v>0.82644628099173556</v>
      </c>
      <c r="J8067" s="42"/>
    </row>
    <row r="8068" spans="1:10" s="393" customFormat="1" ht="15.75" thickBot="1" x14ac:dyDescent="0.3">
      <c r="A8068" s="402" t="s">
        <v>28</v>
      </c>
      <c r="B8068" s="2">
        <v>44229</v>
      </c>
      <c r="C8068" s="1">
        <v>135</v>
      </c>
      <c r="D8068" s="39">
        <f t="shared" si="637"/>
        <v>5678</v>
      </c>
      <c r="E8068" s="1"/>
      <c r="F8068" s="39">
        <f t="shared" si="638"/>
        <v>17</v>
      </c>
      <c r="G8068" s="410">
        <f>SUM(C8068,C8044,C8020,C7996,C7972,C7948,C7924,C7900,C7876,C7852,C7828,C7804,C7780,C7756)/POBLA!$B$3*100000</f>
        <v>309.07138971398859</v>
      </c>
      <c r="H8068" s="418">
        <f t="shared" si="636"/>
        <v>0.87704918032786883</v>
      </c>
      <c r="J8068" s="42"/>
    </row>
    <row r="8069" spans="1:10" s="393" customFormat="1" ht="15.75" thickBot="1" x14ac:dyDescent="0.3">
      <c r="A8069" s="402" t="s">
        <v>15</v>
      </c>
      <c r="B8069" s="2">
        <v>44229</v>
      </c>
      <c r="C8069" s="1">
        <v>161</v>
      </c>
      <c r="D8069" s="39">
        <f t="shared" si="637"/>
        <v>31008</v>
      </c>
      <c r="E8069" s="1">
        <v>2</v>
      </c>
      <c r="F8069" s="39">
        <f t="shared" si="638"/>
        <v>798</v>
      </c>
      <c r="G8069" s="410">
        <f>SUM(C8069,C8045,C8021,C7997,C7973,C7949,C7925,C7901,C7877,C7853,C7829,C7805,C7781,C7757)/POBLA!$B$4*100000</f>
        <v>177.99311106886358</v>
      </c>
      <c r="H8069" s="418">
        <f t="shared" si="636"/>
        <v>0.66152422091946927</v>
      </c>
      <c r="J8069" s="42"/>
    </row>
    <row r="8070" spans="1:10" s="393" customFormat="1" ht="15.75" thickBot="1" x14ac:dyDescent="0.3">
      <c r="A8070" s="402" t="s">
        <v>29</v>
      </c>
      <c r="B8070" s="2">
        <v>44229</v>
      </c>
      <c r="C8070" s="1">
        <v>327</v>
      </c>
      <c r="D8070" s="39">
        <f t="shared" si="637"/>
        <v>42849</v>
      </c>
      <c r="E8070" s="1">
        <v>21</v>
      </c>
      <c r="F8070" s="39">
        <f t="shared" si="638"/>
        <v>657</v>
      </c>
      <c r="G8070" s="410">
        <f>SUM(C8070,C8046,C8022,C7998,C7974,C7950,C7926,C7902,C7878,C7854,C7830,C7806,C7782,C7758)/POBLA!$B$5*100000</f>
        <v>658.97246176861165</v>
      </c>
      <c r="H8070" s="418">
        <f t="shared" si="636"/>
        <v>0.75286083425618311</v>
      </c>
      <c r="J8070" s="42"/>
    </row>
    <row r="8071" spans="1:10" s="393" customFormat="1" ht="15.75" thickBot="1" x14ac:dyDescent="0.3">
      <c r="A8071" s="402" t="s">
        <v>30</v>
      </c>
      <c r="B8071" s="2">
        <v>44229</v>
      </c>
      <c r="C8071" s="1">
        <v>175</v>
      </c>
      <c r="D8071" s="39">
        <f t="shared" si="637"/>
        <v>17738</v>
      </c>
      <c r="E8071" s="1"/>
      <c r="F8071" s="39">
        <f t="shared" si="638"/>
        <v>206</v>
      </c>
      <c r="G8071" s="410">
        <f>SUM(C8071,C8047,C8023,C7999,C7975,C7951,C7927,C7903,C7879,C7855,C7831,C7807,C7783,C7759)/POBLA!$B$7*100000</f>
        <v>55.498677020037498</v>
      </c>
      <c r="H8071" s="418">
        <f t="shared" si="636"/>
        <v>0.2503899220155969</v>
      </c>
      <c r="J8071" s="42"/>
    </row>
    <row r="8072" spans="1:10" s="393" customFormat="1" ht="15.75" thickBot="1" x14ac:dyDescent="0.3">
      <c r="A8072" s="402" t="s">
        <v>20</v>
      </c>
      <c r="B8072" s="2">
        <v>44229</v>
      </c>
      <c r="C8072" s="1">
        <v>571</v>
      </c>
      <c r="D8072" s="39">
        <f t="shared" si="637"/>
        <v>145909</v>
      </c>
      <c r="E8072" s="1">
        <v>5</v>
      </c>
      <c r="F8072" s="39">
        <f t="shared" si="638"/>
        <v>2704</v>
      </c>
      <c r="G8072" s="410">
        <f>SUM(C8072,C8048,C8024,C8000,C7976,C7952,C7928,C7904,C7880,C7856,C7832,C7808,C7784,C7760)/POBLA!$B$6*100000</f>
        <v>638.65039378087636</v>
      </c>
      <c r="H8072" s="418">
        <f t="shared" si="636"/>
        <v>1.8626073380171742</v>
      </c>
      <c r="J8072" s="42"/>
    </row>
    <row r="8073" spans="1:10" ht="15.75" thickBot="1" x14ac:dyDescent="0.3">
      <c r="A8073" s="402" t="s">
        <v>31</v>
      </c>
      <c r="B8073" s="2">
        <v>44229</v>
      </c>
      <c r="C8073" s="1">
        <v>284</v>
      </c>
      <c r="D8073" s="39">
        <f t="shared" si="637"/>
        <v>41452</v>
      </c>
      <c r="E8073" s="1">
        <v>12</v>
      </c>
      <c r="F8073" s="39">
        <f t="shared" si="638"/>
        <v>741</v>
      </c>
      <c r="G8073" s="176">
        <f>SUM(C8073,C8049,C8025,C8001,C7977,C7953,C7929,C7905,C7881,C7857,C7833,C7809,C7785,C7761)/POBLA!$B$8*100000</f>
        <v>308.45023777725351</v>
      </c>
      <c r="H8073" s="527">
        <f t="shared" ref="H8073:H8089" si="639">SUM(C8073,C8049,C8025,C8001,C7977,C7953,C7929,C7905,C7881,C7857,C7833,C7809,C7785,C7761)/SUM(C7737,C7713,C7689,C7665,C7641,C7617,C7593,C7569,C7545,C7521,C7497,C7473,C7449,C7425)</f>
        <v>0.68840579710144922</v>
      </c>
    </row>
    <row r="8074" spans="1:10" s="393" customFormat="1" ht="15.75" thickBot="1" x14ac:dyDescent="0.3">
      <c r="A8074" s="402" t="s">
        <v>41</v>
      </c>
      <c r="B8074" s="2">
        <v>44229</v>
      </c>
      <c r="C8074" s="1">
        <v>4</v>
      </c>
      <c r="D8074" s="39">
        <f t="shared" si="637"/>
        <v>851</v>
      </c>
      <c r="E8074" s="1"/>
      <c r="F8074" s="39">
        <f t="shared" si="638"/>
        <v>5</v>
      </c>
      <c r="G8074" s="410">
        <f>SUM(C8074,C8050,C8026,C8002,C7978,C7954,C7930,C7906,C7882,C7858,C7834,C7810,C7786,C7762)/POBLA!$B$9*100000</f>
        <v>27.594502910641729</v>
      </c>
      <c r="H8074" s="418">
        <f t="shared" si="639"/>
        <v>0.36462882096069871</v>
      </c>
      <c r="J8074" s="42"/>
    </row>
    <row r="8075" spans="1:10" s="393" customFormat="1" ht="15.75" thickBot="1" x14ac:dyDescent="0.3">
      <c r="A8075" s="402" t="s">
        <v>32</v>
      </c>
      <c r="B8075" s="2">
        <v>44229</v>
      </c>
      <c r="C8075" s="1">
        <v>22</v>
      </c>
      <c r="D8075" s="39">
        <f t="shared" si="637"/>
        <v>19371</v>
      </c>
      <c r="E8075" s="1"/>
      <c r="F8075" s="39">
        <f t="shared" si="638"/>
        <v>873</v>
      </c>
      <c r="G8075" s="410">
        <f>SUM(C8075,C8051,C8027,C8003,C7979,C7955,C7931,C7907,C7883,C7859,C7835,C7811,C7787,C7763)/POBLA!$B$10*100000</f>
        <v>55.65061274048783</v>
      </c>
      <c r="H8075" s="418">
        <f t="shared" si="639"/>
        <v>1.2118644067796611</v>
      </c>
      <c r="J8075" s="42"/>
    </row>
    <row r="8076" spans="1:10" s="393" customFormat="1" ht="15.75" thickBot="1" x14ac:dyDescent="0.3">
      <c r="A8076" s="402" t="s">
        <v>33</v>
      </c>
      <c r="B8076" s="2">
        <v>44229</v>
      </c>
      <c r="C8076" s="1">
        <v>88</v>
      </c>
      <c r="D8076" s="39">
        <f t="shared" si="637"/>
        <v>16601</v>
      </c>
      <c r="E8076" s="1">
        <v>11</v>
      </c>
      <c r="F8076" s="39">
        <f t="shared" si="638"/>
        <v>250</v>
      </c>
      <c r="G8076" s="410">
        <f>SUM(C8076,C8052,C8028,C8004,C7980,C7956,C7932,C7908,C7884,C7860,C7836,C7812,C7788,C7764)/POBLA!$B$11*100000</f>
        <v>367.15881571752209</v>
      </c>
      <c r="H8076" s="418">
        <f t="shared" si="639"/>
        <v>0.39330543933054396</v>
      </c>
      <c r="J8076" s="42"/>
    </row>
    <row r="8077" spans="1:10" s="393" customFormat="1" ht="15.75" thickBot="1" x14ac:dyDescent="0.3">
      <c r="A8077" s="402" t="s">
        <v>21</v>
      </c>
      <c r="B8077" s="2">
        <v>44229</v>
      </c>
      <c r="C8077" s="1">
        <v>6</v>
      </c>
      <c r="D8077" s="39">
        <f t="shared" si="637"/>
        <v>9565</v>
      </c>
      <c r="E8077" s="1"/>
      <c r="F8077" s="39">
        <f t="shared" si="638"/>
        <v>414</v>
      </c>
      <c r="G8077" s="410">
        <f>SUM(C8077,C8053,C8029,C8005,C7981,C7957,C7933,C7909,C7885,C7861,C7837,C7813,C7789,C7765)/POBLA!$B$12*100000</f>
        <v>59.969862602946144</v>
      </c>
      <c r="H8077" s="418">
        <f t="shared" si="639"/>
        <v>1.2291666666666667</v>
      </c>
      <c r="J8077" s="42"/>
    </row>
    <row r="8078" spans="1:10" s="393" customFormat="1" ht="15.75" thickBot="1" x14ac:dyDescent="0.3">
      <c r="A8078" s="402" t="s">
        <v>17</v>
      </c>
      <c r="B8078" s="2">
        <v>44229</v>
      </c>
      <c r="C8078" s="1">
        <v>146</v>
      </c>
      <c r="D8078" s="39">
        <f t="shared" si="637"/>
        <v>64041</v>
      </c>
      <c r="E8078" s="1">
        <v>3</v>
      </c>
      <c r="F8078" s="39">
        <f t="shared" si="638"/>
        <v>1371</v>
      </c>
      <c r="G8078" s="410">
        <f>SUM(C8078,C8054,C8030,C8006,C7982,C7958,C7934,C7910,C7886,C7862,C7838,C7814,C7790,C7766)/POBLA!$B$13*100000</f>
        <v>80.488841593739366</v>
      </c>
      <c r="H8078" s="418">
        <f t="shared" si="639"/>
        <v>0.84986737400530499</v>
      </c>
      <c r="J8078" s="42"/>
    </row>
    <row r="8079" spans="1:10" s="393" customFormat="1" ht="15.75" thickBot="1" x14ac:dyDescent="0.3">
      <c r="A8079" s="402" t="s">
        <v>23</v>
      </c>
      <c r="B8079" s="2">
        <v>44229</v>
      </c>
      <c r="C8079" s="1">
        <v>284</v>
      </c>
      <c r="D8079" s="39">
        <f t="shared" si="637"/>
        <v>5143</v>
      </c>
      <c r="E8079" s="1">
        <v>3</v>
      </c>
      <c r="F8079" s="39">
        <f t="shared" si="638"/>
        <v>92</v>
      </c>
      <c r="G8079" s="410">
        <f>SUM(C8079,C8055,C8031,C8007,C7983,C7959,C7935,C7911,C7887,C7863,C7839,C7815,C7791,C7767)/POBLA!$B$14*100000</f>
        <v>204.31398230705923</v>
      </c>
      <c r="H8079" s="418">
        <f t="shared" si="639"/>
        <v>1.8354700854700854</v>
      </c>
      <c r="J8079" s="42"/>
    </row>
    <row r="8080" spans="1:10" s="393" customFormat="1" ht="15.75" thickBot="1" x14ac:dyDescent="0.3">
      <c r="A8080" s="402" t="s">
        <v>19</v>
      </c>
      <c r="B8080" s="2">
        <v>44229</v>
      </c>
      <c r="C8080" s="1">
        <v>499</v>
      </c>
      <c r="D8080" s="39">
        <f t="shared" si="637"/>
        <v>54929</v>
      </c>
      <c r="E8080" s="1">
        <v>2</v>
      </c>
      <c r="F8080" s="39">
        <f t="shared" si="638"/>
        <v>776</v>
      </c>
      <c r="G8080" s="410">
        <f>SUM(C8080,C8056,C8032,C8008,C7984,C7960,C7936,C7912,C7888,C7864,C7840,C7816,C7792,C7768)/POBLA!$B$15*100000</f>
        <v>878.38845159376388</v>
      </c>
      <c r="H8080" s="418">
        <f t="shared" si="639"/>
        <v>0.94202196382428938</v>
      </c>
      <c r="J8080" s="42"/>
    </row>
    <row r="8081" spans="1:10" s="393" customFormat="1" ht="15.75" thickBot="1" x14ac:dyDescent="0.3">
      <c r="A8081" s="402" t="s">
        <v>18</v>
      </c>
      <c r="B8081" s="2">
        <v>44229</v>
      </c>
      <c r="C8081" s="1">
        <v>294</v>
      </c>
      <c r="D8081" s="39">
        <f t="shared" si="637"/>
        <v>48480</v>
      </c>
      <c r="E8081" s="1">
        <v>4</v>
      </c>
      <c r="F8081" s="39">
        <f t="shared" si="638"/>
        <v>1085</v>
      </c>
      <c r="G8081" s="410">
        <f>SUM(C8081,C8057,C8033,C8009,C7985,C7961,C7937,C7913,C7889,C7865,C7841,C7817,C7793,C7769)/POBLA!$B$16*100000</f>
        <v>523.6687577747756</v>
      </c>
      <c r="H8081" s="418">
        <f t="shared" si="639"/>
        <v>0.81207218419415061</v>
      </c>
      <c r="J8081" s="42"/>
    </row>
    <row r="8082" spans="1:10" s="393" customFormat="1" ht="15.75" thickBot="1" x14ac:dyDescent="0.3">
      <c r="A8082" s="402" t="s">
        <v>34</v>
      </c>
      <c r="B8082" s="2">
        <v>44229</v>
      </c>
      <c r="C8082" s="1">
        <v>57</v>
      </c>
      <c r="D8082" s="39">
        <f t="shared" si="637"/>
        <v>23883</v>
      </c>
      <c r="E8082" s="1"/>
      <c r="F8082" s="39">
        <f t="shared" si="638"/>
        <v>1046</v>
      </c>
      <c r="G8082" s="410">
        <f>SUM(C8082,C8058,C8034,C8010,C7986,C7962,C7938,C7914,C7890,C7866,C7842,C7818,C7794,C7770)/POBLA!$B$17*100000</f>
        <v>51.319962061138853</v>
      </c>
      <c r="H8082" s="418">
        <f t="shared" si="639"/>
        <v>1.0548340548340549</v>
      </c>
      <c r="J8082" s="42"/>
    </row>
    <row r="8083" spans="1:10" s="393" customFormat="1" ht="15.75" thickBot="1" x14ac:dyDescent="0.3">
      <c r="A8083" s="402" t="s">
        <v>35</v>
      </c>
      <c r="B8083" s="2">
        <v>44229</v>
      </c>
      <c r="C8083" s="1">
        <v>83</v>
      </c>
      <c r="D8083" s="39">
        <f t="shared" si="637"/>
        <v>14080</v>
      </c>
      <c r="E8083" s="1">
        <v>1</v>
      </c>
      <c r="F8083" s="39">
        <f t="shared" si="638"/>
        <v>201</v>
      </c>
      <c r="G8083" s="410">
        <f>SUM(C8083,C8059,C8035,C8011,C7987,C7963,C7939,C7915,C7891,C7867,C7843,C7819,C7795,C7771)/POBLA!$B$18*100000</f>
        <v>105.47645532547295</v>
      </c>
      <c r="H8083" s="418">
        <f t="shared" si="639"/>
        <v>0.60189919649379109</v>
      </c>
      <c r="J8083" s="42"/>
    </row>
    <row r="8084" spans="1:10" s="393" customFormat="1" ht="15.75" thickBot="1" x14ac:dyDescent="0.3">
      <c r="A8084" s="402" t="s">
        <v>36</v>
      </c>
      <c r="B8084" s="2">
        <v>44229</v>
      </c>
      <c r="C8084" s="1">
        <v>63</v>
      </c>
      <c r="D8084" s="39">
        <f t="shared" si="637"/>
        <v>19079</v>
      </c>
      <c r="E8084" s="1">
        <v>2</v>
      </c>
      <c r="F8084" s="39">
        <f t="shared" si="638"/>
        <v>332</v>
      </c>
      <c r="G8084" s="410">
        <f>SUM(C8084,C8060,C8036,C8012,C7988,C7964,C7940,C7916,C7892,C7868,C7844,C7820,C7796,C7772)/POBLA!$B$19*100000</f>
        <v>397.57794180135659</v>
      </c>
      <c r="H8084" s="418">
        <f t="shared" si="639"/>
        <v>2.7952973720608574</v>
      </c>
      <c r="J8084" s="42"/>
    </row>
    <row r="8085" spans="1:10" s="393" customFormat="1" ht="15.75" thickBot="1" x14ac:dyDescent="0.3">
      <c r="A8085" s="402" t="s">
        <v>37</v>
      </c>
      <c r="B8085" s="2">
        <v>44229</v>
      </c>
      <c r="C8085" s="1">
        <v>158</v>
      </c>
      <c r="D8085" s="39">
        <f t="shared" si="637"/>
        <v>32836</v>
      </c>
      <c r="E8085" s="1">
        <v>2</v>
      </c>
      <c r="F8085" s="39">
        <f t="shared" si="638"/>
        <v>507</v>
      </c>
      <c r="G8085" s="410">
        <f>SUM(C8085,C8061,C8037,C8013,C7989,C7965,C7941,C7917,C7893,C7869,C7845,C7821,C7797,C7773)/POBLA!$B$20*100000</f>
        <v>744.05657126918925</v>
      </c>
      <c r="H8085" s="418">
        <f t="shared" si="639"/>
        <v>0.55792495386508101</v>
      </c>
      <c r="J8085" s="42"/>
    </row>
    <row r="8086" spans="1:10" s="393" customFormat="1" ht="15.75" thickBot="1" x14ac:dyDescent="0.3">
      <c r="A8086" s="402" t="s">
        <v>22</v>
      </c>
      <c r="B8086" s="2">
        <v>44229</v>
      </c>
      <c r="C8086" s="1">
        <v>515</v>
      </c>
      <c r="D8086" s="39">
        <f t="shared" si="637"/>
        <v>206864</v>
      </c>
      <c r="E8086" s="1">
        <v>47</v>
      </c>
      <c r="F8086" s="39">
        <f t="shared" si="638"/>
        <v>3577</v>
      </c>
      <c r="G8086" s="410">
        <f>SUM(C8086,C8062,C8038,C8014,C7990,C7966,C7942,C7918,C7894,C7870,C7846,C7822,C7798,C7774)/POBLA!$B$21*100000</f>
        <v>275.4482077627701</v>
      </c>
      <c r="H8086" s="418">
        <f t="shared" si="639"/>
        <v>0.58020132229435939</v>
      </c>
      <c r="J8086" s="42"/>
    </row>
    <row r="8087" spans="1:10" s="393" customFormat="1" ht="15.75" thickBot="1" x14ac:dyDescent="0.3">
      <c r="A8087" s="402" t="s">
        <v>38</v>
      </c>
      <c r="B8087" s="2">
        <v>44229</v>
      </c>
      <c r="C8087" s="1">
        <v>69</v>
      </c>
      <c r="D8087" s="39">
        <f t="shared" si="637"/>
        <v>21023</v>
      </c>
      <c r="E8087" s="1">
        <v>2</v>
      </c>
      <c r="F8087" s="39">
        <f t="shared" si="638"/>
        <v>246</v>
      </c>
      <c r="G8087" s="410">
        <f>SUM(C8087,C8063,C8039,C8015,C7991,C7967,C7943,C7919,C7895,C7871,C7847,C7823,C7799,C7775)/POBLA!$B$22*100000</f>
        <v>125.72663350073033</v>
      </c>
      <c r="H8087" s="418">
        <f t="shared" si="639"/>
        <v>0.6333676622039135</v>
      </c>
      <c r="J8087" s="42"/>
    </row>
    <row r="8088" spans="1:10" s="393" customFormat="1" ht="15.75" thickBot="1" x14ac:dyDescent="0.3">
      <c r="A8088" s="402" t="s">
        <v>39</v>
      </c>
      <c r="B8088" s="2">
        <v>44229</v>
      </c>
      <c r="C8088" s="1">
        <v>58</v>
      </c>
      <c r="D8088" s="39">
        <f t="shared" si="637"/>
        <v>21910</v>
      </c>
      <c r="E8088" s="1">
        <v>2</v>
      </c>
      <c r="F8088" s="39">
        <f t="shared" si="638"/>
        <v>336</v>
      </c>
      <c r="G8088" s="410">
        <f>SUM(C8088,C8064,C8040,C8016,C7992,C7968,C7944,C7920,C7896,C7872,C7848,C7824,C7800,C7776)/POBLA!$B$23*100000</f>
        <v>500.48068766611999</v>
      </c>
      <c r="H8088" s="418">
        <f t="shared" si="639"/>
        <v>0.65217391304347827</v>
      </c>
      <c r="J8088" s="42"/>
    </row>
    <row r="8089" spans="1:10" s="393" customFormat="1" ht="15.75" thickBot="1" x14ac:dyDescent="0.3">
      <c r="A8089" s="404" t="s">
        <v>40</v>
      </c>
      <c r="B8089" s="268">
        <v>44229</v>
      </c>
      <c r="C8089" s="44">
        <v>183</v>
      </c>
      <c r="D8089" s="177">
        <f t="shared" si="637"/>
        <v>76715</v>
      </c>
      <c r="E8089" s="44"/>
      <c r="F8089" s="177">
        <f t="shared" si="638"/>
        <v>1429</v>
      </c>
      <c r="G8089" s="410">
        <f>SUM(C8089,C8065,C8041,C8017,C7993,C7969,C7945,C7921,C7897,C7873,C7849,C7825,C7801,C7777)/POBLA!$B$24*100000</f>
        <v>120.08336795196193</v>
      </c>
      <c r="H8089" s="419">
        <f t="shared" si="639"/>
        <v>0.71403508771929824</v>
      </c>
      <c r="J8089" s="42"/>
    </row>
    <row r="8090" spans="1:10" s="393" customFormat="1" ht="15.75" thickBot="1" x14ac:dyDescent="0.3">
      <c r="A8090" s="397" t="s">
        <v>16</v>
      </c>
      <c r="B8090" s="276">
        <v>44230</v>
      </c>
      <c r="C8090" s="17">
        <v>3688</v>
      </c>
      <c r="D8090" s="175">
        <f t="shared" si="637"/>
        <v>814845</v>
      </c>
      <c r="E8090" s="43">
        <v>35</v>
      </c>
      <c r="F8090" s="175">
        <f>E8090+F8066</f>
        <v>24705</v>
      </c>
      <c r="G8090" s="410">
        <f>SUM(C8090,C8066,C8042,C8018,C7994,C7970,C7946,C7922,C7898,C7874,C7850,C7826,C7802,C7778)/POBLA!$B$1*100000</f>
        <v>287.20480611837053</v>
      </c>
      <c r="H8090" s="416">
        <f t="shared" ref="H8090:H8096" si="640">SUM(C8090,C8066,C8042,C8018,C7994,C7970,C7946,C7922,C7898,C7874,C7850,C7826,C7802,C7778)/SUM(C7754,C7730,C7706,C7682,C7658,C7634,C7610,C7586,C7562,C7538,C7514,C7490,C7466,C7442)</f>
        <v>0.83337193144974531</v>
      </c>
      <c r="J8090" s="42"/>
    </row>
    <row r="8091" spans="1:10" s="393" customFormat="1" ht="15.75" thickBot="1" x14ac:dyDescent="0.3">
      <c r="A8091" s="402" t="s">
        <v>43</v>
      </c>
      <c r="B8091" s="2">
        <v>44230</v>
      </c>
      <c r="C8091" s="17">
        <v>1071</v>
      </c>
      <c r="D8091" s="39">
        <f t="shared" si="637"/>
        <v>213457</v>
      </c>
      <c r="E8091" s="1">
        <v>7</v>
      </c>
      <c r="F8091" s="39">
        <f t="shared" ref="F8091:F8113" si="641">E8091+F8067</f>
        <v>6096</v>
      </c>
      <c r="G8091" s="410">
        <f>SUM(C8091,C8067,C8043,C8019,C7995,C7971,C7947,C7923,C7899,C7875,C7851,C7827,C7803,C7779)/POBLA!$B$2*100000</f>
        <v>484.41855792246571</v>
      </c>
      <c r="H8091" s="418">
        <f t="shared" si="640"/>
        <v>0.82201379310344824</v>
      </c>
      <c r="J8091" s="42"/>
    </row>
    <row r="8092" spans="1:10" s="393" customFormat="1" ht="15.75" thickBot="1" x14ac:dyDescent="0.3">
      <c r="A8092" s="402" t="s">
        <v>28</v>
      </c>
      <c r="B8092" s="2">
        <v>44230</v>
      </c>
      <c r="C8092" s="17">
        <v>139</v>
      </c>
      <c r="D8092" s="39">
        <f t="shared" si="637"/>
        <v>5817</v>
      </c>
      <c r="E8092" s="1"/>
      <c r="F8092" s="39">
        <f t="shared" si="641"/>
        <v>17</v>
      </c>
      <c r="G8092" s="410">
        <f>SUM(C8092,C8068,C8044,C8020,C7996,C7972,C7948,C7924,C7900,C7876,C7852,C7828,C7804,C7780)/POBLA!$B$3*100000</f>
        <v>321.34758977272179</v>
      </c>
      <c r="H8092" s="418">
        <f t="shared" si="640"/>
        <v>0.88235294117647056</v>
      </c>
      <c r="J8092" s="42"/>
    </row>
    <row r="8093" spans="1:10" s="393" customFormat="1" ht="15.75" thickBot="1" x14ac:dyDescent="0.3">
      <c r="A8093" s="402" t="s">
        <v>15</v>
      </c>
      <c r="B8093" s="2">
        <v>44230</v>
      </c>
      <c r="C8093" s="17">
        <v>117</v>
      </c>
      <c r="D8093" s="39">
        <f t="shared" si="637"/>
        <v>31125</v>
      </c>
      <c r="E8093" s="1"/>
      <c r="F8093" s="39">
        <f t="shared" si="641"/>
        <v>798</v>
      </c>
      <c r="G8093" s="410">
        <f>SUM(C8093,C8069,C8045,C8021,C7997,C7973,C7949,C7925,C7901,C7877,C7853,C7829,C7805,C7781)/POBLA!$B$4*100000</f>
        <v>172.9289413975946</v>
      </c>
      <c r="H8093" s="418">
        <f t="shared" si="640"/>
        <v>0.66232114467408587</v>
      </c>
      <c r="J8093" s="42"/>
    </row>
    <row r="8094" spans="1:10" s="393" customFormat="1" ht="15.75" thickBot="1" x14ac:dyDescent="0.3">
      <c r="A8094" s="402" t="s">
        <v>29</v>
      </c>
      <c r="B8094" s="2">
        <v>44230</v>
      </c>
      <c r="C8094" s="17">
        <v>299</v>
      </c>
      <c r="D8094" s="39">
        <f t="shared" si="637"/>
        <v>43148</v>
      </c>
      <c r="E8094" s="1">
        <v>4</v>
      </c>
      <c r="F8094" s="39">
        <f t="shared" si="641"/>
        <v>661</v>
      </c>
      <c r="G8094" s="410">
        <f>SUM(C8094,C8070,C8046,C8022,C7998,C7974,C7950,C7926,C7902,C7878,C7854,C7830,C7806,C7782)/POBLA!$B$5*100000</f>
        <v>652.18725868102115</v>
      </c>
      <c r="H8094" s="418">
        <f t="shared" si="640"/>
        <v>0.76559833112080411</v>
      </c>
      <c r="J8094" s="42"/>
    </row>
    <row r="8095" spans="1:10" s="393" customFormat="1" ht="15.75" thickBot="1" x14ac:dyDescent="0.3">
      <c r="A8095" s="402" t="s">
        <v>30</v>
      </c>
      <c r="B8095" s="2">
        <v>44230</v>
      </c>
      <c r="C8095" s="17">
        <v>232</v>
      </c>
      <c r="D8095" s="39">
        <f t="shared" si="637"/>
        <v>17970</v>
      </c>
      <c r="E8095" s="1"/>
      <c r="F8095" s="39">
        <f t="shared" si="641"/>
        <v>206</v>
      </c>
      <c r="G8095" s="410">
        <f>SUM(C8095,C8071,C8047,C8023,C7999,C7975,C7951,C7927,C7903,C7879,C7855,C7831,C7807,C7783)/POBLA!$B$7*100000</f>
        <v>58.397266284620194</v>
      </c>
      <c r="H8095" s="418">
        <f t="shared" si="640"/>
        <v>0.29109225874867445</v>
      </c>
      <c r="J8095" s="42"/>
    </row>
    <row r="8096" spans="1:10" s="393" customFormat="1" ht="15.75" thickBot="1" x14ac:dyDescent="0.3">
      <c r="A8096" s="402" t="s">
        <v>20</v>
      </c>
      <c r="B8096" s="2">
        <v>44230</v>
      </c>
      <c r="C8096" s="17">
        <v>603</v>
      </c>
      <c r="D8096" s="39">
        <f t="shared" si="637"/>
        <v>146512</v>
      </c>
      <c r="E8096" s="1">
        <v>6</v>
      </c>
      <c r="F8096" s="39">
        <f t="shared" si="641"/>
        <v>2710</v>
      </c>
      <c r="G8096" s="410">
        <f>SUM(C8096,C8072,C8048,C8024,C8000,C7976,C7952,C7928,C7904,C7880,C7856,C7832,C7808,C7784)/POBLA!$B$6*100000</f>
        <v>630.53120045396099</v>
      </c>
      <c r="H8096" s="418">
        <f t="shared" si="640"/>
        <v>1.6313481071098799</v>
      </c>
      <c r="J8096" s="42"/>
    </row>
    <row r="8097" spans="1:10" ht="15.75" thickBot="1" x14ac:dyDescent="0.3">
      <c r="A8097" s="402" t="s">
        <v>31</v>
      </c>
      <c r="B8097" s="2">
        <v>44230</v>
      </c>
      <c r="C8097" s="17">
        <v>265</v>
      </c>
      <c r="D8097" s="39">
        <f t="shared" si="637"/>
        <v>41717</v>
      </c>
      <c r="E8097" s="1">
        <v>4</v>
      </c>
      <c r="F8097" s="39">
        <f t="shared" si="641"/>
        <v>745</v>
      </c>
      <c r="G8097" s="176">
        <f>SUM(C8097,C8073,C8049,C8025,C8001,C7977,C7953,C7929,C7905,C7881,C7857,C7833,C7809,C7785)/POBLA!$B$8*100000</f>
        <v>288.03119279691128</v>
      </c>
      <c r="H8097" s="527">
        <f t="shared" ref="H8097:H8113" si="642">SUM(C8097,C8073,C8049,C8025,C8001,C7977,C7953,C7929,C7905,C7881,C7857,C7833,C7809,C7785)/SUM(C7761,C7737,C7713,C7689,C7665,C7641,C7617,C7593,C7569,C7545,C7521,C7497,C7473,C7449)</f>
        <v>0.6413881748071979</v>
      </c>
    </row>
    <row r="8098" spans="1:10" s="393" customFormat="1" ht="15.75" thickBot="1" x14ac:dyDescent="0.3">
      <c r="A8098" s="402" t="s">
        <v>41</v>
      </c>
      <c r="B8098" s="2">
        <v>44230</v>
      </c>
      <c r="C8098" s="17">
        <v>4</v>
      </c>
      <c r="D8098" s="39">
        <f t="shared" si="637"/>
        <v>855</v>
      </c>
      <c r="E8098" s="1">
        <v>2</v>
      </c>
      <c r="F8098" s="39">
        <f t="shared" si="641"/>
        <v>7</v>
      </c>
      <c r="G8098" s="410">
        <f>SUM(C8098,C8074,C8050,C8026,C8002,C7978,C7954,C7930,C7906,C7882,C7858,C7834,C7810,C7786)/POBLA!$B$9*100000</f>
        <v>25.611664378140528</v>
      </c>
      <c r="H8098" s="418">
        <f t="shared" si="642"/>
        <v>0.33190578158458245</v>
      </c>
      <c r="J8098" s="42"/>
    </row>
    <row r="8099" spans="1:10" s="393" customFormat="1" ht="15.75" thickBot="1" x14ac:dyDescent="0.3">
      <c r="A8099" s="402" t="s">
        <v>32</v>
      </c>
      <c r="B8099" s="2">
        <v>44230</v>
      </c>
      <c r="C8099" s="17">
        <v>34</v>
      </c>
      <c r="D8099" s="39">
        <f t="shared" si="637"/>
        <v>19405</v>
      </c>
      <c r="E8099" s="1">
        <v>1</v>
      </c>
      <c r="F8099" s="39">
        <f t="shared" si="641"/>
        <v>874</v>
      </c>
      <c r="G8099" s="410">
        <f>SUM(C8099,C8075,C8051,C8027,C8003,C7979,C7955,C7931,C7907,C7883,C7859,C7835,C7811,C7787)/POBLA!$B$10*100000</f>
        <v>55.00200420038891</v>
      </c>
      <c r="H8099" s="418">
        <f t="shared" si="642"/>
        <v>1.1187335092348285</v>
      </c>
      <c r="J8099" s="42"/>
    </row>
    <row r="8100" spans="1:10" s="393" customFormat="1" ht="15.75" thickBot="1" x14ac:dyDescent="0.3">
      <c r="A8100" s="402" t="s">
        <v>33</v>
      </c>
      <c r="B8100" s="2">
        <v>44230</v>
      </c>
      <c r="C8100" s="17">
        <v>100</v>
      </c>
      <c r="D8100" s="39">
        <f t="shared" si="637"/>
        <v>16701</v>
      </c>
      <c r="E8100" s="1">
        <v>2</v>
      </c>
      <c r="F8100" s="39">
        <f t="shared" si="641"/>
        <v>252</v>
      </c>
      <c r="G8100" s="410">
        <f>SUM(C8100,C8076,C8052,C8028,C8004,C7980,C7956,C7932,C7908,C7884,C7860,C7836,C7812,C7788)/POBLA!$B$11*100000</f>
        <v>361.29989844543394</v>
      </c>
      <c r="H8100" s="418">
        <f t="shared" si="642"/>
        <v>0.42251223491027734</v>
      </c>
      <c r="J8100" s="42"/>
    </row>
    <row r="8101" spans="1:10" s="393" customFormat="1" ht="15.75" thickBot="1" x14ac:dyDescent="0.3">
      <c r="A8101" s="402" t="s">
        <v>21</v>
      </c>
      <c r="B8101" s="2">
        <v>44230</v>
      </c>
      <c r="C8101" s="17">
        <v>20</v>
      </c>
      <c r="D8101" s="39">
        <f t="shared" si="637"/>
        <v>9585</v>
      </c>
      <c r="E8101" s="1"/>
      <c r="F8101" s="39">
        <f t="shared" si="641"/>
        <v>414</v>
      </c>
      <c r="G8101" s="410">
        <f>SUM(C8101,C8077,C8053,C8029,C8005,C7981,C7957,C7933,C7909,C7885,C7861,C7837,C7813,C7789)/POBLA!$B$12*100000</f>
        <v>57.428766729939959</v>
      </c>
      <c r="H8101" s="418">
        <f t="shared" si="642"/>
        <v>1.0610328638497653</v>
      </c>
      <c r="J8101" s="42"/>
    </row>
    <row r="8102" spans="1:10" s="393" customFormat="1" ht="15.75" thickBot="1" x14ac:dyDescent="0.3">
      <c r="A8102" s="402" t="s">
        <v>17</v>
      </c>
      <c r="B8102" s="2">
        <v>44230</v>
      </c>
      <c r="C8102" s="17">
        <v>158</v>
      </c>
      <c r="D8102" s="39">
        <f t="shared" si="637"/>
        <v>64199</v>
      </c>
      <c r="E8102" s="1">
        <v>4</v>
      </c>
      <c r="F8102" s="39">
        <f t="shared" si="641"/>
        <v>1375</v>
      </c>
      <c r="G8102" s="410">
        <f>SUM(C8102,C8078,C8054,C8030,C8006,C7982,C7958,C7934,C7910,C7886,C7862,C7838,C7814,C7790)/POBLA!$B$13*100000</f>
        <v>78.479132690025509</v>
      </c>
      <c r="H8102" s="418">
        <f t="shared" si="642"/>
        <v>0.81100726895119424</v>
      </c>
      <c r="J8102" s="42"/>
    </row>
    <row r="8103" spans="1:10" s="393" customFormat="1" ht="15.75" thickBot="1" x14ac:dyDescent="0.3">
      <c r="A8103" s="402" t="s">
        <v>23</v>
      </c>
      <c r="B8103" s="2">
        <v>44230</v>
      </c>
      <c r="C8103" s="17">
        <v>190</v>
      </c>
      <c r="D8103" s="39">
        <f t="shared" si="637"/>
        <v>5333</v>
      </c>
      <c r="E8103" s="1">
        <v>5</v>
      </c>
      <c r="F8103" s="39">
        <f t="shared" si="641"/>
        <v>97</v>
      </c>
      <c r="G8103" s="410">
        <f>SUM(C8103,C8079,C8055,C8031,C8007,C7983,C7959,C7935,C7911,C7887,C7863,C7839,C7815,C7791)/POBLA!$B$14*100000</f>
        <v>204.07613133813368</v>
      </c>
      <c r="H8103" s="418">
        <f t="shared" si="642"/>
        <v>1.615819209039548</v>
      </c>
      <c r="J8103" s="42"/>
    </row>
    <row r="8104" spans="1:10" s="393" customFormat="1" ht="15.75" thickBot="1" x14ac:dyDescent="0.3">
      <c r="A8104" s="402" t="s">
        <v>19</v>
      </c>
      <c r="B8104" s="2">
        <v>44230</v>
      </c>
      <c r="C8104" s="17">
        <v>456</v>
      </c>
      <c r="D8104" s="39">
        <f t="shared" si="637"/>
        <v>55385</v>
      </c>
      <c r="E8104" s="1">
        <v>8</v>
      </c>
      <c r="F8104" s="39">
        <f t="shared" si="641"/>
        <v>784</v>
      </c>
      <c r="G8104" s="410">
        <f>SUM(C8104,C8080,C8056,C8032,C8008,C7984,C7960,C7936,C7912,C7888,C7864,C7840,C7816,C7792)/POBLA!$B$15*100000</f>
        <v>866.79306143900294</v>
      </c>
      <c r="H8104" s="418">
        <f t="shared" si="642"/>
        <v>0.93487087867467922</v>
      </c>
      <c r="J8104" s="42"/>
    </row>
    <row r="8105" spans="1:10" s="393" customFormat="1" ht="15.75" thickBot="1" x14ac:dyDescent="0.3">
      <c r="A8105" s="402" t="s">
        <v>18</v>
      </c>
      <c r="B8105" s="2">
        <v>44230</v>
      </c>
      <c r="C8105" s="17">
        <v>280</v>
      </c>
      <c r="D8105" s="39">
        <f t="shared" si="637"/>
        <v>48760</v>
      </c>
      <c r="E8105" s="1">
        <v>8</v>
      </c>
      <c r="F8105" s="39">
        <f t="shared" si="641"/>
        <v>1093</v>
      </c>
      <c r="G8105" s="410">
        <f>SUM(C8105,C8081,C8057,C8033,C8009,C7985,C7961,C7937,C7913,C7889,C7865,C7841,C7817,C7793)/POBLA!$B$16*100000</f>
        <v>501.99970572892278</v>
      </c>
      <c r="H8105" s="418">
        <f t="shared" si="642"/>
        <v>0.76874231872183529</v>
      </c>
      <c r="J8105" s="42"/>
    </row>
    <row r="8106" spans="1:10" s="393" customFormat="1" ht="15.75" thickBot="1" x14ac:dyDescent="0.3">
      <c r="A8106" s="402" t="s">
        <v>34</v>
      </c>
      <c r="B8106" s="2">
        <v>44230</v>
      </c>
      <c r="C8106" s="17">
        <v>90</v>
      </c>
      <c r="D8106" s="39">
        <f t="shared" si="637"/>
        <v>23973</v>
      </c>
      <c r="E8106" s="1">
        <v>1</v>
      </c>
      <c r="F8106" s="39">
        <f t="shared" si="641"/>
        <v>1047</v>
      </c>
      <c r="G8106" s="410">
        <f>SUM(C8106,C8082,C8058,C8034,C8010,C7986,C7962,C7938,C7914,C7890,C7866,C7842,C7818,C7794)/POBLA!$B$17*100000</f>
        <v>52.232628965098911</v>
      </c>
      <c r="H8106" s="418">
        <f t="shared" si="642"/>
        <v>1.0333333333333334</v>
      </c>
      <c r="J8106" s="42"/>
    </row>
    <row r="8107" spans="1:10" s="393" customFormat="1" ht="15.75" thickBot="1" x14ac:dyDescent="0.3">
      <c r="A8107" s="402" t="s">
        <v>35</v>
      </c>
      <c r="B8107" s="2">
        <v>44230</v>
      </c>
      <c r="C8107" s="17">
        <v>59</v>
      </c>
      <c r="D8107" s="39">
        <f t="shared" si="637"/>
        <v>14139</v>
      </c>
      <c r="E8107" s="1">
        <v>1</v>
      </c>
      <c r="F8107" s="39">
        <f t="shared" si="641"/>
        <v>202</v>
      </c>
      <c r="G8107" s="410">
        <f>SUM(C8107,C8083,C8059,C8035,C8011,C7987,C7963,C7939,C7915,C7891,C7867,C7843,C7819,C7795)/POBLA!$B$18*100000</f>
        <v>100.74025526838253</v>
      </c>
      <c r="H8107" s="418">
        <f t="shared" si="642"/>
        <v>0.58210059171597628</v>
      </c>
      <c r="J8107" s="42"/>
    </row>
    <row r="8108" spans="1:10" s="393" customFormat="1" ht="15.75" thickBot="1" x14ac:dyDescent="0.3">
      <c r="A8108" s="402" t="s">
        <v>36</v>
      </c>
      <c r="B8108" s="2">
        <v>44230</v>
      </c>
      <c r="C8108" s="17">
        <v>9</v>
      </c>
      <c r="D8108" s="39">
        <f t="shared" si="637"/>
        <v>19088</v>
      </c>
      <c r="E8108" s="1">
        <v>2</v>
      </c>
      <c r="F8108" s="39">
        <f t="shared" si="641"/>
        <v>334</v>
      </c>
      <c r="G8108" s="410">
        <f>SUM(C8108,C8084,C8060,C8036,C8012,C7988,C7964,C7940,C7916,C7892,C7868,C7844,C7820,C7796)/POBLA!$B$19*100000</f>
        <v>378.88922113281188</v>
      </c>
      <c r="H8108" s="418">
        <f t="shared" si="642"/>
        <v>2.5176470588235293</v>
      </c>
      <c r="J8108" s="42"/>
    </row>
    <row r="8109" spans="1:10" s="393" customFormat="1" ht="15.75" thickBot="1" x14ac:dyDescent="0.3">
      <c r="A8109" s="402" t="s">
        <v>37</v>
      </c>
      <c r="B8109" s="2">
        <v>44230</v>
      </c>
      <c r="C8109" s="17">
        <v>421</v>
      </c>
      <c r="D8109" s="39">
        <f t="shared" si="637"/>
        <v>33257</v>
      </c>
      <c r="E8109" s="1">
        <v>1</v>
      </c>
      <c r="F8109" s="39">
        <f t="shared" si="641"/>
        <v>508</v>
      </c>
      <c r="G8109" s="410">
        <f>SUM(C8109,C8085,C8061,C8037,C8013,C7989,C7965,C7941,C7917,C7893,C7869,C7845,C7821,C7797)/POBLA!$B$20*100000</f>
        <v>724.09474484410634</v>
      </c>
      <c r="H8109" s="418">
        <f t="shared" si="642"/>
        <v>0.53930753564154787</v>
      </c>
      <c r="J8109" s="42"/>
    </row>
    <row r="8110" spans="1:10" s="393" customFormat="1" ht="15.75" thickBot="1" x14ac:dyDescent="0.3">
      <c r="A8110" s="402" t="s">
        <v>22</v>
      </c>
      <c r="B8110" s="2">
        <v>44230</v>
      </c>
      <c r="C8110" s="17">
        <v>688</v>
      </c>
      <c r="D8110" s="39">
        <f t="shared" si="637"/>
        <v>207552</v>
      </c>
      <c r="E8110" s="1">
        <v>16</v>
      </c>
      <c r="F8110" s="39">
        <f t="shared" si="641"/>
        <v>3593</v>
      </c>
      <c r="G8110" s="410">
        <f>SUM(C8110,C8086,C8062,C8038,C8014,C7990,C7966,C7942,C7918,C7894,C7870,C7846,C7822,C7798)/POBLA!$B$21*100000</f>
        <v>260.34818282227951</v>
      </c>
      <c r="H8110" s="418">
        <f t="shared" si="642"/>
        <v>0.55800000000000005</v>
      </c>
      <c r="J8110" s="42"/>
    </row>
    <row r="8111" spans="1:10" s="393" customFormat="1" ht="15.75" thickBot="1" x14ac:dyDescent="0.3">
      <c r="A8111" s="402" t="s">
        <v>38</v>
      </c>
      <c r="B8111" s="2">
        <v>44230</v>
      </c>
      <c r="C8111" s="17">
        <v>91</v>
      </c>
      <c r="D8111" s="39">
        <f t="shared" si="637"/>
        <v>21114</v>
      </c>
      <c r="E8111" s="1"/>
      <c r="F8111" s="39">
        <f t="shared" si="641"/>
        <v>246</v>
      </c>
      <c r="G8111" s="410">
        <f>SUM(C8111,C8087,C8063,C8039,C8015,C7991,C7967,C7943,C7919,C7895,C7871,C7847,C7823,C7799)/POBLA!$B$22*100000</f>
        <v>118.0603753604419</v>
      </c>
      <c r="H8111" s="418">
        <f t="shared" si="642"/>
        <v>0.59937727036844834</v>
      </c>
      <c r="J8111" s="42"/>
    </row>
    <row r="8112" spans="1:10" s="393" customFormat="1" ht="15.75" thickBot="1" x14ac:dyDescent="0.3">
      <c r="A8112" s="402" t="s">
        <v>39</v>
      </c>
      <c r="B8112" s="2">
        <v>44230</v>
      </c>
      <c r="C8112" s="17">
        <v>57</v>
      </c>
      <c r="D8112" s="39">
        <f t="shared" si="637"/>
        <v>21967</v>
      </c>
      <c r="E8112" s="1"/>
      <c r="F8112" s="39">
        <f t="shared" si="641"/>
        <v>336</v>
      </c>
      <c r="G8112" s="410">
        <f>SUM(C8112,C8088,C8064,C8040,C8016,C7992,C7968,C7944,C7920,C7896,C7872,C7848,C7824,C7800)/POBLA!$B$23*100000</f>
        <v>481.25318102131985</v>
      </c>
      <c r="H8112" s="418">
        <f t="shared" si="642"/>
        <v>0.66640563821456533</v>
      </c>
      <c r="J8112" s="42"/>
    </row>
    <row r="8113" spans="1:10" s="393" customFormat="1" ht="15.75" thickBot="1" x14ac:dyDescent="0.3">
      <c r="A8113" s="404" t="s">
        <v>40</v>
      </c>
      <c r="B8113" s="2">
        <v>44230</v>
      </c>
      <c r="C8113" s="17">
        <v>125</v>
      </c>
      <c r="D8113" s="177">
        <f t="shared" si="637"/>
        <v>76840</v>
      </c>
      <c r="E8113" s="44">
        <v>6</v>
      </c>
      <c r="F8113" s="177">
        <f t="shared" si="641"/>
        <v>1435</v>
      </c>
      <c r="G8113" s="410">
        <f>SUM(C8113,C8089,C8065,C8041,C8017,C7993,C7969,C7945,C7921,C7897,C7873,C7849,C7825,C7801)/POBLA!$B$24*100000</f>
        <v>118.72616035348766</v>
      </c>
      <c r="H8113" s="419">
        <f t="shared" si="642"/>
        <v>0.72661610689779699</v>
      </c>
      <c r="J8113" s="42"/>
    </row>
    <row r="8114" spans="1:10" s="393" customFormat="1" ht="15.75" thickBot="1" x14ac:dyDescent="0.3">
      <c r="A8114" s="397" t="s">
        <v>16</v>
      </c>
      <c r="B8114" s="2">
        <v>44231</v>
      </c>
      <c r="C8114" s="1">
        <v>3709</v>
      </c>
      <c r="D8114" s="175">
        <f t="shared" si="637"/>
        <v>818554</v>
      </c>
      <c r="E8114" s="1">
        <v>41</v>
      </c>
      <c r="F8114" s="175">
        <f>E8114+F8090</f>
        <v>24746</v>
      </c>
      <c r="G8114" s="410">
        <f>SUM(C8114,C8090,C8066,C8042,C8018,C7994,C7970,C7946,C7922,C7898,C7874,C7850,C7826,C7802)/POBLA!$B$1*100000</f>
        <v>281.95429248302605</v>
      </c>
      <c r="H8114" s="416">
        <f t="shared" ref="H8114:H8120" si="643">SUM(C8114,C8090,C8066,C8042,C8018,C7994,C7970,C7946,C7922,C7898,C7874,C7850,C7826,C7802)/SUM(C7778,C7754,C7730,C7706,C7682,C7658,C7634,C7610,C7586,C7562,C7538,C7514,C7490,C7466)</f>
        <v>0.82756889714371773</v>
      </c>
      <c r="J8114" s="42"/>
    </row>
    <row r="8115" spans="1:10" s="393" customFormat="1" ht="15.75" thickBot="1" x14ac:dyDescent="0.3">
      <c r="A8115" s="402" t="s">
        <v>43</v>
      </c>
      <c r="B8115" s="2">
        <v>44231</v>
      </c>
      <c r="C8115" s="1">
        <v>1214</v>
      </c>
      <c r="D8115" s="39">
        <f t="shared" si="637"/>
        <v>214671</v>
      </c>
      <c r="E8115" s="1">
        <v>3</v>
      </c>
      <c r="F8115" s="39">
        <f t="shared" ref="F8115:F8137" si="644">E8115+F8091</f>
        <v>6099</v>
      </c>
      <c r="G8115" s="410">
        <f>SUM(C8115,C8091,C8067,C8043,C8019,C7995,C7971,C7947,C7923,C7899,C7875,C7851,C7827,C7803)/POBLA!$B$2*100000</f>
        <v>482.76036969144042</v>
      </c>
      <c r="H8115" s="418">
        <f t="shared" si="643"/>
        <v>0.83256700684086571</v>
      </c>
      <c r="J8115" s="42"/>
    </row>
    <row r="8116" spans="1:10" s="393" customFormat="1" ht="15.75" thickBot="1" x14ac:dyDescent="0.3">
      <c r="A8116" s="402" t="s">
        <v>28</v>
      </c>
      <c r="B8116" s="2">
        <v>44231</v>
      </c>
      <c r="C8116" s="1">
        <v>124</v>
      </c>
      <c r="D8116" s="39">
        <f t="shared" si="637"/>
        <v>5941</v>
      </c>
      <c r="E8116" s="1"/>
      <c r="F8116" s="39">
        <f t="shared" si="644"/>
        <v>17</v>
      </c>
      <c r="G8116" s="410">
        <f>SUM(C8116,C8092,C8068,C8044,C8020,C7996,C7972,C7948,C7924,C7900,C7876,C7852,C7828,C7804)/POBLA!$B$3*100000</f>
        <v>328.32817411984456</v>
      </c>
      <c r="H8116" s="418">
        <f t="shared" si="643"/>
        <v>0.86383787207093099</v>
      </c>
      <c r="J8116" s="42"/>
    </row>
    <row r="8117" spans="1:10" s="393" customFormat="1" ht="15.75" thickBot="1" x14ac:dyDescent="0.3">
      <c r="A8117" s="402" t="s">
        <v>15</v>
      </c>
      <c r="B8117" s="2">
        <v>44231</v>
      </c>
      <c r="C8117" s="1">
        <v>133</v>
      </c>
      <c r="D8117" s="39">
        <f t="shared" si="637"/>
        <v>31258</v>
      </c>
      <c r="E8117" s="1">
        <v>4</v>
      </c>
      <c r="F8117" s="39">
        <f t="shared" si="644"/>
        <v>802</v>
      </c>
      <c r="G8117" s="410">
        <f>SUM(C8117,C8093,C8069,C8045,C8021,C7997,C7973,C7949,C7925,C7901,C7877,C7853,C7829,C7805)/POBLA!$B$4*100000</f>
        <v>160.64210350664692</v>
      </c>
      <c r="H8117" s="418">
        <f t="shared" si="643"/>
        <v>0.62258687258687262</v>
      </c>
      <c r="J8117" s="42"/>
    </row>
    <row r="8118" spans="1:10" s="393" customFormat="1" ht="15.75" thickBot="1" x14ac:dyDescent="0.3">
      <c r="A8118" s="402" t="s">
        <v>29</v>
      </c>
      <c r="B8118" s="2">
        <v>44231</v>
      </c>
      <c r="C8118" s="1">
        <v>274</v>
      </c>
      <c r="D8118" s="39">
        <f t="shared" si="637"/>
        <v>43422</v>
      </c>
      <c r="E8118" s="1">
        <v>4</v>
      </c>
      <c r="F8118" s="39">
        <f t="shared" si="644"/>
        <v>665</v>
      </c>
      <c r="G8118" s="410">
        <f>SUM(C8118,C8094,C8070,C8046,C8022,C7998,C7974,C7950,C7926,C7902,C7878,C7854,C7830,C7806)/POBLA!$B$5*100000</f>
        <v>634.90114605311203</v>
      </c>
      <c r="H8118" s="418">
        <f t="shared" si="643"/>
        <v>0.7610379550735864</v>
      </c>
      <c r="J8118" s="42"/>
    </row>
    <row r="8119" spans="1:10" s="393" customFormat="1" ht="15.75" thickBot="1" x14ac:dyDescent="0.3">
      <c r="A8119" s="402" t="s">
        <v>30</v>
      </c>
      <c r="B8119" s="2">
        <v>44231</v>
      </c>
      <c r="C8119" s="1">
        <v>196</v>
      </c>
      <c r="D8119" s="39">
        <f t="shared" si="637"/>
        <v>18166</v>
      </c>
      <c r="E8119" s="1"/>
      <c r="F8119" s="39">
        <f t="shared" si="644"/>
        <v>206</v>
      </c>
      <c r="G8119" s="410">
        <f>SUM(C8119,C8095,C8071,C8047,C8023,C7999,C7975,C7951,C7927,C7903,C7879,C7855,C7831,C7807)/POBLA!$B$7*100000</f>
        <v>60.019412570304084</v>
      </c>
      <c r="H8119" s="418">
        <f t="shared" si="643"/>
        <v>0.33571322326342407</v>
      </c>
      <c r="J8119" s="42"/>
    </row>
    <row r="8120" spans="1:10" s="393" customFormat="1" ht="15.75" thickBot="1" x14ac:dyDescent="0.3">
      <c r="A8120" s="402" t="s">
        <v>20</v>
      </c>
      <c r="B8120" s="2">
        <v>44231</v>
      </c>
      <c r="C8120" s="1">
        <v>532</v>
      </c>
      <c r="D8120" s="39">
        <f t="shared" si="637"/>
        <v>147044</v>
      </c>
      <c r="E8120" s="1">
        <v>7</v>
      </c>
      <c r="F8120" s="39">
        <f t="shared" si="644"/>
        <v>2717</v>
      </c>
      <c r="G8120" s="410">
        <f>SUM(C8120,C8096,C8072,C8048,C8024,C8000,C7976,C7952,C7928,C7904,C7880,C7856,C7832,C7808)/POBLA!$B$6*100000</f>
        <v>620.09223760506995</v>
      </c>
      <c r="H8120" s="418">
        <f t="shared" si="643"/>
        <v>1.4567176692517292</v>
      </c>
      <c r="J8120" s="42"/>
    </row>
    <row r="8121" spans="1:10" ht="15.75" thickBot="1" x14ac:dyDescent="0.3">
      <c r="A8121" s="402" t="s">
        <v>31</v>
      </c>
      <c r="B8121" s="2">
        <v>44231</v>
      </c>
      <c r="C8121" s="1">
        <v>218</v>
      </c>
      <c r="D8121" s="39">
        <f t="shared" si="637"/>
        <v>41935</v>
      </c>
      <c r="E8121" s="1">
        <v>11</v>
      </c>
      <c r="F8121" s="39">
        <f t="shared" si="644"/>
        <v>756</v>
      </c>
      <c r="G8121" s="176">
        <f>SUM(C8121,C8097,C8073,C8049,C8025,C8001,C7977,C7953,C7929,C7905,C7881,C7857,C7833,C7809)/POBLA!$B$8*100000</f>
        <v>271.65266555119513</v>
      </c>
      <c r="H8121" s="527">
        <f t="shared" ref="H8121:H8137" si="645">SUM(C8121,C8097,C8073,C8049,C8025,C8001,C7977,C7953,C7929,C7905,C7881,C7857,C7833,C7809)/SUM(C7785,C7761,C7737,C7713,C7689,C7665,C7641,C7617,C7593,C7569,C7545,C7521,C7497,C7473)</f>
        <v>0.6190397895429135</v>
      </c>
    </row>
    <row r="8122" spans="1:10" s="393" customFormat="1" ht="15.75" thickBot="1" x14ac:dyDescent="0.3">
      <c r="A8122" s="402" t="s">
        <v>41</v>
      </c>
      <c r="B8122" s="2">
        <v>44231</v>
      </c>
      <c r="C8122" s="1">
        <v>3</v>
      </c>
      <c r="D8122" s="39">
        <f t="shared" si="637"/>
        <v>858</v>
      </c>
      <c r="E8122" s="1"/>
      <c r="F8122" s="39">
        <f t="shared" si="644"/>
        <v>7</v>
      </c>
      <c r="G8122" s="410">
        <f>SUM(C8122,C8098,C8074,C8050,C8026,C8002,C7978,C7954,C7930,C7906,C7882,C7858,C7834,C7810)/POBLA!$B$9*100000</f>
        <v>16.358417893134916</v>
      </c>
      <c r="H8122" s="418">
        <f t="shared" si="645"/>
        <v>0.19001919385796545</v>
      </c>
      <c r="J8122" s="42"/>
    </row>
    <row r="8123" spans="1:10" s="393" customFormat="1" ht="15.75" thickBot="1" x14ac:dyDescent="0.3">
      <c r="A8123" s="402" t="s">
        <v>32</v>
      </c>
      <c r="B8123" s="2">
        <v>44231</v>
      </c>
      <c r="C8123" s="1">
        <v>28</v>
      </c>
      <c r="D8123" s="39">
        <f t="shared" si="637"/>
        <v>19433</v>
      </c>
      <c r="E8123" s="1">
        <v>2</v>
      </c>
      <c r="F8123" s="39">
        <f t="shared" si="644"/>
        <v>876</v>
      </c>
      <c r="G8123" s="410">
        <f>SUM(C8123,C8099,C8075,C8051,C8027,C8003,C7979,C7955,C7931,C7907,C7883,C7859,C7835,C7811)/POBLA!$B$10*100000</f>
        <v>52.796735164052556</v>
      </c>
      <c r="H8123" s="418">
        <f t="shared" si="645"/>
        <v>0.99511002444987773</v>
      </c>
      <c r="J8123" s="42"/>
    </row>
    <row r="8124" spans="1:10" s="393" customFormat="1" ht="15.75" thickBot="1" x14ac:dyDescent="0.3">
      <c r="A8124" s="402" t="s">
        <v>33</v>
      </c>
      <c r="B8124" s="2">
        <v>44231</v>
      </c>
      <c r="C8124" s="1">
        <v>174</v>
      </c>
      <c r="D8124" s="39">
        <f t="shared" si="637"/>
        <v>16875</v>
      </c>
      <c r="E8124" s="1">
        <v>4</v>
      </c>
      <c r="F8124" s="39">
        <f t="shared" si="644"/>
        <v>256</v>
      </c>
      <c r="G8124" s="410">
        <f>SUM(C8124,C8100,C8076,C8052,C8028,C8004,C7980,C7956,C7932,C7908,C7884,C7860,C7836,C7812)/POBLA!$B$11*100000</f>
        <v>371.0647605655808</v>
      </c>
      <c r="H8124" s="418">
        <f t="shared" si="645"/>
        <v>0.47636103151862463</v>
      </c>
      <c r="J8124" s="42"/>
    </row>
    <row r="8125" spans="1:10" s="393" customFormat="1" ht="15.75" thickBot="1" x14ac:dyDescent="0.3">
      <c r="A8125" s="402" t="s">
        <v>21</v>
      </c>
      <c r="B8125" s="2">
        <v>44231</v>
      </c>
      <c r="C8125" s="1">
        <v>13</v>
      </c>
      <c r="D8125" s="39">
        <f t="shared" si="637"/>
        <v>9598</v>
      </c>
      <c r="E8125" s="1"/>
      <c r="F8125" s="39">
        <f t="shared" si="644"/>
        <v>414</v>
      </c>
      <c r="G8125" s="410">
        <f>SUM(C8125,C8101,C8077,C8053,C8029,C8005,C7981,C7957,C7933,C7909,C7885,C7861,C7837,C7813)/POBLA!$B$12*100000</f>
        <v>55.904109206136233</v>
      </c>
      <c r="H8125" s="418">
        <f t="shared" si="645"/>
        <v>1.0426540284360191</v>
      </c>
      <c r="J8125" s="42"/>
    </row>
    <row r="8126" spans="1:10" s="393" customFormat="1" ht="15.75" thickBot="1" x14ac:dyDescent="0.3">
      <c r="A8126" s="402" t="s">
        <v>17</v>
      </c>
      <c r="B8126" s="2">
        <v>44231</v>
      </c>
      <c r="C8126" s="1">
        <v>190</v>
      </c>
      <c r="D8126" s="39">
        <f t="shared" si="637"/>
        <v>64389</v>
      </c>
      <c r="E8126" s="1">
        <v>5</v>
      </c>
      <c r="F8126" s="39">
        <f t="shared" si="644"/>
        <v>1380</v>
      </c>
      <c r="G8126" s="410">
        <f>SUM(C8126,C8102,C8078,C8054,C8030,C8006,C7982,C7958,C7934,C7910,C7886,C7862,C7838,C7814)/POBLA!$B$13*100000</f>
        <v>79.38350169669674</v>
      </c>
      <c r="H8126" s="418">
        <f t="shared" si="645"/>
        <v>0.82291666666666663</v>
      </c>
      <c r="J8126" s="42"/>
    </row>
    <row r="8127" spans="1:10" s="393" customFormat="1" ht="15.75" thickBot="1" x14ac:dyDescent="0.3">
      <c r="A8127" s="402" t="s">
        <v>23</v>
      </c>
      <c r="B8127" s="2">
        <v>44231</v>
      </c>
      <c r="C8127" s="1">
        <v>200</v>
      </c>
      <c r="D8127" s="39">
        <f t="shared" si="637"/>
        <v>5533</v>
      </c>
      <c r="E8127" s="1">
        <v>3</v>
      </c>
      <c r="F8127" s="39">
        <f t="shared" si="644"/>
        <v>100</v>
      </c>
      <c r="G8127" s="410">
        <f>SUM(C8127,C8103,C8079,C8055,C8031,C8007,C7983,C7959,C7935,C7911,C7887,C7863,C7839,C7815)/POBLA!$B$14*100000</f>
        <v>206.05822274584673</v>
      </c>
      <c r="H8127" s="418">
        <f t="shared" si="645"/>
        <v>1.4775440591245026</v>
      </c>
      <c r="J8127" s="42"/>
    </row>
    <row r="8128" spans="1:10" s="393" customFormat="1" ht="15.75" thickBot="1" x14ac:dyDescent="0.3">
      <c r="A8128" s="402" t="s">
        <v>19</v>
      </c>
      <c r="B8128" s="2">
        <v>44231</v>
      </c>
      <c r="C8128" s="1">
        <v>489</v>
      </c>
      <c r="D8128" s="39">
        <f t="shared" si="637"/>
        <v>55874</v>
      </c>
      <c r="E8128" s="1">
        <v>4</v>
      </c>
      <c r="F8128" s="39">
        <f t="shared" si="644"/>
        <v>788</v>
      </c>
      <c r="G8128" s="410">
        <f>SUM(C8128,C8104,C8080,C8056,C8032,C8008,C7984,C7960,C7936,C7912,C7888,C7864,C7840,C7816)/POBLA!$B$15*100000</f>
        <v>861.52242955047541</v>
      </c>
      <c r="H8128" s="418">
        <f t="shared" si="645"/>
        <v>0.93956314665790774</v>
      </c>
      <c r="J8128" s="42"/>
    </row>
    <row r="8129" spans="1:10" s="393" customFormat="1" ht="15.75" thickBot="1" x14ac:dyDescent="0.3">
      <c r="A8129" s="402" t="s">
        <v>18</v>
      </c>
      <c r="B8129" s="2">
        <v>44231</v>
      </c>
      <c r="C8129" s="1">
        <v>189</v>
      </c>
      <c r="D8129" s="39">
        <f t="shared" si="637"/>
        <v>48949</v>
      </c>
      <c r="E8129" s="1">
        <v>2</v>
      </c>
      <c r="F8129" s="39">
        <f t="shared" si="644"/>
        <v>1095</v>
      </c>
      <c r="G8129" s="410">
        <f>SUM(C8129,C8105,C8081,C8057,C8033,C8009,C7985,C7961,C7937,C7913,C7889,C7865,C7841,C7817)/POBLA!$B$16*100000</f>
        <v>491.83397760864625</v>
      </c>
      <c r="H8129" s="418">
        <f t="shared" si="645"/>
        <v>0.78400852878464822</v>
      </c>
      <c r="J8129" s="42"/>
    </row>
    <row r="8130" spans="1:10" s="393" customFormat="1" ht="15.75" thickBot="1" x14ac:dyDescent="0.3">
      <c r="A8130" s="402" t="s">
        <v>34</v>
      </c>
      <c r="B8130" s="2">
        <v>44231</v>
      </c>
      <c r="C8130" s="1">
        <v>94</v>
      </c>
      <c r="D8130" s="39">
        <f t="shared" si="637"/>
        <v>24067</v>
      </c>
      <c r="E8130" s="1">
        <v>2</v>
      </c>
      <c r="F8130" s="39">
        <f t="shared" si="644"/>
        <v>1049</v>
      </c>
      <c r="G8130" s="410">
        <f>SUM(C8130,C8106,C8082,C8058,C8034,C8010,C7986,C7962,C7938,C7914,C7890,C7866,C7842,C7818)/POBLA!$B$17*100000</f>
        <v>53.566526747809775</v>
      </c>
      <c r="H8130" s="418">
        <f t="shared" si="645"/>
        <v>1.0509641873278237</v>
      </c>
      <c r="J8130" s="42"/>
    </row>
    <row r="8131" spans="1:10" s="393" customFormat="1" ht="15.75" thickBot="1" x14ac:dyDescent="0.3">
      <c r="A8131" s="402" t="s">
        <v>35</v>
      </c>
      <c r="B8131" s="2">
        <v>44231</v>
      </c>
      <c r="C8131" s="1">
        <v>84</v>
      </c>
      <c r="D8131" s="39">
        <f t="shared" ref="D8131:D8194" si="646">C8131+D8107</f>
        <v>14223</v>
      </c>
      <c r="E8131" s="1"/>
      <c r="F8131" s="39">
        <f t="shared" si="644"/>
        <v>202</v>
      </c>
      <c r="G8131" s="410">
        <f>SUM(C8131,C8107,C8083,C8059,C8035,C8011,C7987,C7963,C7939,C7915,C7891,C7867,C7843,C7819)/POBLA!$B$18*100000</f>
        <v>101.1242714892277</v>
      </c>
      <c r="H8131" s="418">
        <f t="shared" si="645"/>
        <v>0.61192873741285825</v>
      </c>
      <c r="J8131" s="42"/>
    </row>
    <row r="8132" spans="1:10" s="393" customFormat="1" ht="15.75" thickBot="1" x14ac:dyDescent="0.3">
      <c r="A8132" s="402" t="s">
        <v>36</v>
      </c>
      <c r="B8132" s="2">
        <v>44231</v>
      </c>
      <c r="C8132" s="1">
        <v>4</v>
      </c>
      <c r="D8132" s="39">
        <f t="shared" si="646"/>
        <v>19092</v>
      </c>
      <c r="E8132" s="1">
        <v>1</v>
      </c>
      <c r="F8132" s="39">
        <f t="shared" si="644"/>
        <v>335</v>
      </c>
      <c r="G8132" s="410">
        <f>SUM(C8132,C8108,C8084,C8060,C8036,C8012,C7988,C7964,C7940,C7916,C7892,C7868,C7844,C7820)/POBLA!$B$19*100000</f>
        <v>339.93799279205552</v>
      </c>
      <c r="H8132" s="418">
        <f t="shared" si="645"/>
        <v>1.8823529411764706</v>
      </c>
      <c r="J8132" s="42"/>
    </row>
    <row r="8133" spans="1:10" s="393" customFormat="1" ht="15.75" thickBot="1" x14ac:dyDescent="0.3">
      <c r="A8133" s="402" t="s">
        <v>37</v>
      </c>
      <c r="B8133" s="2">
        <v>44231</v>
      </c>
      <c r="C8133" s="1">
        <v>181</v>
      </c>
      <c r="D8133" s="39">
        <f t="shared" si="646"/>
        <v>33438</v>
      </c>
      <c r="E8133" s="1">
        <v>5</v>
      </c>
      <c r="F8133" s="39">
        <f t="shared" si="644"/>
        <v>513</v>
      </c>
      <c r="G8133" s="410">
        <f>SUM(C8133,C8109,C8085,C8061,C8037,C8013,C7989,C7965,C7941,C7917,C7893,C7869,C7845,C7821)/POBLA!$B$20*100000</f>
        <v>687.72593779566751</v>
      </c>
      <c r="H8133" s="418">
        <f t="shared" si="645"/>
        <v>0.52802855343271049</v>
      </c>
      <c r="J8133" s="42"/>
    </row>
    <row r="8134" spans="1:10" s="393" customFormat="1" ht="15.75" thickBot="1" x14ac:dyDescent="0.3">
      <c r="A8134" s="402" t="s">
        <v>22</v>
      </c>
      <c r="B8134" s="2">
        <v>44231</v>
      </c>
      <c r="C8134" s="1">
        <v>570</v>
      </c>
      <c r="D8134" s="39">
        <f t="shared" si="646"/>
        <v>208122</v>
      </c>
      <c r="E8134" s="1">
        <v>64</v>
      </c>
      <c r="F8134" s="39">
        <f t="shared" si="644"/>
        <v>3657</v>
      </c>
      <c r="G8134" s="410">
        <f>SUM(C8134,C8110,C8086,C8062,C8038,C8014,C7990,C7966,C7942,C7918,C7894,C7870,C7846,C7822)/POBLA!$B$21*100000</f>
        <v>245.33298948257814</v>
      </c>
      <c r="H8134" s="418">
        <f t="shared" si="645"/>
        <v>0.53704735376044566</v>
      </c>
      <c r="J8134" s="42"/>
    </row>
    <row r="8135" spans="1:10" s="393" customFormat="1" ht="15.75" thickBot="1" x14ac:dyDescent="0.3">
      <c r="A8135" s="402" t="s">
        <v>38</v>
      </c>
      <c r="B8135" s="2">
        <v>44231</v>
      </c>
      <c r="C8135" s="1">
        <v>75</v>
      </c>
      <c r="D8135" s="39">
        <f t="shared" si="646"/>
        <v>21189</v>
      </c>
      <c r="E8135" s="1"/>
      <c r="F8135" s="39">
        <f t="shared" si="644"/>
        <v>246</v>
      </c>
      <c r="G8135" s="410">
        <f>SUM(C8135,C8111,C8087,C8063,C8039,C8015,C7991,C7967,C7943,C7919,C7895,C7871,C7847,C7823)/POBLA!$B$22*100000</f>
        <v>115.50495598034576</v>
      </c>
      <c r="H8135" s="418">
        <f t="shared" si="645"/>
        <v>0.60752688172043012</v>
      </c>
      <c r="J8135" s="42"/>
    </row>
    <row r="8136" spans="1:10" s="393" customFormat="1" ht="15.75" thickBot="1" x14ac:dyDescent="0.3">
      <c r="A8136" s="402" t="s">
        <v>39</v>
      </c>
      <c r="B8136" s="2">
        <v>44231</v>
      </c>
      <c r="C8136" s="1">
        <v>29</v>
      </c>
      <c r="D8136" s="39">
        <f t="shared" si="646"/>
        <v>21996</v>
      </c>
      <c r="E8136" s="1"/>
      <c r="F8136" s="39">
        <f t="shared" si="644"/>
        <v>336</v>
      </c>
      <c r="G8136" s="410">
        <f>SUM(C8136,C8112,C8088,C8064,C8040,C8016,C7992,C7968,C7944,C7920,C7896,C7872,C7848,C7824)/POBLA!$B$23*100000</f>
        <v>437.70853361986093</v>
      </c>
      <c r="H8136" s="418">
        <f t="shared" si="645"/>
        <v>0.59129106187929714</v>
      </c>
      <c r="J8136" s="42"/>
    </row>
    <row r="8137" spans="1:10" s="393" customFormat="1" ht="15.75" thickBot="1" x14ac:dyDescent="0.3">
      <c r="A8137" s="404" t="s">
        <v>40</v>
      </c>
      <c r="B8137" s="2">
        <v>44231</v>
      </c>
      <c r="C8137" s="1">
        <v>168</v>
      </c>
      <c r="D8137" s="177">
        <f t="shared" si="646"/>
        <v>77008</v>
      </c>
      <c r="E8137" s="1"/>
      <c r="F8137" s="177">
        <f t="shared" si="644"/>
        <v>1435</v>
      </c>
      <c r="G8137" s="410">
        <f>SUM(C8137,C8113,C8089,C8065,C8041,C8017,C7993,C7969,C7945,C7921,C7897,C7873,C7849,C7825)/POBLA!$B$24*100000</f>
        <v>120.49643113410627</v>
      </c>
      <c r="H8137" s="419">
        <f t="shared" si="645"/>
        <v>0.77524677296886868</v>
      </c>
      <c r="J8137" s="42"/>
    </row>
    <row r="8138" spans="1:10" s="393" customFormat="1" ht="15.75" thickBot="1" x14ac:dyDescent="0.3">
      <c r="A8138" s="394" t="s">
        <v>16</v>
      </c>
      <c r="B8138" s="2">
        <v>44232</v>
      </c>
      <c r="C8138" s="1">
        <v>3483</v>
      </c>
      <c r="D8138" s="175">
        <f t="shared" si="646"/>
        <v>822037</v>
      </c>
      <c r="E8138" s="1">
        <v>158</v>
      </c>
      <c r="F8138" s="175">
        <f>E8138+F8114</f>
        <v>24904</v>
      </c>
      <c r="G8138" s="410">
        <f>SUM(C8138,C8114,C8090,C8066,C8042,C8018,C7994,C7970,C7946,C7922,C7898,C7874,C7850,C7826)/POBLA!$B$1*100000</f>
        <v>277.99787938538316</v>
      </c>
      <c r="H8138" s="416">
        <f t="shared" ref="H8138:H8144" si="647">SUM(C8138,C8114,C8090,C8066,C8042,C8018,C7994,C7970,C7946,C7922,C7898,C7874,C7850,C7826)/SUM(C7802,C7778,C7754,C7730,C7706,C7682,C7658,C7634,C7610,C7586,C7562,C7538,C7514,C7490)</f>
        <v>0.82646645085843096</v>
      </c>
      <c r="J8138" s="42"/>
    </row>
    <row r="8139" spans="1:10" s="393" customFormat="1" ht="15.75" thickBot="1" x14ac:dyDescent="0.3">
      <c r="A8139" s="394" t="s">
        <v>43</v>
      </c>
      <c r="B8139" s="2">
        <v>44232</v>
      </c>
      <c r="C8139" s="1">
        <v>1086</v>
      </c>
      <c r="D8139" s="39">
        <f t="shared" si="646"/>
        <v>215757</v>
      </c>
      <c r="E8139" s="1">
        <v>27</v>
      </c>
      <c r="F8139" s="39">
        <f t="shared" ref="F8139:F8161" si="648">E8139+F8115</f>
        <v>6126</v>
      </c>
      <c r="G8139" s="410">
        <f>SUM(C8139,C8115,C8091,C8067,C8043,C8019,C7995,C7971,C7947,C7923,C7899,C7875,C7851,C7827)/POBLA!$B$2*100000</f>
        <v>480.35437108171749</v>
      </c>
      <c r="H8139" s="418">
        <f t="shared" si="647"/>
        <v>0.84215926580402445</v>
      </c>
      <c r="J8139" s="42"/>
    </row>
    <row r="8140" spans="1:10" s="393" customFormat="1" ht="15.75" thickBot="1" x14ac:dyDescent="0.3">
      <c r="A8140" s="394" t="s">
        <v>28</v>
      </c>
      <c r="B8140" s="2">
        <v>44232</v>
      </c>
      <c r="C8140" s="1">
        <v>110</v>
      </c>
      <c r="D8140" s="39">
        <f t="shared" si="646"/>
        <v>6051</v>
      </c>
      <c r="E8140" s="1"/>
      <c r="F8140" s="39">
        <f t="shared" si="648"/>
        <v>17</v>
      </c>
      <c r="G8140" s="410">
        <f>SUM(C8140,C8116,C8092,C8068,C8044,C8020,C7996,C7972,C7948,C7924,C7900,C7876,C7852,C7828)/POBLA!$B$3*100000</f>
        <v>342.28934281409016</v>
      </c>
      <c r="H8140" s="418">
        <f t="shared" si="647"/>
        <v>0.90228426395939088</v>
      </c>
      <c r="J8140" s="42"/>
    </row>
    <row r="8141" spans="1:10" s="393" customFormat="1" ht="15.75" thickBot="1" x14ac:dyDescent="0.3">
      <c r="A8141" s="394" t="s">
        <v>15</v>
      </c>
      <c r="B8141" s="2">
        <v>44232</v>
      </c>
      <c r="C8141" s="1">
        <v>159</v>
      </c>
      <c r="D8141" s="39">
        <f t="shared" si="646"/>
        <v>31417</v>
      </c>
      <c r="E8141" s="1">
        <v>5</v>
      </c>
      <c r="F8141" s="39">
        <f t="shared" si="648"/>
        <v>807</v>
      </c>
      <c r="G8141" s="410">
        <f>SUM(C8141,C8117,C8093,C8069,C8045,C8021,C7997,C7973,C7949,C7925,C7901,C7877,C7853,C7829)/POBLA!$B$4*100000</f>
        <v>158.7326624830537</v>
      </c>
      <c r="H8141" s="418">
        <f t="shared" si="647"/>
        <v>0.63903743315508021</v>
      </c>
      <c r="J8141" s="42"/>
    </row>
    <row r="8142" spans="1:10" s="393" customFormat="1" ht="15.75" thickBot="1" x14ac:dyDescent="0.3">
      <c r="A8142" s="394" t="s">
        <v>29</v>
      </c>
      <c r="B8142" s="2">
        <v>44232</v>
      </c>
      <c r="C8142" s="1">
        <v>273</v>
      </c>
      <c r="D8142" s="39">
        <f t="shared" si="646"/>
        <v>43695</v>
      </c>
      <c r="E8142" s="1">
        <v>5</v>
      </c>
      <c r="F8142" s="39">
        <f t="shared" si="648"/>
        <v>670</v>
      </c>
      <c r="G8142" s="410">
        <f>SUM(C8142,C8118,C8094,C8070,C8046,C8022,C7998,C7974,C7950,C7926,C7902,C7878,C7854,C7830)/POBLA!$B$5*100000</f>
        <v>605.17549443128689</v>
      </c>
      <c r="H8142" s="418">
        <f t="shared" si="647"/>
        <v>0.72695517174461477</v>
      </c>
      <c r="J8142" s="42"/>
    </row>
    <row r="8143" spans="1:10" s="393" customFormat="1" ht="15.75" thickBot="1" x14ac:dyDescent="0.3">
      <c r="A8143" s="394" t="s">
        <v>30</v>
      </c>
      <c r="B8143" s="2">
        <v>44232</v>
      </c>
      <c r="C8143" s="1">
        <v>256</v>
      </c>
      <c r="D8143" s="39">
        <f t="shared" si="646"/>
        <v>18422</v>
      </c>
      <c r="E8143" s="1"/>
      <c r="F8143" s="39">
        <f t="shared" si="648"/>
        <v>206</v>
      </c>
      <c r="G8143" s="410">
        <f>SUM(C8143,C8119,C8095,C8071,C8047,C8023,C7999,C7975,C7951,C7927,C7903,C7879,C7855,C7831)/POBLA!$B$7*100000</f>
        <v>62.359558031618555</v>
      </c>
      <c r="H8143" s="418">
        <f t="shared" si="647"/>
        <v>0.39745762711864407</v>
      </c>
      <c r="J8143" s="42"/>
    </row>
    <row r="8144" spans="1:10" s="393" customFormat="1" ht="15.75" thickBot="1" x14ac:dyDescent="0.3">
      <c r="A8144" s="394" t="s">
        <v>20</v>
      </c>
      <c r="B8144" s="2">
        <v>44232</v>
      </c>
      <c r="C8144" s="1">
        <v>549</v>
      </c>
      <c r="D8144" s="39">
        <f t="shared" si="646"/>
        <v>147593</v>
      </c>
      <c r="E8144" s="1">
        <v>11</v>
      </c>
      <c r="F8144" s="39">
        <f t="shared" si="648"/>
        <v>2728</v>
      </c>
      <c r="G8144" s="410">
        <f>SUM(C8144,C8120,C8096,C8072,C8048,C8024,C8000,C7976,C7952,C7928,C7904,C7880,C7856,C7832)/POBLA!$B$6*100000</f>
        <v>617.14791475025459</v>
      </c>
      <c r="H8144" s="418">
        <f t="shared" si="647"/>
        <v>1.3683481701285856</v>
      </c>
      <c r="J8144" s="42"/>
    </row>
    <row r="8145" spans="1:10" ht="15.75" thickBot="1" x14ac:dyDescent="0.3">
      <c r="A8145" s="394" t="s">
        <v>31</v>
      </c>
      <c r="B8145" s="2">
        <v>44232</v>
      </c>
      <c r="C8145" s="1">
        <v>254</v>
      </c>
      <c r="D8145" s="39">
        <f t="shared" si="646"/>
        <v>42189</v>
      </c>
      <c r="E8145" s="1">
        <v>2</v>
      </c>
      <c r="F8145" s="39">
        <f t="shared" si="648"/>
        <v>758</v>
      </c>
      <c r="G8145" s="176">
        <f>SUM(C8145,C8121,C8097,C8073,C8049,C8025,C8001,C7977,C7953,C7929,C7905,C7881,C7857,C7833)/POBLA!$B$8*100000</f>
        <v>262.41719644347859</v>
      </c>
      <c r="H8145" s="527">
        <f t="shared" ref="H8145:H8161" si="649">SUM(C8145,C8121,C8097,C8073,C8049,C8025,C8001,C7977,C7953,C7929,C7905,C7881,C7857,C7833)/SUM(C7809,C7785,C7761,C7737,C7713,C7689,C7665,C7641,C7617,C7593,C7569,C7545,C7521,C7497)</f>
        <v>0.61885315637229876</v>
      </c>
    </row>
    <row r="8146" spans="1:10" s="393" customFormat="1" ht="15.75" thickBot="1" x14ac:dyDescent="0.3">
      <c r="A8146" s="394" t="s">
        <v>41</v>
      </c>
      <c r="B8146" s="2">
        <v>44232</v>
      </c>
      <c r="C8146" s="1">
        <v>9</v>
      </c>
      <c r="D8146" s="39">
        <f t="shared" si="646"/>
        <v>867</v>
      </c>
      <c r="E8146" s="1">
        <v>2</v>
      </c>
      <c r="F8146" s="39">
        <f t="shared" si="648"/>
        <v>9</v>
      </c>
      <c r="G8146" s="410">
        <f>SUM(C8146,C8122,C8098,C8074,C8050,C8026,C8002,C7978,C7954,C7930,C7906,C7882,C7858,C7834)/POBLA!$B$9*100000</f>
        <v>11.566558106257013</v>
      </c>
      <c r="H8146" s="418">
        <f t="shared" si="649"/>
        <v>0.12589928057553956</v>
      </c>
      <c r="J8146" s="42"/>
    </row>
    <row r="8147" spans="1:10" s="393" customFormat="1" ht="15.75" thickBot="1" x14ac:dyDescent="0.3">
      <c r="A8147" s="394" t="s">
        <v>32</v>
      </c>
      <c r="B8147" s="2">
        <v>44232</v>
      </c>
      <c r="C8147" s="1">
        <v>43</v>
      </c>
      <c r="D8147" s="39">
        <f t="shared" si="646"/>
        <v>19476</v>
      </c>
      <c r="E8147" s="1">
        <v>3</v>
      </c>
      <c r="F8147" s="39">
        <f t="shared" si="648"/>
        <v>879</v>
      </c>
      <c r="G8147" s="410">
        <f>SUM(C8147,C8123,C8099,C8075,C8051,C8027,C8003,C7979,C7955,C7931,C7907,C7883,C7859,C7835)/POBLA!$B$10*100000</f>
        <v>54.48311736830977</v>
      </c>
      <c r="H8147" s="418">
        <f t="shared" si="649"/>
        <v>1.0552763819095476</v>
      </c>
      <c r="J8147" s="42"/>
    </row>
    <row r="8148" spans="1:10" s="393" customFormat="1" ht="15.75" thickBot="1" x14ac:dyDescent="0.3">
      <c r="A8148" s="394" t="s">
        <v>33</v>
      </c>
      <c r="B8148" s="2">
        <v>44232</v>
      </c>
      <c r="C8148" s="1">
        <v>90</v>
      </c>
      <c r="D8148" s="39">
        <f t="shared" si="646"/>
        <v>16965</v>
      </c>
      <c r="E8148" s="1">
        <v>3</v>
      </c>
      <c r="F8148" s="39">
        <f t="shared" si="648"/>
        <v>259</v>
      </c>
      <c r="G8148" s="410">
        <f>SUM(C8148,C8124,C8100,C8076,C8052,C8028,C8004,C7980,C7956,C7932,C7908,C7884,C7860,C7836)/POBLA!$B$11*100000</f>
        <v>368.55379602040017</v>
      </c>
      <c r="H8148" s="418">
        <f t="shared" si="649"/>
        <v>0.51581413510347518</v>
      </c>
      <c r="J8148" s="42"/>
    </row>
    <row r="8149" spans="1:10" s="393" customFormat="1" ht="15.75" thickBot="1" x14ac:dyDescent="0.3">
      <c r="A8149" s="394" t="s">
        <v>21</v>
      </c>
      <c r="B8149" s="2">
        <v>44232</v>
      </c>
      <c r="C8149" s="1">
        <v>24</v>
      </c>
      <c r="D8149" s="39">
        <f t="shared" si="646"/>
        <v>9622</v>
      </c>
      <c r="E8149" s="1"/>
      <c r="F8149" s="39">
        <f t="shared" si="648"/>
        <v>414</v>
      </c>
      <c r="G8149" s="410">
        <f>SUM(C8149,C8125,C8101,C8077,C8053,C8029,C8005,C7981,C7957,C7933,C7909,C7885,C7861,C7837)/POBLA!$B$12*100000</f>
        <v>59.207533841044288</v>
      </c>
      <c r="H8149" s="418">
        <f t="shared" si="649"/>
        <v>1.1365853658536584</v>
      </c>
      <c r="J8149" s="42"/>
    </row>
    <row r="8150" spans="1:10" s="393" customFormat="1" ht="15.75" thickBot="1" x14ac:dyDescent="0.3">
      <c r="A8150" s="394" t="s">
        <v>17</v>
      </c>
      <c r="B8150" s="2">
        <v>44232</v>
      </c>
      <c r="C8150" s="1">
        <v>180</v>
      </c>
      <c r="D8150" s="39">
        <f t="shared" si="646"/>
        <v>64569</v>
      </c>
      <c r="E8150" s="1">
        <v>12</v>
      </c>
      <c r="F8150" s="39">
        <f t="shared" si="648"/>
        <v>1392</v>
      </c>
      <c r="G8150" s="410">
        <f>SUM(C8150,C8126,C8102,C8078,C8054,C8030,C8006,C7982,C7958,C7934,C7910,C7886,C7862,C7838)/POBLA!$B$13*100000</f>
        <v>79.283016251511057</v>
      </c>
      <c r="H8150" s="418">
        <f t="shared" si="649"/>
        <v>0.82101977107180024</v>
      </c>
      <c r="J8150" s="42"/>
    </row>
    <row r="8151" spans="1:10" s="393" customFormat="1" ht="15.75" thickBot="1" x14ac:dyDescent="0.3">
      <c r="A8151" s="394" t="s">
        <v>23</v>
      </c>
      <c r="B8151" s="2">
        <v>44232</v>
      </c>
      <c r="C8151" s="1">
        <v>198</v>
      </c>
      <c r="D8151" s="39">
        <f t="shared" si="646"/>
        <v>5731</v>
      </c>
      <c r="E8151" s="1">
        <v>2</v>
      </c>
      <c r="F8151" s="39">
        <f t="shared" si="648"/>
        <v>102</v>
      </c>
      <c r="G8151" s="410">
        <f>SUM(C8151,C8127,C8103,C8079,C8055,C8031,C8007,C7983,C7959,C7935,C7911,C7887,C7863,C7839)/POBLA!$B$14*100000</f>
        <v>209.07100168557051</v>
      </c>
      <c r="H8151" s="418">
        <f t="shared" si="649"/>
        <v>1.3770234986945169</v>
      </c>
      <c r="J8151" s="42"/>
    </row>
    <row r="8152" spans="1:10" s="393" customFormat="1" ht="15.75" thickBot="1" x14ac:dyDescent="0.3">
      <c r="A8152" s="394" t="s">
        <v>19</v>
      </c>
      <c r="B8152" s="2">
        <v>44232</v>
      </c>
      <c r="C8152" s="1">
        <v>319</v>
      </c>
      <c r="D8152" s="39">
        <f t="shared" si="646"/>
        <v>56193</v>
      </c>
      <c r="E8152" s="1">
        <v>3</v>
      </c>
      <c r="F8152" s="39">
        <f t="shared" si="648"/>
        <v>791</v>
      </c>
      <c r="G8152" s="410">
        <f>SUM(C8152,C8128,C8104,C8080,C8056,C8032,C8008,C7984,C7960,C7936,C7912,C7888,C7864,C7840)/POBLA!$B$15*100000</f>
        <v>842.99992319936382</v>
      </c>
      <c r="H8152" s="418">
        <f t="shared" si="649"/>
        <v>0.9291286307053942</v>
      </c>
      <c r="J8152" s="42"/>
    </row>
    <row r="8153" spans="1:10" s="393" customFormat="1" ht="15.75" thickBot="1" x14ac:dyDescent="0.3">
      <c r="A8153" s="394" t="s">
        <v>18</v>
      </c>
      <c r="B8153" s="2">
        <v>44232</v>
      </c>
      <c r="C8153" s="1">
        <v>233</v>
      </c>
      <c r="D8153" s="39">
        <f t="shared" si="646"/>
        <v>49182</v>
      </c>
      <c r="E8153" s="1">
        <v>2</v>
      </c>
      <c r="F8153" s="39">
        <f t="shared" si="648"/>
        <v>1097</v>
      </c>
      <c r="G8153" s="410">
        <f>SUM(C8153,C8129,C8105,C8081,C8057,C8033,C8009,C7985,C7961,C7937,C7913,C7889,C7865,C7841)/POBLA!$B$16*100000</f>
        <v>481.26697074677975</v>
      </c>
      <c r="H8153" s="418">
        <f t="shared" si="649"/>
        <v>0.79286029087703835</v>
      </c>
      <c r="J8153" s="42"/>
    </row>
    <row r="8154" spans="1:10" s="393" customFormat="1" ht="15.75" thickBot="1" x14ac:dyDescent="0.3">
      <c r="A8154" s="394" t="s">
        <v>34</v>
      </c>
      <c r="B8154" s="2">
        <v>44232</v>
      </c>
      <c r="C8154" s="1">
        <v>90</v>
      </c>
      <c r="D8154" s="39">
        <f t="shared" si="646"/>
        <v>24157</v>
      </c>
      <c r="E8154" s="1">
        <v>1</v>
      </c>
      <c r="F8154" s="39">
        <f t="shared" si="648"/>
        <v>1050</v>
      </c>
      <c r="G8154" s="410">
        <f>SUM(C8154,C8130,C8106,C8082,C8058,C8034,C8010,C7986,C7962,C7938,C7914,C7890,C7866,C7842)/POBLA!$B$17*100000</f>
        <v>56.164117166773025</v>
      </c>
      <c r="H8154" s="418">
        <f t="shared" si="649"/>
        <v>1.0796221322537112</v>
      </c>
      <c r="J8154" s="42"/>
    </row>
    <row r="8155" spans="1:10" s="393" customFormat="1" ht="15.75" thickBot="1" x14ac:dyDescent="0.3">
      <c r="A8155" s="394" t="s">
        <v>35</v>
      </c>
      <c r="B8155" s="2">
        <v>44232</v>
      </c>
      <c r="C8155" s="1">
        <v>45</v>
      </c>
      <c r="D8155" s="39">
        <f t="shared" si="646"/>
        <v>14268</v>
      </c>
      <c r="E8155" s="1"/>
      <c r="F8155" s="39">
        <f t="shared" si="648"/>
        <v>202</v>
      </c>
      <c r="G8155" s="410">
        <f>SUM(C8155,C8131,C8107,C8083,C8059,C8035,C8011,C7987,C7963,C7939,C7915,C7891,C7867,C7843)/POBLA!$B$18*100000</f>
        <v>97.796130908569566</v>
      </c>
      <c r="H8155" s="418">
        <f t="shared" si="649"/>
        <v>0.62418300653594772</v>
      </c>
      <c r="J8155" s="42"/>
    </row>
    <row r="8156" spans="1:10" s="393" customFormat="1" ht="15.75" thickBot="1" x14ac:dyDescent="0.3">
      <c r="A8156" s="394" t="s">
        <v>36</v>
      </c>
      <c r="B8156" s="2">
        <v>44232</v>
      </c>
      <c r="C8156" s="1">
        <v>10</v>
      </c>
      <c r="D8156" s="39">
        <f t="shared" si="646"/>
        <v>19102</v>
      </c>
      <c r="E8156" s="1">
        <v>2</v>
      </c>
      <c r="F8156" s="39">
        <f t="shared" si="648"/>
        <v>337</v>
      </c>
      <c r="G8156" s="410">
        <f>SUM(C8156,C8132,C8108,C8084,C8060,C8036,C8012,C7988,C7964,C7940,C7916,C7892,C7868,C7844)/POBLA!$B$19*100000</f>
        <v>231.34668953903778</v>
      </c>
      <c r="H8156" s="418">
        <f t="shared" si="649"/>
        <v>0.83641536273115225</v>
      </c>
      <c r="J8156" s="42"/>
    </row>
    <row r="8157" spans="1:10" s="393" customFormat="1" ht="15.75" thickBot="1" x14ac:dyDescent="0.3">
      <c r="A8157" s="394" t="s">
        <v>37</v>
      </c>
      <c r="B8157" s="2">
        <v>44232</v>
      </c>
      <c r="C8157" s="1">
        <v>185</v>
      </c>
      <c r="D8157" s="39">
        <f t="shared" si="646"/>
        <v>33623</v>
      </c>
      <c r="E8157" s="1">
        <v>1</v>
      </c>
      <c r="F8157" s="39">
        <f t="shared" si="648"/>
        <v>514</v>
      </c>
      <c r="G8157" s="410">
        <f>SUM(C8157,C8133,C8109,C8085,C8061,C8037,C8013,C7989,C7965,C7941,C7917,C7893,C7869,C7845)/POBLA!$B$20*100000</f>
        <v>671.31895717231157</v>
      </c>
      <c r="H8157" s="418">
        <f t="shared" si="649"/>
        <v>0.53439268611232038</v>
      </c>
      <c r="J8157" s="42"/>
    </row>
    <row r="8158" spans="1:10" s="393" customFormat="1" ht="15.75" thickBot="1" x14ac:dyDescent="0.3">
      <c r="A8158" s="394" t="s">
        <v>22</v>
      </c>
      <c r="B8158" s="2">
        <v>44232</v>
      </c>
      <c r="C8158" s="1">
        <v>495</v>
      </c>
      <c r="D8158" s="39">
        <f t="shared" si="646"/>
        <v>208617</v>
      </c>
      <c r="E8158" s="1">
        <v>39</v>
      </c>
      <c r="F8158" s="39">
        <f t="shared" si="648"/>
        <v>3696</v>
      </c>
      <c r="G8158" s="410">
        <f>SUM(C8158,C8134,C8110,C8086,C8062,C8038,C8014,C7990,C7966,C7942,C7918,C7894,C7870,C7846)/POBLA!$B$21*100000</f>
        <v>229.83708373840423</v>
      </c>
      <c r="H8158" s="418">
        <f t="shared" si="649"/>
        <v>0.51540900443880788</v>
      </c>
      <c r="J8158" s="42"/>
    </row>
    <row r="8159" spans="1:10" s="393" customFormat="1" ht="15.75" thickBot="1" x14ac:dyDescent="0.3">
      <c r="A8159" s="394" t="s">
        <v>38</v>
      </c>
      <c r="B8159" s="2">
        <v>44232</v>
      </c>
      <c r="C8159" s="1">
        <v>90</v>
      </c>
      <c r="D8159" s="39">
        <f t="shared" si="646"/>
        <v>21279</v>
      </c>
      <c r="E8159" s="1">
        <v>1</v>
      </c>
      <c r="F8159" s="39">
        <f t="shared" si="648"/>
        <v>247</v>
      </c>
      <c r="G8159" s="410">
        <f>SUM(C8159,C8135,C8111,C8087,C8063,C8039,C8015,C7991,C7967,C7943,C7919,C7895,C7871,C7847)/POBLA!$B$22*100000</f>
        <v>114.58500500351114</v>
      </c>
      <c r="H8159" s="418">
        <f t="shared" si="649"/>
        <v>0.64760254188330446</v>
      </c>
      <c r="J8159" s="42"/>
    </row>
    <row r="8160" spans="1:10" s="393" customFormat="1" ht="15.75" thickBot="1" x14ac:dyDescent="0.3">
      <c r="A8160" s="394" t="s">
        <v>39</v>
      </c>
      <c r="B8160" s="2">
        <v>44232</v>
      </c>
      <c r="C8160" s="1">
        <v>49</v>
      </c>
      <c r="D8160" s="39">
        <f t="shared" si="646"/>
        <v>22045</v>
      </c>
      <c r="E8160" s="1">
        <v>2</v>
      </c>
      <c r="F8160" s="39">
        <f t="shared" si="648"/>
        <v>338</v>
      </c>
      <c r="G8160" s="410">
        <f>SUM(C8160,C8136,C8112,C8088,C8064,C8040,C8016,C7992,C7968,C7944,C7920,C7896,C7872,C7848)/POBLA!$B$23*100000</f>
        <v>438.27404852117854</v>
      </c>
      <c r="H8160" s="418">
        <f t="shared" si="649"/>
        <v>0.63008130081300817</v>
      </c>
      <c r="J8160" s="42"/>
    </row>
    <row r="8161" spans="1:10" s="393" customFormat="1" ht="15.75" thickBot="1" x14ac:dyDescent="0.3">
      <c r="A8161" s="394" t="s">
        <v>40</v>
      </c>
      <c r="B8161" s="2">
        <v>44232</v>
      </c>
      <c r="C8161" s="1">
        <v>144</v>
      </c>
      <c r="D8161" s="177">
        <f t="shared" si="646"/>
        <v>77152</v>
      </c>
      <c r="E8161" s="1">
        <v>3</v>
      </c>
      <c r="F8161" s="177">
        <f t="shared" si="648"/>
        <v>1438</v>
      </c>
      <c r="G8161" s="410">
        <f>SUM(C8161,C8137,C8113,C8089,C8065,C8041,C8017,C7993,C7969,C7945,C7921,C7897,C7873,C7849)/POBLA!$B$24*100000</f>
        <v>117.30994372899279</v>
      </c>
      <c r="H8161" s="419">
        <f t="shared" si="649"/>
        <v>0.77565353101833789</v>
      </c>
      <c r="J8161" s="42"/>
    </row>
    <row r="8162" spans="1:10" s="393" customFormat="1" ht="15.75" thickBot="1" x14ac:dyDescent="0.3">
      <c r="A8162" s="394" t="s">
        <v>16</v>
      </c>
      <c r="B8162" s="2">
        <v>44233</v>
      </c>
      <c r="C8162" s="1">
        <v>2946</v>
      </c>
      <c r="D8162" s="175">
        <f t="shared" si="646"/>
        <v>824983</v>
      </c>
      <c r="E8162" s="1">
        <v>77</v>
      </c>
      <c r="F8162" s="175">
        <f>E8162+F8138</f>
        <v>24981</v>
      </c>
      <c r="G8162" s="410">
        <f>SUM(C8162,C8138,C8114,C8090,C8066,C8042,C8018,C7994,C7970,C7946,C7922,C7898,C7874,C7850)/POBLA!$B$1*100000</f>
        <v>276.17929757248976</v>
      </c>
      <c r="H8162" s="416">
        <f t="shared" ref="H8162:H8168" si="650">SUM(C8162,C8138,C8114,C8090,C8066,C8042,C8018,C7994,C7970,C7946,C7922,C7898,C7874,C7850)/SUM(C7826,C7802,C7778,C7754,C7730,C7706,C7682,C7658,C7634,C7610,C7586,C7562,C7538,C7514)</f>
        <v>0.83700478584633464</v>
      </c>
      <c r="J8162" s="42"/>
    </row>
    <row r="8163" spans="1:10" s="393" customFormat="1" ht="15.75" thickBot="1" x14ac:dyDescent="0.3">
      <c r="A8163" s="394" t="s">
        <v>43</v>
      </c>
      <c r="B8163" s="2">
        <v>44233</v>
      </c>
      <c r="C8163" s="1">
        <v>733</v>
      </c>
      <c r="D8163" s="39">
        <f t="shared" si="646"/>
        <v>216490</v>
      </c>
      <c r="E8163" s="1">
        <v>18</v>
      </c>
      <c r="F8163" s="39">
        <f t="shared" ref="F8163:F8185" si="651">E8163+F8139</f>
        <v>6144</v>
      </c>
      <c r="G8163" s="410">
        <f>SUM(C8163,C8139,C8115,C8091,C8067,C8043,C8019,C7995,C7971,C7947,C7923,C7899,C7875,C7851)/POBLA!$B$2*100000</f>
        <v>474.14429358905414</v>
      </c>
      <c r="H8163" s="418">
        <f t="shared" si="650"/>
        <v>0.85196003972658763</v>
      </c>
      <c r="J8163" s="42"/>
    </row>
    <row r="8164" spans="1:10" s="393" customFormat="1" ht="15.75" thickBot="1" x14ac:dyDescent="0.3">
      <c r="A8164" s="394" t="s">
        <v>28</v>
      </c>
      <c r="B8164" s="2">
        <v>44233</v>
      </c>
      <c r="C8164" s="1">
        <v>77</v>
      </c>
      <c r="D8164" s="39">
        <f t="shared" si="646"/>
        <v>6128</v>
      </c>
      <c r="E8164" s="1"/>
      <c r="F8164" s="39">
        <f t="shared" si="651"/>
        <v>17</v>
      </c>
      <c r="G8164" s="410">
        <f>SUM(C8164,C8140,C8116,C8092,C8068,C8044,C8020,C7996,C7972,C7948,C7924,C7900,C7876,C7852)/POBLA!$B$3*100000</f>
        <v>348.066378135847</v>
      </c>
      <c r="H8164" s="418">
        <f t="shared" si="650"/>
        <v>0.92692307692307696</v>
      </c>
      <c r="J8164" s="42"/>
    </row>
    <row r="8165" spans="1:10" s="393" customFormat="1" ht="15.75" thickBot="1" x14ac:dyDescent="0.3">
      <c r="A8165" s="394" t="s">
        <v>15</v>
      </c>
      <c r="B8165" s="2">
        <v>44233</v>
      </c>
      <c r="C8165" s="1">
        <v>144</v>
      </c>
      <c r="D8165" s="39">
        <f t="shared" si="646"/>
        <v>31561</v>
      </c>
      <c r="E8165" s="1">
        <v>2</v>
      </c>
      <c r="F8165" s="39">
        <f t="shared" si="651"/>
        <v>809</v>
      </c>
      <c r="G8165" s="410">
        <f>SUM(C8165,C8141,C8117,C8093,C8069,C8045,C8021,C7997,C7973,C7949,C7925,C7901,C7877,C7853)/POBLA!$B$4*100000</f>
        <v>156.40812558476631</v>
      </c>
      <c r="H8165" s="418">
        <f t="shared" si="650"/>
        <v>0.64103436543041847</v>
      </c>
      <c r="J8165" s="42"/>
    </row>
    <row r="8166" spans="1:10" s="393" customFormat="1" ht="15.75" thickBot="1" x14ac:dyDescent="0.3">
      <c r="A8166" s="394" t="s">
        <v>29</v>
      </c>
      <c r="B8166" s="2">
        <v>44233</v>
      </c>
      <c r="C8166" s="1">
        <v>155</v>
      </c>
      <c r="D8166" s="39">
        <f t="shared" si="646"/>
        <v>43850</v>
      </c>
      <c r="E8166" s="1"/>
      <c r="F8166" s="39">
        <f t="shared" si="651"/>
        <v>670</v>
      </c>
      <c r="G8166" s="410">
        <f>SUM(C8166,C8142,C8118,C8094,C8070,C8046,C8022,C7998,C7974,C7950,C7926,C7902,C7878,C7854)/POBLA!$B$5*100000</f>
        <v>598.06718643476347</v>
      </c>
      <c r="H8166" s="418">
        <f t="shared" si="650"/>
        <v>0.73715651135005977</v>
      </c>
      <c r="J8166" s="42"/>
    </row>
    <row r="8167" spans="1:10" s="393" customFormat="1" ht="15.75" thickBot="1" x14ac:dyDescent="0.3">
      <c r="A8167" s="394" t="s">
        <v>30</v>
      </c>
      <c r="B8167" s="2">
        <v>44233</v>
      </c>
      <c r="C8167" s="1">
        <v>297</v>
      </c>
      <c r="D8167" s="39">
        <f t="shared" si="646"/>
        <v>18719</v>
      </c>
      <c r="E8167" s="1"/>
      <c r="F8167" s="39">
        <f t="shared" si="651"/>
        <v>206</v>
      </c>
      <c r="G8167" s="410">
        <f>SUM(C8167,C8143,C8119,C8095,C8071,C8047,C8023,C7999,C7975,C7951,C7927,C7903,C7879,C7855)/POBLA!$B$7*100000</f>
        <v>65.949553909771438</v>
      </c>
      <c r="H8167" s="418">
        <f t="shared" si="650"/>
        <v>0.45638571954361429</v>
      </c>
      <c r="J8167" s="42"/>
    </row>
    <row r="8168" spans="1:10" s="393" customFormat="1" ht="15.75" thickBot="1" x14ac:dyDescent="0.3">
      <c r="A8168" s="394" t="s">
        <v>20</v>
      </c>
      <c r="B8168" s="2">
        <v>44233</v>
      </c>
      <c r="C8168" s="1">
        <v>453</v>
      </c>
      <c r="D8168" s="39">
        <f t="shared" si="646"/>
        <v>148046</v>
      </c>
      <c r="E8168" s="1">
        <v>5</v>
      </c>
      <c r="F8168" s="39">
        <f t="shared" si="651"/>
        <v>2733</v>
      </c>
      <c r="G8168" s="410">
        <f>SUM(C8168,C8144,C8120,C8096,C8072,C8048,C8024,C8000,C7976,C7952,C7928,C7904,C7880,C7856)/POBLA!$B$6*100000</f>
        <v>609.02872142333922</v>
      </c>
      <c r="H8168" s="418">
        <f t="shared" si="650"/>
        <v>1.2876815695151858</v>
      </c>
      <c r="J8168" s="42"/>
    </row>
    <row r="8169" spans="1:10" ht="15.75" thickBot="1" x14ac:dyDescent="0.3">
      <c r="A8169" s="394" t="s">
        <v>31</v>
      </c>
      <c r="B8169" s="2">
        <v>44233</v>
      </c>
      <c r="C8169" s="1">
        <v>228</v>
      </c>
      <c r="D8169" s="39">
        <f t="shared" si="646"/>
        <v>42417</v>
      </c>
      <c r="E8169" s="1">
        <v>2</v>
      </c>
      <c r="F8169" s="39">
        <f t="shared" si="651"/>
        <v>760</v>
      </c>
      <c r="G8169" s="176">
        <f>SUM(C8169,C8145,C8121,C8097,C8073,C8049,C8025,C8001,C7977,C7953,C7929,C7905,C7881,C7857)/POBLA!$B$8*100000</f>
        <v>257.07794086557988</v>
      </c>
      <c r="H8169" s="527">
        <f t="shared" ref="H8169:H8185" si="652">SUM(C8169,C8145,C8121,C8097,C8073,C8049,C8025,C8001,C7977,C7953,C7929,C7905,C7881,C7857)/SUM(C7833,C7809,C7785,C7761,C7737,C7713,C7689,C7665,C7641,C7617,C7593,C7569,C7545,C7521)</f>
        <v>0.62917181705809644</v>
      </c>
    </row>
    <row r="8170" spans="1:10" s="393" customFormat="1" ht="15.75" thickBot="1" x14ac:dyDescent="0.3">
      <c r="A8170" s="394" t="s">
        <v>41</v>
      </c>
      <c r="B8170" s="2">
        <v>44233</v>
      </c>
      <c r="C8170" s="1">
        <v>1</v>
      </c>
      <c r="D8170" s="39">
        <f t="shared" si="646"/>
        <v>868</v>
      </c>
      <c r="E8170" s="1"/>
      <c r="F8170" s="39">
        <f t="shared" si="651"/>
        <v>9</v>
      </c>
      <c r="G8170" s="410">
        <f>SUM(C8170,C8146,C8122,C8098,C8074,C8050,C8026,C8002,C7978,C7954,C7930,C7906,C7882,C7858)/POBLA!$B$9*100000</f>
        <v>11.236085017506813</v>
      </c>
      <c r="H8170" s="418">
        <f t="shared" si="652"/>
        <v>0.1256931608133087</v>
      </c>
      <c r="J8170" s="42"/>
    </row>
    <row r="8171" spans="1:10" s="393" customFormat="1" ht="15.75" thickBot="1" x14ac:dyDescent="0.3">
      <c r="A8171" s="394" t="s">
        <v>32</v>
      </c>
      <c r="B8171" s="2">
        <v>44233</v>
      </c>
      <c r="C8171" s="1">
        <v>27</v>
      </c>
      <c r="D8171" s="39">
        <f t="shared" si="646"/>
        <v>19503</v>
      </c>
      <c r="E8171" s="1">
        <v>3</v>
      </c>
      <c r="F8171" s="39">
        <f t="shared" si="651"/>
        <v>882</v>
      </c>
      <c r="G8171" s="410">
        <f>SUM(C8171,C8147,C8123,C8099,C8075,C8051,C8027,C8003,C7979,C7955,C7931,C7907,C7883,C7859)/POBLA!$B$10*100000</f>
        <v>56.947829820685691</v>
      </c>
      <c r="H8171" s="418">
        <f t="shared" si="652"/>
        <v>1.1030150753768844</v>
      </c>
      <c r="J8171" s="42"/>
    </row>
    <row r="8172" spans="1:10" s="393" customFormat="1" ht="15.75" thickBot="1" x14ac:dyDescent="0.3">
      <c r="A8172" s="394" t="s">
        <v>33</v>
      </c>
      <c r="B8172" s="2">
        <v>44233</v>
      </c>
      <c r="C8172" s="1">
        <v>65</v>
      </c>
      <c r="D8172" s="39">
        <f t="shared" si="646"/>
        <v>17030</v>
      </c>
      <c r="E8172" s="1">
        <v>1</v>
      </c>
      <c r="F8172" s="39">
        <f t="shared" si="651"/>
        <v>260</v>
      </c>
      <c r="G8172" s="410">
        <f>SUM(C8172,C8148,C8124,C8100,C8076,C8052,C8028,C8004,C7980,C7956,C7932,C7908,C7884,C7860)/POBLA!$B$11*100000</f>
        <v>357.11495753679958</v>
      </c>
      <c r="H8172" s="418">
        <f t="shared" si="652"/>
        <v>0.54421768707482998</v>
      </c>
      <c r="J8172" s="42"/>
    </row>
    <row r="8173" spans="1:10" s="393" customFormat="1" ht="15.75" thickBot="1" x14ac:dyDescent="0.3">
      <c r="A8173" s="394" t="s">
        <v>21</v>
      </c>
      <c r="B8173" s="2">
        <v>44233</v>
      </c>
      <c r="C8173" s="1">
        <v>31</v>
      </c>
      <c r="D8173" s="39">
        <f t="shared" si="646"/>
        <v>9653</v>
      </c>
      <c r="E8173" s="1"/>
      <c r="F8173" s="39">
        <f t="shared" si="651"/>
        <v>414</v>
      </c>
      <c r="G8173" s="410">
        <f>SUM(C8173,C8149,C8125,C8101,C8077,C8053,C8029,C8005,C7981,C7957,C7933,C7909,C7885,C7861)/POBLA!$B$12*100000</f>
        <v>63.781506412455428</v>
      </c>
      <c r="H8173" s="418">
        <f t="shared" si="652"/>
        <v>1.2364532019704433</v>
      </c>
      <c r="J8173" s="42"/>
    </row>
    <row r="8174" spans="1:10" s="393" customFormat="1" ht="15.75" thickBot="1" x14ac:dyDescent="0.3">
      <c r="A8174" s="394" t="s">
        <v>17</v>
      </c>
      <c r="B8174" s="2">
        <v>44233</v>
      </c>
      <c r="C8174" s="1">
        <v>121</v>
      </c>
      <c r="D8174" s="39">
        <f t="shared" si="646"/>
        <v>64690</v>
      </c>
      <c r="E8174" s="1">
        <v>3</v>
      </c>
      <c r="F8174" s="39">
        <f t="shared" si="651"/>
        <v>1395</v>
      </c>
      <c r="G8174" s="410">
        <f>SUM(C8174,C8150,C8126,C8102,C8078,C8054,C8030,C8006,C7982,C7958,C7934,C7910,C7886,C7862)/POBLA!$B$13*100000</f>
        <v>80.287870703367972</v>
      </c>
      <c r="H8174" s="418">
        <f t="shared" si="652"/>
        <v>0.85090521831735888</v>
      </c>
      <c r="J8174" s="42"/>
    </row>
    <row r="8175" spans="1:10" s="393" customFormat="1" ht="15.75" thickBot="1" x14ac:dyDescent="0.3">
      <c r="A8175" s="394" t="s">
        <v>23</v>
      </c>
      <c r="B8175" s="2">
        <v>44233</v>
      </c>
      <c r="C8175" s="1">
        <v>127</v>
      </c>
      <c r="D8175" s="39">
        <f t="shared" si="646"/>
        <v>5858</v>
      </c>
      <c r="E8175" s="1">
        <v>1</v>
      </c>
      <c r="F8175" s="39">
        <f t="shared" si="651"/>
        <v>103</v>
      </c>
      <c r="G8175" s="410">
        <f>SUM(C8175,C8151,C8127,C8103,C8079,C8055,C8031,C8007,C7983,C7959,C7935,C7911,C7887,C7863)/POBLA!$B$14*100000</f>
        <v>202.17332358672917</v>
      </c>
      <c r="H8175" s="418">
        <f t="shared" si="652"/>
        <v>1.2924480486568677</v>
      </c>
      <c r="J8175" s="42"/>
    </row>
    <row r="8176" spans="1:10" s="393" customFormat="1" ht="15.75" thickBot="1" x14ac:dyDescent="0.3">
      <c r="A8176" s="394" t="s">
        <v>19</v>
      </c>
      <c r="B8176" s="2">
        <v>44233</v>
      </c>
      <c r="C8176" s="1">
        <v>300</v>
      </c>
      <c r="D8176" s="39">
        <f t="shared" si="646"/>
        <v>56493</v>
      </c>
      <c r="E8176" s="1">
        <v>2</v>
      </c>
      <c r="F8176" s="39">
        <f t="shared" si="651"/>
        <v>793</v>
      </c>
      <c r="G8176" s="410">
        <f>SUM(C8176,C8152,C8128,C8104,C8080,C8056,C8032,C8008,C7984,C7960,C7936,C7912,C7888,C7864)/POBLA!$B$15*100000</f>
        <v>851.88470266859622</v>
      </c>
      <c r="H8176" s="418">
        <f t="shared" si="652"/>
        <v>0.95638207945900255</v>
      </c>
      <c r="J8176" s="42"/>
    </row>
    <row r="8177" spans="1:10" s="393" customFormat="1" ht="15.75" thickBot="1" x14ac:dyDescent="0.3">
      <c r="A8177" s="394" t="s">
        <v>18</v>
      </c>
      <c r="B8177" s="2">
        <v>44233</v>
      </c>
      <c r="C8177" s="1">
        <v>136</v>
      </c>
      <c r="D8177" s="39">
        <f t="shared" si="646"/>
        <v>49318</v>
      </c>
      <c r="E8177" s="1">
        <v>1</v>
      </c>
      <c r="F8177" s="39">
        <f t="shared" si="651"/>
        <v>1098</v>
      </c>
      <c r="G8177" s="410">
        <f>SUM(C8177,C8153,C8129,C8105,C8081,C8057,C8033,C8009,C7985,C7961,C7937,C7913,C7889,C7865)/POBLA!$B$16*100000</f>
        <v>461.20303366728643</v>
      </c>
      <c r="H8177" s="418">
        <f t="shared" si="652"/>
        <v>0.75168955744495314</v>
      </c>
      <c r="J8177" s="42"/>
    </row>
    <row r="8178" spans="1:10" s="393" customFormat="1" ht="15.75" thickBot="1" x14ac:dyDescent="0.3">
      <c r="A8178" s="394" t="s">
        <v>34</v>
      </c>
      <c r="B8178" s="2">
        <v>44233</v>
      </c>
      <c r="C8178" s="1">
        <v>92</v>
      </c>
      <c r="D8178" s="39">
        <f t="shared" si="646"/>
        <v>24249</v>
      </c>
      <c r="E8178" s="1">
        <v>2</v>
      </c>
      <c r="F8178" s="39">
        <f t="shared" si="651"/>
        <v>1052</v>
      </c>
      <c r="G8178" s="410">
        <f>SUM(C8178,C8154,C8130,C8106,C8082,C8058,C8034,C8010,C7986,C7962,C7938,C7914,C7890,C7866)/POBLA!$B$17*100000</f>
        <v>58.48088699990241</v>
      </c>
      <c r="H8178" s="418">
        <f t="shared" si="652"/>
        <v>1.1458046767537826</v>
      </c>
      <c r="J8178" s="42"/>
    </row>
    <row r="8179" spans="1:10" s="393" customFormat="1" ht="15.75" thickBot="1" x14ac:dyDescent="0.3">
      <c r="A8179" s="394" t="s">
        <v>35</v>
      </c>
      <c r="B8179" s="2">
        <v>44233</v>
      </c>
      <c r="C8179" s="1">
        <v>12</v>
      </c>
      <c r="D8179" s="39">
        <f t="shared" si="646"/>
        <v>14280</v>
      </c>
      <c r="E8179" s="1"/>
      <c r="F8179" s="39">
        <f t="shared" si="651"/>
        <v>202</v>
      </c>
      <c r="G8179" s="410">
        <f>SUM(C8179,C8155,C8131,C8107,C8083,C8059,C8035,C8011,C7987,C7963,C7939,C7915,C7891,C7867)/POBLA!$B$18*100000</f>
        <v>95.236022769601789</v>
      </c>
      <c r="H8179" s="418">
        <f t="shared" si="652"/>
        <v>0.63211554800339842</v>
      </c>
      <c r="J8179" s="42"/>
    </row>
    <row r="8180" spans="1:10" s="393" customFormat="1" ht="15.75" thickBot="1" x14ac:dyDescent="0.3">
      <c r="A8180" s="394" t="s">
        <v>36</v>
      </c>
      <c r="B8180" s="2">
        <v>44233</v>
      </c>
      <c r="C8180" s="1">
        <v>3</v>
      </c>
      <c r="D8180" s="39">
        <f t="shared" si="646"/>
        <v>19105</v>
      </c>
      <c r="E8180" s="1">
        <v>1</v>
      </c>
      <c r="F8180" s="39">
        <f t="shared" si="651"/>
        <v>338</v>
      </c>
      <c r="G8180" s="410">
        <f>SUM(C8180,C8156,C8132,C8108,C8084,C8060,C8036,C8012,C7988,C7964,C7940,C7916,C7892,C7868)/POBLA!$B$19*100000</f>
        <v>138.49325632268929</v>
      </c>
      <c r="H8180" s="418">
        <f t="shared" si="652"/>
        <v>0.3774798927613941</v>
      </c>
      <c r="J8180" s="42"/>
    </row>
    <row r="8181" spans="1:10" s="393" customFormat="1" ht="15.75" thickBot="1" x14ac:dyDescent="0.3">
      <c r="A8181" s="394" t="s">
        <v>37</v>
      </c>
      <c r="B8181" s="2">
        <v>44233</v>
      </c>
      <c r="C8181" s="1">
        <v>122</v>
      </c>
      <c r="D8181" s="39">
        <f t="shared" si="646"/>
        <v>33745</v>
      </c>
      <c r="E8181" s="1">
        <v>1</v>
      </c>
      <c r="F8181" s="39">
        <f t="shared" si="651"/>
        <v>515</v>
      </c>
      <c r="G8181" s="410">
        <f>SUM(C8181,C8157,C8133,C8109,C8085,C8061,C8037,C8013,C7989,C7965,C7941,C7917,C7893,C7869)/POBLA!$B$20*100000</f>
        <v>655.73232558012342</v>
      </c>
      <c r="H8181" s="418">
        <f t="shared" si="652"/>
        <v>0.54401088929219599</v>
      </c>
      <c r="J8181" s="42"/>
    </row>
    <row r="8182" spans="1:10" s="393" customFormat="1" ht="15.75" thickBot="1" x14ac:dyDescent="0.3">
      <c r="A8182" s="394" t="s">
        <v>22</v>
      </c>
      <c r="B8182" s="2">
        <v>44233</v>
      </c>
      <c r="C8182" s="1">
        <v>431</v>
      </c>
      <c r="D8182" s="39">
        <f t="shared" si="646"/>
        <v>209048</v>
      </c>
      <c r="E8182" s="1">
        <v>6</v>
      </c>
      <c r="F8182" s="39">
        <f t="shared" si="651"/>
        <v>3702</v>
      </c>
      <c r="G8182" s="410">
        <f>SUM(C8182,C8158,C8134,C8110,C8086,C8062,C8038,C8014,C7990,C7966,C7942,C7918,C7894,C7870)/POBLA!$B$21*100000</f>
        <v>222.28707126815891</v>
      </c>
      <c r="H8182" s="418">
        <f t="shared" si="652"/>
        <v>0.51389161273452311</v>
      </c>
      <c r="J8182" s="42"/>
    </row>
    <row r="8183" spans="1:10" s="393" customFormat="1" ht="15.75" thickBot="1" x14ac:dyDescent="0.3">
      <c r="A8183" s="394" t="s">
        <v>38</v>
      </c>
      <c r="B8183" s="2">
        <v>44233</v>
      </c>
      <c r="C8183" s="1">
        <v>70</v>
      </c>
      <c r="D8183" s="39">
        <f t="shared" si="646"/>
        <v>21349</v>
      </c>
      <c r="E8183" s="1"/>
      <c r="F8183" s="39">
        <f t="shared" si="651"/>
        <v>247</v>
      </c>
      <c r="G8183" s="410">
        <f>SUM(C8183,C8159,C8135,C8111,C8087,C8063,C8039,C8015,C7991,C7967,C7943,C7919,C7895,C7871)/POBLA!$B$22*100000</f>
        <v>104.36332748312655</v>
      </c>
      <c r="H8183" s="418">
        <f t="shared" si="652"/>
        <v>0.57488738738738743</v>
      </c>
      <c r="J8183" s="42"/>
    </row>
    <row r="8184" spans="1:10" s="393" customFormat="1" ht="15.75" thickBot="1" x14ac:dyDescent="0.3">
      <c r="A8184" s="394" t="s">
        <v>39</v>
      </c>
      <c r="B8184" s="2">
        <v>44233</v>
      </c>
      <c r="C8184" s="1">
        <v>17</v>
      </c>
      <c r="D8184" s="39">
        <f t="shared" si="646"/>
        <v>22062</v>
      </c>
      <c r="E8184" s="1"/>
      <c r="F8184" s="39">
        <f t="shared" si="651"/>
        <v>338</v>
      </c>
      <c r="G8184" s="410">
        <f>SUM(C8184,C8160,C8136,C8112,C8088,C8064,C8040,C8016,C7992,C7968,C7944,C7920,C7896,C7872)/POBLA!$B$23*100000</f>
        <v>406.03969914607251</v>
      </c>
      <c r="H8184" s="418">
        <f t="shared" si="652"/>
        <v>0.57578187650360868</v>
      </c>
      <c r="J8184" s="42"/>
    </row>
    <row r="8185" spans="1:10" s="393" customFormat="1" ht="15.75" thickBot="1" x14ac:dyDescent="0.3">
      <c r="A8185" s="394" t="s">
        <v>40</v>
      </c>
      <c r="B8185" s="2">
        <v>44233</v>
      </c>
      <c r="C8185" s="1">
        <v>92</v>
      </c>
      <c r="D8185" s="177">
        <f t="shared" si="646"/>
        <v>77244</v>
      </c>
      <c r="E8185" s="1"/>
      <c r="F8185" s="177">
        <f t="shared" si="651"/>
        <v>1438</v>
      </c>
      <c r="G8185" s="410">
        <f>SUM(C8185,C8161,C8137,C8113,C8089,C8065,C8041,C8017,C7993,C7969,C7945,C7921,C7897,C7873)/POBLA!$B$24*100000</f>
        <v>117.90003398919899</v>
      </c>
      <c r="H8185" s="419">
        <f t="shared" si="652"/>
        <v>0.79160063391442159</v>
      </c>
      <c r="J8185" s="42"/>
    </row>
    <row r="8186" spans="1:10" s="393" customFormat="1" ht="15.75" thickBot="1" x14ac:dyDescent="0.3">
      <c r="A8186" s="394" t="s">
        <v>16</v>
      </c>
      <c r="B8186" s="2">
        <v>44234</v>
      </c>
      <c r="C8186" s="1">
        <v>1498</v>
      </c>
      <c r="D8186" s="175">
        <f t="shared" si="646"/>
        <v>826481</v>
      </c>
      <c r="E8186" s="1">
        <v>14</v>
      </c>
      <c r="F8186" s="175">
        <f>E8186+F8162</f>
        <v>24995</v>
      </c>
      <c r="G8186" s="410">
        <f>SUM(C8186,C8162,C8138,C8114,C8090,C8066,C8042,C8018,C7994,C7970,C7946,C7922,C7898,C7874)/POBLA!$B$1*100000</f>
        <v>272.79867370087271</v>
      </c>
      <c r="H8186" s="416">
        <f t="shared" ref="H8186:H8192" si="653">SUM(C8186,C8162,C8138,C8114,C8090,C8066,C8042,C8018,C7994,C7970,C7946,C7922,C7898,C7874)/SUM(C7850,C7826,C7802,C7778,C7754,C7730,C7706,C7682,C7658,C7634,C7610,C7586,C7562,C7538)</f>
        <v>0.84432289369210412</v>
      </c>
      <c r="J8186" s="42"/>
    </row>
    <row r="8187" spans="1:10" s="393" customFormat="1" ht="15.75" thickBot="1" x14ac:dyDescent="0.3">
      <c r="A8187" s="394" t="s">
        <v>43</v>
      </c>
      <c r="B8187" s="2">
        <v>44234</v>
      </c>
      <c r="C8187" s="1">
        <v>577</v>
      </c>
      <c r="D8187" s="39">
        <f t="shared" si="646"/>
        <v>217067</v>
      </c>
      <c r="E8187" s="1">
        <v>26</v>
      </c>
      <c r="F8187" s="39">
        <f t="shared" ref="F8187:F8209" si="654">E8187+F8163</f>
        <v>6170</v>
      </c>
      <c r="G8187" s="410">
        <f>SUM(C8187,C8163,C8139,C8115,C8091,C8067,C8043,C8019,C7995,C7971,C7947,C7923,C7899,C7875)/POBLA!$B$2*100000</f>
        <v>469.95005276940191</v>
      </c>
      <c r="H8187" s="418">
        <f t="shared" si="653"/>
        <v>0.87198359073359077</v>
      </c>
      <c r="J8187" s="42"/>
    </row>
    <row r="8188" spans="1:10" s="393" customFormat="1" ht="15.75" thickBot="1" x14ac:dyDescent="0.3">
      <c r="A8188" s="394" t="s">
        <v>28</v>
      </c>
      <c r="B8188" s="2">
        <v>44234</v>
      </c>
      <c r="C8188" s="1">
        <v>63</v>
      </c>
      <c r="D8188" s="39">
        <f t="shared" si="646"/>
        <v>6191</v>
      </c>
      <c r="E8188" s="1"/>
      <c r="F8188" s="39">
        <f t="shared" si="654"/>
        <v>17</v>
      </c>
      <c r="G8188" s="410">
        <f>SUM(C8188,C8164,C8140,C8116,C8092,C8068,C8044,C8020,C7996,C7972,C7948,C7924,C7900,C7876)/POBLA!$B$3*100000</f>
        <v>351.43631540687176</v>
      </c>
      <c r="H8188" s="418">
        <f t="shared" si="653"/>
        <v>0.93709884467265725</v>
      </c>
      <c r="J8188" s="42"/>
    </row>
    <row r="8189" spans="1:10" s="393" customFormat="1" ht="15.75" thickBot="1" x14ac:dyDescent="0.3">
      <c r="A8189" s="394" t="s">
        <v>15</v>
      </c>
      <c r="B8189" s="2">
        <v>44234</v>
      </c>
      <c r="C8189" s="1">
        <v>105</v>
      </c>
      <c r="D8189" s="39">
        <f t="shared" si="646"/>
        <v>31666</v>
      </c>
      <c r="E8189" s="1"/>
      <c r="F8189" s="39">
        <f t="shared" si="654"/>
        <v>809</v>
      </c>
      <c r="G8189" s="410">
        <f>SUM(C8189,C8165,C8141,C8117,C8093,C8069,C8045,C8021,C7997,C7973,C7949,C7925,C7901,C7877)/POBLA!$B$4*100000</f>
        <v>153.75151198672356</v>
      </c>
      <c r="H8189" s="418">
        <f t="shared" si="653"/>
        <v>0.64194107452339688</v>
      </c>
      <c r="J8189" s="42"/>
    </row>
    <row r="8190" spans="1:10" s="393" customFormat="1" ht="15.75" thickBot="1" x14ac:dyDescent="0.3">
      <c r="A8190" s="394" t="s">
        <v>29</v>
      </c>
      <c r="B8190" s="2">
        <v>44234</v>
      </c>
      <c r="C8190" s="1">
        <v>62</v>
      </c>
      <c r="D8190" s="39">
        <f t="shared" si="646"/>
        <v>43912</v>
      </c>
      <c r="E8190" s="1">
        <v>1</v>
      </c>
      <c r="F8190" s="39">
        <f t="shared" si="654"/>
        <v>671</v>
      </c>
      <c r="G8190" s="410">
        <f>SUM(C8190,C8166,C8142,C8118,C8094,C8070,C8046,C8022,C7998,C7974,C7950,C7926,C7902,C7878)/POBLA!$B$5*100000</f>
        <v>590.63577352930724</v>
      </c>
      <c r="H8190" s="418">
        <f t="shared" si="653"/>
        <v>0.74068071312803885</v>
      </c>
      <c r="J8190" s="42"/>
    </row>
    <row r="8191" spans="1:10" s="393" customFormat="1" ht="15.75" thickBot="1" x14ac:dyDescent="0.3">
      <c r="A8191" s="394" t="s">
        <v>30</v>
      </c>
      <c r="B8191" s="2">
        <v>44234</v>
      </c>
      <c r="C8191" s="1">
        <v>14</v>
      </c>
      <c r="D8191" s="39">
        <f t="shared" si="646"/>
        <v>18733</v>
      </c>
      <c r="E8191" s="1"/>
      <c r="F8191" s="39">
        <f t="shared" si="654"/>
        <v>206</v>
      </c>
      <c r="G8191" s="410">
        <f>SUM(C8191,C8167,C8143,C8119,C8095,C8071,C8047,C8023,C7999,C7975,C7951,C7927,C7903,C7879)/POBLA!$B$7*100000</f>
        <v>64.619925806751851</v>
      </c>
      <c r="H8191" s="418">
        <f t="shared" si="653"/>
        <v>0.48290937996820349</v>
      </c>
      <c r="J8191" s="42"/>
    </row>
    <row r="8192" spans="1:10" s="393" customFormat="1" ht="15.75" thickBot="1" x14ac:dyDescent="0.3">
      <c r="A8192" s="394" t="s">
        <v>20</v>
      </c>
      <c r="B8192" s="2">
        <v>44234</v>
      </c>
      <c r="C8192" s="1">
        <v>225</v>
      </c>
      <c r="D8192" s="39">
        <f t="shared" si="646"/>
        <v>148271</v>
      </c>
      <c r="E8192" s="1">
        <v>3</v>
      </c>
      <c r="F8192" s="39">
        <f t="shared" si="654"/>
        <v>2736</v>
      </c>
      <c r="G8192" s="410">
        <f>SUM(C8192,C8168,C8144,C8120,C8096,C8072,C8048,C8024,C8000,C7976,C7952,C7928,C7904,C7880)/POBLA!$B$6*100000</f>
        <v>605.54906714037543</v>
      </c>
      <c r="H8192" s="418">
        <f t="shared" si="653"/>
        <v>1.2462357693720161</v>
      </c>
      <c r="J8192" s="42"/>
    </row>
    <row r="8193" spans="1:10" ht="15.75" thickBot="1" x14ac:dyDescent="0.3">
      <c r="A8193" s="394" t="s">
        <v>31</v>
      </c>
      <c r="B8193" s="2">
        <v>44234</v>
      </c>
      <c r="C8193" s="1">
        <v>105</v>
      </c>
      <c r="D8193" s="39">
        <f t="shared" si="646"/>
        <v>42522</v>
      </c>
      <c r="E8193" s="1">
        <v>1</v>
      </c>
      <c r="F8193" s="39">
        <f t="shared" si="654"/>
        <v>761</v>
      </c>
      <c r="G8193" s="176">
        <f>SUM(C8193,C8169,C8145,C8121,C8097,C8073,C8049,C8025,C8001,C7977,C7953,C7929,C7905,C7881)/POBLA!$B$8*100000</f>
        <v>248.8526011915198</v>
      </c>
      <c r="H8193" s="527">
        <f t="shared" ref="H8193:H8209" si="655">SUM(C8193,C8169,C8145,C8121,C8097,C8073,C8049,C8025,C8001,C7977,C7953,C7929,C7905,C7881)/SUM(C7857,C7833,C7809,C7785,C7761,C7737,C7713,C7689,C7665,C7641,C7617,C7593,C7569,C7545)</f>
        <v>0.62346348517715111</v>
      </c>
    </row>
    <row r="8194" spans="1:10" s="393" customFormat="1" ht="15.75" thickBot="1" x14ac:dyDescent="0.3">
      <c r="A8194" s="394" t="s">
        <v>41</v>
      </c>
      <c r="B8194" s="2">
        <v>44234</v>
      </c>
      <c r="C8194" s="1">
        <v>10</v>
      </c>
      <c r="D8194" s="39">
        <f t="shared" si="646"/>
        <v>878</v>
      </c>
      <c r="E8194" s="1"/>
      <c r="F8194" s="39">
        <f t="shared" si="654"/>
        <v>9</v>
      </c>
      <c r="G8194" s="410">
        <f>SUM(C8194,C8170,C8146,C8122,C8098,C8074,C8050,C8026,C8002,C7978,C7954,C7930,C7906,C7882)/POBLA!$B$9*100000</f>
        <v>11.897031195007214</v>
      </c>
      <c r="H8194" s="418">
        <f t="shared" si="655"/>
        <v>0.13980582524271845</v>
      </c>
      <c r="J8194" s="42"/>
    </row>
    <row r="8195" spans="1:10" s="393" customFormat="1" ht="15.75" thickBot="1" x14ac:dyDescent="0.3">
      <c r="A8195" s="394" t="s">
        <v>32</v>
      </c>
      <c r="B8195" s="2">
        <v>44234</v>
      </c>
      <c r="C8195" s="1">
        <v>17</v>
      </c>
      <c r="D8195" s="39">
        <f t="shared" ref="D8195:D8258" si="656">C8195+D8171</f>
        <v>19520</v>
      </c>
      <c r="E8195" s="1">
        <v>3</v>
      </c>
      <c r="F8195" s="39">
        <f t="shared" si="654"/>
        <v>885</v>
      </c>
      <c r="G8195" s="410">
        <f>SUM(C8195,C8171,C8147,C8123,C8099,C8075,C8051,C8027,C8003,C7979,C7955,C7931,C7907,C7883)/POBLA!$B$10*100000</f>
        <v>55.391169324448256</v>
      </c>
      <c r="H8195" s="418">
        <f t="shared" si="655"/>
        <v>1.0491400491400491</v>
      </c>
      <c r="J8195" s="42"/>
    </row>
    <row r="8196" spans="1:10" s="393" customFormat="1" ht="15.75" thickBot="1" x14ac:dyDescent="0.3">
      <c r="A8196" s="394" t="s">
        <v>33</v>
      </c>
      <c r="B8196" s="2">
        <v>44234</v>
      </c>
      <c r="C8196" s="1">
        <v>58</v>
      </c>
      <c r="D8196" s="39">
        <f t="shared" si="656"/>
        <v>17088</v>
      </c>
      <c r="E8196" s="1"/>
      <c r="F8196" s="39">
        <f t="shared" si="654"/>
        <v>260</v>
      </c>
      <c r="G8196" s="410">
        <f>SUM(C8196,C8172,C8148,C8124,C8100,C8076,C8052,C8028,C8004,C7980,C7956,C7932,C7908,C7884)/POBLA!$B$11*100000</f>
        <v>361.29989844543394</v>
      </c>
      <c r="H8196" s="418">
        <f t="shared" si="655"/>
        <v>0.56476232010466643</v>
      </c>
      <c r="J8196" s="42"/>
    </row>
    <row r="8197" spans="1:10" s="393" customFormat="1" ht="15.75" thickBot="1" x14ac:dyDescent="0.3">
      <c r="A8197" s="394" t="s">
        <v>21</v>
      </c>
      <c r="B8197" s="2">
        <v>44234</v>
      </c>
      <c r="C8197" s="1">
        <v>32</v>
      </c>
      <c r="D8197" s="39">
        <f t="shared" si="656"/>
        <v>9685</v>
      </c>
      <c r="E8197" s="1"/>
      <c r="F8197" s="39">
        <f t="shared" si="654"/>
        <v>414</v>
      </c>
      <c r="G8197" s="410">
        <f>SUM(C8197,C8173,C8149,C8125,C8101,C8077,C8053,C8029,C8005,C7981,C7957,C7933,C7909,C7885)/POBLA!$B$12*100000</f>
        <v>62.765068063252961</v>
      </c>
      <c r="H8197" s="418">
        <f t="shared" si="655"/>
        <v>1.1026785714285714</v>
      </c>
      <c r="J8197" s="42"/>
    </row>
    <row r="8198" spans="1:10" s="393" customFormat="1" ht="15.75" thickBot="1" x14ac:dyDescent="0.3">
      <c r="A8198" s="394" t="s">
        <v>17</v>
      </c>
      <c r="B8198" s="2">
        <v>44234</v>
      </c>
      <c r="C8198" s="1">
        <v>38</v>
      </c>
      <c r="D8198" s="39">
        <f t="shared" si="656"/>
        <v>64728</v>
      </c>
      <c r="E8198" s="1">
        <v>3</v>
      </c>
      <c r="F8198" s="39">
        <f t="shared" si="654"/>
        <v>1398</v>
      </c>
      <c r="G8198" s="410">
        <f>SUM(C8198,C8174,C8150,C8126,C8102,C8078,C8054,C8030,C8006,C7982,C7958,C7934,C7910,C7886)/POBLA!$B$13*100000</f>
        <v>79.031802638546822</v>
      </c>
      <c r="H8198" s="418">
        <f t="shared" si="655"/>
        <v>0.84343163538874</v>
      </c>
      <c r="J8198" s="42"/>
    </row>
    <row r="8199" spans="1:10" s="393" customFormat="1" ht="15.75" thickBot="1" x14ac:dyDescent="0.3">
      <c r="A8199" s="394" t="s">
        <v>23</v>
      </c>
      <c r="B8199" s="2">
        <v>44234</v>
      </c>
      <c r="C8199" s="1">
        <v>204</v>
      </c>
      <c r="D8199" s="39">
        <f t="shared" si="656"/>
        <v>6062</v>
      </c>
      <c r="E8199" s="1">
        <v>2</v>
      </c>
      <c r="F8199" s="39">
        <f t="shared" si="654"/>
        <v>105</v>
      </c>
      <c r="G8199" s="410">
        <f>SUM(C8199,C8175,C8151,C8127,C8103,C8079,C8055,C8031,C8007,C7983,C7959,C7935,C7911,C7887)/POBLA!$B$14*100000</f>
        <v>205.74108812061263</v>
      </c>
      <c r="H8199" s="418">
        <f t="shared" si="655"/>
        <v>1.2833827893175074</v>
      </c>
      <c r="J8199" s="42"/>
    </row>
    <row r="8200" spans="1:10" s="393" customFormat="1" ht="15.75" thickBot="1" x14ac:dyDescent="0.3">
      <c r="A8200" s="394" t="s">
        <v>19</v>
      </c>
      <c r="B8200" s="2">
        <v>44234</v>
      </c>
      <c r="C8200" s="1">
        <v>162</v>
      </c>
      <c r="D8200" s="39">
        <f t="shared" si="656"/>
        <v>56655</v>
      </c>
      <c r="E8200" s="1">
        <v>1</v>
      </c>
      <c r="F8200" s="39">
        <f t="shared" si="654"/>
        <v>794</v>
      </c>
      <c r="G8200" s="410">
        <f>SUM(C8200,C8176,C8152,C8128,C8104,C8080,C8056,C8032,C8008,C7984,C7960,C7936,C7912,C7888)/POBLA!$B$15*100000</f>
        <v>853.84236594147796</v>
      </c>
      <c r="H8200" s="418">
        <f t="shared" si="655"/>
        <v>0.97172236503856046</v>
      </c>
      <c r="J8200" s="42"/>
    </row>
    <row r="8201" spans="1:10" s="393" customFormat="1" ht="15.75" thickBot="1" x14ac:dyDescent="0.3">
      <c r="A8201" s="394" t="s">
        <v>18</v>
      </c>
      <c r="B8201" s="2">
        <v>44234</v>
      </c>
      <c r="C8201" s="1">
        <v>59</v>
      </c>
      <c r="D8201" s="39">
        <f t="shared" si="656"/>
        <v>49377</v>
      </c>
      <c r="E8201" s="1"/>
      <c r="F8201" s="39">
        <f t="shared" si="654"/>
        <v>1098</v>
      </c>
      <c r="G8201" s="410">
        <f>SUM(C8201,C8177,C8153,C8129,C8105,C8081,C8057,C8033,C8009,C7985,C7961,C7937,C7913,C7889)/POBLA!$B$16*100000</f>
        <v>454.64881422131862</v>
      </c>
      <c r="H8201" s="418">
        <f t="shared" si="655"/>
        <v>0.75634178905206939</v>
      </c>
      <c r="J8201" s="42"/>
    </row>
    <row r="8202" spans="1:10" s="393" customFormat="1" ht="15.75" thickBot="1" x14ac:dyDescent="0.3">
      <c r="A8202" s="394" t="s">
        <v>34</v>
      </c>
      <c r="B8202" s="2">
        <v>44234</v>
      </c>
      <c r="C8202" s="1">
        <v>43</v>
      </c>
      <c r="D8202" s="39">
        <f t="shared" si="656"/>
        <v>24292</v>
      </c>
      <c r="E8202" s="1">
        <v>1</v>
      </c>
      <c r="F8202" s="39">
        <f t="shared" si="654"/>
        <v>1053</v>
      </c>
      <c r="G8202" s="410">
        <f>SUM(C8202,C8178,C8154,C8130,C8106,C8082,C8058,C8034,C8010,C7986,C7962,C7938,C7914,C7890)/POBLA!$B$17*100000</f>
        <v>59.674374489696341</v>
      </c>
      <c r="H8202" s="418">
        <f t="shared" si="655"/>
        <v>1.1612021857923498</v>
      </c>
      <c r="J8202" s="42"/>
    </row>
    <row r="8203" spans="1:10" s="393" customFormat="1" ht="15.75" thickBot="1" x14ac:dyDescent="0.3">
      <c r="A8203" s="394" t="s">
        <v>35</v>
      </c>
      <c r="B8203" s="2">
        <v>44234</v>
      </c>
      <c r="C8203" s="1">
        <v>9</v>
      </c>
      <c r="D8203" s="39">
        <f t="shared" si="656"/>
        <v>14289</v>
      </c>
      <c r="E8203" s="1"/>
      <c r="F8203" s="39">
        <f t="shared" si="654"/>
        <v>202</v>
      </c>
      <c r="G8203" s="410">
        <f>SUM(C8203,C8179,C8155,C8131,C8107,C8083,C8059,C8035,C8011,C7987,C7963,C7939,C7915,C7891)/POBLA!$B$18*100000</f>
        <v>95.236022769601789</v>
      </c>
      <c r="H8203" s="418">
        <f t="shared" si="655"/>
        <v>0.63972484952708508</v>
      </c>
      <c r="J8203" s="42"/>
    </row>
    <row r="8204" spans="1:10" s="393" customFormat="1" ht="15.75" thickBot="1" x14ac:dyDescent="0.3">
      <c r="A8204" s="394" t="s">
        <v>36</v>
      </c>
      <c r="B8204" s="2">
        <v>44234</v>
      </c>
      <c r="C8204" s="1">
        <v>1</v>
      </c>
      <c r="D8204" s="39">
        <f t="shared" si="656"/>
        <v>19106</v>
      </c>
      <c r="E8204" s="1"/>
      <c r="F8204" s="39">
        <f t="shared" si="654"/>
        <v>338</v>
      </c>
      <c r="G8204" s="410">
        <f>SUM(C8204,C8180,C8156,C8132,C8108,C8084,C8060,C8036,C8012,C7988,C7964,C7940,C7916,C7892)/POBLA!$B$19*100000</f>
        <v>128.46036417431264</v>
      </c>
      <c r="H8204" s="418">
        <f t="shared" si="655"/>
        <v>0.34206390780513357</v>
      </c>
      <c r="J8204" s="42"/>
    </row>
    <row r="8205" spans="1:10" s="393" customFormat="1" ht="15.75" thickBot="1" x14ac:dyDescent="0.3">
      <c r="A8205" s="394" t="s">
        <v>37</v>
      </c>
      <c r="B8205" s="2">
        <v>44234</v>
      </c>
      <c r="C8205" s="1">
        <v>49</v>
      </c>
      <c r="D8205" s="39">
        <f t="shared" si="656"/>
        <v>33794</v>
      </c>
      <c r="E8205" s="1">
        <v>1</v>
      </c>
      <c r="F8205" s="39">
        <f t="shared" si="654"/>
        <v>516</v>
      </c>
      <c r="G8205" s="410">
        <f>SUM(C8205,C8181,C8157,C8133,C8109,C8085,C8061,C8037,C8013,C7989,C7965,C7941,C7917,C7893)/POBLA!$B$20*100000</f>
        <v>633.30945206153717</v>
      </c>
      <c r="H8205" s="418">
        <f t="shared" si="655"/>
        <v>0.54061624649859941</v>
      </c>
      <c r="J8205" s="42"/>
    </row>
    <row r="8206" spans="1:10" s="393" customFormat="1" ht="15.75" thickBot="1" x14ac:dyDescent="0.3">
      <c r="A8206" s="394" t="s">
        <v>22</v>
      </c>
      <c r="B8206" s="2">
        <v>44234</v>
      </c>
      <c r="C8206" s="1">
        <v>157</v>
      </c>
      <c r="D8206" s="39">
        <f t="shared" si="656"/>
        <v>209205</v>
      </c>
      <c r="E8206" s="1">
        <v>3</v>
      </c>
      <c r="F8206" s="39">
        <f t="shared" si="654"/>
        <v>3705</v>
      </c>
      <c r="G8206" s="410">
        <f>SUM(C8206,C8182,C8158,C8134,C8110,C8086,C8062,C8038,C8014,C7990,C7966,C7942,C7918,C7894)/POBLA!$B$21*100000</f>
        <v>214.34117799423029</v>
      </c>
      <c r="H8206" s="418">
        <f t="shared" si="655"/>
        <v>0.49911108184631592</v>
      </c>
      <c r="J8206" s="42"/>
    </row>
    <row r="8207" spans="1:10" s="393" customFormat="1" ht="15.75" thickBot="1" x14ac:dyDescent="0.3">
      <c r="A8207" s="394" t="s">
        <v>38</v>
      </c>
      <c r="B8207" s="2">
        <v>44234</v>
      </c>
      <c r="C8207" s="1">
        <v>84</v>
      </c>
      <c r="D8207" s="39">
        <f t="shared" si="656"/>
        <v>21433</v>
      </c>
      <c r="E8207" s="1"/>
      <c r="F8207" s="39">
        <f t="shared" si="654"/>
        <v>247</v>
      </c>
      <c r="G8207" s="410">
        <f>SUM(C8207,C8183,C8159,C8135,C8111,C8087,C8063,C8039,C8015,C7991,C7967,C7943,C7919,C7895)/POBLA!$B$22*100000</f>
        <v>106.81653008801887</v>
      </c>
      <c r="H8207" s="418">
        <f t="shared" si="655"/>
        <v>0.59006211180124224</v>
      </c>
      <c r="J8207" s="42"/>
    </row>
    <row r="8208" spans="1:10" s="393" customFormat="1" ht="15.75" thickBot="1" x14ac:dyDescent="0.3">
      <c r="A8208" s="394" t="s">
        <v>39</v>
      </c>
      <c r="B8208" s="2">
        <v>44234</v>
      </c>
      <c r="C8208" s="1">
        <v>20</v>
      </c>
      <c r="D8208" s="39">
        <f t="shared" si="656"/>
        <v>22082</v>
      </c>
      <c r="E8208" s="1">
        <v>2</v>
      </c>
      <c r="F8208" s="39">
        <f t="shared" si="654"/>
        <v>340</v>
      </c>
      <c r="G8208" s="410">
        <f>SUM(C8208,C8184,C8160,C8136,C8112,C8088,C8064,C8040,C8016,C7992,C7968,C7944,C7920,C7896)/POBLA!$B$23*100000</f>
        <v>391.33631171181361</v>
      </c>
      <c r="H8208" s="418">
        <f t="shared" si="655"/>
        <v>0.5676784249384742</v>
      </c>
      <c r="J8208" s="42"/>
    </row>
    <row r="8209" spans="1:10" s="393" customFormat="1" ht="15.75" thickBot="1" x14ac:dyDescent="0.3">
      <c r="A8209" s="394" t="s">
        <v>40</v>
      </c>
      <c r="B8209" s="2">
        <v>44234</v>
      </c>
      <c r="C8209" s="1">
        <v>66</v>
      </c>
      <c r="D8209" s="177">
        <f t="shared" si="656"/>
        <v>77310</v>
      </c>
      <c r="E8209" s="1"/>
      <c r="F8209" s="177">
        <f t="shared" si="654"/>
        <v>1438</v>
      </c>
      <c r="G8209" s="410">
        <f>SUM(C8209,C8185,C8161,C8137,C8113,C8089,C8065,C8041,C8017,C7993,C7969,C7945,C7921,C7897)/POBLA!$B$24*100000</f>
        <v>119.55228671777635</v>
      </c>
      <c r="H8209" s="419">
        <f t="shared" si="655"/>
        <v>0.8282910874897792</v>
      </c>
      <c r="J8209" s="42"/>
    </row>
    <row r="8210" spans="1:10" s="393" customFormat="1" ht="15.75" thickBot="1" x14ac:dyDescent="0.3">
      <c r="A8210" s="394" t="s">
        <v>16</v>
      </c>
      <c r="B8210" s="2">
        <v>44235</v>
      </c>
      <c r="C8210" s="1">
        <v>2095</v>
      </c>
      <c r="D8210" s="175">
        <f t="shared" si="656"/>
        <v>828576</v>
      </c>
      <c r="E8210" s="1">
        <v>112</v>
      </c>
      <c r="F8210" s="175">
        <f>E8210+F8186</f>
        <v>25107</v>
      </c>
      <c r="G8210" s="410">
        <f>SUM(C8210,C8186,C8162,C8138,C8114,C8090,C8066,C8042,C8018,C7994,C7970,C7946,C7922,C7898)/POBLA!$B$1*100000</f>
        <v>269.07029594026983</v>
      </c>
      <c r="H8210" s="416">
        <f t="shared" ref="H8210:H8216" si="657">SUM(C8210,C8186,C8162,C8138,C8114,C8090,C8066,C8042,C8018,C7994,C7970,C7946,C7922,C7898)/SUM(C7874,C7850,C7826,C7802,C7778,C7754,C7730,C7706,C7682,C7658,C7634,C7610,C7586,C7562)</f>
        <v>0.83916506649598177</v>
      </c>
      <c r="J8210" s="42"/>
    </row>
    <row r="8211" spans="1:10" s="393" customFormat="1" ht="15.75" thickBot="1" x14ac:dyDescent="0.3">
      <c r="A8211" s="394" t="s">
        <v>43</v>
      </c>
      <c r="B8211" s="2">
        <v>44235</v>
      </c>
      <c r="C8211" s="1">
        <v>699</v>
      </c>
      <c r="D8211" s="39">
        <f t="shared" si="656"/>
        <v>217766</v>
      </c>
      <c r="E8211" s="1">
        <v>29</v>
      </c>
      <c r="F8211" s="39">
        <f t="shared" ref="F8211:F8233" si="658">E8211+F8187</f>
        <v>6199</v>
      </c>
      <c r="G8211" s="410">
        <f>SUM(C8211,C8187,C8163,C8139,C8115,C8091,C8067,C8043,C8019,C7995,C7971,C7947,C7923,C7899)/POBLA!$B$2*100000</f>
        <v>457.10722235263745</v>
      </c>
      <c r="H8211" s="418">
        <f t="shared" si="657"/>
        <v>0.83909280811698006</v>
      </c>
      <c r="J8211" s="42"/>
    </row>
    <row r="8212" spans="1:10" s="393" customFormat="1" ht="15.75" thickBot="1" x14ac:dyDescent="0.3">
      <c r="A8212" s="394" t="s">
        <v>28</v>
      </c>
      <c r="B8212" s="2">
        <v>44235</v>
      </c>
      <c r="C8212" s="1">
        <v>133</v>
      </c>
      <c r="D8212" s="39">
        <f t="shared" si="656"/>
        <v>6324</v>
      </c>
      <c r="E8212" s="1"/>
      <c r="F8212" s="39">
        <f t="shared" si="658"/>
        <v>17</v>
      </c>
      <c r="G8212" s="410">
        <f>SUM(C8212,C8188,C8164,C8140,C8116,C8092,C8068,C8044,C8020,C7996,C7972,C7948,C7924,C7900)/POBLA!$B$3*100000</f>
        <v>376.22942532941136</v>
      </c>
      <c r="H8212" s="418">
        <f t="shared" si="657"/>
        <v>1.0038535645472062</v>
      </c>
      <c r="J8212" s="42"/>
    </row>
    <row r="8213" spans="1:10" s="393" customFormat="1" ht="15.75" thickBot="1" x14ac:dyDescent="0.3">
      <c r="A8213" s="394" t="s">
        <v>15</v>
      </c>
      <c r="B8213" s="2">
        <v>44235</v>
      </c>
      <c r="C8213" s="1">
        <v>64</v>
      </c>
      <c r="D8213" s="39">
        <f t="shared" si="656"/>
        <v>31730</v>
      </c>
      <c r="E8213" s="1">
        <v>12</v>
      </c>
      <c r="F8213" s="39">
        <f t="shared" si="658"/>
        <v>821</v>
      </c>
      <c r="G8213" s="410">
        <f>SUM(C8213,C8189,C8165,C8141,C8117,C8093,C8069,C8045,C8021,C7997,C7973,C7949,C7925,C7901)/POBLA!$B$4*100000</f>
        <v>152.75528188745756</v>
      </c>
      <c r="H8213" s="418">
        <f t="shared" si="657"/>
        <v>0.65550409690060563</v>
      </c>
      <c r="J8213" s="42"/>
    </row>
    <row r="8214" spans="1:10" s="393" customFormat="1" ht="15.75" thickBot="1" x14ac:dyDescent="0.3">
      <c r="A8214" s="394" t="s">
        <v>29</v>
      </c>
      <c r="B8214" s="2">
        <v>44235</v>
      </c>
      <c r="C8214" s="1">
        <v>238</v>
      </c>
      <c r="D8214" s="39">
        <f t="shared" si="656"/>
        <v>44150</v>
      </c>
      <c r="E8214" s="1">
        <v>4</v>
      </c>
      <c r="F8214" s="39">
        <f t="shared" si="658"/>
        <v>675</v>
      </c>
      <c r="G8214" s="410">
        <f>SUM(C8214,C8190,C8166,C8142,C8118,C8094,C8070,C8046,C8022,C7998,C7974,C7950,C7926,C7902)/POBLA!$B$5*100000</f>
        <v>579.97331153452217</v>
      </c>
      <c r="H8214" s="418">
        <f t="shared" si="657"/>
        <v>0.7581837381203802</v>
      </c>
      <c r="J8214" s="42"/>
    </row>
    <row r="8215" spans="1:10" s="393" customFormat="1" ht="15.75" thickBot="1" x14ac:dyDescent="0.3">
      <c r="A8215" s="394" t="s">
        <v>30</v>
      </c>
      <c r="B8215" s="2">
        <v>44235</v>
      </c>
      <c r="C8215" s="1">
        <v>82</v>
      </c>
      <c r="D8215" s="39">
        <f t="shared" si="656"/>
        <v>18815</v>
      </c>
      <c r="E8215" s="1">
        <v>2</v>
      </c>
      <c r="F8215" s="39">
        <f t="shared" si="658"/>
        <v>208</v>
      </c>
      <c r="G8215" s="410">
        <f>SUM(C8215,C8191,C8167,C8143,C8119,C8095,C8071,C8047,C8023,C7999,C7975,C7951,C7927,C7903)/POBLA!$B$7*100000</f>
        <v>62.545705966041297</v>
      </c>
      <c r="H8215" s="418">
        <f t="shared" si="657"/>
        <v>0.48049029622063327</v>
      </c>
      <c r="J8215" s="42"/>
    </row>
    <row r="8216" spans="1:10" s="393" customFormat="1" ht="15.75" thickBot="1" x14ac:dyDescent="0.3">
      <c r="A8216" s="394" t="s">
        <v>20</v>
      </c>
      <c r="B8216" s="2">
        <v>44235</v>
      </c>
      <c r="C8216" s="1">
        <v>198</v>
      </c>
      <c r="D8216" s="39">
        <f t="shared" si="656"/>
        <v>148469</v>
      </c>
      <c r="E8216" s="1">
        <v>4</v>
      </c>
      <c r="F8216" s="39">
        <f t="shared" si="658"/>
        <v>2740</v>
      </c>
      <c r="G8216" s="410">
        <f>SUM(C8216,C8192,C8168,C8144,C8120,C8096,C8072,C8048,C8024,C8000,C7976,C7952,C7928,C7904)/POBLA!$B$6*100000</f>
        <v>592.87955667419999</v>
      </c>
      <c r="H8216" s="418">
        <f t="shared" si="657"/>
        <v>1.1830158447569876</v>
      </c>
      <c r="J8216" s="42"/>
    </row>
    <row r="8217" spans="1:10" ht="15.75" thickBot="1" x14ac:dyDescent="0.3">
      <c r="A8217" s="394" t="s">
        <v>31</v>
      </c>
      <c r="B8217" s="2">
        <v>44235</v>
      </c>
      <c r="C8217" s="1">
        <v>70</v>
      </c>
      <c r="D8217" s="39">
        <f t="shared" si="656"/>
        <v>42592</v>
      </c>
      <c r="E8217" s="1">
        <v>8</v>
      </c>
      <c r="F8217" s="39">
        <f t="shared" si="658"/>
        <v>769</v>
      </c>
      <c r="G8217" s="176">
        <f>SUM(C8217,C8193,C8169,C8145,C8121,C8097,C8073,C8049,C8025,C8001,C7977,C7953,C7929,C7905)/POBLA!$B$8*100000</f>
        <v>232.1133134337835</v>
      </c>
      <c r="H8217" s="527">
        <f t="shared" ref="H8217:H8233" si="659">SUM(C8217,C8193,C8169,C8145,C8121,C8097,C8073,C8049,C8025,C8001,C7977,C7953,C7929,C7905)/SUM(C7881,C7857,C7833,C7809,C7785,C7761,C7737,C7713,C7689,C7665,C7641,C7617,C7593,C7569)</f>
        <v>0.56887709991158264</v>
      </c>
    </row>
    <row r="8218" spans="1:10" s="393" customFormat="1" ht="15.75" thickBot="1" x14ac:dyDescent="0.3">
      <c r="A8218" s="394" t="s">
        <v>41</v>
      </c>
      <c r="B8218" s="2">
        <v>44235</v>
      </c>
      <c r="C8218" s="1">
        <v>7</v>
      </c>
      <c r="D8218" s="39">
        <f t="shared" si="656"/>
        <v>885</v>
      </c>
      <c r="E8218" s="1"/>
      <c r="F8218" s="39">
        <f t="shared" si="658"/>
        <v>9</v>
      </c>
      <c r="G8218" s="410">
        <f>SUM(C8218,C8194,C8170,C8146,C8122,C8098,C8074,C8050,C8026,C8002,C7978,C7954,C7930,C7906)/POBLA!$B$9*100000</f>
        <v>12.888450461257813</v>
      </c>
      <c r="H8218" s="418">
        <f t="shared" si="659"/>
        <v>0.15757575757575756</v>
      </c>
      <c r="J8218" s="42"/>
    </row>
    <row r="8219" spans="1:10" s="393" customFormat="1" ht="15.75" thickBot="1" x14ac:dyDescent="0.3">
      <c r="A8219" s="394" t="s">
        <v>32</v>
      </c>
      <c r="B8219" s="2">
        <v>44235</v>
      </c>
      <c r="C8219" s="1">
        <v>27</v>
      </c>
      <c r="D8219" s="39">
        <f t="shared" si="656"/>
        <v>19547</v>
      </c>
      <c r="E8219" s="1"/>
      <c r="F8219" s="39">
        <f t="shared" si="658"/>
        <v>885</v>
      </c>
      <c r="G8219" s="410">
        <f>SUM(C8219,C8195,C8171,C8147,C8123,C8099,C8075,C8051,C8027,C8003,C7979,C7955,C7931,C7907)/POBLA!$B$10*100000</f>
        <v>57.985603484843971</v>
      </c>
      <c r="H8219" s="418">
        <f t="shared" si="659"/>
        <v>1.1259445843828715</v>
      </c>
      <c r="J8219" s="42"/>
    </row>
    <row r="8220" spans="1:10" s="393" customFormat="1" ht="15.75" thickBot="1" x14ac:dyDescent="0.3">
      <c r="A8220" s="394" t="s">
        <v>33</v>
      </c>
      <c r="B8220" s="2">
        <v>44235</v>
      </c>
      <c r="C8220" s="1">
        <v>103</v>
      </c>
      <c r="D8220" s="39">
        <f t="shared" si="656"/>
        <v>17191</v>
      </c>
      <c r="E8220" s="1">
        <v>5</v>
      </c>
      <c r="F8220" s="39">
        <f t="shared" si="658"/>
        <v>265</v>
      </c>
      <c r="G8220" s="410">
        <f>SUM(C8220,C8196,C8172,C8148,C8124,C8100,C8076,C8052,C8028,C8004,C7980,C7956,C7932,C7908)/POBLA!$B$11*100000</f>
        <v>361.85789056658518</v>
      </c>
      <c r="H8220" s="418">
        <f t="shared" si="659"/>
        <v>0.59196713829301684</v>
      </c>
      <c r="J8220" s="42"/>
    </row>
    <row r="8221" spans="1:10" s="393" customFormat="1" ht="15.75" thickBot="1" x14ac:dyDescent="0.3">
      <c r="A8221" s="394" t="s">
        <v>21</v>
      </c>
      <c r="B8221" s="2">
        <v>44235</v>
      </c>
      <c r="C8221" s="1">
        <v>10</v>
      </c>
      <c r="D8221" s="39">
        <f t="shared" si="656"/>
        <v>9695</v>
      </c>
      <c r="E8221" s="1">
        <v>1</v>
      </c>
      <c r="F8221" s="39">
        <f t="shared" si="658"/>
        <v>415</v>
      </c>
      <c r="G8221" s="410">
        <f>SUM(C8221,C8197,C8173,C8149,C8125,C8101,C8077,C8053,C8029,C8005,C7981,C7957,C7933,C7909)/POBLA!$B$12*100000</f>
        <v>64.543835174357298</v>
      </c>
      <c r="H8221" s="418">
        <f t="shared" si="659"/>
        <v>1.1869158878504673</v>
      </c>
      <c r="J8221" s="42"/>
    </row>
    <row r="8222" spans="1:10" s="393" customFormat="1" ht="15.75" thickBot="1" x14ac:dyDescent="0.3">
      <c r="A8222" s="394" t="s">
        <v>17</v>
      </c>
      <c r="B8222" s="2">
        <v>44235</v>
      </c>
      <c r="C8222" s="1">
        <v>118</v>
      </c>
      <c r="D8222" s="39">
        <f t="shared" si="656"/>
        <v>64846</v>
      </c>
      <c r="E8222" s="1">
        <v>3</v>
      </c>
      <c r="F8222" s="39">
        <f t="shared" si="658"/>
        <v>1401</v>
      </c>
      <c r="G8222" s="410">
        <f>SUM(C8222,C8198,C8174,C8150,C8126,C8102,C8078,C8054,C8030,C8006,C7982,C7958,C7934,C7910)/POBLA!$B$13*100000</f>
        <v>82.197094161896118</v>
      </c>
      <c r="H8222" s="418">
        <f t="shared" si="659"/>
        <v>0.90137741046831954</v>
      </c>
      <c r="J8222" s="42"/>
    </row>
    <row r="8223" spans="1:10" s="393" customFormat="1" ht="15.75" thickBot="1" x14ac:dyDescent="0.3">
      <c r="A8223" s="394" t="s">
        <v>23</v>
      </c>
      <c r="B8223" s="2">
        <v>44235</v>
      </c>
      <c r="C8223" s="1">
        <v>56</v>
      </c>
      <c r="D8223" s="39">
        <f t="shared" si="656"/>
        <v>6118</v>
      </c>
      <c r="E8223" s="1">
        <v>2</v>
      </c>
      <c r="F8223" s="39">
        <f t="shared" si="658"/>
        <v>107</v>
      </c>
      <c r="G8223" s="410">
        <f>SUM(C8223,C8199,C8175,C8151,C8127,C8103,C8079,C8055,C8031,C8007,C7983,C7959,C7935,C7911)/POBLA!$B$14*100000</f>
        <v>198.68484270915425</v>
      </c>
      <c r="H8223" s="418">
        <f t="shared" si="659"/>
        <v>1.1699346405228759</v>
      </c>
      <c r="J8223" s="42"/>
    </row>
    <row r="8224" spans="1:10" s="393" customFormat="1" ht="15.75" thickBot="1" x14ac:dyDescent="0.3">
      <c r="A8224" s="394" t="s">
        <v>19</v>
      </c>
      <c r="B8224" s="2">
        <v>44235</v>
      </c>
      <c r="C8224" s="1">
        <v>272</v>
      </c>
      <c r="D8224" s="39">
        <f t="shared" si="656"/>
        <v>56927</v>
      </c>
      <c r="E8224" s="1">
        <v>1</v>
      </c>
      <c r="F8224" s="39">
        <f t="shared" si="658"/>
        <v>795</v>
      </c>
      <c r="G8224" s="410">
        <f>SUM(C8224,C8200,C8176,C8152,C8128,C8104,C8080,C8056,C8032,C8008,C7984,C7960,C7936,C7912)/POBLA!$B$15*100000</f>
        <v>811.6773108332568</v>
      </c>
      <c r="H8224" s="418">
        <f t="shared" si="659"/>
        <v>0.90103644266131733</v>
      </c>
      <c r="J8224" s="42"/>
    </row>
    <row r="8225" spans="1:10" s="393" customFormat="1" ht="15.75" thickBot="1" x14ac:dyDescent="0.3">
      <c r="A8225" s="394" t="s">
        <v>18</v>
      </c>
      <c r="B8225" s="2">
        <v>44235</v>
      </c>
      <c r="C8225" s="1">
        <v>213</v>
      </c>
      <c r="D8225" s="39">
        <f t="shared" si="656"/>
        <v>49590</v>
      </c>
      <c r="E8225" s="1">
        <v>4</v>
      </c>
      <c r="F8225" s="39">
        <f t="shared" si="658"/>
        <v>1102</v>
      </c>
      <c r="G8225" s="410">
        <f>SUM(C8225,C8201,C8177,C8153,C8129,C8105,C8081,C8057,C8033,C8009,C7985,C7961,C7937,C7913)/POBLA!$B$16*100000</f>
        <v>449.03091183906054</v>
      </c>
      <c r="H8225" s="418">
        <f t="shared" si="659"/>
        <v>0.76312798363264378</v>
      </c>
      <c r="J8225" s="42"/>
    </row>
    <row r="8226" spans="1:10" s="393" customFormat="1" ht="15.75" thickBot="1" x14ac:dyDescent="0.3">
      <c r="A8226" s="394" t="s">
        <v>34</v>
      </c>
      <c r="B8226" s="2">
        <v>44235</v>
      </c>
      <c r="C8226" s="1">
        <v>26</v>
      </c>
      <c r="D8226" s="39">
        <f t="shared" si="656"/>
        <v>24318</v>
      </c>
      <c r="E8226" s="1"/>
      <c r="F8226" s="39">
        <f t="shared" si="658"/>
        <v>1053</v>
      </c>
      <c r="G8226" s="410">
        <f>SUM(C8226,C8202,C8178,C8154,C8130,C8106,C8082,C8058,C8034,C8010,C7986,C7962,C7938,C7914)/POBLA!$B$17*100000</f>
        <v>59.955195075530213</v>
      </c>
      <c r="H8226" s="418">
        <f t="shared" si="659"/>
        <v>1.2113475177304964</v>
      </c>
      <c r="J8226" s="42"/>
    </row>
    <row r="8227" spans="1:10" s="393" customFormat="1" ht="15.75" thickBot="1" x14ac:dyDescent="0.3">
      <c r="A8227" s="394" t="s">
        <v>35</v>
      </c>
      <c r="B8227" s="2">
        <v>44235</v>
      </c>
      <c r="C8227" s="1">
        <v>48</v>
      </c>
      <c r="D8227" s="39">
        <f t="shared" si="656"/>
        <v>14337</v>
      </c>
      <c r="E8227" s="1"/>
      <c r="F8227" s="39">
        <f t="shared" si="658"/>
        <v>202</v>
      </c>
      <c r="G8227" s="410">
        <f>SUM(C8227,C8203,C8179,C8155,C8131,C8107,C8083,C8059,C8035,C8011,C7987,C7963,C7939,C7915)/POBLA!$B$18*100000</f>
        <v>91.139849747253322</v>
      </c>
      <c r="H8227" s="418">
        <f t="shared" si="659"/>
        <v>0.61538461538461542</v>
      </c>
      <c r="J8227" s="42"/>
    </row>
    <row r="8228" spans="1:10" s="393" customFormat="1" ht="15.75" thickBot="1" x14ac:dyDescent="0.3">
      <c r="A8228" s="394" t="s">
        <v>36</v>
      </c>
      <c r="B8228" s="2">
        <v>44235</v>
      </c>
      <c r="C8228" s="1">
        <v>6</v>
      </c>
      <c r="D8228" s="39">
        <f t="shared" si="656"/>
        <v>19112</v>
      </c>
      <c r="E8228" s="1"/>
      <c r="F8228" s="39">
        <f t="shared" si="658"/>
        <v>338</v>
      </c>
      <c r="G8228" s="410">
        <f>SUM(C8228,C8204,C8180,C8156,C8132,C8108,C8084,C8060,C8036,C8012,C7988,C7964,C7940,C7916)/POBLA!$B$19*100000</f>
        <v>70.623691789553206</v>
      </c>
      <c r="H8228" s="418">
        <f t="shared" si="659"/>
        <v>0.16775700934579441</v>
      </c>
      <c r="J8228" s="42"/>
    </row>
    <row r="8229" spans="1:10" s="393" customFormat="1" ht="15.75" thickBot="1" x14ac:dyDescent="0.3">
      <c r="A8229" s="394" t="s">
        <v>37</v>
      </c>
      <c r="B8229" s="2">
        <v>44235</v>
      </c>
      <c r="C8229" s="1">
        <v>133</v>
      </c>
      <c r="D8229" s="39">
        <f t="shared" si="656"/>
        <v>33927</v>
      </c>
      <c r="E8229" s="1">
        <v>1</v>
      </c>
      <c r="F8229" s="39">
        <f t="shared" si="658"/>
        <v>517</v>
      </c>
      <c r="G8229" s="410">
        <f>SUM(C8229,C8205,C8181,C8157,C8133,C8109,C8085,C8061,C8037,C8013,C7989,C7965,C7941,C7917)/POBLA!$B$20*100000</f>
        <v>624.0121630416354</v>
      </c>
      <c r="H8229" s="418">
        <f t="shared" si="659"/>
        <v>0.55536626916524701</v>
      </c>
      <c r="J8229" s="42"/>
    </row>
    <row r="8230" spans="1:10" s="393" customFormat="1" ht="15.75" thickBot="1" x14ac:dyDescent="0.3">
      <c r="A8230" s="394" t="s">
        <v>22</v>
      </c>
      <c r="B8230" s="2">
        <v>44235</v>
      </c>
      <c r="C8230" s="1">
        <v>297</v>
      </c>
      <c r="D8230" s="39">
        <f t="shared" si="656"/>
        <v>209502</v>
      </c>
      <c r="E8230" s="1">
        <v>32</v>
      </c>
      <c r="F8230" s="39">
        <f t="shared" si="658"/>
        <v>3737</v>
      </c>
      <c r="G8230" s="410">
        <f>SUM(C8230,C8206,C8182,C8158,C8134,C8110,C8086,C8062,C8038,C8014,C7990,C7966,C7942,C7918)/POBLA!$B$21*100000</f>
        <v>209.10989594555849</v>
      </c>
      <c r="H8230" s="418">
        <f t="shared" si="659"/>
        <v>0.5066109474549565</v>
      </c>
      <c r="J8230" s="42"/>
    </row>
    <row r="8231" spans="1:10" s="393" customFormat="1" ht="15.75" thickBot="1" x14ac:dyDescent="0.3">
      <c r="A8231" s="394" t="s">
        <v>38</v>
      </c>
      <c r="B8231" s="2">
        <v>44235</v>
      </c>
      <c r="C8231" s="1">
        <v>59</v>
      </c>
      <c r="D8231" s="39">
        <f t="shared" si="656"/>
        <v>21492</v>
      </c>
      <c r="E8231" s="1">
        <v>4</v>
      </c>
      <c r="F8231" s="39">
        <f t="shared" si="658"/>
        <v>251</v>
      </c>
      <c r="G8231" s="410">
        <f>SUM(C8231,C8207,C8183,C8159,C8135,C8111,C8087,C8063,C8039,C8015,C7991,C7967,C7943,C7919)/POBLA!$B$22*100000</f>
        <v>104.26111070792271</v>
      </c>
      <c r="H8231" s="418">
        <f t="shared" si="659"/>
        <v>0.60570071258907365</v>
      </c>
      <c r="J8231" s="42"/>
    </row>
    <row r="8232" spans="1:10" s="393" customFormat="1" ht="15.75" thickBot="1" x14ac:dyDescent="0.3">
      <c r="A8232" s="394" t="s">
        <v>39</v>
      </c>
      <c r="B8232" s="2">
        <v>44235</v>
      </c>
      <c r="C8232" s="1">
        <v>93</v>
      </c>
      <c r="D8232" s="39">
        <f t="shared" si="656"/>
        <v>22175</v>
      </c>
      <c r="E8232" s="1">
        <v>2</v>
      </c>
      <c r="F8232" s="39">
        <f t="shared" si="658"/>
        <v>342</v>
      </c>
      <c r="G8232" s="410">
        <f>SUM(C8232,C8208,C8184,C8160,C8136,C8112,C8088,C8064,C8040,C8016,C7992,C7968,C7944,C7920)/POBLA!$B$23*100000</f>
        <v>370.41226036306057</v>
      </c>
      <c r="H8232" s="418">
        <f t="shared" si="659"/>
        <v>0.51819620253164556</v>
      </c>
      <c r="J8232" s="42"/>
    </row>
    <row r="8233" spans="1:10" s="393" customFormat="1" ht="15.75" thickBot="1" x14ac:dyDescent="0.3">
      <c r="A8233" s="394" t="s">
        <v>40</v>
      </c>
      <c r="B8233" s="2">
        <v>44235</v>
      </c>
      <c r="C8233" s="1">
        <v>107</v>
      </c>
      <c r="D8233" s="177">
        <f t="shared" si="656"/>
        <v>77417</v>
      </c>
      <c r="E8233" s="1"/>
      <c r="F8233" s="177">
        <f t="shared" si="658"/>
        <v>1438</v>
      </c>
      <c r="G8233" s="410">
        <f>SUM(C8233,C8209,C8185,C8161,C8137,C8113,C8089,C8065,C8041,C8017,C7993,C7969,C7945,C7921)/POBLA!$B$24*100000</f>
        <v>117.6639978851165</v>
      </c>
      <c r="H8233" s="419">
        <f t="shared" si="659"/>
        <v>0.85800344234079173</v>
      </c>
      <c r="J8233" s="42"/>
    </row>
    <row r="8234" spans="1:10" s="393" customFormat="1" ht="15.75" thickBot="1" x14ac:dyDescent="0.3">
      <c r="A8234" s="394" t="s">
        <v>16</v>
      </c>
      <c r="B8234" s="2">
        <v>44236</v>
      </c>
      <c r="C8234" s="1">
        <v>3363</v>
      </c>
      <c r="D8234" s="175">
        <f t="shared" si="656"/>
        <v>831939</v>
      </c>
      <c r="E8234" s="1">
        <v>97</v>
      </c>
      <c r="F8234" s="175">
        <f>E8234+F8210</f>
        <v>25204</v>
      </c>
      <c r="G8234" s="410">
        <f>SUM(C8234,C8210,C8186,C8162,C8138,C8114,C8090,C8066,C8042,C8018,C7994,C7970,C7946,C7922)/POBLA!$B$1*100000</f>
        <v>262.16652611138579</v>
      </c>
      <c r="H8234" s="416">
        <f t="shared" ref="H8234:H8240" si="660">SUM(C8234,C8210,C8186,C8162,C8138,C8114,C8090,C8066,C8042,C8018,C7994,C7970,C7946,C7922)/SUM(C7898,C7874,C7850,C7826,C7802,C7778,C7754,C7730,C7706,C7682,C7658,C7634,C7610,C7586)</f>
        <v>0.82995542240430253</v>
      </c>
      <c r="J8234" s="42"/>
    </row>
    <row r="8235" spans="1:10" s="393" customFormat="1" ht="15.75" thickBot="1" x14ac:dyDescent="0.3">
      <c r="A8235" s="394" t="s">
        <v>43</v>
      </c>
      <c r="B8235" s="2">
        <v>44236</v>
      </c>
      <c r="C8235" s="1">
        <v>986</v>
      </c>
      <c r="D8235" s="39">
        <f t="shared" si="656"/>
        <v>218752</v>
      </c>
      <c r="E8235" s="1">
        <v>3</v>
      </c>
      <c r="F8235" s="39">
        <f t="shared" ref="F8235:F8257" si="661">E8235+F8211</f>
        <v>6202</v>
      </c>
      <c r="G8235" s="410">
        <f>SUM(C8235,C8211,C8187,C8163,C8139,C8115,C8091,C8067,C8043,C8019,C7995,C7971,C7947,C7923)/POBLA!$B$2*100000</f>
        <v>447.2231199559377</v>
      </c>
      <c r="H8235" s="418">
        <f t="shared" si="660"/>
        <v>0.83429368593437259</v>
      </c>
      <c r="J8235" s="42"/>
    </row>
    <row r="8236" spans="1:10" s="393" customFormat="1" ht="15.75" thickBot="1" x14ac:dyDescent="0.3">
      <c r="A8236" s="394" t="s">
        <v>28</v>
      </c>
      <c r="B8236" s="2">
        <v>44236</v>
      </c>
      <c r="C8236" s="1">
        <v>83</v>
      </c>
      <c r="D8236" s="39">
        <f t="shared" si="656"/>
        <v>6407</v>
      </c>
      <c r="E8236" s="1"/>
      <c r="F8236" s="39">
        <f t="shared" si="661"/>
        <v>17</v>
      </c>
      <c r="G8236" s="410">
        <f>SUM(C8236,C8212,C8188,C8164,C8140,C8116,C8092,C8068,C8044,C8020,C7996,C7972,C7948,C7924)/POBLA!$B$3*100000</f>
        <v>377.67368415985061</v>
      </c>
      <c r="H8236" s="418">
        <f t="shared" si="660"/>
        <v>1.0109536082474226</v>
      </c>
      <c r="J8236" s="42"/>
    </row>
    <row r="8237" spans="1:10" s="393" customFormat="1" ht="15.75" thickBot="1" x14ac:dyDescent="0.3">
      <c r="A8237" s="394" t="s">
        <v>15</v>
      </c>
      <c r="B8237" s="2">
        <v>44236</v>
      </c>
      <c r="C8237" s="1">
        <v>161</v>
      </c>
      <c r="D8237" s="39">
        <f t="shared" si="656"/>
        <v>31891</v>
      </c>
      <c r="E8237" s="1">
        <v>2</v>
      </c>
      <c r="F8237" s="39">
        <f t="shared" si="661"/>
        <v>823</v>
      </c>
      <c r="G8237" s="410">
        <f>SUM(C8237,C8213,C8189,C8165,C8141,C8117,C8093,C8069,C8045,C8021,C7997,C7973,C7949,C7925)/POBLA!$B$4*100000</f>
        <v>151.42697508843617</v>
      </c>
      <c r="H8237" s="418">
        <f t="shared" si="660"/>
        <v>0.67132867132867136</v>
      </c>
      <c r="J8237" s="42"/>
    </row>
    <row r="8238" spans="1:10" s="393" customFormat="1" ht="15.75" thickBot="1" x14ac:dyDescent="0.3">
      <c r="A8238" s="394" t="s">
        <v>29</v>
      </c>
      <c r="B8238" s="2">
        <v>44236</v>
      </c>
      <c r="C8238" s="1">
        <v>251</v>
      </c>
      <c r="D8238" s="39">
        <f t="shared" si="656"/>
        <v>44401</v>
      </c>
      <c r="E8238" s="1">
        <v>2</v>
      </c>
      <c r="F8238" s="39">
        <f t="shared" si="661"/>
        <v>677</v>
      </c>
      <c r="G8238" s="410">
        <f>SUM(C8238,C8214,C8190,C8166,C8142,C8118,C8094,C8070,C8046,C8022,C7998,C7974,C7950,C7926)/POBLA!$B$5*100000</f>
        <v>568.82619217633771</v>
      </c>
      <c r="H8238" s="418">
        <f t="shared" si="660"/>
        <v>0.79070289692342244</v>
      </c>
      <c r="J8238" s="42"/>
    </row>
    <row r="8239" spans="1:10" s="393" customFormat="1" ht="15.75" thickBot="1" x14ac:dyDescent="0.3">
      <c r="A8239" s="394" t="s">
        <v>30</v>
      </c>
      <c r="B8239" s="2">
        <v>44236</v>
      </c>
      <c r="C8239" s="1">
        <v>159</v>
      </c>
      <c r="D8239" s="39">
        <f t="shared" si="656"/>
        <v>18974</v>
      </c>
      <c r="E8239" s="1"/>
      <c r="F8239" s="39">
        <f t="shared" si="661"/>
        <v>208</v>
      </c>
      <c r="G8239" s="410">
        <f>SUM(C8239,C8215,C8191,C8167,C8143,C8119,C8095,C8071,C8047,C8023,C7999,C7975,C7951,C7927)/POBLA!$B$7*100000</f>
        <v>62.332965469558168</v>
      </c>
      <c r="H8239" s="418">
        <f t="shared" si="660"/>
        <v>0.54868913857677903</v>
      </c>
      <c r="J8239" s="42"/>
    </row>
    <row r="8240" spans="1:10" s="393" customFormat="1" ht="15.75" thickBot="1" x14ac:dyDescent="0.3">
      <c r="A8240" s="394" t="s">
        <v>20</v>
      </c>
      <c r="B8240" s="2">
        <v>44236</v>
      </c>
      <c r="C8240" s="1">
        <v>680</v>
      </c>
      <c r="D8240" s="39">
        <f t="shared" si="656"/>
        <v>149149</v>
      </c>
      <c r="E8240" s="1">
        <v>5</v>
      </c>
      <c r="F8240" s="39">
        <f t="shared" si="661"/>
        <v>2745</v>
      </c>
      <c r="G8240" s="410">
        <f>SUM(C8240,C8216,C8192,C8168,C8144,C8120,C8096,C8072,C8048,C8024,C8000,C7976,C7952,C7928)/POBLA!$B$6*100000</f>
        <v>594.48555095864469</v>
      </c>
      <c r="H8240" s="418">
        <f t="shared" si="660"/>
        <v>1.1047919084728901</v>
      </c>
      <c r="J8240" s="42"/>
    </row>
    <row r="8241" spans="1:10" ht="15.75" thickBot="1" x14ac:dyDescent="0.3">
      <c r="A8241" s="394" t="s">
        <v>31</v>
      </c>
      <c r="B8241" s="2">
        <v>44236</v>
      </c>
      <c r="C8241" s="1">
        <v>200</v>
      </c>
      <c r="D8241" s="39">
        <f t="shared" si="656"/>
        <v>42792</v>
      </c>
      <c r="E8241" s="1">
        <v>3</v>
      </c>
      <c r="F8241" s="39">
        <f t="shared" si="661"/>
        <v>772</v>
      </c>
      <c r="G8241" s="176">
        <f>SUM(C8241,C8217,C8193,C8169,C8145,C8121,C8097,C8073,C8049,C8025,C8001,C7977,C7953,C7929)/POBLA!$B$8*100000</f>
        <v>222.58923591645072</v>
      </c>
      <c r="H8241" s="527">
        <f t="shared" ref="H8241:H8257" si="662">SUM(C8241,C8217,C8193,C8169,C8145,C8121,C8097,C8073,C8049,C8025,C8001,C7977,C7953,C7929)/SUM(C7905,C7881,C7857,C7833,C7809,C7785,C7761,C7737,C7713,C7689,C7665,C7641,C7617,C7593)</f>
        <v>0.56070519810977826</v>
      </c>
    </row>
    <row r="8242" spans="1:10" s="393" customFormat="1" ht="15.75" thickBot="1" x14ac:dyDescent="0.3">
      <c r="A8242" s="394" t="s">
        <v>41</v>
      </c>
      <c r="B8242" s="2">
        <v>44236</v>
      </c>
      <c r="C8242" s="1">
        <v>3</v>
      </c>
      <c r="D8242" s="39">
        <f t="shared" si="656"/>
        <v>888</v>
      </c>
      <c r="E8242" s="1"/>
      <c r="F8242" s="39">
        <f t="shared" si="661"/>
        <v>9</v>
      </c>
      <c r="G8242" s="410">
        <f>SUM(C8242,C8218,C8194,C8170,C8146,C8122,C8098,C8074,C8050,C8026,C8002,C7978,C7954,C7930)/POBLA!$B$9*100000</f>
        <v>12.227504283757412</v>
      </c>
      <c r="H8242" s="418">
        <f t="shared" si="662"/>
        <v>0.1670428893905192</v>
      </c>
      <c r="J8242" s="42"/>
    </row>
    <row r="8243" spans="1:10" s="393" customFormat="1" ht="15.75" thickBot="1" x14ac:dyDescent="0.3">
      <c r="A8243" s="394" t="s">
        <v>32</v>
      </c>
      <c r="B8243" s="2">
        <v>44236</v>
      </c>
      <c r="C8243" s="1">
        <v>45</v>
      </c>
      <c r="D8243" s="39">
        <f t="shared" si="656"/>
        <v>19592</v>
      </c>
      <c r="E8243" s="1">
        <v>2</v>
      </c>
      <c r="F8243" s="39">
        <f t="shared" si="661"/>
        <v>887</v>
      </c>
      <c r="G8243" s="410">
        <f>SUM(C8243,C8219,C8195,C8171,C8147,C8123,C8099,C8075,C8051,C8027,C8003,C7979,C7955,C7931)/POBLA!$B$10*100000</f>
        <v>56.428942988606536</v>
      </c>
      <c r="H8243" s="418">
        <f t="shared" si="662"/>
        <v>0.99315068493150682</v>
      </c>
      <c r="J8243" s="42"/>
    </row>
    <row r="8244" spans="1:10" s="393" customFormat="1" ht="15.75" thickBot="1" x14ac:dyDescent="0.3">
      <c r="A8244" s="394" t="s">
        <v>33</v>
      </c>
      <c r="B8244" s="2">
        <v>44236</v>
      </c>
      <c r="C8244" s="1">
        <v>99</v>
      </c>
      <c r="D8244" s="39">
        <f t="shared" si="656"/>
        <v>17290</v>
      </c>
      <c r="E8244" s="1"/>
      <c r="F8244" s="39">
        <f t="shared" si="661"/>
        <v>265</v>
      </c>
      <c r="G8244" s="410">
        <f>SUM(C8244,C8220,C8196,C8172,C8148,C8124,C8100,C8076,C8052,C8028,C8004,C7980,C7956,C7932)/POBLA!$B$11*100000</f>
        <v>362.69487874831208</v>
      </c>
      <c r="H8244" s="418">
        <f t="shared" si="662"/>
        <v>0.67183462532299743</v>
      </c>
      <c r="J8244" s="42"/>
    </row>
    <row r="8245" spans="1:10" s="393" customFormat="1" ht="15.75" thickBot="1" x14ac:dyDescent="0.3">
      <c r="A8245" s="394" t="s">
        <v>21</v>
      </c>
      <c r="B8245" s="2">
        <v>44236</v>
      </c>
      <c r="C8245" s="1">
        <v>9</v>
      </c>
      <c r="D8245" s="39">
        <f t="shared" si="656"/>
        <v>9704</v>
      </c>
      <c r="E8245" s="1"/>
      <c r="F8245" s="39">
        <f t="shared" si="661"/>
        <v>415</v>
      </c>
      <c r="G8245" s="410">
        <f>SUM(C8245,C8221,C8197,C8173,C8149,C8125,C8101,C8077,C8053,C8029,C8005,C7981,C7957,C7933)/POBLA!$B$12*100000</f>
        <v>64.035615999756061</v>
      </c>
      <c r="H8245" s="418">
        <f t="shared" si="662"/>
        <v>1.1666666666666667</v>
      </c>
      <c r="J8245" s="42"/>
    </row>
    <row r="8246" spans="1:10" s="393" customFormat="1" ht="15.75" thickBot="1" x14ac:dyDescent="0.3">
      <c r="A8246" s="394" t="s">
        <v>17</v>
      </c>
      <c r="B8246" s="2">
        <v>44236</v>
      </c>
      <c r="C8246" s="1">
        <v>194</v>
      </c>
      <c r="D8246" s="39">
        <f t="shared" si="656"/>
        <v>65040</v>
      </c>
      <c r="E8246" s="1">
        <v>3</v>
      </c>
      <c r="F8246" s="39">
        <f t="shared" si="661"/>
        <v>1404</v>
      </c>
      <c r="G8246" s="410">
        <f>SUM(C8246,C8222,C8198,C8174,C8150,C8126,C8102,C8078,C8054,C8030,C8006,C7982,C7958,C7934)/POBLA!$B$13*100000</f>
        <v>86.316997414509501</v>
      </c>
      <c r="H8246" s="418">
        <f t="shared" si="662"/>
        <v>0.9924898902368573</v>
      </c>
      <c r="J8246" s="42"/>
    </row>
    <row r="8247" spans="1:10" s="393" customFormat="1" ht="15.75" thickBot="1" x14ac:dyDescent="0.3">
      <c r="A8247" s="394" t="s">
        <v>23</v>
      </c>
      <c r="B8247" s="2">
        <v>44236</v>
      </c>
      <c r="C8247" s="1">
        <v>97</v>
      </c>
      <c r="D8247" s="39">
        <f t="shared" si="656"/>
        <v>6215</v>
      </c>
      <c r="E8247" s="1">
        <v>2</v>
      </c>
      <c r="F8247" s="39">
        <f t="shared" si="661"/>
        <v>109</v>
      </c>
      <c r="G8247" s="410">
        <f>SUM(C8247,C8223,C8199,C8175,C8151,C8127,C8103,C8079,C8055,C8031,C8007,C7983,C7959,C7935)/POBLA!$B$14*100000</f>
        <v>192.97641945494073</v>
      </c>
      <c r="H8247" s="418">
        <f t="shared" si="662"/>
        <v>1.076514816452897</v>
      </c>
      <c r="J8247" s="42"/>
    </row>
    <row r="8248" spans="1:10" s="393" customFormat="1" ht="15.75" thickBot="1" x14ac:dyDescent="0.3">
      <c r="A8248" s="394" t="s">
        <v>19</v>
      </c>
      <c r="B8248" s="2">
        <v>44236</v>
      </c>
      <c r="C8248" s="1">
        <v>309</v>
      </c>
      <c r="D8248" s="39">
        <f t="shared" si="656"/>
        <v>57236</v>
      </c>
      <c r="E8248" s="1">
        <v>7</v>
      </c>
      <c r="F8248" s="39">
        <f t="shared" si="661"/>
        <v>802</v>
      </c>
      <c r="G8248" s="410">
        <f>SUM(C8248,C8224,C8200,C8176,C8152,C8128,C8104,C8080,C8056,C8032,C8008,C7984,C7960,C7936)/POBLA!$B$15*100000</f>
        <v>782.01118277497255</v>
      </c>
      <c r="H8248" s="418">
        <f t="shared" si="662"/>
        <v>0.88906009244992301</v>
      </c>
      <c r="J8248" s="42"/>
    </row>
    <row r="8249" spans="1:10" s="393" customFormat="1" ht="15.75" thickBot="1" x14ac:dyDescent="0.3">
      <c r="A8249" s="394" t="s">
        <v>18</v>
      </c>
      <c r="B8249" s="2">
        <v>44236</v>
      </c>
      <c r="C8249" s="1">
        <v>206</v>
      </c>
      <c r="D8249" s="39">
        <f t="shared" si="656"/>
        <v>49796</v>
      </c>
      <c r="E8249" s="1">
        <v>3</v>
      </c>
      <c r="F8249" s="39">
        <f t="shared" si="661"/>
        <v>1105</v>
      </c>
      <c r="G8249" s="410">
        <f>SUM(C8249,C8225,C8201,C8177,C8153,C8129,C8105,C8081,C8057,C8033,C8009,C7985,C7961,C7937)/POBLA!$B$16*100000</f>
        <v>424.01787027995886</v>
      </c>
      <c r="H8249" s="418">
        <f t="shared" si="662"/>
        <v>0.72390956839461063</v>
      </c>
      <c r="J8249" s="42"/>
    </row>
    <row r="8250" spans="1:10" s="393" customFormat="1" ht="15.75" thickBot="1" x14ac:dyDescent="0.3">
      <c r="A8250" s="394" t="s">
        <v>34</v>
      </c>
      <c r="B8250" s="2">
        <v>44236</v>
      </c>
      <c r="C8250" s="1">
        <v>95</v>
      </c>
      <c r="D8250" s="39">
        <f t="shared" si="656"/>
        <v>24413</v>
      </c>
      <c r="E8250" s="1"/>
      <c r="F8250" s="39">
        <f t="shared" si="661"/>
        <v>1053</v>
      </c>
      <c r="G8250" s="410">
        <f>SUM(C8250,C8226,C8202,C8178,C8154,C8130,C8106,C8082,C8058,C8034,C8010,C7986,C7962,C7938)/POBLA!$B$17*100000</f>
        <v>61.991144322825726</v>
      </c>
      <c r="H8250" s="418">
        <f t="shared" si="662"/>
        <v>1.2029972752043596</v>
      </c>
      <c r="J8250" s="42"/>
    </row>
    <row r="8251" spans="1:10" s="393" customFormat="1" ht="15.75" thickBot="1" x14ac:dyDescent="0.3">
      <c r="A8251" s="394" t="s">
        <v>35</v>
      </c>
      <c r="B8251" s="2">
        <v>44236</v>
      </c>
      <c r="C8251" s="1">
        <v>68</v>
      </c>
      <c r="D8251" s="39">
        <f t="shared" si="656"/>
        <v>14405</v>
      </c>
      <c r="E8251" s="1">
        <v>1</v>
      </c>
      <c r="F8251" s="39">
        <f t="shared" si="661"/>
        <v>203</v>
      </c>
      <c r="G8251" s="410">
        <f>SUM(C8251,C8227,C8203,C8179,C8155,C8131,C8107,C8083,C8059,C8035,C8011,C7987,C7963,C7939)/POBLA!$B$18*100000</f>
        <v>89.859795677769426</v>
      </c>
      <c r="H8251" s="418">
        <f t="shared" si="662"/>
        <v>0.68354430379746833</v>
      </c>
      <c r="J8251" s="42"/>
    </row>
    <row r="8252" spans="1:10" s="393" customFormat="1" ht="15.75" thickBot="1" x14ac:dyDescent="0.3">
      <c r="A8252" s="394" t="s">
        <v>36</v>
      </c>
      <c r="B8252" s="2">
        <v>44236</v>
      </c>
      <c r="C8252" s="1">
        <v>7</v>
      </c>
      <c r="D8252" s="39">
        <f t="shared" si="656"/>
        <v>19119</v>
      </c>
      <c r="E8252" s="1"/>
      <c r="F8252" s="39">
        <f t="shared" si="661"/>
        <v>338</v>
      </c>
      <c r="G8252" s="410">
        <f>SUM(C8252,C8228,C8204,C8180,C8156,C8132,C8108,C8084,C8060,C8036,C8012,C7988,C7964,C7940)/POBLA!$B$19*100000</f>
        <v>63.148203522135312</v>
      </c>
      <c r="H8252" s="418">
        <f t="shared" si="662"/>
        <v>0.15042174320524837</v>
      </c>
      <c r="J8252" s="42"/>
    </row>
    <row r="8253" spans="1:10" s="393" customFormat="1" ht="15.75" thickBot="1" x14ac:dyDescent="0.3">
      <c r="A8253" s="394" t="s">
        <v>37</v>
      </c>
      <c r="B8253" s="2">
        <v>44236</v>
      </c>
      <c r="C8253" s="1">
        <v>123</v>
      </c>
      <c r="D8253" s="39">
        <f t="shared" si="656"/>
        <v>34050</v>
      </c>
      <c r="E8253" s="1">
        <v>3</v>
      </c>
      <c r="F8253" s="39">
        <f t="shared" si="661"/>
        <v>520</v>
      </c>
      <c r="G8253" s="410">
        <f>SUM(C8253,C8229,C8205,C8181,C8157,C8133,C8109,C8085,C8061,C8037,C8013,C7989,C7965,C7941)/POBLA!$B$20*100000</f>
        <v>608.15208177239151</v>
      </c>
      <c r="H8253" s="418">
        <f t="shared" si="662"/>
        <v>0.57069540672312036</v>
      </c>
      <c r="J8253" s="42"/>
    </row>
    <row r="8254" spans="1:10" s="393" customFormat="1" ht="15.75" thickBot="1" x14ac:dyDescent="0.3">
      <c r="A8254" s="394" t="s">
        <v>22</v>
      </c>
      <c r="B8254" s="2">
        <v>44236</v>
      </c>
      <c r="C8254" s="1">
        <v>479</v>
      </c>
      <c r="D8254" s="39">
        <f t="shared" si="656"/>
        <v>209981</v>
      </c>
      <c r="E8254" s="1">
        <v>22</v>
      </c>
      <c r="F8254" s="39">
        <f t="shared" si="661"/>
        <v>3759</v>
      </c>
      <c r="G8254" s="410">
        <f>SUM(C8254,C8230,C8206,C8182,C8158,C8134,C8110,C8086,C8062,C8038,C8014,C7990,C7966,C7942)/POBLA!$B$21*100000</f>
        <v>200.881230668999</v>
      </c>
      <c r="H8254" s="418">
        <f t="shared" si="662"/>
        <v>0.50986865714490781</v>
      </c>
      <c r="J8254" s="42"/>
    </row>
    <row r="8255" spans="1:10" s="393" customFormat="1" ht="15.75" thickBot="1" x14ac:dyDescent="0.3">
      <c r="A8255" s="394" t="s">
        <v>38</v>
      </c>
      <c r="B8255" s="2">
        <v>44236</v>
      </c>
      <c r="C8255" s="1">
        <v>50</v>
      </c>
      <c r="D8255" s="39">
        <f t="shared" si="656"/>
        <v>21542</v>
      </c>
      <c r="E8255" s="1">
        <v>2</v>
      </c>
      <c r="F8255" s="39">
        <f t="shared" si="661"/>
        <v>253</v>
      </c>
      <c r="G8255" s="410">
        <f>SUM(C8255,C8231,C8207,C8183,C8159,C8135,C8111,C8087,C8063,C8039,C8015,C7991,C7967,C7943)/POBLA!$B$22*100000</f>
        <v>101.29682422701119</v>
      </c>
      <c r="H8255" s="418">
        <f t="shared" si="662"/>
        <v>0.59555288461538458</v>
      </c>
      <c r="J8255" s="42"/>
    </row>
    <row r="8256" spans="1:10" s="393" customFormat="1" ht="15.75" thickBot="1" x14ac:dyDescent="0.3">
      <c r="A8256" s="394" t="s">
        <v>39</v>
      </c>
      <c r="B8256" s="2">
        <v>44236</v>
      </c>
      <c r="C8256" s="1">
        <v>33</v>
      </c>
      <c r="D8256" s="39">
        <f t="shared" si="656"/>
        <v>22208</v>
      </c>
      <c r="E8256" s="1"/>
      <c r="F8256" s="39">
        <f t="shared" si="661"/>
        <v>342</v>
      </c>
      <c r="G8256" s="410">
        <f>SUM(C8256,C8232,C8208,C8184,C8160,C8136,C8112,C8088,C8064,C8040,C8016,C7992,C7968,C7944)/POBLA!$B$23*100000</f>
        <v>359.66747723802524</v>
      </c>
      <c r="H8256" s="418">
        <f t="shared" si="662"/>
        <v>0.5412765957446809</v>
      </c>
      <c r="J8256" s="42"/>
    </row>
    <row r="8257" spans="1:10" s="393" customFormat="1" ht="15.75" thickBot="1" x14ac:dyDescent="0.3">
      <c r="A8257" s="394" t="s">
        <v>40</v>
      </c>
      <c r="B8257" s="2">
        <v>44236</v>
      </c>
      <c r="C8257" s="1">
        <v>94</v>
      </c>
      <c r="D8257" s="177">
        <f t="shared" si="656"/>
        <v>77511</v>
      </c>
      <c r="E8257" s="1">
        <v>11</v>
      </c>
      <c r="F8257" s="177">
        <f t="shared" si="661"/>
        <v>1449</v>
      </c>
      <c r="G8257" s="410">
        <f>SUM(C8257,C8233,C8209,C8185,C8161,C8137,C8113,C8089,C8065,C8041,C8017,C7993,C7969,C7945)/POBLA!$B$24*100000</f>
        <v>112.11714943917821</v>
      </c>
      <c r="H8257" s="419">
        <f t="shared" si="662"/>
        <v>0.8351648351648352</v>
      </c>
      <c r="J8257" s="42"/>
    </row>
    <row r="8258" spans="1:10" s="393" customFormat="1" ht="15.75" thickBot="1" x14ac:dyDescent="0.3">
      <c r="A8258" s="394" t="s">
        <v>16</v>
      </c>
      <c r="B8258" s="2">
        <v>44237</v>
      </c>
      <c r="C8258" s="1">
        <v>3265</v>
      </c>
      <c r="D8258" s="175">
        <f t="shared" si="656"/>
        <v>835204</v>
      </c>
      <c r="E8258" s="1">
        <v>26</v>
      </c>
      <c r="F8258" s="175">
        <f>E8258+F8234</f>
        <v>25230</v>
      </c>
      <c r="G8258" s="410">
        <f>SUM(C8258,C8234,C8210,C8186,C8162,C8138,C8114,C8090,C8066,C8042,C8018,C7994,C7970,C7946)/POBLA!$B$1*100000</f>
        <v>255.43948366870774</v>
      </c>
      <c r="H8258" s="416">
        <f t="shared" ref="H8258:H8264" si="663">SUM(C8258,C8234,C8210,C8186,C8162,C8138,C8114,C8090,C8066,C8042,C8018,C7994,C7970,C7946)/SUM(C7922,C7898,C7874,C7850,C7826,C7802,C7778,C7754,C7730,C7706,C7682,C7658,C7634,C7610)</f>
        <v>0.8147467951631967</v>
      </c>
      <c r="J8258" s="42"/>
    </row>
    <row r="8259" spans="1:10" s="393" customFormat="1" ht="15.75" thickBot="1" x14ac:dyDescent="0.3">
      <c r="A8259" s="394" t="s">
        <v>43</v>
      </c>
      <c r="B8259" s="2">
        <v>44237</v>
      </c>
      <c r="C8259" s="1">
        <v>915</v>
      </c>
      <c r="D8259" s="39">
        <f t="shared" ref="D8259:D8322" si="664">C8259+D8235</f>
        <v>219667</v>
      </c>
      <c r="E8259" s="1">
        <v>30</v>
      </c>
      <c r="F8259" s="39">
        <f t="shared" ref="F8259:F8281" si="665">E8259+F8235</f>
        <v>6232</v>
      </c>
      <c r="G8259" s="410">
        <f>SUM(C8259,C8235,C8211,C8187,C8163,C8139,C8115,C8091,C8067,C8043,C8019,C7995,C7971,C7947)/POBLA!$B$2*100000</f>
        <v>436.42863970691036</v>
      </c>
      <c r="H8259" s="418">
        <f t="shared" si="663"/>
        <v>0.81203871748336354</v>
      </c>
      <c r="J8259" s="42"/>
    </row>
    <row r="8260" spans="1:10" s="393" customFormat="1" ht="15.75" thickBot="1" x14ac:dyDescent="0.3">
      <c r="A8260" s="394" t="s">
        <v>28</v>
      </c>
      <c r="B8260" s="2">
        <v>44237</v>
      </c>
      <c r="C8260" s="1">
        <v>54</v>
      </c>
      <c r="D8260" s="39">
        <f t="shared" si="664"/>
        <v>6461</v>
      </c>
      <c r="E8260" s="1"/>
      <c r="F8260" s="39">
        <f t="shared" si="665"/>
        <v>17</v>
      </c>
      <c r="G8260" s="410">
        <f>SUM(C8260,C8236,C8212,C8188,C8164,C8140,C8116,C8092,C8068,C8044,C8020,C7996,C7972,C7948)/POBLA!$B$3*100000</f>
        <v>362.74967624531217</v>
      </c>
      <c r="H8260" s="418">
        <f t="shared" si="663"/>
        <v>0.94305381727158943</v>
      </c>
      <c r="J8260" s="42"/>
    </row>
    <row r="8261" spans="1:10" s="393" customFormat="1" ht="15.75" thickBot="1" x14ac:dyDescent="0.3">
      <c r="A8261" s="394" t="s">
        <v>15</v>
      </c>
      <c r="B8261" s="2">
        <v>44237</v>
      </c>
      <c r="C8261" s="1">
        <v>143</v>
      </c>
      <c r="D8261" s="39">
        <f t="shared" si="664"/>
        <v>32034</v>
      </c>
      <c r="E8261" s="1">
        <v>4</v>
      </c>
      <c r="F8261" s="39">
        <f t="shared" si="665"/>
        <v>827</v>
      </c>
      <c r="G8261" s="410">
        <f>SUM(C8261,C8237,C8213,C8189,C8165,C8141,C8117,C8093,C8069,C8045,C8021,C7997,C7973,C7949)/POBLA!$B$4*100000</f>
        <v>151.17791756361967</v>
      </c>
      <c r="H8261" s="418">
        <f t="shared" si="663"/>
        <v>0.70718446601941742</v>
      </c>
      <c r="J8261" s="42"/>
    </row>
    <row r="8262" spans="1:10" s="393" customFormat="1" ht="15.75" thickBot="1" x14ac:dyDescent="0.3">
      <c r="A8262" s="394" t="s">
        <v>29</v>
      </c>
      <c r="B8262" s="2">
        <v>44237</v>
      </c>
      <c r="C8262" s="1">
        <v>164</v>
      </c>
      <c r="D8262" s="39">
        <f t="shared" si="664"/>
        <v>44565</v>
      </c>
      <c r="E8262" s="1">
        <v>2</v>
      </c>
      <c r="F8262" s="39">
        <f t="shared" si="665"/>
        <v>679</v>
      </c>
      <c r="G8262" s="410">
        <f>SUM(C8262,C8238,C8214,C8190,C8166,C8142,C8118,C8094,C8070,C8046,C8022,C7998,C7974,C7950)/POBLA!$B$5*100000</f>
        <v>531.50757519459</v>
      </c>
      <c r="H8262" s="418">
        <f t="shared" si="663"/>
        <v>0.76157407407407407</v>
      </c>
      <c r="J8262" s="42"/>
    </row>
    <row r="8263" spans="1:10" s="393" customFormat="1" ht="15.75" thickBot="1" x14ac:dyDescent="0.3">
      <c r="A8263" s="394" t="s">
        <v>30</v>
      </c>
      <c r="B8263" s="2">
        <v>44237</v>
      </c>
      <c r="C8263" s="1">
        <v>109</v>
      </c>
      <c r="D8263" s="39">
        <f t="shared" si="664"/>
        <v>19083</v>
      </c>
      <c r="E8263" s="1">
        <v>3</v>
      </c>
      <c r="F8263" s="39">
        <f t="shared" si="665"/>
        <v>211</v>
      </c>
      <c r="G8263" s="410">
        <f>SUM(C8263,C8239,C8215,C8191,C8167,C8143,C8119,C8095,C8071,C8047,C8023,C7999,C7975,C7951)/POBLA!$B$7*100000</f>
        <v>59.274820832613123</v>
      </c>
      <c r="H8263" s="418">
        <f t="shared" si="663"/>
        <v>0.60603588907014683</v>
      </c>
      <c r="J8263" s="42"/>
    </row>
    <row r="8264" spans="1:10" s="393" customFormat="1" ht="15.75" thickBot="1" x14ac:dyDescent="0.3">
      <c r="A8264" s="394" t="s">
        <v>20</v>
      </c>
      <c r="B8264" s="2">
        <v>44237</v>
      </c>
      <c r="C8264" s="1">
        <v>759</v>
      </c>
      <c r="D8264" s="39">
        <f t="shared" si="664"/>
        <v>149908</v>
      </c>
      <c r="E8264" s="1">
        <v>12</v>
      </c>
      <c r="F8264" s="39">
        <f t="shared" si="665"/>
        <v>2757</v>
      </c>
      <c r="G8264" s="410">
        <f>SUM(C8264,C8240,C8216,C8192,C8168,C8144,C8120,C8096,C8072,C8048,C8024,C8000,C7976,C7952)/POBLA!$B$6*100000</f>
        <v>600.90952809642386</v>
      </c>
      <c r="H8264" s="418">
        <f t="shared" si="663"/>
        <v>1.0651589435394591</v>
      </c>
      <c r="J8264" s="42"/>
    </row>
    <row r="8265" spans="1:10" ht="15.75" thickBot="1" x14ac:dyDescent="0.3">
      <c r="A8265" s="394" t="s">
        <v>31</v>
      </c>
      <c r="B8265" s="2">
        <v>44237</v>
      </c>
      <c r="C8265" s="1">
        <v>195</v>
      </c>
      <c r="D8265" s="39">
        <f t="shared" si="664"/>
        <v>42987</v>
      </c>
      <c r="E8265" s="1">
        <v>6</v>
      </c>
      <c r="F8265" s="39">
        <f t="shared" si="665"/>
        <v>778</v>
      </c>
      <c r="G8265" s="176">
        <f>SUM(C8265,C8241,C8217,C8193,C8169,C8145,C8121,C8097,C8073,C8049,C8025,C8001,C7977,C7953)/POBLA!$B$8*100000</f>
        <v>215.51832988085522</v>
      </c>
      <c r="H8265" s="527">
        <f t="shared" ref="H8265:H8281" si="666">SUM(C8265,C8241,C8217,C8193,C8169,C8145,C8121,C8097,C8073,C8049,C8025,C8001,C7977,C7953)/SUM(C7929,C7905,C7881,C7857,C7833,C7809,C7785,C7761,C7737,C7713,C7689,C7665,C7641,C7617)</f>
        <v>0.57288070579209815</v>
      </c>
    </row>
    <row r="8266" spans="1:10" s="393" customFormat="1" ht="15.75" thickBot="1" x14ac:dyDescent="0.3">
      <c r="A8266" s="394" t="s">
        <v>41</v>
      </c>
      <c r="B8266" s="2">
        <v>44237</v>
      </c>
      <c r="C8266" s="1">
        <v>5</v>
      </c>
      <c r="D8266" s="39">
        <f t="shared" si="664"/>
        <v>893</v>
      </c>
      <c r="E8266" s="1"/>
      <c r="F8266" s="39">
        <f t="shared" si="665"/>
        <v>9</v>
      </c>
      <c r="G8266" s="410">
        <f>SUM(C8266,C8242,C8218,C8194,C8170,C8146,C8122,C8098,C8074,C8050,C8026,C8002,C7978,C7954)/POBLA!$B$9*100000</f>
        <v>10.740375384381512</v>
      </c>
      <c r="H8266" s="418">
        <f t="shared" si="666"/>
        <v>0.16129032258064516</v>
      </c>
      <c r="J8266" s="42"/>
    </row>
    <row r="8267" spans="1:10" s="393" customFormat="1" ht="15.75" thickBot="1" x14ac:dyDescent="0.3">
      <c r="A8267" s="394" t="s">
        <v>32</v>
      </c>
      <c r="B8267" s="2">
        <v>44237</v>
      </c>
      <c r="C8267" s="1">
        <v>41</v>
      </c>
      <c r="D8267" s="39">
        <f t="shared" si="664"/>
        <v>19633</v>
      </c>
      <c r="E8267" s="1"/>
      <c r="F8267" s="39">
        <f t="shared" si="665"/>
        <v>887</v>
      </c>
      <c r="G8267" s="410">
        <f>SUM(C8267,C8243,C8219,C8195,C8171,C8147,C8123,C8099,C8075,C8051,C8027,C8003,C7979,C7955)/POBLA!$B$10*100000</f>
        <v>55.391169324448256</v>
      </c>
      <c r="H8267" s="418">
        <f t="shared" si="666"/>
        <v>0.90851063829787237</v>
      </c>
      <c r="J8267" s="42"/>
    </row>
    <row r="8268" spans="1:10" s="393" customFormat="1" ht="15.75" thickBot="1" x14ac:dyDescent="0.3">
      <c r="A8268" s="394" t="s">
        <v>33</v>
      </c>
      <c r="B8268" s="2">
        <v>44237</v>
      </c>
      <c r="C8268" s="1">
        <v>63</v>
      </c>
      <c r="D8268" s="39">
        <f t="shared" si="664"/>
        <v>17353</v>
      </c>
      <c r="E8268" s="1"/>
      <c r="F8268" s="39">
        <f t="shared" si="665"/>
        <v>265</v>
      </c>
      <c r="G8268" s="410">
        <f>SUM(C8268,C8244,C8220,C8196,C8172,C8148,C8124,C8100,C8076,C8052,C8028,C8004,C7980,C7956)/POBLA!$B$11*100000</f>
        <v>344.00214268974526</v>
      </c>
      <c r="H8268" s="418">
        <f t="shared" si="666"/>
        <v>0.67156862745098034</v>
      </c>
      <c r="J8268" s="42"/>
    </row>
    <row r="8269" spans="1:10" s="393" customFormat="1" ht="15.75" thickBot="1" x14ac:dyDescent="0.3">
      <c r="A8269" s="394" t="s">
        <v>21</v>
      </c>
      <c r="B8269" s="2">
        <v>44237</v>
      </c>
      <c r="C8269" s="1">
        <v>28</v>
      </c>
      <c r="D8269" s="39">
        <f t="shared" si="664"/>
        <v>9732</v>
      </c>
      <c r="E8269" s="1"/>
      <c r="F8269" s="39">
        <f t="shared" si="665"/>
        <v>415</v>
      </c>
      <c r="G8269" s="410">
        <f>SUM(C8269,C8245,C8221,C8197,C8173,C8149,C8125,C8101,C8077,C8053,C8029,C8005,C7981,C7957)/POBLA!$B$12*100000</f>
        <v>62.002739301351106</v>
      </c>
      <c r="H8269" s="418">
        <f t="shared" si="666"/>
        <v>1.0124481327800829</v>
      </c>
      <c r="J8269" s="42"/>
    </row>
    <row r="8270" spans="1:10" s="393" customFormat="1" ht="15.75" thickBot="1" x14ac:dyDescent="0.3">
      <c r="A8270" s="394" t="s">
        <v>17</v>
      </c>
      <c r="B8270" s="2">
        <v>44237</v>
      </c>
      <c r="C8270" s="1">
        <v>187</v>
      </c>
      <c r="D8270" s="39">
        <f t="shared" si="664"/>
        <v>65227</v>
      </c>
      <c r="E8270" s="1">
        <v>4</v>
      </c>
      <c r="F8270" s="39">
        <f t="shared" si="665"/>
        <v>1408</v>
      </c>
      <c r="G8270" s="410">
        <f>SUM(C8270,C8246,C8222,C8198,C8174,C8150,C8126,C8102,C8078,C8054,C8030,C8006,C7982,C7958)/POBLA!$B$13*100000</f>
        <v>88.226220873037647</v>
      </c>
      <c r="H8270" s="418">
        <f t="shared" si="666"/>
        <v>1.0150289017341041</v>
      </c>
      <c r="J8270" s="42"/>
    </row>
    <row r="8271" spans="1:10" s="393" customFormat="1" ht="15.75" thickBot="1" x14ac:dyDescent="0.3">
      <c r="A8271" s="394" t="s">
        <v>23</v>
      </c>
      <c r="B8271" s="2">
        <v>44237</v>
      </c>
      <c r="C8271" s="1">
        <v>78</v>
      </c>
      <c r="D8271" s="39">
        <f t="shared" si="664"/>
        <v>6293</v>
      </c>
      <c r="E8271" s="1">
        <v>3</v>
      </c>
      <c r="F8271" s="39">
        <f t="shared" si="665"/>
        <v>112</v>
      </c>
      <c r="G8271" s="410">
        <f>SUM(C8271,C8247,C8223,C8199,C8175,C8151,C8127,C8103,C8079,C8055,C8031,C8007,C7983,C7959)/POBLA!$B$14*100000</f>
        <v>180.05318347665175</v>
      </c>
      <c r="H8271" s="418">
        <f t="shared" si="666"/>
        <v>0.9175757575757576</v>
      </c>
      <c r="J8271" s="42"/>
    </row>
    <row r="8272" spans="1:10" s="393" customFormat="1" ht="15.75" thickBot="1" x14ac:dyDescent="0.3">
      <c r="A8272" s="394" t="s">
        <v>19</v>
      </c>
      <c r="B8272" s="2">
        <v>44237</v>
      </c>
      <c r="C8272" s="1">
        <v>386</v>
      </c>
      <c r="D8272" s="39">
        <f t="shared" si="664"/>
        <v>57622</v>
      </c>
      <c r="E8272" s="1">
        <v>4</v>
      </c>
      <c r="F8272" s="39">
        <f t="shared" si="665"/>
        <v>806</v>
      </c>
      <c r="G8272" s="410">
        <f>SUM(C8272,C8248,C8224,C8200,C8176,C8152,C8128,C8104,C8080,C8056,C8032,C8008,C7984,C7960)/POBLA!$B$15*100000</f>
        <v>759.12158143050976</v>
      </c>
      <c r="H8272" s="418">
        <f t="shared" si="666"/>
        <v>0.85209601081812036</v>
      </c>
      <c r="J8272" s="42"/>
    </row>
    <row r="8273" spans="1:10" s="393" customFormat="1" ht="15.75" thickBot="1" x14ac:dyDescent="0.3">
      <c r="A8273" s="394" t="s">
        <v>18</v>
      </c>
      <c r="B8273" s="2">
        <v>44237</v>
      </c>
      <c r="C8273" s="1">
        <v>221</v>
      </c>
      <c r="D8273" s="39">
        <f t="shared" si="664"/>
        <v>50017</v>
      </c>
      <c r="E8273" s="1">
        <v>3</v>
      </c>
      <c r="F8273" s="39">
        <f t="shared" si="665"/>
        <v>1108</v>
      </c>
      <c r="G8273" s="410">
        <f>SUM(C8273,C8249,C8225,C8201,C8177,C8153,C8129,C8105,C8081,C8057,C8033,C8009,C7985,C7961)/POBLA!$B$16*100000</f>
        <v>404.75649068364521</v>
      </c>
      <c r="H8273" s="418">
        <f t="shared" si="666"/>
        <v>0.6954723052171915</v>
      </c>
      <c r="J8273" s="42"/>
    </row>
    <row r="8274" spans="1:10" s="393" customFormat="1" ht="15.75" thickBot="1" x14ac:dyDescent="0.3">
      <c r="A8274" s="394" t="s">
        <v>34</v>
      </c>
      <c r="B8274" s="2">
        <v>44237</v>
      </c>
      <c r="C8274" s="1">
        <v>100</v>
      </c>
      <c r="D8274" s="39">
        <f t="shared" si="664"/>
        <v>24513</v>
      </c>
      <c r="E8274" s="1">
        <v>2</v>
      </c>
      <c r="F8274" s="39">
        <f t="shared" si="665"/>
        <v>1055</v>
      </c>
      <c r="G8274" s="410">
        <f>SUM(C8274,C8250,C8226,C8202,C8178,C8154,C8130,C8106,C8082,C8058,C8034,C8010,C7986,C7962)/POBLA!$B$17*100000</f>
        <v>64.448324448872043</v>
      </c>
      <c r="H8274" s="418">
        <f t="shared" si="666"/>
        <v>1.2540983606557377</v>
      </c>
      <c r="J8274" s="42"/>
    </row>
    <row r="8275" spans="1:10" s="393" customFormat="1" ht="15.75" thickBot="1" x14ac:dyDescent="0.3">
      <c r="A8275" s="394" t="s">
        <v>35</v>
      </c>
      <c r="B8275" s="2">
        <v>44237</v>
      </c>
      <c r="C8275" s="1">
        <v>52</v>
      </c>
      <c r="D8275" s="39">
        <f t="shared" si="664"/>
        <v>14457</v>
      </c>
      <c r="E8275" s="1"/>
      <c r="F8275" s="39">
        <f t="shared" si="665"/>
        <v>203</v>
      </c>
      <c r="G8275" s="410">
        <f>SUM(C8275,C8251,C8227,C8203,C8179,C8155,C8131,C8107,C8083,C8059,C8035,C8011,C7987,C7963)/POBLA!$B$18*100000</f>
        <v>89.091763236079089</v>
      </c>
      <c r="H8275" s="418">
        <f t="shared" si="666"/>
        <v>0.75488069414316705</v>
      </c>
      <c r="J8275" s="42"/>
    </row>
    <row r="8276" spans="1:10" s="393" customFormat="1" ht="15.75" thickBot="1" x14ac:dyDescent="0.3">
      <c r="A8276" s="394" t="s">
        <v>36</v>
      </c>
      <c r="B8276" s="2">
        <v>44237</v>
      </c>
      <c r="C8276" s="1">
        <v>5</v>
      </c>
      <c r="D8276" s="39">
        <f t="shared" si="664"/>
        <v>19124</v>
      </c>
      <c r="E8276" s="1"/>
      <c r="F8276" s="39">
        <f t="shared" si="665"/>
        <v>338</v>
      </c>
      <c r="G8276" s="410">
        <f>SUM(C8276,C8252,C8228,C8204,C8180,C8156,C8132,C8108,C8084,C8060,C8036,C8012,C7988,C7964)/POBLA!$B$19*100000</f>
        <v>48.197226987299537</v>
      </c>
      <c r="H8276" s="418">
        <f t="shared" si="666"/>
        <v>0.11254019292604502</v>
      </c>
      <c r="J8276" s="42"/>
    </row>
    <row r="8277" spans="1:10" s="393" customFormat="1" ht="15.75" thickBot="1" x14ac:dyDescent="0.3">
      <c r="A8277" s="394" t="s">
        <v>37</v>
      </c>
      <c r="B8277" s="2">
        <v>44237</v>
      </c>
      <c r="C8277" s="1">
        <v>127</v>
      </c>
      <c r="D8277" s="39">
        <f t="shared" si="664"/>
        <v>34177</v>
      </c>
      <c r="E8277" s="1">
        <v>3</v>
      </c>
      <c r="F8277" s="39">
        <f t="shared" si="665"/>
        <v>523</v>
      </c>
      <c r="G8277" s="410">
        <f>SUM(C8277,C8253,C8229,C8205,C8181,C8157,C8133,C8109,C8085,C8061,C8037,C8013,C7989,C7965)/POBLA!$B$20*100000</f>
        <v>597.21409469015418</v>
      </c>
      <c r="H8277" s="418">
        <f t="shared" si="666"/>
        <v>0.58380112269446671</v>
      </c>
      <c r="J8277" s="42"/>
    </row>
    <row r="8278" spans="1:10" s="393" customFormat="1" ht="15.75" thickBot="1" x14ac:dyDescent="0.3">
      <c r="A8278" s="394" t="s">
        <v>22</v>
      </c>
      <c r="B8278" s="2">
        <v>44237</v>
      </c>
      <c r="C8278" s="1">
        <v>533</v>
      </c>
      <c r="D8278" s="39">
        <f t="shared" si="664"/>
        <v>210514</v>
      </c>
      <c r="E8278" s="1">
        <v>3</v>
      </c>
      <c r="F8278" s="39">
        <f t="shared" si="665"/>
        <v>3762</v>
      </c>
      <c r="G8278" s="410">
        <f>SUM(C8278,C8254,C8230,C8206,C8182,C8158,C8134,C8110,C8086,C8062,C8038,C8014,C7990,C7966)/POBLA!$B$21*100000</f>
        <v>189.82484536613035</v>
      </c>
      <c r="H8278" s="418">
        <f t="shared" si="666"/>
        <v>0.50265818045675781</v>
      </c>
      <c r="J8278" s="42"/>
    </row>
    <row r="8279" spans="1:10" s="393" customFormat="1" ht="15.75" thickBot="1" x14ac:dyDescent="0.3">
      <c r="A8279" s="394" t="s">
        <v>38</v>
      </c>
      <c r="B8279" s="2">
        <v>44237</v>
      </c>
      <c r="C8279" s="1">
        <v>91</v>
      </c>
      <c r="D8279" s="39">
        <f t="shared" si="664"/>
        <v>21633</v>
      </c>
      <c r="E8279" s="1">
        <v>2</v>
      </c>
      <c r="F8279" s="39">
        <f t="shared" si="665"/>
        <v>255</v>
      </c>
      <c r="G8279" s="410">
        <f>SUM(C8279,C8255,C8231,C8207,C8183,C8159,C8135,C8111,C8087,C8063,C8039,C8015,C7991,C7967)/POBLA!$B$22*100000</f>
        <v>100.27465647497273</v>
      </c>
      <c r="H8279" s="418">
        <f t="shared" si="666"/>
        <v>0.61312500000000003</v>
      </c>
      <c r="J8279" s="42"/>
    </row>
    <row r="8280" spans="1:10" s="393" customFormat="1" ht="15.75" thickBot="1" x14ac:dyDescent="0.3">
      <c r="A8280" s="394" t="s">
        <v>39</v>
      </c>
      <c r="B8280" s="2">
        <v>44237</v>
      </c>
      <c r="C8280" s="1">
        <v>110</v>
      </c>
      <c r="D8280" s="39">
        <f t="shared" si="664"/>
        <v>22318</v>
      </c>
      <c r="E8280" s="1"/>
      <c r="F8280" s="39">
        <f t="shared" si="665"/>
        <v>342</v>
      </c>
      <c r="G8280" s="410">
        <f>SUM(C8280,C8256,C8232,C8208,C8184,C8160,C8136,C8112,C8088,C8064,C8040,C8016,C7992,C7968)/POBLA!$B$23*100000</f>
        <v>373.80534977096647</v>
      </c>
      <c r="H8280" s="418">
        <f t="shared" si="666"/>
        <v>0.5703192407247627</v>
      </c>
      <c r="J8280" s="42"/>
    </row>
    <row r="8281" spans="1:10" s="393" customFormat="1" ht="15.75" thickBot="1" x14ac:dyDescent="0.3">
      <c r="A8281" s="394" t="s">
        <v>40</v>
      </c>
      <c r="B8281" s="2">
        <v>44237</v>
      </c>
      <c r="C8281" s="1">
        <v>108</v>
      </c>
      <c r="D8281" s="177">
        <f t="shared" si="664"/>
        <v>77619</v>
      </c>
      <c r="E8281" s="1">
        <v>2</v>
      </c>
      <c r="F8281" s="177">
        <f t="shared" si="665"/>
        <v>1451</v>
      </c>
      <c r="G8281" s="410">
        <f>SUM(C8281,C8257,C8233,C8209,C8185,C8161,C8137,C8113,C8089,C8065,C8041,C8017,C7993,C7969)/POBLA!$B$24*100000</f>
        <v>101.55453378148721</v>
      </c>
      <c r="H8281" s="419">
        <f t="shared" si="666"/>
        <v>0.75383267630310991</v>
      </c>
      <c r="J8281" s="42"/>
    </row>
    <row r="8282" spans="1:10" s="393" customFormat="1" ht="15.75" thickBot="1" x14ac:dyDescent="0.3">
      <c r="A8282" s="394" t="s">
        <v>16</v>
      </c>
      <c r="B8282" s="2">
        <v>44238</v>
      </c>
      <c r="C8282" s="1">
        <v>3150</v>
      </c>
      <c r="D8282" s="175">
        <f t="shared" si="664"/>
        <v>838354</v>
      </c>
      <c r="E8282" s="1">
        <v>99</v>
      </c>
      <c r="F8282" s="175">
        <f>E8282+F8258</f>
        <v>25329</v>
      </c>
      <c r="G8282" s="410">
        <f>SUM(C8282,C8258,C8234,C8210,C8186,C8162,C8138,C8114,C8090,C8066,C8042,C8018,C7994,C7970)/POBLA!$B$1*100000</f>
        <v>249.59607815705945</v>
      </c>
      <c r="H8282" s="416">
        <f t="shared" ref="H8282:H8288" si="667">SUM(C8282,C8258,C8234,C8210,C8186,C8162,C8138,C8114,C8090,C8066,C8042,C8018,C7994,C7970)/SUM(C7946,C7922,C7898,C7874,C7850,C7826,C7802,C7778,C7754,C7730,C7706,C7682,C7658,C7634)</f>
        <v>0.81100305640455683</v>
      </c>
      <c r="J8282" s="42"/>
    </row>
    <row r="8283" spans="1:10" s="393" customFormat="1" ht="15.75" thickBot="1" x14ac:dyDescent="0.3">
      <c r="A8283" s="394" t="s">
        <v>43</v>
      </c>
      <c r="B8283" s="2">
        <v>44238</v>
      </c>
      <c r="C8283" s="1">
        <v>766</v>
      </c>
      <c r="D8283" s="39">
        <f t="shared" si="664"/>
        <v>220433</v>
      </c>
      <c r="E8283" s="1">
        <v>8</v>
      </c>
      <c r="F8283" s="39">
        <f t="shared" ref="F8283:F8305" si="668">E8283+F8259</f>
        <v>6240</v>
      </c>
      <c r="G8283" s="410">
        <f>SUM(C8283,C8259,C8235,C8211,C8187,C8163,C8139,C8115,C8091,C8067,C8043,C8019,C7995,C7971)/POBLA!$B$2*100000</f>
        <v>425.53661897370506</v>
      </c>
      <c r="H8283" s="418">
        <f t="shared" si="667"/>
        <v>0.80472208558780123</v>
      </c>
      <c r="J8283" s="42"/>
    </row>
    <row r="8284" spans="1:10" s="393" customFormat="1" ht="15.75" thickBot="1" x14ac:dyDescent="0.3">
      <c r="A8284" s="394" t="s">
        <v>28</v>
      </c>
      <c r="B8284" s="2">
        <v>44238</v>
      </c>
      <c r="C8284" s="1">
        <v>100</v>
      </c>
      <c r="D8284" s="39">
        <f t="shared" si="664"/>
        <v>6561</v>
      </c>
      <c r="E8284" s="1"/>
      <c r="F8284" s="39">
        <f t="shared" si="668"/>
        <v>17</v>
      </c>
      <c r="G8284" s="410">
        <f>SUM(C8284,C8260,C8236,C8212,C8188,C8164,C8140,C8116,C8092,C8068,C8044,C8020,C7996,C7972)/POBLA!$B$3*100000</f>
        <v>366.11961351633698</v>
      </c>
      <c r="H8284" s="418">
        <f t="shared" si="667"/>
        <v>0.94707347447073476</v>
      </c>
      <c r="J8284" s="42"/>
    </row>
    <row r="8285" spans="1:10" s="393" customFormat="1" ht="15.75" thickBot="1" x14ac:dyDescent="0.3">
      <c r="A8285" s="394" t="s">
        <v>15</v>
      </c>
      <c r="B8285" s="2">
        <v>44238</v>
      </c>
      <c r="C8285" s="1">
        <v>138</v>
      </c>
      <c r="D8285" s="39">
        <f t="shared" si="664"/>
        <v>32172</v>
      </c>
      <c r="E8285" s="1">
        <v>3</v>
      </c>
      <c r="F8285" s="39">
        <f t="shared" si="668"/>
        <v>830</v>
      </c>
      <c r="G8285" s="410">
        <f>SUM(C8285,C8261,C8237,C8213,C8189,C8165,C8141,C8117,C8093,C8069,C8045,C8021,C7997,C7973)/POBLA!$B$4*100000</f>
        <v>151.26093673855851</v>
      </c>
      <c r="H8285" s="418">
        <f t="shared" si="667"/>
        <v>0.75664451827242529</v>
      </c>
      <c r="J8285" s="42"/>
    </row>
    <row r="8286" spans="1:10" s="393" customFormat="1" ht="15.75" thickBot="1" x14ac:dyDescent="0.3">
      <c r="A8286" s="394" t="s">
        <v>29</v>
      </c>
      <c r="B8286" s="2">
        <v>44238</v>
      </c>
      <c r="C8286" s="1">
        <v>240</v>
      </c>
      <c r="D8286" s="39">
        <f t="shared" si="664"/>
        <v>44805</v>
      </c>
      <c r="E8286" s="1">
        <v>5</v>
      </c>
      <c r="F8286" s="39">
        <f t="shared" si="668"/>
        <v>684</v>
      </c>
      <c r="G8286" s="410">
        <f>SUM(C8286,C8262,C8238,C8214,C8190,C8166,C8142,C8118,C8094,C8070,C8046,C8022,C7998,C7974)/POBLA!$B$5*100000</f>
        <v>519.22958865514045</v>
      </c>
      <c r="H8286" s="418">
        <f t="shared" si="667"/>
        <v>0.78524309797214753</v>
      </c>
      <c r="J8286" s="42"/>
    </row>
    <row r="8287" spans="1:10" s="393" customFormat="1" ht="15.75" thickBot="1" x14ac:dyDescent="0.3">
      <c r="A8287" s="394" t="s">
        <v>30</v>
      </c>
      <c r="B8287" s="2">
        <v>44238</v>
      </c>
      <c r="C8287" s="1">
        <v>69</v>
      </c>
      <c r="D8287" s="39">
        <f t="shared" si="664"/>
        <v>19152</v>
      </c>
      <c r="E8287" s="1">
        <v>7</v>
      </c>
      <c r="F8287" s="39">
        <f t="shared" si="668"/>
        <v>218</v>
      </c>
      <c r="G8287" s="410">
        <f>SUM(C8287,C8263,C8239,C8215,C8191,C8167,C8143,C8119,C8095,C8071,C8047,C8023,C7999,C7975)/POBLA!$B$7*100000</f>
        <v>58.237710912257839</v>
      </c>
      <c r="H8287" s="418">
        <f t="shared" si="667"/>
        <v>0.72612732095490717</v>
      </c>
      <c r="J8287" s="42"/>
    </row>
    <row r="8288" spans="1:10" s="393" customFormat="1" ht="15.75" thickBot="1" x14ac:dyDescent="0.3">
      <c r="A8288" s="394" t="s">
        <v>20</v>
      </c>
      <c r="B8288" s="2">
        <v>44238</v>
      </c>
      <c r="C8288" s="1">
        <v>656</v>
      </c>
      <c r="D8288" s="39">
        <f t="shared" si="664"/>
        <v>150564</v>
      </c>
      <c r="E8288" s="1">
        <v>8</v>
      </c>
      <c r="F8288" s="39">
        <f t="shared" si="668"/>
        <v>2765</v>
      </c>
      <c r="G8288" s="410">
        <f>SUM(C8288,C8264,C8240,C8216,C8192,C8168,C8144,C8120,C8096,C8072,C8048,C8024,C8000,C7976)/POBLA!$B$6*100000</f>
        <v>598.94664619321361</v>
      </c>
      <c r="H8288" s="418">
        <f t="shared" si="667"/>
        <v>1.0192833282720923</v>
      </c>
      <c r="J8288" s="42"/>
    </row>
    <row r="8289" spans="1:10" ht="15.75" thickBot="1" x14ac:dyDescent="0.3">
      <c r="A8289" s="394" t="s">
        <v>31</v>
      </c>
      <c r="B8289" s="2">
        <v>44238</v>
      </c>
      <c r="C8289" s="1">
        <v>165</v>
      </c>
      <c r="D8289" s="39">
        <f t="shared" si="664"/>
        <v>43152</v>
      </c>
      <c r="E8289" s="1">
        <v>6</v>
      </c>
      <c r="F8289" s="39">
        <f t="shared" si="668"/>
        <v>784</v>
      </c>
      <c r="G8289" s="176">
        <f>SUM(C8289,C8265,C8241,C8217,C8193,C8169,C8145,C8121,C8097,C8073,C8049,C8025,C8001,C7977)/POBLA!$B$8*100000</f>
        <v>204.62336241784581</v>
      </c>
      <c r="H8289" s="527">
        <f t="shared" ref="H8289:H8305" si="669">SUM(C8289,C8265,C8241,C8217,C8193,C8169,C8145,C8121,C8097,C8073,C8049,C8025,C8001,C7977)/SUM(C7953,C7929,C7905,C7881,C7857,C7833,C7809,C7785,C7761,C7737,C7713,C7689,C7665,C7641)</f>
        <v>0.56822280104187539</v>
      </c>
    </row>
    <row r="8290" spans="1:10" s="393" customFormat="1" ht="15.75" thickBot="1" x14ac:dyDescent="0.3">
      <c r="A8290" s="394" t="s">
        <v>41</v>
      </c>
      <c r="B8290" s="2">
        <v>44238</v>
      </c>
      <c r="C8290" s="1">
        <v>19</v>
      </c>
      <c r="D8290" s="39">
        <f t="shared" si="664"/>
        <v>912</v>
      </c>
      <c r="E8290" s="1"/>
      <c r="F8290" s="39">
        <f t="shared" si="668"/>
        <v>9</v>
      </c>
      <c r="G8290" s="410">
        <f>SUM(C8290,C8266,C8242,C8218,C8194,C8170,C8146,C8122,C8098,C8074,C8050,C8026,C8002,C7978)/POBLA!$B$9*100000</f>
        <v>13.053687005632915</v>
      </c>
      <c r="H8290" s="418">
        <f t="shared" si="669"/>
        <v>0.23723723723723725</v>
      </c>
      <c r="J8290" s="42"/>
    </row>
    <row r="8291" spans="1:10" s="393" customFormat="1" ht="15.75" thickBot="1" x14ac:dyDescent="0.3">
      <c r="A8291" s="394" t="s">
        <v>32</v>
      </c>
      <c r="B8291" s="2">
        <v>44238</v>
      </c>
      <c r="C8291" s="1">
        <v>27</v>
      </c>
      <c r="D8291" s="39">
        <f t="shared" si="664"/>
        <v>19660</v>
      </c>
      <c r="E8291" s="1">
        <v>1</v>
      </c>
      <c r="F8291" s="39">
        <f t="shared" si="668"/>
        <v>888</v>
      </c>
      <c r="G8291" s="410">
        <f>SUM(C8291,C8267,C8243,C8219,C8195,C8171,C8147,C8123,C8099,C8075,C8051,C8027,C8003,C7979)/POBLA!$B$10*100000</f>
        <v>53.704787120191057</v>
      </c>
      <c r="H8291" s="418">
        <f t="shared" si="669"/>
        <v>0.85010266940451751</v>
      </c>
      <c r="J8291" s="42"/>
    </row>
    <row r="8292" spans="1:10" s="393" customFormat="1" ht="15.75" thickBot="1" x14ac:dyDescent="0.3">
      <c r="A8292" s="394" t="s">
        <v>33</v>
      </c>
      <c r="B8292" s="2">
        <v>44238</v>
      </c>
      <c r="C8292" s="1">
        <v>122</v>
      </c>
      <c r="D8292" s="39">
        <f t="shared" si="664"/>
        <v>17475</v>
      </c>
      <c r="E8292" s="1">
        <v>3</v>
      </c>
      <c r="F8292" s="39">
        <f t="shared" si="668"/>
        <v>268</v>
      </c>
      <c r="G8292" s="410">
        <f>SUM(C8292,C8268,C8244,C8220,C8196,C8172,C8148,C8124,C8100,C8076,C8052,C8028,C8004,C7980)/POBLA!$B$11*100000</f>
        <v>345.11812693204774</v>
      </c>
      <c r="H8292" s="418">
        <f t="shared" si="669"/>
        <v>0.72807533843437311</v>
      </c>
      <c r="J8292" s="42"/>
    </row>
    <row r="8293" spans="1:10" s="393" customFormat="1" ht="15.75" thickBot="1" x14ac:dyDescent="0.3">
      <c r="A8293" s="394" t="s">
        <v>21</v>
      </c>
      <c r="B8293" s="2">
        <v>44238</v>
      </c>
      <c r="C8293" s="1">
        <v>23</v>
      </c>
      <c r="D8293" s="39">
        <f t="shared" si="664"/>
        <v>9755</v>
      </c>
      <c r="E8293" s="1"/>
      <c r="F8293" s="39">
        <f t="shared" si="668"/>
        <v>415</v>
      </c>
      <c r="G8293" s="410">
        <f>SUM(C8293,C8269,C8245,C8221,C8197,C8173,C8149,C8125,C8101,C8077,C8053,C8029,C8005,C7981)/POBLA!$B$12*100000</f>
        <v>65.306163936259154</v>
      </c>
      <c r="H8293" s="418">
        <f t="shared" si="669"/>
        <v>1.0753138075313808</v>
      </c>
      <c r="J8293" s="42"/>
    </row>
    <row r="8294" spans="1:10" s="393" customFormat="1" ht="15.75" thickBot="1" x14ac:dyDescent="0.3">
      <c r="A8294" s="394" t="s">
        <v>17</v>
      </c>
      <c r="B8294" s="2">
        <v>44238</v>
      </c>
      <c r="C8294" s="1">
        <v>148</v>
      </c>
      <c r="D8294" s="39">
        <f t="shared" si="664"/>
        <v>65375</v>
      </c>
      <c r="E8294" s="1">
        <v>3</v>
      </c>
      <c r="F8294" s="39">
        <f t="shared" si="668"/>
        <v>1411</v>
      </c>
      <c r="G8294" s="410">
        <f>SUM(C8294,C8270,C8246,C8222,C8198,C8174,C8150,C8126,C8102,C8078,C8054,C8030,C8006,C7982)/POBLA!$B$13*100000</f>
        <v>90.587628834901409</v>
      </c>
      <c r="H8294" s="418">
        <f t="shared" si="669"/>
        <v>1.0802875973636907</v>
      </c>
      <c r="J8294" s="42"/>
    </row>
    <row r="8295" spans="1:10" s="393" customFormat="1" ht="15.75" thickBot="1" x14ac:dyDescent="0.3">
      <c r="A8295" s="394" t="s">
        <v>23</v>
      </c>
      <c r="B8295" s="2">
        <v>44238</v>
      </c>
      <c r="C8295" s="1">
        <v>122</v>
      </c>
      <c r="D8295" s="39">
        <f t="shared" si="664"/>
        <v>6415</v>
      </c>
      <c r="E8295" s="1">
        <v>3</v>
      </c>
      <c r="F8295" s="39">
        <f t="shared" si="668"/>
        <v>115</v>
      </c>
      <c r="G8295" s="410">
        <f>SUM(C8295,C8271,C8247,C8223,C8199,C8175,C8151,C8127,C8103,C8079,C8055,C8031,C8007,C7983)/POBLA!$B$14*100000</f>
        <v>179.41891422618357</v>
      </c>
      <c r="H8295" s="418">
        <f t="shared" si="669"/>
        <v>0.94686192468619246</v>
      </c>
      <c r="J8295" s="42"/>
    </row>
    <row r="8296" spans="1:10" s="393" customFormat="1" ht="15.75" thickBot="1" x14ac:dyDescent="0.3">
      <c r="A8296" s="394" t="s">
        <v>19</v>
      </c>
      <c r="B8296" s="2">
        <v>44238</v>
      </c>
      <c r="C8296" s="1">
        <v>316</v>
      </c>
      <c r="D8296" s="39">
        <f t="shared" si="664"/>
        <v>57938</v>
      </c>
      <c r="E8296" s="1">
        <v>10</v>
      </c>
      <c r="F8296" s="39">
        <f t="shared" si="668"/>
        <v>816</v>
      </c>
      <c r="G8296" s="410">
        <f>SUM(C8296,C8272,C8248,C8224,C8200,C8176,C8152,C8128,C8104,C8080,C8056,C8032,C8008,C7984)/POBLA!$B$15*100000</f>
        <v>736.98492749869365</v>
      </c>
      <c r="H8296" s="418">
        <f t="shared" si="669"/>
        <v>0.83701043270053022</v>
      </c>
      <c r="J8296" s="42"/>
    </row>
    <row r="8297" spans="1:10" s="393" customFormat="1" ht="15.75" thickBot="1" x14ac:dyDescent="0.3">
      <c r="A8297" s="394" t="s">
        <v>18</v>
      </c>
      <c r="B8297" s="2">
        <v>44238</v>
      </c>
      <c r="C8297" s="1">
        <v>223</v>
      </c>
      <c r="D8297" s="39">
        <f t="shared" si="664"/>
        <v>50240</v>
      </c>
      <c r="E8297" s="1">
        <v>3</v>
      </c>
      <c r="F8297" s="39">
        <f t="shared" si="668"/>
        <v>1111</v>
      </c>
      <c r="G8297" s="410">
        <f>SUM(C8297,C8273,C8249,C8225,C8201,C8177,C8153,C8129,C8105,C8081,C8057,C8033,C8009,C7985)/POBLA!$B$16*100000</f>
        <v>392.98564759700912</v>
      </c>
      <c r="H8297" s="418">
        <f t="shared" si="669"/>
        <v>0.69538461538461538</v>
      </c>
      <c r="J8297" s="42"/>
    </row>
    <row r="8298" spans="1:10" s="393" customFormat="1" ht="15.75" thickBot="1" x14ac:dyDescent="0.3">
      <c r="A8298" s="394" t="s">
        <v>34</v>
      </c>
      <c r="B8298" s="2">
        <v>44238</v>
      </c>
      <c r="C8298" s="1">
        <v>96</v>
      </c>
      <c r="D8298" s="39">
        <f t="shared" si="664"/>
        <v>24609</v>
      </c>
      <c r="E8298" s="1">
        <v>4</v>
      </c>
      <c r="F8298" s="39">
        <f t="shared" si="668"/>
        <v>1059</v>
      </c>
      <c r="G8298" s="410">
        <f>SUM(C8298,C8274,C8250,C8226,C8202,C8178,C8154,C8130,C8106,C8082,C8058,C8034,C8010,C7986)/POBLA!$B$17*100000</f>
        <v>65.220581059915176</v>
      </c>
      <c r="H8298" s="418">
        <f t="shared" si="669"/>
        <v>1.2223684210526315</v>
      </c>
      <c r="J8298" s="42"/>
    </row>
    <row r="8299" spans="1:10" s="393" customFormat="1" ht="15.75" thickBot="1" x14ac:dyDescent="0.3">
      <c r="A8299" s="394" t="s">
        <v>35</v>
      </c>
      <c r="B8299" s="2">
        <v>44238</v>
      </c>
      <c r="C8299" s="1">
        <v>80</v>
      </c>
      <c r="D8299" s="39">
        <f t="shared" si="664"/>
        <v>14537</v>
      </c>
      <c r="E8299" s="1"/>
      <c r="F8299" s="39">
        <f t="shared" si="668"/>
        <v>203</v>
      </c>
      <c r="G8299" s="410">
        <f>SUM(C8299,C8275,C8251,C8227,C8203,C8179,C8155,C8131,C8107,C8083,C8059,C8035,C8011,C7987)/POBLA!$B$18*100000</f>
        <v>89.859795677769426</v>
      </c>
      <c r="H8299" s="418">
        <f t="shared" si="669"/>
        <v>0.76470588235294112</v>
      </c>
      <c r="J8299" s="42"/>
    </row>
    <row r="8300" spans="1:10" s="393" customFormat="1" ht="15.75" thickBot="1" x14ac:dyDescent="0.3">
      <c r="A8300" s="394" t="s">
        <v>36</v>
      </c>
      <c r="B8300" s="2">
        <v>44238</v>
      </c>
      <c r="C8300" s="1">
        <v>21</v>
      </c>
      <c r="D8300" s="39">
        <f t="shared" si="664"/>
        <v>19145</v>
      </c>
      <c r="E8300" s="1">
        <v>6</v>
      </c>
      <c r="F8300" s="39">
        <f t="shared" si="668"/>
        <v>344</v>
      </c>
      <c r="G8300" s="410">
        <f>SUM(C8300,C8276,C8252,C8228,C8204,C8180,C8156,C8132,C8108,C8084,C8060,C8036,C8012,C7988)/POBLA!$B$19*100000</f>
        <v>38.951228340756366</v>
      </c>
      <c r="H8300" s="418">
        <f t="shared" si="669"/>
        <v>9.0534979423868317E-2</v>
      </c>
      <c r="J8300" s="42"/>
    </row>
    <row r="8301" spans="1:10" s="393" customFormat="1" ht="15.75" thickBot="1" x14ac:dyDescent="0.3">
      <c r="A8301" s="394" t="s">
        <v>37</v>
      </c>
      <c r="B8301" s="2">
        <v>44238</v>
      </c>
      <c r="C8301" s="1">
        <v>114</v>
      </c>
      <c r="D8301" s="39">
        <f t="shared" si="664"/>
        <v>34291</v>
      </c>
      <c r="E8301" s="1">
        <v>3</v>
      </c>
      <c r="F8301" s="39">
        <f t="shared" si="668"/>
        <v>526</v>
      </c>
      <c r="G8301" s="410">
        <f>SUM(C8301,C8277,C8253,C8229,C8205,C8181,C8157,C8133,C8109,C8085,C8061,C8037,C8013,C7989)/POBLA!$B$20*100000</f>
        <v>588.19025534730849</v>
      </c>
      <c r="H8301" s="418">
        <f t="shared" si="669"/>
        <v>0.59700249791840132</v>
      </c>
      <c r="J8301" s="42"/>
    </row>
    <row r="8302" spans="1:10" s="393" customFormat="1" ht="15.75" thickBot="1" x14ac:dyDescent="0.3">
      <c r="A8302" s="394" t="s">
        <v>22</v>
      </c>
      <c r="B8302" s="2">
        <v>44238</v>
      </c>
      <c r="C8302" s="1">
        <v>456</v>
      </c>
      <c r="D8302" s="39">
        <f t="shared" si="664"/>
        <v>210970</v>
      </c>
      <c r="E8302" s="1">
        <v>21</v>
      </c>
      <c r="F8302" s="39">
        <f t="shared" si="668"/>
        <v>3783</v>
      </c>
      <c r="G8302" s="410">
        <f>SUM(C8302,C8278,C8254,C8230,C8206,C8182,C8158,C8134,C8110,C8086,C8062,C8038,C8014,C7990)/POBLA!$B$21*100000</f>
        <v>183.99974211193359</v>
      </c>
      <c r="H8302" s="418">
        <f t="shared" si="669"/>
        <v>0.51552844240215501</v>
      </c>
      <c r="J8302" s="42"/>
    </row>
    <row r="8303" spans="1:10" s="393" customFormat="1" ht="15.75" thickBot="1" x14ac:dyDescent="0.3">
      <c r="A8303" s="394" t="s">
        <v>38</v>
      </c>
      <c r="B8303" s="2">
        <v>44238</v>
      </c>
      <c r="C8303" s="1">
        <v>89</v>
      </c>
      <c r="D8303" s="39">
        <f t="shared" si="664"/>
        <v>21722</v>
      </c>
      <c r="E8303" s="1">
        <v>1</v>
      </c>
      <c r="F8303" s="39">
        <f t="shared" si="668"/>
        <v>256</v>
      </c>
      <c r="G8303" s="410">
        <f>SUM(C8303,C8279,C8255,C8231,C8207,C8183,C8159,C8135,C8111,C8087,C8063,C8039,C8015,C7991)/POBLA!$B$22*100000</f>
        <v>102.11455842864196</v>
      </c>
      <c r="H8303" s="418">
        <f t="shared" si="669"/>
        <v>0.67820773930753564</v>
      </c>
      <c r="J8303" s="42"/>
    </row>
    <row r="8304" spans="1:10" s="393" customFormat="1" ht="15.75" thickBot="1" x14ac:dyDescent="0.3">
      <c r="A8304" s="394" t="s">
        <v>39</v>
      </c>
      <c r="B8304" s="2">
        <v>44238</v>
      </c>
      <c r="C8304" s="1">
        <v>48</v>
      </c>
      <c r="D8304" s="39">
        <f t="shared" si="664"/>
        <v>22366</v>
      </c>
      <c r="E8304" s="1">
        <v>1</v>
      </c>
      <c r="F8304" s="39">
        <f t="shared" si="668"/>
        <v>343</v>
      </c>
      <c r="G8304" s="410">
        <f>SUM(C8304,C8280,C8256,C8232,C8208,C8184,C8160,C8136,C8112,C8088,C8064,C8040,C8016,C7992)/POBLA!$B$23*100000</f>
        <v>380.02601368546061</v>
      </c>
      <c r="H8304" s="418">
        <f t="shared" si="669"/>
        <v>0.59786476868327398</v>
      </c>
      <c r="J8304" s="42"/>
    </row>
    <row r="8305" spans="1:10" s="393" customFormat="1" ht="15.75" thickBot="1" x14ac:dyDescent="0.3">
      <c r="A8305" s="394" t="s">
        <v>40</v>
      </c>
      <c r="B8305" s="2">
        <v>44238</v>
      </c>
      <c r="C8305" s="1">
        <v>123</v>
      </c>
      <c r="D8305" s="177">
        <f t="shared" si="664"/>
        <v>77742</v>
      </c>
      <c r="E8305" s="1">
        <v>1</v>
      </c>
      <c r="F8305" s="177">
        <f t="shared" si="668"/>
        <v>1452</v>
      </c>
      <c r="G8305" s="410">
        <f>SUM(C8305,C8281,C8257,C8233,C8209,C8185,C8161,C8137,C8113,C8089,C8065,C8041,C8017,C7993)/POBLA!$B$24*100000</f>
        <v>95.122549945239626</v>
      </c>
      <c r="H8305" s="419">
        <f t="shared" si="669"/>
        <v>0.70577933450087571</v>
      </c>
      <c r="J8305" s="42"/>
    </row>
    <row r="8306" spans="1:10" s="393" customFormat="1" ht="15.75" thickBot="1" x14ac:dyDescent="0.3">
      <c r="A8306" s="394" t="s">
        <v>16</v>
      </c>
      <c r="B8306" s="2">
        <v>44239</v>
      </c>
      <c r="C8306" s="1">
        <v>3207</v>
      </c>
      <c r="D8306" s="175">
        <f t="shared" si="664"/>
        <v>841561</v>
      </c>
      <c r="E8306" s="1">
        <v>82</v>
      </c>
      <c r="F8306" s="175">
        <f>E8306+F8282</f>
        <v>25411</v>
      </c>
      <c r="G8306" s="410">
        <f>SUM(C8306,C8282,C8258,C8234,C8210,C8186,C8162,C8138,C8114,C8090,C8066,C8042,C8018,C7994)/POBLA!$B$1*100000</f>
        <v>242.32175090548557</v>
      </c>
      <c r="H8306" s="416">
        <f t="shared" ref="H8306:H8312" si="670">SUM(C8306,C8282,C8258,C8234,C8210,C8186,C8162,C8138,C8114,C8090,C8066,C8042,C8018,C7994)/SUM(C7970,C7946,C7922,C7898,C7874,C7850,C7826,C7802,C7778,C7754,C7730,C7706,C7682,C7658)</f>
        <v>0.79116256561069132</v>
      </c>
      <c r="J8306" s="42"/>
    </row>
    <row r="8307" spans="1:10" s="393" customFormat="1" ht="15.75" thickBot="1" x14ac:dyDescent="0.3">
      <c r="A8307" s="394" t="s">
        <v>43</v>
      </c>
      <c r="B8307" s="2">
        <v>44239</v>
      </c>
      <c r="C8307" s="1">
        <v>812</v>
      </c>
      <c r="D8307" s="39">
        <f t="shared" si="664"/>
        <v>221245</v>
      </c>
      <c r="E8307" s="1">
        <v>12</v>
      </c>
      <c r="F8307" s="39">
        <f t="shared" ref="F8307:F8329" si="671">E8307+F8283</f>
        <v>6252</v>
      </c>
      <c r="G8307" s="410">
        <f>SUM(C8307,C8283,C8259,C8235,C8211,C8187,C8163,C8139,C8115,C8091,C8067,C8043,C8019,C7995)/POBLA!$B$2*100000</f>
        <v>413.08395049365237</v>
      </c>
      <c r="H8307" s="418">
        <f t="shared" si="670"/>
        <v>0.78654119977713122</v>
      </c>
      <c r="J8307" s="42"/>
    </row>
    <row r="8308" spans="1:10" s="393" customFormat="1" ht="15.75" thickBot="1" x14ac:dyDescent="0.3">
      <c r="A8308" s="394" t="s">
        <v>28</v>
      </c>
      <c r="B8308" s="2">
        <v>44239</v>
      </c>
      <c r="C8308" s="1">
        <v>122</v>
      </c>
      <c r="D8308" s="39">
        <f t="shared" si="664"/>
        <v>6683</v>
      </c>
      <c r="E8308" s="1"/>
      <c r="F8308" s="39">
        <f t="shared" si="671"/>
        <v>17</v>
      </c>
      <c r="G8308" s="410">
        <f>SUM(C8308,C8284,C8260,C8236,C8212,C8188,C8164,C8140,C8116,C8092,C8068,C8044,C8020,C7996)/POBLA!$B$3*100000</f>
        <v>367.80458215184939</v>
      </c>
      <c r="H8308" s="418">
        <f t="shared" si="670"/>
        <v>1.1523378582202111</v>
      </c>
      <c r="J8308" s="42"/>
    </row>
    <row r="8309" spans="1:10" s="393" customFormat="1" ht="15.75" thickBot="1" x14ac:dyDescent="0.3">
      <c r="A8309" s="394" t="s">
        <v>15</v>
      </c>
      <c r="B8309" s="2">
        <v>44239</v>
      </c>
      <c r="C8309" s="1">
        <v>119</v>
      </c>
      <c r="D8309" s="39">
        <f t="shared" si="664"/>
        <v>32291</v>
      </c>
      <c r="E8309" s="1">
        <v>1</v>
      </c>
      <c r="F8309" s="39">
        <f t="shared" si="671"/>
        <v>831</v>
      </c>
      <c r="G8309" s="410">
        <f>SUM(C8309,C8285,C8261,C8237,C8213,C8189,C8165,C8141,C8117,C8093,C8069,C8045,C8021,C7997)/POBLA!$B$4*100000</f>
        <v>144.37034521863515</v>
      </c>
      <c r="H8309" s="418">
        <f t="shared" si="670"/>
        <v>0.72944630872483218</v>
      </c>
      <c r="J8309" s="42"/>
    </row>
    <row r="8310" spans="1:10" s="393" customFormat="1" ht="15.75" thickBot="1" x14ac:dyDescent="0.3">
      <c r="A8310" s="394" t="s">
        <v>29</v>
      </c>
      <c r="B8310" s="2">
        <v>44239</v>
      </c>
      <c r="C8310" s="1">
        <v>232</v>
      </c>
      <c r="D8310" s="39">
        <f t="shared" si="664"/>
        <v>45037</v>
      </c>
      <c r="E8310" s="1"/>
      <c r="F8310" s="39">
        <f t="shared" si="671"/>
        <v>684</v>
      </c>
      <c r="G8310" s="410">
        <f>SUM(C8310,C8286,C8262,C8238,C8214,C8190,C8166,C8142,C8118,C8094,C8070,C8046,C8022,C7998)/POBLA!$B$5*100000</f>
        <v>493.38119594050994</v>
      </c>
      <c r="H8310" s="418">
        <f t="shared" si="670"/>
        <v>0.74908020603384839</v>
      </c>
      <c r="J8310" s="42"/>
    </row>
    <row r="8311" spans="1:10" s="393" customFormat="1" ht="15.75" thickBot="1" x14ac:dyDescent="0.3">
      <c r="A8311" s="394" t="s">
        <v>30</v>
      </c>
      <c r="B8311" s="2">
        <v>44239</v>
      </c>
      <c r="C8311" s="1">
        <v>56</v>
      </c>
      <c r="D8311" s="39">
        <f t="shared" si="664"/>
        <v>19208</v>
      </c>
      <c r="E8311" s="1">
        <v>2</v>
      </c>
      <c r="F8311" s="39">
        <f t="shared" si="671"/>
        <v>220</v>
      </c>
      <c r="G8311" s="410">
        <f>SUM(C8311,C8287,C8263,C8239,C8215,C8191,C8167,C8143,C8119,C8095,C8071,C8047,C8023,C7999)/POBLA!$B$7*100000</f>
        <v>54.993418340890052</v>
      </c>
      <c r="H8311" s="418">
        <f t="shared" si="670"/>
        <v>0.81257367387033397</v>
      </c>
      <c r="J8311" s="42"/>
    </row>
    <row r="8312" spans="1:10" s="393" customFormat="1" ht="15.75" thickBot="1" x14ac:dyDescent="0.3">
      <c r="A8312" s="394" t="s">
        <v>20</v>
      </c>
      <c r="B8312" s="2">
        <v>44239</v>
      </c>
      <c r="C8312" s="1">
        <v>649</v>
      </c>
      <c r="D8312" s="39">
        <f t="shared" si="664"/>
        <v>151213</v>
      </c>
      <c r="E8312" s="1">
        <v>5</v>
      </c>
      <c r="F8312" s="39">
        <f t="shared" si="671"/>
        <v>2770</v>
      </c>
      <c r="G8312" s="410">
        <f>SUM(C8312,C8288,C8264,C8240,C8216,C8192,C8168,C8144,C8120,C8096,C8072,C8048,C8024,C8000)/POBLA!$B$6*100000</f>
        <v>602.78318809494283</v>
      </c>
      <c r="H8312" s="418">
        <f t="shared" si="670"/>
        <v>0.97110823630875376</v>
      </c>
      <c r="J8312" s="42"/>
    </row>
    <row r="8313" spans="1:10" ht="15.75" thickBot="1" x14ac:dyDescent="0.3">
      <c r="A8313" s="394" t="s">
        <v>31</v>
      </c>
      <c r="B8313" s="2">
        <v>44239</v>
      </c>
      <c r="C8313" s="1">
        <v>169</v>
      </c>
      <c r="D8313" s="39">
        <f t="shared" si="664"/>
        <v>43321</v>
      </c>
      <c r="E8313" s="1">
        <v>5</v>
      </c>
      <c r="F8313" s="39">
        <f t="shared" si="671"/>
        <v>789</v>
      </c>
      <c r="G8313" s="176">
        <f>SUM(C8313,C8289,C8265,C8241,C8217,C8193,C8169,C8145,C8121,C8097,C8073,C8049,C8025,C8001)/POBLA!$B$8*100000</f>
        <v>194.73852438849289</v>
      </c>
      <c r="H8313" s="527">
        <f t="shared" ref="H8313:H8329" si="672">SUM(C8313,C8289,C8265,C8241,C8217,C8193,C8169,C8145,C8121,C8097,C8073,C8049,C8025,C8001)/SUM(C7977,C7953,C7929,C7905,C7881,C7857,C7833,C7809,C7785,C7761,C7737,C7713,C7689,C7665)</f>
        <v>0.56701680672268906</v>
      </c>
    </row>
    <row r="8314" spans="1:10" s="393" customFormat="1" ht="15.75" thickBot="1" x14ac:dyDescent="0.3">
      <c r="A8314" s="394" t="s">
        <v>41</v>
      </c>
      <c r="B8314" s="2">
        <v>44239</v>
      </c>
      <c r="C8314" s="1">
        <v>25</v>
      </c>
      <c r="D8314" s="39">
        <f t="shared" si="664"/>
        <v>937</v>
      </c>
      <c r="E8314" s="1"/>
      <c r="F8314" s="39">
        <f t="shared" si="671"/>
        <v>9</v>
      </c>
      <c r="G8314" s="410">
        <f>SUM(C8314,C8290,C8266,C8242,C8218,C8194,C8170,C8146,C8122,C8098,C8074,C8050,C8026,C8002)/POBLA!$B$9*100000</f>
        <v>15.862708260009617</v>
      </c>
      <c r="H8314" s="418">
        <f t="shared" si="672"/>
        <v>0.33922261484098942</v>
      </c>
      <c r="J8314" s="42"/>
    </row>
    <row r="8315" spans="1:10" s="393" customFormat="1" ht="15.75" thickBot="1" x14ac:dyDescent="0.3">
      <c r="A8315" s="394" t="s">
        <v>32</v>
      </c>
      <c r="B8315" s="2">
        <v>44239</v>
      </c>
      <c r="C8315" s="1">
        <v>35</v>
      </c>
      <c r="D8315" s="39">
        <f t="shared" si="664"/>
        <v>19695</v>
      </c>
      <c r="E8315" s="1">
        <v>1</v>
      </c>
      <c r="F8315" s="39">
        <f t="shared" si="671"/>
        <v>889</v>
      </c>
      <c r="G8315" s="410">
        <f>SUM(C8315,C8291,C8267,C8243,C8219,C8195,C8171,C8147,C8123,C8099,C8075,C8051,C8027,C8003)/POBLA!$B$10*100000</f>
        <v>54.48311736830977</v>
      </c>
      <c r="H8315" s="418">
        <f t="shared" si="672"/>
        <v>0.84848484848484851</v>
      </c>
      <c r="J8315" s="42"/>
    </row>
    <row r="8316" spans="1:10" s="393" customFormat="1" ht="15.75" thickBot="1" x14ac:dyDescent="0.3">
      <c r="A8316" s="394" t="s">
        <v>33</v>
      </c>
      <c r="B8316" s="2">
        <v>44239</v>
      </c>
      <c r="C8316" s="1">
        <v>71</v>
      </c>
      <c r="D8316" s="39">
        <f t="shared" si="664"/>
        <v>17546</v>
      </c>
      <c r="E8316" s="1"/>
      <c r="F8316" s="39">
        <f t="shared" si="671"/>
        <v>268</v>
      </c>
      <c r="G8316" s="410">
        <f>SUM(C8316,C8292,C8268,C8244,C8220,C8196,C8172,C8148,C8124,C8100,C8076,C8052,C8028,C8004)/POBLA!$B$11*100000</f>
        <v>342.04917026571587</v>
      </c>
      <c r="H8316" s="418">
        <f t="shared" si="672"/>
        <v>0.77301387137452715</v>
      </c>
      <c r="J8316" s="42"/>
    </row>
    <row r="8317" spans="1:10" s="393" customFormat="1" ht="15.75" thickBot="1" x14ac:dyDescent="0.3">
      <c r="A8317" s="394" t="s">
        <v>21</v>
      </c>
      <c r="B8317" s="2">
        <v>44239</v>
      </c>
      <c r="C8317" s="1">
        <v>29</v>
      </c>
      <c r="D8317" s="39">
        <f t="shared" si="664"/>
        <v>9784</v>
      </c>
      <c r="E8317" s="1"/>
      <c r="F8317" s="39">
        <f t="shared" si="671"/>
        <v>415</v>
      </c>
      <c r="G8317" s="410">
        <f>SUM(C8317,C8293,C8269,C8245,C8221,C8197,C8173,C8149,C8125,C8101,C8077,C8053,C8029,C8005)/POBLA!$B$12*100000</f>
        <v>68.355478983866576</v>
      </c>
      <c r="H8317" s="418">
        <f t="shared" si="672"/>
        <v>1.1069958847736625</v>
      </c>
      <c r="J8317" s="42"/>
    </row>
    <row r="8318" spans="1:10" s="393" customFormat="1" ht="15.75" thickBot="1" x14ac:dyDescent="0.3">
      <c r="A8318" s="394" t="s">
        <v>17</v>
      </c>
      <c r="B8318" s="2">
        <v>44239</v>
      </c>
      <c r="C8318" s="1">
        <v>144</v>
      </c>
      <c r="D8318" s="39">
        <f t="shared" si="664"/>
        <v>65519</v>
      </c>
      <c r="E8318" s="1">
        <v>2</v>
      </c>
      <c r="F8318" s="39">
        <f t="shared" si="671"/>
        <v>1413</v>
      </c>
      <c r="G8318" s="410">
        <f>SUM(C8318,C8294,C8270,C8246,C8222,C8198,C8174,C8150,C8126,C8102,C8078,C8054,C8030,C8006)/POBLA!$B$13*100000</f>
        <v>91.893939622315401</v>
      </c>
      <c r="H8318" s="418">
        <f t="shared" si="672"/>
        <v>1.1071428571428572</v>
      </c>
      <c r="J8318" s="42"/>
    </row>
    <row r="8319" spans="1:10" s="393" customFormat="1" ht="15.75" thickBot="1" x14ac:dyDescent="0.3">
      <c r="A8319" s="394" t="s">
        <v>23</v>
      </c>
      <c r="B8319" s="2">
        <v>44239</v>
      </c>
      <c r="C8319" s="1">
        <v>105</v>
      </c>
      <c r="D8319" s="39">
        <f t="shared" si="664"/>
        <v>6520</v>
      </c>
      <c r="E8319" s="1">
        <v>2</v>
      </c>
      <c r="F8319" s="39">
        <f t="shared" si="671"/>
        <v>117</v>
      </c>
      <c r="G8319" s="410">
        <f>SUM(C8319,C8295,C8271,C8247,C8223,C8199,C8175,C8151,C8127,C8103,C8079,C8055,C8031,C8007)/POBLA!$B$14*100000</f>
        <v>170.53914471962921</v>
      </c>
      <c r="H8319" s="418">
        <f t="shared" si="672"/>
        <v>0.85936875749101083</v>
      </c>
      <c r="J8319" s="42"/>
    </row>
    <row r="8320" spans="1:10" s="393" customFormat="1" ht="15.75" thickBot="1" x14ac:dyDescent="0.3">
      <c r="A8320" s="394" t="s">
        <v>19</v>
      </c>
      <c r="B8320" s="2">
        <v>44239</v>
      </c>
      <c r="C8320" s="1">
        <v>310</v>
      </c>
      <c r="D8320" s="39">
        <f t="shared" si="664"/>
        <v>58248</v>
      </c>
      <c r="E8320" s="1">
        <v>8</v>
      </c>
      <c r="F8320" s="39">
        <f t="shared" si="671"/>
        <v>824</v>
      </c>
      <c r="G8320" s="410">
        <f>SUM(C8320,C8296,C8272,C8248,C8224,C8200,C8176,C8152,C8128,C8104,C8080,C8056,C8032,C8008)/POBLA!$B$15*100000</f>
        <v>710.63176805605542</v>
      </c>
      <c r="H8320" s="418">
        <f t="shared" si="672"/>
        <v>0.81124290871583293</v>
      </c>
      <c r="J8320" s="42"/>
    </row>
    <row r="8321" spans="1:10" s="393" customFormat="1" ht="15.75" thickBot="1" x14ac:dyDescent="0.3">
      <c r="A8321" s="394" t="s">
        <v>18</v>
      </c>
      <c r="B8321" s="2">
        <v>44239</v>
      </c>
      <c r="C8321" s="1">
        <v>155</v>
      </c>
      <c r="D8321" s="39">
        <f t="shared" si="664"/>
        <v>50395</v>
      </c>
      <c r="E8321" s="1">
        <v>2</v>
      </c>
      <c r="F8321" s="39">
        <f t="shared" si="671"/>
        <v>1113</v>
      </c>
      <c r="G8321" s="410">
        <f>SUM(C8321,C8297,C8273,C8249,C8225,C8201,C8177,C8153,C8129,C8105,C8081,C8057,C8033,C8009)/POBLA!$B$16*100000</f>
        <v>369.57772100426695</v>
      </c>
      <c r="H8321" s="418">
        <f t="shared" si="672"/>
        <v>0.65458422174840081</v>
      </c>
      <c r="J8321" s="42"/>
    </row>
    <row r="8322" spans="1:10" s="393" customFormat="1" ht="15.75" thickBot="1" x14ac:dyDescent="0.3">
      <c r="A8322" s="394" t="s">
        <v>34</v>
      </c>
      <c r="B8322" s="2">
        <v>44239</v>
      </c>
      <c r="C8322" s="1">
        <v>91</v>
      </c>
      <c r="D8322" s="39">
        <f t="shared" si="664"/>
        <v>24700</v>
      </c>
      <c r="E8322" s="1"/>
      <c r="F8322" s="39">
        <f t="shared" si="671"/>
        <v>1059</v>
      </c>
      <c r="G8322" s="410">
        <f>SUM(C8322,C8298,C8274,C8250,C8226,C8202,C8178,C8154,C8130,C8106,C8082,C8058,C8034,C8010)/POBLA!$B$17*100000</f>
        <v>68.520222943463096</v>
      </c>
      <c r="H8322" s="418">
        <f t="shared" si="672"/>
        <v>1.3100671140939597</v>
      </c>
      <c r="J8322" s="42"/>
    </row>
    <row r="8323" spans="1:10" s="393" customFormat="1" ht="15.75" thickBot="1" x14ac:dyDescent="0.3">
      <c r="A8323" s="394" t="s">
        <v>35</v>
      </c>
      <c r="B8323" s="2">
        <v>44239</v>
      </c>
      <c r="C8323" s="1">
        <v>61</v>
      </c>
      <c r="D8323" s="39">
        <f t="shared" ref="D8323:D8353" si="673">C8323+D8299</f>
        <v>14598</v>
      </c>
      <c r="E8323" s="1"/>
      <c r="F8323" s="39">
        <f t="shared" si="671"/>
        <v>203</v>
      </c>
      <c r="G8323" s="410">
        <f>SUM(C8323,C8299,C8275,C8251,C8227,C8203,C8179,C8155,C8131,C8107,C8083,C8059,C8035,C8011)/POBLA!$B$18*100000</f>
        <v>88.579741608285531</v>
      </c>
      <c r="H8323" s="418">
        <f t="shared" si="672"/>
        <v>0.78815489749430523</v>
      </c>
      <c r="J8323" s="42"/>
    </row>
    <row r="8324" spans="1:10" s="393" customFormat="1" ht="15.75" thickBot="1" x14ac:dyDescent="0.3">
      <c r="A8324" s="394" t="s">
        <v>36</v>
      </c>
      <c r="B8324" s="2">
        <v>44239</v>
      </c>
      <c r="C8324" s="1">
        <v>10</v>
      </c>
      <c r="D8324" s="39">
        <f t="shared" si="673"/>
        <v>19155</v>
      </c>
      <c r="E8324" s="1">
        <v>1</v>
      </c>
      <c r="F8324" s="39">
        <f t="shared" si="671"/>
        <v>345</v>
      </c>
      <c r="G8324" s="410">
        <f>SUM(C8324,C8300,C8276,C8252,C8228,C8204,C8180,C8156,C8132,C8108,C8084,C8060,C8036,C8012)/POBLA!$B$19*100000</f>
        <v>38.164334838922898</v>
      </c>
      <c r="H8324" s="418">
        <f t="shared" si="672"/>
        <v>8.9483394833948335E-2</v>
      </c>
      <c r="J8324" s="42"/>
    </row>
    <row r="8325" spans="1:10" s="393" customFormat="1" ht="15.75" thickBot="1" x14ac:dyDescent="0.3">
      <c r="A8325" s="394" t="s">
        <v>37</v>
      </c>
      <c r="B8325" s="2">
        <v>44239</v>
      </c>
      <c r="C8325" s="1">
        <v>121</v>
      </c>
      <c r="D8325" s="39">
        <f t="shared" si="673"/>
        <v>34412</v>
      </c>
      <c r="E8325" s="1">
        <v>9</v>
      </c>
      <c r="F8325" s="39">
        <f t="shared" si="671"/>
        <v>535</v>
      </c>
      <c r="G8325" s="410">
        <f>SUM(C8325,C8301,C8277,C8253,C8229,C8205,C8181,C8157,C8133,C8109,C8085,C8061,C8037,C8013)/POBLA!$B$20*100000</f>
        <v>576.43191923390339</v>
      </c>
      <c r="H8325" s="418">
        <f t="shared" si="672"/>
        <v>0.61368267831149925</v>
      </c>
      <c r="J8325" s="42"/>
    </row>
    <row r="8326" spans="1:10" s="393" customFormat="1" ht="15.75" thickBot="1" x14ac:dyDescent="0.3">
      <c r="A8326" s="394" t="s">
        <v>22</v>
      </c>
      <c r="B8326" s="2">
        <v>44239</v>
      </c>
      <c r="C8326" s="1">
        <v>330</v>
      </c>
      <c r="D8326" s="39">
        <f t="shared" si="673"/>
        <v>211300</v>
      </c>
      <c r="E8326" s="1">
        <v>23</v>
      </c>
      <c r="F8326" s="39">
        <f t="shared" si="671"/>
        <v>3806</v>
      </c>
      <c r="G8326" s="410">
        <f>SUM(C8326,C8302,C8278,C8254,C8230,C8206,C8182,C8158,C8134,C8110,C8086,C8062,C8038,C8014)/POBLA!$B$21*100000</f>
        <v>175.48830483274318</v>
      </c>
      <c r="H8326" s="418">
        <f t="shared" si="672"/>
        <v>0.5274968125796855</v>
      </c>
      <c r="J8326" s="42"/>
    </row>
    <row r="8327" spans="1:10" s="393" customFormat="1" ht="15.75" thickBot="1" x14ac:dyDescent="0.3">
      <c r="A8327" s="394" t="s">
        <v>38</v>
      </c>
      <c r="B8327" s="2">
        <v>44239</v>
      </c>
      <c r="C8327" s="1">
        <v>52</v>
      </c>
      <c r="D8327" s="39">
        <f t="shared" si="673"/>
        <v>21774</v>
      </c>
      <c r="E8327" s="1">
        <v>1</v>
      </c>
      <c r="F8327" s="39">
        <f t="shared" si="671"/>
        <v>257</v>
      </c>
      <c r="G8327" s="410">
        <f>SUM(C8327,C8303,C8279,C8255,C8231,C8207,C8183,C8159,C8135,C8111,C8087,C8063,C8039,C8015)/POBLA!$B$22*100000</f>
        <v>112.84731982504577</v>
      </c>
      <c r="H8327" s="418">
        <f t="shared" si="672"/>
        <v>0.83132530120481929</v>
      </c>
      <c r="J8327" s="42"/>
    </row>
    <row r="8328" spans="1:10" s="393" customFormat="1" ht="15.75" thickBot="1" x14ac:dyDescent="0.3">
      <c r="A8328" s="394" t="s">
        <v>39</v>
      </c>
      <c r="B8328" s="2">
        <v>44239</v>
      </c>
      <c r="C8328" s="1">
        <v>47</v>
      </c>
      <c r="D8328" s="39">
        <f t="shared" si="673"/>
        <v>22413</v>
      </c>
      <c r="E8328" s="1">
        <v>1</v>
      </c>
      <c r="F8328" s="39">
        <f t="shared" si="671"/>
        <v>344</v>
      </c>
      <c r="G8328" s="410">
        <f>SUM(C8328,C8304,C8280,C8256,C8232,C8208,C8184,C8160,C8136,C8112,C8088,C8064,C8040,C8016)/POBLA!$B$23*100000</f>
        <v>369.28123056042529</v>
      </c>
      <c r="H8328" s="418">
        <f t="shared" si="672"/>
        <v>0.59417652411282984</v>
      </c>
      <c r="J8328" s="42"/>
    </row>
    <row r="8329" spans="1:10" s="393" customFormat="1" ht="15.75" thickBot="1" x14ac:dyDescent="0.3">
      <c r="A8329" s="394" t="s">
        <v>40</v>
      </c>
      <c r="B8329" s="2">
        <v>44239</v>
      </c>
      <c r="C8329" s="1">
        <v>199</v>
      </c>
      <c r="D8329" s="177">
        <f t="shared" si="673"/>
        <v>77941</v>
      </c>
      <c r="E8329" s="1">
        <v>1</v>
      </c>
      <c r="F8329" s="177">
        <f t="shared" si="671"/>
        <v>1453</v>
      </c>
      <c r="G8329" s="410">
        <f>SUM(C8329,C8305,C8281,C8257,C8233,C8209,C8185,C8161,C8137,C8113,C8089,C8065,C8041,C8017)/POBLA!$B$24*100000</f>
        <v>98.72210053249745</v>
      </c>
      <c r="H8329" s="419">
        <f t="shared" si="672"/>
        <v>0.77132319041032738</v>
      </c>
      <c r="J8329" s="42"/>
    </row>
    <row r="8330" spans="1:10" s="393" customFormat="1" ht="15.75" thickBot="1" x14ac:dyDescent="0.3">
      <c r="A8330" s="394" t="s">
        <v>16</v>
      </c>
      <c r="B8330" s="2">
        <v>44240</v>
      </c>
      <c r="C8330" s="1">
        <v>2448</v>
      </c>
      <c r="D8330" s="175">
        <f t="shared" si="673"/>
        <v>844009</v>
      </c>
      <c r="E8330" s="1">
        <v>54</v>
      </c>
      <c r="F8330" s="175">
        <f>E8330+F8306</f>
        <v>25465</v>
      </c>
      <c r="G8330" s="410">
        <f>SUM(C8330,C8306,C8282,C8258,C8234,C8210,C8186,C8162,C8138,C8114,C8090,C8066,C8042,C8018)/POBLA!$B$1*100000</f>
        <v>238.79860494821861</v>
      </c>
      <c r="H8330" s="416">
        <f t="shared" ref="H8330:H8336" si="674">SUM(C8330,C8306,C8282,C8258,C8234,C8210,C8186,C8162,C8138,C8114,C8090,C8066,C8042,C8018)/SUM(C7994,C7970,C7946,C7922,C7898,C7874,C7850,C7826,C7802,C7778,C7754,C7730,C7706,C7682)</f>
        <v>0.7864666453878072</v>
      </c>
      <c r="J8330" s="42"/>
    </row>
    <row r="8331" spans="1:10" s="393" customFormat="1" ht="15.75" thickBot="1" x14ac:dyDescent="0.3">
      <c r="A8331" s="394" t="s">
        <v>43</v>
      </c>
      <c r="B8331" s="2">
        <v>44240</v>
      </c>
      <c r="C8331" s="1">
        <v>541</v>
      </c>
      <c r="D8331" s="39">
        <f t="shared" si="673"/>
        <v>221786</v>
      </c>
      <c r="E8331" s="1">
        <v>35</v>
      </c>
      <c r="F8331" s="39">
        <f t="shared" ref="F8331:F8353" si="675">E8331+F8307</f>
        <v>6287</v>
      </c>
      <c r="G8331" s="410">
        <f>SUM(C8331,C8307,C8283,C8259,C8235,C8211,C8187,C8163,C8139,C8115,C8091,C8067,C8043,C8019)/POBLA!$B$2*100000</f>
        <v>399.75341765599813</v>
      </c>
      <c r="H8331" s="418">
        <f t="shared" si="674"/>
        <v>0.77036340852130325</v>
      </c>
      <c r="J8331" s="42"/>
    </row>
    <row r="8332" spans="1:10" s="393" customFormat="1" ht="15.75" thickBot="1" x14ac:dyDescent="0.3">
      <c r="A8332" s="394" t="s">
        <v>28</v>
      </c>
      <c r="B8332" s="2">
        <v>44240</v>
      </c>
      <c r="C8332" s="1">
        <v>78</v>
      </c>
      <c r="D8332" s="39">
        <f t="shared" si="673"/>
        <v>6761</v>
      </c>
      <c r="E8332" s="1"/>
      <c r="F8332" s="39">
        <f t="shared" si="675"/>
        <v>17</v>
      </c>
      <c r="G8332" s="410">
        <f>SUM(C8332,C8308,C8284,C8260,C8236,C8212,C8188,C8164,C8140,C8116,C8092,C8068,C8044,C8020)/POBLA!$B$3*100000</f>
        <v>365.87890371126377</v>
      </c>
      <c r="H8332" s="418">
        <f t="shared" si="674"/>
        <v>1.2914188615123194</v>
      </c>
      <c r="J8332" s="42"/>
    </row>
    <row r="8333" spans="1:10" s="393" customFormat="1" ht="15.75" thickBot="1" x14ac:dyDescent="0.3">
      <c r="A8333" s="394" t="s">
        <v>15</v>
      </c>
      <c r="B8333" s="2">
        <v>44240</v>
      </c>
      <c r="C8333" s="1">
        <v>75</v>
      </c>
      <c r="D8333" s="39">
        <f t="shared" si="673"/>
        <v>32366</v>
      </c>
      <c r="E8333" s="1">
        <v>1</v>
      </c>
      <c r="F8333" s="39">
        <f t="shared" si="675"/>
        <v>832</v>
      </c>
      <c r="G8333" s="410">
        <f>SUM(C8333,C8309,C8285,C8261,C8237,C8213,C8189,C8165,C8141,C8117,C8093,C8069,C8045,C8021)/POBLA!$B$4*100000</f>
        <v>140.96655904614289</v>
      </c>
      <c r="H8333" s="418">
        <f t="shared" si="674"/>
        <v>0.72875536480686698</v>
      </c>
      <c r="J8333" s="42"/>
    </row>
    <row r="8334" spans="1:10" s="393" customFormat="1" ht="15.75" thickBot="1" x14ac:dyDescent="0.3">
      <c r="A8334" s="394" t="s">
        <v>29</v>
      </c>
      <c r="B8334" s="2">
        <v>44240</v>
      </c>
      <c r="C8334" s="1">
        <v>112</v>
      </c>
      <c r="D8334" s="39">
        <f t="shared" si="673"/>
        <v>45149</v>
      </c>
      <c r="E8334" s="1">
        <v>3</v>
      </c>
      <c r="F8334" s="39">
        <f t="shared" si="675"/>
        <v>687</v>
      </c>
      <c r="G8334" s="410">
        <f>SUM(C8334,C8310,C8286,C8262,C8238,C8214,C8190,C8166,C8142,C8118,C8094,C8070,C8046,C8022)/POBLA!$B$5*100000</f>
        <v>473.83334895007062</v>
      </c>
      <c r="H8334" s="418">
        <f t="shared" si="674"/>
        <v>0.71034148704286748</v>
      </c>
      <c r="J8334" s="42"/>
    </row>
    <row r="8335" spans="1:10" s="393" customFormat="1" ht="15.75" thickBot="1" x14ac:dyDescent="0.3">
      <c r="A8335" s="394" t="s">
        <v>30</v>
      </c>
      <c r="B8335" s="2">
        <v>44240</v>
      </c>
      <c r="C8335" s="1">
        <v>53</v>
      </c>
      <c r="D8335" s="39">
        <f t="shared" si="673"/>
        <v>19261</v>
      </c>
      <c r="E8335" s="1">
        <v>36</v>
      </c>
      <c r="F8335" s="39">
        <f t="shared" si="675"/>
        <v>256</v>
      </c>
      <c r="G8335" s="410">
        <f>SUM(C8335,C8311,C8287,C8263,C8239,C8215,C8191,C8167,C8143,C8119,C8095,C8071,C8047,C8023)/POBLA!$B$7*100000</f>
        <v>51.297052214495601</v>
      </c>
      <c r="H8335" s="418">
        <f t="shared" si="674"/>
        <v>0.8764198091776465</v>
      </c>
      <c r="J8335" s="42"/>
    </row>
    <row r="8336" spans="1:10" s="393" customFormat="1" ht="15.75" thickBot="1" x14ac:dyDescent="0.3">
      <c r="A8336" s="394" t="s">
        <v>20</v>
      </c>
      <c r="B8336" s="2">
        <v>44240</v>
      </c>
      <c r="C8336" s="1">
        <v>554</v>
      </c>
      <c r="D8336" s="39">
        <f t="shared" si="673"/>
        <v>151767</v>
      </c>
      <c r="E8336" s="1">
        <v>2</v>
      </c>
      <c r="F8336" s="39">
        <f t="shared" si="675"/>
        <v>2772</v>
      </c>
      <c r="G8336" s="410">
        <f>SUM(C8336,C8312,C8288,C8264,C8240,C8216,C8192,C8168,C8144,C8120,C8096,C8072,C8048,C8024)/POBLA!$B$6*100000</f>
        <v>630.88808807272653</v>
      </c>
      <c r="H8336" s="418">
        <f t="shared" si="674"/>
        <v>0.99339702163529087</v>
      </c>
      <c r="J8336" s="42"/>
    </row>
    <row r="8337" spans="1:10" ht="15.75" thickBot="1" x14ac:dyDescent="0.3">
      <c r="A8337" s="394" t="s">
        <v>31</v>
      </c>
      <c r="B8337" s="2">
        <v>44240</v>
      </c>
      <c r="C8337" s="1">
        <v>110</v>
      </c>
      <c r="D8337" s="39">
        <f t="shared" si="673"/>
        <v>43431</v>
      </c>
      <c r="E8337" s="1">
        <v>2</v>
      </c>
      <c r="F8337" s="39">
        <f t="shared" si="675"/>
        <v>791</v>
      </c>
      <c r="G8337" s="176">
        <f>SUM(C8337,C8313,C8289,C8265,C8241,C8217,C8193,C8169,C8145,C8121,C8097,C8073,C8049,C8025)/POBLA!$B$8*100000</f>
        <v>185.35875107596823</v>
      </c>
      <c r="H8337" s="527">
        <f t="shared" ref="H8337:H8353" si="676">SUM(C8337,C8313,C8289,C8265,C8241,C8217,C8193,C8169,C8145,C8121,C8097,C8073,C8049,C8025)/SUM(C8001,C7977,C7953,C7929,C7905,C7881,C7857,C7833,C7809,C7785,C7761,C7737,C7713,C7689)</f>
        <v>0.54822876653862573</v>
      </c>
    </row>
    <row r="8338" spans="1:10" s="393" customFormat="1" ht="15.75" thickBot="1" x14ac:dyDescent="0.3">
      <c r="A8338" s="394" t="s">
        <v>41</v>
      </c>
      <c r="B8338" s="2">
        <v>44240</v>
      </c>
      <c r="C8338" s="1">
        <v>21</v>
      </c>
      <c r="D8338" s="39">
        <f t="shared" si="673"/>
        <v>958</v>
      </c>
      <c r="E8338" s="1"/>
      <c r="F8338" s="39">
        <f t="shared" si="675"/>
        <v>9</v>
      </c>
      <c r="G8338" s="410">
        <f>SUM(C8338,C8314,C8290,C8266,C8242,C8218,C8194,C8170,C8146,C8122,C8098,C8074,C8050,C8026)/POBLA!$B$9*100000</f>
        <v>19.002202603136521</v>
      </c>
      <c r="H8338" s="418">
        <f t="shared" si="676"/>
        <v>0.44921875</v>
      </c>
      <c r="J8338" s="42"/>
    </row>
    <row r="8339" spans="1:10" s="393" customFormat="1" ht="15.75" thickBot="1" x14ac:dyDescent="0.3">
      <c r="A8339" s="394" t="s">
        <v>32</v>
      </c>
      <c r="B8339" s="2">
        <v>44240</v>
      </c>
      <c r="C8339" s="1">
        <v>25</v>
      </c>
      <c r="D8339" s="39">
        <f t="shared" si="673"/>
        <v>19720</v>
      </c>
      <c r="E8339" s="1">
        <v>1</v>
      </c>
      <c r="F8339" s="39">
        <f t="shared" si="675"/>
        <v>890</v>
      </c>
      <c r="G8339" s="410">
        <f>SUM(C8339,C8315,C8291,C8267,C8243,C8219,C8195,C8171,C8147,C8123,C8099,C8075,C8051,C8027)/POBLA!$B$10*100000</f>
        <v>55.52089103246805</v>
      </c>
      <c r="H8339" s="418">
        <f t="shared" si="676"/>
        <v>0.8716904276985743</v>
      </c>
      <c r="J8339" s="42"/>
    </row>
    <row r="8340" spans="1:10" s="393" customFormat="1" ht="15.75" thickBot="1" x14ac:dyDescent="0.3">
      <c r="A8340" s="394" t="s">
        <v>33</v>
      </c>
      <c r="B8340" s="2">
        <v>44240</v>
      </c>
      <c r="C8340" s="1">
        <v>122</v>
      </c>
      <c r="D8340" s="39">
        <f t="shared" si="673"/>
        <v>17668</v>
      </c>
      <c r="E8340" s="1"/>
      <c r="F8340" s="39">
        <f t="shared" si="675"/>
        <v>268</v>
      </c>
      <c r="G8340" s="410">
        <f>SUM(C8340,C8316,C8292,C8268,C8244,C8220,C8196,C8172,C8148,C8124,C8100,C8076,C8052,C8028)/POBLA!$B$11*100000</f>
        <v>356.55696541564834</v>
      </c>
      <c r="H8340" s="418">
        <f t="shared" si="676"/>
        <v>0.82664941785252266</v>
      </c>
      <c r="J8340" s="42"/>
    </row>
    <row r="8341" spans="1:10" s="393" customFormat="1" ht="15.75" thickBot="1" x14ac:dyDescent="0.3">
      <c r="A8341" s="394" t="s">
        <v>21</v>
      </c>
      <c r="B8341" s="2">
        <v>44240</v>
      </c>
      <c r="C8341" s="1">
        <v>32</v>
      </c>
      <c r="D8341" s="39">
        <f t="shared" si="673"/>
        <v>9816</v>
      </c>
      <c r="E8341" s="1"/>
      <c r="F8341" s="39">
        <f t="shared" si="675"/>
        <v>415</v>
      </c>
      <c r="G8341" s="410">
        <f>SUM(C8341,C8317,C8293,C8269,C8245,C8221,C8197,C8173,C8149,C8125,C8101,C8077,C8053,C8029)/POBLA!$B$12*100000</f>
        <v>72.167122793375867</v>
      </c>
      <c r="H8341" s="418">
        <f t="shared" si="676"/>
        <v>1.1451612903225807</v>
      </c>
      <c r="J8341" s="42"/>
    </row>
    <row r="8342" spans="1:10" s="393" customFormat="1" ht="15.75" thickBot="1" x14ac:dyDescent="0.3">
      <c r="A8342" s="394" t="s">
        <v>17</v>
      </c>
      <c r="B8342" s="2">
        <v>44240</v>
      </c>
      <c r="C8342" s="1">
        <v>101</v>
      </c>
      <c r="D8342" s="39">
        <f t="shared" si="673"/>
        <v>65620</v>
      </c>
      <c r="E8342" s="1"/>
      <c r="F8342" s="39">
        <f t="shared" si="675"/>
        <v>1413</v>
      </c>
      <c r="G8342" s="410">
        <f>SUM(C8342,C8318,C8294,C8270,C8246,C8222,C8198,C8174,C8150,C8126,C8102,C8078,C8054,C8030)/POBLA!$B$13*100000</f>
        <v>93.049522241950868</v>
      </c>
      <c r="H8342" s="418">
        <f t="shared" si="676"/>
        <v>1.161128526645768</v>
      </c>
      <c r="J8342" s="42"/>
    </row>
    <row r="8343" spans="1:10" s="393" customFormat="1" ht="15.75" thickBot="1" x14ac:dyDescent="0.3">
      <c r="A8343" s="394" t="s">
        <v>23</v>
      </c>
      <c r="B8343" s="2">
        <v>44240</v>
      </c>
      <c r="C8343" s="1">
        <v>99</v>
      </c>
      <c r="D8343" s="39">
        <f t="shared" si="673"/>
        <v>6619</v>
      </c>
      <c r="E8343" s="1">
        <v>2</v>
      </c>
      <c r="F8343" s="39">
        <f t="shared" si="675"/>
        <v>119</v>
      </c>
      <c r="G8343" s="410">
        <f>SUM(C8343,C8319,C8295,C8271,C8247,C8223,C8199,C8175,C8151,C8127,C8103,C8079,C8055,C8031)/POBLA!$B$14*100000</f>
        <v>161.8972261820004</v>
      </c>
      <c r="H8343" s="418">
        <f t="shared" si="676"/>
        <v>0.79548110634982472</v>
      </c>
      <c r="J8343" s="42"/>
    </row>
    <row r="8344" spans="1:10" s="393" customFormat="1" ht="15.75" thickBot="1" x14ac:dyDescent="0.3">
      <c r="A8344" s="394" t="s">
        <v>19</v>
      </c>
      <c r="B8344" s="2">
        <v>44240</v>
      </c>
      <c r="C8344" s="1">
        <v>183</v>
      </c>
      <c r="D8344" s="39">
        <f t="shared" si="673"/>
        <v>58431</v>
      </c>
      <c r="E8344" s="1">
        <v>17</v>
      </c>
      <c r="F8344" s="39">
        <f t="shared" si="675"/>
        <v>841</v>
      </c>
      <c r="G8344" s="410">
        <f>SUM(C8344,C8320,C8296,C8272,C8248,C8224,C8200,C8176,C8152,C8128,C8104,C8080,C8056,C8032)/POBLA!$B$15*100000</f>
        <v>696.77753566335423</v>
      </c>
      <c r="H8344" s="418">
        <f t="shared" si="676"/>
        <v>0.79611149346180321</v>
      </c>
      <c r="J8344" s="42"/>
    </row>
    <row r="8345" spans="1:10" s="393" customFormat="1" ht="15.75" thickBot="1" x14ac:dyDescent="0.3">
      <c r="A8345" s="394" t="s">
        <v>18</v>
      </c>
      <c r="B8345" s="2">
        <v>44240</v>
      </c>
      <c r="C8345" s="1">
        <v>115</v>
      </c>
      <c r="D8345" s="39">
        <f t="shared" si="673"/>
        <v>50510</v>
      </c>
      <c r="E8345" s="1">
        <v>2</v>
      </c>
      <c r="F8345" s="39">
        <f t="shared" si="675"/>
        <v>1115</v>
      </c>
      <c r="G8345" s="410">
        <f>SUM(C8345,C8321,C8297,C8273,C8249,C8225,C8201,C8177,C8153,C8129,C8105,C8081,C8057,C8033)/POBLA!$B$16*100000</f>
        <v>360.61582910875995</v>
      </c>
      <c r="H8345" s="418">
        <f t="shared" si="676"/>
        <v>0.65644022400779156</v>
      </c>
      <c r="J8345" s="42"/>
    </row>
    <row r="8346" spans="1:10" s="393" customFormat="1" ht="15.75" thickBot="1" x14ac:dyDescent="0.3">
      <c r="A8346" s="394" t="s">
        <v>34</v>
      </c>
      <c r="B8346" s="2">
        <v>44240</v>
      </c>
      <c r="C8346" s="1">
        <v>103</v>
      </c>
      <c r="D8346" s="39">
        <f t="shared" si="673"/>
        <v>24803</v>
      </c>
      <c r="E8346" s="1">
        <v>2</v>
      </c>
      <c r="F8346" s="39">
        <f t="shared" si="675"/>
        <v>1061</v>
      </c>
      <c r="G8346" s="410">
        <f>SUM(C8346,C8322,C8298,C8274,C8250,C8226,C8202,C8178,C8154,C8130,C8106,C8082,C8058,C8034)/POBLA!$B$17*100000</f>
        <v>71.960275119927942</v>
      </c>
      <c r="H8346" s="418">
        <f t="shared" si="676"/>
        <v>1.3945578231292517</v>
      </c>
      <c r="J8346" s="42"/>
    </row>
    <row r="8347" spans="1:10" s="393" customFormat="1" ht="15.75" thickBot="1" x14ac:dyDescent="0.3">
      <c r="A8347" s="394" t="s">
        <v>35</v>
      </c>
      <c r="B8347" s="2">
        <v>44240</v>
      </c>
      <c r="C8347" s="1">
        <v>6</v>
      </c>
      <c r="D8347" s="39">
        <f t="shared" si="673"/>
        <v>14604</v>
      </c>
      <c r="E8347" s="1"/>
      <c r="F8347" s="39">
        <f t="shared" si="675"/>
        <v>203</v>
      </c>
      <c r="G8347" s="410">
        <f>SUM(C8347,C8323,C8299,C8275,C8251,C8227,C8203,C8179,C8155,C8131,C8107,C8083,C8059,C8035)/POBLA!$B$18*100000</f>
        <v>85.123595620679012</v>
      </c>
      <c r="H8347" s="418">
        <f t="shared" si="676"/>
        <v>0.78143360752056401</v>
      </c>
      <c r="J8347" s="42"/>
    </row>
    <row r="8348" spans="1:10" s="393" customFormat="1" ht="15.75" thickBot="1" x14ac:dyDescent="0.3">
      <c r="A8348" s="394" t="s">
        <v>36</v>
      </c>
      <c r="B8348" s="2">
        <v>44240</v>
      </c>
      <c r="C8348" s="1">
        <v>627</v>
      </c>
      <c r="D8348" s="39">
        <f t="shared" si="673"/>
        <v>19782</v>
      </c>
      <c r="E8348" s="1"/>
      <c r="F8348" s="39">
        <f t="shared" si="675"/>
        <v>345</v>
      </c>
      <c r="G8348" s="410">
        <f>SUM(C8348,C8324,C8300,C8276,C8252,C8228,C8204,C8180,C8156,C8132,C8108,C8084,C8060,C8036)/POBLA!$B$19*100000</f>
        <v>156.19836011394219</v>
      </c>
      <c r="H8348" s="418">
        <f t="shared" si="676"/>
        <v>0.3657300783049286</v>
      </c>
      <c r="J8348" s="42"/>
    </row>
    <row r="8349" spans="1:10" s="393" customFormat="1" ht="15.75" thickBot="1" x14ac:dyDescent="0.3">
      <c r="A8349" s="394" t="s">
        <v>37</v>
      </c>
      <c r="B8349" s="2">
        <v>44240</v>
      </c>
      <c r="C8349" s="1">
        <v>65</v>
      </c>
      <c r="D8349" s="39">
        <f t="shared" si="673"/>
        <v>34477</v>
      </c>
      <c r="E8349" s="1">
        <v>1</v>
      </c>
      <c r="F8349" s="39">
        <f t="shared" si="675"/>
        <v>536</v>
      </c>
      <c r="G8349" s="410">
        <f>SUM(C8349,C8325,C8301,C8277,C8253,C8229,C8205,C8181,C8157,C8133,C8109,C8085,C8061,C8037)/POBLA!$B$20*100000</f>
        <v>556.74354248587633</v>
      </c>
      <c r="H8349" s="418">
        <f t="shared" si="676"/>
        <v>0.61177884615384615</v>
      </c>
      <c r="J8349" s="42"/>
    </row>
    <row r="8350" spans="1:10" s="393" customFormat="1" ht="15.75" thickBot="1" x14ac:dyDescent="0.3">
      <c r="A8350" s="394" t="s">
        <v>22</v>
      </c>
      <c r="B8350" s="2">
        <v>44240</v>
      </c>
      <c r="C8350" s="1">
        <v>424</v>
      </c>
      <c r="D8350" s="39">
        <f t="shared" si="673"/>
        <v>211724</v>
      </c>
      <c r="E8350" s="1">
        <v>1</v>
      </c>
      <c r="F8350" s="39">
        <f t="shared" si="675"/>
        <v>3807</v>
      </c>
      <c r="G8350" s="410">
        <f>SUM(C8350,C8326,C8302,C8278,C8254,C8230,C8206,C8182,C8158,C8134,C8110,C8086,C8062,C8038)/POBLA!$B$21*100000</f>
        <v>172.9150796088019</v>
      </c>
      <c r="H8350" s="418">
        <f t="shared" si="676"/>
        <v>0.54588466345295483</v>
      </c>
      <c r="J8350" s="42"/>
    </row>
    <row r="8351" spans="1:10" s="393" customFormat="1" ht="15.75" thickBot="1" x14ac:dyDescent="0.3">
      <c r="A8351" s="394" t="s">
        <v>38</v>
      </c>
      <c r="B8351" s="2">
        <v>44240</v>
      </c>
      <c r="C8351" s="1">
        <v>59</v>
      </c>
      <c r="D8351" s="39">
        <f t="shared" si="673"/>
        <v>21833</v>
      </c>
      <c r="E8351" s="1"/>
      <c r="F8351" s="39">
        <f t="shared" si="675"/>
        <v>257</v>
      </c>
      <c r="G8351" s="410">
        <f>SUM(C8351,C8327,C8303,C8279,C8255,C8231,C8207,C8183,C8159,C8135,C8111,C8087,C8063,C8039)/POBLA!$B$22*100000</f>
        <v>109.47416624331886</v>
      </c>
      <c r="H8351" s="418">
        <f t="shared" si="676"/>
        <v>0.81943381790359604</v>
      </c>
      <c r="J8351" s="42"/>
    </row>
    <row r="8352" spans="1:10" s="393" customFormat="1" ht="15.75" thickBot="1" x14ac:dyDescent="0.3">
      <c r="A8352" s="394" t="s">
        <v>39</v>
      </c>
      <c r="B8352" s="2">
        <v>44240</v>
      </c>
      <c r="C8352" s="1">
        <v>14</v>
      </c>
      <c r="D8352" s="39">
        <f t="shared" si="673"/>
        <v>22427</v>
      </c>
      <c r="E8352" s="1"/>
      <c r="F8352" s="39">
        <f t="shared" si="675"/>
        <v>344</v>
      </c>
      <c r="G8352" s="410">
        <f>SUM(C8352,C8328,C8304,C8280,C8256,C8232,C8208,C8184,C8160,C8136,C8112,C8088,C8064,C8040)/POBLA!$B$23*100000</f>
        <v>368.71571565910762</v>
      </c>
      <c r="H8352" s="418">
        <f t="shared" si="676"/>
        <v>0.60651162790697677</v>
      </c>
      <c r="J8352" s="42"/>
    </row>
    <row r="8353" spans="1:10" s="393" customFormat="1" ht="15.75" thickBot="1" x14ac:dyDescent="0.3">
      <c r="A8353" s="394" t="s">
        <v>40</v>
      </c>
      <c r="B8353" s="2">
        <v>44240</v>
      </c>
      <c r="C8353" s="1">
        <v>90</v>
      </c>
      <c r="D8353" s="177">
        <f t="shared" si="673"/>
        <v>78031</v>
      </c>
      <c r="E8353" s="1"/>
      <c r="F8353" s="177">
        <f t="shared" si="675"/>
        <v>1453</v>
      </c>
      <c r="G8353" s="410">
        <f>SUM(C8353,C8329,C8305,C8281,C8257,C8233,C8209,C8185,C8161,C8137,C8113,C8089,C8065,C8041)/POBLA!$B$24*100000</f>
        <v>100.66939839117792</v>
      </c>
      <c r="H8353" s="419">
        <f t="shared" si="676"/>
        <v>0.80018761726078802</v>
      </c>
      <c r="J8353" s="42"/>
    </row>
    <row r="8354" spans="1:10" s="393" customFormat="1" ht="15.75" thickBot="1" x14ac:dyDescent="0.3">
      <c r="A8354" s="394" t="s">
        <v>16</v>
      </c>
      <c r="B8354" s="2">
        <v>44241</v>
      </c>
      <c r="C8354" s="1">
        <v>1590</v>
      </c>
      <c r="D8354" s="175">
        <f t="shared" ref="D8354:D8417" si="677">C8354+D8330</f>
        <v>845599</v>
      </c>
      <c r="E8354" s="1">
        <v>3</v>
      </c>
      <c r="F8354" s="175">
        <f>E8354+F8330</f>
        <v>25468</v>
      </c>
      <c r="G8354" s="410">
        <f>SUM(C8354,C8330,C8306,C8282,C8258,C8234,C8210,C8186,C8162,C8138,C8114,C8090,C8066,C8042)/POBLA!$B$1*100000</f>
        <v>235.16714220585766</v>
      </c>
      <c r="H8354" s="416">
        <f t="shared" ref="H8354:H8360" si="678">SUM(C8354,C8330,C8306,C8282,C8258,C8234,C8210,C8186,C8162,C8138,C8114,C8090,C8066,C8042)/SUM(C8018,C7994,C7970,C7946,C7922,C7898,C7874,C7850,C7826,C7802,C7778,C7754,C7730,C7706)</f>
        <v>0.77993949706938925</v>
      </c>
      <c r="J8354" s="42"/>
    </row>
    <row r="8355" spans="1:10" s="393" customFormat="1" ht="15.75" thickBot="1" x14ac:dyDescent="0.3">
      <c r="A8355" s="394" t="s">
        <v>43</v>
      </c>
      <c r="B8355" s="2">
        <v>44241</v>
      </c>
      <c r="C8355" s="1">
        <v>657</v>
      </c>
      <c r="D8355" s="39">
        <f t="shared" si="677"/>
        <v>222443</v>
      </c>
      <c r="E8355" s="1">
        <v>7</v>
      </c>
      <c r="F8355" s="39">
        <f t="shared" ref="F8355:F8377" si="679">E8355+F8331</f>
        <v>6294</v>
      </c>
      <c r="G8355" s="410">
        <f>SUM(C8355,C8331,C8307,C8283,C8259,C8235,C8211,C8187,C8163,C8139,C8115,C8091,C8067,C8043)/POBLA!$B$2*100000</f>
        <v>396.5020681833995</v>
      </c>
      <c r="H8355" s="418">
        <f t="shared" si="678"/>
        <v>0.78374035989717228</v>
      </c>
      <c r="J8355" s="42"/>
    </row>
    <row r="8356" spans="1:10" s="393" customFormat="1" ht="15.75" thickBot="1" x14ac:dyDescent="0.3">
      <c r="A8356" s="394" t="s">
        <v>28</v>
      </c>
      <c r="B8356" s="2">
        <v>44241</v>
      </c>
      <c r="C8356" s="1">
        <v>32</v>
      </c>
      <c r="D8356" s="39">
        <f t="shared" si="677"/>
        <v>6793</v>
      </c>
      <c r="E8356" s="1"/>
      <c r="F8356" s="39">
        <f t="shared" si="679"/>
        <v>17</v>
      </c>
      <c r="G8356" s="410">
        <f>SUM(C8356,C8332,C8308,C8284,C8260,C8236,C8212,C8188,C8164,C8140,C8116,C8092,C8068,C8044)/POBLA!$B$3*100000</f>
        <v>339.40082515321183</v>
      </c>
      <c r="H8356" s="418">
        <f t="shared" si="678"/>
        <v>1.1730449251247921</v>
      </c>
      <c r="J8356" s="42"/>
    </row>
    <row r="8357" spans="1:10" s="393" customFormat="1" ht="15.75" thickBot="1" x14ac:dyDescent="0.3">
      <c r="A8357" s="394" t="s">
        <v>15</v>
      </c>
      <c r="B8357" s="2">
        <v>44241</v>
      </c>
      <c r="C8357" s="1">
        <v>80</v>
      </c>
      <c r="D8357" s="39">
        <f t="shared" si="677"/>
        <v>32446</v>
      </c>
      <c r="E8357" s="1">
        <v>1</v>
      </c>
      <c r="F8357" s="39">
        <f t="shared" si="679"/>
        <v>833</v>
      </c>
      <c r="G8357" s="410">
        <f>SUM(C8357,C8333,C8309,C8285,C8261,C8237,C8213,C8189,C8165,C8141,C8117,C8093,C8069,C8045)/POBLA!$B$4*100000</f>
        <v>140.46844399650988</v>
      </c>
      <c r="H8357" s="418">
        <f t="shared" si="678"/>
        <v>0.75434685688809633</v>
      </c>
      <c r="J8357" s="42"/>
    </row>
    <row r="8358" spans="1:10" s="393" customFormat="1" ht="15.75" thickBot="1" x14ac:dyDescent="0.3">
      <c r="A8358" s="394" t="s">
        <v>29</v>
      </c>
      <c r="B8358" s="2">
        <v>44241</v>
      </c>
      <c r="C8358" s="1">
        <v>82</v>
      </c>
      <c r="D8358" s="39">
        <f t="shared" si="677"/>
        <v>45231</v>
      </c>
      <c r="E8358" s="1"/>
      <c r="F8358" s="39">
        <f>E8358+F8334</f>
        <v>687</v>
      </c>
      <c r="G8358" s="410">
        <f>SUM(C8358,C8334,C8310,C8286,C8262,C8238,C8214,C8190,C8166,C8142,C8118,C8094,C8070,C8046)/POBLA!$B$5*100000</f>
        <v>472.54092931433905</v>
      </c>
      <c r="H8358" s="418">
        <f t="shared" si="678"/>
        <v>0.71902654867256632</v>
      </c>
      <c r="J8358" s="42"/>
    </row>
    <row r="8359" spans="1:10" s="393" customFormat="1" ht="15.75" thickBot="1" x14ac:dyDescent="0.3">
      <c r="A8359" s="394" t="s">
        <v>30</v>
      </c>
      <c r="B8359" s="2">
        <v>44241</v>
      </c>
      <c r="C8359" s="1">
        <v>88</v>
      </c>
      <c r="D8359" s="39">
        <f t="shared" si="677"/>
        <v>19349</v>
      </c>
      <c r="E8359" s="1">
        <v>29</v>
      </c>
      <c r="F8359" s="39">
        <f>E8359+F8335</f>
        <v>285</v>
      </c>
      <c r="G8359" s="410">
        <f>SUM(C8359,C8335,C8311,C8287,C8263,C8239,C8215,C8191,C8167,C8143,C8119,C8095,C8071,C8047)/POBLA!$B$7*100000</f>
        <v>52.546902631334014</v>
      </c>
      <c r="H8359" s="418">
        <f t="shared" si="678"/>
        <v>1.036726128016789</v>
      </c>
      <c r="J8359" s="42"/>
    </row>
    <row r="8360" spans="1:10" s="393" customFormat="1" ht="15.75" thickBot="1" x14ac:dyDescent="0.3">
      <c r="A8360" s="394" t="s">
        <v>20</v>
      </c>
      <c r="B8360" s="2">
        <v>44241</v>
      </c>
      <c r="C8360" s="1">
        <v>278</v>
      </c>
      <c r="D8360" s="39">
        <f t="shared" si="677"/>
        <v>152045</v>
      </c>
      <c r="E8360" s="1">
        <v>2</v>
      </c>
      <c r="F8360" s="39">
        <f>E8360+F8336</f>
        <v>2774</v>
      </c>
      <c r="G8360" s="410">
        <f>SUM(C8360,C8336,C8312,C8288,C8264,C8240,C8216,C8192,C8168,C8144,C8120,C8096,C8072,C8048)/POBLA!$B$6*100000</f>
        <v>624.99944236309568</v>
      </c>
      <c r="H8360" s="418">
        <f t="shared" si="678"/>
        <v>0.95958904109589038</v>
      </c>
      <c r="J8360" s="42"/>
    </row>
    <row r="8361" spans="1:10" ht="15.75" thickBot="1" x14ac:dyDescent="0.3">
      <c r="A8361" s="394" t="s">
        <v>31</v>
      </c>
      <c r="B8361" s="2">
        <v>44241</v>
      </c>
      <c r="C8361" s="1">
        <v>115</v>
      </c>
      <c r="D8361" s="39">
        <f t="shared" si="677"/>
        <v>43546</v>
      </c>
      <c r="E8361" s="1">
        <v>1</v>
      </c>
      <c r="F8361" s="39">
        <f t="shared" si="679"/>
        <v>792</v>
      </c>
      <c r="G8361" s="176">
        <f>SUM(C8361,C8337,C8313,C8289,C8265,C8241,C8217,C8193,C8169,C8145,C8121,C8097,C8073,C8049)/POBLA!$B$8*100000</f>
        <v>184.49292584711981</v>
      </c>
      <c r="H8361" s="527">
        <f t="shared" ref="H8361:H8377" si="680">SUM(C8361,C8337,C8313,C8289,C8265,C8241,C8217,C8193,C8169,C8145,C8121,C8097,C8073,C8049)/SUM(C8025,C8001,C7977,C7953,C7929,C7905,C7881,C7857,C7833,C7809,C7785,C7761,C7737,C7713)</f>
        <v>0.56847487772343264</v>
      </c>
    </row>
    <row r="8362" spans="1:10" s="393" customFormat="1" ht="15.75" thickBot="1" x14ac:dyDescent="0.3">
      <c r="A8362" s="394" t="s">
        <v>41</v>
      </c>
      <c r="B8362" s="2">
        <v>44241</v>
      </c>
      <c r="C8362" s="1">
        <v>10</v>
      </c>
      <c r="D8362" s="39">
        <f t="shared" si="677"/>
        <v>968</v>
      </c>
      <c r="E8362" s="1"/>
      <c r="F8362" s="39">
        <f t="shared" si="679"/>
        <v>9</v>
      </c>
      <c r="G8362" s="410">
        <f>SUM(C8362,C8338,C8314,C8290,C8266,C8242,C8218,C8194,C8170,C8146,C8122,C8098,C8074,C8050)/POBLA!$B$9*100000</f>
        <v>20.654568046887523</v>
      </c>
      <c r="H8362" s="418">
        <f t="shared" si="680"/>
        <v>0.69444444444444442</v>
      </c>
      <c r="J8362" s="42"/>
    </row>
    <row r="8363" spans="1:10" s="393" customFormat="1" ht="15.75" thickBot="1" x14ac:dyDescent="0.3">
      <c r="A8363" s="394" t="s">
        <v>32</v>
      </c>
      <c r="B8363" s="2">
        <v>44241</v>
      </c>
      <c r="C8363" s="1">
        <v>49</v>
      </c>
      <c r="D8363" s="39">
        <f t="shared" si="677"/>
        <v>19769</v>
      </c>
      <c r="E8363" s="1">
        <v>1</v>
      </c>
      <c r="F8363" s="39">
        <f t="shared" si="679"/>
        <v>891</v>
      </c>
      <c r="G8363" s="410">
        <f>SUM(C8363,C8339,C8315,C8291,C8267,C8243,C8219,C8195,C8171,C8147,C8123,C8099,C8075,C8051)/POBLA!$B$10*100000</f>
        <v>59.67198568910117</v>
      </c>
      <c r="H8363" s="418">
        <f t="shared" si="680"/>
        <v>1.0267857142857142</v>
      </c>
      <c r="J8363" s="42"/>
    </row>
    <row r="8364" spans="1:10" s="393" customFormat="1" ht="15.75" thickBot="1" x14ac:dyDescent="0.3">
      <c r="A8364" s="394" t="s">
        <v>33</v>
      </c>
      <c r="B8364" s="2">
        <v>44241</v>
      </c>
      <c r="C8364" s="1">
        <v>46</v>
      </c>
      <c r="D8364" s="39">
        <f t="shared" si="677"/>
        <v>17714</v>
      </c>
      <c r="E8364" s="1"/>
      <c r="F8364" s="39">
        <f t="shared" si="679"/>
        <v>268</v>
      </c>
      <c r="G8364" s="410">
        <f>SUM(C8364,C8340,C8316,C8292,C8268,C8244,C8220,C8196,C8172,C8148,C8124,C8100,C8076,C8052)/POBLA!$B$11*100000</f>
        <v>355.7199772339215</v>
      </c>
      <c r="H8364" s="418">
        <f t="shared" si="680"/>
        <v>0.88296398891966754</v>
      </c>
      <c r="J8364" s="42"/>
    </row>
    <row r="8365" spans="1:10" s="393" customFormat="1" ht="15.75" thickBot="1" x14ac:dyDescent="0.3">
      <c r="A8365" s="394" t="s">
        <v>21</v>
      </c>
      <c r="B8365" s="2">
        <v>44241</v>
      </c>
      <c r="C8365" s="1">
        <v>31</v>
      </c>
      <c r="D8365" s="39">
        <f t="shared" si="677"/>
        <v>9847</v>
      </c>
      <c r="E8365" s="1"/>
      <c r="F8365" s="39">
        <f t="shared" si="679"/>
        <v>415</v>
      </c>
      <c r="G8365" s="410">
        <f>SUM(C8365,C8341,C8317,C8293,C8269,C8245,C8221,C8197,C8173,C8149,C8125,C8101,C8077,C8053)/POBLA!$B$12*100000</f>
        <v>75.978766602885159</v>
      </c>
      <c r="H8365" s="418">
        <f t="shared" si="680"/>
        <v>1.2458333333333333</v>
      </c>
      <c r="J8365" s="42"/>
    </row>
    <row r="8366" spans="1:10" s="393" customFormat="1" ht="15.75" thickBot="1" x14ac:dyDescent="0.3">
      <c r="A8366" s="394" t="s">
        <v>17</v>
      </c>
      <c r="B8366" s="2">
        <v>44241</v>
      </c>
      <c r="C8366" s="1">
        <v>43</v>
      </c>
      <c r="D8366" s="39">
        <f t="shared" si="677"/>
        <v>65663</v>
      </c>
      <c r="E8366" s="1"/>
      <c r="F8366" s="39">
        <f t="shared" si="679"/>
        <v>1413</v>
      </c>
      <c r="G8366" s="410">
        <f>SUM(C8366,C8342,C8318,C8294,C8270,C8246,C8222,C8198,C8174,C8150,C8126,C8102,C8078,C8054)/POBLA!$B$13*100000</f>
        <v>92.949036796765171</v>
      </c>
      <c r="H8366" s="418">
        <f t="shared" si="680"/>
        <v>1.1613308223477714</v>
      </c>
      <c r="J8366" s="42"/>
    </row>
    <row r="8367" spans="1:10" s="393" customFormat="1" ht="15.75" thickBot="1" x14ac:dyDescent="0.3">
      <c r="A8367" s="394" t="s">
        <v>23</v>
      </c>
      <c r="B8367" s="2">
        <v>44241</v>
      </c>
      <c r="C8367" s="1">
        <v>117</v>
      </c>
      <c r="D8367" s="39">
        <f t="shared" si="677"/>
        <v>6736</v>
      </c>
      <c r="E8367" s="1"/>
      <c r="F8367" s="39">
        <f t="shared" si="679"/>
        <v>119</v>
      </c>
      <c r="G8367" s="410">
        <f>SUM(C8367,C8343,C8319,C8295,C8271,C8247,C8223,C8199,C8175,C8151,C8127,C8103,C8079,C8055)/POBLA!$B$14*100000</f>
        <v>160.70797133737258</v>
      </c>
      <c r="H8367" s="418">
        <f t="shared" si="680"/>
        <v>0.80150257018584425</v>
      </c>
      <c r="J8367" s="42"/>
    </row>
    <row r="8368" spans="1:10" s="393" customFormat="1" ht="15.75" thickBot="1" x14ac:dyDescent="0.3">
      <c r="A8368" s="394" t="s">
        <v>19</v>
      </c>
      <c r="B8368" s="2">
        <v>44241</v>
      </c>
      <c r="C8368" s="1">
        <v>232</v>
      </c>
      <c r="D8368" s="39">
        <f t="shared" si="677"/>
        <v>58663</v>
      </c>
      <c r="E8368" s="1">
        <v>1</v>
      </c>
      <c r="F8368" s="39">
        <f t="shared" si="679"/>
        <v>842</v>
      </c>
      <c r="G8368" s="410">
        <f>SUM(C8368,C8344,C8320,C8296,C8272,C8248,C8224,C8200,C8176,C8152,C8128,C8104,C8080,C8056)/POBLA!$B$15*100000</f>
        <v>693.61515653023764</v>
      </c>
      <c r="H8368" s="418">
        <f t="shared" si="680"/>
        <v>0.78775440396784679</v>
      </c>
      <c r="J8368" s="42"/>
    </row>
    <row r="8369" spans="1:10" s="393" customFormat="1" ht="15.75" thickBot="1" x14ac:dyDescent="0.3">
      <c r="A8369" s="394" t="s">
        <v>18</v>
      </c>
      <c r="B8369" s="2">
        <v>44241</v>
      </c>
      <c r="C8369" s="1">
        <v>87</v>
      </c>
      <c r="D8369" s="39">
        <f t="shared" si="677"/>
        <v>50597</v>
      </c>
      <c r="E8369" s="1"/>
      <c r="F8369" s="39">
        <f t="shared" si="679"/>
        <v>1115</v>
      </c>
      <c r="G8369" s="410">
        <f>SUM(C8369,C8345,C8321,C8297,C8273,C8249,C8225,C8201,C8177,C8153,C8129,C8105,C8081,C8057)/POBLA!$B$16*100000</f>
        <v>362.35470365564936</v>
      </c>
      <c r="H8369" s="418">
        <f t="shared" si="680"/>
        <v>0.67657342657342656</v>
      </c>
      <c r="J8369" s="42"/>
    </row>
    <row r="8370" spans="1:10" s="393" customFormat="1" ht="15.75" thickBot="1" x14ac:dyDescent="0.3">
      <c r="A8370" s="394" t="s">
        <v>34</v>
      </c>
      <c r="B8370" s="2">
        <v>44241</v>
      </c>
      <c r="C8370" s="1">
        <v>34</v>
      </c>
      <c r="D8370" s="39">
        <f t="shared" si="677"/>
        <v>24837</v>
      </c>
      <c r="E8370" s="1">
        <v>2</v>
      </c>
      <c r="F8370" s="39">
        <f t="shared" si="679"/>
        <v>1063</v>
      </c>
      <c r="G8370" s="410">
        <f>SUM(C8370,C8346,C8322,C8298,C8274,C8250,C8226,C8202,C8178,C8154,C8130,C8106,C8082,C8058)/POBLA!$B$17*100000</f>
        <v>72.381505998678733</v>
      </c>
      <c r="H8370" s="418">
        <f t="shared" si="680"/>
        <v>1.4299583911234397</v>
      </c>
      <c r="J8370" s="42"/>
    </row>
    <row r="8371" spans="1:10" s="393" customFormat="1" ht="15.75" thickBot="1" x14ac:dyDescent="0.3">
      <c r="A8371" s="394" t="s">
        <v>35</v>
      </c>
      <c r="B8371" s="2">
        <v>44241</v>
      </c>
      <c r="C8371" s="1">
        <v>7</v>
      </c>
      <c r="D8371" s="39">
        <f t="shared" si="677"/>
        <v>14611</v>
      </c>
      <c r="E8371" s="1"/>
      <c r="F8371" s="39">
        <f t="shared" si="679"/>
        <v>203</v>
      </c>
      <c r="G8371" s="410">
        <f>SUM(C8371,C8347,C8323,C8299,C8275,C8251,C8227,C8203,C8179,C8155,C8131,C8107,C8083,C8059)/POBLA!$B$18*100000</f>
        <v>84.611573992885454</v>
      </c>
      <c r="H8371" s="418">
        <f t="shared" si="680"/>
        <v>0.76949941792782306</v>
      </c>
      <c r="J8371" s="42"/>
    </row>
    <row r="8372" spans="1:10" s="393" customFormat="1" ht="15.75" thickBot="1" x14ac:dyDescent="0.3">
      <c r="A8372" s="394" t="s">
        <v>36</v>
      </c>
      <c r="B8372" s="2">
        <v>44241</v>
      </c>
      <c r="C8372" s="1">
        <v>293</v>
      </c>
      <c r="D8372" s="39">
        <f t="shared" si="677"/>
        <v>20075</v>
      </c>
      <c r="E8372" s="1"/>
      <c r="F8372" s="39">
        <f t="shared" si="679"/>
        <v>345</v>
      </c>
      <c r="G8372" s="410">
        <f>SUM(C8372,C8348,C8324,C8300,C8276,C8252,C8228,C8204,C8180,C8156,C8132,C8108,C8084,C8060)/POBLA!$B$19*100000</f>
        <v>209.51039486315921</v>
      </c>
      <c r="H8372" s="418">
        <f t="shared" si="680"/>
        <v>0.49882903981264637</v>
      </c>
      <c r="J8372" s="42"/>
    </row>
    <row r="8373" spans="1:10" s="393" customFormat="1" ht="15.75" thickBot="1" x14ac:dyDescent="0.3">
      <c r="A8373" s="394" t="s">
        <v>37</v>
      </c>
      <c r="B8373" s="2">
        <v>44241</v>
      </c>
      <c r="C8373" s="1">
        <v>60</v>
      </c>
      <c r="D8373" s="39">
        <f t="shared" si="677"/>
        <v>34537</v>
      </c>
      <c r="E8373" s="1"/>
      <c r="F8373" s="39">
        <f t="shared" si="679"/>
        <v>536</v>
      </c>
      <c r="G8373" s="410">
        <f>SUM(C8373,C8349,C8325,C8301,C8277,C8253,C8229,C8205,C8181,C8157,C8133,C8109,C8085,C8061)/POBLA!$B$20*100000</f>
        <v>546.6259044348069</v>
      </c>
      <c r="H8373" s="418">
        <f t="shared" si="680"/>
        <v>0.63279518835074389</v>
      </c>
      <c r="J8373" s="42"/>
    </row>
    <row r="8374" spans="1:10" s="393" customFormat="1" ht="15.75" thickBot="1" x14ac:dyDescent="0.3">
      <c r="A8374" s="394" t="s">
        <v>22</v>
      </c>
      <c r="B8374" s="2">
        <v>44241</v>
      </c>
      <c r="C8374" s="1">
        <v>193</v>
      </c>
      <c r="D8374" s="39">
        <f t="shared" si="677"/>
        <v>211917</v>
      </c>
      <c r="E8374" s="1"/>
      <c r="F8374" s="39">
        <f t="shared" si="679"/>
        <v>3807</v>
      </c>
      <c r="G8374" s="410">
        <f>SUM(C8374,C8350,C8326,C8302,C8278,C8254,C8230,C8206,C8182,C8158,C8134,C8110,C8086,C8062)/POBLA!$B$21*100000</f>
        <v>172.2364268024877</v>
      </c>
      <c r="H8374" s="418">
        <f t="shared" si="680"/>
        <v>0.56586770717205503</v>
      </c>
      <c r="J8374" s="42"/>
    </row>
    <row r="8375" spans="1:10" s="393" customFormat="1" ht="15.75" thickBot="1" x14ac:dyDescent="0.3">
      <c r="A8375" s="394" t="s">
        <v>38</v>
      </c>
      <c r="B8375" s="2">
        <v>44241</v>
      </c>
      <c r="C8375" s="1">
        <v>29</v>
      </c>
      <c r="D8375" s="39">
        <f t="shared" si="677"/>
        <v>21862</v>
      </c>
      <c r="E8375" s="1"/>
      <c r="F8375" s="39">
        <f t="shared" si="679"/>
        <v>257</v>
      </c>
      <c r="G8375" s="410">
        <f>SUM(C8375,C8351,C8327,C8303,C8279,C8255,C8231,C8207,C8183,C8159,C8135,C8111,C8087,C8063)/POBLA!$B$22*100000</f>
        <v>103.44337650629194</v>
      </c>
      <c r="H8375" s="418">
        <f t="shared" si="680"/>
        <v>0.80895283772981619</v>
      </c>
      <c r="J8375" s="42"/>
    </row>
    <row r="8376" spans="1:10" s="393" customFormat="1" ht="15.75" thickBot="1" x14ac:dyDescent="0.3">
      <c r="A8376" s="394" t="s">
        <v>39</v>
      </c>
      <c r="B8376" s="2">
        <v>44241</v>
      </c>
      <c r="C8376" s="1">
        <v>27</v>
      </c>
      <c r="D8376" s="39">
        <f t="shared" si="677"/>
        <v>22454</v>
      </c>
      <c r="E8376" s="1"/>
      <c r="F8376" s="39">
        <f t="shared" si="679"/>
        <v>344</v>
      </c>
      <c r="G8376" s="410">
        <f>SUM(C8376,C8352,C8328,C8304,C8280,C8256,C8232,C8208,C8184,C8160,C8136,C8112,C8088,C8064)/POBLA!$B$23*100000</f>
        <v>360.79850704066052</v>
      </c>
      <c r="H8376" s="418">
        <f t="shared" si="680"/>
        <v>0.60416666666666663</v>
      </c>
      <c r="J8376" s="42"/>
    </row>
    <row r="8377" spans="1:10" s="393" customFormat="1" ht="15.75" thickBot="1" x14ac:dyDescent="0.3">
      <c r="A8377" s="394" t="s">
        <v>40</v>
      </c>
      <c r="B8377" s="2">
        <v>44241</v>
      </c>
      <c r="C8377" s="1">
        <v>65</v>
      </c>
      <c r="D8377" s="177">
        <f t="shared" si="677"/>
        <v>78096</v>
      </c>
      <c r="E8377" s="1"/>
      <c r="F8377" s="177">
        <f t="shared" si="679"/>
        <v>1453</v>
      </c>
      <c r="G8377" s="410">
        <f>SUM(C8377,C8353,C8329,C8305,C8281,C8257,C8233,C8209,C8185,C8161,C8137,C8113,C8089,C8065)/POBLA!$B$24*100000</f>
        <v>100.3153442350542</v>
      </c>
      <c r="H8377" s="419">
        <f t="shared" si="680"/>
        <v>0.80990948070509772</v>
      </c>
      <c r="J8377" s="42"/>
    </row>
    <row r="8378" spans="1:10" s="393" customFormat="1" ht="15.75" thickBot="1" x14ac:dyDescent="0.3">
      <c r="A8378" s="394" t="s">
        <v>16</v>
      </c>
      <c r="B8378" s="2">
        <v>44242</v>
      </c>
      <c r="C8378" s="1">
        <v>1369</v>
      </c>
      <c r="D8378" s="175">
        <f t="shared" si="677"/>
        <v>846968</v>
      </c>
      <c r="E8378" s="1">
        <v>63</v>
      </c>
      <c r="F8378" s="175">
        <f t="shared" ref="F8378:F8384" si="681">E8378+F8354</f>
        <v>25531</v>
      </c>
      <c r="G8378" s="410">
        <f>SUM(C8378,C8354,C8330,C8306,C8282,C8258,C8234,C8210,C8186,C8162,C8138,C8114,C8090,C8066)/POBLA!$B$1*100000</f>
        <v>228.34318474493762</v>
      </c>
      <c r="H8378" s="416">
        <f t="shared" ref="H8378:H8384" si="682">SUM(C8378,C8354,C8330,C8306,C8282,C8258,C8234,C8210,C8186,C8162,C8138,C8114,C8090,C8066)/SUM(C8042,C8018,C7994,C7970,C7946,C7922,C7898,C7874,C7850,C7826,C7802,C7778,C7754,C7730)</f>
        <v>0.76338409346471248</v>
      </c>
      <c r="J8378" s="42"/>
    </row>
    <row r="8379" spans="1:10" s="393" customFormat="1" ht="15.75" thickBot="1" x14ac:dyDescent="0.3">
      <c r="A8379" s="394" t="s">
        <v>43</v>
      </c>
      <c r="B8379" s="2">
        <v>44242</v>
      </c>
      <c r="C8379" s="1">
        <v>491</v>
      </c>
      <c r="D8379" s="39">
        <f t="shared" si="677"/>
        <v>222934</v>
      </c>
      <c r="E8379" s="1">
        <v>9</v>
      </c>
      <c r="F8379" s="39">
        <f t="shared" si="681"/>
        <v>6303</v>
      </c>
      <c r="G8379" s="410">
        <f>SUM(C8379,C8355,C8331,C8307,C8283,C8259,C8235,C8211,C8187,C8163,C8139,C8115,C8091,C8067)/POBLA!$B$2*100000</f>
        <v>384.24448067170277</v>
      </c>
      <c r="H8379" s="418">
        <f t="shared" si="682"/>
        <v>0.7765803653568143</v>
      </c>
      <c r="J8379" s="42"/>
    </row>
    <row r="8380" spans="1:10" s="393" customFormat="1" ht="15.75" thickBot="1" x14ac:dyDescent="0.3">
      <c r="A8380" s="394" t="s">
        <v>28</v>
      </c>
      <c r="B8380" s="2">
        <v>44242</v>
      </c>
      <c r="C8380" s="1">
        <v>85</v>
      </c>
      <c r="D8380" s="39">
        <f t="shared" si="677"/>
        <v>6878</v>
      </c>
      <c r="E8380" s="1"/>
      <c r="F8380" s="39">
        <f t="shared" si="681"/>
        <v>17</v>
      </c>
      <c r="G8380" s="410">
        <f>SUM(C8380,C8356,C8332,C8308,C8284,C8260,C8236,C8212,C8188,C8164,C8140,C8116,C8092,C8068)/POBLA!$B$3*100000</f>
        <v>321.34758977272179</v>
      </c>
      <c r="H8380" s="418">
        <f t="shared" si="682"/>
        <v>1.0245587106676899</v>
      </c>
      <c r="J8380" s="42"/>
    </row>
    <row r="8381" spans="1:10" s="393" customFormat="1" ht="15.75" thickBot="1" x14ac:dyDescent="0.3">
      <c r="A8381" s="394" t="s">
        <v>15</v>
      </c>
      <c r="B8381" s="2">
        <v>44242</v>
      </c>
      <c r="C8381" s="1">
        <v>63</v>
      </c>
      <c r="D8381" s="39">
        <f t="shared" si="677"/>
        <v>32509</v>
      </c>
      <c r="E8381" s="1">
        <v>1</v>
      </c>
      <c r="F8381" s="39">
        <f t="shared" si="681"/>
        <v>834</v>
      </c>
      <c r="G8381" s="410">
        <f>SUM(C8381,C8357,C8333,C8309,C8285,C8261,C8237,C8213,C8189,C8165,C8141,C8117,C8093,C8069)/POBLA!$B$4*100000</f>
        <v>137.9778687483448</v>
      </c>
      <c r="H8381" s="418">
        <f t="shared" si="682"/>
        <v>0.75717539863325745</v>
      </c>
      <c r="J8381" s="42"/>
    </row>
    <row r="8382" spans="1:10" s="393" customFormat="1" ht="15.75" thickBot="1" x14ac:dyDescent="0.3">
      <c r="A8382" s="394" t="s">
        <v>29</v>
      </c>
      <c r="B8382" s="2">
        <v>44242</v>
      </c>
      <c r="C8382" s="1">
        <v>61</v>
      </c>
      <c r="D8382" s="39">
        <f t="shared" si="677"/>
        <v>45292</v>
      </c>
      <c r="E8382" s="1"/>
      <c r="F8382" s="39">
        <f t="shared" si="681"/>
        <v>687</v>
      </c>
      <c r="G8382" s="410">
        <f>SUM(C8382,C8358,C8334,C8310,C8286,C8262,C8238,C8214,C8190,C8166,C8142,C8118,C8094,C8070)/POBLA!$B$5*100000</f>
        <v>447.50029887204073</v>
      </c>
      <c r="H8382" s="418">
        <f t="shared" si="682"/>
        <v>0.67544501341136309</v>
      </c>
      <c r="J8382" s="42"/>
    </row>
    <row r="8383" spans="1:10" s="393" customFormat="1" ht="15.75" thickBot="1" x14ac:dyDescent="0.3">
      <c r="A8383" s="394" t="s">
        <v>30</v>
      </c>
      <c r="B8383" s="2">
        <v>44242</v>
      </c>
      <c r="C8383" s="1">
        <v>297</v>
      </c>
      <c r="D8383" s="39">
        <f t="shared" si="677"/>
        <v>19646</v>
      </c>
      <c r="E8383" s="1"/>
      <c r="F8383" s="39">
        <f t="shared" si="681"/>
        <v>285</v>
      </c>
      <c r="G8383" s="410">
        <f>SUM(C8383,C8359,C8335,C8311,C8287,C8263,C8239,C8215,C8191,C8167,C8143,C8119,C8095,C8071)/POBLA!$B$7*100000</f>
        <v>55.39230677179593</v>
      </c>
      <c r="H8383" s="418">
        <f t="shared" si="682"/>
        <v>1.0404595404595405</v>
      </c>
      <c r="J8383" s="42"/>
    </row>
    <row r="8384" spans="1:10" s="393" customFormat="1" ht="15.75" thickBot="1" x14ac:dyDescent="0.3">
      <c r="A8384" s="394" t="s">
        <v>20</v>
      </c>
      <c r="B8384" s="2">
        <v>44242</v>
      </c>
      <c r="C8384" s="1">
        <v>125</v>
      </c>
      <c r="D8384" s="39">
        <f t="shared" si="677"/>
        <v>152170</v>
      </c>
      <c r="E8384" s="1">
        <v>1</v>
      </c>
      <c r="F8384" s="39">
        <f t="shared" si="681"/>
        <v>2775</v>
      </c>
      <c r="G8384" s="410">
        <f>SUM(C8384,C8360,C8336,C8312,C8288,C8264,C8240,C8216,C8192,C8168,C8144,C8120,C8096,C8072)/POBLA!$B$6*100000</f>
        <v>609.56405285148742</v>
      </c>
      <c r="H8384" s="418">
        <f t="shared" si="682"/>
        <v>0.9416953824948312</v>
      </c>
      <c r="J8384" s="42"/>
    </row>
    <row r="8385" spans="1:10" ht="15.75" thickBot="1" x14ac:dyDescent="0.3">
      <c r="A8385" s="394" t="s">
        <v>31</v>
      </c>
      <c r="B8385" s="2">
        <v>44242</v>
      </c>
      <c r="C8385" s="1">
        <v>33</v>
      </c>
      <c r="D8385" s="39">
        <f t="shared" si="677"/>
        <v>43579</v>
      </c>
      <c r="F8385" s="39">
        <f t="shared" ref="F8385:F8401" si="683">E8385+F8361</f>
        <v>792</v>
      </c>
      <c r="G8385" s="176">
        <f>SUM(C8385,C8361,C8337,C8313,C8289,C8265,C8241,C8217,C8193,C8169,C8145,C8121,C8097,C8073)/POBLA!$B$8*100000</f>
        <v>173.95871889613056</v>
      </c>
      <c r="H8385" s="527">
        <f t="shared" ref="H8385:H8401" si="684">SUM(C8385,C8361,C8337,C8313,C8289,C8265,C8241,C8217,C8193,C8169,C8145,C8121,C8097,C8073)/SUM(C8049,C8025,C8001,C7977,C7953,C7929,C7905,C7881,C7857,C7833,C7809,C7785,C7761,C7737)</f>
        <v>0.54350766456266908</v>
      </c>
    </row>
    <row r="8386" spans="1:10" s="393" customFormat="1" ht="15.75" thickBot="1" x14ac:dyDescent="0.3">
      <c r="A8386" s="394" t="s">
        <v>41</v>
      </c>
      <c r="B8386" s="2">
        <v>44242</v>
      </c>
      <c r="C8386" s="1">
        <v>6</v>
      </c>
      <c r="D8386" s="39">
        <f t="shared" si="677"/>
        <v>974</v>
      </c>
      <c r="E8386" s="1"/>
      <c r="F8386" s="39">
        <f t="shared" si="683"/>
        <v>9</v>
      </c>
      <c r="G8386" s="410">
        <f>SUM(C8386,C8362,C8338,C8314,C8290,C8266,C8242,C8218,C8194,C8170,C8146,C8122,C8098,C8074)/POBLA!$B$9*100000</f>
        <v>20.985041135637722</v>
      </c>
      <c r="H8386" s="418">
        <f t="shared" si="684"/>
        <v>0.74269005847953218</v>
      </c>
      <c r="J8386" s="42"/>
    </row>
    <row r="8387" spans="1:10" s="393" customFormat="1" ht="15.75" thickBot="1" x14ac:dyDescent="0.3">
      <c r="A8387" s="394" t="s">
        <v>32</v>
      </c>
      <c r="B8387" s="2">
        <v>44242</v>
      </c>
      <c r="C8387" s="1">
        <v>29</v>
      </c>
      <c r="D8387" s="39">
        <f t="shared" si="677"/>
        <v>19798</v>
      </c>
      <c r="E8387" s="1"/>
      <c r="F8387" s="39">
        <f t="shared" si="683"/>
        <v>891</v>
      </c>
      <c r="G8387" s="410">
        <f>SUM(C8387,C8363,C8339,C8315,C8291,C8267,C8243,C8219,C8195,C8171,C8147,C8123,C8099,C8075)/POBLA!$B$10*100000</f>
        <v>58.24504690088353</v>
      </c>
      <c r="H8387" s="418">
        <f t="shared" si="684"/>
        <v>1.0393518518518519</v>
      </c>
      <c r="J8387" s="42"/>
    </row>
    <row r="8388" spans="1:10" s="393" customFormat="1" ht="15.75" thickBot="1" x14ac:dyDescent="0.3">
      <c r="A8388" s="394" t="s">
        <v>33</v>
      </c>
      <c r="B8388" s="2">
        <v>44242</v>
      </c>
      <c r="C8388" s="1">
        <v>31</v>
      </c>
      <c r="D8388" s="39">
        <f t="shared" si="677"/>
        <v>17745</v>
      </c>
      <c r="E8388" s="1"/>
      <c r="F8388" s="39">
        <f t="shared" si="683"/>
        <v>268</v>
      </c>
      <c r="G8388" s="410">
        <f>SUM(C8388,C8364,C8340,C8316,C8292,C8268,C8244,C8220,C8196,C8172,C8148,C8124,C8100,C8076)/POBLA!$B$11*100000</f>
        <v>343.72314662916961</v>
      </c>
      <c r="H8388" s="418">
        <f t="shared" si="684"/>
        <v>0.8895306859205776</v>
      </c>
      <c r="J8388" s="42"/>
    </row>
    <row r="8389" spans="1:10" s="393" customFormat="1" ht="15.75" thickBot="1" x14ac:dyDescent="0.3">
      <c r="A8389" s="394" t="s">
        <v>21</v>
      </c>
      <c r="B8389" s="2">
        <v>44242</v>
      </c>
      <c r="C8389" s="1">
        <v>14</v>
      </c>
      <c r="D8389" s="39">
        <f t="shared" si="677"/>
        <v>9861</v>
      </c>
      <c r="E8389" s="1">
        <v>1</v>
      </c>
      <c r="F8389" s="39">
        <f t="shared" si="683"/>
        <v>416</v>
      </c>
      <c r="G8389" s="410">
        <f>SUM(C8389,C8365,C8341,C8317,C8293,C8269,C8245,C8221,C8197,C8173,C8149,C8125,C8101,C8077)/POBLA!$B$12*100000</f>
        <v>76.741095364787014</v>
      </c>
      <c r="H8389" s="418">
        <f t="shared" si="684"/>
        <v>1.2635983263598327</v>
      </c>
      <c r="J8389" s="42"/>
    </row>
    <row r="8390" spans="1:10" s="393" customFormat="1" ht="15.75" thickBot="1" x14ac:dyDescent="0.3">
      <c r="A8390" s="394" t="s">
        <v>17</v>
      </c>
      <c r="B8390" s="2">
        <v>44242</v>
      </c>
      <c r="C8390" s="1">
        <v>21</v>
      </c>
      <c r="D8390" s="39">
        <f t="shared" si="677"/>
        <v>65684</v>
      </c>
      <c r="E8390" s="1">
        <v>1</v>
      </c>
      <c r="F8390" s="39">
        <f t="shared" si="683"/>
        <v>1414</v>
      </c>
      <c r="G8390" s="410">
        <f>SUM(C8390,C8366,C8342,C8318,C8294,C8270,C8246,C8222,C8198,C8174,C8150,C8126,C8102,C8078)/POBLA!$B$13*100000</f>
        <v>89.884230718601557</v>
      </c>
      <c r="H8390" s="418">
        <f t="shared" si="684"/>
        <v>1.1153366583541147</v>
      </c>
      <c r="J8390" s="42"/>
    </row>
    <row r="8391" spans="1:10" s="393" customFormat="1" ht="15.75" thickBot="1" x14ac:dyDescent="0.3">
      <c r="A8391" s="394" t="s">
        <v>23</v>
      </c>
      <c r="B8391" s="2">
        <v>44242</v>
      </c>
      <c r="C8391" s="1">
        <v>113</v>
      </c>
      <c r="D8391" s="39">
        <f t="shared" si="677"/>
        <v>6849</v>
      </c>
      <c r="E8391" s="1"/>
      <c r="F8391" s="39">
        <f t="shared" si="683"/>
        <v>119</v>
      </c>
      <c r="G8391" s="410">
        <f>SUM(C8391,C8367,C8343,C8319,C8295,C8271,C8247,C8223,C8199,C8175,C8151,C8127,C8103,C8079)/POBLA!$B$14*100000</f>
        <v>157.77447605395727</v>
      </c>
      <c r="H8391" s="418">
        <f t="shared" si="684"/>
        <v>0.78625049387593837</v>
      </c>
      <c r="J8391" s="42"/>
    </row>
    <row r="8392" spans="1:10" s="393" customFormat="1" ht="15.75" thickBot="1" x14ac:dyDescent="0.3">
      <c r="A8392" s="394" t="s">
        <v>19</v>
      </c>
      <c r="B8392" s="2">
        <v>44242</v>
      </c>
      <c r="C8392" s="1">
        <v>148</v>
      </c>
      <c r="D8392" s="39">
        <f t="shared" si="677"/>
        <v>58811</v>
      </c>
      <c r="E8392" s="1">
        <v>9</v>
      </c>
      <c r="F8392" s="39">
        <f t="shared" si="683"/>
        <v>851</v>
      </c>
      <c r="G8392" s="410">
        <f>SUM(C8392,C8368,C8344,C8320,C8296,C8272,C8248,C8224,C8200,C8176,C8152,C8128,C8104,C8080)/POBLA!$B$15*100000</f>
        <v>659.73252296113139</v>
      </c>
      <c r="H8392" s="418">
        <f t="shared" si="684"/>
        <v>0.76178055990262561</v>
      </c>
      <c r="J8392" s="42"/>
    </row>
    <row r="8393" spans="1:10" s="393" customFormat="1" ht="15.75" thickBot="1" x14ac:dyDescent="0.3">
      <c r="A8393" s="394" t="s">
        <v>18</v>
      </c>
      <c r="B8393" s="2">
        <v>44242</v>
      </c>
      <c r="C8393" s="1">
        <v>87</v>
      </c>
      <c r="D8393" s="39">
        <f t="shared" si="677"/>
        <v>50684</v>
      </c>
      <c r="E8393" s="1">
        <v>1</v>
      </c>
      <c r="F8393" s="39">
        <f t="shared" si="683"/>
        <v>1116</v>
      </c>
      <c r="G8393" s="410">
        <f>SUM(C8393,C8369,C8345,C8321,C8297,C8273,C8249,C8225,C8201,C8177,C8153,C8129,C8105,C8081)/POBLA!$B$16*100000</f>
        <v>334.13143216382872</v>
      </c>
      <c r="H8393" s="418">
        <f t="shared" si="684"/>
        <v>0.62046696472925977</v>
      </c>
      <c r="J8393" s="42"/>
    </row>
    <row r="8394" spans="1:10" s="393" customFormat="1" ht="15.75" thickBot="1" x14ac:dyDescent="0.3">
      <c r="A8394" s="394" t="s">
        <v>34</v>
      </c>
      <c r="B8394" s="2">
        <v>44242</v>
      </c>
      <c r="C8394" s="1">
        <v>18</v>
      </c>
      <c r="D8394" s="39">
        <f t="shared" si="677"/>
        <v>24855</v>
      </c>
      <c r="E8394" s="1">
        <v>1</v>
      </c>
      <c r="F8394" s="39">
        <f t="shared" si="683"/>
        <v>1064</v>
      </c>
      <c r="G8394" s="410">
        <f>SUM(C8394,C8370,C8346,C8322,C8298,C8274,C8250,C8226,C8202,C8178,C8154,C8130,C8106,C8082)/POBLA!$B$17*100000</f>
        <v>72.241095705761808</v>
      </c>
      <c r="H8394" s="418">
        <f t="shared" si="684"/>
        <v>1.4311543810848402</v>
      </c>
      <c r="J8394" s="42"/>
    </row>
    <row r="8395" spans="1:10" s="393" customFormat="1" ht="15.75" thickBot="1" x14ac:dyDescent="0.3">
      <c r="A8395" s="394" t="s">
        <v>35</v>
      </c>
      <c r="B8395" s="2">
        <v>44242</v>
      </c>
      <c r="C8395" s="1">
        <v>5</v>
      </c>
      <c r="D8395" s="39">
        <f t="shared" si="677"/>
        <v>14616</v>
      </c>
      <c r="E8395" s="1"/>
      <c r="F8395" s="39">
        <f t="shared" si="683"/>
        <v>203</v>
      </c>
      <c r="G8395" s="410">
        <f>SUM(C8395,C8371,C8347,C8323,C8299,C8275,C8251,C8227,C8203,C8179,C8155,C8131,C8107,C8083)/POBLA!$B$18*100000</f>
        <v>79.235346901053106</v>
      </c>
      <c r="H8395" s="418">
        <f t="shared" si="684"/>
        <v>0.74758454106280192</v>
      </c>
      <c r="J8395" s="42"/>
    </row>
    <row r="8396" spans="1:10" s="393" customFormat="1" ht="15.75" thickBot="1" x14ac:dyDescent="0.3">
      <c r="A8396" s="394" t="s">
        <v>36</v>
      </c>
      <c r="B8396" s="2">
        <v>44242</v>
      </c>
      <c r="C8396" s="1">
        <v>8</v>
      </c>
      <c r="D8396" s="39">
        <f t="shared" si="677"/>
        <v>20083</v>
      </c>
      <c r="E8396" s="1">
        <v>1</v>
      </c>
      <c r="F8396" s="39">
        <f t="shared" si="683"/>
        <v>346</v>
      </c>
      <c r="G8396" s="410">
        <f>SUM(C8396,C8372,C8348,C8324,C8300,C8276,C8252,C8228,C8204,C8180,C8156,C8132,C8108,C8084)/POBLA!$B$19*100000</f>
        <v>209.90384161407596</v>
      </c>
      <c r="H8396" s="418">
        <f t="shared" si="684"/>
        <v>0.5199805068226121</v>
      </c>
      <c r="J8396" s="42"/>
    </row>
    <row r="8397" spans="1:10" s="393" customFormat="1" ht="15.75" thickBot="1" x14ac:dyDescent="0.3">
      <c r="A8397" s="394" t="s">
        <v>37</v>
      </c>
      <c r="B8397" s="2">
        <v>44242</v>
      </c>
      <c r="C8397" s="1">
        <v>44</v>
      </c>
      <c r="D8397" s="39">
        <f t="shared" si="677"/>
        <v>34581</v>
      </c>
      <c r="E8397" s="1">
        <v>1</v>
      </c>
      <c r="F8397" s="39">
        <f t="shared" si="683"/>
        <v>537</v>
      </c>
      <c r="G8397" s="410">
        <f>SUM(C8397,C8373,C8349,C8325,C8301,C8277,C8253,C8229,C8205,C8181,C8157,C8133,C8109,C8085)/POBLA!$B$20*100000</f>
        <v>520.37473543743738</v>
      </c>
      <c r="H8397" s="418">
        <f t="shared" si="684"/>
        <v>0.6343333333333333</v>
      </c>
      <c r="J8397" s="42"/>
    </row>
    <row r="8398" spans="1:10" s="393" customFormat="1" ht="15.75" thickBot="1" x14ac:dyDescent="0.3">
      <c r="A8398" s="394" t="s">
        <v>22</v>
      </c>
      <c r="B8398" s="2">
        <v>44242</v>
      </c>
      <c r="C8398" s="1">
        <v>150</v>
      </c>
      <c r="D8398" s="39">
        <f t="shared" si="677"/>
        <v>212067</v>
      </c>
      <c r="E8398" s="1"/>
      <c r="F8398" s="39">
        <f t="shared" si="683"/>
        <v>3807</v>
      </c>
      <c r="G8398" s="410">
        <f>SUM(C8398,C8374,C8350,C8326,C8302,C8278,C8254,C8230,C8206,C8182,C8158,C8134,C8110,C8086)/POBLA!$B$21*100000</f>
        <v>161.68903110435474</v>
      </c>
      <c r="H8398" s="418">
        <f t="shared" si="684"/>
        <v>0.54812116564417179</v>
      </c>
      <c r="J8398" s="42"/>
    </row>
    <row r="8399" spans="1:10" s="393" customFormat="1" ht="15.75" thickBot="1" x14ac:dyDescent="0.3">
      <c r="A8399" s="394" t="s">
        <v>38</v>
      </c>
      <c r="B8399" s="2">
        <v>44242</v>
      </c>
      <c r="C8399" s="1">
        <v>23</v>
      </c>
      <c r="D8399" s="39">
        <f t="shared" si="677"/>
        <v>21885</v>
      </c>
      <c r="E8399" s="1">
        <v>2</v>
      </c>
      <c r="F8399" s="39">
        <f t="shared" si="683"/>
        <v>259</v>
      </c>
      <c r="G8399" s="410">
        <f>SUM(C8399,C8375,C8351,C8327,C8303,C8279,C8255,C8231,C8207,C8183,C8159,C8135,C8111,C8087)/POBLA!$B$22*100000</f>
        <v>95.16381771478045</v>
      </c>
      <c r="H8399" s="418">
        <f t="shared" si="684"/>
        <v>0.74301675977653636</v>
      </c>
      <c r="J8399" s="42"/>
    </row>
    <row r="8400" spans="1:10" s="393" customFormat="1" ht="15.75" thickBot="1" x14ac:dyDescent="0.3">
      <c r="A8400" s="394" t="s">
        <v>39</v>
      </c>
      <c r="B8400" s="2">
        <v>44242</v>
      </c>
      <c r="C8400" s="1">
        <v>7</v>
      </c>
      <c r="D8400" s="39">
        <f t="shared" si="677"/>
        <v>22461</v>
      </c>
      <c r="E8400" s="1"/>
      <c r="F8400" s="39">
        <f t="shared" si="683"/>
        <v>344</v>
      </c>
      <c r="G8400" s="410">
        <f>SUM(C8400,C8376,C8352,C8328,C8304,C8280,C8256,C8232,C8208,C8184,C8160,C8136,C8112,C8088)/POBLA!$B$23*100000</f>
        <v>344.39857490244867</v>
      </c>
      <c r="H8400" s="418">
        <f>SUM(C8400,C8376,C8352,C8328,C8304,C8280,C8256,C8232,C8208,C8184,C8160,C8136,C8112,C8088)/SUM(C8064,C8040,C8016,C7992,C7968,C7944,C7920,C7896,C7872,C7848,C7824,C7800,C7776,C7752)</f>
        <v>0.62978283350568764</v>
      </c>
      <c r="J8400" s="42"/>
    </row>
    <row r="8401" spans="1:10" s="393" customFormat="1" ht="15.75" thickBot="1" x14ac:dyDescent="0.3">
      <c r="A8401" s="394" t="s">
        <v>40</v>
      </c>
      <c r="B8401" s="2">
        <v>44242</v>
      </c>
      <c r="C8401" s="1">
        <v>31</v>
      </c>
      <c r="D8401" s="177">
        <f t="shared" si="677"/>
        <v>78127</v>
      </c>
      <c r="E8401" s="1"/>
      <c r="F8401" s="177">
        <f t="shared" si="683"/>
        <v>1453</v>
      </c>
      <c r="G8401" s="410">
        <f>SUM(C8401,C8377,C8353,C8329,C8305,C8281,C8257,C8233,C8209,C8185,C8161,C8137,C8113,C8089)/POBLA!$B$24*100000</f>
        <v>94.119396502889074</v>
      </c>
      <c r="H8401" s="419">
        <f t="shared" si="684"/>
        <v>0.77577821011673154</v>
      </c>
      <c r="J8401" s="42"/>
    </row>
    <row r="8402" spans="1:10" s="393" customFormat="1" ht="15.75" thickBot="1" x14ac:dyDescent="0.3">
      <c r="A8402" s="394" t="s">
        <v>16</v>
      </c>
      <c r="B8402" s="2">
        <v>44243</v>
      </c>
      <c r="C8402" s="1">
        <v>1486</v>
      </c>
      <c r="D8402" s="175">
        <f t="shared" si="677"/>
        <v>848454</v>
      </c>
      <c r="E8402" s="1">
        <v>38</v>
      </c>
      <c r="F8402" s="175">
        <f t="shared" ref="F8402:F8408" si="685">E8402+F8378</f>
        <v>25569</v>
      </c>
      <c r="G8402" s="410">
        <f>SUM(C8402,C8378,C8354,C8330,C8306,C8282,C8258,C8234,C8210,C8186,C8162,C8138,C8114,C8090)/POBLA!$B$1*100000</f>
        <v>212.6258491394602</v>
      </c>
      <c r="H8402" s="416">
        <f t="shared" ref="H8402:H8408" si="686">SUM(C8402,C8378,C8354,C8330,C8306,C8282,C8258,C8234,C8210,C8186,C8162,C8138,C8114,C8090)/SUM(C8066,C8042,C8018,C7994,C7970,C7946,C7922,C7898,C7874,C7850,C7826,C7802,C7778,C7754)</f>
        <v>0.72296419779410337</v>
      </c>
      <c r="J8402" s="42"/>
    </row>
    <row r="8403" spans="1:10" s="393" customFormat="1" ht="15.75" thickBot="1" x14ac:dyDescent="0.3">
      <c r="A8403" s="394" t="s">
        <v>43</v>
      </c>
      <c r="B8403" s="2">
        <v>44243</v>
      </c>
      <c r="C8403" s="1">
        <v>439</v>
      </c>
      <c r="D8403" s="39">
        <f t="shared" si="677"/>
        <v>223373</v>
      </c>
      <c r="E8403" s="1">
        <v>9</v>
      </c>
      <c r="F8403" s="39">
        <f t="shared" si="685"/>
        <v>6312</v>
      </c>
      <c r="G8403" s="410">
        <f>SUM(C8403,C8379,C8355,C8331,C8307,C8283,C8259,C8235,C8211,C8187,C8163,C8139,C8115,C8091)/POBLA!$B$2*100000</f>
        <v>357.22576655440838</v>
      </c>
      <c r="H8403" s="418">
        <f t="shared" si="686"/>
        <v>0.72761589403973514</v>
      </c>
      <c r="J8403" s="42"/>
    </row>
    <row r="8404" spans="1:10" s="393" customFormat="1" ht="15.75" thickBot="1" x14ac:dyDescent="0.3">
      <c r="A8404" s="394" t="s">
        <v>28</v>
      </c>
      <c r="B8404" s="2">
        <v>44243</v>
      </c>
      <c r="C8404" s="1">
        <v>4</v>
      </c>
      <c r="D8404" s="39">
        <f t="shared" si="677"/>
        <v>6882</v>
      </c>
      <c r="E8404" s="1"/>
      <c r="F8404" s="39">
        <f t="shared" si="685"/>
        <v>17</v>
      </c>
      <c r="G8404" s="410">
        <f>SUM(C8404,C8380,C8356,C8332,C8308,C8284,C8260,C8236,C8212,C8188,C8164,C8140,C8116,C8092)/POBLA!$B$3*100000</f>
        <v>289.81460530813263</v>
      </c>
      <c r="H8404" s="418">
        <f t="shared" si="686"/>
        <v>0.93769470404984423</v>
      </c>
      <c r="J8404" s="42"/>
    </row>
    <row r="8405" spans="1:10" s="393" customFormat="1" ht="15.75" thickBot="1" x14ac:dyDescent="0.3">
      <c r="A8405" s="394" t="s">
        <v>15</v>
      </c>
      <c r="B8405" s="2">
        <v>44243</v>
      </c>
      <c r="C8405" s="1">
        <v>71</v>
      </c>
      <c r="D8405" s="39">
        <f t="shared" si="677"/>
        <v>32580</v>
      </c>
      <c r="E8405" s="1">
        <v>2</v>
      </c>
      <c r="F8405" s="39">
        <f t="shared" si="685"/>
        <v>836</v>
      </c>
      <c r="G8405" s="410">
        <f>SUM(C8405,C8381,C8357,C8333,C8309,C8285,C8261,C8237,C8213,C8189,C8165,C8141,C8117,C8093)/POBLA!$B$4*100000</f>
        <v>130.50614300384962</v>
      </c>
      <c r="H8405" s="418">
        <f t="shared" si="686"/>
        <v>0.73320895522388063</v>
      </c>
      <c r="J8405" s="42"/>
    </row>
    <row r="8406" spans="1:10" s="393" customFormat="1" ht="15.75" thickBot="1" x14ac:dyDescent="0.3">
      <c r="A8406" s="394" t="s">
        <v>29</v>
      </c>
      <c r="B8406" s="2">
        <v>44243</v>
      </c>
      <c r="C8406" s="1">
        <v>41</v>
      </c>
      <c r="D8406" s="39">
        <f t="shared" si="677"/>
        <v>45333</v>
      </c>
      <c r="E8406" s="1"/>
      <c r="F8406" s="39">
        <f t="shared" si="685"/>
        <v>687</v>
      </c>
      <c r="G8406" s="410">
        <f>SUM(C8406,C8382,C8358,C8334,C8310,C8286,C8262,C8238,C8214,C8190,C8166,C8142,C8118,C8094)/POBLA!$B$5*100000</f>
        <v>401.29629689463866</v>
      </c>
      <c r="H8406" s="418">
        <f t="shared" si="686"/>
        <v>0.60897278744790395</v>
      </c>
      <c r="J8406" s="42"/>
    </row>
    <row r="8407" spans="1:10" s="393" customFormat="1" ht="15.75" thickBot="1" x14ac:dyDescent="0.3">
      <c r="A8407" s="394" t="s">
        <v>30</v>
      </c>
      <c r="B8407" s="2">
        <v>44243</v>
      </c>
      <c r="C8407" s="1">
        <v>486</v>
      </c>
      <c r="D8407" s="39">
        <f t="shared" si="677"/>
        <v>20132</v>
      </c>
      <c r="E8407" s="1"/>
      <c r="F8407" s="39">
        <f t="shared" si="685"/>
        <v>285</v>
      </c>
      <c r="G8407" s="410">
        <f>SUM(C8407,C8383,C8359,C8335,C8311,C8287,C8263,C8239,C8215,C8191,C8167,C8143,C8119,C8095)/POBLA!$B$7*100000</f>
        <v>63.662593572577748</v>
      </c>
      <c r="H8407" s="418">
        <f t="shared" si="686"/>
        <v>1.1471011020603736</v>
      </c>
      <c r="J8407" s="42"/>
    </row>
    <row r="8408" spans="1:10" s="393" customFormat="1" ht="15.75" thickBot="1" x14ac:dyDescent="0.3">
      <c r="A8408" s="394" t="s">
        <v>20</v>
      </c>
      <c r="B8408" s="2">
        <v>44243</v>
      </c>
      <c r="C8408" s="1">
        <v>303</v>
      </c>
      <c r="D8408" s="39">
        <f t="shared" si="677"/>
        <v>152473</v>
      </c>
      <c r="E8408" s="1">
        <v>5</v>
      </c>
      <c r="F8408" s="39">
        <f t="shared" si="685"/>
        <v>2780</v>
      </c>
      <c r="G8408" s="410">
        <f>SUM(C8408,C8384,C8360,C8336,C8312,C8288,C8264,C8240,C8216,C8192,C8168,C8144,C8120,C8096)/POBLA!$B$6*100000</f>
        <v>585.65258239419848</v>
      </c>
      <c r="H8408" s="418">
        <f t="shared" si="686"/>
        <v>0.91701592623637884</v>
      </c>
      <c r="J8408" s="42"/>
    </row>
    <row r="8409" spans="1:10" ht="15.75" thickBot="1" x14ac:dyDescent="0.3">
      <c r="A8409" s="394" t="s">
        <v>31</v>
      </c>
      <c r="B8409" s="2">
        <v>44243</v>
      </c>
      <c r="C8409" s="1">
        <v>103</v>
      </c>
      <c r="D8409" s="39">
        <f t="shared" si="677"/>
        <v>43682</v>
      </c>
      <c r="F8409" s="39">
        <f t="shared" ref="F8409:F8425" si="687">E8409+F8385</f>
        <v>792</v>
      </c>
      <c r="G8409" s="176">
        <f>SUM(C8409,C8385,C8361,C8337,C8313,C8289,C8265,C8241,C8217,C8193,C8169,C8145,C8121,C8097)/POBLA!$B$8*100000</f>
        <v>160.89918836100006</v>
      </c>
      <c r="H8409" s="527">
        <f t="shared" ref="H8409:H8425" si="688">SUM(C8409,C8385,C8361,C8337,C8313,C8289,C8265,C8241,C8217,C8193,C8169,C8145,C8121,C8097)/SUM(C8073,C8049,C8025,C8001,C7977,C7953,C7929,C7905,C7881,C7857,C7833,C7809,C7785,C7761)</f>
        <v>0.52163742690058479</v>
      </c>
    </row>
    <row r="8410" spans="1:10" s="393" customFormat="1" ht="15.75" thickBot="1" x14ac:dyDescent="0.3">
      <c r="A8410" s="394" t="s">
        <v>41</v>
      </c>
      <c r="B8410" s="2">
        <v>44243</v>
      </c>
      <c r="C8410" s="1">
        <v>4</v>
      </c>
      <c r="D8410" s="39">
        <f t="shared" si="677"/>
        <v>978</v>
      </c>
      <c r="E8410" s="1">
        <v>7</v>
      </c>
      <c r="F8410" s="39">
        <f t="shared" si="687"/>
        <v>16</v>
      </c>
      <c r="G8410" s="410">
        <f>SUM(C8410,C8386,C8362,C8338,C8314,C8290,C8266,C8242,C8218,C8194,C8170,C8146,C8122,C8098)/POBLA!$B$9*100000</f>
        <v>20.985041135637722</v>
      </c>
      <c r="H8410" s="418">
        <f t="shared" si="688"/>
        <v>0.76047904191616766</v>
      </c>
      <c r="J8410" s="42"/>
    </row>
    <row r="8411" spans="1:10" s="393" customFormat="1" ht="15.75" thickBot="1" x14ac:dyDescent="0.3">
      <c r="A8411" s="394" t="s">
        <v>32</v>
      </c>
      <c r="B8411" s="2">
        <v>44243</v>
      </c>
      <c r="C8411" s="1">
        <v>29</v>
      </c>
      <c r="D8411" s="39">
        <f t="shared" si="677"/>
        <v>19827</v>
      </c>
      <c r="E8411" s="1">
        <v>2</v>
      </c>
      <c r="F8411" s="39">
        <f t="shared" si="687"/>
        <v>893</v>
      </c>
      <c r="G8411" s="410">
        <f>SUM(C8411,C8387,C8363,C8339,C8315,C8291,C8267,C8243,C8219,C8195,C8171,C8147,C8123,C8099)/POBLA!$B$10*100000</f>
        <v>59.15309885702203</v>
      </c>
      <c r="H8411" s="418">
        <f t="shared" si="688"/>
        <v>1.0629370629370629</v>
      </c>
      <c r="J8411" s="42"/>
    </row>
    <row r="8412" spans="1:10" s="393" customFormat="1" ht="15.75" thickBot="1" x14ac:dyDescent="0.3">
      <c r="A8412" s="394" t="s">
        <v>33</v>
      </c>
      <c r="B8412" s="2">
        <v>44243</v>
      </c>
      <c r="C8412" s="1">
        <v>53</v>
      </c>
      <c r="D8412" s="39">
        <f t="shared" si="677"/>
        <v>17798</v>
      </c>
      <c r="E8412" s="1">
        <v>2</v>
      </c>
      <c r="F8412" s="39">
        <f t="shared" si="687"/>
        <v>270</v>
      </c>
      <c r="G8412" s="410">
        <f>SUM(C8412,C8388,C8364,C8340,C8316,C8292,C8268,C8244,C8220,C8196,C8172,C8148,C8124,C8100)/POBLA!$B$11*100000</f>
        <v>333.95828450902275</v>
      </c>
      <c r="H8412" s="418">
        <f t="shared" si="688"/>
        <v>0.90957446808510634</v>
      </c>
      <c r="J8412" s="42"/>
    </row>
    <row r="8413" spans="1:10" s="393" customFormat="1" ht="15.75" thickBot="1" x14ac:dyDescent="0.3">
      <c r="A8413" s="394" t="s">
        <v>21</v>
      </c>
      <c r="B8413" s="2">
        <v>44243</v>
      </c>
      <c r="C8413" s="1">
        <v>20</v>
      </c>
      <c r="D8413" s="39">
        <f t="shared" si="677"/>
        <v>9881</v>
      </c>
      <c r="E8413" s="1">
        <v>1</v>
      </c>
      <c r="F8413" s="39">
        <f t="shared" si="687"/>
        <v>417</v>
      </c>
      <c r="G8413" s="410">
        <f>SUM(C8413,C8389,C8365,C8341,C8317,C8293,C8269,C8245,C8221,C8197,C8173,C8149,C8125,C8101)/POBLA!$B$12*100000</f>
        <v>80.298629586995688</v>
      </c>
      <c r="H8413" s="418">
        <f t="shared" si="688"/>
        <v>1.3389830508474576</v>
      </c>
      <c r="J8413" s="42"/>
    </row>
    <row r="8414" spans="1:10" s="393" customFormat="1" ht="15.75" thickBot="1" x14ac:dyDescent="0.3">
      <c r="A8414" s="394" t="s">
        <v>17</v>
      </c>
      <c r="B8414" s="2">
        <v>44243</v>
      </c>
      <c r="C8414" s="1">
        <v>46</v>
      </c>
      <c r="D8414" s="39">
        <f t="shared" si="677"/>
        <v>65730</v>
      </c>
      <c r="E8414" s="1"/>
      <c r="F8414" s="39">
        <f t="shared" si="687"/>
        <v>1414</v>
      </c>
      <c r="G8414" s="410">
        <f>SUM(C8414,C8390,C8366,C8342,C8318,C8294,C8270,C8246,C8222,C8198,C8174,C8150,C8126,C8102)/POBLA!$B$13*100000</f>
        <v>84.859958459316957</v>
      </c>
      <c r="H8414" s="418">
        <f t="shared" si="688"/>
        <v>1.0543071161048689</v>
      </c>
      <c r="J8414" s="42"/>
    </row>
    <row r="8415" spans="1:10" s="393" customFormat="1" ht="15.75" thickBot="1" x14ac:dyDescent="0.3">
      <c r="A8415" s="394" t="s">
        <v>23</v>
      </c>
      <c r="B8415" s="2">
        <v>44243</v>
      </c>
      <c r="C8415" s="1">
        <v>115</v>
      </c>
      <c r="D8415" s="39">
        <f t="shared" si="677"/>
        <v>6964</v>
      </c>
      <c r="E8415" s="1">
        <v>1</v>
      </c>
      <c r="F8415" s="39">
        <f t="shared" si="687"/>
        <v>120</v>
      </c>
      <c r="G8415" s="410">
        <f>SUM(C8415,C8391,C8367,C8343,C8319,C8295,C8271,C8247,C8223,C8199,C8175,C8151,C8127,C8103)/POBLA!$B$14*100000</f>
        <v>144.37553813781719</v>
      </c>
      <c r="H8415" s="418">
        <f t="shared" si="688"/>
        <v>0.70663562281722936</v>
      </c>
      <c r="J8415" s="42"/>
    </row>
    <row r="8416" spans="1:10" s="393" customFormat="1" ht="15.75" thickBot="1" x14ac:dyDescent="0.3">
      <c r="A8416" s="394" t="s">
        <v>19</v>
      </c>
      <c r="B8416" s="2">
        <v>44243</v>
      </c>
      <c r="C8416" s="1">
        <v>112</v>
      </c>
      <c r="D8416" s="39">
        <f t="shared" si="677"/>
        <v>58923</v>
      </c>
      <c r="E8416" s="1">
        <v>15</v>
      </c>
      <c r="F8416" s="39">
        <f t="shared" si="687"/>
        <v>866</v>
      </c>
      <c r="G8416" s="410">
        <f>SUM(C8416,C8392,C8368,C8344,C8320,C8296,C8272,C8248,C8224,C8200,C8176,C8152,C8128,C8104)/POBLA!$B$15*100000</f>
        <v>601.45439322226855</v>
      </c>
      <c r="H8416" s="418">
        <f t="shared" si="688"/>
        <v>0.68472484141950973</v>
      </c>
      <c r="J8416" s="42"/>
    </row>
    <row r="8417" spans="1:11" s="393" customFormat="1" ht="15.75" thickBot="1" x14ac:dyDescent="0.3">
      <c r="A8417" s="394" t="s">
        <v>18</v>
      </c>
      <c r="B8417" s="2">
        <v>44243</v>
      </c>
      <c r="C8417" s="1">
        <v>113</v>
      </c>
      <c r="D8417" s="39">
        <f t="shared" si="677"/>
        <v>50797</v>
      </c>
      <c r="E8417" s="1">
        <v>3</v>
      </c>
      <c r="F8417" s="39">
        <f t="shared" si="687"/>
        <v>1119</v>
      </c>
      <c r="G8417" s="410">
        <f>SUM(C8417,C8393,C8369,C8345,C8321,C8297,C8273,C8249,C8225,C8201,C8177,C8153,C8129,C8105)/POBLA!$B$16*100000</f>
        <v>309.92094808790677</v>
      </c>
      <c r="H8417" s="418">
        <f t="shared" si="688"/>
        <v>0.59182630906768841</v>
      </c>
      <c r="J8417" s="42"/>
    </row>
    <row r="8418" spans="1:11" s="393" customFormat="1" ht="15.75" thickBot="1" x14ac:dyDescent="0.3">
      <c r="A8418" s="394" t="s">
        <v>34</v>
      </c>
      <c r="B8418" s="2">
        <v>44243</v>
      </c>
      <c r="C8418" s="1">
        <v>46</v>
      </c>
      <c r="D8418" s="39">
        <f t="shared" ref="D8418:D8481" si="689">C8418+D8394</f>
        <v>24901</v>
      </c>
      <c r="E8418" s="1">
        <v>5</v>
      </c>
      <c r="F8418" s="39">
        <f t="shared" si="687"/>
        <v>1069</v>
      </c>
      <c r="G8418" s="410">
        <f>SUM(C8418,C8394,C8370,C8346,C8322,C8298,C8274,C8250,C8226,C8202,C8178,C8154,C8130,C8106)/POBLA!$B$17*100000</f>
        <v>71.468839094718675</v>
      </c>
      <c r="H8418" s="418">
        <f t="shared" si="688"/>
        <v>1.3926128590971272</v>
      </c>
      <c r="J8418" s="42"/>
    </row>
    <row r="8419" spans="1:11" s="393" customFormat="1" ht="15.75" thickBot="1" x14ac:dyDescent="0.3">
      <c r="A8419" s="394" t="s">
        <v>35</v>
      </c>
      <c r="B8419" s="2">
        <v>44243</v>
      </c>
      <c r="C8419" s="1">
        <v>44</v>
      </c>
      <c r="D8419" s="39">
        <f t="shared" si="689"/>
        <v>14660</v>
      </c>
      <c r="E8419" s="1"/>
      <c r="F8419" s="39">
        <f t="shared" si="687"/>
        <v>203</v>
      </c>
      <c r="G8419" s="410">
        <f>SUM(C8419,C8395,C8371,C8347,C8323,C8299,C8275,C8251,C8227,C8203,C8179,C8155,C8131,C8107)/POBLA!$B$18*100000</f>
        <v>74.243136030065912</v>
      </c>
      <c r="H8419" s="418">
        <f t="shared" si="688"/>
        <v>0.70388349514563109</v>
      </c>
      <c r="J8419" s="42"/>
    </row>
    <row r="8420" spans="1:11" s="393" customFormat="1" ht="15.75" thickBot="1" x14ac:dyDescent="0.3">
      <c r="A8420" s="394" t="s">
        <v>36</v>
      </c>
      <c r="B8420" s="2">
        <v>44243</v>
      </c>
      <c r="C8420" s="1">
        <v>138</v>
      </c>
      <c r="D8420" s="39">
        <f t="shared" si="689"/>
        <v>20221</v>
      </c>
      <c r="E8420" s="1">
        <v>1</v>
      </c>
      <c r="F8420" s="39">
        <f t="shared" si="687"/>
        <v>347</v>
      </c>
      <c r="G8420" s="410">
        <f>SUM(C8420,C8396,C8372,C8348,C8324,C8300,C8276,C8252,C8228,C8204,C8180,C8156,C8132,C8108)/POBLA!$B$19*100000</f>
        <v>224.65809477345334</v>
      </c>
      <c r="H8420" s="418">
        <f t="shared" si="688"/>
        <v>0.56506679861454723</v>
      </c>
      <c r="J8420" s="42"/>
    </row>
    <row r="8421" spans="1:11" s="393" customFormat="1" ht="15.75" thickBot="1" x14ac:dyDescent="0.3">
      <c r="A8421" s="394" t="s">
        <v>37</v>
      </c>
      <c r="B8421" s="2">
        <v>44243</v>
      </c>
      <c r="C8421" s="1">
        <v>52</v>
      </c>
      <c r="D8421" s="39">
        <f t="shared" si="689"/>
        <v>34633</v>
      </c>
      <c r="E8421" s="1">
        <v>3</v>
      </c>
      <c r="F8421" s="39">
        <f t="shared" si="687"/>
        <v>540</v>
      </c>
      <c r="G8421" s="410">
        <f>SUM(C8421,C8397,C8373,C8349,C8325,C8301,C8277,C8253,C8229,C8205,C8181,C8157,C8133,C8109)/POBLA!$B$20*100000</f>
        <v>491.38906966950867</v>
      </c>
      <c r="H8421" s="418">
        <f t="shared" si="688"/>
        <v>0.66041896361631758</v>
      </c>
      <c r="J8421" s="42"/>
    </row>
    <row r="8422" spans="1:11" s="393" customFormat="1" ht="15.75" thickBot="1" x14ac:dyDescent="0.3">
      <c r="A8422" s="394" t="s">
        <v>22</v>
      </c>
      <c r="B8422" s="2">
        <v>44243</v>
      </c>
      <c r="C8422" s="1">
        <v>180</v>
      </c>
      <c r="D8422" s="39">
        <f t="shared" si="689"/>
        <v>212247</v>
      </c>
      <c r="E8422" s="1">
        <v>5</v>
      </c>
      <c r="F8422" s="39">
        <f t="shared" si="687"/>
        <v>3812</v>
      </c>
      <c r="G8422" s="410">
        <f>SUM(C8422,C8398,C8374,C8350,C8326,C8302,C8278,C8254,C8230,C8206,C8182,C8158,C8134,C8110)/POBLA!$B$21*100000</f>
        <v>152.21616901621923</v>
      </c>
      <c r="H8422" s="418">
        <f t="shared" si="688"/>
        <v>0.55261266810389076</v>
      </c>
      <c r="J8422" s="42"/>
    </row>
    <row r="8423" spans="1:11" s="393" customFormat="1" ht="15.75" thickBot="1" x14ac:dyDescent="0.3">
      <c r="A8423" s="394" t="s">
        <v>38</v>
      </c>
      <c r="B8423" s="2">
        <v>44243</v>
      </c>
      <c r="C8423" s="1">
        <v>29</v>
      </c>
      <c r="D8423" s="39">
        <f t="shared" si="689"/>
        <v>21914</v>
      </c>
      <c r="E8423" s="1"/>
      <c r="F8423" s="39">
        <f t="shared" si="687"/>
        <v>259</v>
      </c>
      <c r="G8423" s="410">
        <f>SUM(C8423,C8399,C8375,C8351,C8327,C8303,C8279,C8255,C8231,C8207,C8183,C8159,C8135,C8111)/POBLA!$B$22*100000</f>
        <v>91.075146706626612</v>
      </c>
      <c r="H8423" s="418">
        <f t="shared" si="688"/>
        <v>0.724390243902439</v>
      </c>
      <c r="J8423" s="42"/>
    </row>
    <row r="8424" spans="1:11" s="393" customFormat="1" ht="15.75" thickBot="1" x14ac:dyDescent="0.3">
      <c r="A8424" s="394" t="s">
        <v>39</v>
      </c>
      <c r="B8424" s="2">
        <v>44243</v>
      </c>
      <c r="C8424" s="1">
        <v>22</v>
      </c>
      <c r="D8424" s="39">
        <f t="shared" si="689"/>
        <v>22483</v>
      </c>
      <c r="E8424" s="1"/>
      <c r="F8424" s="39">
        <f t="shared" si="687"/>
        <v>344</v>
      </c>
      <c r="G8424" s="410">
        <f>SUM(C8424,C8400,C8376,C8352,C8328,C8304,C8280,C8256,C8232,C8208,C8184,C8160,C8136,C8112)/POBLA!$B$23*100000</f>
        <v>324.0400384550133</v>
      </c>
      <c r="H8424" s="420">
        <f t="shared" si="688"/>
        <v>0.64745762711864407</v>
      </c>
      <c r="I8424" s="421"/>
      <c r="J8424" s="534"/>
      <c r="K8424" s="421"/>
    </row>
    <row r="8425" spans="1:11" s="393" customFormat="1" ht="15.75" thickBot="1" x14ac:dyDescent="0.3">
      <c r="A8425" s="392" t="s">
        <v>40</v>
      </c>
      <c r="B8425" s="34">
        <v>44243</v>
      </c>
      <c r="C8425" s="234">
        <v>67</v>
      </c>
      <c r="D8425" s="67">
        <f t="shared" si="689"/>
        <v>78194</v>
      </c>
      <c r="E8425" s="234">
        <v>6</v>
      </c>
      <c r="F8425" s="67">
        <f t="shared" si="687"/>
        <v>1459</v>
      </c>
      <c r="G8425" s="410">
        <f>SUM(C8425,C8401,C8377,C8353,C8329,C8305,C8281,C8257,C8233,C8209,C8185,C8161,C8137,C8113)/POBLA!$B$24*100000</f>
        <v>87.274349484497151</v>
      </c>
      <c r="H8425" s="422">
        <f t="shared" si="688"/>
        <v>0.72678132678132679</v>
      </c>
      <c r="I8425" s="421"/>
      <c r="J8425" s="534"/>
      <c r="K8425" s="421"/>
    </row>
    <row r="8426" spans="1:11" s="393" customFormat="1" ht="15.75" thickBot="1" x14ac:dyDescent="0.3">
      <c r="A8426" s="397" t="s">
        <v>16</v>
      </c>
      <c r="B8426" s="267">
        <v>44244</v>
      </c>
      <c r="C8426" s="43">
        <v>2602</v>
      </c>
      <c r="D8426" s="175">
        <f t="shared" si="689"/>
        <v>851056</v>
      </c>
      <c r="E8426" s="43">
        <v>67</v>
      </c>
      <c r="F8426" s="175">
        <f t="shared" ref="F8426:F8432" si="690">E8426+F8402</f>
        <v>25636</v>
      </c>
      <c r="G8426" s="410">
        <f>SUM(C8426,C8402,C8378,C8354,C8330,C8306,C8282,C8258,C8234,C8210,C8186,C8162,C8138,C8114)/POBLA!$B$1*100000</f>
        <v>206.43468973882599</v>
      </c>
      <c r="H8426" s="416">
        <f t="shared" ref="H8426:H8432" si="691">SUM(C8426,C8402,C8378,C8354,C8330,C8306,C8282,C8258,C8234,C8210,C8186,C8162,C8138,C8114)/SUM(C8090,C8066,C8042,C8018,C7994,C7970,C7946,C7922,C7898,C7874,C7850,C7826,C7802,C7778)</f>
        <v>0.7187717104349034</v>
      </c>
      <c r="I8426" s="423"/>
      <c r="J8426" s="530"/>
      <c r="K8426" s="423"/>
    </row>
    <row r="8427" spans="1:11" s="393" customFormat="1" ht="15.75" thickBot="1" x14ac:dyDescent="0.3">
      <c r="A8427" s="402" t="s">
        <v>43</v>
      </c>
      <c r="B8427" s="2">
        <v>44244</v>
      </c>
      <c r="C8427" s="1">
        <v>764</v>
      </c>
      <c r="D8427" s="39">
        <f t="shared" si="689"/>
        <v>224137</v>
      </c>
      <c r="E8427" s="1">
        <v>7</v>
      </c>
      <c r="F8427" s="39">
        <f t="shared" si="690"/>
        <v>6319</v>
      </c>
      <c r="G8427" s="410">
        <f>SUM(C8427,C8403,C8379,C8355,C8331,C8307,C8283,C8259,C8235,C8211,C8187,C8163,C8139,C8115)/POBLA!$B$2*100000</f>
        <v>347.24412367353068</v>
      </c>
      <c r="H8427" s="418">
        <f t="shared" si="691"/>
        <v>0.71682663265991009</v>
      </c>
      <c r="I8427" s="423"/>
      <c r="J8427" s="530"/>
      <c r="K8427" s="423"/>
    </row>
    <row r="8428" spans="1:11" s="393" customFormat="1" ht="15.75" thickBot="1" x14ac:dyDescent="0.3">
      <c r="A8428" s="402" t="s">
        <v>28</v>
      </c>
      <c r="B8428" s="2">
        <v>44244</v>
      </c>
      <c r="C8428" s="1">
        <v>81</v>
      </c>
      <c r="D8428" s="39">
        <f t="shared" si="689"/>
        <v>6963</v>
      </c>
      <c r="E8428" s="1"/>
      <c r="F8428" s="39">
        <f t="shared" si="690"/>
        <v>17</v>
      </c>
      <c r="G8428" s="410">
        <f>SUM(C8428,C8404,C8380,C8356,C8332,C8308,C8284,C8260,C8236,C8212,C8188,C8164,C8140,C8116)/POBLA!$B$3*100000</f>
        <v>275.85343661388703</v>
      </c>
      <c r="H8428" s="418">
        <f t="shared" si="691"/>
        <v>0.85842696629213489</v>
      </c>
      <c r="I8428" s="421"/>
      <c r="J8428" s="534"/>
      <c r="K8428" s="421"/>
    </row>
    <row r="8429" spans="1:11" s="393" customFormat="1" ht="15.75" thickBot="1" x14ac:dyDescent="0.3">
      <c r="A8429" s="402" t="s">
        <v>15</v>
      </c>
      <c r="B8429" s="2">
        <v>44244</v>
      </c>
      <c r="C8429" s="1">
        <v>104</v>
      </c>
      <c r="D8429" s="39">
        <f t="shared" si="689"/>
        <v>32684</v>
      </c>
      <c r="E8429" s="1">
        <v>11</v>
      </c>
      <c r="F8429" s="39">
        <f t="shared" si="690"/>
        <v>847</v>
      </c>
      <c r="G8429" s="410">
        <f>SUM(C8429,C8405,C8381,C8357,C8333,C8309,C8285,C8261,C8237,C8213,C8189,C8165,C8141,C8117)/POBLA!$B$4*100000</f>
        <v>129.42689372964475</v>
      </c>
      <c r="H8429" s="418">
        <f t="shared" si="691"/>
        <v>0.74843975036005761</v>
      </c>
      <c r="I8429" s="423"/>
      <c r="J8429" s="530"/>
      <c r="K8429" s="423"/>
    </row>
    <row r="8430" spans="1:11" s="393" customFormat="1" ht="15.75" thickBot="1" x14ac:dyDescent="0.3">
      <c r="A8430" s="402" t="s">
        <v>29</v>
      </c>
      <c r="B8430" s="2">
        <v>44244</v>
      </c>
      <c r="C8430" s="1">
        <v>175</v>
      </c>
      <c r="D8430" s="39">
        <f t="shared" si="689"/>
        <v>45508</v>
      </c>
      <c r="E8430" s="1">
        <v>7</v>
      </c>
      <c r="F8430" s="39">
        <f t="shared" si="690"/>
        <v>694</v>
      </c>
      <c r="G8430" s="410">
        <f>SUM(C8430,C8406,C8382,C8358,C8334,C8310,C8286,C8262,C8238,C8214,C8190,C8166,C8142,C8118)/POBLA!$B$5*100000</f>
        <v>381.26379254080007</v>
      </c>
      <c r="H8430" s="418">
        <f t="shared" si="691"/>
        <v>0.58459251919742383</v>
      </c>
      <c r="I8430" s="423"/>
      <c r="J8430" s="530"/>
      <c r="K8430" s="423"/>
    </row>
    <row r="8431" spans="1:11" s="393" customFormat="1" ht="15.75" thickBot="1" x14ac:dyDescent="0.3">
      <c r="A8431" s="402" t="s">
        <v>30</v>
      </c>
      <c r="B8431" s="2">
        <v>44244</v>
      </c>
      <c r="C8431" s="1">
        <v>289</v>
      </c>
      <c r="D8431" s="39">
        <f t="shared" si="689"/>
        <v>20421</v>
      </c>
      <c r="E8431" s="1">
        <v>1</v>
      </c>
      <c r="F8431" s="39">
        <f t="shared" si="690"/>
        <v>286</v>
      </c>
      <c r="G8431" s="410">
        <f>SUM(C8431,C8407,C8383,C8359,C8335,C8311,C8287,C8263,C8239,C8215,C8191,C8167,C8143,C8119)/POBLA!$B$7*100000</f>
        <v>65.178369610020084</v>
      </c>
      <c r="H8431" s="418">
        <f t="shared" si="691"/>
        <v>1.1161202185792349</v>
      </c>
      <c r="I8431" s="423"/>
      <c r="J8431" s="530"/>
      <c r="K8431" s="423"/>
    </row>
    <row r="8432" spans="1:11" s="393" customFormat="1" ht="15.75" thickBot="1" x14ac:dyDescent="0.3">
      <c r="A8432" s="402" t="s">
        <v>20</v>
      </c>
      <c r="B8432" s="2">
        <v>44244</v>
      </c>
      <c r="C8432" s="1">
        <v>438</v>
      </c>
      <c r="D8432" s="39">
        <f t="shared" si="689"/>
        <v>152911</v>
      </c>
      <c r="E8432" s="1">
        <v>5</v>
      </c>
      <c r="F8432" s="39">
        <f t="shared" si="690"/>
        <v>2785</v>
      </c>
      <c r="G8432" s="410">
        <f>SUM(C8432,C8408,C8384,C8360,C8336,C8312,C8288,C8264,C8240,C8216,C8192,C8168,C8144,C8120)/POBLA!$B$6*100000</f>
        <v>570.93096812012129</v>
      </c>
      <c r="H8432" s="418">
        <f t="shared" si="691"/>
        <v>0.90547615678505733</v>
      </c>
      <c r="I8432" s="423"/>
      <c r="J8432" s="530"/>
      <c r="K8432" s="423"/>
    </row>
    <row r="8433" spans="1:11" ht="15.75" thickBot="1" x14ac:dyDescent="0.3">
      <c r="A8433" s="402" t="s">
        <v>31</v>
      </c>
      <c r="B8433" s="2">
        <v>44244</v>
      </c>
      <c r="C8433" s="1">
        <v>85</v>
      </c>
      <c r="D8433" s="39">
        <f t="shared" si="689"/>
        <v>43767</v>
      </c>
      <c r="E8433" s="1">
        <v>4</v>
      </c>
      <c r="F8433" s="39">
        <f t="shared" ref="F8433:F8449" si="692">E8433+F8409</f>
        <v>796</v>
      </c>
      <c r="G8433" s="176">
        <f>SUM(C8433,C8409,C8385,C8361,C8337,C8313,C8289,C8265,C8241,C8217,C8193,C8169,C8145,C8121)/POBLA!$B$8*100000</f>
        <v>147.91180992827358</v>
      </c>
      <c r="H8433" s="527">
        <f t="shared" ref="H8433:H8449" si="693">SUM(C8433,C8409,C8385,C8361,C8337,C8313,C8289,C8265,C8241,C8217,C8193,C8169,C8145,C8121)/SUM(C8097,C8073,C8049,C8025,C8001,C7977,C7953,C7929,C7905,C7881,C7857,C7833,C7809,C7785)</f>
        <v>0.51352705410821642</v>
      </c>
      <c r="I8433" s="530"/>
      <c r="J8433" s="530"/>
      <c r="K8433" s="530"/>
    </row>
    <row r="8434" spans="1:11" s="393" customFormat="1" ht="15.75" thickBot="1" x14ac:dyDescent="0.3">
      <c r="A8434" s="402" t="s">
        <v>41</v>
      </c>
      <c r="B8434" s="2">
        <v>44244</v>
      </c>
      <c r="C8434" s="1">
        <v>10</v>
      </c>
      <c r="D8434" s="39">
        <f t="shared" si="689"/>
        <v>988</v>
      </c>
      <c r="E8434" s="1">
        <v>2</v>
      </c>
      <c r="F8434" s="39">
        <f t="shared" si="692"/>
        <v>18</v>
      </c>
      <c r="G8434" s="410">
        <f>SUM(C8434,C8410,C8386,C8362,C8338,C8314,C8290,C8266,C8242,C8218,C8194,C8170,C8146,C8122)/POBLA!$B$9*100000</f>
        <v>21.976460401888321</v>
      </c>
      <c r="H8434" s="418">
        <f t="shared" si="693"/>
        <v>0.85806451612903223</v>
      </c>
      <c r="I8434" s="423"/>
      <c r="J8434" s="530"/>
      <c r="K8434" s="423"/>
    </row>
    <row r="8435" spans="1:11" s="393" customFormat="1" ht="15.75" thickBot="1" x14ac:dyDescent="0.3">
      <c r="A8435" s="402" t="s">
        <v>32</v>
      </c>
      <c r="B8435" s="2">
        <v>44244</v>
      </c>
      <c r="C8435" s="1">
        <v>51</v>
      </c>
      <c r="D8435" s="39">
        <f t="shared" si="689"/>
        <v>19878</v>
      </c>
      <c r="E8435" s="1">
        <v>1</v>
      </c>
      <c r="F8435" s="39">
        <f t="shared" si="692"/>
        <v>894</v>
      </c>
      <c r="G8435" s="410">
        <f>SUM(C8435,C8411,C8387,C8363,C8339,C8315,C8291,C8267,C8243,C8219,C8195,C8171,C8147,C8123)/POBLA!$B$10*100000</f>
        <v>61.358367893358377</v>
      </c>
      <c r="H8435" s="418">
        <f t="shared" si="693"/>
        <v>1.1155660377358489</v>
      </c>
      <c r="I8435" s="423"/>
      <c r="J8435" s="530"/>
      <c r="K8435" s="423"/>
    </row>
    <row r="8436" spans="1:11" s="393" customFormat="1" ht="15.75" thickBot="1" x14ac:dyDescent="0.3">
      <c r="A8436" s="402" t="s">
        <v>33</v>
      </c>
      <c r="B8436" s="2">
        <v>44244</v>
      </c>
      <c r="C8436" s="1">
        <v>43</v>
      </c>
      <c r="D8436" s="39">
        <f t="shared" si="689"/>
        <v>17841</v>
      </c>
      <c r="E8436" s="1">
        <v>8</v>
      </c>
      <c r="F8436" s="39">
        <f t="shared" si="692"/>
        <v>278</v>
      </c>
      <c r="G8436" s="410">
        <f>SUM(C8436,C8412,C8388,C8364,C8340,C8316,C8292,C8268,C8244,C8220,C8196,C8172,C8148,C8124)/POBLA!$B$11*100000</f>
        <v>318.05550905621214</v>
      </c>
      <c r="H8436" s="418">
        <f t="shared" si="693"/>
        <v>0.88030888030888033</v>
      </c>
      <c r="I8436" s="423"/>
      <c r="J8436" s="530"/>
      <c r="K8436" s="423"/>
    </row>
    <row r="8437" spans="1:11" s="393" customFormat="1" ht="15.75" thickBot="1" x14ac:dyDescent="0.3">
      <c r="A8437" s="402" t="s">
        <v>21</v>
      </c>
      <c r="B8437" s="2">
        <v>44244</v>
      </c>
      <c r="C8437" s="1">
        <v>35</v>
      </c>
      <c r="D8437" s="39">
        <f t="shared" si="689"/>
        <v>9916</v>
      </c>
      <c r="E8437" s="1">
        <v>13</v>
      </c>
      <c r="F8437" s="39">
        <f t="shared" si="692"/>
        <v>430</v>
      </c>
      <c r="G8437" s="410">
        <f>SUM(C8437,C8413,C8389,C8365,C8341,C8317,C8293,C8269,C8245,C8221,C8197,C8173,C8149,C8125)/POBLA!$B$12*100000</f>
        <v>84.110273396504979</v>
      </c>
      <c r="H8437" s="418">
        <f t="shared" si="693"/>
        <v>1.4646017699115044</v>
      </c>
      <c r="I8437" s="423"/>
      <c r="J8437" s="530"/>
      <c r="K8437" s="423"/>
    </row>
    <row r="8438" spans="1:11" s="393" customFormat="1" ht="15.75" thickBot="1" x14ac:dyDescent="0.3">
      <c r="A8438" s="402" t="s">
        <v>17</v>
      </c>
      <c r="B8438" s="2">
        <v>44244</v>
      </c>
      <c r="C8438" s="1">
        <v>134</v>
      </c>
      <c r="D8438" s="39">
        <f t="shared" si="689"/>
        <v>65864</v>
      </c>
      <c r="E8438" s="1">
        <v>1</v>
      </c>
      <c r="F8438" s="39">
        <f t="shared" si="692"/>
        <v>1415</v>
      </c>
      <c r="G8438" s="410">
        <f>SUM(C8438,C8414,C8390,C8366,C8342,C8318,C8294,C8270,C8246,C8222,C8198,C8174,C8150,C8126)/POBLA!$B$13*100000</f>
        <v>83.654133117088648</v>
      </c>
      <c r="H8438" s="418">
        <f t="shared" si="693"/>
        <v>1.0659411011523687</v>
      </c>
      <c r="I8438" s="423"/>
      <c r="J8438" s="530"/>
      <c r="K8438" s="423"/>
    </row>
    <row r="8439" spans="1:11" s="393" customFormat="1" ht="15.75" thickBot="1" x14ac:dyDescent="0.3">
      <c r="A8439" s="402" t="s">
        <v>23</v>
      </c>
      <c r="B8439" s="2">
        <v>44244</v>
      </c>
      <c r="C8439" s="1">
        <v>95</v>
      </c>
      <c r="D8439" s="39">
        <f t="shared" si="689"/>
        <v>7059</v>
      </c>
      <c r="E8439" s="1">
        <v>2</v>
      </c>
      <c r="F8439" s="39">
        <f t="shared" si="692"/>
        <v>122</v>
      </c>
      <c r="G8439" s="410">
        <f>SUM(C8439,C8415,C8391,C8367,C8343,C8319,C8295,C8271,C8247,C8223,C8199,C8175,C8151,C8127)/POBLA!$B$14*100000</f>
        <v>136.84359078850767</v>
      </c>
      <c r="H8439" s="418">
        <f t="shared" si="693"/>
        <v>0.67055167055167053</v>
      </c>
      <c r="I8439" s="423"/>
      <c r="J8439" s="530"/>
      <c r="K8439" s="423"/>
    </row>
    <row r="8440" spans="1:11" s="393" customFormat="1" ht="15.75" thickBot="1" x14ac:dyDescent="0.3">
      <c r="A8440" s="402" t="s">
        <v>19</v>
      </c>
      <c r="B8440" s="2">
        <v>44244</v>
      </c>
      <c r="C8440" s="1">
        <v>225</v>
      </c>
      <c r="D8440" s="39">
        <f t="shared" si="689"/>
        <v>59148</v>
      </c>
      <c r="E8440" s="1">
        <v>4</v>
      </c>
      <c r="F8440" s="39">
        <f t="shared" si="692"/>
        <v>870</v>
      </c>
      <c r="G8440" s="410">
        <f>SUM(C8440,C8416,C8392,C8368,C8344,C8320,C8296,C8272,C8248,C8224,C8200,C8176,C8152,C8128)/POBLA!$B$15*100000</f>
        <v>566.66822275798609</v>
      </c>
      <c r="H8440" s="418">
        <f t="shared" si="693"/>
        <v>0.65375260597637253</v>
      </c>
      <c r="I8440" s="423"/>
      <c r="J8440" s="530"/>
      <c r="K8440" s="423"/>
    </row>
    <row r="8441" spans="1:11" s="393" customFormat="1" ht="15.75" thickBot="1" x14ac:dyDescent="0.3">
      <c r="A8441" s="402" t="s">
        <v>18</v>
      </c>
      <c r="B8441" s="2">
        <v>44244</v>
      </c>
      <c r="C8441" s="1">
        <v>151</v>
      </c>
      <c r="D8441" s="39">
        <f t="shared" si="689"/>
        <v>50948</v>
      </c>
      <c r="E8441" s="1">
        <v>10</v>
      </c>
      <c r="F8441" s="39">
        <f t="shared" si="692"/>
        <v>1129</v>
      </c>
      <c r="G8441" s="410">
        <f>SUM(C8441,C8417,C8393,C8369,C8345,C8321,C8297,C8273,C8249,C8225,C8201,C8177,C8153,C8129)/POBLA!$B$16*100000</f>
        <v>292.66596219954255</v>
      </c>
      <c r="H8441" s="418">
        <f t="shared" si="693"/>
        <v>0.58300026645350389</v>
      </c>
      <c r="I8441" s="423"/>
      <c r="J8441" s="530"/>
      <c r="K8441" s="423"/>
    </row>
    <row r="8442" spans="1:11" s="393" customFormat="1" ht="15.75" thickBot="1" x14ac:dyDescent="0.3">
      <c r="A8442" s="402" t="s">
        <v>34</v>
      </c>
      <c r="B8442" s="2">
        <v>44244</v>
      </c>
      <c r="C8442" s="1">
        <v>34</v>
      </c>
      <c r="D8442" s="39">
        <f t="shared" si="689"/>
        <v>24935</v>
      </c>
      <c r="E8442" s="1">
        <v>2</v>
      </c>
      <c r="F8442" s="39">
        <f t="shared" si="692"/>
        <v>1071</v>
      </c>
      <c r="G8442" s="410">
        <f>SUM(C8442,C8418,C8394,C8370,C8346,C8322,C8298,C8274,C8250,C8226,C8202,C8178,C8154,C8130)/POBLA!$B$17*100000</f>
        <v>67.537350893044575</v>
      </c>
      <c r="H8442" s="418">
        <f t="shared" si="693"/>
        <v>1.293010752688172</v>
      </c>
      <c r="I8442" s="423"/>
      <c r="J8442" s="530"/>
      <c r="K8442" s="423"/>
    </row>
    <row r="8443" spans="1:11" s="393" customFormat="1" ht="15.75" thickBot="1" x14ac:dyDescent="0.3">
      <c r="A8443" s="402" t="s">
        <v>35</v>
      </c>
      <c r="B8443" s="2">
        <v>44244</v>
      </c>
      <c r="C8443" s="1">
        <v>82</v>
      </c>
      <c r="D8443" s="39">
        <f t="shared" si="689"/>
        <v>14742</v>
      </c>
      <c r="E8443" s="1">
        <v>1</v>
      </c>
      <c r="F8443" s="39">
        <f t="shared" si="692"/>
        <v>204</v>
      </c>
      <c r="G8443" s="410">
        <f>SUM(C8443,C8419,C8395,C8371,C8347,C8323,C8299,C8275,C8251,C8227,C8203,C8179,C8155,C8131)/POBLA!$B$18*100000</f>
        <v>77.187260389878873</v>
      </c>
      <c r="H8443" s="418">
        <f t="shared" si="693"/>
        <v>0.76620076238881829</v>
      </c>
      <c r="I8443" s="423"/>
      <c r="J8443" s="530"/>
      <c r="K8443" s="423"/>
    </row>
    <row r="8444" spans="1:11" s="393" customFormat="1" ht="15.75" thickBot="1" x14ac:dyDescent="0.3">
      <c r="A8444" s="402" t="s">
        <v>36</v>
      </c>
      <c r="B8444" s="2">
        <v>44244</v>
      </c>
      <c r="C8444" s="1">
        <v>6</v>
      </c>
      <c r="D8444" s="39">
        <f t="shared" si="689"/>
        <v>20227</v>
      </c>
      <c r="E8444" s="1">
        <v>1</v>
      </c>
      <c r="F8444" s="39">
        <f t="shared" si="692"/>
        <v>348</v>
      </c>
      <c r="G8444" s="410">
        <f>SUM(C8444,C8420,C8396,C8372,C8348,C8324,C8300,C8276,C8252,C8228,C8204,C8180,C8156,C8132)/POBLA!$B$19*100000</f>
        <v>224.06792464707829</v>
      </c>
      <c r="H8444" s="418">
        <f t="shared" si="693"/>
        <v>0.59138110072689509</v>
      </c>
      <c r="I8444" s="423"/>
      <c r="J8444" s="530"/>
      <c r="K8444" s="423"/>
    </row>
    <row r="8445" spans="1:11" s="393" customFormat="1" ht="15.75" thickBot="1" x14ac:dyDescent="0.3">
      <c r="A8445" s="402" t="s">
        <v>37</v>
      </c>
      <c r="B8445" s="2">
        <v>44244</v>
      </c>
      <c r="C8445" s="1">
        <v>117</v>
      </c>
      <c r="D8445" s="39">
        <f t="shared" si="689"/>
        <v>34750</v>
      </c>
      <c r="E8445" s="1">
        <v>15</v>
      </c>
      <c r="F8445" s="39">
        <f t="shared" si="692"/>
        <v>555</v>
      </c>
      <c r="G8445" s="410">
        <f>SUM(C8445,C8421,C8397,C8373,C8349,C8325,C8301,C8277,C8253,C8229,C8205,C8181,C8157,C8133)/POBLA!$B$20*100000</f>
        <v>408.26036784450559</v>
      </c>
      <c r="H8445" s="418">
        <f t="shared" si="693"/>
        <v>0.56382175226586106</v>
      </c>
      <c r="I8445" s="423"/>
      <c r="J8445" s="530"/>
      <c r="K8445" s="423"/>
    </row>
    <row r="8446" spans="1:11" s="393" customFormat="1" ht="15.75" thickBot="1" x14ac:dyDescent="0.3">
      <c r="A8446" s="402" t="s">
        <v>22</v>
      </c>
      <c r="B8446" s="2">
        <v>44244</v>
      </c>
      <c r="C8446" s="1">
        <v>320</v>
      </c>
      <c r="D8446" s="39">
        <f t="shared" si="689"/>
        <v>212567</v>
      </c>
      <c r="E8446" s="1">
        <v>18</v>
      </c>
      <c r="F8446" s="39">
        <f t="shared" si="692"/>
        <v>3830</v>
      </c>
      <c r="G8446" s="410">
        <f>SUM(C8446,C8422,C8398,C8374,C8350,C8326,C8302,C8278,C8254,C8230,C8206,C8182,C8158,C8134)/POBLA!$B$21*100000</f>
        <v>141.81015931940172</v>
      </c>
      <c r="H8446" s="418">
        <f t="shared" si="693"/>
        <v>0.54469425437167374</v>
      </c>
      <c r="I8446" s="423"/>
      <c r="J8446" s="530"/>
      <c r="K8446" s="423"/>
    </row>
    <row r="8447" spans="1:11" s="393" customFormat="1" ht="15.75" thickBot="1" x14ac:dyDescent="0.3">
      <c r="A8447" s="402" t="s">
        <v>38</v>
      </c>
      <c r="B8447" s="2">
        <v>44244</v>
      </c>
      <c r="C8447" s="1">
        <v>48</v>
      </c>
      <c r="D8447" s="39">
        <f t="shared" si="689"/>
        <v>21962</v>
      </c>
      <c r="E8447" s="1">
        <v>2</v>
      </c>
      <c r="F8447" s="39">
        <f t="shared" si="692"/>
        <v>261</v>
      </c>
      <c r="G8447" s="410">
        <f>SUM(C8447,C8423,C8399,C8375,C8351,C8327,C8303,C8279,C8255,C8231,C8207,C8183,C8159,C8135)/POBLA!$B$22*100000</f>
        <v>86.679825372861245</v>
      </c>
      <c r="H8447" s="418">
        <f t="shared" si="693"/>
        <v>0.73419913419913418</v>
      </c>
      <c r="I8447" s="423"/>
      <c r="J8447" s="530"/>
      <c r="K8447" s="423"/>
    </row>
    <row r="8448" spans="1:11" s="393" customFormat="1" ht="15.75" thickBot="1" x14ac:dyDescent="0.3">
      <c r="A8448" s="402" t="s">
        <v>39</v>
      </c>
      <c r="B8448" s="2">
        <v>44244</v>
      </c>
      <c r="C8448" s="1">
        <v>46</v>
      </c>
      <c r="D8448" s="39">
        <f t="shared" si="689"/>
        <v>22529</v>
      </c>
      <c r="E8448" s="1">
        <v>1</v>
      </c>
      <c r="F8448" s="39">
        <f t="shared" si="692"/>
        <v>345</v>
      </c>
      <c r="G8448" s="410">
        <f>SUM(C8448,C8424,C8400,C8376,C8352,C8328,C8304,C8280,C8256,C8232,C8208,C8184,C8160,C8136)/POBLA!$B$23*100000</f>
        <v>317.81937454051911</v>
      </c>
      <c r="H8448" s="418">
        <f t="shared" si="693"/>
        <v>0.66039952996474738</v>
      </c>
      <c r="I8448" s="423"/>
      <c r="J8448" s="530"/>
      <c r="K8448" s="423"/>
    </row>
    <row r="8449" spans="1:11" s="393" customFormat="1" ht="15.75" thickBot="1" x14ac:dyDescent="0.3">
      <c r="A8449" s="404" t="s">
        <v>40</v>
      </c>
      <c r="B8449" s="268">
        <v>44244</v>
      </c>
      <c r="C8449" s="44">
        <v>129</v>
      </c>
      <c r="D8449" s="177">
        <f t="shared" si="689"/>
        <v>78323</v>
      </c>
      <c r="E8449" s="44"/>
      <c r="F8449" s="177">
        <f t="shared" si="692"/>
        <v>1459</v>
      </c>
      <c r="G8449" s="410">
        <f>SUM(C8449,C8425,C8401,C8377,C8353,C8329,C8305,C8281,C8257,C8233,C8209,C8185,C8161,C8137)/POBLA!$B$24*100000</f>
        <v>87.510385588579624</v>
      </c>
      <c r="H8449" s="419">
        <f t="shared" si="693"/>
        <v>0.73707753479125249</v>
      </c>
      <c r="I8449" s="421"/>
      <c r="J8449" s="534"/>
      <c r="K8449" s="421"/>
    </row>
    <row r="8450" spans="1:11" s="393" customFormat="1" ht="15.75" thickBot="1" x14ac:dyDescent="0.3">
      <c r="A8450" s="397" t="s">
        <v>16</v>
      </c>
      <c r="B8450" s="269">
        <v>44245</v>
      </c>
      <c r="C8450" s="227">
        <v>3254</v>
      </c>
      <c r="D8450" s="175">
        <f t="shared" si="689"/>
        <v>854310</v>
      </c>
      <c r="E8450" s="227">
        <v>154</v>
      </c>
      <c r="F8450" s="175">
        <f t="shared" ref="F8450:F8456" si="694">E8450+F8426</f>
        <v>25790</v>
      </c>
      <c r="G8450" s="410">
        <f>SUM(C8450,C8426,C8402,C8378,C8354,C8330,C8306,C8282,C8258,C8234,C8210,C8186,C8162,C8138)/POBLA!$B$1*100000</f>
        <v>203.84078777999676</v>
      </c>
      <c r="H8450" s="416">
        <f t="shared" ref="H8450:H8456" si="695">SUM(C8450,C8426,C8402,C8378,C8354,C8330,C8306,C8282,C8258,C8234,C8210,C8186,C8162,C8138)/SUM(C8114,C8090,C8066,C8042,C8018,C7994,C7970,C7946,C7922,C7898,C7874,C7850,C7826,C7802)</f>
        <v>0.7229568522787011</v>
      </c>
      <c r="I8450" s="424"/>
      <c r="J8450" s="534"/>
      <c r="K8450" s="421"/>
    </row>
    <row r="8451" spans="1:11" s="393" customFormat="1" ht="16.5" thickTop="1" thickBot="1" x14ac:dyDescent="0.3">
      <c r="A8451" s="402" t="s">
        <v>43</v>
      </c>
      <c r="B8451" s="269">
        <v>44245</v>
      </c>
      <c r="C8451" s="1">
        <v>794</v>
      </c>
      <c r="D8451" s="39">
        <f t="shared" si="689"/>
        <v>224931</v>
      </c>
      <c r="E8451" s="1">
        <v>36</v>
      </c>
      <c r="F8451" s="39">
        <f t="shared" si="694"/>
        <v>6355</v>
      </c>
      <c r="G8451" s="410">
        <f>SUM(C8451,C8427,C8403,C8379,C8355,C8331,C8307,C8283,C8259,C8235,C8211,C8187,C8163,C8139)/POBLA!$B$2*100000</f>
        <v>333.58845588861658</v>
      </c>
      <c r="H8451" s="418">
        <f t="shared" si="695"/>
        <v>0.69100215517241381</v>
      </c>
      <c r="I8451" s="424"/>
      <c r="J8451" s="42"/>
    </row>
    <row r="8452" spans="1:11" s="393" customFormat="1" ht="16.5" thickTop="1" thickBot="1" x14ac:dyDescent="0.3">
      <c r="A8452" s="402" t="s">
        <v>28</v>
      </c>
      <c r="B8452" s="269">
        <v>44245</v>
      </c>
      <c r="C8452" s="1">
        <v>68</v>
      </c>
      <c r="D8452" s="39">
        <f t="shared" si="689"/>
        <v>7031</v>
      </c>
      <c r="E8452" s="1"/>
      <c r="F8452" s="39">
        <f t="shared" si="694"/>
        <v>17</v>
      </c>
      <c r="G8452" s="410">
        <f>SUM(C8452,C8428,C8404,C8380,C8356,C8332,C8308,C8284,C8260,C8236,C8212,C8188,C8164,C8140)/POBLA!$B$3*100000</f>
        <v>262.37368752978784</v>
      </c>
      <c r="H8452" s="418">
        <f t="shared" si="695"/>
        <v>0.79912023460410553</v>
      </c>
      <c r="I8452" s="425"/>
      <c r="J8452" s="42"/>
    </row>
    <row r="8453" spans="1:11" s="393" customFormat="1" ht="16.5" thickTop="1" thickBot="1" x14ac:dyDescent="0.3">
      <c r="A8453" s="402" t="s">
        <v>15</v>
      </c>
      <c r="B8453" s="269">
        <v>44245</v>
      </c>
      <c r="C8453" s="1">
        <v>100</v>
      </c>
      <c r="D8453" s="39">
        <f t="shared" si="689"/>
        <v>32784</v>
      </c>
      <c r="E8453" s="1">
        <v>3</v>
      </c>
      <c r="F8453" s="39">
        <f t="shared" si="694"/>
        <v>850</v>
      </c>
      <c r="G8453" s="410">
        <f>SUM(C8453,C8429,C8405,C8381,C8357,C8333,C8309,C8285,C8261,C8237,C8213,C8189,C8165,C8141)/POBLA!$B$4*100000</f>
        <v>126.68726095666317</v>
      </c>
      <c r="H8453" s="418">
        <f t="shared" si="695"/>
        <v>0.78863049095607241</v>
      </c>
      <c r="I8453" s="426"/>
      <c r="J8453" s="42"/>
    </row>
    <row r="8454" spans="1:11" s="393" customFormat="1" ht="16.5" thickTop="1" thickBot="1" x14ac:dyDescent="0.3">
      <c r="A8454" s="402" t="s">
        <v>29</v>
      </c>
      <c r="B8454" s="269">
        <v>44245</v>
      </c>
      <c r="C8454" s="1">
        <v>314</v>
      </c>
      <c r="D8454" s="39">
        <f t="shared" si="689"/>
        <v>45822</v>
      </c>
      <c r="E8454" s="1">
        <v>3</v>
      </c>
      <c r="F8454" s="39">
        <f t="shared" si="694"/>
        <v>697</v>
      </c>
      <c r="G8454" s="410">
        <f>SUM(C8454,C8430,C8406,C8382,C8358,C8334,C8310,C8286,C8262,C8238,C8214,C8190,C8166,C8142)/POBLA!$B$5*100000</f>
        <v>387.72589071945771</v>
      </c>
      <c r="H8454" s="418">
        <f t="shared" si="695"/>
        <v>0.61068702290076338</v>
      </c>
      <c r="I8454" s="426"/>
      <c r="J8454" s="42"/>
    </row>
    <row r="8455" spans="1:11" s="393" customFormat="1" ht="16.5" thickTop="1" thickBot="1" x14ac:dyDescent="0.3">
      <c r="A8455" s="402" t="s">
        <v>30</v>
      </c>
      <c r="B8455" s="269">
        <v>44245</v>
      </c>
      <c r="C8455" s="1">
        <v>147</v>
      </c>
      <c r="D8455" s="39">
        <f t="shared" si="689"/>
        <v>20568</v>
      </c>
      <c r="E8455" s="1"/>
      <c r="F8455" s="39">
        <f t="shared" si="694"/>
        <v>286</v>
      </c>
      <c r="G8455" s="410">
        <f>SUM(C8455,C8431,C8407,C8383,C8359,C8335,C8311,C8287,C8263,C8239,C8215,C8191,C8167,C8143)/POBLA!$B$7*100000</f>
        <v>63.875334069060877</v>
      </c>
      <c r="H8455" s="418">
        <f t="shared" si="695"/>
        <v>1.0642445724412937</v>
      </c>
      <c r="I8455" s="426"/>
      <c r="J8455" s="42"/>
    </row>
    <row r="8456" spans="1:11" s="393" customFormat="1" ht="16.5" thickTop="1" thickBot="1" x14ac:dyDescent="0.3">
      <c r="A8456" s="402" t="s">
        <v>20</v>
      </c>
      <c r="B8456" s="269">
        <v>44245</v>
      </c>
      <c r="C8456" s="1">
        <v>848</v>
      </c>
      <c r="D8456" s="39">
        <f t="shared" si="689"/>
        <v>153759</v>
      </c>
      <c r="E8456" s="1">
        <v>5</v>
      </c>
      <c r="F8456" s="39">
        <f t="shared" si="694"/>
        <v>2790</v>
      </c>
      <c r="G8456" s="410">
        <f>SUM(C8456,C8432,C8408,C8384,C8360,C8336,C8312,C8288,C8264,C8240,C8216,C8192,C8168,C8144)/POBLA!$B$6*100000</f>
        <v>599.12509000259638</v>
      </c>
      <c r="H8456" s="418">
        <f t="shared" si="695"/>
        <v>0.9661870503597122</v>
      </c>
      <c r="I8456" s="424"/>
      <c r="J8456" s="42"/>
    </row>
    <row r="8457" spans="1:11" ht="16.5" thickTop="1" thickBot="1" x14ac:dyDescent="0.3">
      <c r="A8457" s="402" t="s">
        <v>31</v>
      </c>
      <c r="B8457" s="269">
        <v>44245</v>
      </c>
      <c r="C8457" s="1">
        <v>193</v>
      </c>
      <c r="D8457" s="39">
        <f t="shared" si="689"/>
        <v>43960</v>
      </c>
      <c r="E8457" s="1">
        <v>7</v>
      </c>
      <c r="F8457" s="39">
        <f t="shared" ref="F8457:F8473" si="696">E8457+F8433</f>
        <v>803</v>
      </c>
      <c r="G8457" s="176">
        <f>SUM(C8457,C8433,C8409,C8385,C8361,C8337,C8313,C8289,C8265,C8241,C8217,C8193,C8169,C8145)/POBLA!$B$8*100000</f>
        <v>146.10800736817271</v>
      </c>
      <c r="H8457" s="527">
        <f t="shared" ref="H8457:H8473" si="697">SUM(C8457,C8433,C8409,C8385,C8361,C8337,C8313,C8289,C8265,C8241,C8217,C8193,C8169,C8145)/SUM(C8121,C8097,C8073,C8049,C8025,C8001,C7977,C7953,C7929,C7905,C7881,C7857,C7833,C7809)</f>
        <v>0.53784860557768921</v>
      </c>
      <c r="I8457" s="531"/>
    </row>
    <row r="8458" spans="1:11" s="393" customFormat="1" ht="16.5" thickTop="1" thickBot="1" x14ac:dyDescent="0.3">
      <c r="A8458" s="402" t="s">
        <v>41</v>
      </c>
      <c r="B8458" s="269">
        <v>44245</v>
      </c>
      <c r="C8458" s="1">
        <v>52</v>
      </c>
      <c r="D8458" s="39">
        <f t="shared" si="689"/>
        <v>1040</v>
      </c>
      <c r="E8458" s="1"/>
      <c r="F8458" s="39">
        <f t="shared" si="696"/>
        <v>18</v>
      </c>
      <c r="G8458" s="410">
        <f>SUM(C8458,C8434,C8410,C8386,C8362,C8338,C8314,C8290,C8266,C8242,C8218,C8194,C8170,C8146)/POBLA!$B$9*100000</f>
        <v>30.073051076268236</v>
      </c>
      <c r="H8458" s="418">
        <f t="shared" si="697"/>
        <v>1.8383838383838385</v>
      </c>
      <c r="I8458" s="425"/>
      <c r="J8458" s="42"/>
    </row>
    <row r="8459" spans="1:11" s="393" customFormat="1" ht="16.5" thickTop="1" thickBot="1" x14ac:dyDescent="0.3">
      <c r="A8459" s="402" t="s">
        <v>32</v>
      </c>
      <c r="B8459" s="269">
        <v>44245</v>
      </c>
      <c r="C8459" s="1">
        <v>45</v>
      </c>
      <c r="D8459" s="39">
        <f t="shared" si="689"/>
        <v>19923</v>
      </c>
      <c r="E8459" s="1"/>
      <c r="F8459" s="39">
        <f t="shared" si="696"/>
        <v>894</v>
      </c>
      <c r="G8459" s="410">
        <f>SUM(C8459,C8435,C8411,C8387,C8363,C8339,C8315,C8291,C8267,C8243,C8219,C8195,C8171,C8147)/POBLA!$B$10*100000</f>
        <v>63.563636929694724</v>
      </c>
      <c r="H8459" s="418">
        <f t="shared" si="697"/>
        <v>1.203931203931204</v>
      </c>
      <c r="I8459" s="426"/>
      <c r="J8459" s="42"/>
    </row>
    <row r="8460" spans="1:11" s="393" customFormat="1" ht="16.5" thickTop="1" thickBot="1" x14ac:dyDescent="0.3">
      <c r="A8460" s="402" t="s">
        <v>33</v>
      </c>
      <c r="B8460" s="269">
        <v>44245</v>
      </c>
      <c r="C8460" s="1">
        <v>100</v>
      </c>
      <c r="D8460" s="39">
        <f t="shared" si="689"/>
        <v>17941</v>
      </c>
      <c r="E8460" s="1">
        <v>1</v>
      </c>
      <c r="F8460" s="39">
        <f t="shared" si="696"/>
        <v>279</v>
      </c>
      <c r="G8460" s="410">
        <f>SUM(C8460,C8436,C8412,C8388,C8364,C8340,C8316,C8292,C8268,C8244,C8220,C8196,C8172,C8148)/POBLA!$B$11*100000</f>
        <v>297.40980057361588</v>
      </c>
      <c r="H8460" s="418">
        <f t="shared" si="697"/>
        <v>0.80150375939849627</v>
      </c>
      <c r="I8460" s="426"/>
      <c r="J8460" s="42"/>
    </row>
    <row r="8461" spans="1:11" s="393" customFormat="1" ht="16.5" thickTop="1" thickBot="1" x14ac:dyDescent="0.3">
      <c r="A8461" s="402" t="s">
        <v>21</v>
      </c>
      <c r="B8461" s="269">
        <v>44245</v>
      </c>
      <c r="C8461" s="1">
        <v>29</v>
      </c>
      <c r="D8461" s="39">
        <f t="shared" si="689"/>
        <v>9945</v>
      </c>
      <c r="E8461" s="1">
        <v>4</v>
      </c>
      <c r="F8461" s="39">
        <f t="shared" si="696"/>
        <v>434</v>
      </c>
      <c r="G8461" s="410">
        <f>SUM(C8461,C8437,C8413,C8389,C8365,C8341,C8317,C8293,C8269,C8245,C8221,C8197,C8173,C8149)/POBLA!$B$12*100000</f>
        <v>88.17602679331489</v>
      </c>
      <c r="H8461" s="418">
        <f t="shared" si="697"/>
        <v>1.5772727272727274</v>
      </c>
      <c r="I8461" s="425"/>
      <c r="J8461" s="42"/>
    </row>
    <row r="8462" spans="1:11" s="393" customFormat="1" ht="16.5" thickTop="1" thickBot="1" x14ac:dyDescent="0.3">
      <c r="A8462" s="402" t="s">
        <v>17</v>
      </c>
      <c r="B8462" s="269">
        <v>44245</v>
      </c>
      <c r="C8462" s="1">
        <v>164</v>
      </c>
      <c r="D8462" s="39">
        <f t="shared" si="689"/>
        <v>66028</v>
      </c>
      <c r="E8462" s="1"/>
      <c r="F8462" s="39">
        <f t="shared" si="696"/>
        <v>1415</v>
      </c>
      <c r="G8462" s="410">
        <f>SUM(C8462,C8438,C8414,C8390,C8366,C8342,C8318,C8294,C8270,C8246,C8222,C8198,C8174,C8150)/POBLA!$B$13*100000</f>
        <v>82.347822329674656</v>
      </c>
      <c r="H8462" s="418">
        <f t="shared" si="697"/>
        <v>1.0373417721518987</v>
      </c>
      <c r="I8462" s="424"/>
      <c r="J8462" s="42"/>
    </row>
    <row r="8463" spans="1:11" s="393" customFormat="1" ht="16.5" thickTop="1" thickBot="1" x14ac:dyDescent="0.3">
      <c r="A8463" s="402" t="s">
        <v>23</v>
      </c>
      <c r="B8463" s="269">
        <v>44245</v>
      </c>
      <c r="C8463" s="1">
        <v>102</v>
      </c>
      <c r="D8463" s="39">
        <f t="shared" si="689"/>
        <v>7161</v>
      </c>
      <c r="E8463" s="1">
        <v>2</v>
      </c>
      <c r="F8463" s="39">
        <f t="shared" si="696"/>
        <v>124</v>
      </c>
      <c r="G8463" s="410">
        <f>SUM(C8463,C8439,C8415,C8391,C8367,C8343,C8319,C8295,C8271,C8247,C8223,C8199,C8175,C8151)/POBLA!$B$14*100000</f>
        <v>129.07379247027259</v>
      </c>
      <c r="H8463" s="418">
        <f t="shared" si="697"/>
        <v>0.62639476721816079</v>
      </c>
      <c r="I8463" s="425"/>
      <c r="J8463" s="42"/>
    </row>
    <row r="8464" spans="1:11" s="393" customFormat="1" ht="16.5" thickTop="1" thickBot="1" x14ac:dyDescent="0.3">
      <c r="A8464" s="402" t="s">
        <v>19</v>
      </c>
      <c r="B8464" s="269">
        <v>44245</v>
      </c>
      <c r="C8464" s="1">
        <v>294</v>
      </c>
      <c r="D8464" s="39">
        <f t="shared" si="689"/>
        <v>59442</v>
      </c>
      <c r="E8464" s="1">
        <v>5</v>
      </c>
      <c r="F8464" s="39">
        <f t="shared" si="696"/>
        <v>875</v>
      </c>
      <c r="G8464" s="410">
        <f>SUM(C8464,C8440,C8416,C8392,C8368,C8344,C8320,C8296,C8272,C8248,C8224,C8200,C8176,C8152)/POBLA!$B$15*100000</f>
        <v>537.3032736647607</v>
      </c>
      <c r="H8464" s="418">
        <f t="shared" si="697"/>
        <v>0.6236671910505156</v>
      </c>
      <c r="I8464" s="424"/>
      <c r="J8464" s="42"/>
    </row>
    <row r="8465" spans="1:10" s="393" customFormat="1" ht="16.5" thickTop="1" thickBot="1" x14ac:dyDescent="0.3">
      <c r="A8465" s="402" t="s">
        <v>18</v>
      </c>
      <c r="B8465" s="269">
        <v>44245</v>
      </c>
      <c r="C8465" s="1">
        <v>221</v>
      </c>
      <c r="D8465" s="39">
        <f t="shared" si="689"/>
        <v>51169</v>
      </c>
      <c r="E8465" s="1">
        <v>8</v>
      </c>
      <c r="F8465" s="39">
        <f t="shared" si="696"/>
        <v>1137</v>
      </c>
      <c r="G8465" s="410">
        <f>SUM(C8465,C8441,C8417,C8393,C8369,C8345,C8321,C8297,C8273,C8249,C8225,C8201,C8177,C8153)/POBLA!$B$16*100000</f>
        <v>296.94626877650114</v>
      </c>
      <c r="H8465" s="418">
        <f t="shared" si="697"/>
        <v>0.60375305955942349</v>
      </c>
      <c r="I8465" s="424"/>
      <c r="J8465" s="42"/>
    </row>
    <row r="8466" spans="1:10" s="393" customFormat="1" ht="16.5" thickTop="1" thickBot="1" x14ac:dyDescent="0.3">
      <c r="A8466" s="402" t="s">
        <v>34</v>
      </c>
      <c r="B8466" s="269">
        <v>44245</v>
      </c>
      <c r="C8466" s="1">
        <v>89</v>
      </c>
      <c r="D8466" s="39">
        <f t="shared" si="689"/>
        <v>25024</v>
      </c>
      <c r="E8466" s="1"/>
      <c r="F8466" s="39">
        <f t="shared" si="696"/>
        <v>1071</v>
      </c>
      <c r="G8466" s="410">
        <f>SUM(C8466,C8442,C8418,C8394,C8370,C8346,C8322,C8298,C8274,C8250,C8226,C8202,C8178,C8154)/POBLA!$B$17*100000</f>
        <v>67.186325160752233</v>
      </c>
      <c r="H8466" s="418">
        <f t="shared" si="697"/>
        <v>1.254259501965924</v>
      </c>
      <c r="I8466" s="426"/>
      <c r="J8466" s="42"/>
    </row>
    <row r="8467" spans="1:10" s="393" customFormat="1" ht="16.5" thickTop="1" thickBot="1" x14ac:dyDescent="0.3">
      <c r="A8467" s="402" t="s">
        <v>35</v>
      </c>
      <c r="B8467" s="269">
        <v>44245</v>
      </c>
      <c r="C8467" s="1">
        <v>79</v>
      </c>
      <c r="D8467" s="39">
        <f t="shared" si="689"/>
        <v>14821</v>
      </c>
      <c r="E8467" s="1"/>
      <c r="F8467" s="39">
        <f t="shared" si="696"/>
        <v>204</v>
      </c>
      <c r="G8467" s="410">
        <f>SUM(C8467,C8443,C8419,C8395,C8371,C8347,C8323,C8299,C8275,C8251,C8227,C8203,C8179,C8155)/POBLA!$B$18*100000</f>
        <v>76.547233355136925</v>
      </c>
      <c r="H8467" s="418">
        <f t="shared" si="697"/>
        <v>0.75696202531645573</v>
      </c>
      <c r="I8467" s="426"/>
      <c r="J8467" s="42"/>
    </row>
    <row r="8468" spans="1:10" s="393" customFormat="1" ht="16.5" thickTop="1" thickBot="1" x14ac:dyDescent="0.3">
      <c r="A8468" s="402" t="s">
        <v>36</v>
      </c>
      <c r="B8468" s="269">
        <v>44245</v>
      </c>
      <c r="C8468" s="1">
        <v>17</v>
      </c>
      <c r="D8468" s="39">
        <f t="shared" si="689"/>
        <v>20244</v>
      </c>
      <c r="E8468" s="1">
        <v>4</v>
      </c>
      <c r="F8468" s="39">
        <f t="shared" si="696"/>
        <v>352</v>
      </c>
      <c r="G8468" s="410">
        <f>SUM(C8468,C8444,C8420,C8396,C8372,C8348,C8324,C8300,C8276,C8252,C8228,C8204,C8180,C8156)/POBLA!$B$19*100000</f>
        <v>226.62532852803702</v>
      </c>
      <c r="H8468" s="418">
        <f t="shared" si="697"/>
        <v>0.66666666666666663</v>
      </c>
      <c r="I8468" s="426"/>
      <c r="J8468" s="42"/>
    </row>
    <row r="8469" spans="1:10" s="393" customFormat="1" ht="16.5" thickTop="1" thickBot="1" x14ac:dyDescent="0.3">
      <c r="A8469" s="402" t="s">
        <v>37</v>
      </c>
      <c r="B8469" s="269">
        <v>44245</v>
      </c>
      <c r="C8469" s="1">
        <v>114</v>
      </c>
      <c r="D8469" s="39">
        <f t="shared" si="689"/>
        <v>34864</v>
      </c>
      <c r="E8469" s="1">
        <v>3</v>
      </c>
      <c r="F8469" s="39">
        <f t="shared" si="696"/>
        <v>558</v>
      </c>
      <c r="G8469" s="410">
        <f>SUM(C8469,C8445,C8421,C8397,C8373,C8349,C8325,C8301,C8277,C8253,C8229,C8205,C8181,C8157)/POBLA!$B$20*100000</f>
        <v>389.93923948175814</v>
      </c>
      <c r="H8469" s="418">
        <f t="shared" si="697"/>
        <v>0.56699801192842947</v>
      </c>
      <c r="I8469" s="426"/>
      <c r="J8469" s="42"/>
    </row>
    <row r="8470" spans="1:10" s="393" customFormat="1" ht="16.5" thickTop="1" thickBot="1" x14ac:dyDescent="0.3">
      <c r="A8470" s="402" t="s">
        <v>22</v>
      </c>
      <c r="B8470" s="269">
        <v>44245</v>
      </c>
      <c r="C8470" s="1">
        <v>402</v>
      </c>
      <c r="D8470" s="39">
        <f t="shared" si="689"/>
        <v>212969</v>
      </c>
      <c r="E8470" s="1">
        <v>3</v>
      </c>
      <c r="F8470" s="39">
        <f t="shared" si="696"/>
        <v>3833</v>
      </c>
      <c r="G8470" s="410">
        <f>SUM(C8470,C8446,C8422,C8398,C8374,C8350,C8326,C8302,C8278,C8254,C8230,C8206,C8182,C8158)/POBLA!$B$21*100000</f>
        <v>137.05958967520243</v>
      </c>
      <c r="H8470" s="418">
        <f t="shared" si="697"/>
        <v>0.55866758875057632</v>
      </c>
      <c r="I8470" s="424"/>
      <c r="J8470" s="42"/>
    </row>
    <row r="8471" spans="1:10" s="393" customFormat="1" ht="16.5" thickTop="1" thickBot="1" x14ac:dyDescent="0.3">
      <c r="A8471" s="402" t="s">
        <v>38</v>
      </c>
      <c r="B8471" s="269">
        <v>44245</v>
      </c>
      <c r="C8471" s="1">
        <v>70</v>
      </c>
      <c r="D8471" s="39">
        <f t="shared" si="689"/>
        <v>22032</v>
      </c>
      <c r="E8471" s="1"/>
      <c r="F8471" s="39">
        <f t="shared" si="696"/>
        <v>261</v>
      </c>
      <c r="G8471" s="410">
        <f>SUM(C8471,C8447,C8423,C8399,C8375,C8351,C8327,C8303,C8279,C8255,C8231,C8207,C8183,C8159)/POBLA!$B$22*100000</f>
        <v>86.168741496842017</v>
      </c>
      <c r="H8471" s="418">
        <f t="shared" si="697"/>
        <v>0.74601769911504423</v>
      </c>
      <c r="I8471" s="426"/>
      <c r="J8471" s="42"/>
    </row>
    <row r="8472" spans="1:10" s="393" customFormat="1" ht="16.5" thickTop="1" thickBot="1" x14ac:dyDescent="0.3">
      <c r="A8472" s="402" t="s">
        <v>39</v>
      </c>
      <c r="B8472" s="269">
        <v>44245</v>
      </c>
      <c r="C8472" s="1">
        <v>55</v>
      </c>
      <c r="D8472" s="39">
        <f t="shared" si="689"/>
        <v>22584</v>
      </c>
      <c r="E8472" s="1">
        <v>1</v>
      </c>
      <c r="F8472" s="39">
        <f t="shared" si="696"/>
        <v>346</v>
      </c>
      <c r="G8472" s="410">
        <f>SUM(C8472,C8448,C8424,C8400,C8376,C8352,C8328,C8304,C8280,C8256,C8232,C8208,C8184,C8160)/POBLA!$B$23*100000</f>
        <v>332.52276197477806</v>
      </c>
      <c r="H8472" s="418">
        <f t="shared" si="697"/>
        <v>0.75968992248062017</v>
      </c>
      <c r="I8472" s="426"/>
      <c r="J8472" s="42"/>
    </row>
    <row r="8473" spans="1:10" s="393" customFormat="1" ht="16.5" thickTop="1" thickBot="1" x14ac:dyDescent="0.3">
      <c r="A8473" s="404" t="s">
        <v>40</v>
      </c>
      <c r="B8473" s="269">
        <v>44245</v>
      </c>
      <c r="C8473" s="1">
        <v>120</v>
      </c>
      <c r="D8473" s="177">
        <f t="shared" si="689"/>
        <v>78443</v>
      </c>
      <c r="E8473" s="1">
        <v>3</v>
      </c>
      <c r="F8473" s="177">
        <f t="shared" si="696"/>
        <v>1462</v>
      </c>
      <c r="G8473" s="410">
        <f>SUM(C8473,C8449,C8425,C8401,C8377,C8353,C8329,C8305,C8281,C8257,C8233,C8209,C8185,C8161)/POBLA!$B$24*100000</f>
        <v>84.677952339589865</v>
      </c>
      <c r="H8473" s="419">
        <f t="shared" si="697"/>
        <v>0.70274240940254651</v>
      </c>
      <c r="I8473" s="424"/>
      <c r="J8473" s="42"/>
    </row>
    <row r="8474" spans="1:10" s="393" customFormat="1" ht="15.75" thickBot="1" x14ac:dyDescent="0.3">
      <c r="A8474" s="397" t="s">
        <v>16</v>
      </c>
      <c r="B8474" s="269">
        <v>44246</v>
      </c>
      <c r="C8474" s="17">
        <v>3549</v>
      </c>
      <c r="D8474" s="175">
        <f t="shared" si="689"/>
        <v>857859</v>
      </c>
      <c r="E8474" s="1">
        <v>32</v>
      </c>
      <c r="F8474" s="175">
        <f t="shared" ref="F8474:F8480" si="698">E8474+F8450</f>
        <v>25822</v>
      </c>
      <c r="G8474" s="410">
        <f>SUM(C8474,C8450,C8426,C8402,C8378,C8354,C8330,C8306,C8282,C8258,C8234,C8210,C8186,C8162)/POBLA!$B$1*100000</f>
        <v>204.21704608611265</v>
      </c>
      <c r="H8474" s="416">
        <f t="shared" ref="H8474:H8480" si="699">SUM(C8474,C8450,C8426,C8402,C8378,C8354,C8330,C8306,C8282,C8258,C8234,C8210,C8186,C8162)/SUM(C8138,C8114,C8090,C8066,C8042,C8018,C7994,C7970,C7946,C7922,C7898,C7874,C7850,C7826)</f>
        <v>0.73459929456156181</v>
      </c>
      <c r="J8474" s="42"/>
    </row>
    <row r="8475" spans="1:10" s="393" customFormat="1" ht="15.75" thickBot="1" x14ac:dyDescent="0.3">
      <c r="A8475" s="402" t="s">
        <v>43</v>
      </c>
      <c r="B8475" s="269">
        <v>44246</v>
      </c>
      <c r="C8475" s="17">
        <v>847</v>
      </c>
      <c r="D8475" s="39">
        <f t="shared" si="689"/>
        <v>225778</v>
      </c>
      <c r="E8475" s="1">
        <v>12</v>
      </c>
      <c r="F8475" s="39">
        <f t="shared" si="698"/>
        <v>6367</v>
      </c>
      <c r="G8475" s="410">
        <f>SUM(C8475,C8451,C8427,C8403,C8379,C8355,C8331,C8307,C8283,C8259,C8235,C8211,C8187,C8163)/POBLA!$B$2*100000</f>
        <v>325.8177306491059</v>
      </c>
      <c r="H8475" s="418">
        <f t="shared" si="699"/>
        <v>0.67828617842155137</v>
      </c>
      <c r="J8475" s="42"/>
    </row>
    <row r="8476" spans="1:10" s="393" customFormat="1" ht="15.75" thickBot="1" x14ac:dyDescent="0.3">
      <c r="A8476" s="402" t="s">
        <v>28</v>
      </c>
      <c r="B8476" s="269">
        <v>44246</v>
      </c>
      <c r="C8476" s="17">
        <v>98</v>
      </c>
      <c r="D8476" s="39">
        <f t="shared" si="689"/>
        <v>7129</v>
      </c>
      <c r="E8476" s="1"/>
      <c r="F8476" s="39">
        <f t="shared" si="698"/>
        <v>17</v>
      </c>
      <c r="G8476" s="410">
        <f>SUM(C8476,C8452,C8428,C8404,C8380,C8356,C8332,C8308,C8284,C8260,C8236,C8212,C8188,C8164)/POBLA!$B$3*100000</f>
        <v>259.48516986890945</v>
      </c>
      <c r="H8476" s="418">
        <f t="shared" si="699"/>
        <v>0.7580872011251758</v>
      </c>
      <c r="J8476" s="42"/>
    </row>
    <row r="8477" spans="1:10" s="393" customFormat="1" ht="15.75" thickBot="1" x14ac:dyDescent="0.3">
      <c r="A8477" s="402" t="s">
        <v>15</v>
      </c>
      <c r="B8477" s="269">
        <v>44246</v>
      </c>
      <c r="C8477" s="17">
        <v>165</v>
      </c>
      <c r="D8477" s="39">
        <f t="shared" si="689"/>
        <v>32949</v>
      </c>
      <c r="E8477" s="1">
        <v>2</v>
      </c>
      <c r="F8477" s="39">
        <f t="shared" si="698"/>
        <v>852</v>
      </c>
      <c r="G8477" s="410">
        <f>SUM(C8477,C8453,C8429,C8405,C8381,C8357,C8333,C8309,C8285,C8261,C8237,C8213,C8189,C8165)/POBLA!$B$4*100000</f>
        <v>127.18537600629617</v>
      </c>
      <c r="H8477" s="418">
        <f t="shared" si="699"/>
        <v>0.80125523012552302</v>
      </c>
      <c r="J8477" s="42"/>
    </row>
    <row r="8478" spans="1:10" s="393" customFormat="1" ht="15.75" thickBot="1" x14ac:dyDescent="0.3">
      <c r="A8478" s="402" t="s">
        <v>29</v>
      </c>
      <c r="B8478" s="269">
        <v>44246</v>
      </c>
      <c r="C8478" s="17">
        <v>177</v>
      </c>
      <c r="D8478" s="39">
        <f t="shared" si="689"/>
        <v>45999</v>
      </c>
      <c r="E8478" s="1">
        <v>50</v>
      </c>
      <c r="F8478" s="39">
        <f t="shared" si="698"/>
        <v>747</v>
      </c>
      <c r="G8478" s="410">
        <f>SUM(C8478,C8454,C8430,C8406,C8382,C8358,C8334,C8310,C8286,C8262,C8238,C8214,C8190,C8166)/POBLA!$B$5*100000</f>
        <v>372.21685509067936</v>
      </c>
      <c r="H8478" s="418">
        <f t="shared" si="699"/>
        <v>0.61505605979711697</v>
      </c>
      <c r="J8478" s="42"/>
    </row>
    <row r="8479" spans="1:10" s="393" customFormat="1" ht="15.75" thickBot="1" x14ac:dyDescent="0.3">
      <c r="A8479" s="402" t="s">
        <v>30</v>
      </c>
      <c r="B8479" s="269">
        <v>44246</v>
      </c>
      <c r="C8479" s="17">
        <v>121</v>
      </c>
      <c r="D8479" s="39">
        <f t="shared" si="689"/>
        <v>20689</v>
      </c>
      <c r="E8479" s="1">
        <v>6</v>
      </c>
      <c r="F8479" s="39">
        <f t="shared" si="698"/>
        <v>292</v>
      </c>
      <c r="G8479" s="410">
        <f>SUM(C8479,C8455,C8431,C8407,C8383,C8359,C8335,C8311,C8287,C8263,C8239,C8215,C8191,C8167)/POBLA!$B$7*100000</f>
        <v>60.285338190908007</v>
      </c>
      <c r="H8479" s="418">
        <f t="shared" si="699"/>
        <v>0.96673773987206824</v>
      </c>
      <c r="J8479" s="42"/>
    </row>
    <row r="8480" spans="1:10" s="393" customFormat="1" ht="15.75" thickBot="1" x14ac:dyDescent="0.3">
      <c r="A8480" s="402" t="s">
        <v>20</v>
      </c>
      <c r="B8480" s="269">
        <v>44246</v>
      </c>
      <c r="C8480" s="17">
        <v>825</v>
      </c>
      <c r="D8480" s="39">
        <f t="shared" si="689"/>
        <v>154584</v>
      </c>
      <c r="E8480" s="1">
        <v>6</v>
      </c>
      <c r="F8480" s="39">
        <f t="shared" si="698"/>
        <v>2796</v>
      </c>
      <c r="G8480" s="410">
        <f>SUM(C8480,C8456,C8432,C8408,C8384,C8360,C8336,C8312,C8288,C8264,C8240,C8216,C8192,C8168)/POBLA!$B$6*100000</f>
        <v>623.7503356974164</v>
      </c>
      <c r="H8480" s="418">
        <f t="shared" si="699"/>
        <v>1.0106982796009831</v>
      </c>
      <c r="J8480" s="42"/>
    </row>
    <row r="8481" spans="1:10" ht="15.75" thickBot="1" x14ac:dyDescent="0.3">
      <c r="A8481" s="402" t="s">
        <v>31</v>
      </c>
      <c r="B8481" s="269">
        <v>44246</v>
      </c>
      <c r="C8481" s="17">
        <v>155</v>
      </c>
      <c r="D8481" s="39">
        <f t="shared" si="689"/>
        <v>44115</v>
      </c>
      <c r="E8481" s="1">
        <v>3</v>
      </c>
      <c r="F8481" s="39">
        <f t="shared" ref="F8481:F8497" si="700">E8481+F8457</f>
        <v>806</v>
      </c>
      <c r="G8481" s="176">
        <f>SUM(C8481,C8457,C8433,C8409,C8385,C8361,C8337,C8313,C8289,C8265,C8241,C8217,C8193,C8169)/POBLA!$B$8*100000</f>
        <v>138.96494923017315</v>
      </c>
      <c r="H8481" s="527">
        <f t="shared" ref="H8481:H8497" si="701">SUM(C8481,C8457,C8433,C8409,C8385,C8361,C8337,C8313,C8289,C8265,C8241,C8217,C8193,C8169)/SUM(C8145,C8121,C8097,C8073,C8049,C8025,C8001,C7977,C7953,C7929,C7905,C7881,C7857,C7833)</f>
        <v>0.52955732746769313</v>
      </c>
    </row>
    <row r="8482" spans="1:10" s="393" customFormat="1" ht="15.75" thickBot="1" x14ac:dyDescent="0.3">
      <c r="A8482" s="402" t="s">
        <v>41</v>
      </c>
      <c r="B8482" s="269">
        <v>44246</v>
      </c>
      <c r="C8482" s="17">
        <v>17</v>
      </c>
      <c r="D8482" s="39">
        <f t="shared" ref="D8482:D8546" si="702">C8482+D8458</f>
        <v>1057</v>
      </c>
      <c r="E8482" s="1"/>
      <c r="F8482" s="39">
        <f t="shared" si="700"/>
        <v>18</v>
      </c>
      <c r="G8482" s="410">
        <f>SUM(C8482,C8458,C8434,C8410,C8386,C8362,C8338,C8314,C8290,C8266,C8242,C8218,C8194,C8170)/POBLA!$B$9*100000</f>
        <v>31.394943431269034</v>
      </c>
      <c r="H8482" s="418">
        <f t="shared" si="701"/>
        <v>2.7142857142857144</v>
      </c>
      <c r="J8482" s="42"/>
    </row>
    <row r="8483" spans="1:10" s="393" customFormat="1" ht="15.75" thickBot="1" x14ac:dyDescent="0.3">
      <c r="A8483" s="402" t="s">
        <v>32</v>
      </c>
      <c r="B8483" s="269">
        <v>44246</v>
      </c>
      <c r="C8483" s="17">
        <v>51</v>
      </c>
      <c r="D8483" s="39">
        <f t="shared" si="702"/>
        <v>19974</v>
      </c>
      <c r="E8483" s="1">
        <v>1</v>
      </c>
      <c r="F8483" s="39">
        <f t="shared" si="700"/>
        <v>895</v>
      </c>
      <c r="G8483" s="410">
        <f>SUM(C8483,C8459,C8435,C8411,C8387,C8363,C8339,C8315,C8291,C8267,C8243,C8219,C8195,C8171)/POBLA!$B$10*100000</f>
        <v>64.601410593853004</v>
      </c>
      <c r="H8483" s="418">
        <f t="shared" si="701"/>
        <v>1.1857142857142857</v>
      </c>
      <c r="J8483" s="42"/>
    </row>
    <row r="8484" spans="1:10" s="393" customFormat="1" ht="15.75" thickBot="1" x14ac:dyDescent="0.3">
      <c r="A8484" s="402" t="s">
        <v>33</v>
      </c>
      <c r="B8484" s="269">
        <v>44246</v>
      </c>
      <c r="C8484" s="17">
        <v>70</v>
      </c>
      <c r="D8484" s="39">
        <f t="shared" si="702"/>
        <v>18011</v>
      </c>
      <c r="E8484" s="1">
        <v>3</v>
      </c>
      <c r="F8484" s="39">
        <f t="shared" si="700"/>
        <v>282</v>
      </c>
      <c r="G8484" s="410">
        <f>SUM(C8484,C8460,C8436,C8412,C8388,C8364,C8340,C8316,C8292,C8268,C8244,C8220,C8196,C8172)/POBLA!$B$11*100000</f>
        <v>291.82987936210338</v>
      </c>
      <c r="H8484" s="418">
        <f t="shared" si="701"/>
        <v>0.79182437547312645</v>
      </c>
      <c r="J8484" s="42"/>
    </row>
    <row r="8485" spans="1:10" s="393" customFormat="1" ht="15.75" thickBot="1" x14ac:dyDescent="0.3">
      <c r="A8485" s="402" t="s">
        <v>21</v>
      </c>
      <c r="B8485" s="269">
        <v>44246</v>
      </c>
      <c r="C8485" s="17">
        <v>33</v>
      </c>
      <c r="D8485" s="39">
        <f t="shared" si="702"/>
        <v>9978</v>
      </c>
      <c r="E8485" s="1"/>
      <c r="F8485" s="39">
        <f t="shared" si="700"/>
        <v>434</v>
      </c>
      <c r="G8485" s="410">
        <f>SUM(C8485,C8461,C8437,C8413,C8389,C8365,C8341,C8317,C8293,C8269,C8245,C8221,C8197,C8173)/POBLA!$B$12*100000</f>
        <v>90.463013079020456</v>
      </c>
      <c r="H8485" s="418">
        <f t="shared" si="701"/>
        <v>1.5278969957081545</v>
      </c>
      <c r="J8485" s="42"/>
    </row>
    <row r="8486" spans="1:10" s="393" customFormat="1" ht="15.75" thickBot="1" x14ac:dyDescent="0.3">
      <c r="A8486" s="402" t="s">
        <v>17</v>
      </c>
      <c r="B8486" s="269">
        <v>44246</v>
      </c>
      <c r="C8486" s="17">
        <v>139</v>
      </c>
      <c r="D8486" s="39">
        <f t="shared" si="702"/>
        <v>66167</v>
      </c>
      <c r="E8486" s="1">
        <v>5</v>
      </c>
      <c r="F8486" s="39">
        <f t="shared" si="700"/>
        <v>1420</v>
      </c>
      <c r="G8486" s="410">
        <f>SUM(C8486,C8462,C8438,C8414,C8390,C8366,C8342,C8318,C8294,C8270,C8246,C8222,C8198,C8174)/POBLA!$B$13*100000</f>
        <v>80.287870703367972</v>
      </c>
      <c r="H8486" s="418">
        <f t="shared" si="701"/>
        <v>1.0126742712294043</v>
      </c>
      <c r="J8486" s="42"/>
    </row>
    <row r="8487" spans="1:10" s="393" customFormat="1" ht="15.75" thickBot="1" x14ac:dyDescent="0.3">
      <c r="A8487" s="402" t="s">
        <v>23</v>
      </c>
      <c r="B8487" s="269">
        <v>44246</v>
      </c>
      <c r="C8487" s="17">
        <v>104</v>
      </c>
      <c r="D8487" s="39">
        <f t="shared" si="702"/>
        <v>7265</v>
      </c>
      <c r="E8487" s="1">
        <v>1</v>
      </c>
      <c r="F8487" s="39">
        <f t="shared" si="700"/>
        <v>125</v>
      </c>
      <c r="G8487" s="410">
        <f>SUM(C8487,C8463,C8439,C8415,C8391,C8367,C8343,C8319,C8295,C8271,C8247,C8223,C8199,C8175)/POBLA!$B$14*100000</f>
        <v>121.62112877727161</v>
      </c>
      <c r="H8487" s="418">
        <f t="shared" si="701"/>
        <v>0.58172165339400839</v>
      </c>
      <c r="J8487" s="42"/>
    </row>
    <row r="8488" spans="1:10" s="393" customFormat="1" ht="15.75" thickBot="1" x14ac:dyDescent="0.3">
      <c r="A8488" s="402" t="s">
        <v>19</v>
      </c>
      <c r="B8488" s="269">
        <v>44246</v>
      </c>
      <c r="C8488" s="17">
        <v>262</v>
      </c>
      <c r="D8488" s="39">
        <f t="shared" si="702"/>
        <v>59704</v>
      </c>
      <c r="E8488" s="1">
        <v>4</v>
      </c>
      <c r="F8488" s="39">
        <f t="shared" si="700"/>
        <v>879</v>
      </c>
      <c r="G8488" s="410">
        <f>SUM(C8488,C8464,C8440,C8416,C8392,C8368,C8344,C8320,C8296,C8272,C8248,C8224,C8200,C8176)/POBLA!$B$15*100000</f>
        <v>528.71967316058715</v>
      </c>
      <c r="H8488" s="418">
        <f t="shared" si="701"/>
        <v>0.62718828152911754</v>
      </c>
      <c r="J8488" s="42"/>
    </row>
    <row r="8489" spans="1:10" s="393" customFormat="1" ht="15.75" thickBot="1" x14ac:dyDescent="0.3">
      <c r="A8489" s="402" t="s">
        <v>18</v>
      </c>
      <c r="B8489" s="269">
        <v>44246</v>
      </c>
      <c r="C8489" s="17">
        <v>137</v>
      </c>
      <c r="D8489" s="39">
        <f t="shared" si="702"/>
        <v>51306</v>
      </c>
      <c r="E8489" s="1">
        <v>6</v>
      </c>
      <c r="F8489" s="39">
        <f t="shared" si="700"/>
        <v>1143</v>
      </c>
      <c r="G8489" s="410">
        <f>SUM(C8489,C8465,C8441,C8417,C8393,C8369,C8345,C8321,C8297,C8273,C8249,C8225,C8201,C8177)/POBLA!$B$16*100000</f>
        <v>284.10534904562536</v>
      </c>
      <c r="H8489" s="418">
        <f t="shared" si="701"/>
        <v>0.59032795997776544</v>
      </c>
      <c r="J8489" s="42"/>
    </row>
    <row r="8490" spans="1:10" s="393" customFormat="1" ht="15.75" thickBot="1" x14ac:dyDescent="0.3">
      <c r="A8490" s="402" t="s">
        <v>34</v>
      </c>
      <c r="B8490" s="269">
        <v>44246</v>
      </c>
      <c r="C8490" s="17">
        <v>152</v>
      </c>
      <c r="D8490" s="39">
        <f t="shared" si="702"/>
        <v>25176</v>
      </c>
      <c r="E8490" s="1">
        <v>2</v>
      </c>
      <c r="F8490" s="39">
        <f t="shared" si="700"/>
        <v>1073</v>
      </c>
      <c r="G8490" s="410">
        <f>SUM(C8490,C8466,C8442,C8418,C8394,C8370,C8346,C8322,C8298,C8274,C8250,C8226,C8202,C8178)/POBLA!$B$17*100000</f>
        <v>71.539044241177152</v>
      </c>
      <c r="H8490" s="418">
        <f t="shared" si="701"/>
        <v>1.2737499999999999</v>
      </c>
      <c r="J8490" s="42"/>
    </row>
    <row r="8491" spans="1:10" s="393" customFormat="1" ht="15.75" thickBot="1" x14ac:dyDescent="0.3">
      <c r="A8491" s="402" t="s">
        <v>35</v>
      </c>
      <c r="B8491" s="269">
        <v>44246</v>
      </c>
      <c r="C8491" s="17">
        <v>69</v>
      </c>
      <c r="D8491" s="39">
        <f t="shared" si="702"/>
        <v>14890</v>
      </c>
      <c r="E8491" s="1">
        <v>2</v>
      </c>
      <c r="F8491" s="39">
        <f t="shared" si="700"/>
        <v>206</v>
      </c>
      <c r="G8491" s="410">
        <f>SUM(C8491,C8467,C8443,C8419,C8395,C8371,C8347,C8323,C8299,C8275,C8251,C8227,C8203,C8179)/POBLA!$B$18*100000</f>
        <v>79.619363121898274</v>
      </c>
      <c r="H8491" s="418">
        <f t="shared" si="701"/>
        <v>0.81413612565445026</v>
      </c>
      <c r="J8491" s="42"/>
    </row>
    <row r="8492" spans="1:10" s="393" customFormat="1" ht="15.75" thickBot="1" x14ac:dyDescent="0.3">
      <c r="A8492" s="402" t="s">
        <v>36</v>
      </c>
      <c r="B8492" s="269">
        <v>44246</v>
      </c>
      <c r="C8492" s="17">
        <v>9</v>
      </c>
      <c r="D8492" s="39">
        <f t="shared" si="702"/>
        <v>20253</v>
      </c>
      <c r="E8492" s="1"/>
      <c r="F8492" s="39">
        <f t="shared" si="700"/>
        <v>352</v>
      </c>
      <c r="G8492" s="410">
        <f>SUM(C8492,C8468,C8444,C8420,C8396,C8372,C8348,C8324,C8300,C8276,C8252,C8228,C8204,C8180)/POBLA!$B$19*100000</f>
        <v>226.42860515257865</v>
      </c>
      <c r="H8492" s="418">
        <f t="shared" si="701"/>
        <v>0.9787414965986394</v>
      </c>
      <c r="J8492" s="42"/>
    </row>
    <row r="8493" spans="1:10" s="393" customFormat="1" ht="15.75" thickBot="1" x14ac:dyDescent="0.3">
      <c r="A8493" s="402" t="s">
        <v>37</v>
      </c>
      <c r="B8493" s="269">
        <v>44246</v>
      </c>
      <c r="C8493" s="17">
        <v>138</v>
      </c>
      <c r="D8493" s="39">
        <f t="shared" si="702"/>
        <v>35002</v>
      </c>
      <c r="E8493" s="1">
        <v>2</v>
      </c>
      <c r="F8493" s="39">
        <f t="shared" si="700"/>
        <v>560</v>
      </c>
      <c r="G8493" s="410">
        <f>SUM(C8493,C8469,C8445,C8421,C8397,C8373,C8349,C8325,C8301,C8277,C8253,C8229,C8205,C8181)/POBLA!$B$20*100000</f>
        <v>377.0871046601294</v>
      </c>
      <c r="H8493" s="418">
        <f t="shared" si="701"/>
        <v>0.56171079429735238</v>
      </c>
      <c r="J8493" s="42"/>
    </row>
    <row r="8494" spans="1:10" s="393" customFormat="1" ht="15.75" thickBot="1" x14ac:dyDescent="0.3">
      <c r="A8494" s="402" t="s">
        <v>22</v>
      </c>
      <c r="B8494" s="269">
        <v>44246</v>
      </c>
      <c r="C8494" s="17">
        <v>507</v>
      </c>
      <c r="D8494" s="39">
        <f t="shared" si="702"/>
        <v>213476</v>
      </c>
      <c r="E8494" s="1">
        <v>3</v>
      </c>
      <c r="F8494" s="39">
        <f t="shared" si="700"/>
        <v>3836</v>
      </c>
      <c r="G8494" s="410">
        <f>SUM(C8494,C8470,C8446,C8422,C8398,C8374,C8350,C8326,C8302,C8278,C8254,C8230,C8206,C8182)/POBLA!$B$21*100000</f>
        <v>137.39891607835952</v>
      </c>
      <c r="H8494" s="418">
        <f t="shared" si="701"/>
        <v>0.59781003937007871</v>
      </c>
      <c r="J8494" s="42"/>
    </row>
    <row r="8495" spans="1:10" s="393" customFormat="1" ht="15.75" thickBot="1" x14ac:dyDescent="0.3">
      <c r="A8495" s="402" t="s">
        <v>38</v>
      </c>
      <c r="B8495" s="269">
        <v>44246</v>
      </c>
      <c r="C8495" s="17">
        <v>54</v>
      </c>
      <c r="D8495" s="39">
        <f t="shared" si="702"/>
        <v>22086</v>
      </c>
      <c r="E8495" s="1">
        <v>1</v>
      </c>
      <c r="F8495" s="39">
        <f t="shared" si="700"/>
        <v>262</v>
      </c>
      <c r="G8495" s="410">
        <f>SUM(C8495,C8471,C8447,C8423,C8399,C8375,C8351,C8327,C8303,C8279,C8255,C8231,C8207,C8183)/POBLA!$B$22*100000</f>
        <v>82.488937589503564</v>
      </c>
      <c r="H8495" s="418">
        <f t="shared" si="701"/>
        <v>0.71989295272078502</v>
      </c>
      <c r="J8495" s="42"/>
    </row>
    <row r="8496" spans="1:10" s="393" customFormat="1" ht="15.75" thickBot="1" x14ac:dyDescent="0.3">
      <c r="A8496" s="402" t="s">
        <v>39</v>
      </c>
      <c r="B8496" s="269">
        <v>44246</v>
      </c>
      <c r="C8496" s="17">
        <v>49</v>
      </c>
      <c r="D8496" s="39">
        <f t="shared" si="702"/>
        <v>22633</v>
      </c>
      <c r="E8496" s="1"/>
      <c r="F8496" s="39">
        <f t="shared" si="700"/>
        <v>346</v>
      </c>
      <c r="G8496" s="410">
        <f>SUM(C8496,C8472,C8448,C8424,C8400,C8376,C8352,C8328,C8304,C8280,C8256,C8232,C8208,C8184)/POBLA!$B$23*100000</f>
        <v>332.52276197477806</v>
      </c>
      <c r="H8496" s="418">
        <f t="shared" si="701"/>
        <v>0.7587096774193548</v>
      </c>
      <c r="J8496" s="42"/>
    </row>
    <row r="8497" spans="1:10" s="393" customFormat="1" ht="15.75" thickBot="1" x14ac:dyDescent="0.3">
      <c r="A8497" s="404" t="s">
        <v>40</v>
      </c>
      <c r="B8497" s="269">
        <v>44246</v>
      </c>
      <c r="C8497" s="17">
        <v>158</v>
      </c>
      <c r="D8497" s="177">
        <f t="shared" si="702"/>
        <v>78601</v>
      </c>
      <c r="E8497" s="1">
        <v>2</v>
      </c>
      <c r="F8497" s="177">
        <f t="shared" si="700"/>
        <v>1464</v>
      </c>
      <c r="G8497" s="410">
        <f>SUM(C8497,C8473,C8449,C8425,C8401,C8377,C8353,C8329,C8305,C8281,C8257,C8233,C8209,C8185)/POBLA!$B$24*100000</f>
        <v>85.504078703878548</v>
      </c>
      <c r="H8497" s="419">
        <f t="shared" si="701"/>
        <v>0.72887323943661975</v>
      </c>
      <c r="J8497" s="42"/>
    </row>
    <row r="8498" spans="1:10" s="393" customFormat="1" ht="15.75" thickBot="1" x14ac:dyDescent="0.3">
      <c r="A8498" s="397" t="s">
        <v>16</v>
      </c>
      <c r="B8498" s="269">
        <v>44247</v>
      </c>
      <c r="C8498" s="17">
        <v>2510</v>
      </c>
      <c r="D8498" s="175">
        <f t="shared" si="702"/>
        <v>860369</v>
      </c>
      <c r="E8498" s="1">
        <v>65</v>
      </c>
      <c r="F8498" s="175">
        <f t="shared" ref="F8498:F8504" si="703">E8498+F8474</f>
        <v>25887</v>
      </c>
      <c r="G8498" s="410">
        <f>SUM(C8498,C8474,C8450,C8426,C8402,C8378,C8354,C8330,C8306,C8282,C8258,C8234,C8210,C8186)/POBLA!$B$1*100000</f>
        <v>201.73146091237737</v>
      </c>
      <c r="H8498" s="416">
        <f t="shared" ref="H8498:H8504" si="704">SUM(C8498,C8474,C8450,C8426,C8402,C8378,C8354,C8330,C8306,C8282,C8258,C8234,C8210,C8186)/SUM(C8162,C8138,C8114,C8090,C8066,C8042,C8018,C7994,C7970,C7946,C7922,C7898,C7874,C7850)</f>
        <v>0.73043657756218394</v>
      </c>
      <c r="J8498" s="42"/>
    </row>
    <row r="8499" spans="1:10" s="393" customFormat="1" ht="15.75" thickBot="1" x14ac:dyDescent="0.3">
      <c r="A8499" s="402" t="s">
        <v>43</v>
      </c>
      <c r="B8499" s="269">
        <v>44247</v>
      </c>
      <c r="C8499" s="17">
        <v>596</v>
      </c>
      <c r="D8499" s="39">
        <f t="shared" si="702"/>
        <v>226374</v>
      </c>
      <c r="E8499" s="1">
        <v>33</v>
      </c>
      <c r="F8499" s="39">
        <f t="shared" si="703"/>
        <v>6400</v>
      </c>
      <c r="G8499" s="410">
        <f>SUM(C8499,C8475,C8451,C8427,C8403,C8379,C8355,C8331,C8307,C8283,C8259,C8235,C8211,C8187)/POBLA!$B$2*100000</f>
        <v>321.36338187164586</v>
      </c>
      <c r="H8499" s="418">
        <f t="shared" si="704"/>
        <v>0.67777549201124598</v>
      </c>
      <c r="J8499" s="42"/>
    </row>
    <row r="8500" spans="1:10" s="393" customFormat="1" ht="15.75" thickBot="1" x14ac:dyDescent="0.3">
      <c r="A8500" s="402" t="s">
        <v>28</v>
      </c>
      <c r="B8500" s="269">
        <v>44247</v>
      </c>
      <c r="C8500" s="17">
        <v>52</v>
      </c>
      <c r="D8500" s="39">
        <f t="shared" si="702"/>
        <v>7181</v>
      </c>
      <c r="E8500" s="1"/>
      <c r="F8500" s="39">
        <f t="shared" si="703"/>
        <v>17</v>
      </c>
      <c r="G8500" s="410">
        <f>SUM(C8500,C8476,C8452,C8428,C8404,C8380,C8356,C8332,C8308,C8284,C8260,C8236,C8212,C8188)/POBLA!$B$3*100000</f>
        <v>253.46742474207946</v>
      </c>
      <c r="H8500" s="418">
        <f t="shared" si="704"/>
        <v>0.72821576763485474</v>
      </c>
      <c r="J8500" s="42"/>
    </row>
    <row r="8501" spans="1:10" s="393" customFormat="1" ht="15.75" thickBot="1" x14ac:dyDescent="0.3">
      <c r="A8501" s="402" t="s">
        <v>15</v>
      </c>
      <c r="B8501" s="269">
        <v>44247</v>
      </c>
      <c r="C8501" s="17">
        <v>176</v>
      </c>
      <c r="D8501" s="39">
        <f t="shared" si="702"/>
        <v>33125</v>
      </c>
      <c r="E8501" s="1"/>
      <c r="F8501" s="39">
        <f t="shared" si="703"/>
        <v>852</v>
      </c>
      <c r="G8501" s="410">
        <f>SUM(C8501,C8477,C8453,C8429,C8405,C8381,C8357,C8333,C8309,C8285,C8261,C8237,C8213,C8189)/POBLA!$B$4*100000</f>
        <v>129.84198960433892</v>
      </c>
      <c r="H8501" s="418">
        <f t="shared" si="704"/>
        <v>0.83014861995753719</v>
      </c>
      <c r="J8501" s="42"/>
    </row>
    <row r="8502" spans="1:10" s="393" customFormat="1" ht="15.75" thickBot="1" x14ac:dyDescent="0.3">
      <c r="A8502" s="402" t="s">
        <v>29</v>
      </c>
      <c r="B8502" s="269">
        <v>44247</v>
      </c>
      <c r="C8502" s="17">
        <v>56</v>
      </c>
      <c r="D8502" s="39">
        <f t="shared" si="702"/>
        <v>46055</v>
      </c>
      <c r="E8502" s="1"/>
      <c r="F8502" s="39">
        <f t="shared" si="703"/>
        <v>747</v>
      </c>
      <c r="G8502" s="410">
        <f>SUM(C8502,C8478,C8454,C8430,C8406,C8382,C8358,C8334,C8310,C8286,C8262,C8238,C8214,C8190)/POBLA!$B$5*100000</f>
        <v>356.22316209850175</v>
      </c>
      <c r="H8502" s="418">
        <f t="shared" si="704"/>
        <v>0.59562398703403563</v>
      </c>
      <c r="J8502" s="42"/>
    </row>
    <row r="8503" spans="1:10" s="393" customFormat="1" ht="15.75" thickBot="1" x14ac:dyDescent="0.3">
      <c r="A8503" s="402" t="s">
        <v>30</v>
      </c>
      <c r="B8503" s="269">
        <v>44247</v>
      </c>
      <c r="C8503" s="17">
        <v>125</v>
      </c>
      <c r="D8503" s="39">
        <f t="shared" si="702"/>
        <v>20814</v>
      </c>
      <c r="E8503" s="1"/>
      <c r="F8503" s="39">
        <f t="shared" si="703"/>
        <v>292</v>
      </c>
      <c r="G8503" s="410">
        <f>SUM(C8503,C8479,C8455,C8431,C8407,C8383,C8359,C8335,C8311,C8287,C8263,C8239,C8215,C8191)/POBLA!$B$7*100000</f>
        <v>55.711417516520626</v>
      </c>
      <c r="H8503" s="418">
        <f t="shared" si="704"/>
        <v>0.844758064516129</v>
      </c>
      <c r="J8503" s="42"/>
    </row>
    <row r="8504" spans="1:10" s="393" customFormat="1" ht="15.75" thickBot="1" x14ac:dyDescent="0.3">
      <c r="A8504" s="402" t="s">
        <v>20</v>
      </c>
      <c r="B8504" s="269">
        <v>44247</v>
      </c>
      <c r="C8504" s="17">
        <v>591</v>
      </c>
      <c r="D8504" s="39">
        <f t="shared" si="702"/>
        <v>155175</v>
      </c>
      <c r="E8504" s="1">
        <v>3</v>
      </c>
      <c r="F8504" s="39">
        <f t="shared" si="703"/>
        <v>2799</v>
      </c>
      <c r="G8504" s="410">
        <f>SUM(C8504,C8480,C8456,C8432,C8408,C8384,C8360,C8336,C8312,C8288,C8264,C8240,C8216,C8192)/POBLA!$B$6*100000</f>
        <v>636.06295854482642</v>
      </c>
      <c r="H8504" s="418">
        <f t="shared" si="704"/>
        <v>1.0443891004980954</v>
      </c>
      <c r="J8504" s="42"/>
    </row>
    <row r="8505" spans="1:10" ht="15.75" thickBot="1" x14ac:dyDescent="0.3">
      <c r="A8505" s="402" t="s">
        <v>31</v>
      </c>
      <c r="B8505" s="269">
        <v>44247</v>
      </c>
      <c r="C8505" s="17">
        <v>116</v>
      </c>
      <c r="D8505" s="39">
        <f t="shared" si="702"/>
        <v>44231</v>
      </c>
      <c r="E8505" s="1">
        <v>2</v>
      </c>
      <c r="F8505" s="39">
        <f t="shared" ref="F8505:F8521" si="705">E8505+F8481</f>
        <v>808</v>
      </c>
      <c r="G8505" s="176">
        <f>SUM(C8505,C8481,C8457,C8433,C8409,C8385,C8361,C8337,C8313,C8289,C8265,C8241,C8217,C8193)/POBLA!$B$8*100000</f>
        <v>130.8839137609211</v>
      </c>
      <c r="H8505" s="527">
        <f t="shared" ref="H8505:H8521" si="706">SUM(C8505,C8481,C8457,C8433,C8409,C8385,C8361,C8337,C8313,C8289,C8265,C8241,C8217,C8193)/SUM(C8169,C8145,C8121,C8097,C8073,C8049,C8025,C8001,C7977,C7953,C7929,C7905,C7881,C7857)</f>
        <v>0.50912152680325573</v>
      </c>
    </row>
    <row r="8506" spans="1:10" s="393" customFormat="1" ht="15.75" thickBot="1" x14ac:dyDescent="0.3">
      <c r="A8506" s="402" t="s">
        <v>41</v>
      </c>
      <c r="B8506" s="269">
        <v>44247</v>
      </c>
      <c r="C8506" s="17">
        <v>13</v>
      </c>
      <c r="D8506" s="39">
        <f t="shared" si="702"/>
        <v>1070</v>
      </c>
      <c r="E8506" s="1"/>
      <c r="F8506" s="39">
        <f t="shared" si="705"/>
        <v>18</v>
      </c>
      <c r="G8506" s="410">
        <f>SUM(C8506,C8482,C8458,C8434,C8410,C8386,C8362,C8338,C8314,C8290,C8266,C8242,C8218,C8194)/POBLA!$B$9*100000</f>
        <v>33.377781963770232</v>
      </c>
      <c r="H8506" s="418">
        <f t="shared" si="706"/>
        <v>2.9705882352941178</v>
      </c>
      <c r="J8506" s="42"/>
    </row>
    <row r="8507" spans="1:10" s="393" customFormat="1" ht="15.75" thickBot="1" x14ac:dyDescent="0.3">
      <c r="A8507" s="402" t="s">
        <v>32</v>
      </c>
      <c r="B8507" s="269">
        <v>44247</v>
      </c>
      <c r="C8507" s="17">
        <v>68</v>
      </c>
      <c r="D8507" s="39">
        <f t="shared" si="702"/>
        <v>20042</v>
      </c>
      <c r="E8507" s="1">
        <v>2</v>
      </c>
      <c r="F8507" s="39">
        <f t="shared" si="705"/>
        <v>897</v>
      </c>
      <c r="G8507" s="410">
        <f>SUM(C8507,C8483,C8459,C8435,C8411,C8387,C8363,C8339,C8315,C8291,C8267,C8243,C8219,C8195)/POBLA!$B$10*100000</f>
        <v>69.920000622664205</v>
      </c>
      <c r="H8507" s="418">
        <f t="shared" si="706"/>
        <v>1.2277904328018223</v>
      </c>
      <c r="J8507" s="42"/>
    </row>
    <row r="8508" spans="1:10" s="393" customFormat="1" ht="15.75" thickBot="1" x14ac:dyDescent="0.3">
      <c r="A8508" s="402" t="s">
        <v>33</v>
      </c>
      <c r="B8508" s="269">
        <v>44247</v>
      </c>
      <c r="C8508" s="17">
        <v>60</v>
      </c>
      <c r="D8508" s="39">
        <f t="shared" si="702"/>
        <v>18071</v>
      </c>
      <c r="E8508" s="1"/>
      <c r="F8508" s="39">
        <f t="shared" si="705"/>
        <v>282</v>
      </c>
      <c r="G8508" s="410">
        <f>SUM(C8508,C8484,C8460,C8436,C8412,C8388,C8364,C8340,C8316,C8292,C8268,C8244,C8220,C8196)/POBLA!$B$11*100000</f>
        <v>290.4348990592253</v>
      </c>
      <c r="H8508" s="418">
        <f t="shared" si="706"/>
        <v>0.81328124999999996</v>
      </c>
      <c r="J8508" s="42"/>
    </row>
    <row r="8509" spans="1:10" s="393" customFormat="1" ht="15.75" thickBot="1" x14ac:dyDescent="0.3">
      <c r="A8509" s="402" t="s">
        <v>21</v>
      </c>
      <c r="B8509" s="269">
        <v>44247</v>
      </c>
      <c r="C8509" s="17">
        <v>16</v>
      </c>
      <c r="D8509" s="39">
        <f t="shared" si="702"/>
        <v>9994</v>
      </c>
      <c r="E8509" s="1">
        <v>1</v>
      </c>
      <c r="F8509" s="39">
        <f t="shared" si="705"/>
        <v>435</v>
      </c>
      <c r="G8509" s="410">
        <f>SUM(C8509,C8485,C8461,C8437,C8413,C8389,C8365,C8341,C8317,C8293,C8269,C8245,C8221,C8197)/POBLA!$B$12*100000</f>
        <v>86.651369269511179</v>
      </c>
      <c r="H8509" s="418">
        <f t="shared" si="706"/>
        <v>1.3585657370517927</v>
      </c>
      <c r="J8509" s="42"/>
    </row>
    <row r="8510" spans="1:10" s="393" customFormat="1" ht="15.75" thickBot="1" x14ac:dyDescent="0.3">
      <c r="A8510" s="402" t="s">
        <v>17</v>
      </c>
      <c r="B8510" s="269">
        <v>44247</v>
      </c>
      <c r="C8510" s="17">
        <v>127</v>
      </c>
      <c r="D8510" s="39">
        <f t="shared" si="702"/>
        <v>66294</v>
      </c>
      <c r="E8510" s="1">
        <v>3</v>
      </c>
      <c r="F8510" s="39">
        <f t="shared" si="705"/>
        <v>1423</v>
      </c>
      <c r="G8510" s="410">
        <f>SUM(C8510,C8486,C8462,C8438,C8414,C8390,C8366,C8342,C8318,C8294,C8270,C8246,C8222,C8198)/POBLA!$B$13*100000</f>
        <v>80.589327038925049</v>
      </c>
      <c r="H8510" s="418">
        <f t="shared" si="706"/>
        <v>1.0037546933667083</v>
      </c>
      <c r="J8510" s="42"/>
    </row>
    <row r="8511" spans="1:10" s="393" customFormat="1" ht="15.75" thickBot="1" x14ac:dyDescent="0.3">
      <c r="A8511" s="402" t="s">
        <v>23</v>
      </c>
      <c r="B8511" s="269">
        <v>44247</v>
      </c>
      <c r="C8511" s="17">
        <v>100</v>
      </c>
      <c r="D8511" s="39">
        <f t="shared" si="702"/>
        <v>7365</v>
      </c>
      <c r="E8511" s="1">
        <v>1</v>
      </c>
      <c r="F8511" s="39">
        <f t="shared" si="705"/>
        <v>126</v>
      </c>
      <c r="G8511" s="410">
        <f>SUM(C8511,C8487,C8463,C8439,C8415,C8391,C8367,C8343,C8319,C8295,C8271,C8247,C8223,C8199)/POBLA!$B$14*100000</f>
        <v>119.48047005694153</v>
      </c>
      <c r="H8511" s="418">
        <f t="shared" si="706"/>
        <v>0.59098039215686271</v>
      </c>
      <c r="J8511" s="42"/>
    </row>
    <row r="8512" spans="1:10" s="393" customFormat="1" ht="15.75" thickBot="1" x14ac:dyDescent="0.3">
      <c r="A8512" s="402" t="s">
        <v>19</v>
      </c>
      <c r="B8512" s="269">
        <v>44247</v>
      </c>
      <c r="C8512" s="17">
        <v>162</v>
      </c>
      <c r="D8512" s="39">
        <f t="shared" si="702"/>
        <v>59866</v>
      </c>
      <c r="E8512" s="1">
        <v>3</v>
      </c>
      <c r="F8512" s="39">
        <f t="shared" si="705"/>
        <v>882</v>
      </c>
      <c r="G8512" s="410">
        <f>SUM(C8512,C8488,C8464,C8440,C8416,C8392,C8368,C8344,C8320,C8296,C8272,C8248,C8224,C8200)/POBLA!$B$15*100000</f>
        <v>507.93832457153525</v>
      </c>
      <c r="H8512" s="418">
        <f t="shared" si="706"/>
        <v>0.59625243061693478</v>
      </c>
      <c r="J8512" s="42"/>
    </row>
    <row r="8513" spans="1:10" s="393" customFormat="1" ht="15.75" thickBot="1" x14ac:dyDescent="0.3">
      <c r="A8513" s="402" t="s">
        <v>18</v>
      </c>
      <c r="B8513" s="269">
        <v>44247</v>
      </c>
      <c r="C8513" s="17">
        <v>79</v>
      </c>
      <c r="D8513" s="39">
        <f t="shared" si="702"/>
        <v>51385</v>
      </c>
      <c r="E8513" s="1">
        <v>3</v>
      </c>
      <c r="F8513" s="39">
        <f t="shared" si="705"/>
        <v>1146</v>
      </c>
      <c r="G8513" s="410">
        <f>SUM(C8513,C8489,C8465,C8441,C8417,C8393,C8369,C8345,C8321,C8297,C8273,C8249,C8225,C8201)/POBLA!$B$16*100000</f>
        <v>276.48105295541797</v>
      </c>
      <c r="H8513" s="418">
        <f t="shared" si="706"/>
        <v>0.59947795823665895</v>
      </c>
      <c r="J8513" s="42"/>
    </row>
    <row r="8514" spans="1:10" s="393" customFormat="1" ht="15.75" thickBot="1" x14ac:dyDescent="0.3">
      <c r="A8514" s="402" t="s">
        <v>34</v>
      </c>
      <c r="B8514" s="269">
        <v>44247</v>
      </c>
      <c r="C8514" s="17">
        <v>146</v>
      </c>
      <c r="D8514" s="39">
        <f t="shared" si="702"/>
        <v>25322</v>
      </c>
      <c r="E8514" s="1">
        <v>3</v>
      </c>
      <c r="F8514" s="39">
        <f t="shared" si="705"/>
        <v>1076</v>
      </c>
      <c r="G8514" s="410">
        <f>SUM(C8514,C8490,C8466,C8442,C8418,C8394,C8370,C8346,C8322,C8298,C8274,C8250,C8226,C8202)/POBLA!$B$17*100000</f>
        <v>75.330122149934326</v>
      </c>
      <c r="H8514" s="418">
        <f t="shared" si="706"/>
        <v>1.2881152460984393</v>
      </c>
      <c r="J8514" s="42"/>
    </row>
    <row r="8515" spans="1:10" s="393" customFormat="1" ht="15.75" thickBot="1" x14ac:dyDescent="0.3">
      <c r="A8515" s="402" t="s">
        <v>35</v>
      </c>
      <c r="B8515" s="269">
        <v>44247</v>
      </c>
      <c r="C8515" s="17">
        <v>26</v>
      </c>
      <c r="D8515" s="39">
        <f t="shared" si="702"/>
        <v>14916</v>
      </c>
      <c r="E8515" s="1"/>
      <c r="F8515" s="39">
        <f t="shared" si="705"/>
        <v>206</v>
      </c>
      <c r="G8515" s="410">
        <f>SUM(C8515,C8491,C8467,C8443,C8419,C8395,C8371,C8347,C8323,C8299,C8275,C8251,C8227,C8203)/POBLA!$B$18*100000</f>
        <v>81.411438819175714</v>
      </c>
      <c r="H8515" s="418">
        <f t="shared" si="706"/>
        <v>0.85483870967741937</v>
      </c>
      <c r="J8515" s="42"/>
    </row>
    <row r="8516" spans="1:10" s="393" customFormat="1" ht="15.75" thickBot="1" x14ac:dyDescent="0.3">
      <c r="A8516" s="402" t="s">
        <v>36</v>
      </c>
      <c r="B8516" s="269">
        <v>44247</v>
      </c>
      <c r="C8516" s="17">
        <v>264</v>
      </c>
      <c r="D8516" s="39">
        <f t="shared" si="702"/>
        <v>20517</v>
      </c>
      <c r="E8516" s="1">
        <v>1</v>
      </c>
      <c r="F8516" s="39">
        <f t="shared" si="705"/>
        <v>353</v>
      </c>
      <c r="G8516" s="410">
        <f>SUM(C8516,C8492,C8468,C8444,C8420,C8396,C8372,C8348,C8324,C8300,C8276,C8252,C8228,C8204)/POBLA!$B$19*100000</f>
        <v>277.77340614721203</v>
      </c>
      <c r="H8516" s="418">
        <f t="shared" si="706"/>
        <v>2.0056818181818183</v>
      </c>
      <c r="J8516" s="42"/>
    </row>
    <row r="8517" spans="1:10" s="393" customFormat="1" ht="15.75" thickBot="1" x14ac:dyDescent="0.3">
      <c r="A8517" s="402" t="s">
        <v>37</v>
      </c>
      <c r="B8517" s="269">
        <v>44247</v>
      </c>
      <c r="C8517" s="17">
        <v>106</v>
      </c>
      <c r="D8517" s="39">
        <f t="shared" si="702"/>
        <v>35108</v>
      </c>
      <c r="E8517" s="1">
        <v>1</v>
      </c>
      <c r="F8517" s="39">
        <f t="shared" si="705"/>
        <v>561</v>
      </c>
      <c r="G8517" s="410">
        <f>SUM(C8517,C8493,C8469,C8445,C8421,C8397,C8373,C8349,C8325,C8301,C8277,C8253,C8229,C8205)/POBLA!$B$20*100000</f>
        <v>372.71190982723448</v>
      </c>
      <c r="H8517" s="418">
        <f t="shared" si="706"/>
        <v>0.56839032527105926</v>
      </c>
      <c r="J8517" s="42"/>
    </row>
    <row r="8518" spans="1:10" s="393" customFormat="1" ht="15.75" thickBot="1" x14ac:dyDescent="0.3">
      <c r="A8518" s="402" t="s">
        <v>22</v>
      </c>
      <c r="B8518" s="269">
        <v>44247</v>
      </c>
      <c r="C8518" s="17">
        <v>376</v>
      </c>
      <c r="D8518" s="39">
        <f t="shared" si="702"/>
        <v>213852</v>
      </c>
      <c r="E8518" s="1"/>
      <c r="F8518" s="39">
        <f t="shared" si="705"/>
        <v>3836</v>
      </c>
      <c r="G8518" s="410">
        <f>SUM(C8518,C8494,C8470,C8446,C8422,C8398,C8374,C8350,C8326,C8302,C8278,C8254,C8230,C8206)/POBLA!$B$21*100000</f>
        <v>135.8436700638895</v>
      </c>
      <c r="H8518" s="418">
        <f t="shared" si="706"/>
        <v>0.61111817834881055</v>
      </c>
      <c r="J8518" s="42"/>
    </row>
    <row r="8519" spans="1:10" s="393" customFormat="1" ht="15.75" thickBot="1" x14ac:dyDescent="0.3">
      <c r="A8519" s="402" t="s">
        <v>38</v>
      </c>
      <c r="B8519" s="269">
        <v>44247</v>
      </c>
      <c r="C8519" s="17">
        <v>54</v>
      </c>
      <c r="D8519" s="39">
        <f t="shared" si="702"/>
        <v>22140</v>
      </c>
      <c r="E8519" s="1"/>
      <c r="F8519" s="39">
        <f t="shared" si="705"/>
        <v>262</v>
      </c>
      <c r="G8519" s="410">
        <f>SUM(C8519,C8495,C8471,C8447,C8423,C8399,C8375,C8351,C8327,C8303,C8279,C8255,C8231,C8207)/POBLA!$B$22*100000</f>
        <v>80.853469186242023</v>
      </c>
      <c r="H8519" s="418">
        <f t="shared" si="706"/>
        <v>0.77473065621939274</v>
      </c>
      <c r="J8519" s="42"/>
    </row>
    <row r="8520" spans="1:10" s="393" customFormat="1" ht="15.75" thickBot="1" x14ac:dyDescent="0.3">
      <c r="A8520" s="402" t="s">
        <v>39</v>
      </c>
      <c r="B8520" s="269">
        <v>44247</v>
      </c>
      <c r="C8520" s="17">
        <v>33</v>
      </c>
      <c r="D8520" s="39">
        <f t="shared" si="702"/>
        <v>22666</v>
      </c>
      <c r="E8520" s="1">
        <v>1</v>
      </c>
      <c r="F8520" s="39">
        <f t="shared" si="705"/>
        <v>347</v>
      </c>
      <c r="G8520" s="410">
        <f>SUM(C8520,C8496,C8472,C8448,C8424,C8400,C8376,C8352,C8328,C8304,C8280,C8256,C8232,C8208)/POBLA!$B$23*100000</f>
        <v>341.57100039586044</v>
      </c>
      <c r="H8520" s="418">
        <f t="shared" si="706"/>
        <v>0.84122562674094703</v>
      </c>
      <c r="J8520" s="42"/>
    </row>
    <row r="8521" spans="1:10" s="393" customFormat="1" ht="15.75" thickBot="1" x14ac:dyDescent="0.3">
      <c r="A8521" s="404" t="s">
        <v>40</v>
      </c>
      <c r="B8521" s="269">
        <v>44247</v>
      </c>
      <c r="C8521" s="17">
        <v>92</v>
      </c>
      <c r="D8521" s="177">
        <f t="shared" si="702"/>
        <v>78693</v>
      </c>
      <c r="E8521" s="1"/>
      <c r="F8521" s="177">
        <f t="shared" si="705"/>
        <v>1464</v>
      </c>
      <c r="G8521" s="410">
        <f>SUM(C8521,C8497,C8473,C8449,C8425,C8401,C8377,C8353,C8329,C8305,C8281,C8257,C8233,C8209)/POBLA!$B$24*100000</f>
        <v>85.504078703878548</v>
      </c>
      <c r="H8521" s="419">
        <f t="shared" si="706"/>
        <v>0.72522522522522526</v>
      </c>
      <c r="J8521" s="42"/>
    </row>
    <row r="8522" spans="1:10" s="393" customFormat="1" ht="15.75" thickBot="1" x14ac:dyDescent="0.3">
      <c r="A8522" s="397" t="s">
        <v>16</v>
      </c>
      <c r="B8522" s="269">
        <v>44248</v>
      </c>
      <c r="C8522" s="1">
        <v>1503</v>
      </c>
      <c r="D8522" s="175">
        <f t="shared" si="702"/>
        <v>861872</v>
      </c>
      <c r="E8522" s="1">
        <v>51</v>
      </c>
      <c r="F8522" s="175">
        <f t="shared" ref="F8522:F8528" si="707">E8522+F8498</f>
        <v>25938</v>
      </c>
      <c r="G8522" s="410">
        <f>SUM(C8522,C8498,C8474,C8450,C8426,C8402,C8378,C8354,C8330,C8306,C8282,C8258,C8234,C8210)/POBLA!$B$1*100000</f>
        <v>201.75996532950737</v>
      </c>
      <c r="H8522" s="416">
        <f t="shared" ref="H8522:H8528" si="708">SUM(C8522,C8498,C8474,C8450,C8426,C8402,C8378,C8354,C8330,C8306,C8282,C8258,C8234,C8210)/SUM(C8186,C8162,C8138,C8114,C8090,C8066,C8042,C8018,C7994,C7970,C7946,C7922,C7898,C7874)</f>
        <v>0.7395929114770543</v>
      </c>
      <c r="I8522" s="427"/>
      <c r="J8522" s="559"/>
    </row>
    <row r="8523" spans="1:10" s="393" customFormat="1" ht="16.5" thickTop="1" thickBot="1" x14ac:dyDescent="0.3">
      <c r="A8523" s="402" t="s">
        <v>43</v>
      </c>
      <c r="B8523" s="269">
        <v>44248</v>
      </c>
      <c r="C8523" s="1">
        <v>351</v>
      </c>
      <c r="D8523" s="39">
        <f t="shared" si="702"/>
        <v>226725</v>
      </c>
      <c r="E8523" s="1">
        <v>8</v>
      </c>
      <c r="F8523" s="39">
        <f t="shared" si="707"/>
        <v>6408</v>
      </c>
      <c r="G8523" s="410">
        <f>SUM(C8523,C8499,C8475,C8451,C8427,C8403,C8379,C8355,C8331,C8307,C8283,C8259,C8235,C8211)/POBLA!$B$2*100000</f>
        <v>314.015332063573</v>
      </c>
      <c r="H8523" s="418">
        <f t="shared" si="708"/>
        <v>0.66818873668188739</v>
      </c>
      <c r="I8523" s="427"/>
      <c r="J8523" s="559"/>
    </row>
    <row r="8524" spans="1:10" s="393" customFormat="1" ht="16.5" thickTop="1" thickBot="1" x14ac:dyDescent="0.3">
      <c r="A8524" s="402" t="s">
        <v>28</v>
      </c>
      <c r="B8524" s="269">
        <v>44248</v>
      </c>
      <c r="C8524" s="1">
        <v>110</v>
      </c>
      <c r="D8524" s="39">
        <f t="shared" si="702"/>
        <v>7291</v>
      </c>
      <c r="E8524" s="1"/>
      <c r="F8524" s="39">
        <f t="shared" si="707"/>
        <v>17</v>
      </c>
      <c r="G8524" s="410">
        <f>SUM(C8524,C8500,C8476,C8452,C8428,C8404,C8380,C8356,C8332,C8308,C8284,C8260,C8236,C8212)/POBLA!$B$3*100000</f>
        <v>264.78078558051982</v>
      </c>
      <c r="H8524" s="418">
        <f t="shared" si="708"/>
        <v>0.75342465753424659</v>
      </c>
      <c r="I8524" s="427"/>
      <c r="J8524" s="560"/>
    </row>
    <row r="8525" spans="1:10" s="393" customFormat="1" ht="16.5" thickTop="1" thickBot="1" x14ac:dyDescent="0.3">
      <c r="A8525" s="402" t="s">
        <v>15</v>
      </c>
      <c r="B8525" s="269">
        <v>44248</v>
      </c>
      <c r="C8525" s="1">
        <v>81</v>
      </c>
      <c r="D8525" s="39">
        <f t="shared" si="702"/>
        <v>33206</v>
      </c>
      <c r="E8525" s="1"/>
      <c r="F8525" s="39">
        <f t="shared" si="707"/>
        <v>852</v>
      </c>
      <c r="G8525" s="410">
        <f>SUM(C8525,C8501,C8477,C8453,C8429,C8405,C8381,C8357,C8333,C8309,C8285,C8261,C8237,C8213)/POBLA!$B$4*100000</f>
        <v>127.84952940580686</v>
      </c>
      <c r="H8525" s="418">
        <f t="shared" si="708"/>
        <v>0.83153347732181426</v>
      </c>
      <c r="I8525" s="428"/>
      <c r="J8525" s="533"/>
    </row>
    <row r="8526" spans="1:10" s="393" customFormat="1" ht="16.5" thickTop="1" thickBot="1" x14ac:dyDescent="0.3">
      <c r="A8526" s="402" t="s">
        <v>29</v>
      </c>
      <c r="B8526" s="269">
        <v>44248</v>
      </c>
      <c r="C8526" s="1">
        <v>36</v>
      </c>
      <c r="D8526" s="39">
        <f t="shared" si="702"/>
        <v>46091</v>
      </c>
      <c r="E8526" s="1"/>
      <c r="F8526" s="39">
        <f t="shared" si="707"/>
        <v>747</v>
      </c>
      <c r="G8526" s="410">
        <f>SUM(C8526,C8502,C8478,C8454,C8430,C8406,C8382,C8358,C8334,C8310,C8286,C8262,C8238,C8214)/POBLA!$B$5*100000</f>
        <v>352.02279828237431</v>
      </c>
      <c r="H8526" s="418">
        <f t="shared" si="708"/>
        <v>0.59600656455142231</v>
      </c>
      <c r="I8526" s="429"/>
      <c r="J8526" s="533"/>
    </row>
    <row r="8527" spans="1:10" s="393" customFormat="1" ht="16.5" thickTop="1" thickBot="1" x14ac:dyDescent="0.3">
      <c r="A8527" s="402" t="s">
        <v>30</v>
      </c>
      <c r="B8527" s="269">
        <v>44248</v>
      </c>
      <c r="C8527" s="1">
        <v>146</v>
      </c>
      <c r="D8527" s="39">
        <f t="shared" si="702"/>
        <v>20960</v>
      </c>
      <c r="E8527" s="1"/>
      <c r="F8527" s="39">
        <f t="shared" si="707"/>
        <v>292</v>
      </c>
      <c r="G8527" s="410">
        <f>SUM(C8527,C8503,C8479,C8455,C8431,C8407,C8383,C8359,C8335,C8311,C8287,C8263,C8239,C8215)/POBLA!$B$7*100000</f>
        <v>59.221635708492336</v>
      </c>
      <c r="H8527" s="418">
        <f t="shared" si="708"/>
        <v>0.91646090534979419</v>
      </c>
      <c r="I8527" s="427"/>
      <c r="J8527" s="533"/>
    </row>
    <row r="8528" spans="1:10" s="393" customFormat="1" ht="16.5" thickTop="1" thickBot="1" x14ac:dyDescent="0.3">
      <c r="A8528" s="402" t="s">
        <v>20</v>
      </c>
      <c r="B8528" s="269">
        <v>44248</v>
      </c>
      <c r="C8528" s="1">
        <v>399</v>
      </c>
      <c r="D8528" s="39">
        <f t="shared" si="702"/>
        <v>155574</v>
      </c>
      <c r="E8528" s="1"/>
      <c r="F8528" s="39">
        <f t="shared" si="707"/>
        <v>2799</v>
      </c>
      <c r="G8528" s="410">
        <f>SUM(C8528,C8504,C8480,C8456,C8432,C8408,C8384,C8360,C8336,C8312,C8288,C8264,C8240,C8216)/POBLA!$B$6*100000</f>
        <v>651.58756996112606</v>
      </c>
      <c r="H8528" s="418">
        <f t="shared" si="708"/>
        <v>1.076027700014734</v>
      </c>
      <c r="I8528" s="427"/>
      <c r="J8528" s="559"/>
    </row>
    <row r="8529" spans="1:10" ht="16.5" thickTop="1" thickBot="1" x14ac:dyDescent="0.3">
      <c r="A8529" s="402" t="s">
        <v>31</v>
      </c>
      <c r="B8529" s="269">
        <v>44248</v>
      </c>
      <c r="C8529" s="1">
        <v>87</v>
      </c>
      <c r="D8529" s="39">
        <f t="shared" si="702"/>
        <v>44318</v>
      </c>
      <c r="E8529" s="1">
        <v>1</v>
      </c>
      <c r="F8529" s="39">
        <f t="shared" ref="F8529:F8545" si="709">E8529+F8505</f>
        <v>809</v>
      </c>
      <c r="G8529" s="176">
        <f>SUM(C8529,C8505,C8481,C8457,C8433,C8409,C8385,C8361,C8337,C8313,C8289,C8265,C8241,C8217)/POBLA!$B$8*100000</f>
        <v>129.58517591764846</v>
      </c>
      <c r="H8529" s="527">
        <f t="shared" ref="H8529:H8545" si="710">SUM(C8529,C8505,C8481,C8457,C8433,C8409,C8385,C8361,C8337,C8313,C8289,C8265,C8241,C8217)/SUM(C8193,C8169,C8145,C8121,C8097,C8073,C8049,C8025,C8001,C7977,C7953,C7929,C7905,C7881)</f>
        <v>0.52073064656422152</v>
      </c>
      <c r="I8529" s="532"/>
      <c r="J8529" s="533"/>
    </row>
    <row r="8530" spans="1:10" s="393" customFormat="1" ht="16.5" thickTop="1" thickBot="1" x14ac:dyDescent="0.3">
      <c r="A8530" s="402" t="s">
        <v>41</v>
      </c>
      <c r="B8530" s="269">
        <v>44248</v>
      </c>
      <c r="C8530" s="1">
        <v>9</v>
      </c>
      <c r="D8530" s="39">
        <f t="shared" si="702"/>
        <v>1079</v>
      </c>
      <c r="E8530" s="1"/>
      <c r="F8530" s="39">
        <f t="shared" si="709"/>
        <v>18</v>
      </c>
      <c r="G8530" s="410">
        <f>SUM(C8530,C8506,C8482,C8458,C8434,C8410,C8386,C8362,C8338,C8314,C8290,C8266,C8242,C8218)/POBLA!$B$9*100000</f>
        <v>33.212545419395134</v>
      </c>
      <c r="H8530" s="418">
        <f t="shared" si="710"/>
        <v>2.7916666666666665</v>
      </c>
      <c r="I8530" s="429"/>
      <c r="J8530" s="560"/>
    </row>
    <row r="8531" spans="1:10" s="393" customFormat="1" ht="16.5" thickTop="1" thickBot="1" x14ac:dyDescent="0.3">
      <c r="A8531" s="402" t="s">
        <v>32</v>
      </c>
      <c r="B8531" s="269">
        <v>44248</v>
      </c>
      <c r="C8531" s="1">
        <v>73</v>
      </c>
      <c r="D8531" s="39">
        <f t="shared" si="702"/>
        <v>20115</v>
      </c>
      <c r="E8531" s="1"/>
      <c r="F8531" s="39">
        <f t="shared" si="709"/>
        <v>897</v>
      </c>
      <c r="G8531" s="410">
        <f>SUM(C8531,C8507,C8483,C8459,C8435,C8411,C8387,C8363,C8339,C8315,C8291,C8267,C8243,C8219)/POBLA!$B$10*100000</f>
        <v>77.184416271772179</v>
      </c>
      <c r="H8531" s="418">
        <f t="shared" si="710"/>
        <v>1.3934426229508197</v>
      </c>
      <c r="I8531" s="428"/>
      <c r="J8531" s="533"/>
    </row>
    <row r="8532" spans="1:10" s="393" customFormat="1" ht="16.5" thickTop="1" thickBot="1" x14ac:dyDescent="0.3">
      <c r="A8532" s="402" t="s">
        <v>33</v>
      </c>
      <c r="B8532" s="269">
        <v>44248</v>
      </c>
      <c r="C8532" s="1">
        <v>19</v>
      </c>
      <c r="D8532" s="39">
        <f t="shared" si="702"/>
        <v>18090</v>
      </c>
      <c r="E8532" s="1"/>
      <c r="F8532" s="39">
        <f t="shared" si="709"/>
        <v>282</v>
      </c>
      <c r="G8532" s="410">
        <f>SUM(C8532,C8508,C8484,C8460,C8436,C8412,C8388,C8364,C8340,C8316,C8292,C8268,C8244,C8220)/POBLA!$B$11*100000</f>
        <v>279.55405269677595</v>
      </c>
      <c r="H8532" s="418">
        <f t="shared" si="710"/>
        <v>0.77374517374517371</v>
      </c>
      <c r="I8532" s="429"/>
      <c r="J8532" s="533"/>
    </row>
    <row r="8533" spans="1:10" s="393" customFormat="1" ht="16.5" thickTop="1" thickBot="1" x14ac:dyDescent="0.3">
      <c r="A8533" s="402" t="s">
        <v>21</v>
      </c>
      <c r="B8533" s="269">
        <v>44248</v>
      </c>
      <c r="C8533" s="1">
        <v>25</v>
      </c>
      <c r="D8533" s="39">
        <f t="shared" si="702"/>
        <v>10019</v>
      </c>
      <c r="E8533" s="1"/>
      <c r="F8533" s="39">
        <f t="shared" si="709"/>
        <v>435</v>
      </c>
      <c r="G8533" s="410">
        <f>SUM(C8533,C8509,C8485,C8461,C8437,C8413,C8389,C8365,C8341,C8317,C8293,C8269,C8245,C8221)/POBLA!$B$12*100000</f>
        <v>84.872602158406835</v>
      </c>
      <c r="H8533" s="418">
        <f t="shared" si="710"/>
        <v>1.3522267206477734</v>
      </c>
      <c r="I8533" s="429"/>
      <c r="J8533" s="533"/>
    </row>
    <row r="8534" spans="1:10" s="393" customFormat="1" ht="16.5" thickTop="1" thickBot="1" x14ac:dyDescent="0.3">
      <c r="A8534" s="402" t="s">
        <v>17</v>
      </c>
      <c r="B8534" s="269">
        <v>44248</v>
      </c>
      <c r="C8534" s="1">
        <v>39</v>
      </c>
      <c r="D8534" s="39">
        <f t="shared" si="702"/>
        <v>66333</v>
      </c>
      <c r="E8534" s="1"/>
      <c r="F8534" s="39">
        <f t="shared" si="709"/>
        <v>1423</v>
      </c>
      <c r="G8534" s="410">
        <f>SUM(C8534,C8510,C8486,C8462,C8438,C8414,C8390,C8366,C8342,C8318,C8294,C8270,C8246,C8222)/POBLA!$B$13*100000</f>
        <v>80.63956976151789</v>
      </c>
      <c r="H8534" s="418">
        <f t="shared" si="710"/>
        <v>1.0203432930705658</v>
      </c>
      <c r="I8534" s="429"/>
      <c r="J8534" s="559"/>
    </row>
    <row r="8535" spans="1:10" s="393" customFormat="1" ht="16.5" thickTop="1" thickBot="1" x14ac:dyDescent="0.3">
      <c r="A8535" s="402" t="s">
        <v>23</v>
      </c>
      <c r="B8535" s="269">
        <v>44248</v>
      </c>
      <c r="C8535" s="1">
        <v>117</v>
      </c>
      <c r="D8535" s="39">
        <f t="shared" si="702"/>
        <v>7482</v>
      </c>
      <c r="E8535" s="1"/>
      <c r="F8535" s="39">
        <f t="shared" si="709"/>
        <v>126</v>
      </c>
      <c r="G8535" s="410">
        <f>SUM(C8535,C8511,C8487,C8463,C8439,C8415,C8391,C8367,C8343,C8319,C8295,C8271,C8247,C8223)/POBLA!$B$14*100000</f>
        <v>112.58279195810016</v>
      </c>
      <c r="H8535" s="418">
        <f t="shared" si="710"/>
        <v>0.54720616570327552</v>
      </c>
      <c r="I8535" s="427"/>
      <c r="J8535" s="560"/>
    </row>
    <row r="8536" spans="1:10" s="393" customFormat="1" ht="16.5" thickTop="1" thickBot="1" x14ac:dyDescent="0.3">
      <c r="A8536" s="402" t="s">
        <v>19</v>
      </c>
      <c r="B8536" s="269">
        <v>44248</v>
      </c>
      <c r="C8536" s="1">
        <v>116</v>
      </c>
      <c r="D8536" s="39">
        <f t="shared" si="702"/>
        <v>59982</v>
      </c>
      <c r="E8536" s="1">
        <v>5</v>
      </c>
      <c r="F8536" s="39">
        <f t="shared" si="709"/>
        <v>887</v>
      </c>
      <c r="G8536" s="410">
        <f>SUM(C8536,C8512,C8488,C8464,C8440,C8416,C8392,C8368,C8344,C8320,C8296,C8272,C8248,C8224)/POBLA!$B$15*100000</f>
        <v>501.01120837518465</v>
      </c>
      <c r="H8536" s="418">
        <f t="shared" si="710"/>
        <v>0.58677248677248672</v>
      </c>
      <c r="I8536" s="427"/>
      <c r="J8536" s="559"/>
    </row>
    <row r="8537" spans="1:10" s="393" customFormat="1" ht="16.5" thickTop="1" thickBot="1" x14ac:dyDescent="0.3">
      <c r="A8537" s="402" t="s">
        <v>18</v>
      </c>
      <c r="B8537" s="269">
        <v>44248</v>
      </c>
      <c r="C8537" s="1">
        <v>69</v>
      </c>
      <c r="D8537" s="39">
        <f t="shared" si="702"/>
        <v>51454</v>
      </c>
      <c r="E8537" s="1">
        <v>1</v>
      </c>
      <c r="F8537" s="39">
        <f t="shared" si="709"/>
        <v>1147</v>
      </c>
      <c r="G8537" s="410">
        <f>SUM(C8537,C8513,C8489,C8465,C8441,C8417,C8393,C8369,C8345,C8321,C8297,C8273,C8249,C8225)/POBLA!$B$16*100000</f>
        <v>277.81864876071751</v>
      </c>
      <c r="H8537" s="418">
        <f t="shared" si="710"/>
        <v>0.61106207708149451</v>
      </c>
      <c r="I8537" s="428"/>
      <c r="J8537" s="559"/>
    </row>
    <row r="8538" spans="1:10" s="393" customFormat="1" ht="16.5" thickTop="1" thickBot="1" x14ac:dyDescent="0.3">
      <c r="A8538" s="402" t="s">
        <v>34</v>
      </c>
      <c r="B8538" s="269">
        <v>44248</v>
      </c>
      <c r="C8538" s="1">
        <v>83</v>
      </c>
      <c r="D8538" s="39">
        <f t="shared" si="702"/>
        <v>25405</v>
      </c>
      <c r="E8538" s="1">
        <v>4</v>
      </c>
      <c r="F8538" s="39">
        <f t="shared" si="709"/>
        <v>1080</v>
      </c>
      <c r="G8538" s="410">
        <f>SUM(C8538,C8514,C8490,C8466,C8442,C8418,C8394,C8370,C8346,C8322,C8298,C8274,C8250,C8226)/POBLA!$B$17*100000</f>
        <v>78.138328008272978</v>
      </c>
      <c r="H8538" s="418">
        <f t="shared" si="710"/>
        <v>1.3094117647058823</v>
      </c>
      <c r="I8538" s="428"/>
      <c r="J8538" s="533"/>
    </row>
    <row r="8539" spans="1:10" s="393" customFormat="1" ht="16.5" thickTop="1" thickBot="1" x14ac:dyDescent="0.3">
      <c r="A8539" s="402" t="s">
        <v>35</v>
      </c>
      <c r="B8539" s="269">
        <v>44248</v>
      </c>
      <c r="C8539" s="1">
        <v>3</v>
      </c>
      <c r="D8539" s="39">
        <f t="shared" si="702"/>
        <v>14919</v>
      </c>
      <c r="E8539" s="1"/>
      <c r="F8539" s="39">
        <f t="shared" si="709"/>
        <v>206</v>
      </c>
      <c r="G8539" s="410">
        <f>SUM(C8539,C8515,C8491,C8467,C8443,C8419,C8395,C8371,C8347,C8323,C8299,C8275,C8251,C8227)/POBLA!$B$18*100000</f>
        <v>80.643406377485391</v>
      </c>
      <c r="H8539" s="418">
        <f t="shared" si="710"/>
        <v>0.84677419354838712</v>
      </c>
      <c r="I8539" s="429"/>
      <c r="J8539" s="533"/>
    </row>
    <row r="8540" spans="1:10" s="393" customFormat="1" ht="16.5" thickTop="1" thickBot="1" x14ac:dyDescent="0.3">
      <c r="A8540" s="402" t="s">
        <v>36</v>
      </c>
      <c r="B8540" s="269">
        <v>44248</v>
      </c>
      <c r="C8540" s="1">
        <v>2</v>
      </c>
      <c r="D8540" s="39">
        <f t="shared" si="702"/>
        <v>20519</v>
      </c>
      <c r="E8540" s="1"/>
      <c r="F8540" s="39">
        <f t="shared" si="709"/>
        <v>353</v>
      </c>
      <c r="G8540" s="410">
        <f>SUM(C8540,C8516,C8492,C8468,C8444,C8420,C8396,C8372,C8348,C8324,C8300,C8276,C8252,C8228)/POBLA!$B$19*100000</f>
        <v>277.97012952267039</v>
      </c>
      <c r="H8540" s="418">
        <f t="shared" si="710"/>
        <v>2.1638591117917305</v>
      </c>
      <c r="I8540" s="429"/>
      <c r="J8540" s="533"/>
    </row>
    <row r="8541" spans="1:10" s="393" customFormat="1" ht="16.5" thickTop="1" thickBot="1" x14ac:dyDescent="0.3">
      <c r="A8541" s="402" t="s">
        <v>37</v>
      </c>
      <c r="B8541" s="269">
        <v>44248</v>
      </c>
      <c r="C8541" s="1">
        <v>81</v>
      </c>
      <c r="D8541" s="39">
        <f t="shared" si="702"/>
        <v>35189</v>
      </c>
      <c r="E8541" s="1">
        <v>1</v>
      </c>
      <c r="F8541" s="39">
        <f t="shared" si="709"/>
        <v>562</v>
      </c>
      <c r="G8541" s="410">
        <f>SUM(C8541,C8517,C8493,C8469,C8445,C8421,C8397,C8373,C8349,C8325,C8301,C8277,C8253,C8229)/POBLA!$B$20*100000</f>
        <v>381.46229949302432</v>
      </c>
      <c r="H8541" s="418">
        <f t="shared" si="710"/>
        <v>0.60233160621761661</v>
      </c>
      <c r="I8541" s="428"/>
      <c r="J8541" s="533"/>
    </row>
    <row r="8542" spans="1:10" s="393" customFormat="1" ht="16.5" thickTop="1" thickBot="1" x14ac:dyDescent="0.3">
      <c r="A8542" s="402" t="s">
        <v>22</v>
      </c>
      <c r="B8542" s="269">
        <v>44248</v>
      </c>
      <c r="C8542" s="1">
        <v>206</v>
      </c>
      <c r="D8542" s="39">
        <f t="shared" si="702"/>
        <v>214058</v>
      </c>
      <c r="E8542" s="1">
        <v>6</v>
      </c>
      <c r="F8542" s="39">
        <f t="shared" si="709"/>
        <v>3842</v>
      </c>
      <c r="G8542" s="410">
        <f>SUM(C8542,C8518,C8494,C8470,C8446,C8422,C8398,C8374,C8350,C8326,C8302,C8278,C8254,C8230)/POBLA!$B$21*100000</f>
        <v>137.22925287678098</v>
      </c>
      <c r="H8542" s="418">
        <f t="shared" si="710"/>
        <v>0.64023746701846962</v>
      </c>
      <c r="I8542" s="427"/>
      <c r="J8542" s="559"/>
    </row>
    <row r="8543" spans="1:10" s="393" customFormat="1" ht="16.5" thickTop="1" thickBot="1" x14ac:dyDescent="0.3">
      <c r="A8543" s="402" t="s">
        <v>38</v>
      </c>
      <c r="B8543" s="269">
        <v>44248</v>
      </c>
      <c r="C8543" s="1">
        <v>41</v>
      </c>
      <c r="D8543" s="39">
        <f t="shared" si="702"/>
        <v>22181</v>
      </c>
      <c r="E8543" s="1"/>
      <c r="F8543" s="39">
        <f t="shared" si="709"/>
        <v>262</v>
      </c>
      <c r="G8543" s="410">
        <f>SUM(C8543,C8519,C8495,C8471,C8447,C8423,C8399,C8375,C8351,C8327,C8303,C8279,C8255,C8231)/POBLA!$B$22*100000</f>
        <v>76.458147852476671</v>
      </c>
      <c r="H8543" s="418">
        <f t="shared" si="710"/>
        <v>0.71578947368421053</v>
      </c>
      <c r="I8543" s="429"/>
      <c r="J8543" s="533"/>
    </row>
    <row r="8544" spans="1:10" s="393" customFormat="1" ht="16.5" thickTop="1" thickBot="1" x14ac:dyDescent="0.3">
      <c r="A8544" s="402" t="s">
        <v>39</v>
      </c>
      <c r="B8544" s="269">
        <v>44248</v>
      </c>
      <c r="C8544" s="1">
        <v>40</v>
      </c>
      <c r="D8544" s="39">
        <f t="shared" si="702"/>
        <v>22706</v>
      </c>
      <c r="E8544" s="1"/>
      <c r="F8544" s="39">
        <f t="shared" si="709"/>
        <v>347</v>
      </c>
      <c r="G8544" s="410">
        <f>SUM(C8544,C8520,C8496,C8472,C8448,C8424,C8400,C8376,C8352,C8328,C8304,C8280,C8256,C8232)/POBLA!$B$23*100000</f>
        <v>352.88129842221343</v>
      </c>
      <c r="H8544" s="418">
        <f t="shared" si="710"/>
        <v>0.90173410404624277</v>
      </c>
      <c r="I8544" s="430"/>
      <c r="J8544" s="561"/>
    </row>
    <row r="8545" spans="1:13" s="393" customFormat="1" ht="15.75" thickBot="1" x14ac:dyDescent="0.3">
      <c r="A8545" s="403" t="s">
        <v>40</v>
      </c>
      <c r="B8545" s="270">
        <v>44248</v>
      </c>
      <c r="C8545" s="234">
        <v>73</v>
      </c>
      <c r="D8545" s="67">
        <f t="shared" si="702"/>
        <v>78766</v>
      </c>
      <c r="E8545" s="234"/>
      <c r="F8545" s="67">
        <f t="shared" si="709"/>
        <v>1464</v>
      </c>
      <c r="G8545" s="410">
        <f>SUM(C8545,C8521,C8497,C8473,C8449,C8425,C8401,C8377,C8353,C8329,C8305,C8281,C8257,C8233)/POBLA!$B$24*100000</f>
        <v>85.91714188602289</v>
      </c>
      <c r="H8545" s="422">
        <f t="shared" si="710"/>
        <v>0.71865745310957552</v>
      </c>
      <c r="I8545" s="431"/>
      <c r="J8545" s="562"/>
      <c r="K8545" s="421"/>
      <c r="L8545" s="421"/>
      <c r="M8545" s="421"/>
    </row>
    <row r="8546" spans="1:13" s="393" customFormat="1" ht="15.75" thickBot="1" x14ac:dyDescent="0.3">
      <c r="A8546" s="397" t="s">
        <v>16</v>
      </c>
      <c r="B8546" s="267">
        <v>44249</v>
      </c>
      <c r="C8546" s="43">
        <v>1999</v>
      </c>
      <c r="D8546" s="175">
        <f t="shared" si="702"/>
        <v>863871</v>
      </c>
      <c r="E8546" s="43">
        <v>76</v>
      </c>
      <c r="F8546" s="175">
        <f t="shared" ref="F8546:F8552" si="711">E8546+F8522</f>
        <v>26014</v>
      </c>
      <c r="G8546" s="410">
        <f>SUM(C8546,C8522,C8498,C8474,C8450,C8426,C8402,C8378,C8354,C8330,C8306,C8282,C8258,C8234)/POBLA!$B$1*100000</f>
        <v>201.21268052061151</v>
      </c>
      <c r="H8546" s="416">
        <f t="shared" ref="H8546:H8552" si="712">SUM(C8546,C8522,C8498,C8474,C8450,C8426,C8402,C8378,C8354,C8330,C8306,C8282,C8258,C8234)/SUM(C8210,C8186,C8162,C8138,C8114,C8090,C8066,C8042,C8018,C7994,C7970,C7946,C7922,C7898)</f>
        <v>0.74780711047078263</v>
      </c>
      <c r="I8546" s="423"/>
      <c r="J8546" s="530"/>
      <c r="K8546" s="423"/>
      <c r="L8546" s="423"/>
      <c r="M8546" s="421"/>
    </row>
    <row r="8547" spans="1:13" s="393" customFormat="1" ht="15.75" thickBot="1" x14ac:dyDescent="0.3">
      <c r="A8547" s="402" t="s">
        <v>43</v>
      </c>
      <c r="B8547" s="269">
        <v>44249</v>
      </c>
      <c r="C8547" s="1">
        <v>825</v>
      </c>
      <c r="D8547" s="39">
        <f t="shared" ref="D8547:D8610" si="713">C8547+D8523</f>
        <v>227550</v>
      </c>
      <c r="E8547" s="1">
        <v>22</v>
      </c>
      <c r="F8547" s="39">
        <f t="shared" si="711"/>
        <v>6430</v>
      </c>
      <c r="G8547" s="410">
        <f>SUM(C8547,C8523,C8499,C8475,C8451,C8427,C8403,C8379,C8355,C8331,C8307,C8283,C8259,C8235)/POBLA!$B$2*100000</f>
        <v>318.11203239904722</v>
      </c>
      <c r="H8547" s="418">
        <f t="shared" si="712"/>
        <v>0.69592431894160323</v>
      </c>
      <c r="I8547" s="423"/>
      <c r="J8547" s="530"/>
      <c r="K8547" s="423"/>
      <c r="L8547" s="423"/>
      <c r="M8547" s="421"/>
    </row>
    <row r="8548" spans="1:13" s="393" customFormat="1" ht="15.75" thickBot="1" x14ac:dyDescent="0.3">
      <c r="A8548" s="402" t="s">
        <v>28</v>
      </c>
      <c r="B8548" s="269">
        <v>44249</v>
      </c>
      <c r="C8548" s="1">
        <v>85</v>
      </c>
      <c r="D8548" s="39">
        <f t="shared" si="713"/>
        <v>7376</v>
      </c>
      <c r="E8548" s="1"/>
      <c r="F8548" s="39">
        <f t="shared" si="711"/>
        <v>17</v>
      </c>
      <c r="G8548" s="410">
        <f>SUM(C8548,C8524,C8500,C8476,C8452,C8428,C8404,C8380,C8356,C8332,C8308,C8284,C8260,C8236)/POBLA!$B$3*100000</f>
        <v>253.22671493700622</v>
      </c>
      <c r="H8548" s="418">
        <f t="shared" si="712"/>
        <v>0.67306461932181705</v>
      </c>
      <c r="I8548" s="421"/>
      <c r="J8548" s="534"/>
      <c r="K8548" s="421"/>
      <c r="L8548" s="421"/>
      <c r="M8548" s="421"/>
    </row>
    <row r="8549" spans="1:13" s="393" customFormat="1" ht="15.75" thickBot="1" x14ac:dyDescent="0.3">
      <c r="A8549" s="402" t="s">
        <v>15</v>
      </c>
      <c r="B8549" s="269">
        <v>44249</v>
      </c>
      <c r="C8549" s="1">
        <v>124</v>
      </c>
      <c r="D8549" s="39">
        <f t="shared" si="713"/>
        <v>33330</v>
      </c>
      <c r="E8549" s="1">
        <v>3</v>
      </c>
      <c r="F8549" s="39">
        <f t="shared" si="711"/>
        <v>855</v>
      </c>
      <c r="G8549" s="410">
        <f>SUM(C8549,C8525,C8501,C8477,C8453,C8429,C8405,C8381,C8357,C8333,C8309,C8285,C8261,C8237)/POBLA!$B$4*100000</f>
        <v>132.83067990213698</v>
      </c>
      <c r="H8549" s="418">
        <f t="shared" si="712"/>
        <v>0.86956521739130432</v>
      </c>
      <c r="I8549" s="423"/>
      <c r="J8549" s="530"/>
      <c r="K8549" s="423"/>
      <c r="L8549" s="423"/>
      <c r="M8549" s="421"/>
    </row>
    <row r="8550" spans="1:13" s="393" customFormat="1" ht="15.75" thickBot="1" x14ac:dyDescent="0.3">
      <c r="A8550" s="402" t="s">
        <v>29</v>
      </c>
      <c r="B8550" s="269">
        <v>44249</v>
      </c>
      <c r="C8550" s="1">
        <v>141</v>
      </c>
      <c r="D8550" s="39">
        <f t="shared" si="713"/>
        <v>46232</v>
      </c>
      <c r="E8550" s="1">
        <v>6</v>
      </c>
      <c r="F8550" s="39">
        <f t="shared" si="711"/>
        <v>753</v>
      </c>
      <c r="G8550" s="410">
        <f>SUM(C8550,C8526,C8502,C8478,C8454,C8430,C8406,C8382,C8358,C8334,C8310,C8286,C8262,C8238)/POBLA!$B$5*100000</f>
        <v>336.35221019912956</v>
      </c>
      <c r="H8550" s="418">
        <f t="shared" si="712"/>
        <v>0.57994428969359335</v>
      </c>
      <c r="I8550" s="423"/>
      <c r="J8550" s="530"/>
      <c r="K8550" s="423"/>
      <c r="L8550" s="423"/>
      <c r="M8550" s="421"/>
    </row>
    <row r="8551" spans="1:13" s="393" customFormat="1" ht="15.75" thickBot="1" x14ac:dyDescent="0.3">
      <c r="A8551" s="402" t="s">
        <v>30</v>
      </c>
      <c r="B8551" s="269">
        <v>44249</v>
      </c>
      <c r="C8551" s="1">
        <v>142</v>
      </c>
      <c r="D8551" s="39">
        <f t="shared" si="713"/>
        <v>21102</v>
      </c>
      <c r="E8551" s="1"/>
      <c r="F8551" s="39">
        <f t="shared" si="711"/>
        <v>292</v>
      </c>
      <c r="G8551" s="410">
        <f>SUM(C8551,C8527,C8503,C8479,C8455,C8431,C8407,C8383,C8359,C8335,C8311,C8287,C8263,C8239)/POBLA!$B$7*100000</f>
        <v>60.817189432115839</v>
      </c>
      <c r="H8551" s="418">
        <f t="shared" si="712"/>
        <v>0.97236394557823125</v>
      </c>
      <c r="I8551" s="421"/>
      <c r="J8551" s="534"/>
      <c r="K8551" s="421"/>
      <c r="L8551" s="421"/>
      <c r="M8551" s="421"/>
    </row>
    <row r="8552" spans="1:13" s="393" customFormat="1" ht="15.75" thickBot="1" x14ac:dyDescent="0.3">
      <c r="A8552" s="402" t="s">
        <v>20</v>
      </c>
      <c r="B8552" s="269">
        <v>44249</v>
      </c>
      <c r="C8552" s="1">
        <v>402</v>
      </c>
      <c r="D8552" s="39">
        <f t="shared" si="713"/>
        <v>155976</v>
      </c>
      <c r="E8552" s="1">
        <v>4</v>
      </c>
      <c r="F8552" s="39">
        <f t="shared" si="711"/>
        <v>2803</v>
      </c>
      <c r="G8552" s="410">
        <f>SUM(C8552,C8528,C8504,C8480,C8456,C8432,C8408,C8384,C8360,C8336,C8312,C8288,C8264,C8240)/POBLA!$B$6*100000</f>
        <v>669.78883851816693</v>
      </c>
      <c r="H8552" s="418">
        <f t="shared" si="712"/>
        <v>1.1297215951843491</v>
      </c>
      <c r="I8552" s="423"/>
      <c r="J8552" s="530"/>
      <c r="K8552" s="423"/>
      <c r="L8552" s="423"/>
      <c r="M8552" s="421"/>
    </row>
    <row r="8553" spans="1:13" ht="15.75" thickBot="1" x14ac:dyDescent="0.3">
      <c r="A8553" s="402" t="s">
        <v>31</v>
      </c>
      <c r="B8553" s="269">
        <v>44249</v>
      </c>
      <c r="C8553" s="1">
        <v>110</v>
      </c>
      <c r="D8553" s="39">
        <f t="shared" si="713"/>
        <v>44428</v>
      </c>
      <c r="E8553" s="1">
        <v>10</v>
      </c>
      <c r="F8553" s="39">
        <f t="shared" ref="F8553:F8569" si="714">E8553+F8529</f>
        <v>819</v>
      </c>
      <c r="G8553" s="176">
        <f>SUM(C8553,C8529,C8505,C8481,C8457,C8433,C8409,C8385,C8361,C8337,C8313,C8289,C8265,C8241)/POBLA!$B$8*100000</f>
        <v>132.47126001380991</v>
      </c>
      <c r="H8553" s="527">
        <f t="shared" ref="H8553:H8569" si="715">SUM(C8553,C8529,C8505,C8481,C8457,C8433,C8409,C8385,C8361,C8337,C8313,C8289,C8265,C8241)/SUM(C8217,C8193,C8169,C8145,C8121,C8097,C8073,C8049,C8025,C8001,C7977,C7953,C7929,C7905)</f>
        <v>0.57071806030463168</v>
      </c>
      <c r="I8553" s="530"/>
      <c r="J8553" s="530"/>
      <c r="K8553" s="530"/>
      <c r="L8553" s="530"/>
      <c r="M8553" s="534"/>
    </row>
    <row r="8554" spans="1:13" s="393" customFormat="1" ht="15.75" thickBot="1" x14ac:dyDescent="0.3">
      <c r="A8554" s="402" t="s">
        <v>41</v>
      </c>
      <c r="B8554" s="269">
        <v>44249</v>
      </c>
      <c r="C8554" s="1">
        <v>57</v>
      </c>
      <c r="D8554" s="39">
        <f t="shared" si="713"/>
        <v>1136</v>
      </c>
      <c r="E8554" s="1"/>
      <c r="F8554" s="39">
        <f t="shared" si="714"/>
        <v>18</v>
      </c>
      <c r="G8554" s="410">
        <f>SUM(C8554,C8530,C8506,C8482,C8458,C8434,C8410,C8386,C8362,C8338,C8314,C8290,C8266,C8242)/POBLA!$B$9*100000</f>
        <v>41.474372638150143</v>
      </c>
      <c r="H8554" s="418">
        <f t="shared" si="715"/>
        <v>3.2179487179487181</v>
      </c>
      <c r="I8554" s="421"/>
      <c r="J8554" s="534"/>
      <c r="K8554" s="421"/>
      <c r="L8554" s="421"/>
      <c r="M8554" s="421"/>
    </row>
    <row r="8555" spans="1:13" s="393" customFormat="1" ht="15.75" thickBot="1" x14ac:dyDescent="0.3">
      <c r="A8555" s="402" t="s">
        <v>32</v>
      </c>
      <c r="B8555" s="269">
        <v>44249</v>
      </c>
      <c r="C8555" s="1">
        <v>48</v>
      </c>
      <c r="D8555" s="39">
        <f t="shared" si="713"/>
        <v>20163</v>
      </c>
      <c r="E8555" s="1">
        <v>1</v>
      </c>
      <c r="F8555" s="39">
        <f t="shared" si="714"/>
        <v>898</v>
      </c>
      <c r="G8555" s="410">
        <f>SUM(C8555,C8531,C8507,C8483,C8459,C8435,C8411,C8387,C8363,C8339,C8315,C8291,C8267,C8243)/POBLA!$B$10*100000</f>
        <v>79.908572140187658</v>
      </c>
      <c r="H8555" s="418">
        <f t="shared" si="715"/>
        <v>1.378076062639821</v>
      </c>
      <c r="I8555" s="423"/>
      <c r="J8555" s="530"/>
      <c r="K8555" s="423"/>
      <c r="L8555" s="423"/>
      <c r="M8555" s="421"/>
    </row>
    <row r="8556" spans="1:13" s="393" customFormat="1" ht="15.75" thickBot="1" x14ac:dyDescent="0.3">
      <c r="A8556" s="402" t="s">
        <v>33</v>
      </c>
      <c r="B8556" s="269">
        <v>44249</v>
      </c>
      <c r="C8556" s="1">
        <v>71</v>
      </c>
      <c r="D8556" s="39">
        <f t="shared" si="713"/>
        <v>18161</v>
      </c>
      <c r="E8556" s="1">
        <v>2</v>
      </c>
      <c r="F8556" s="39">
        <f t="shared" si="714"/>
        <v>284</v>
      </c>
      <c r="G8556" s="410">
        <f>SUM(C8556,C8532,C8508,C8484,C8460,C8436,C8412,C8388,C8364,C8340,C8316,C8292,C8268,C8244)/POBLA!$B$11*100000</f>
        <v>270.62617875835593</v>
      </c>
      <c r="H8556" s="418">
        <f t="shared" si="715"/>
        <v>0.74787972243639167</v>
      </c>
      <c r="I8556" s="423"/>
      <c r="J8556" s="530"/>
      <c r="K8556" s="423"/>
      <c r="L8556" s="423"/>
      <c r="M8556" s="421"/>
    </row>
    <row r="8557" spans="1:13" s="393" customFormat="1" ht="15.75" thickBot="1" x14ac:dyDescent="0.3">
      <c r="A8557" s="402" t="s">
        <v>21</v>
      </c>
      <c r="B8557" s="269">
        <v>44249</v>
      </c>
      <c r="C8557" s="1">
        <v>28</v>
      </c>
      <c r="D8557" s="39">
        <f t="shared" si="713"/>
        <v>10047</v>
      </c>
      <c r="E8557" s="1"/>
      <c r="F8557" s="39">
        <f t="shared" si="714"/>
        <v>435</v>
      </c>
      <c r="G8557" s="410">
        <f>SUM(C8557,C8533,C8509,C8485,C8461,C8437,C8413,C8389,C8365,C8341,C8317,C8293,C8269,C8245)/POBLA!$B$12*100000</f>
        <v>89.446574729817982</v>
      </c>
      <c r="H8557" s="418">
        <f t="shared" si="715"/>
        <v>1.3858267716535433</v>
      </c>
      <c r="I8557" s="421"/>
      <c r="J8557" s="534"/>
      <c r="K8557" s="421"/>
      <c r="L8557" s="421"/>
      <c r="M8557" s="421"/>
    </row>
    <row r="8558" spans="1:13" s="393" customFormat="1" ht="15.75" thickBot="1" x14ac:dyDescent="0.3">
      <c r="A8558" s="402" t="s">
        <v>17</v>
      </c>
      <c r="B8558" s="269">
        <v>44249</v>
      </c>
      <c r="C8558" s="1">
        <v>78</v>
      </c>
      <c r="D8558" s="39">
        <f t="shared" si="713"/>
        <v>66411</v>
      </c>
      <c r="E8558" s="1">
        <v>2</v>
      </c>
      <c r="F8558" s="39">
        <f t="shared" si="714"/>
        <v>1425</v>
      </c>
      <c r="G8558" s="410">
        <f>SUM(C8558,C8534,C8510,C8486,C8462,C8438,C8414,C8390,C8366,C8342,C8318,C8294,C8270,C8246)/POBLA!$B$13*100000</f>
        <v>78.629860857804061</v>
      </c>
      <c r="H8558" s="418">
        <f t="shared" si="715"/>
        <v>0.95660146699266502</v>
      </c>
      <c r="I8558" s="423"/>
      <c r="J8558" s="530"/>
      <c r="K8558" s="423"/>
      <c r="L8558" s="423"/>
      <c r="M8558" s="421"/>
    </row>
    <row r="8559" spans="1:13" s="393" customFormat="1" ht="15.75" thickBot="1" x14ac:dyDescent="0.3">
      <c r="A8559" s="402" t="s">
        <v>23</v>
      </c>
      <c r="B8559" s="269">
        <v>44249</v>
      </c>
      <c r="C8559" s="1">
        <v>127</v>
      </c>
      <c r="D8559" s="39">
        <f t="shared" si="713"/>
        <v>7609</v>
      </c>
      <c r="E8559" s="1">
        <v>5</v>
      </c>
      <c r="F8559" s="39">
        <f t="shared" si="714"/>
        <v>131</v>
      </c>
      <c r="G8559" s="410">
        <f>SUM(C8559,C8535,C8511,C8487,C8463,C8439,C8415,C8391,C8367,C8343,C8319,C8295,C8271,C8247)/POBLA!$B$14*100000</f>
        <v>118.21193155600517</v>
      </c>
      <c r="H8559" s="418">
        <f t="shared" si="715"/>
        <v>0.5949720670391061</v>
      </c>
      <c r="I8559" s="423"/>
      <c r="J8559" s="530"/>
      <c r="K8559" s="423"/>
      <c r="L8559" s="423"/>
      <c r="M8559" s="421"/>
    </row>
    <row r="8560" spans="1:13" s="393" customFormat="1" ht="15.75" thickBot="1" x14ac:dyDescent="0.3">
      <c r="A8560" s="402" t="s">
        <v>19</v>
      </c>
      <c r="B8560" s="269">
        <v>44249</v>
      </c>
      <c r="C8560" s="1">
        <v>210</v>
      </c>
      <c r="D8560" s="39">
        <f t="shared" si="713"/>
        <v>60192</v>
      </c>
      <c r="E8560" s="1">
        <v>4</v>
      </c>
      <c r="F8560" s="39">
        <f t="shared" si="714"/>
        <v>891</v>
      </c>
      <c r="G8560" s="410">
        <f>SUM(C8560,C8536,C8512,C8488,C8464,C8440,C8416,C8392,C8368,C8344,C8320,C8296,C8272,C8248)/POBLA!$B$15*100000</f>
        <v>491.67466045836426</v>
      </c>
      <c r="H8560" s="418">
        <f t="shared" si="715"/>
        <v>0.60575139146567714</v>
      </c>
      <c r="I8560" s="423"/>
      <c r="J8560" s="530"/>
      <c r="K8560" s="423"/>
      <c r="L8560" s="423"/>
      <c r="M8560" s="421"/>
    </row>
    <row r="8561" spans="1:13" s="393" customFormat="1" ht="15.75" thickBot="1" x14ac:dyDescent="0.3">
      <c r="A8561" s="402" t="s">
        <v>18</v>
      </c>
      <c r="B8561" s="269">
        <v>44249</v>
      </c>
      <c r="C8561" s="1">
        <v>119</v>
      </c>
      <c r="D8561" s="39">
        <f t="shared" si="713"/>
        <v>51573</v>
      </c>
      <c r="E8561" s="1">
        <v>10</v>
      </c>
      <c r="F8561" s="39">
        <f t="shared" si="714"/>
        <v>1157</v>
      </c>
      <c r="G8561" s="410">
        <f>SUM(C8561,C8537,C8513,C8489,C8465,C8441,C8417,C8393,C8369,C8345,C8321,C8297,C8273,C8249)/POBLA!$B$16*100000</f>
        <v>265.24524819090163</v>
      </c>
      <c r="H8561" s="418">
        <f t="shared" si="715"/>
        <v>0.5907059874888293</v>
      </c>
      <c r="I8561" s="423"/>
      <c r="J8561" s="530"/>
      <c r="K8561" s="423"/>
      <c r="L8561" s="423"/>
      <c r="M8561" s="421"/>
    </row>
    <row r="8562" spans="1:13" s="393" customFormat="1" ht="15.75" thickBot="1" x14ac:dyDescent="0.3">
      <c r="A8562" s="402" t="s">
        <v>34</v>
      </c>
      <c r="B8562" s="269">
        <v>44249</v>
      </c>
      <c r="C8562" s="1">
        <v>74</v>
      </c>
      <c r="D8562" s="39">
        <f t="shared" si="713"/>
        <v>25479</v>
      </c>
      <c r="E8562" s="1"/>
      <c r="F8562" s="39">
        <f t="shared" si="714"/>
        <v>1080</v>
      </c>
      <c r="G8562" s="410">
        <f>SUM(C8562,C8538,C8514,C8490,C8466,C8442,C8418,C8394,C8370,C8346,C8322,C8298,C8274,C8250)/POBLA!$B$17*100000</f>
        <v>81.508175038279362</v>
      </c>
      <c r="H8562" s="418">
        <f t="shared" si="715"/>
        <v>1.3594847775175645</v>
      </c>
      <c r="I8562" s="421"/>
      <c r="J8562" s="534"/>
      <c r="K8562" s="421"/>
      <c r="L8562" s="421"/>
      <c r="M8562" s="421"/>
    </row>
    <row r="8563" spans="1:13" s="393" customFormat="1" ht="15.75" thickBot="1" x14ac:dyDescent="0.3">
      <c r="A8563" s="402" t="s">
        <v>35</v>
      </c>
      <c r="B8563" s="269">
        <v>44249</v>
      </c>
      <c r="C8563" s="1">
        <v>71</v>
      </c>
      <c r="D8563" s="39">
        <f t="shared" si="713"/>
        <v>14990</v>
      </c>
      <c r="E8563" s="1"/>
      <c r="F8563" s="39">
        <f t="shared" si="714"/>
        <v>206</v>
      </c>
      <c r="G8563" s="410">
        <f>SUM(C8563,C8539,C8515,C8491,C8467,C8443,C8419,C8395,C8371,C8347,C8323,C8299,C8275,C8251)/POBLA!$B$18*100000</f>
        <v>83.587530737298337</v>
      </c>
      <c r="H8563" s="418">
        <f t="shared" si="715"/>
        <v>0.9171348314606742</v>
      </c>
      <c r="I8563" s="421"/>
      <c r="J8563" s="534"/>
      <c r="K8563" s="421"/>
      <c r="L8563" s="421"/>
      <c r="M8563" s="421"/>
    </row>
    <row r="8564" spans="1:13" s="393" customFormat="1" ht="15.75" thickBot="1" x14ac:dyDescent="0.3">
      <c r="A8564" s="402" t="s">
        <v>36</v>
      </c>
      <c r="B8564" s="269">
        <v>44249</v>
      </c>
      <c r="C8564" s="1">
        <v>23</v>
      </c>
      <c r="D8564" s="39">
        <f t="shared" si="713"/>
        <v>20542</v>
      </c>
      <c r="E8564" s="1"/>
      <c r="F8564" s="39">
        <f t="shared" si="714"/>
        <v>353</v>
      </c>
      <c r="G8564" s="410">
        <f>SUM(C8564,C8540,C8516,C8492,C8468,C8444,C8420,C8396,C8372,C8348,C8324,C8300,C8276,C8252)/POBLA!$B$19*100000</f>
        <v>281.31442690546265</v>
      </c>
      <c r="H8564" s="418">
        <f t="shared" si="715"/>
        <v>3.9832869080779942</v>
      </c>
      <c r="I8564" s="421"/>
      <c r="J8564" s="534"/>
      <c r="K8564" s="421"/>
      <c r="L8564" s="421"/>
      <c r="M8564" s="421"/>
    </row>
    <row r="8565" spans="1:13" s="393" customFormat="1" ht="15.75" thickBot="1" x14ac:dyDescent="0.3">
      <c r="A8565" s="402" t="s">
        <v>37</v>
      </c>
      <c r="B8565" s="269">
        <v>44249</v>
      </c>
      <c r="C8565" s="1">
        <v>124</v>
      </c>
      <c r="D8565" s="39">
        <f t="shared" si="713"/>
        <v>35313</v>
      </c>
      <c r="E8565" s="1">
        <v>5</v>
      </c>
      <c r="F8565" s="39">
        <f t="shared" si="714"/>
        <v>567</v>
      </c>
      <c r="G8565" s="410">
        <f>SUM(C8565,C8541,C8517,C8493,C8469,C8445,C8421,C8397,C8373,C8349,C8325,C8301,C8277,C8253)/POBLA!$B$20*100000</f>
        <v>379.00125239952092</v>
      </c>
      <c r="H8565" s="418">
        <f t="shared" si="715"/>
        <v>0.6073619631901841</v>
      </c>
      <c r="I8565" s="423"/>
      <c r="J8565" s="530"/>
      <c r="K8565" s="423"/>
      <c r="L8565" s="423"/>
      <c r="M8565" s="421"/>
    </row>
    <row r="8566" spans="1:13" s="393" customFormat="1" ht="15.75" thickBot="1" x14ac:dyDescent="0.3">
      <c r="A8566" s="402" t="s">
        <v>22</v>
      </c>
      <c r="B8566" s="269">
        <v>44249</v>
      </c>
      <c r="C8566" s="1">
        <v>330</v>
      </c>
      <c r="D8566" s="39">
        <f t="shared" si="713"/>
        <v>214388</v>
      </c>
      <c r="E8566" s="1">
        <v>9</v>
      </c>
      <c r="F8566" s="39">
        <f t="shared" si="714"/>
        <v>3851</v>
      </c>
      <c r="G8566" s="410">
        <f>SUM(C8566,C8542,C8518,C8494,C8470,C8446,C8422,C8398,C8374,C8350,C8326,C8302,C8278,C8254)/POBLA!$B$21*100000</f>
        <v>138.16240048546297</v>
      </c>
      <c r="H8566" s="418">
        <f t="shared" si="715"/>
        <v>0.66071670047329278</v>
      </c>
      <c r="I8566" s="423"/>
      <c r="J8566" s="530"/>
      <c r="K8566" s="423"/>
      <c r="L8566" s="423"/>
      <c r="M8566" s="421"/>
    </row>
    <row r="8567" spans="1:13" s="393" customFormat="1" ht="15.75" thickBot="1" x14ac:dyDescent="0.3">
      <c r="A8567" s="402" t="s">
        <v>38</v>
      </c>
      <c r="B8567" s="269">
        <v>44249</v>
      </c>
      <c r="C8567" s="1">
        <v>36</v>
      </c>
      <c r="D8567" s="39">
        <f t="shared" si="713"/>
        <v>22217</v>
      </c>
      <c r="E8567" s="1">
        <v>2</v>
      </c>
      <c r="F8567" s="39">
        <f t="shared" si="714"/>
        <v>264</v>
      </c>
      <c r="G8567" s="410">
        <f>SUM(C8567,C8543,C8519,C8495,C8471,C8447,C8423,C8399,C8375,C8351,C8327,C8303,C8279,C8255)/POBLA!$B$22*100000</f>
        <v>74.107162022788216</v>
      </c>
      <c r="H8567" s="418">
        <f t="shared" si="715"/>
        <v>0.71078431372549022</v>
      </c>
      <c r="I8567" s="423"/>
      <c r="J8567" s="530"/>
      <c r="K8567" s="423"/>
      <c r="L8567" s="423"/>
      <c r="M8567" s="421"/>
    </row>
    <row r="8568" spans="1:13" s="393" customFormat="1" ht="15.75" thickBot="1" x14ac:dyDescent="0.3">
      <c r="A8568" s="402" t="s">
        <v>39</v>
      </c>
      <c r="B8568" s="269">
        <v>44249</v>
      </c>
      <c r="C8568" s="1">
        <v>42</v>
      </c>
      <c r="D8568" s="39">
        <f t="shared" si="713"/>
        <v>22748</v>
      </c>
      <c r="E8568" s="1">
        <v>2</v>
      </c>
      <c r="F8568" s="39">
        <f t="shared" si="714"/>
        <v>349</v>
      </c>
      <c r="G8568" s="410">
        <f>SUM(C8568,C8544,C8520,C8496,C8472,C8448,C8424,C8400,C8376,C8352,C8328,C8304,C8280,C8256)/POBLA!$B$23*100000</f>
        <v>324.0400384550133</v>
      </c>
      <c r="H8568" s="418">
        <f t="shared" si="715"/>
        <v>0.8748091603053435</v>
      </c>
      <c r="I8568" s="423"/>
      <c r="J8568" s="530"/>
      <c r="K8568" s="423"/>
      <c r="L8568" s="423"/>
      <c r="M8568" s="421"/>
    </row>
    <row r="8569" spans="1:13" s="393" customFormat="1" ht="15.75" thickBot="1" x14ac:dyDescent="0.3">
      <c r="A8569" s="404" t="s">
        <v>40</v>
      </c>
      <c r="B8569" s="271">
        <v>44249</v>
      </c>
      <c r="C8569" s="44">
        <v>151</v>
      </c>
      <c r="D8569" s="177">
        <f t="shared" si="713"/>
        <v>78917</v>
      </c>
      <c r="E8569" s="44"/>
      <c r="F8569" s="177">
        <f t="shared" si="714"/>
        <v>1464</v>
      </c>
      <c r="G8569" s="410">
        <f>SUM(C8569,C8545,C8521,C8497,C8473,C8449,C8425,C8401,C8377,C8353,C8329,C8305,C8281,C8257)/POBLA!$B$24*100000</f>
        <v>88.513539030930175</v>
      </c>
      <c r="H8569" s="419">
        <f t="shared" si="715"/>
        <v>0.75225677031093274</v>
      </c>
      <c r="I8569" s="432"/>
      <c r="J8569" s="534"/>
      <c r="K8569" s="421"/>
      <c r="L8569" s="421"/>
      <c r="M8569" s="421"/>
    </row>
    <row r="8570" spans="1:13" s="393" customFormat="1" ht="15.75" thickBot="1" x14ac:dyDescent="0.3">
      <c r="A8570" s="397" t="s">
        <v>16</v>
      </c>
      <c r="B8570" s="271">
        <v>44250</v>
      </c>
      <c r="C8570" s="286">
        <v>3403</v>
      </c>
      <c r="D8570" s="175">
        <f t="shared" si="713"/>
        <v>867274</v>
      </c>
      <c r="E8570" s="227">
        <v>54</v>
      </c>
      <c r="F8570" s="175">
        <f t="shared" ref="F8570:F8576" si="716">E8570+F8546</f>
        <v>26068</v>
      </c>
      <c r="G8570" s="410">
        <f>SUM(C8570,C8546,C8522,C8498,C8474,C8450,C8426,C8402,C8378,C8354,C8330,C8306,C8282,C8258)/POBLA!$B$1*100000</f>
        <v>201.44071585765144</v>
      </c>
      <c r="H8570" s="416">
        <f t="shared" ref="H8570:H8576" si="717">SUM(C8570,C8546,C8522,C8498,C8474,C8450,C8426,C8402,C8378,C8354,C8330,C8306,C8282,C8258)/SUM(C8234,C8210,C8186,C8162,C8138,C8114,C8090,C8066,C8042,C8018,C7994,C7970,C7946,C7922)</f>
        <v>0.76836932176484662</v>
      </c>
      <c r="I8570" s="421"/>
      <c r="J8570" s="534"/>
      <c r="K8570" s="421"/>
      <c r="L8570" s="421"/>
      <c r="M8570" s="421"/>
    </row>
    <row r="8571" spans="1:13" s="393" customFormat="1" ht="15.75" thickBot="1" x14ac:dyDescent="0.3">
      <c r="A8571" s="402" t="s">
        <v>43</v>
      </c>
      <c r="B8571" s="271">
        <v>44250</v>
      </c>
      <c r="C8571" s="286">
        <v>828</v>
      </c>
      <c r="D8571" s="39">
        <f t="shared" si="713"/>
        <v>228378</v>
      </c>
      <c r="E8571" s="1">
        <v>31</v>
      </c>
      <c r="F8571" s="39">
        <f t="shared" si="716"/>
        <v>6461</v>
      </c>
      <c r="G8571" s="410">
        <f>SUM(C8571,C8547,C8523,C8499,C8475,C8451,C8427,C8403,C8379,C8355,C8331,C8307,C8283,C8259)/POBLA!$B$2*100000</f>
        <v>312.97490023234144</v>
      </c>
      <c r="H8571" s="418">
        <f t="shared" si="717"/>
        <v>0.69981824790985092</v>
      </c>
      <c r="I8571" s="421"/>
      <c r="J8571" s="534"/>
      <c r="K8571" s="421"/>
      <c r="L8571" s="421"/>
      <c r="M8571" s="421"/>
    </row>
    <row r="8572" spans="1:13" s="393" customFormat="1" ht="15.75" thickBot="1" x14ac:dyDescent="0.3">
      <c r="A8572" s="402" t="s">
        <v>28</v>
      </c>
      <c r="B8572" s="271">
        <v>44250</v>
      </c>
      <c r="C8572" s="286">
        <v>62</v>
      </c>
      <c r="D8572" s="39">
        <f t="shared" si="713"/>
        <v>7438</v>
      </c>
      <c r="E8572" s="1"/>
      <c r="F8572" s="39">
        <f t="shared" si="716"/>
        <v>17</v>
      </c>
      <c r="G8572" s="410">
        <f>SUM(C8572,C8548,C8524,C8500,C8476,C8452,C8428,C8404,C8380,C8356,C8332,C8308,C8284,C8260)/POBLA!$B$3*100000</f>
        <v>248.17180903046903</v>
      </c>
      <c r="H8572" s="418">
        <f t="shared" si="717"/>
        <v>0.65710643722116002</v>
      </c>
      <c r="I8572" s="421"/>
      <c r="J8572" s="534"/>
      <c r="K8572" s="421"/>
      <c r="L8572" s="421"/>
      <c r="M8572" s="421"/>
    </row>
    <row r="8573" spans="1:13" s="393" customFormat="1" ht="15.75" thickBot="1" x14ac:dyDescent="0.3">
      <c r="A8573" s="402" t="s">
        <v>15</v>
      </c>
      <c r="B8573" s="271">
        <v>44250</v>
      </c>
      <c r="C8573" s="286">
        <v>191</v>
      </c>
      <c r="D8573" s="39">
        <f t="shared" si="713"/>
        <v>33521</v>
      </c>
      <c r="E8573" s="1">
        <v>3</v>
      </c>
      <c r="F8573" s="39">
        <f t="shared" si="716"/>
        <v>858</v>
      </c>
      <c r="G8573" s="410">
        <f>SUM(C8573,C8549,C8525,C8501,C8477,C8453,C8429,C8405,C8381,C8357,C8333,C8309,C8285,C8261)/POBLA!$B$4*100000</f>
        <v>135.32125515030208</v>
      </c>
      <c r="H8573" s="418">
        <f t="shared" si="717"/>
        <v>0.89364035087719296</v>
      </c>
      <c r="I8573" s="421"/>
      <c r="J8573" s="534"/>
      <c r="K8573" s="421"/>
      <c r="L8573" s="421"/>
      <c r="M8573" s="421"/>
    </row>
    <row r="8574" spans="1:13" s="393" customFormat="1" ht="15.75" thickBot="1" x14ac:dyDescent="0.3">
      <c r="A8574" s="402" t="s">
        <v>29</v>
      </c>
      <c r="B8574" s="271">
        <v>44250</v>
      </c>
      <c r="C8574" s="286">
        <v>174</v>
      </c>
      <c r="D8574" s="39">
        <f t="shared" si="713"/>
        <v>46406</v>
      </c>
      <c r="E8574" s="1">
        <v>4</v>
      </c>
      <c r="F8574" s="39">
        <f t="shared" si="716"/>
        <v>757</v>
      </c>
      <c r="G8574" s="410">
        <f>SUM(C8574,C8550,C8526,C8502,C8478,C8454,C8430,C8406,C8382,C8358,C8334,C8310,C8286,C8262)/POBLA!$B$5*100000</f>
        <v>323.9126712052136</v>
      </c>
      <c r="H8574" s="418">
        <f t="shared" si="717"/>
        <v>0.56944049985799494</v>
      </c>
      <c r="I8574" s="421"/>
      <c r="J8574" s="534"/>
      <c r="K8574" s="421"/>
      <c r="L8574" s="421"/>
      <c r="M8574" s="421"/>
    </row>
    <row r="8575" spans="1:13" s="393" customFormat="1" ht="15.75" thickBot="1" x14ac:dyDescent="0.3">
      <c r="A8575" s="402" t="s">
        <v>30</v>
      </c>
      <c r="B8575" s="271">
        <v>44250</v>
      </c>
      <c r="C8575" s="286">
        <v>79</v>
      </c>
      <c r="D8575" s="39">
        <f t="shared" si="713"/>
        <v>21181</v>
      </c>
      <c r="E8575" s="1">
        <v>1</v>
      </c>
      <c r="F8575" s="39">
        <f t="shared" si="716"/>
        <v>293</v>
      </c>
      <c r="G8575" s="410">
        <f>SUM(C8575,C8551,C8527,C8503,C8479,C8455,C8431,C8407,C8383,C8359,C8335,C8311,C8287,C8263)/POBLA!$B$7*100000</f>
        <v>58.689784467284497</v>
      </c>
      <c r="H8575" s="418">
        <f t="shared" si="717"/>
        <v>0.94155290102389078</v>
      </c>
      <c r="I8575" s="421"/>
      <c r="J8575" s="534"/>
      <c r="K8575" s="421"/>
      <c r="L8575" s="421"/>
      <c r="M8575" s="421"/>
    </row>
    <row r="8576" spans="1:13" s="393" customFormat="1" ht="15.75" thickBot="1" x14ac:dyDescent="0.3">
      <c r="A8576" s="402" t="s">
        <v>20</v>
      </c>
      <c r="B8576" s="271">
        <v>44250</v>
      </c>
      <c r="C8576" s="17">
        <v>827</v>
      </c>
      <c r="D8576" s="39">
        <f t="shared" si="713"/>
        <v>156803</v>
      </c>
      <c r="E8576" s="1">
        <v>6</v>
      </c>
      <c r="F8576" s="39">
        <f t="shared" si="716"/>
        <v>2809</v>
      </c>
      <c r="G8576" s="410">
        <f>SUM(C8576,C8552,C8528,C8504,C8480,C8456,C8432,C8408,C8384,C8360,C8336,C8312,C8288,C8264)/POBLA!$B$6*100000</f>
        <v>682.90445850779929</v>
      </c>
      <c r="H8576" s="418">
        <f t="shared" si="717"/>
        <v>1.1487318024913702</v>
      </c>
      <c r="J8576" s="42"/>
    </row>
    <row r="8577" spans="1:10" ht="15.75" thickBot="1" x14ac:dyDescent="0.3">
      <c r="A8577" s="402" t="s">
        <v>31</v>
      </c>
      <c r="B8577" s="271">
        <v>44250</v>
      </c>
      <c r="C8577" s="17">
        <v>144</v>
      </c>
      <c r="D8577" s="39">
        <f t="shared" si="713"/>
        <v>44572</v>
      </c>
      <c r="E8577" s="1">
        <v>6</v>
      </c>
      <c r="F8577" s="39">
        <f t="shared" ref="F8577:F8593" si="718">E8577+F8553</f>
        <v>825</v>
      </c>
      <c r="G8577" s="176">
        <f>SUM(C8577,C8553,C8529,C8505,C8481,C8457,C8433,C8409,C8385,C8361,C8337,C8313,C8289,C8265)/POBLA!$B$8*100000</f>
        <v>128.4307422791839</v>
      </c>
      <c r="H8577" s="527">
        <f t="shared" ref="H8577:H8593" si="719">SUM(C8577,C8553,C8529,C8505,C8481,C8457,C8433,C8409,C8385,C8361,C8337,C8313,C8289,C8265)/SUM(C8241,C8217,C8193,C8169,C8145,C8121,C8097,C8073,C8049,C8025,C8001,C7977,C7953,C7929)</f>
        <v>0.57698541329011344</v>
      </c>
    </row>
    <row r="8578" spans="1:10" s="393" customFormat="1" ht="15.75" thickBot="1" x14ac:dyDescent="0.3">
      <c r="A8578" s="402" t="s">
        <v>41</v>
      </c>
      <c r="B8578" s="271">
        <v>44250</v>
      </c>
      <c r="C8578" s="17">
        <v>32</v>
      </c>
      <c r="D8578" s="39">
        <f t="shared" si="713"/>
        <v>1168</v>
      </c>
      <c r="E8578" s="1"/>
      <c r="F8578" s="39">
        <f t="shared" si="718"/>
        <v>18</v>
      </c>
      <c r="G8578" s="410">
        <f>SUM(C8578,C8554,C8530,C8506,C8482,C8458,C8434,C8410,C8386,C8362,C8338,C8314,C8290,C8266)/POBLA!$B$9*100000</f>
        <v>46.266232425028051</v>
      </c>
      <c r="H8578" s="418">
        <f t="shared" si="719"/>
        <v>3.7837837837837838</v>
      </c>
      <c r="J8578" s="42"/>
    </row>
    <row r="8579" spans="1:10" s="393" customFormat="1" ht="15.75" thickBot="1" x14ac:dyDescent="0.3">
      <c r="A8579" s="402" t="s">
        <v>32</v>
      </c>
      <c r="B8579" s="271">
        <v>44250</v>
      </c>
      <c r="C8579" s="17">
        <v>119</v>
      </c>
      <c r="D8579" s="39">
        <f t="shared" si="713"/>
        <v>20282</v>
      </c>
      <c r="E8579" s="1">
        <v>3</v>
      </c>
      <c r="F8579" s="39">
        <f t="shared" si="718"/>
        <v>901</v>
      </c>
      <c r="G8579" s="410">
        <f>SUM(C8579,C8555,C8531,C8507,C8483,C8459,C8435,C8411,C8387,C8363,C8339,C8315,C8291,C8267)/POBLA!$B$10*100000</f>
        <v>89.507978533651766</v>
      </c>
      <c r="H8579" s="418">
        <f t="shared" si="719"/>
        <v>1.5862068965517242</v>
      </c>
      <c r="J8579" s="42"/>
    </row>
    <row r="8580" spans="1:10" s="393" customFormat="1" ht="15.75" thickBot="1" x14ac:dyDescent="0.3">
      <c r="A8580" s="402" t="s">
        <v>33</v>
      </c>
      <c r="B8580" s="271">
        <v>44250</v>
      </c>
      <c r="C8580" s="17">
        <v>63</v>
      </c>
      <c r="D8580" s="39">
        <f t="shared" si="713"/>
        <v>18224</v>
      </c>
      <c r="E8580" s="1"/>
      <c r="F8580" s="39">
        <f t="shared" si="718"/>
        <v>284</v>
      </c>
      <c r="G8580" s="410">
        <f>SUM(C8580,C8556,C8532,C8508,C8484,C8460,C8436,C8412,C8388,C8364,C8340,C8316,C8292,C8268)/POBLA!$B$11*100000</f>
        <v>260.58232057763342</v>
      </c>
      <c r="H8580" s="418">
        <f t="shared" si="719"/>
        <v>0.71846153846153848</v>
      </c>
      <c r="J8580" s="42"/>
    </row>
    <row r="8581" spans="1:10" s="393" customFormat="1" ht="15.75" thickBot="1" x14ac:dyDescent="0.3">
      <c r="A8581" s="402" t="s">
        <v>21</v>
      </c>
      <c r="B8581" s="271">
        <v>44250</v>
      </c>
      <c r="C8581" s="17">
        <v>23</v>
      </c>
      <c r="D8581" s="39">
        <f t="shared" si="713"/>
        <v>10070</v>
      </c>
      <c r="E8581" s="1"/>
      <c r="F8581" s="39">
        <f t="shared" si="718"/>
        <v>435</v>
      </c>
      <c r="G8581" s="410">
        <f>SUM(C8581,C8557,C8533,C8509,C8485,C8461,C8437,C8413,C8389,C8365,C8341,C8317,C8293,C8269)/POBLA!$B$12*100000</f>
        <v>93.004108952026641</v>
      </c>
      <c r="H8581" s="418">
        <f t="shared" si="719"/>
        <v>1.4523809523809523</v>
      </c>
      <c r="J8581" s="42"/>
    </row>
    <row r="8582" spans="1:10" s="393" customFormat="1" ht="15.75" thickBot="1" x14ac:dyDescent="0.3">
      <c r="A8582" s="402" t="s">
        <v>17</v>
      </c>
      <c r="B8582" s="271">
        <v>44250</v>
      </c>
      <c r="C8582" s="17">
        <v>131</v>
      </c>
      <c r="D8582" s="39">
        <f t="shared" si="713"/>
        <v>66542</v>
      </c>
      <c r="E8582" s="1">
        <v>6</v>
      </c>
      <c r="F8582" s="39">
        <f t="shared" si="718"/>
        <v>1431</v>
      </c>
      <c r="G8582" s="410">
        <f>SUM(C8582,C8558,C8534,C8510,C8486,C8462,C8438,C8414,C8390,C8366,C8342,C8318,C8294,C8270)/POBLA!$B$13*100000</f>
        <v>75.464569334454751</v>
      </c>
      <c r="H8582" s="418">
        <f t="shared" si="719"/>
        <v>0.8742724097788126</v>
      </c>
      <c r="J8582" s="42"/>
    </row>
    <row r="8583" spans="1:10" s="393" customFormat="1" ht="15.75" thickBot="1" x14ac:dyDescent="0.3">
      <c r="A8583" s="402" t="s">
        <v>23</v>
      </c>
      <c r="B8583" s="271">
        <v>44250</v>
      </c>
      <c r="C8583" s="17">
        <v>110</v>
      </c>
      <c r="D8583" s="39">
        <f t="shared" si="713"/>
        <v>7719</v>
      </c>
      <c r="E8583" s="1">
        <v>1</v>
      </c>
      <c r="F8583" s="39">
        <f t="shared" si="718"/>
        <v>132</v>
      </c>
      <c r="G8583" s="410">
        <f>SUM(C8583,C8559,C8535,C8511,C8487,C8463,C8439,C8415,C8391,C8367,C8343,C8319,C8295,C8271)/POBLA!$B$14*100000</f>
        <v>119.24261908801597</v>
      </c>
      <c r="H8583" s="418">
        <f t="shared" si="719"/>
        <v>0.61791290057518489</v>
      </c>
      <c r="J8583" s="42"/>
    </row>
    <row r="8584" spans="1:10" s="393" customFormat="1" ht="15.75" thickBot="1" x14ac:dyDescent="0.3">
      <c r="A8584" s="402" t="s">
        <v>19</v>
      </c>
      <c r="B8584" s="271">
        <v>44250</v>
      </c>
      <c r="C8584" s="17">
        <v>187</v>
      </c>
      <c r="D8584" s="39">
        <f t="shared" si="713"/>
        <v>60379</v>
      </c>
      <c r="E8584" s="1">
        <v>2</v>
      </c>
      <c r="F8584" s="39">
        <f t="shared" si="718"/>
        <v>893</v>
      </c>
      <c r="G8584" s="410">
        <f>SUM(C8584,C8560,C8536,C8512,C8488,C8464,C8440,C8416,C8392,C8368,C8344,C8320,C8296,C8272)/POBLA!$B$15*100000</f>
        <v>473.30274358978221</v>
      </c>
      <c r="H8584" s="418">
        <f t="shared" si="719"/>
        <v>0.60523782014249949</v>
      </c>
      <c r="J8584" s="42"/>
    </row>
    <row r="8585" spans="1:10" s="393" customFormat="1" ht="15.75" thickBot="1" x14ac:dyDescent="0.3">
      <c r="A8585" s="402" t="s">
        <v>18</v>
      </c>
      <c r="B8585" s="271">
        <v>44250</v>
      </c>
      <c r="C8585" s="17">
        <v>170</v>
      </c>
      <c r="D8585" s="39">
        <f t="shared" si="713"/>
        <v>51743</v>
      </c>
      <c r="E8585" s="1">
        <v>9</v>
      </c>
      <c r="F8585" s="39">
        <f t="shared" si="718"/>
        <v>1166</v>
      </c>
      <c r="G8585" s="410">
        <f>SUM(C8585,C8561,C8537,C8513,C8489,C8465,C8441,C8417,C8393,C8369,C8345,C8321,C8297,C8273)/POBLA!$B$16*100000</f>
        <v>260.42990329182328</v>
      </c>
      <c r="H8585" s="418">
        <f t="shared" si="719"/>
        <v>0.61419558359621451</v>
      </c>
      <c r="J8585" s="42"/>
    </row>
    <row r="8586" spans="1:10" s="393" customFormat="1" ht="15.75" thickBot="1" x14ac:dyDescent="0.3">
      <c r="A8586" s="402" t="s">
        <v>34</v>
      </c>
      <c r="B8586" s="271">
        <v>44250</v>
      </c>
      <c r="C8586" s="17">
        <v>98</v>
      </c>
      <c r="D8586" s="39">
        <f t="shared" si="713"/>
        <v>25577</v>
      </c>
      <c r="E8586" s="1">
        <v>5</v>
      </c>
      <c r="F8586" s="39">
        <f t="shared" si="718"/>
        <v>1085</v>
      </c>
      <c r="G8586" s="410">
        <f>SUM(C8586,C8562,C8538,C8514,C8490,C8466,C8442,C8418,C8394,C8370,C8346,C8322,C8298,C8274)/POBLA!$B$17*100000</f>
        <v>81.71879047765475</v>
      </c>
      <c r="H8586" s="418">
        <f t="shared" si="719"/>
        <v>1.318233295583239</v>
      </c>
      <c r="J8586" s="42"/>
    </row>
    <row r="8587" spans="1:10" s="393" customFormat="1" ht="15.75" thickBot="1" x14ac:dyDescent="0.3">
      <c r="A8587" s="402" t="s">
        <v>35</v>
      </c>
      <c r="B8587" s="271">
        <v>44250</v>
      </c>
      <c r="C8587" s="17">
        <v>71</v>
      </c>
      <c r="D8587" s="39">
        <f t="shared" si="713"/>
        <v>15061</v>
      </c>
      <c r="E8587" s="1">
        <v>1</v>
      </c>
      <c r="F8587" s="39">
        <f t="shared" si="718"/>
        <v>207</v>
      </c>
      <c r="G8587" s="410">
        <f>SUM(C8587,C8563,C8539,C8515,C8491,C8467,C8443,C8419,C8395,C8371,C8347,C8323,C8299,C8275)/POBLA!$B$18*100000</f>
        <v>83.97154695814352</v>
      </c>
      <c r="H8587" s="418">
        <f t="shared" si="719"/>
        <v>0.93447293447293445</v>
      </c>
      <c r="J8587" s="42"/>
    </row>
    <row r="8588" spans="1:10" s="393" customFormat="1" ht="15.75" thickBot="1" x14ac:dyDescent="0.3">
      <c r="A8588" s="402" t="s">
        <v>36</v>
      </c>
      <c r="B8588" s="271">
        <v>44250</v>
      </c>
      <c r="C8588" s="17">
        <v>11</v>
      </c>
      <c r="D8588" s="39">
        <f t="shared" si="713"/>
        <v>20553</v>
      </c>
      <c r="E8588" s="1"/>
      <c r="F8588" s="39">
        <f t="shared" si="718"/>
        <v>353</v>
      </c>
      <c r="G8588" s="410">
        <f>SUM(C8588,C8564,C8540,C8516,C8492,C8468,C8444,C8420,C8396,C8372,C8348,C8324,C8300,C8276)/POBLA!$B$19*100000</f>
        <v>282.10132040729604</v>
      </c>
      <c r="H8588" s="418">
        <f t="shared" si="719"/>
        <v>4.4672897196261685</v>
      </c>
      <c r="J8588" s="42"/>
    </row>
    <row r="8589" spans="1:10" s="393" customFormat="1" ht="15.75" thickBot="1" x14ac:dyDescent="0.3">
      <c r="A8589" s="402" t="s">
        <v>37</v>
      </c>
      <c r="B8589" s="271">
        <v>44250</v>
      </c>
      <c r="C8589" s="17">
        <v>117</v>
      </c>
      <c r="D8589" s="39">
        <f t="shared" si="713"/>
        <v>35430</v>
      </c>
      <c r="E8589" s="1">
        <v>2</v>
      </c>
      <c r="F8589" s="39">
        <f t="shared" si="718"/>
        <v>569</v>
      </c>
      <c r="G8589" s="410">
        <f>SUM(C8589,C8565,C8541,C8517,C8493,C8469,C8445,C8421,C8397,C8373,C8349,C8325,C8301,C8277)/POBLA!$B$20*100000</f>
        <v>377.36055433718531</v>
      </c>
      <c r="H8589" s="418">
        <f t="shared" si="719"/>
        <v>0.62050359712230219</v>
      </c>
      <c r="J8589" s="42"/>
    </row>
    <row r="8590" spans="1:10" s="393" customFormat="1" ht="15.75" thickBot="1" x14ac:dyDescent="0.3">
      <c r="A8590" s="402" t="s">
        <v>22</v>
      </c>
      <c r="B8590" s="271">
        <v>44250</v>
      </c>
      <c r="C8590" s="17">
        <v>394</v>
      </c>
      <c r="D8590" s="39">
        <f t="shared" si="713"/>
        <v>214782</v>
      </c>
      <c r="E8590" s="1">
        <v>17</v>
      </c>
      <c r="F8590" s="39">
        <f t="shared" si="718"/>
        <v>3868</v>
      </c>
      <c r="G8590" s="410">
        <f>SUM(C8590,C8566,C8542,C8518,C8494,C8470,C8446,C8422,C8398,C8374,C8350,C8326,C8302,C8278)/POBLA!$B$21*100000</f>
        <v>135.75883846310023</v>
      </c>
      <c r="H8590" s="418">
        <f t="shared" si="719"/>
        <v>0.67581644144144148</v>
      </c>
      <c r="J8590" s="42"/>
    </row>
    <row r="8591" spans="1:10" s="393" customFormat="1" ht="15.75" thickBot="1" x14ac:dyDescent="0.3">
      <c r="A8591" s="402" t="s">
        <v>38</v>
      </c>
      <c r="B8591" s="271">
        <v>44250</v>
      </c>
      <c r="C8591" s="17">
        <v>58</v>
      </c>
      <c r="D8591" s="39">
        <f t="shared" si="713"/>
        <v>22275</v>
      </c>
      <c r="E8591" s="1">
        <v>1</v>
      </c>
      <c r="F8591" s="39">
        <f t="shared" si="718"/>
        <v>265</v>
      </c>
      <c r="G8591" s="410">
        <f>SUM(C8591,C8567,C8543,C8519,C8495,C8471,C8447,C8423,C8399,C8375,C8351,C8327,C8303,C8279)/POBLA!$B$22*100000</f>
        <v>74.924896224418973</v>
      </c>
      <c r="H8591" s="418">
        <f t="shared" si="719"/>
        <v>0.73965691220988905</v>
      </c>
      <c r="J8591" s="42"/>
    </row>
    <row r="8592" spans="1:10" s="393" customFormat="1" ht="15.75" thickBot="1" x14ac:dyDescent="0.3">
      <c r="A8592" s="402" t="s">
        <v>39</v>
      </c>
      <c r="B8592" s="271">
        <v>44250</v>
      </c>
      <c r="C8592" s="17">
        <v>47</v>
      </c>
      <c r="D8592" s="39">
        <f t="shared" si="713"/>
        <v>22795</v>
      </c>
      <c r="E8592" s="1"/>
      <c r="F8592" s="39">
        <f t="shared" si="718"/>
        <v>349</v>
      </c>
      <c r="G8592" s="410">
        <f>SUM(C8592,C8568,C8544,C8520,C8496,C8472,C8448,C8424,C8400,C8376,C8352,C8328,C8304,C8280)/POBLA!$B$23*100000</f>
        <v>331.95724707346039</v>
      </c>
      <c r="H8592" s="418">
        <f t="shared" si="719"/>
        <v>0.92295597484276726</v>
      </c>
      <c r="J8592" s="42"/>
    </row>
    <row r="8593" spans="1:10" s="393" customFormat="1" ht="15.75" thickBot="1" x14ac:dyDescent="0.3">
      <c r="A8593" s="403" t="s">
        <v>40</v>
      </c>
      <c r="B8593" s="270">
        <v>44250</v>
      </c>
      <c r="C8593" s="17">
        <v>138</v>
      </c>
      <c r="D8593" s="67">
        <f t="shared" si="713"/>
        <v>79055</v>
      </c>
      <c r="E8593" s="234">
        <v>2</v>
      </c>
      <c r="F8593" s="67">
        <f t="shared" si="718"/>
        <v>1466</v>
      </c>
      <c r="G8593" s="433">
        <f>SUM(C8593,C8569,C8545,C8521,C8497,C8473,C8449,C8425,C8401,C8377,C8353,C8329,C8305,C8281)/POBLA!$B$24*100000</f>
        <v>91.109936175837447</v>
      </c>
      <c r="H8593" s="434">
        <f t="shared" si="719"/>
        <v>0.81263157894736837</v>
      </c>
      <c r="J8593" s="42"/>
    </row>
    <row r="8594" spans="1:10" s="393" customFormat="1" ht="15.75" thickBot="1" x14ac:dyDescent="0.3">
      <c r="A8594" s="397" t="s">
        <v>16</v>
      </c>
      <c r="B8594" s="267">
        <v>44251</v>
      </c>
      <c r="C8594" s="43">
        <v>3500</v>
      </c>
      <c r="D8594" s="175">
        <f t="shared" si="713"/>
        <v>870774</v>
      </c>
      <c r="E8594" s="43">
        <v>70</v>
      </c>
      <c r="F8594" s="175">
        <f t="shared" ref="F8594:F8600" si="720">E8594+F8570</f>
        <v>26138</v>
      </c>
      <c r="G8594" s="410">
        <f>SUM(C8594,C8570,C8546,C8522,C8498,C8474,C8450,C8426,C8402,C8378,C8354,C8330,C8306,C8282)/POBLA!$B$1*100000</f>
        <v>202.78042346276106</v>
      </c>
      <c r="H8594" s="416">
        <f t="shared" ref="H8594:H8600" si="721">SUM(C8594,C8570,C8546,C8522,C8498,C8474,C8450,C8426,C8402,C8378,C8354,C8330,C8306,C8282)/SUM(C8258,C8234,C8210,C8186,C8162,C8138,C8114,C8090,C8066,C8042,C8018,C7994,C7970,C7946)</f>
        <v>0.79384917535206556</v>
      </c>
      <c r="I8594" s="435"/>
      <c r="J8594" s="538"/>
    </row>
    <row r="8595" spans="1:10" s="393" customFormat="1" ht="16.5" thickTop="1" thickBot="1" x14ac:dyDescent="0.3">
      <c r="A8595" s="402" t="s">
        <v>43</v>
      </c>
      <c r="B8595" s="2">
        <v>44251</v>
      </c>
      <c r="C8595" s="1">
        <v>1003</v>
      </c>
      <c r="D8595" s="39">
        <f t="shared" si="713"/>
        <v>229381</v>
      </c>
      <c r="E8595" s="1">
        <v>11</v>
      </c>
      <c r="F8595" s="39">
        <f t="shared" si="720"/>
        <v>6472</v>
      </c>
      <c r="G8595" s="436">
        <f>SUM(C8595,C8571,C8547,C8523,C8499,C8475,C8451,C8427,C8403,C8379,C8355,C8331,C8307,C8283)/POBLA!$B$2*100000</f>
        <v>315.8360877682282</v>
      </c>
      <c r="H8595" s="418">
        <f t="shared" si="721"/>
        <v>0.72368323027639125</v>
      </c>
      <c r="I8595" s="435"/>
      <c r="J8595" s="538"/>
    </row>
    <row r="8596" spans="1:10" s="393" customFormat="1" ht="16.5" thickTop="1" thickBot="1" x14ac:dyDescent="0.3">
      <c r="A8596" s="402" t="s">
        <v>28</v>
      </c>
      <c r="B8596" s="2">
        <v>44251</v>
      </c>
      <c r="C8596" s="1">
        <v>74</v>
      </c>
      <c r="D8596" s="39">
        <f t="shared" si="713"/>
        <v>7512</v>
      </c>
      <c r="E8596" s="1"/>
      <c r="F8596" s="39">
        <f t="shared" si="720"/>
        <v>17</v>
      </c>
      <c r="G8596" s="436">
        <f>SUM(C8596,C8572,C8548,C8524,C8500,C8476,C8452,C8428,C8404,C8380,C8356,C8332,C8308,C8284)/POBLA!$B$3*100000</f>
        <v>252.98600513193304</v>
      </c>
      <c r="H8596" s="418">
        <f t="shared" si="721"/>
        <v>0.69741207697412078</v>
      </c>
      <c r="I8596" s="437"/>
      <c r="J8596" s="563"/>
    </row>
    <row r="8597" spans="1:10" s="393" customFormat="1" ht="16.5" thickTop="1" thickBot="1" x14ac:dyDescent="0.3">
      <c r="A8597" s="402" t="s">
        <v>15</v>
      </c>
      <c r="B8597" s="2">
        <v>44251</v>
      </c>
      <c r="C8597" s="1">
        <v>156</v>
      </c>
      <c r="D8597" s="39">
        <f t="shared" si="713"/>
        <v>33677</v>
      </c>
      <c r="E8597" s="1">
        <v>3</v>
      </c>
      <c r="F8597" s="39">
        <f t="shared" si="720"/>
        <v>861</v>
      </c>
      <c r="G8597" s="436">
        <f>SUM(C8597,C8573,C8549,C8525,C8501,C8477,C8453,C8429,C8405,C8381,C8357,C8333,C8309,C8285)/POBLA!$B$4*100000</f>
        <v>136.40050442450695</v>
      </c>
      <c r="H8597" s="418">
        <f t="shared" si="721"/>
        <v>0.9022515101592532</v>
      </c>
      <c r="I8597" s="437"/>
      <c r="J8597" s="531"/>
    </row>
    <row r="8598" spans="1:10" s="393" customFormat="1" ht="16.5" thickTop="1" thickBot="1" x14ac:dyDescent="0.3">
      <c r="A8598" s="402" t="s">
        <v>29</v>
      </c>
      <c r="B8598" s="2">
        <v>44251</v>
      </c>
      <c r="C8598" s="1">
        <v>186</v>
      </c>
      <c r="D8598" s="39">
        <f t="shared" si="713"/>
        <v>46592</v>
      </c>
      <c r="E8598" s="1">
        <v>3</v>
      </c>
      <c r="F8598" s="39">
        <f t="shared" si="720"/>
        <v>760</v>
      </c>
      <c r="G8598" s="436">
        <f>SUM(C8598,C8574,C8550,C8526,C8502,C8478,C8454,C8430,C8406,C8382,C8358,C8334,C8310,C8286)/POBLA!$B$5*100000</f>
        <v>327.46682520347531</v>
      </c>
      <c r="H8598" s="418">
        <f t="shared" si="721"/>
        <v>0.61610942249240119</v>
      </c>
      <c r="I8598" s="437"/>
      <c r="J8598" s="531"/>
    </row>
    <row r="8599" spans="1:10" s="393" customFormat="1" ht="16.5" thickTop="1" thickBot="1" x14ac:dyDescent="0.3">
      <c r="A8599" s="402" t="s">
        <v>30</v>
      </c>
      <c r="B8599" s="2">
        <v>44251</v>
      </c>
      <c r="C8599" s="1">
        <v>127</v>
      </c>
      <c r="D8599" s="39">
        <f t="shared" si="713"/>
        <v>21308</v>
      </c>
      <c r="E8599" s="1">
        <v>3</v>
      </c>
      <c r="F8599" s="39">
        <f t="shared" si="720"/>
        <v>296</v>
      </c>
      <c r="G8599" s="436">
        <f>SUM(C8599,C8575,C8551,C8527,C8503,C8479,C8455,C8431,C8407,C8383,C8359,C8335,C8311,C8287)/POBLA!$B$7*100000</f>
        <v>59.168450584371556</v>
      </c>
      <c r="H8599" s="418">
        <f t="shared" si="721"/>
        <v>0.9982054733064154</v>
      </c>
      <c r="I8599" s="435"/>
      <c r="J8599" s="531"/>
    </row>
    <row r="8600" spans="1:10" s="393" customFormat="1" ht="16.5" thickTop="1" thickBot="1" x14ac:dyDescent="0.3">
      <c r="A8600" s="402" t="s">
        <v>20</v>
      </c>
      <c r="B8600" s="2">
        <v>44251</v>
      </c>
      <c r="C8600" s="1">
        <v>716</v>
      </c>
      <c r="D8600" s="39">
        <f t="shared" si="713"/>
        <v>157519</v>
      </c>
      <c r="E8600" s="1">
        <v>5</v>
      </c>
      <c r="F8600" s="39">
        <f t="shared" si="720"/>
        <v>2814</v>
      </c>
      <c r="G8600" s="436">
        <f>SUM(C8600,C8576,C8552,C8528,C8504,C8480,C8456,C8432,C8408,C8384,C8360,C8336,C8312,C8288)/POBLA!$B$6*100000</f>
        <v>679.06791660607018</v>
      </c>
      <c r="H8600" s="418">
        <f t="shared" si="721"/>
        <v>1.1300668151447661</v>
      </c>
      <c r="I8600" s="435"/>
      <c r="J8600" s="538"/>
    </row>
    <row r="8601" spans="1:10" ht="16.5" thickTop="1" thickBot="1" x14ac:dyDescent="0.3">
      <c r="A8601" s="402" t="s">
        <v>31</v>
      </c>
      <c r="B8601" s="2">
        <v>44251</v>
      </c>
      <c r="C8601" s="1">
        <v>179</v>
      </c>
      <c r="D8601" s="39">
        <f t="shared" si="713"/>
        <v>44751</v>
      </c>
      <c r="E8601" s="1">
        <v>3</v>
      </c>
      <c r="F8601" s="39">
        <f t="shared" ref="F8601:F8617" si="722">E8601+F8577</f>
        <v>828</v>
      </c>
      <c r="G8601" s="169">
        <f>SUM(C8601,C8577,C8553,C8529,C8505,C8481,C8457,C8433,C8409,C8385,C8361,C8337,C8313,C8289)/POBLA!$B$8*100000</f>
        <v>127.27630864071934</v>
      </c>
      <c r="H8601" s="527">
        <f t="shared" ref="H8601:H8617" si="723">SUM(C8601,C8577,C8553,C8529,C8505,C8481,C8457,C8433,C8409,C8385,C8361,C8337,C8313,C8289)/SUM(C8265,C8241,C8217,C8193,C8169,C8145,C8121,C8097,C8073,C8049,C8025,C8001,C7977,C7953)</f>
        <v>0.59055908938734514</v>
      </c>
      <c r="I8601" s="535"/>
      <c r="J8601" s="531"/>
    </row>
    <row r="8602" spans="1:10" s="393" customFormat="1" ht="16.5" thickTop="1" thickBot="1" x14ac:dyDescent="0.3">
      <c r="A8602" s="402" t="s">
        <v>41</v>
      </c>
      <c r="B8602" s="2">
        <v>44251</v>
      </c>
      <c r="C8602" s="1">
        <v>7</v>
      </c>
      <c r="D8602" s="39">
        <f t="shared" si="713"/>
        <v>1175</v>
      </c>
      <c r="E8602" s="1">
        <v>1</v>
      </c>
      <c r="F8602" s="39">
        <f t="shared" si="722"/>
        <v>19</v>
      </c>
      <c r="G8602" s="436">
        <f>SUM(C8602,C8578,C8554,C8530,C8506,C8482,C8458,C8434,C8410,C8386,C8362,C8338,C8314,C8290)/POBLA!$B$9*100000</f>
        <v>46.596705513778247</v>
      </c>
      <c r="H8602" s="418">
        <f t="shared" si="723"/>
        <v>4.3384615384615381</v>
      </c>
      <c r="I8602" s="438"/>
      <c r="J8602" s="563"/>
    </row>
    <row r="8603" spans="1:10" s="393" customFormat="1" ht="16.5" thickTop="1" thickBot="1" x14ac:dyDescent="0.3">
      <c r="A8603" s="402" t="s">
        <v>32</v>
      </c>
      <c r="B8603" s="2">
        <v>44251</v>
      </c>
      <c r="C8603" s="1">
        <v>103</v>
      </c>
      <c r="D8603" s="39">
        <f t="shared" si="713"/>
        <v>20385</v>
      </c>
      <c r="E8603" s="1">
        <v>3</v>
      </c>
      <c r="F8603" s="39">
        <f t="shared" si="722"/>
        <v>904</v>
      </c>
      <c r="G8603" s="436">
        <f>SUM(C8603,C8579,C8555,C8531,C8507,C8483,C8459,C8435,C8411,C8387,C8363,C8339,C8315,C8291)/POBLA!$B$10*100000</f>
        <v>97.550724430878432</v>
      </c>
      <c r="H8603" s="418">
        <f t="shared" si="723"/>
        <v>1.7611241217798594</v>
      </c>
      <c r="I8603" s="438"/>
      <c r="J8603" s="531"/>
    </row>
    <row r="8604" spans="1:10" s="393" customFormat="1" ht="16.5" thickTop="1" thickBot="1" x14ac:dyDescent="0.3">
      <c r="A8604" s="402" t="s">
        <v>33</v>
      </c>
      <c r="B8604" s="2">
        <v>44251</v>
      </c>
      <c r="C8604" s="1">
        <v>91</v>
      </c>
      <c r="D8604" s="39">
        <f t="shared" si="713"/>
        <v>18315</v>
      </c>
      <c r="E8604" s="1"/>
      <c r="F8604" s="39">
        <f t="shared" si="722"/>
        <v>284</v>
      </c>
      <c r="G8604" s="436">
        <f>SUM(C8604,C8580,C8556,C8532,C8508,C8484,C8460,C8436,C8412,C8388,C8364,C8340,C8316,C8292)/POBLA!$B$11*100000</f>
        <v>268.39421027375096</v>
      </c>
      <c r="H8604" s="418">
        <f t="shared" si="723"/>
        <v>0.78021086780210869</v>
      </c>
      <c r="I8604" s="438"/>
      <c r="J8604" s="531"/>
    </row>
    <row r="8605" spans="1:10" s="393" customFormat="1" ht="16.5" thickTop="1" thickBot="1" x14ac:dyDescent="0.3">
      <c r="A8605" s="402" t="s">
        <v>21</v>
      </c>
      <c r="B8605" s="2">
        <v>44251</v>
      </c>
      <c r="C8605" s="1">
        <v>55</v>
      </c>
      <c r="D8605" s="39">
        <f t="shared" si="713"/>
        <v>10125</v>
      </c>
      <c r="E8605" s="1"/>
      <c r="F8605" s="39">
        <f t="shared" si="722"/>
        <v>435</v>
      </c>
      <c r="G8605" s="436">
        <f>SUM(C8605,C8581,C8557,C8533,C8509,C8485,C8461,C8437,C8413,C8389,C8365,C8341,C8317,C8293)/POBLA!$B$12*100000</f>
        <v>99.865067809143369</v>
      </c>
      <c r="H8605" s="418">
        <f t="shared" si="723"/>
        <v>1.610655737704918</v>
      </c>
      <c r="I8605" s="438"/>
      <c r="J8605" s="531"/>
    </row>
    <row r="8606" spans="1:10" s="393" customFormat="1" ht="16.5" thickTop="1" thickBot="1" x14ac:dyDescent="0.3">
      <c r="A8606" s="402" t="s">
        <v>17</v>
      </c>
      <c r="B8606" s="2">
        <v>44251</v>
      </c>
      <c r="C8606" s="1">
        <v>165</v>
      </c>
      <c r="D8606" s="39">
        <f t="shared" si="713"/>
        <v>66707</v>
      </c>
      <c r="E8606" s="1">
        <v>4</v>
      </c>
      <c r="F8606" s="39">
        <f t="shared" si="722"/>
        <v>1435</v>
      </c>
      <c r="G8606" s="436">
        <f>SUM(C8606,C8582,C8558,C8534,C8510,C8486,C8462,C8438,C8414,C8390,C8366,C8342,C8318,C8294)/POBLA!$B$13*100000</f>
        <v>74.359229437412139</v>
      </c>
      <c r="H8606" s="418">
        <f t="shared" si="723"/>
        <v>0.84282460136674264</v>
      </c>
      <c r="I8606" s="435"/>
      <c r="J8606" s="538"/>
    </row>
    <row r="8607" spans="1:10" s="393" customFormat="1" ht="16.5" thickTop="1" thickBot="1" x14ac:dyDescent="0.3">
      <c r="A8607" s="402" t="s">
        <v>23</v>
      </c>
      <c r="B8607" s="2">
        <v>44251</v>
      </c>
      <c r="C8607" s="1">
        <v>114</v>
      </c>
      <c r="D8607" s="39">
        <f t="shared" si="713"/>
        <v>7833</v>
      </c>
      <c r="E8607" s="1">
        <v>2</v>
      </c>
      <c r="F8607" s="39">
        <f t="shared" si="722"/>
        <v>134</v>
      </c>
      <c r="G8607" s="436">
        <f>SUM(C8607,C8583,C8559,C8535,C8511,C8487,C8463,C8439,C8415,C8391,C8367,C8343,C8319,C8295)/POBLA!$B$14*100000</f>
        <v>122.09683071512272</v>
      </c>
      <c r="H8607" s="418">
        <f t="shared" si="723"/>
        <v>0.67811536767943636</v>
      </c>
      <c r="I8607" s="438"/>
      <c r="J8607" s="563"/>
    </row>
    <row r="8608" spans="1:10" s="393" customFormat="1" ht="16.5" thickTop="1" thickBot="1" x14ac:dyDescent="0.3">
      <c r="A8608" s="402" t="s">
        <v>19</v>
      </c>
      <c r="B8608" s="2">
        <v>44251</v>
      </c>
      <c r="C8608" s="1">
        <v>261</v>
      </c>
      <c r="D8608" s="39">
        <f t="shared" si="713"/>
        <v>60640</v>
      </c>
      <c r="E8608" s="1"/>
      <c r="F8608" s="39">
        <f t="shared" si="722"/>
        <v>893</v>
      </c>
      <c r="G8608" s="436">
        <f>SUM(C8608,C8584,C8560,C8536,C8512,C8488,C8464,C8440,C8416,C8392,C8368,C8344,C8320,C8296)/POBLA!$B$15*100000</f>
        <v>454.47905827361205</v>
      </c>
      <c r="H8608" s="418">
        <f t="shared" si="723"/>
        <v>0.59869073596508626</v>
      </c>
      <c r="I8608" s="435"/>
      <c r="J8608" s="538"/>
    </row>
    <row r="8609" spans="1:10" s="393" customFormat="1" ht="16.5" thickTop="1" thickBot="1" x14ac:dyDescent="0.3">
      <c r="A8609" s="402" t="s">
        <v>18</v>
      </c>
      <c r="B8609" s="2">
        <v>44251</v>
      </c>
      <c r="C8609" s="1">
        <v>166</v>
      </c>
      <c r="D8609" s="39">
        <f t="shared" si="713"/>
        <v>51909</v>
      </c>
      <c r="E8609" s="1">
        <v>4</v>
      </c>
      <c r="F8609" s="39">
        <f t="shared" si="722"/>
        <v>1170</v>
      </c>
      <c r="G8609" s="436">
        <f>SUM(C8609,C8585,C8561,C8537,C8513,C8489,C8465,C8441,C8417,C8393,C8369,C8345,C8321,C8297)/POBLA!$B$16*100000</f>
        <v>253.07312636267571</v>
      </c>
      <c r="H8609" s="418">
        <f t="shared" si="723"/>
        <v>0.62524785194976862</v>
      </c>
      <c r="I8609" s="438"/>
      <c r="J8609" s="538"/>
    </row>
    <row r="8610" spans="1:10" s="393" customFormat="1" ht="16.5" thickTop="1" thickBot="1" x14ac:dyDescent="0.3">
      <c r="A8610" s="402" t="s">
        <v>34</v>
      </c>
      <c r="B8610" s="2">
        <v>44251</v>
      </c>
      <c r="C8610" s="1">
        <v>163</v>
      </c>
      <c r="D8610" s="39">
        <f t="shared" si="713"/>
        <v>25740</v>
      </c>
      <c r="E8610" s="1">
        <v>3</v>
      </c>
      <c r="F8610" s="39">
        <f t="shared" si="722"/>
        <v>1088</v>
      </c>
      <c r="G8610" s="436">
        <f>SUM(C8610,C8586,C8562,C8538,C8514,C8490,C8466,C8442,C8418,C8394,C8370,C8346,C8322,C8298)/POBLA!$B$17*100000</f>
        <v>86.141714704538131</v>
      </c>
      <c r="H8610" s="418">
        <f t="shared" si="723"/>
        <v>1.3366013071895424</v>
      </c>
      <c r="I8610" s="437"/>
      <c r="J8610" s="531"/>
    </row>
    <row r="8611" spans="1:10" s="393" customFormat="1" ht="16.5" thickTop="1" thickBot="1" x14ac:dyDescent="0.3">
      <c r="A8611" s="402" t="s">
        <v>35</v>
      </c>
      <c r="B8611" s="2">
        <v>44251</v>
      </c>
      <c r="C8611" s="1">
        <v>80</v>
      </c>
      <c r="D8611" s="39">
        <f t="shared" ref="D8611:D8641" si="724">C8611+D8587</f>
        <v>15141</v>
      </c>
      <c r="E8611" s="1"/>
      <c r="F8611" s="39">
        <f t="shared" si="722"/>
        <v>207</v>
      </c>
      <c r="G8611" s="436">
        <f>SUM(C8611,C8587,C8563,C8539,C8515,C8491,C8467,C8443,C8419,C8395,C8371,C8347,C8323,C8299)/POBLA!$B$18*100000</f>
        <v>87.555698352698414</v>
      </c>
      <c r="H8611" s="418">
        <f t="shared" si="723"/>
        <v>0.98275862068965514</v>
      </c>
      <c r="I8611" s="438"/>
      <c r="J8611" s="531"/>
    </row>
    <row r="8612" spans="1:10" s="393" customFormat="1" ht="16.5" thickTop="1" thickBot="1" x14ac:dyDescent="0.3">
      <c r="A8612" s="402" t="s">
        <v>36</v>
      </c>
      <c r="B8612" s="2">
        <v>44251</v>
      </c>
      <c r="C8612" s="1">
        <v>32</v>
      </c>
      <c r="D8612" s="39">
        <f t="shared" si="724"/>
        <v>20585</v>
      </c>
      <c r="E8612" s="1"/>
      <c r="F8612" s="39">
        <f t="shared" si="722"/>
        <v>353</v>
      </c>
      <c r="G8612" s="436">
        <f>SUM(C8612,C8588,C8564,C8540,C8516,C8492,C8468,C8444,C8420,C8396,C8372,C8348,C8324,C8300)/POBLA!$B$19*100000</f>
        <v>287.41285154467192</v>
      </c>
      <c r="H8612" s="418">
        <f t="shared" si="723"/>
        <v>5.963265306122449</v>
      </c>
      <c r="I8612" s="438"/>
      <c r="J8612" s="531"/>
    </row>
    <row r="8613" spans="1:10" s="393" customFormat="1" ht="16.5" thickTop="1" thickBot="1" x14ac:dyDescent="0.3">
      <c r="A8613" s="402" t="s">
        <v>37</v>
      </c>
      <c r="B8613" s="2">
        <v>44251</v>
      </c>
      <c r="C8613" s="1">
        <v>201</v>
      </c>
      <c r="D8613" s="39">
        <f t="shared" si="724"/>
        <v>35631</v>
      </c>
      <c r="E8613" s="1">
        <v>1</v>
      </c>
      <c r="F8613" s="39">
        <f t="shared" si="722"/>
        <v>570</v>
      </c>
      <c r="G8613" s="436">
        <f>SUM(C8613,C8589,C8565,C8541,C8517,C8493,C8469,C8445,C8421,C8397,C8373,C8349,C8325,C8301)/POBLA!$B$20*100000</f>
        <v>397.59583043932423</v>
      </c>
      <c r="H8613" s="418">
        <f t="shared" si="723"/>
        <v>0.66575091575091572</v>
      </c>
      <c r="I8613" s="437"/>
      <c r="J8613" s="531"/>
    </row>
    <row r="8614" spans="1:10" s="393" customFormat="1" ht="16.5" thickTop="1" thickBot="1" x14ac:dyDescent="0.3">
      <c r="A8614" s="402" t="s">
        <v>22</v>
      </c>
      <c r="B8614" s="2">
        <v>44251</v>
      </c>
      <c r="C8614" s="1">
        <v>482</v>
      </c>
      <c r="D8614" s="39">
        <f t="shared" si="724"/>
        <v>215264</v>
      </c>
      <c r="E8614" s="1">
        <v>19</v>
      </c>
      <c r="F8614" s="39">
        <f t="shared" si="722"/>
        <v>3887</v>
      </c>
      <c r="G8614" s="436">
        <f>SUM(C8614,C8590,C8566,C8542,C8518,C8494,C8470,C8446,C8422,C8398,C8374,C8350,C8326,C8302)/POBLA!$B$21*100000</f>
        <v>134.31670124968261</v>
      </c>
      <c r="H8614" s="418">
        <f t="shared" si="723"/>
        <v>0.70758230299419034</v>
      </c>
      <c r="I8614" s="435"/>
      <c r="J8614" s="538"/>
    </row>
    <row r="8615" spans="1:10" s="393" customFormat="1" ht="16.5" thickTop="1" thickBot="1" x14ac:dyDescent="0.3">
      <c r="A8615" s="402" t="s">
        <v>38</v>
      </c>
      <c r="B8615" s="2">
        <v>44251</v>
      </c>
      <c r="C8615" s="1">
        <v>65</v>
      </c>
      <c r="D8615" s="39">
        <f t="shared" si="724"/>
        <v>22340</v>
      </c>
      <c r="E8615" s="1"/>
      <c r="F8615" s="39">
        <f t="shared" si="722"/>
        <v>265</v>
      </c>
      <c r="G8615" s="436">
        <f>SUM(C8615,C8591,C8567,C8543,C8519,C8495,C8471,C8447,C8423,C8399,C8375,C8351,C8327,C8303)/POBLA!$B$22*100000</f>
        <v>72.26726006911899</v>
      </c>
      <c r="H8615" s="418">
        <f t="shared" si="723"/>
        <v>0.72069317023445467</v>
      </c>
      <c r="I8615" s="438"/>
      <c r="J8615" s="531"/>
    </row>
    <row r="8616" spans="1:10" s="393" customFormat="1" ht="16.5" thickTop="1" thickBot="1" x14ac:dyDescent="0.3">
      <c r="A8616" s="402" t="s">
        <v>39</v>
      </c>
      <c r="B8616" s="2">
        <v>44251</v>
      </c>
      <c r="C8616" s="1">
        <v>38</v>
      </c>
      <c r="D8616" s="39">
        <f t="shared" si="724"/>
        <v>22833</v>
      </c>
      <c r="E8616" s="1">
        <v>1</v>
      </c>
      <c r="F8616" s="39">
        <f t="shared" si="722"/>
        <v>350</v>
      </c>
      <c r="G8616" s="436">
        <f>SUM(C8616,C8592,C8568,C8544,C8520,C8496,C8472,C8448,C8424,C8400,C8376,C8352,C8328,C8304)/POBLA!$B$23*100000</f>
        <v>291.2401741785896</v>
      </c>
      <c r="H8616" s="418">
        <f t="shared" si="723"/>
        <v>0.77912254160363081</v>
      </c>
      <c r="I8616" s="438"/>
      <c r="J8616" s="531"/>
    </row>
    <row r="8617" spans="1:10" s="393" customFormat="1" ht="16.5" thickTop="1" thickBot="1" x14ac:dyDescent="0.3">
      <c r="A8617" s="404" t="s">
        <v>40</v>
      </c>
      <c r="B8617" s="268">
        <v>44251</v>
      </c>
      <c r="C8617" s="234">
        <v>219</v>
      </c>
      <c r="D8617" s="177">
        <f t="shared" si="724"/>
        <v>79274</v>
      </c>
      <c r="E8617" s="44">
        <v>5</v>
      </c>
      <c r="F8617" s="177">
        <f t="shared" si="722"/>
        <v>1471</v>
      </c>
      <c r="G8617" s="439">
        <f>SUM(C8617,C8593,C8569,C8545,C8521,C8497,C8473,C8449,C8425,C8401,C8377,C8353,C8329,C8305)/POBLA!$B$24*100000</f>
        <v>97.659938064126294</v>
      </c>
      <c r="H8617" s="419">
        <f t="shared" si="723"/>
        <v>0.96165020337013363</v>
      </c>
      <c r="I8617" s="437"/>
      <c r="J8617" s="538"/>
    </row>
    <row r="8618" spans="1:10" s="393" customFormat="1" x14ac:dyDescent="0.25">
      <c r="A8618" s="397" t="s">
        <v>16</v>
      </c>
      <c r="B8618" s="269">
        <v>44252</v>
      </c>
      <c r="C8618" s="1">
        <v>3254</v>
      </c>
      <c r="D8618" s="175">
        <f t="shared" si="724"/>
        <v>874028</v>
      </c>
      <c r="E8618" s="227">
        <v>32</v>
      </c>
      <c r="F8618" s="175">
        <f t="shared" ref="F8618:F8624" si="725">E8618+F8594</f>
        <v>26170</v>
      </c>
      <c r="G8618" s="410">
        <f>SUM(C8618,C8594,C8570,C8546,C8522,C8498,C8474,C8450,C8426,C8402,C8378,C8354,C8330,C8306)/POBLA!$B$1*100000</f>
        <v>203.3733153390649</v>
      </c>
      <c r="H8618" s="416">
        <f t="shared" ref="H8618:H8624" si="726">SUM(C8618,C8594,C8570,C8546,C8522,C8498,C8474,C8450,C8426,C8402,C8378,C8354,C8330,C8306)/SUM(C8282,C8258,C8234,C8210,C8186,C8162,C8138,C8114,C8090,C8066,C8042,C8018,C7994,C7970)</f>
        <v>0.81480973916221278</v>
      </c>
      <c r="J8618" s="42"/>
    </row>
    <row r="8619" spans="1:10" s="393" customFormat="1" x14ac:dyDescent="0.25">
      <c r="A8619" s="402" t="s">
        <v>43</v>
      </c>
      <c r="B8619" s="269">
        <v>44252</v>
      </c>
      <c r="C8619" s="1">
        <v>884</v>
      </c>
      <c r="D8619" s="39">
        <f t="shared" si="724"/>
        <v>230265</v>
      </c>
      <c r="E8619" s="1">
        <v>12</v>
      </c>
      <c r="F8619" s="39">
        <f t="shared" si="725"/>
        <v>6484</v>
      </c>
      <c r="G8619" s="436">
        <f>SUM(C8619,C8595,C8571,C8547,C8523,C8499,C8475,C8451,C8427,C8403,C8379,C8355,C8331,C8307)/POBLA!$B$2*100000</f>
        <v>319.67268014589456</v>
      </c>
      <c r="H8619" s="418">
        <f t="shared" si="726"/>
        <v>0.7512224938875306</v>
      </c>
      <c r="J8619" s="42"/>
    </row>
    <row r="8620" spans="1:10" s="393" customFormat="1" x14ac:dyDescent="0.25">
      <c r="A8620" s="402" t="s">
        <v>28</v>
      </c>
      <c r="B8620" s="269">
        <v>44252</v>
      </c>
      <c r="C8620" s="1">
        <v>127</v>
      </c>
      <c r="D8620" s="39">
        <f t="shared" si="724"/>
        <v>7639</v>
      </c>
      <c r="E8620" s="1"/>
      <c r="F8620" s="39">
        <f t="shared" si="725"/>
        <v>17</v>
      </c>
      <c r="G8620" s="436">
        <f>SUM(C8620,C8596,C8572,C8548,C8524,C8500,C8476,C8452,C8428,C8404,C8380,C8356,C8332,C8308)/POBLA!$B$3*100000</f>
        <v>259.48516986890945</v>
      </c>
      <c r="H8620" s="418">
        <f t="shared" si="726"/>
        <v>0.70874424720578566</v>
      </c>
      <c r="J8620" s="42"/>
    </row>
    <row r="8621" spans="1:10" s="393" customFormat="1" x14ac:dyDescent="0.25">
      <c r="A8621" s="402" t="s">
        <v>15</v>
      </c>
      <c r="B8621" s="269">
        <v>44252</v>
      </c>
      <c r="C8621" s="1">
        <v>174</v>
      </c>
      <c r="D8621" s="39">
        <f t="shared" si="724"/>
        <v>33851</v>
      </c>
      <c r="E8621" s="1">
        <v>1</v>
      </c>
      <c r="F8621" s="39">
        <f t="shared" si="725"/>
        <v>862</v>
      </c>
      <c r="G8621" s="436">
        <f>SUM(C8621,C8597,C8573,C8549,C8525,C8501,C8477,C8453,C8429,C8405,C8381,C8357,C8333,C8309)/POBLA!$B$4*100000</f>
        <v>139.38919472230501</v>
      </c>
      <c r="H8621" s="418">
        <f t="shared" si="726"/>
        <v>0.92151481888035125</v>
      </c>
      <c r="J8621" s="42"/>
    </row>
    <row r="8622" spans="1:10" s="393" customFormat="1" x14ac:dyDescent="0.25">
      <c r="A8622" s="402" t="s">
        <v>29</v>
      </c>
      <c r="B8622" s="269">
        <v>44252</v>
      </c>
      <c r="C8622" s="1">
        <v>142</v>
      </c>
      <c r="D8622" s="39">
        <f t="shared" si="724"/>
        <v>46734</v>
      </c>
      <c r="E8622" s="1">
        <v>8</v>
      </c>
      <c r="F8622" s="39">
        <f t="shared" si="725"/>
        <v>768</v>
      </c>
      <c r="G8622" s="436">
        <f>SUM(C8622,C8598,C8574,C8550,C8526,C8502,C8478,C8454,C8430,C8406,C8382,C8358,C8334,C8310)/POBLA!$B$5*100000</f>
        <v>311.63468466576415</v>
      </c>
      <c r="H8622" s="418">
        <f t="shared" si="726"/>
        <v>0.60018668326073432</v>
      </c>
      <c r="J8622" s="42"/>
    </row>
    <row r="8623" spans="1:10" s="393" customFormat="1" x14ac:dyDescent="0.25">
      <c r="A8623" s="402" t="s">
        <v>30</v>
      </c>
      <c r="B8623" s="269">
        <v>44252</v>
      </c>
      <c r="C8623" s="1">
        <v>95</v>
      </c>
      <c r="D8623" s="39">
        <f t="shared" si="724"/>
        <v>21403</v>
      </c>
      <c r="E8623" s="1"/>
      <c r="F8623" s="39">
        <f t="shared" si="725"/>
        <v>296</v>
      </c>
      <c r="G8623" s="436">
        <f>SUM(C8623,C8599,C8575,C8551,C8527,C8503,C8479,C8455,C8431,C8407,C8383,C8359,C8335,C8311)/POBLA!$B$7*100000</f>
        <v>59.859857197941736</v>
      </c>
      <c r="H8623" s="418">
        <f t="shared" si="726"/>
        <v>1.0278538812785387</v>
      </c>
      <c r="J8623" s="42"/>
    </row>
    <row r="8624" spans="1:10" s="393" customFormat="1" x14ac:dyDescent="0.25">
      <c r="A8624" s="402" t="s">
        <v>20</v>
      </c>
      <c r="B8624" s="269">
        <v>44252</v>
      </c>
      <c r="C8624" s="1">
        <v>1076</v>
      </c>
      <c r="D8624" s="39">
        <f t="shared" si="724"/>
        <v>158595</v>
      </c>
      <c r="E8624" s="1">
        <v>10</v>
      </c>
      <c r="F8624" s="39">
        <f t="shared" si="725"/>
        <v>2824</v>
      </c>
      <c r="G8624" s="436">
        <f>SUM(C8624,C8600,C8576,C8552,C8528,C8504,C8480,C8456,C8432,C8408,C8384,C8360,C8336,C8312)/POBLA!$B$6*100000</f>
        <v>716.54111657644842</v>
      </c>
      <c r="H8624" s="418">
        <f t="shared" si="726"/>
        <v>1.1963354684939669</v>
      </c>
      <c r="J8624" s="42"/>
    </row>
    <row r="8625" spans="1:10" x14ac:dyDescent="0.25">
      <c r="A8625" s="402" t="s">
        <v>31</v>
      </c>
      <c r="B8625" s="269">
        <v>44252</v>
      </c>
      <c r="C8625" s="1">
        <v>160</v>
      </c>
      <c r="D8625" s="39">
        <f t="shared" si="724"/>
        <v>44911</v>
      </c>
      <c r="E8625" s="1">
        <v>6</v>
      </c>
      <c r="F8625" s="39">
        <f t="shared" ref="F8625:F8641" si="727">E8625+F8601</f>
        <v>834</v>
      </c>
      <c r="G8625" s="169">
        <f>SUM(C8625,C8601,C8577,C8553,C8529,C8505,C8481,C8457,C8433,C8409,C8385,C8361,C8337,C8313)/POBLA!$B$8*100000</f>
        <v>126.91554812869914</v>
      </c>
      <c r="H8625" s="527">
        <f t="shared" ref="H8625:H8641" si="728">SUM(C8625,C8601,C8577,C8553,C8529,C8505,C8481,C8457,C8433,C8409,C8385,C8361,C8337,C8313)/SUM(C8289,C8265,C8241,C8217,C8193,C8169,C8145,C8121,C8097,C8073,C8049,C8025,C8001,C7977)</f>
        <v>0.62023977433004229</v>
      </c>
    </row>
    <row r="8626" spans="1:10" s="393" customFormat="1" x14ac:dyDescent="0.25">
      <c r="A8626" s="402" t="s">
        <v>41</v>
      </c>
      <c r="B8626" s="269">
        <v>44252</v>
      </c>
      <c r="C8626" s="1">
        <v>10</v>
      </c>
      <c r="D8626" s="39">
        <f t="shared" si="724"/>
        <v>1185</v>
      </c>
      <c r="E8626" s="1"/>
      <c r="F8626" s="39">
        <f t="shared" si="727"/>
        <v>19</v>
      </c>
      <c r="G8626" s="436">
        <f>SUM(C8626,C8602,C8578,C8554,C8530,C8506,C8482,C8458,C8434,C8410,C8386,C8362,C8338,C8314)/POBLA!$B$9*100000</f>
        <v>45.10957661440235</v>
      </c>
      <c r="H8626" s="418">
        <f t="shared" si="728"/>
        <v>3.4556962025316458</v>
      </c>
      <c r="J8626" s="42"/>
    </row>
    <row r="8627" spans="1:10" s="393" customFormat="1" x14ac:dyDescent="0.25">
      <c r="A8627" s="402" t="s">
        <v>32</v>
      </c>
      <c r="B8627" s="269">
        <v>44252</v>
      </c>
      <c r="C8627" s="1">
        <v>106</v>
      </c>
      <c r="D8627" s="39">
        <f t="shared" si="724"/>
        <v>20491</v>
      </c>
      <c r="E8627" s="1"/>
      <c r="F8627" s="39">
        <f t="shared" si="727"/>
        <v>904</v>
      </c>
      <c r="G8627" s="436">
        <f>SUM(C8627,C8603,C8579,C8555,C8531,C8507,C8483,C8459,C8435,C8411,C8387,C8363,C8339,C8315)/POBLA!$B$10*100000</f>
        <v>107.79873936444147</v>
      </c>
      <c r="H8627" s="418">
        <f t="shared" si="728"/>
        <v>2.0072463768115942</v>
      </c>
      <c r="J8627" s="42"/>
    </row>
    <row r="8628" spans="1:10" s="393" customFormat="1" x14ac:dyDescent="0.25">
      <c r="A8628" s="402" t="s">
        <v>33</v>
      </c>
      <c r="B8628" s="269">
        <v>44252</v>
      </c>
      <c r="C8628" s="1">
        <v>222</v>
      </c>
      <c r="D8628" s="39">
        <f t="shared" si="724"/>
        <v>18537</v>
      </c>
      <c r="E8628" s="1">
        <v>1</v>
      </c>
      <c r="F8628" s="39">
        <f t="shared" si="727"/>
        <v>285</v>
      </c>
      <c r="G8628" s="436">
        <f>SUM(C8628,C8604,C8580,C8556,C8532,C8508,C8484,C8460,C8436,C8412,C8388,C8364,C8340,C8316)/POBLA!$B$11*100000</f>
        <v>296.29381633131339</v>
      </c>
      <c r="H8628" s="418">
        <f t="shared" si="728"/>
        <v>0.85852869846402591</v>
      </c>
      <c r="J8628" s="42"/>
    </row>
    <row r="8629" spans="1:10" s="393" customFormat="1" x14ac:dyDescent="0.25">
      <c r="A8629" s="402" t="s">
        <v>21</v>
      </c>
      <c r="B8629" s="269">
        <v>44252</v>
      </c>
      <c r="C8629" s="1">
        <v>23</v>
      </c>
      <c r="D8629" s="39">
        <f t="shared" si="724"/>
        <v>10148</v>
      </c>
      <c r="E8629" s="1"/>
      <c r="F8629" s="39">
        <f t="shared" si="727"/>
        <v>435</v>
      </c>
      <c r="G8629" s="436">
        <f>SUM(C8629,C8605,C8581,C8557,C8533,C8509,C8485,C8461,C8437,C8413,C8389,C8365,C8341,C8317)/POBLA!$B$12*100000</f>
        <v>99.865067809143369</v>
      </c>
      <c r="H8629" s="418">
        <f t="shared" si="728"/>
        <v>1.5291828793774318</v>
      </c>
      <c r="J8629" s="42"/>
    </row>
    <row r="8630" spans="1:10" s="393" customFormat="1" x14ac:dyDescent="0.25">
      <c r="A8630" s="402" t="s">
        <v>17</v>
      </c>
      <c r="B8630" s="269">
        <v>44252</v>
      </c>
      <c r="C8630" s="1">
        <v>220</v>
      </c>
      <c r="D8630" s="39">
        <f t="shared" si="724"/>
        <v>66927</v>
      </c>
      <c r="E8630" s="1">
        <v>11</v>
      </c>
      <c r="F8630" s="39">
        <f t="shared" si="727"/>
        <v>1446</v>
      </c>
      <c r="G8630" s="436">
        <f>SUM(C8630,C8606,C8582,C8558,C8534,C8510,C8486,C8462,C8438,C8414,C8390,C8366,C8342,C8318)/POBLA!$B$13*100000</f>
        <v>77.976705464097051</v>
      </c>
      <c r="H8630" s="418">
        <f t="shared" si="728"/>
        <v>0.86078757626178592</v>
      </c>
      <c r="J8630" s="42"/>
    </row>
    <row r="8631" spans="1:10" s="393" customFormat="1" x14ac:dyDescent="0.25">
      <c r="A8631" s="402" t="s">
        <v>23</v>
      </c>
      <c r="B8631" s="269">
        <v>44252</v>
      </c>
      <c r="C8631" s="1">
        <v>127</v>
      </c>
      <c r="D8631" s="39">
        <f t="shared" si="724"/>
        <v>7960</v>
      </c>
      <c r="E8631" s="1">
        <v>4</v>
      </c>
      <c r="F8631" s="39">
        <f t="shared" si="727"/>
        <v>138</v>
      </c>
      <c r="G8631" s="436">
        <f>SUM(C8631,C8607,C8583,C8559,C8535,C8511,C8487,C8463,C8439,C8415,C8391,C8367,C8343,C8319)/POBLA!$B$14*100000</f>
        <v>122.49324899666534</v>
      </c>
      <c r="H8631" s="418">
        <f t="shared" si="728"/>
        <v>0.68272205037560763</v>
      </c>
      <c r="J8631" s="42"/>
    </row>
    <row r="8632" spans="1:10" s="393" customFormat="1" x14ac:dyDescent="0.25">
      <c r="A8632" s="402" t="s">
        <v>19</v>
      </c>
      <c r="B8632" s="269">
        <v>44252</v>
      </c>
      <c r="C8632" s="1">
        <v>201</v>
      </c>
      <c r="D8632" s="39">
        <f t="shared" si="724"/>
        <v>60841</v>
      </c>
      <c r="E8632" s="1">
        <v>1</v>
      </c>
      <c r="F8632" s="39">
        <f t="shared" si="727"/>
        <v>894</v>
      </c>
      <c r="G8632" s="436">
        <f>SUM(C8632,C8608,C8584,C8560,C8536,C8512,C8488,C8464,C8440,C8416,C8392,C8368,C8344,C8320)/POBLA!$B$15*100000</f>
        <v>437.16126778273554</v>
      </c>
      <c r="H8632" s="418">
        <f t="shared" si="728"/>
        <v>0.59317531671434409</v>
      </c>
      <c r="J8632" s="42"/>
    </row>
    <row r="8633" spans="1:10" s="393" customFormat="1" x14ac:dyDescent="0.25">
      <c r="A8633" s="402" t="s">
        <v>18</v>
      </c>
      <c r="B8633" s="269">
        <v>44252</v>
      </c>
      <c r="C8633" s="1">
        <v>130</v>
      </c>
      <c r="D8633" s="39">
        <f t="shared" si="724"/>
        <v>52039</v>
      </c>
      <c r="E8633" s="1">
        <v>5</v>
      </c>
      <c r="F8633" s="39">
        <f t="shared" si="727"/>
        <v>1175</v>
      </c>
      <c r="G8633" s="436">
        <f>SUM(C8633,C8609,C8585,C8561,C8537,C8513,C8489,C8465,C8441,C8417,C8393,C8369,C8345,C8321)/POBLA!$B$16*100000</f>
        <v>240.63348537338987</v>
      </c>
      <c r="H8633" s="418">
        <f t="shared" si="728"/>
        <v>0.6123213070115725</v>
      </c>
      <c r="J8633" s="42"/>
    </row>
    <row r="8634" spans="1:10" s="393" customFormat="1" x14ac:dyDescent="0.25">
      <c r="A8634" s="402" t="s">
        <v>34</v>
      </c>
      <c r="B8634" s="269">
        <v>44252</v>
      </c>
      <c r="C8634" s="1">
        <v>139</v>
      </c>
      <c r="D8634" s="39">
        <f t="shared" si="724"/>
        <v>25879</v>
      </c>
      <c r="E8634" s="1">
        <v>4</v>
      </c>
      <c r="F8634" s="39">
        <f t="shared" si="727"/>
        <v>1092</v>
      </c>
      <c r="G8634" s="436">
        <f>SUM(C8634,C8610,C8586,C8562,C8538,C8514,C8490,C8466,C8442,C8418,C8394,C8370,C8346,C8322)/POBLA!$B$17*100000</f>
        <v>89.160536002252186</v>
      </c>
      <c r="H8634" s="418">
        <f t="shared" si="728"/>
        <v>1.3670613562970937</v>
      </c>
      <c r="J8634" s="42"/>
    </row>
    <row r="8635" spans="1:10" s="393" customFormat="1" x14ac:dyDescent="0.25">
      <c r="A8635" s="402" t="s">
        <v>35</v>
      </c>
      <c r="B8635" s="269">
        <v>44252</v>
      </c>
      <c r="C8635" s="1">
        <v>51</v>
      </c>
      <c r="D8635" s="39">
        <f t="shared" si="724"/>
        <v>15192</v>
      </c>
      <c r="E8635" s="1"/>
      <c r="F8635" s="39">
        <f t="shared" si="727"/>
        <v>207</v>
      </c>
      <c r="G8635" s="436">
        <f>SUM(C8635,C8611,C8587,C8563,C8539,C8515,C8491,C8467,C8443,C8419,C8395,C8371,C8347,C8323)/POBLA!$B$18*100000</f>
        <v>83.843541551195131</v>
      </c>
      <c r="H8635" s="418">
        <f t="shared" si="728"/>
        <v>0.9330484330484331</v>
      </c>
      <c r="J8635" s="42"/>
    </row>
    <row r="8636" spans="1:10" s="393" customFormat="1" x14ac:dyDescent="0.25">
      <c r="A8636" s="402" t="s">
        <v>36</v>
      </c>
      <c r="B8636" s="269">
        <v>44252</v>
      </c>
      <c r="C8636" s="1">
        <v>168</v>
      </c>
      <c r="D8636" s="39">
        <f t="shared" si="724"/>
        <v>20753</v>
      </c>
      <c r="E8636" s="1"/>
      <c r="F8636" s="39">
        <f t="shared" si="727"/>
        <v>353</v>
      </c>
      <c r="G8636" s="436">
        <f>SUM(C8636,C8612,C8588,C8564,C8540,C8516,C8492,C8468,C8444,C8420,C8396,C8372,C8348,C8324)/POBLA!$B$19*100000</f>
        <v>316.33118773705166</v>
      </c>
      <c r="H8636" s="418">
        <f t="shared" si="728"/>
        <v>8.1212121212121211</v>
      </c>
      <c r="J8636" s="42"/>
    </row>
    <row r="8637" spans="1:10" s="393" customFormat="1" x14ac:dyDescent="0.25">
      <c r="A8637" s="402" t="s">
        <v>37</v>
      </c>
      <c r="B8637" s="269">
        <v>44252</v>
      </c>
      <c r="C8637" s="1">
        <v>136</v>
      </c>
      <c r="D8637" s="39">
        <f t="shared" si="724"/>
        <v>35767</v>
      </c>
      <c r="E8637" s="1">
        <v>1</v>
      </c>
      <c r="F8637" s="39">
        <f t="shared" si="727"/>
        <v>571</v>
      </c>
      <c r="G8637" s="436">
        <f>SUM(C8637,C8613,C8589,C8565,C8541,C8517,C8493,C8469,C8445,C8421,C8397,C8373,C8349,C8325)/POBLA!$B$20*100000</f>
        <v>403.61172333455477</v>
      </c>
      <c r="H8637" s="418">
        <f t="shared" si="728"/>
        <v>0.68619246861924688</v>
      </c>
      <c r="J8637" s="42"/>
    </row>
    <row r="8638" spans="1:10" s="393" customFormat="1" x14ac:dyDescent="0.25">
      <c r="A8638" s="402" t="s">
        <v>22</v>
      </c>
      <c r="B8638" s="269">
        <v>44252</v>
      </c>
      <c r="C8638" s="1">
        <v>438</v>
      </c>
      <c r="D8638" s="39">
        <f t="shared" si="724"/>
        <v>215702</v>
      </c>
      <c r="E8638" s="1">
        <v>47</v>
      </c>
      <c r="F8638" s="39">
        <f t="shared" si="727"/>
        <v>3934</v>
      </c>
      <c r="G8638" s="436">
        <f>SUM(C8638,C8614,C8590,C8566,C8542,C8518,C8494,C8470,C8446,C8422,C8398,C8374,C8350,C8326)/POBLA!$B$21*100000</f>
        <v>133.80771164494695</v>
      </c>
      <c r="H8638" s="418">
        <f t="shared" si="728"/>
        <v>0.72721684339941606</v>
      </c>
      <c r="J8638" s="42"/>
    </row>
    <row r="8639" spans="1:10" s="393" customFormat="1" x14ac:dyDescent="0.25">
      <c r="A8639" s="402" t="s">
        <v>38</v>
      </c>
      <c r="B8639" s="269">
        <v>44252</v>
      </c>
      <c r="C8639" s="1">
        <v>78</v>
      </c>
      <c r="D8639" s="39">
        <f t="shared" si="724"/>
        <v>22418</v>
      </c>
      <c r="E8639" s="1"/>
      <c r="F8639" s="39">
        <f t="shared" si="727"/>
        <v>265</v>
      </c>
      <c r="G8639" s="436">
        <f>SUM(C8639,C8615,C8591,C8567,C8543,C8519,C8495,C8471,C8447,C8423,C8399,C8375,C8351,C8327)/POBLA!$B$22*100000</f>
        <v>71.142875541876677</v>
      </c>
      <c r="H8639" s="418">
        <f t="shared" si="728"/>
        <v>0.69669669669669665</v>
      </c>
      <c r="J8639" s="42"/>
    </row>
    <row r="8640" spans="1:10" s="393" customFormat="1" x14ac:dyDescent="0.25">
      <c r="A8640" s="402" t="s">
        <v>39</v>
      </c>
      <c r="B8640" s="269">
        <v>44252</v>
      </c>
      <c r="C8640" s="1">
        <v>34</v>
      </c>
      <c r="D8640" s="39">
        <f t="shared" si="724"/>
        <v>22867</v>
      </c>
      <c r="E8640" s="1"/>
      <c r="F8640" s="39">
        <f t="shared" si="727"/>
        <v>350</v>
      </c>
      <c r="G8640" s="436">
        <f>SUM(C8640,C8616,C8592,C8568,C8544,C8520,C8496,C8472,C8448,C8424,C8400,C8376,C8352,C8328)/POBLA!$B$23*100000</f>
        <v>283.32296556014251</v>
      </c>
      <c r="H8640" s="418">
        <f t="shared" si="728"/>
        <v>0.7455357142857143</v>
      </c>
      <c r="J8640" s="42"/>
    </row>
    <row r="8641" spans="1:10" s="393" customFormat="1" ht="15.75" thickBot="1" x14ac:dyDescent="0.3">
      <c r="A8641" s="404" t="s">
        <v>40</v>
      </c>
      <c r="B8641" s="269">
        <v>44252</v>
      </c>
      <c r="C8641" s="1">
        <v>239</v>
      </c>
      <c r="D8641" s="177">
        <f t="shared" si="724"/>
        <v>79513</v>
      </c>
      <c r="E8641" s="1">
        <v>2</v>
      </c>
      <c r="F8641" s="177">
        <f t="shared" si="727"/>
        <v>1473</v>
      </c>
      <c r="G8641" s="439">
        <f>SUM(C8641,C8617,C8593,C8569,C8545,C8521,C8497,C8473,C8449,C8425,C8401,C8377,C8353,C8329)/POBLA!$B$24*100000</f>
        <v>104.50498508251822</v>
      </c>
      <c r="H8641" s="419">
        <f t="shared" si="728"/>
        <v>1.0986352357320099</v>
      </c>
      <c r="J8641" s="42"/>
    </row>
    <row r="8642" spans="1:10" s="393" customFormat="1" x14ac:dyDescent="0.25">
      <c r="A8642" s="397" t="s">
        <v>16</v>
      </c>
      <c r="B8642" s="269">
        <v>44253</v>
      </c>
      <c r="C8642" s="1">
        <v>2088</v>
      </c>
      <c r="D8642" s="175">
        <f t="shared" ref="D8642:D8705" si="729">C8642+D8618</f>
        <v>876116</v>
      </c>
      <c r="E8642" s="1">
        <v>30</v>
      </c>
      <c r="F8642" s="175">
        <f t="shared" ref="F8642:F8648" si="730">E8642+F8618</f>
        <v>26200</v>
      </c>
      <c r="G8642" s="410">
        <f>SUM(C8642,C8618,C8594,C8570,C8546,C8522,C8498,C8474,C8450,C8426,C8402,C8378,C8354,C8330)/POBLA!$B$1*100000</f>
        <v>196.99402678537274</v>
      </c>
      <c r="H8642" s="416">
        <f t="shared" ref="H8642:H8665" si="731">SUM(C8642,C8618,C8594,C8570,C8546,C8522,C8498,C8474,C8450,C8426,C8402,C8378,C8354,C8330)/SUM(C8306,C8282,C8258,C8234,C8210,C8186,C8162,C8138,C8114,C8090,C8066,C8042,C8018,C7994)</f>
        <v>0.81294405495694722</v>
      </c>
      <c r="J8642" s="42"/>
    </row>
    <row r="8643" spans="1:10" s="393" customFormat="1" x14ac:dyDescent="0.25">
      <c r="A8643" s="402" t="s">
        <v>43</v>
      </c>
      <c r="B8643" s="269">
        <v>44253</v>
      </c>
      <c r="C8643" s="1">
        <v>607</v>
      </c>
      <c r="D8643" s="39">
        <f t="shared" si="729"/>
        <v>230872</v>
      </c>
      <c r="E8643" s="1">
        <v>24</v>
      </c>
      <c r="F8643" s="39">
        <f t="shared" si="730"/>
        <v>6508</v>
      </c>
      <c r="G8643" s="436">
        <f>SUM(C8643,C8619,C8595,C8571,C8547,C8523,C8499,C8475,C8451,C8427,C8403,C8379,C8355,C8331)/POBLA!$B$2*100000</f>
        <v>313.00741372706739</v>
      </c>
      <c r="H8643" s="418">
        <f t="shared" si="731"/>
        <v>0.75773317591499412</v>
      </c>
      <c r="J8643" s="42"/>
    </row>
    <row r="8644" spans="1:10" s="393" customFormat="1" x14ac:dyDescent="0.25">
      <c r="A8644" s="402" t="s">
        <v>28</v>
      </c>
      <c r="B8644" s="269">
        <v>44253</v>
      </c>
      <c r="C8644" s="1">
        <v>83</v>
      </c>
      <c r="D8644" s="39">
        <f t="shared" si="729"/>
        <v>7722</v>
      </c>
      <c r="E8644" s="1"/>
      <c r="F8644" s="39">
        <f t="shared" si="730"/>
        <v>17</v>
      </c>
      <c r="G8644" s="436">
        <f>SUM(C8644,C8620,C8596,C8572,C8548,C8524,C8500,C8476,C8452,C8428,C8404,C8380,C8356,C8332)/POBLA!$B$3*100000</f>
        <v>250.09748747105465</v>
      </c>
      <c r="H8644" s="418">
        <f t="shared" si="731"/>
        <v>0.67997382198952883</v>
      </c>
      <c r="J8644" s="42"/>
    </row>
    <row r="8645" spans="1:10" s="393" customFormat="1" x14ac:dyDescent="0.25">
      <c r="A8645" s="402" t="s">
        <v>15</v>
      </c>
      <c r="B8645" s="269">
        <v>44253</v>
      </c>
      <c r="C8645" s="1">
        <v>103</v>
      </c>
      <c r="D8645" s="39">
        <f t="shared" si="729"/>
        <v>33954</v>
      </c>
      <c r="E8645" s="1">
        <v>1</v>
      </c>
      <c r="F8645" s="39">
        <f t="shared" si="730"/>
        <v>863</v>
      </c>
      <c r="G8645" s="436">
        <f>SUM(C8645,C8621,C8597,C8573,C8549,C8525,C8501,C8477,C8453,C8429,C8405,C8381,C8357,C8333)/POBLA!$B$4*100000</f>
        <v>138.06088792328364</v>
      </c>
      <c r="H8645" s="418">
        <f t="shared" si="731"/>
        <v>0.95629672225416906</v>
      </c>
      <c r="J8645" s="42"/>
    </row>
    <row r="8646" spans="1:10" s="393" customFormat="1" x14ac:dyDescent="0.25">
      <c r="A8646" s="402" t="s">
        <v>29</v>
      </c>
      <c r="B8646" s="269">
        <v>44253</v>
      </c>
      <c r="C8646" s="1">
        <v>71</v>
      </c>
      <c r="D8646" s="39">
        <f t="shared" si="729"/>
        <v>46805</v>
      </c>
      <c r="E8646" s="1"/>
      <c r="F8646" s="39">
        <f t="shared" si="730"/>
        <v>768</v>
      </c>
      <c r="G8646" s="436">
        <f>SUM(C8646,C8622,C8598,C8574,C8550,C8526,C8502,C8478,C8454,C8430,C8406,C8382,C8358,C8334)/POBLA!$B$5*100000</f>
        <v>285.62473949666719</v>
      </c>
      <c r="H8646" s="418">
        <f t="shared" si="731"/>
        <v>0.57891290111329408</v>
      </c>
      <c r="J8646" s="42"/>
    </row>
    <row r="8647" spans="1:10" s="393" customFormat="1" x14ac:dyDescent="0.25">
      <c r="A8647" s="402" t="s">
        <v>30</v>
      </c>
      <c r="B8647" s="269">
        <v>44253</v>
      </c>
      <c r="C8647" s="1">
        <v>223</v>
      </c>
      <c r="D8647" s="39">
        <f t="shared" si="729"/>
        <v>21626</v>
      </c>
      <c r="E8647" s="1">
        <v>4</v>
      </c>
      <c r="F8647" s="39">
        <f t="shared" si="730"/>
        <v>300</v>
      </c>
      <c r="G8647" s="436">
        <f>SUM(C8647,C8623,C8599,C8575,C8551,C8527,C8503,C8479,C8455,C8431,C8407,C8383,C8359,C8335)/POBLA!$B$7*100000</f>
        <v>64.300815062027155</v>
      </c>
      <c r="H8647" s="418">
        <f t="shared" si="731"/>
        <v>1.1692456479690523</v>
      </c>
      <c r="J8647" s="42"/>
    </row>
    <row r="8648" spans="1:10" s="393" customFormat="1" x14ac:dyDescent="0.25">
      <c r="A8648" s="402" t="s">
        <v>20</v>
      </c>
      <c r="B8648" s="269">
        <v>44253</v>
      </c>
      <c r="C8648" s="1">
        <v>416</v>
      </c>
      <c r="D8648" s="39">
        <f t="shared" si="729"/>
        <v>159011</v>
      </c>
      <c r="E8648" s="1">
        <v>4</v>
      </c>
      <c r="F8648" s="39">
        <f t="shared" si="730"/>
        <v>2828</v>
      </c>
      <c r="G8648" s="436">
        <f>SUM(C8648,C8624,C8600,C8576,C8552,C8528,C8504,C8480,C8456,C8432,C8408,C8384,C8360,C8336)/POBLA!$B$6*100000</f>
        <v>695.75241278335761</v>
      </c>
      <c r="H8648" s="418">
        <f t="shared" si="731"/>
        <v>1.1542332741267023</v>
      </c>
      <c r="J8648" s="42"/>
    </row>
    <row r="8649" spans="1:10" x14ac:dyDescent="0.25">
      <c r="A8649" s="402" t="s">
        <v>31</v>
      </c>
      <c r="B8649" s="269">
        <v>44253</v>
      </c>
      <c r="C8649" s="1">
        <v>92</v>
      </c>
      <c r="D8649" s="39">
        <f t="shared" si="729"/>
        <v>45003</v>
      </c>
      <c r="E8649" s="1">
        <v>2</v>
      </c>
      <c r="F8649" s="39">
        <f t="shared" ref="F8649:F8665" si="732">E8649+F8625</f>
        <v>836</v>
      </c>
      <c r="G8649" s="169">
        <f>SUM(C8649,C8625,C8601,C8577,C8553,C8529,C8505,C8481,C8457,C8433,C8409,C8385,C8361,C8337)/POBLA!$B$8*100000</f>
        <v>121.35983624358838</v>
      </c>
      <c r="H8649" s="527">
        <f t="shared" si="731"/>
        <v>0.62319377547239718</v>
      </c>
    </row>
    <row r="8650" spans="1:10" s="393" customFormat="1" x14ac:dyDescent="0.25">
      <c r="A8650" s="402" t="s">
        <v>41</v>
      </c>
      <c r="B8650" s="269">
        <v>44253</v>
      </c>
      <c r="C8650" s="1">
        <v>23</v>
      </c>
      <c r="D8650" s="39">
        <f t="shared" si="729"/>
        <v>1208</v>
      </c>
      <c r="E8650" s="1"/>
      <c r="F8650" s="39">
        <f t="shared" si="732"/>
        <v>19</v>
      </c>
      <c r="G8650" s="436">
        <f>SUM(C8650,C8626,C8602,C8578,C8554,C8530,C8506,C8482,C8458,C8434,C8410,C8386,C8362,C8338)/POBLA!$B$9*100000</f>
        <v>44.779103525652147</v>
      </c>
      <c r="H8650" s="418">
        <f t="shared" si="731"/>
        <v>2.8229166666666665</v>
      </c>
      <c r="J8650" s="42"/>
    </row>
    <row r="8651" spans="1:10" s="393" customFormat="1" x14ac:dyDescent="0.25">
      <c r="A8651" s="402" t="s">
        <v>32</v>
      </c>
      <c r="B8651" s="269">
        <v>44253</v>
      </c>
      <c r="C8651" s="1">
        <v>83</v>
      </c>
      <c r="D8651" s="39">
        <f t="shared" si="729"/>
        <v>20574</v>
      </c>
      <c r="E8651" s="1"/>
      <c r="F8651" s="39">
        <f t="shared" si="732"/>
        <v>904</v>
      </c>
      <c r="G8651" s="436">
        <f>SUM(C8651,C8627,C8603,C8579,C8555,C8531,C8507,C8483,C8459,C8435,C8411,C8387,C8363,C8339)/POBLA!$B$10*100000</f>
        <v>114.02538134939115</v>
      </c>
      <c r="H8651" s="418">
        <f t="shared" si="731"/>
        <v>2.092857142857143</v>
      </c>
      <c r="J8651" s="42"/>
    </row>
    <row r="8652" spans="1:10" s="393" customFormat="1" x14ac:dyDescent="0.25">
      <c r="A8652" s="402" t="s">
        <v>33</v>
      </c>
      <c r="B8652" s="269">
        <v>44253</v>
      </c>
      <c r="C8652" s="1">
        <v>53</v>
      </c>
      <c r="D8652" s="39">
        <f t="shared" si="729"/>
        <v>18590</v>
      </c>
      <c r="E8652" s="1"/>
      <c r="F8652" s="39">
        <f t="shared" si="732"/>
        <v>285</v>
      </c>
      <c r="G8652" s="436">
        <f>SUM(C8652,C8628,C8604,C8580,C8556,C8532,C8508,C8484,C8460,C8436,C8412,C8388,C8364,C8340)/POBLA!$B$11*100000</f>
        <v>291.2718872409522</v>
      </c>
      <c r="H8652" s="418">
        <f t="shared" si="731"/>
        <v>0.85154975530179444</v>
      </c>
      <c r="J8652" s="42"/>
    </row>
    <row r="8653" spans="1:10" s="393" customFormat="1" x14ac:dyDescent="0.25">
      <c r="A8653" s="402" t="s">
        <v>21</v>
      </c>
      <c r="B8653" s="269">
        <v>44253</v>
      </c>
      <c r="C8653" s="1">
        <v>21</v>
      </c>
      <c r="D8653" s="39">
        <f t="shared" si="729"/>
        <v>10169</v>
      </c>
      <c r="E8653" s="1"/>
      <c r="F8653" s="39">
        <f t="shared" si="732"/>
        <v>435</v>
      </c>
      <c r="G8653" s="436">
        <f>SUM(C8653,C8629,C8605,C8581,C8557,C8533,C8509,C8485,C8461,C8437,C8413,C8389,C8365,C8341)/POBLA!$B$12*100000</f>
        <v>97.832191110738407</v>
      </c>
      <c r="H8653" s="418">
        <f t="shared" si="731"/>
        <v>1.4312267657992566</v>
      </c>
      <c r="J8653" s="42"/>
    </row>
    <row r="8654" spans="1:10" s="393" customFormat="1" x14ac:dyDescent="0.25">
      <c r="A8654" s="402" t="s">
        <v>17</v>
      </c>
      <c r="B8654" s="269">
        <v>44253</v>
      </c>
      <c r="C8654" s="1">
        <v>137</v>
      </c>
      <c r="D8654" s="39">
        <f t="shared" si="729"/>
        <v>67064</v>
      </c>
      <c r="E8654" s="1">
        <v>1</v>
      </c>
      <c r="F8654" s="39">
        <f t="shared" si="732"/>
        <v>1447</v>
      </c>
      <c r="G8654" s="436">
        <f>SUM(C8654,C8630,C8606,C8582,C8558,C8534,C8510,C8486,C8462,C8438,C8414,C8390,C8366,C8342)/POBLA!$B$13*100000</f>
        <v>77.625006405947133</v>
      </c>
      <c r="H8654" s="418">
        <f t="shared" si="731"/>
        <v>0.84472389283761617</v>
      </c>
      <c r="J8654" s="42"/>
    </row>
    <row r="8655" spans="1:10" s="393" customFormat="1" x14ac:dyDescent="0.25">
      <c r="A8655" s="402" t="s">
        <v>23</v>
      </c>
      <c r="B8655" s="269">
        <v>44253</v>
      </c>
      <c r="C8655" s="1">
        <v>116</v>
      </c>
      <c r="D8655" s="39">
        <f t="shared" si="729"/>
        <v>8076</v>
      </c>
      <c r="E8655" s="1">
        <v>1</v>
      </c>
      <c r="F8655" s="39">
        <f t="shared" si="732"/>
        <v>139</v>
      </c>
      <c r="G8655" s="436">
        <f>SUM(C8655,C8631,C8607,C8583,C8559,C8535,C8511,C8487,C8463,C8439,C8415,C8391,C8367,C8343)/POBLA!$B$14*100000</f>
        <v>123.36536921605907</v>
      </c>
      <c r="H8655" s="418">
        <f t="shared" si="731"/>
        <v>0.72338447233844727</v>
      </c>
      <c r="J8655" s="42"/>
    </row>
    <row r="8656" spans="1:10" s="393" customFormat="1" x14ac:dyDescent="0.25">
      <c r="A8656" s="402" t="s">
        <v>19</v>
      </c>
      <c r="B8656" s="269">
        <v>44253</v>
      </c>
      <c r="C8656" s="1">
        <v>173</v>
      </c>
      <c r="D8656" s="39">
        <f t="shared" si="729"/>
        <v>61014</v>
      </c>
      <c r="E8656" s="1">
        <v>2</v>
      </c>
      <c r="F8656" s="39">
        <f t="shared" si="732"/>
        <v>896</v>
      </c>
      <c r="G8656" s="436">
        <f>SUM(C8656,C8632,C8608,C8584,C8560,C8536,C8512,C8488,C8464,C8440,C8416,C8392,C8368,C8344)/POBLA!$B$15*100000</f>
        <v>416.53050867621306</v>
      </c>
      <c r="H8656" s="418">
        <f t="shared" si="731"/>
        <v>0.58614113159567705</v>
      </c>
      <c r="J8656" s="42"/>
    </row>
    <row r="8657" spans="1:10" s="393" customFormat="1" x14ac:dyDescent="0.25">
      <c r="A8657" s="402" t="s">
        <v>18</v>
      </c>
      <c r="B8657" s="269">
        <v>44253</v>
      </c>
      <c r="C8657" s="1">
        <v>146</v>
      </c>
      <c r="D8657" s="39">
        <f t="shared" si="729"/>
        <v>52185</v>
      </c>
      <c r="E8657" s="1">
        <v>5</v>
      </c>
      <c r="F8657" s="39">
        <f t="shared" si="732"/>
        <v>1180</v>
      </c>
      <c r="G8657" s="436">
        <f>SUM(C8657,C8633,C8609,C8585,C8561,C8537,C8513,C8489,C8465,C8441,C8417,C8393,C8369,C8345)/POBLA!$B$16*100000</f>
        <v>239.42964914862026</v>
      </c>
      <c r="H8657" s="418">
        <f t="shared" si="731"/>
        <v>0.64784654361201588</v>
      </c>
      <c r="J8657" s="42"/>
    </row>
    <row r="8658" spans="1:10" s="393" customFormat="1" x14ac:dyDescent="0.25">
      <c r="A8658" s="402" t="s">
        <v>34</v>
      </c>
      <c r="B8658" s="269">
        <v>44253</v>
      </c>
      <c r="C8658" s="1">
        <v>68</v>
      </c>
      <c r="D8658" s="39">
        <f t="shared" si="729"/>
        <v>25947</v>
      </c>
      <c r="E8658" s="1"/>
      <c r="F8658" s="39">
        <f t="shared" si="732"/>
        <v>1092</v>
      </c>
      <c r="G8658" s="436">
        <f>SUM(C8658,C8634,C8610,C8586,C8562,C8538,C8514,C8490,C8466,C8442,C8418,C8394,C8370,C8346)/POBLA!$B$17*100000</f>
        <v>87.545817633707458</v>
      </c>
      <c r="H8658" s="418">
        <f t="shared" si="731"/>
        <v>1.2776639344262295</v>
      </c>
      <c r="J8658" s="42"/>
    </row>
    <row r="8659" spans="1:10" s="393" customFormat="1" x14ac:dyDescent="0.25">
      <c r="A8659" s="402" t="s">
        <v>35</v>
      </c>
      <c r="B8659" s="269">
        <v>44253</v>
      </c>
      <c r="C8659" s="1">
        <v>35</v>
      </c>
      <c r="D8659" s="39">
        <f t="shared" si="729"/>
        <v>15227</v>
      </c>
      <c r="E8659" s="1">
        <v>1</v>
      </c>
      <c r="F8659" s="39">
        <f t="shared" si="732"/>
        <v>208</v>
      </c>
      <c r="G8659" s="436">
        <f>SUM(C8659,C8635,C8611,C8587,C8563,C8539,C8515,C8491,C8467,C8443,C8419,C8395,C8371,C8347)/POBLA!$B$18*100000</f>
        <v>80.515400970537002</v>
      </c>
      <c r="H8659" s="418">
        <f t="shared" si="731"/>
        <v>0.90895953757225434</v>
      </c>
      <c r="J8659" s="42"/>
    </row>
    <row r="8660" spans="1:10" s="393" customFormat="1" x14ac:dyDescent="0.25">
      <c r="A8660" s="402" t="s">
        <v>36</v>
      </c>
      <c r="B8660" s="269">
        <v>44253</v>
      </c>
      <c r="C8660" s="1">
        <v>3</v>
      </c>
      <c r="D8660" s="39">
        <f t="shared" si="729"/>
        <v>20756</v>
      </c>
      <c r="E8660" s="1"/>
      <c r="F8660" s="39">
        <f t="shared" si="732"/>
        <v>353</v>
      </c>
      <c r="G8660" s="436">
        <f>SUM(C8660,C8636,C8612,C8588,C8564,C8540,C8516,C8492,C8468,C8444,C8420,C8396,C8372,C8348)/POBLA!$B$19*100000</f>
        <v>314.95412410884308</v>
      </c>
      <c r="H8660" s="418">
        <f t="shared" si="731"/>
        <v>8.2525773195876297</v>
      </c>
      <c r="J8660" s="42"/>
    </row>
    <row r="8661" spans="1:10" s="393" customFormat="1" x14ac:dyDescent="0.25">
      <c r="A8661" s="402" t="s">
        <v>37</v>
      </c>
      <c r="B8661" s="269">
        <v>44253</v>
      </c>
      <c r="C8661" s="1">
        <v>60</v>
      </c>
      <c r="D8661" s="39">
        <f t="shared" si="729"/>
        <v>35827</v>
      </c>
      <c r="E8661" s="1">
        <v>2</v>
      </c>
      <c r="F8661" s="39">
        <f t="shared" si="732"/>
        <v>573</v>
      </c>
      <c r="G8661" s="436">
        <f>SUM(C8661,C8637,C8613,C8589,C8565,C8541,C8517,C8493,C8469,C8445,C8421,C8397,C8373,C8349)/POBLA!$B$20*100000</f>
        <v>386.93129303414293</v>
      </c>
      <c r="H8661" s="418">
        <f t="shared" si="731"/>
        <v>0.67125237191650855</v>
      </c>
      <c r="J8661" s="42"/>
    </row>
    <row r="8662" spans="1:10" s="393" customFormat="1" x14ac:dyDescent="0.25">
      <c r="A8662" s="402" t="s">
        <v>22</v>
      </c>
      <c r="B8662" s="269">
        <v>44253</v>
      </c>
      <c r="C8662" s="1">
        <v>261</v>
      </c>
      <c r="D8662" s="39">
        <f t="shared" si="729"/>
        <v>215963</v>
      </c>
      <c r="E8662" s="1">
        <v>10</v>
      </c>
      <c r="F8662" s="39">
        <f t="shared" si="732"/>
        <v>3944</v>
      </c>
      <c r="G8662" s="436">
        <f>SUM(C8662,C8638,C8614,C8590,C8566,C8542,C8518,C8494,C8470,C8446,C8422,C8398,C8374,C8350)/POBLA!$B$21*100000</f>
        <v>131.85658482679366</v>
      </c>
      <c r="H8662" s="418">
        <f t="shared" si="731"/>
        <v>0.75136964228166292</v>
      </c>
      <c r="J8662" s="42"/>
    </row>
    <row r="8663" spans="1:10" s="393" customFormat="1" x14ac:dyDescent="0.25">
      <c r="A8663" s="402" t="s">
        <v>38</v>
      </c>
      <c r="B8663" s="269">
        <v>44253</v>
      </c>
      <c r="C8663" s="1">
        <v>67</v>
      </c>
      <c r="D8663" s="39">
        <f t="shared" si="729"/>
        <v>22485</v>
      </c>
      <c r="E8663" s="1">
        <v>2</v>
      </c>
      <c r="F8663" s="39">
        <f t="shared" si="732"/>
        <v>267</v>
      </c>
      <c r="G8663" s="436">
        <f>SUM(C8663,C8639,C8615,C8591,C8567,C8543,C8519,C8495,C8471,C8447,C8423,C8399,C8375,C8351)/POBLA!$B$22*100000</f>
        <v>72.676127169934375</v>
      </c>
      <c r="H8663" s="418">
        <f t="shared" si="731"/>
        <v>0.64402173913043481</v>
      </c>
      <c r="J8663" s="42"/>
    </row>
    <row r="8664" spans="1:10" s="393" customFormat="1" x14ac:dyDescent="0.25">
      <c r="A8664" s="402" t="s">
        <v>39</v>
      </c>
      <c r="B8664" s="269">
        <v>44253</v>
      </c>
      <c r="C8664" s="1">
        <v>27</v>
      </c>
      <c r="D8664" s="39">
        <f t="shared" si="729"/>
        <v>22894</v>
      </c>
      <c r="E8664" s="1">
        <v>3</v>
      </c>
      <c r="F8664" s="39">
        <f t="shared" si="732"/>
        <v>353</v>
      </c>
      <c r="G8664" s="436">
        <f>SUM(C8664,C8640,C8616,C8592,C8568,C8544,C8520,C8496,C8472,C8448,C8424,C8400,C8376,C8352)/POBLA!$B$23*100000</f>
        <v>272.01266753378951</v>
      </c>
      <c r="H8664" s="418">
        <f t="shared" si="731"/>
        <v>0.73660030627871365</v>
      </c>
      <c r="J8664" s="42"/>
    </row>
    <row r="8665" spans="1:10" s="393" customFormat="1" ht="15.75" thickBot="1" x14ac:dyDescent="0.3">
      <c r="A8665" s="404" t="s">
        <v>40</v>
      </c>
      <c r="B8665" s="269">
        <v>44253</v>
      </c>
      <c r="C8665" s="1">
        <v>127</v>
      </c>
      <c r="D8665" s="177">
        <f t="shared" si="729"/>
        <v>79640</v>
      </c>
      <c r="E8665" s="1"/>
      <c r="F8665" s="177">
        <f t="shared" si="732"/>
        <v>1473</v>
      </c>
      <c r="G8665" s="439">
        <f>SUM(C8665,C8641,C8617,C8593,C8569,C8545,C8521,C8497,C8473,C8449,C8425,C8401,C8377,C8353)/POBLA!$B$24*100000</f>
        <v>100.25633520903358</v>
      </c>
      <c r="H8665" s="419">
        <f t="shared" si="731"/>
        <v>1.0155409444112373</v>
      </c>
      <c r="J8665" s="42"/>
    </row>
    <row r="8666" spans="1:10" s="393" customFormat="1" x14ac:dyDescent="0.25">
      <c r="A8666" s="397" t="s">
        <v>16</v>
      </c>
      <c r="B8666" s="269">
        <v>44254</v>
      </c>
      <c r="C8666" s="1">
        <v>2409</v>
      </c>
      <c r="D8666" s="175">
        <f t="shared" si="729"/>
        <v>878525</v>
      </c>
      <c r="E8666" s="1">
        <v>12</v>
      </c>
      <c r="F8666" s="175">
        <f t="shared" ref="F8666:F8672" si="733">E8666+F8642</f>
        <v>26212</v>
      </c>
      <c r="G8666" s="410">
        <f>SUM(C8666,C8642,C8618,C8594,C8570,C8546,C8522,C8498,C8474,C8450,C8426,C8402,C8378,C8354)/POBLA!$B$1*100000</f>
        <v>196.77169233175883</v>
      </c>
      <c r="H8666" s="416">
        <f t="shared" ref="H8666:H8689" si="734">SUM(C8666,C8642,C8618,C8594,C8570,C8546,C8522,C8498,C8474,C8450,C8426,C8402,C8378,C8354)/SUM(C8330,C8306,C8282,C8258,C8234,C8210,C8186,C8162,C8138,C8114,C8090,C8066,C8042,C8018)</f>
        <v>0.82400687547746376</v>
      </c>
      <c r="J8666" s="42"/>
    </row>
    <row r="8667" spans="1:10" s="393" customFormat="1" x14ac:dyDescent="0.25">
      <c r="A8667" s="402" t="s">
        <v>43</v>
      </c>
      <c r="B8667" s="269">
        <v>44254</v>
      </c>
      <c r="C8667" s="1">
        <v>583</v>
      </c>
      <c r="D8667" s="39">
        <f t="shared" si="729"/>
        <v>231455</v>
      </c>
      <c r="E8667" s="1">
        <v>13</v>
      </c>
      <c r="F8667" s="39">
        <f t="shared" si="733"/>
        <v>6521</v>
      </c>
      <c r="G8667" s="436">
        <f>SUM(C8667,C8643,C8619,C8595,C8571,C8547,C8523,C8499,C8475,C8451,C8427,C8403,C8379,C8355)/POBLA!$B$2*100000</f>
        <v>314.37298050555881</v>
      </c>
      <c r="H8667" s="418">
        <f t="shared" si="734"/>
        <v>0.78641724278161851</v>
      </c>
      <c r="J8667" s="42"/>
    </row>
    <row r="8668" spans="1:10" s="393" customFormat="1" x14ac:dyDescent="0.25">
      <c r="A8668" s="402" t="s">
        <v>28</v>
      </c>
      <c r="B8668" s="269">
        <v>44254</v>
      </c>
      <c r="C8668" s="1">
        <v>118</v>
      </c>
      <c r="D8668" s="39">
        <f t="shared" si="729"/>
        <v>7840</v>
      </c>
      <c r="E8668" s="1"/>
      <c r="F8668" s="39">
        <f t="shared" si="733"/>
        <v>17</v>
      </c>
      <c r="G8668" s="436">
        <f>SUM(C8668,C8644,C8620,C8596,C8572,C8548,C8524,C8500,C8476,C8452,C8428,C8404,C8380,C8356)/POBLA!$B$3*100000</f>
        <v>259.7258796739826</v>
      </c>
      <c r="H8668" s="418">
        <f t="shared" si="734"/>
        <v>0.70986842105263159</v>
      </c>
      <c r="J8668" s="42"/>
    </row>
    <row r="8669" spans="1:10" s="393" customFormat="1" x14ac:dyDescent="0.25">
      <c r="A8669" s="402" t="s">
        <v>15</v>
      </c>
      <c r="B8669" s="269">
        <v>44254</v>
      </c>
      <c r="C8669" s="1">
        <v>105</v>
      </c>
      <c r="D8669" s="39">
        <f t="shared" si="729"/>
        <v>34059</v>
      </c>
      <c r="E8669" s="1">
        <v>2</v>
      </c>
      <c r="F8669" s="39">
        <f t="shared" si="733"/>
        <v>865</v>
      </c>
      <c r="G8669" s="436">
        <f>SUM(C8669,C8645,C8621,C8597,C8573,C8549,C8525,C8501,C8477,C8453,C8429,C8405,C8381,C8357)/POBLA!$B$4*100000</f>
        <v>140.55146317144869</v>
      </c>
      <c r="H8669" s="418">
        <f t="shared" si="734"/>
        <v>0.99705535924617195</v>
      </c>
      <c r="J8669" s="42"/>
    </row>
    <row r="8670" spans="1:10" s="393" customFormat="1" x14ac:dyDescent="0.25">
      <c r="A8670" s="402" t="s">
        <v>29</v>
      </c>
      <c r="B8670" s="269">
        <v>44254</v>
      </c>
      <c r="C8670" s="1">
        <v>77</v>
      </c>
      <c r="D8670" s="39">
        <f t="shared" si="729"/>
        <v>46882</v>
      </c>
      <c r="E8670" s="1">
        <v>2</v>
      </c>
      <c r="F8670" s="39">
        <f t="shared" si="733"/>
        <v>770</v>
      </c>
      <c r="G8670" s="436">
        <f>SUM(C8670,C8646,C8622,C8598,C8574,C8550,C8526,C8502,C8478,C8454,C8430,C8406,C8382,C8358)/POBLA!$B$5*100000</f>
        <v>279.97040359034173</v>
      </c>
      <c r="H8670" s="418">
        <f t="shared" si="734"/>
        <v>0.59086259802250252</v>
      </c>
      <c r="J8670" s="42"/>
    </row>
    <row r="8671" spans="1:10" s="393" customFormat="1" x14ac:dyDescent="0.25">
      <c r="A8671" s="402" t="s">
        <v>30</v>
      </c>
      <c r="B8671" s="269">
        <v>44254</v>
      </c>
      <c r="C8671" s="1">
        <v>172</v>
      </c>
      <c r="D8671" s="39">
        <f t="shared" si="729"/>
        <v>21798</v>
      </c>
      <c r="E8671" s="1"/>
      <c r="F8671" s="39">
        <f t="shared" si="733"/>
        <v>300</v>
      </c>
      <c r="G8671" s="436">
        <f>SUM(C8671,C8647,C8623,C8599,C8575,C8551,C8527,C8503,C8479,C8455,C8431,C8407,C8383,C8359)/POBLA!$B$7*100000</f>
        <v>67.46532994721376</v>
      </c>
      <c r="H8671" s="418">
        <f t="shared" si="734"/>
        <v>1.3151892172109902</v>
      </c>
      <c r="J8671" s="42"/>
    </row>
    <row r="8672" spans="1:10" s="393" customFormat="1" x14ac:dyDescent="0.25">
      <c r="A8672" s="402" t="s">
        <v>20</v>
      </c>
      <c r="B8672" s="269">
        <v>44254</v>
      </c>
      <c r="C8672" s="1">
        <v>533</v>
      </c>
      <c r="D8672" s="39">
        <f t="shared" si="729"/>
        <v>159544</v>
      </c>
      <c r="E8672" s="1">
        <v>4</v>
      </c>
      <c r="F8672" s="39">
        <f t="shared" si="733"/>
        <v>2832</v>
      </c>
      <c r="G8672" s="436">
        <f>SUM(C8672,C8648,C8624,C8600,C8576,C8552,C8528,C8504,C8480,C8456,C8432,C8408,C8384,C8360)/POBLA!$B$6*100000</f>
        <v>693.87875278483864</v>
      </c>
      <c r="H8672" s="418">
        <f t="shared" si="734"/>
        <v>1.0998444350162637</v>
      </c>
      <c r="J8672" s="42"/>
    </row>
    <row r="8673" spans="1:10" x14ac:dyDescent="0.25">
      <c r="A8673" s="402" t="s">
        <v>31</v>
      </c>
      <c r="B8673" s="269">
        <v>44254</v>
      </c>
      <c r="C8673" s="1">
        <v>112</v>
      </c>
      <c r="D8673" s="39">
        <f t="shared" si="729"/>
        <v>45115</v>
      </c>
      <c r="E8673" s="1">
        <v>1</v>
      </c>
      <c r="F8673" s="39">
        <f t="shared" ref="F8673:F8689" si="735">E8673+F8649</f>
        <v>837</v>
      </c>
      <c r="G8673" s="169">
        <f>SUM(C8673,C8649,C8625,C8601,C8577,C8553,C8529,C8505,C8481,C8457,C8433,C8409,C8385,C8361)/POBLA!$B$8*100000</f>
        <v>121.50414044839646</v>
      </c>
      <c r="H8673" s="527">
        <f t="shared" si="734"/>
        <v>0.65550797975866093</v>
      </c>
    </row>
    <row r="8674" spans="1:10" s="393" customFormat="1" x14ac:dyDescent="0.25">
      <c r="A8674" s="402" t="s">
        <v>41</v>
      </c>
      <c r="B8674" s="269">
        <v>44254</v>
      </c>
      <c r="C8674" s="1">
        <v>12</v>
      </c>
      <c r="D8674" s="39">
        <f t="shared" si="729"/>
        <v>1220</v>
      </c>
      <c r="E8674" s="1"/>
      <c r="F8674" s="39">
        <f t="shared" si="735"/>
        <v>19</v>
      </c>
      <c r="G8674" s="436">
        <f>SUM(C8674,C8650,C8626,C8602,C8578,C8554,C8530,C8506,C8482,C8458,C8434,C8410,C8386,C8362)/POBLA!$B$9*100000</f>
        <v>43.291974626276243</v>
      </c>
      <c r="H8674" s="418">
        <f t="shared" si="734"/>
        <v>2.2782608695652176</v>
      </c>
      <c r="J8674" s="42"/>
    </row>
    <row r="8675" spans="1:10" s="393" customFormat="1" x14ac:dyDescent="0.25">
      <c r="A8675" s="402" t="s">
        <v>32</v>
      </c>
      <c r="B8675" s="269">
        <v>44254</v>
      </c>
      <c r="C8675" s="1">
        <v>93</v>
      </c>
      <c r="D8675" s="39">
        <f t="shared" si="729"/>
        <v>20667</v>
      </c>
      <c r="E8675" s="1"/>
      <c r="F8675" s="39">
        <f t="shared" si="735"/>
        <v>904</v>
      </c>
      <c r="G8675" s="436">
        <f>SUM(C8675,C8651,C8627,C8603,C8579,C8555,C8531,C8507,C8483,C8459,C8435,C8411,C8387,C8363)/POBLA!$B$10*100000</f>
        <v>122.84645749473654</v>
      </c>
      <c r="H8675" s="418">
        <f t="shared" si="734"/>
        <v>2.2126168224299065</v>
      </c>
      <c r="J8675" s="42"/>
    </row>
    <row r="8676" spans="1:10" s="393" customFormat="1" x14ac:dyDescent="0.25">
      <c r="A8676" s="402" t="s">
        <v>33</v>
      </c>
      <c r="B8676" s="269">
        <v>44254</v>
      </c>
      <c r="C8676" s="1">
        <v>53</v>
      </c>
      <c r="D8676" s="39">
        <f t="shared" si="729"/>
        <v>18643</v>
      </c>
      <c r="E8676" s="1"/>
      <c r="F8676" s="39">
        <f t="shared" si="735"/>
        <v>285</v>
      </c>
      <c r="G8676" s="436">
        <f>SUM(C8676,C8652,C8628,C8604,C8580,C8556,C8532,C8508,C8484,C8460,C8436,C8412,C8388,C8364)/POBLA!$B$11*100000</f>
        <v>272.02115906123402</v>
      </c>
      <c r="H8676" s="418">
        <f t="shared" si="734"/>
        <v>0.76291079812206575</v>
      </c>
      <c r="J8676" s="42"/>
    </row>
    <row r="8677" spans="1:10" s="393" customFormat="1" x14ac:dyDescent="0.25">
      <c r="A8677" s="402" t="s">
        <v>21</v>
      </c>
      <c r="B8677" s="269">
        <v>44254</v>
      </c>
      <c r="C8677" s="1">
        <v>5</v>
      </c>
      <c r="D8677" s="39">
        <f t="shared" si="729"/>
        <v>10174</v>
      </c>
      <c r="E8677" s="1"/>
      <c r="F8677" s="39">
        <f t="shared" si="735"/>
        <v>435</v>
      </c>
      <c r="G8677" s="436">
        <f>SUM(C8677,C8653,C8629,C8605,C8581,C8557,C8533,C8509,C8485,C8461,C8437,C8413,C8389,C8365)/POBLA!$B$12*100000</f>
        <v>90.971232253621693</v>
      </c>
      <c r="H8677" s="418">
        <f t="shared" si="734"/>
        <v>1.2605633802816902</v>
      </c>
      <c r="J8677" s="42"/>
    </row>
    <row r="8678" spans="1:10" s="393" customFormat="1" x14ac:dyDescent="0.25">
      <c r="A8678" s="402" t="s">
        <v>17</v>
      </c>
      <c r="B8678" s="269">
        <v>44254</v>
      </c>
      <c r="C8678" s="1">
        <v>121</v>
      </c>
      <c r="D8678" s="39">
        <f t="shared" si="729"/>
        <v>67185</v>
      </c>
      <c r="E8678" s="1"/>
      <c r="F8678" s="39">
        <f t="shared" si="735"/>
        <v>1447</v>
      </c>
      <c r="G8678" s="436">
        <f>SUM(C8678,C8654,C8630,C8606,C8582,C8558,C8534,C8510,C8486,C8462,C8438,C8414,C8390,C8366)/POBLA!$B$13*100000</f>
        <v>78.629860857804061</v>
      </c>
      <c r="H8678" s="418">
        <f t="shared" si="734"/>
        <v>0.84503239740820735</v>
      </c>
      <c r="J8678" s="42"/>
    </row>
    <row r="8679" spans="1:10" s="393" customFormat="1" x14ac:dyDescent="0.25">
      <c r="A8679" s="402" t="s">
        <v>23</v>
      </c>
      <c r="B8679" s="269">
        <v>44254</v>
      </c>
      <c r="C8679" s="1">
        <v>125</v>
      </c>
      <c r="D8679" s="39">
        <f t="shared" si="729"/>
        <v>8201</v>
      </c>
      <c r="E8679" s="1">
        <v>1</v>
      </c>
      <c r="F8679" s="39">
        <f t="shared" si="735"/>
        <v>140</v>
      </c>
      <c r="G8679" s="436">
        <f>SUM(C8679,C8655,C8631,C8607,C8583,C8559,C8535,C8511,C8487,C8463,C8439,C8415,C8391,C8367)/POBLA!$B$14*100000</f>
        <v>125.42674428008061</v>
      </c>
      <c r="H8679" s="418">
        <f t="shared" si="734"/>
        <v>0.77473065621939274</v>
      </c>
      <c r="J8679" s="42"/>
    </row>
    <row r="8680" spans="1:10" s="393" customFormat="1" x14ac:dyDescent="0.25">
      <c r="A8680" s="402" t="s">
        <v>19</v>
      </c>
      <c r="B8680" s="269">
        <v>44254</v>
      </c>
      <c r="C8680" s="1">
        <v>83</v>
      </c>
      <c r="D8680" s="39">
        <f t="shared" si="729"/>
        <v>61097</v>
      </c>
      <c r="E8680" s="1">
        <v>4</v>
      </c>
      <c r="F8680" s="39">
        <f t="shared" si="735"/>
        <v>900</v>
      </c>
      <c r="G8680" s="436">
        <f>SUM(C8680,C8656,C8632,C8608,C8584,C8560,C8536,C8512,C8488,C8464,C8440,C8416,C8392,C8368)/POBLA!$B$15*100000</f>
        <v>401.47156042327691</v>
      </c>
      <c r="H8680" s="418">
        <f t="shared" si="734"/>
        <v>0.57618327209855202</v>
      </c>
      <c r="J8680" s="42"/>
    </row>
    <row r="8681" spans="1:10" s="393" customFormat="1" x14ac:dyDescent="0.25">
      <c r="A8681" s="402" t="s">
        <v>18</v>
      </c>
      <c r="B8681" s="269">
        <v>44254</v>
      </c>
      <c r="C8681" s="1">
        <v>85</v>
      </c>
      <c r="D8681" s="39">
        <f t="shared" si="729"/>
        <v>52270</v>
      </c>
      <c r="E8681" s="1">
        <v>2</v>
      </c>
      <c r="F8681" s="39">
        <f t="shared" si="735"/>
        <v>1182</v>
      </c>
      <c r="G8681" s="436">
        <f>SUM(C8681,C8657,C8633,C8609,C8585,C8561,C8537,C8513,C8489,C8465,C8441,C8417,C8393,C8369)/POBLA!$B$16*100000</f>
        <v>235.4168617327216</v>
      </c>
      <c r="H8681" s="418">
        <f t="shared" si="734"/>
        <v>0.65281899109792285</v>
      </c>
      <c r="J8681" s="42"/>
    </row>
    <row r="8682" spans="1:10" s="393" customFormat="1" x14ac:dyDescent="0.25">
      <c r="A8682" s="402" t="s">
        <v>34</v>
      </c>
      <c r="B8682" s="269">
        <v>44254</v>
      </c>
      <c r="C8682" s="1">
        <v>112</v>
      </c>
      <c r="D8682" s="39">
        <f t="shared" si="729"/>
        <v>26059</v>
      </c>
      <c r="E8682" s="1">
        <v>3</v>
      </c>
      <c r="F8682" s="39">
        <f t="shared" si="735"/>
        <v>1095</v>
      </c>
      <c r="G8682" s="436">
        <f>SUM(C8682,C8658,C8634,C8610,C8586,C8562,C8538,C8514,C8490,C8466,C8442,C8418,C8394,C8370)/POBLA!$B$17*100000</f>
        <v>88.177663951833651</v>
      </c>
      <c r="H8682" s="418">
        <f t="shared" si="734"/>
        <v>1.2253658536585366</v>
      </c>
      <c r="J8682" s="42"/>
    </row>
    <row r="8683" spans="1:10" s="393" customFormat="1" x14ac:dyDescent="0.25">
      <c r="A8683" s="402" t="s">
        <v>35</v>
      </c>
      <c r="B8683" s="269">
        <v>44254</v>
      </c>
      <c r="C8683" s="1">
        <v>12</v>
      </c>
      <c r="D8683" s="39">
        <f t="shared" si="729"/>
        <v>15239</v>
      </c>
      <c r="E8683" s="1"/>
      <c r="F8683" s="39">
        <f t="shared" si="735"/>
        <v>208</v>
      </c>
      <c r="G8683" s="436">
        <f>SUM(C8683,C8659,C8635,C8611,C8587,C8563,C8539,C8515,C8491,C8467,C8443,C8419,C8395,C8371)/POBLA!$B$18*100000</f>
        <v>81.283433412227339</v>
      </c>
      <c r="H8683" s="418">
        <f t="shared" si="734"/>
        <v>0.95488721804511278</v>
      </c>
      <c r="J8683" s="42"/>
    </row>
    <row r="8684" spans="1:10" s="393" customFormat="1" x14ac:dyDescent="0.25">
      <c r="A8684" s="402" t="s">
        <v>36</v>
      </c>
      <c r="B8684" s="269">
        <v>44254</v>
      </c>
      <c r="C8684" s="1">
        <v>16</v>
      </c>
      <c r="D8684" s="39">
        <f t="shared" si="729"/>
        <v>20772</v>
      </c>
      <c r="E8684" s="1"/>
      <c r="F8684" s="39">
        <f t="shared" si="735"/>
        <v>353</v>
      </c>
      <c r="G8684" s="436">
        <f>SUM(C8684,C8660,C8636,C8612,C8588,C8564,C8540,C8516,C8492,C8468,C8444,C8420,C8396,C8372)/POBLA!$B$19*100000</f>
        <v>194.75614170378182</v>
      </c>
      <c r="H8684" s="418">
        <f t="shared" si="734"/>
        <v>1.2468513853904282</v>
      </c>
      <c r="J8684" s="42"/>
    </row>
    <row r="8685" spans="1:10" s="393" customFormat="1" x14ac:dyDescent="0.25">
      <c r="A8685" s="402" t="s">
        <v>37</v>
      </c>
      <c r="B8685" s="269">
        <v>44254</v>
      </c>
      <c r="C8685" s="1">
        <v>69</v>
      </c>
      <c r="D8685" s="39">
        <f t="shared" si="729"/>
        <v>35896</v>
      </c>
      <c r="E8685" s="1"/>
      <c r="F8685" s="39">
        <f t="shared" si="735"/>
        <v>573</v>
      </c>
      <c r="G8685" s="436">
        <f>SUM(C8685,C8661,C8637,C8613,C8589,C8565,C8541,C8517,C8493,C8469,C8445,C8421,C8397,C8373)/POBLA!$B$20*100000</f>
        <v>388.02509174236667</v>
      </c>
      <c r="H8685" s="418">
        <f t="shared" si="734"/>
        <v>0.69695481335952847</v>
      </c>
      <c r="J8685" s="42"/>
    </row>
    <row r="8686" spans="1:10" s="393" customFormat="1" x14ac:dyDescent="0.25">
      <c r="A8686" s="402" t="s">
        <v>22</v>
      </c>
      <c r="B8686" s="269">
        <v>44254</v>
      </c>
      <c r="C8686" s="1">
        <v>379</v>
      </c>
      <c r="D8686" s="39">
        <f t="shared" si="729"/>
        <v>216342</v>
      </c>
      <c r="E8686" s="1">
        <v>14</v>
      </c>
      <c r="F8686" s="39">
        <f t="shared" si="735"/>
        <v>3958</v>
      </c>
      <c r="G8686" s="436">
        <f>SUM(C8686,C8662,C8638,C8614,C8590,C8566,C8542,C8518,C8494,C8470,C8446,C8422,C8398,C8374)/POBLA!$B$21*100000</f>
        <v>130.58411081495456</v>
      </c>
      <c r="H8686" s="418">
        <f t="shared" si="734"/>
        <v>0.75519215044971377</v>
      </c>
      <c r="J8686" s="42"/>
    </row>
    <row r="8687" spans="1:10" s="393" customFormat="1" x14ac:dyDescent="0.25">
      <c r="A8687" s="402" t="s">
        <v>38</v>
      </c>
      <c r="B8687" s="269">
        <v>44254</v>
      </c>
      <c r="C8687" s="1">
        <v>83</v>
      </c>
      <c r="D8687" s="39">
        <f t="shared" si="729"/>
        <v>22568</v>
      </c>
      <c r="E8687" s="1">
        <v>1</v>
      </c>
      <c r="F8687" s="39">
        <f t="shared" si="735"/>
        <v>268</v>
      </c>
      <c r="G8687" s="436">
        <f>SUM(C8687,C8663,C8639,C8615,C8591,C8567,C8543,C8519,C8495,C8471,C8447,C8423,C8399,C8375)/POBLA!$B$22*100000</f>
        <v>75.129329774826672</v>
      </c>
      <c r="H8687" s="418">
        <f t="shared" si="734"/>
        <v>0.68627450980392157</v>
      </c>
      <c r="J8687" s="42"/>
    </row>
    <row r="8688" spans="1:10" s="393" customFormat="1" x14ac:dyDescent="0.25">
      <c r="A8688" s="402" t="s">
        <v>39</v>
      </c>
      <c r="B8688" s="269">
        <v>44254</v>
      </c>
      <c r="C8688" s="1">
        <v>39</v>
      </c>
      <c r="D8688" s="39">
        <f t="shared" si="729"/>
        <v>22933</v>
      </c>
      <c r="E8688" s="1"/>
      <c r="F8688" s="39">
        <f t="shared" si="735"/>
        <v>353</v>
      </c>
      <c r="G8688" s="436">
        <f>SUM(C8688,C8664,C8640,C8616,C8592,C8568,C8544,C8520,C8496,C8472,C8448,C8424,C8400,C8376)/POBLA!$B$23*100000</f>
        <v>286.1505400667308</v>
      </c>
      <c r="H8688" s="418">
        <f t="shared" si="734"/>
        <v>0.7760736196319018</v>
      </c>
      <c r="J8688" s="42"/>
    </row>
    <row r="8689" spans="1:10" s="393" customFormat="1" ht="15.75" thickBot="1" x14ac:dyDescent="0.3">
      <c r="A8689" s="404" t="s">
        <v>40</v>
      </c>
      <c r="B8689" s="269">
        <v>44254</v>
      </c>
      <c r="C8689" s="1">
        <v>73</v>
      </c>
      <c r="D8689" s="177">
        <f t="shared" si="729"/>
        <v>79713</v>
      </c>
      <c r="E8689" s="1"/>
      <c r="F8689" s="177">
        <f t="shared" si="735"/>
        <v>1473</v>
      </c>
      <c r="G8689" s="439">
        <f>SUM(C8689,C8665,C8641,C8617,C8593,C8569,C8545,C8521,C8497,C8473,C8449,C8425,C8401,C8377)/POBLA!$B$24*100000</f>
        <v>99.253181766683042</v>
      </c>
      <c r="H8689" s="419">
        <f t="shared" si="734"/>
        <v>0.98593200468933173</v>
      </c>
      <c r="J8689" s="42"/>
    </row>
    <row r="8690" spans="1:10" s="393" customFormat="1" x14ac:dyDescent="0.25">
      <c r="A8690" s="397" t="s">
        <v>16</v>
      </c>
      <c r="B8690" s="269">
        <v>44255</v>
      </c>
      <c r="C8690" s="1">
        <v>1282</v>
      </c>
      <c r="D8690" s="175">
        <f t="shared" si="729"/>
        <v>879807</v>
      </c>
      <c r="E8690" s="1">
        <v>1</v>
      </c>
      <c r="F8690" s="175">
        <f t="shared" ref="F8690:F8696" si="736">E8690+F8666</f>
        <v>26213</v>
      </c>
      <c r="G8690" s="410">
        <f>SUM(C8690,C8666,C8642,C8618,C8594,C8570,C8546,C8522,C8498,C8474,C8450,C8426,C8402,C8378)/POBLA!$B$1*100000</f>
        <v>195.01582023655132</v>
      </c>
      <c r="H8690" s="416">
        <f t="shared" ref="H8690:H8713" si="737">SUM(C8690,C8666,C8642,C8618,C8594,C8570,C8546,C8522,C8498,C8474,C8450,C8426,C8402,C8378)/SUM(C8354,C8330,C8306,C8282,C8258,C8234,C8210,C8186,C8162,C8138,C8114,C8090,C8066,C8042)</f>
        <v>0.82926474509708858</v>
      </c>
      <c r="J8690" s="42"/>
    </row>
    <row r="8691" spans="1:10" s="393" customFormat="1" x14ac:dyDescent="0.25">
      <c r="A8691" s="402" t="s">
        <v>43</v>
      </c>
      <c r="B8691" s="269">
        <v>44255</v>
      </c>
      <c r="C8691" s="1">
        <v>437</v>
      </c>
      <c r="D8691" s="39">
        <f t="shared" si="729"/>
        <v>231892</v>
      </c>
      <c r="E8691" s="1">
        <v>1</v>
      </c>
      <c r="F8691" s="39">
        <f t="shared" si="736"/>
        <v>6522</v>
      </c>
      <c r="G8691" s="436">
        <f>SUM(C8691,C8667,C8643,C8619,C8595,C8571,C8547,C8523,C8499,C8475,C8451,C8427,C8403,C8379)/POBLA!$B$2*100000</f>
        <v>307.22001166584192</v>
      </c>
      <c r="H8691" s="418">
        <f t="shared" si="737"/>
        <v>0.77482574825748263</v>
      </c>
      <c r="J8691" s="42"/>
    </row>
    <row r="8692" spans="1:10" s="393" customFormat="1" x14ac:dyDescent="0.25">
      <c r="A8692" s="402" t="s">
        <v>28</v>
      </c>
      <c r="B8692" s="269">
        <v>44255</v>
      </c>
      <c r="C8692" s="1">
        <v>44</v>
      </c>
      <c r="D8692" s="39">
        <f t="shared" si="729"/>
        <v>7884</v>
      </c>
      <c r="E8692" s="1"/>
      <c r="F8692" s="39">
        <f t="shared" si="736"/>
        <v>17</v>
      </c>
      <c r="G8692" s="436">
        <f>SUM(C8692,C8668,C8644,C8620,C8596,C8572,C8548,C8524,C8500,C8476,C8452,C8428,C8404,C8380)/POBLA!$B$3*100000</f>
        <v>262.61439733486105</v>
      </c>
      <c r="H8692" s="418">
        <f t="shared" si="737"/>
        <v>0.7737588652482269</v>
      </c>
      <c r="J8692" s="42"/>
    </row>
    <row r="8693" spans="1:10" s="393" customFormat="1" x14ac:dyDescent="0.25">
      <c r="A8693" s="402" t="s">
        <v>15</v>
      </c>
      <c r="B8693" s="269">
        <v>44255</v>
      </c>
      <c r="C8693" s="1">
        <v>84</v>
      </c>
      <c r="D8693" s="39">
        <f t="shared" si="729"/>
        <v>34143</v>
      </c>
      <c r="E8693" s="1"/>
      <c r="F8693" s="39">
        <f t="shared" si="736"/>
        <v>865</v>
      </c>
      <c r="G8693" s="436">
        <f>SUM(C8693,C8669,C8645,C8621,C8597,C8573,C8549,C8525,C8501,C8477,C8453,C8429,C8405,C8381)/POBLA!$B$4*100000</f>
        <v>140.88353987120405</v>
      </c>
      <c r="H8693" s="418">
        <f t="shared" si="737"/>
        <v>1.0029550827423168</v>
      </c>
      <c r="J8693" s="42"/>
    </row>
    <row r="8694" spans="1:10" s="393" customFormat="1" x14ac:dyDescent="0.25">
      <c r="A8694" s="402" t="s">
        <v>29</v>
      </c>
      <c r="B8694" s="269">
        <v>44255</v>
      </c>
      <c r="C8694" s="1">
        <v>9</v>
      </c>
      <c r="D8694" s="39">
        <f t="shared" si="729"/>
        <v>46891</v>
      </c>
      <c r="E8694" s="1"/>
      <c r="F8694" s="39">
        <f t="shared" si="736"/>
        <v>770</v>
      </c>
      <c r="G8694" s="436">
        <f>SUM(C8694,C8670,C8646,C8622,C8598,C8574,C8550,C8526,C8502,C8478,C8454,C8430,C8406,C8382)/POBLA!$B$5*100000</f>
        <v>268.17707441429155</v>
      </c>
      <c r="H8694" s="418">
        <f t="shared" si="737"/>
        <v>0.5675213675213675</v>
      </c>
      <c r="J8694" s="42"/>
    </row>
    <row r="8695" spans="1:10" s="393" customFormat="1" x14ac:dyDescent="0.25">
      <c r="A8695" s="402" t="s">
        <v>30</v>
      </c>
      <c r="B8695" s="269">
        <v>44255</v>
      </c>
      <c r="C8695" s="1">
        <v>58</v>
      </c>
      <c r="D8695" s="39">
        <f t="shared" si="729"/>
        <v>21856</v>
      </c>
      <c r="E8695" s="1"/>
      <c r="F8695" s="39">
        <f t="shared" si="736"/>
        <v>300</v>
      </c>
      <c r="G8695" s="436">
        <f>SUM(C8695,C8671,C8647,C8623,C8599,C8575,C8551,C8527,C8503,C8479,C8455,C8431,C8407,C8383)/POBLA!$B$7*100000</f>
        <v>66.66755308540202</v>
      </c>
      <c r="H8695" s="418">
        <f t="shared" si="737"/>
        <v>1.2687246963562753</v>
      </c>
      <c r="J8695" s="42"/>
    </row>
    <row r="8696" spans="1:10" s="393" customFormat="1" x14ac:dyDescent="0.25">
      <c r="A8696" s="402" t="s">
        <v>20</v>
      </c>
      <c r="B8696" s="269">
        <v>44255</v>
      </c>
      <c r="C8696" s="1">
        <v>334</v>
      </c>
      <c r="D8696" s="39">
        <f t="shared" si="729"/>
        <v>159878</v>
      </c>
      <c r="E8696" s="1">
        <v>1</v>
      </c>
      <c r="F8696" s="39">
        <f t="shared" si="736"/>
        <v>2833</v>
      </c>
      <c r="G8696" s="436">
        <f>SUM(C8696,C8672,C8648,C8624,C8600,C8576,C8552,C8528,C8504,C8480,C8456,C8432,C8408,C8384)/POBLA!$B$6*100000</f>
        <v>698.87517944755575</v>
      </c>
      <c r="H8696" s="418">
        <f t="shared" si="737"/>
        <v>1.1182012847965739</v>
      </c>
      <c r="J8696" s="42"/>
    </row>
    <row r="8697" spans="1:10" x14ac:dyDescent="0.25">
      <c r="A8697" s="402" t="s">
        <v>31</v>
      </c>
      <c r="B8697" s="269">
        <v>44255</v>
      </c>
      <c r="C8697" s="1">
        <v>52</v>
      </c>
      <c r="D8697" s="39">
        <f t="shared" si="729"/>
        <v>45167</v>
      </c>
      <c r="E8697" s="1">
        <v>4</v>
      </c>
      <c r="F8697" s="39">
        <f t="shared" ref="F8697:F8713" si="738">E8697+F8673</f>
        <v>841</v>
      </c>
      <c r="G8697" s="169">
        <f>SUM(C8697,C8673,C8649,C8625,C8601,C8577,C8553,C8529,C8505,C8481,C8457,C8433,C8409,C8385)/POBLA!$B$8*100000</f>
        <v>116.9585579969422</v>
      </c>
      <c r="H8697" s="527">
        <f t="shared" si="737"/>
        <v>0.63394603050449749</v>
      </c>
    </row>
    <row r="8698" spans="1:10" s="393" customFormat="1" x14ac:dyDescent="0.25">
      <c r="A8698" s="402" t="s">
        <v>41</v>
      </c>
      <c r="B8698" s="269">
        <v>44255</v>
      </c>
      <c r="C8698" s="1">
        <v>1</v>
      </c>
      <c r="D8698" s="39">
        <f t="shared" si="729"/>
        <v>1221</v>
      </c>
      <c r="E8698" s="1"/>
      <c r="F8698" s="39">
        <f t="shared" si="738"/>
        <v>19</v>
      </c>
      <c r="G8698" s="436">
        <f>SUM(C8698,C8674,C8650,C8626,C8602,C8578,C8554,C8530,C8506,C8482,C8458,C8434,C8410,C8386)/POBLA!$B$9*100000</f>
        <v>41.804845726900346</v>
      </c>
      <c r="H8698" s="418">
        <f t="shared" si="737"/>
        <v>2.024</v>
      </c>
      <c r="J8698" s="42"/>
    </row>
    <row r="8699" spans="1:10" s="393" customFormat="1" x14ac:dyDescent="0.25">
      <c r="A8699" s="402" t="s">
        <v>32</v>
      </c>
      <c r="B8699" s="269">
        <v>44255</v>
      </c>
      <c r="C8699" s="1">
        <v>85</v>
      </c>
      <c r="D8699" s="39">
        <f t="shared" si="729"/>
        <v>20752</v>
      </c>
      <c r="E8699" s="1">
        <v>1</v>
      </c>
      <c r="F8699" s="39">
        <f t="shared" si="738"/>
        <v>905</v>
      </c>
      <c r="G8699" s="436">
        <f>SUM(C8699,C8675,C8651,C8627,C8603,C8579,C8555,C8531,C8507,C8483,C8459,C8435,C8411,C8387)/POBLA!$B$10*100000</f>
        <v>127.51643898344881</v>
      </c>
      <c r="H8699" s="418">
        <f t="shared" si="737"/>
        <v>2.1369565217391306</v>
      </c>
      <c r="J8699" s="42"/>
    </row>
    <row r="8700" spans="1:10" s="393" customFormat="1" x14ac:dyDescent="0.25">
      <c r="A8700" s="402" t="s">
        <v>33</v>
      </c>
      <c r="B8700" s="269">
        <v>44255</v>
      </c>
      <c r="C8700" s="1">
        <v>47</v>
      </c>
      <c r="D8700" s="39">
        <f t="shared" si="729"/>
        <v>18690</v>
      </c>
      <c r="E8700" s="1"/>
      <c r="F8700" s="39">
        <f t="shared" si="738"/>
        <v>285</v>
      </c>
      <c r="G8700" s="436">
        <f>SUM(C8700,C8676,C8652,C8628,C8604,C8580,C8556,C8532,C8508,C8484,C8460,C8436,C8412,C8388)/POBLA!$B$11*100000</f>
        <v>272.30015512180967</v>
      </c>
      <c r="H8700" s="418">
        <f t="shared" si="737"/>
        <v>0.76549019607843138</v>
      </c>
      <c r="J8700" s="42"/>
    </row>
    <row r="8701" spans="1:10" s="393" customFormat="1" x14ac:dyDescent="0.25">
      <c r="A8701" s="402" t="s">
        <v>21</v>
      </c>
      <c r="B8701" s="269">
        <v>44255</v>
      </c>
      <c r="C8701" s="1">
        <v>50</v>
      </c>
      <c r="D8701" s="39">
        <f t="shared" si="729"/>
        <v>10224</v>
      </c>
      <c r="E8701" s="1">
        <v>3</v>
      </c>
      <c r="F8701" s="39">
        <f t="shared" si="738"/>
        <v>438</v>
      </c>
      <c r="G8701" s="436">
        <f>SUM(C8701,C8677,C8653,C8629,C8605,C8581,C8557,C8533,C8509,C8485,C8461,C8437,C8413,C8389)/POBLA!$B$12*100000</f>
        <v>95.799314412333473</v>
      </c>
      <c r="H8701" s="418">
        <f t="shared" si="737"/>
        <v>1.2608695652173914</v>
      </c>
      <c r="J8701" s="42"/>
    </row>
    <row r="8702" spans="1:10" s="393" customFormat="1" x14ac:dyDescent="0.25">
      <c r="A8702" s="402" t="s">
        <v>17</v>
      </c>
      <c r="B8702" s="269">
        <v>44255</v>
      </c>
      <c r="C8702" s="1">
        <v>51</v>
      </c>
      <c r="D8702" s="39">
        <f t="shared" si="729"/>
        <v>67236</v>
      </c>
      <c r="E8702" s="1">
        <v>1</v>
      </c>
      <c r="F8702" s="39">
        <f t="shared" si="738"/>
        <v>1448</v>
      </c>
      <c r="G8702" s="436">
        <f>SUM(C8702,C8678,C8654,C8630,C8606,C8582,C8558,C8534,C8510,C8486,C8462,C8438,C8414,C8390)/POBLA!$B$13*100000</f>
        <v>79.031802638546822</v>
      </c>
      <c r="H8702" s="418">
        <f t="shared" si="737"/>
        <v>0.85027027027027025</v>
      </c>
      <c r="J8702" s="42"/>
    </row>
    <row r="8703" spans="1:10" s="393" customFormat="1" x14ac:dyDescent="0.25">
      <c r="A8703" s="402" t="s">
        <v>23</v>
      </c>
      <c r="B8703" s="269">
        <v>44255</v>
      </c>
      <c r="C8703" s="1">
        <v>73</v>
      </c>
      <c r="D8703" s="39">
        <f t="shared" si="729"/>
        <v>8274</v>
      </c>
      <c r="E8703" s="1"/>
      <c r="F8703" s="39">
        <f t="shared" si="738"/>
        <v>140</v>
      </c>
      <c r="G8703" s="436">
        <f>SUM(C8703,C8679,C8655,C8631,C8607,C8583,C8559,C8535,C8511,C8487,C8463,C8439,C8415,C8391)/POBLA!$B$14*100000</f>
        <v>121.93826340250568</v>
      </c>
      <c r="H8703" s="418">
        <f t="shared" si="737"/>
        <v>0.75875678342377895</v>
      </c>
      <c r="J8703" s="42"/>
    </row>
    <row r="8704" spans="1:10" s="393" customFormat="1" x14ac:dyDescent="0.25">
      <c r="A8704" s="402" t="s">
        <v>19</v>
      </c>
      <c r="B8704" s="269">
        <v>44255</v>
      </c>
      <c r="C8704" s="1">
        <v>79</v>
      </c>
      <c r="D8704" s="39">
        <f t="shared" si="729"/>
        <v>61176</v>
      </c>
      <c r="E8704" s="1">
        <v>2</v>
      </c>
      <c r="F8704" s="39">
        <f t="shared" si="738"/>
        <v>902</v>
      </c>
      <c r="G8704" s="436">
        <f>SUM(C8704,C8680,C8656,C8632,C8608,C8584,C8560,C8536,C8512,C8488,C8464,C8440,C8416,C8392)/POBLA!$B$15*100000</f>
        <v>378.43136959628464</v>
      </c>
      <c r="H8704" s="418">
        <f t="shared" si="737"/>
        <v>0.54559270516717329</v>
      </c>
      <c r="J8704" s="42"/>
    </row>
    <row r="8705" spans="1:10" s="393" customFormat="1" x14ac:dyDescent="0.25">
      <c r="A8705" s="402" t="s">
        <v>18</v>
      </c>
      <c r="B8705" s="269">
        <v>44255</v>
      </c>
      <c r="C8705" s="1">
        <v>56</v>
      </c>
      <c r="D8705" s="39">
        <f t="shared" si="729"/>
        <v>52326</v>
      </c>
      <c r="E8705" s="1"/>
      <c r="F8705" s="39">
        <f t="shared" si="738"/>
        <v>1182</v>
      </c>
      <c r="G8705" s="436">
        <f>SUM(C8705,C8681,C8657,C8633,C8609,C8585,C8561,C8537,C8513,C8489,C8465,C8441,C8417,C8393)/POBLA!$B$16*100000</f>
        <v>231.27031473629296</v>
      </c>
      <c r="H8705" s="418">
        <f t="shared" si="737"/>
        <v>0.63824289405684753</v>
      </c>
      <c r="J8705" s="42"/>
    </row>
    <row r="8706" spans="1:10" s="393" customFormat="1" x14ac:dyDescent="0.25">
      <c r="A8706" s="402" t="s">
        <v>34</v>
      </c>
      <c r="B8706" s="269">
        <v>44255</v>
      </c>
      <c r="C8706" s="1">
        <v>82</v>
      </c>
      <c r="D8706" s="39">
        <f t="shared" ref="D8706:D8769" si="739">C8706+D8682</f>
        <v>26141</v>
      </c>
      <c r="E8706" s="1"/>
      <c r="F8706" s="39">
        <f t="shared" si="738"/>
        <v>1095</v>
      </c>
      <c r="G8706" s="436">
        <f>SUM(C8706,C8682,C8658,C8634,C8610,C8586,C8562,C8538,C8514,C8490,C8466,C8442,C8418,C8394)/POBLA!$B$17*100000</f>
        <v>91.547510981840034</v>
      </c>
      <c r="H8706" s="418">
        <f t="shared" si="737"/>
        <v>1.2647914645974783</v>
      </c>
      <c r="J8706" s="42"/>
    </row>
    <row r="8707" spans="1:10" s="393" customFormat="1" x14ac:dyDescent="0.25">
      <c r="A8707" s="402" t="s">
        <v>35</v>
      </c>
      <c r="B8707" s="269">
        <v>44255</v>
      </c>
      <c r="C8707" s="1">
        <v>5</v>
      </c>
      <c r="D8707" s="39">
        <f t="shared" si="739"/>
        <v>15244</v>
      </c>
      <c r="E8707" s="1"/>
      <c r="F8707" s="39">
        <f t="shared" si="738"/>
        <v>208</v>
      </c>
      <c r="G8707" s="436">
        <f>SUM(C8707,C8683,C8659,C8635,C8611,C8587,C8563,C8539,C8515,C8491,C8467,C8443,C8419,C8395)/POBLA!$B$18*100000</f>
        <v>81.02742259833056</v>
      </c>
      <c r="H8707" s="418">
        <f t="shared" si="737"/>
        <v>0.95763993948562787</v>
      </c>
      <c r="J8707" s="42"/>
    </row>
    <row r="8708" spans="1:10" s="393" customFormat="1" x14ac:dyDescent="0.25">
      <c r="A8708" s="402" t="s">
        <v>36</v>
      </c>
      <c r="B8708" s="269">
        <v>44255</v>
      </c>
      <c r="C8708" s="1">
        <v>1</v>
      </c>
      <c r="D8708" s="39">
        <f t="shared" si="739"/>
        <v>20773</v>
      </c>
      <c r="E8708" s="1"/>
      <c r="F8708" s="39">
        <f t="shared" si="738"/>
        <v>353</v>
      </c>
      <c r="G8708" s="436">
        <f>SUM(C8708,C8684,C8660,C8636,C8612,C8588,C8564,C8540,C8516,C8492,C8468,C8444,C8420,C8396)/POBLA!$B$19*100000</f>
        <v>137.31291606993909</v>
      </c>
      <c r="H8708" s="418">
        <f t="shared" si="737"/>
        <v>0.65539906103286383</v>
      </c>
      <c r="J8708" s="42"/>
    </row>
    <row r="8709" spans="1:10" s="393" customFormat="1" x14ac:dyDescent="0.25">
      <c r="A8709" s="402" t="s">
        <v>37</v>
      </c>
      <c r="B8709" s="269">
        <v>44255</v>
      </c>
      <c r="C8709" s="1">
        <v>35</v>
      </c>
      <c r="D8709" s="39">
        <f t="shared" si="739"/>
        <v>35931</v>
      </c>
      <c r="E8709" s="1">
        <v>5</v>
      </c>
      <c r="F8709" s="39">
        <f t="shared" si="738"/>
        <v>578</v>
      </c>
      <c r="G8709" s="436">
        <f>SUM(C8709,C8685,C8661,C8637,C8613,C8589,C8565,C8541,C8517,C8493,C8469,C8445,C8421,C8397)/POBLA!$B$20*100000</f>
        <v>381.18884981596835</v>
      </c>
      <c r="H8709" s="418">
        <f t="shared" si="737"/>
        <v>0.69734867433716863</v>
      </c>
      <c r="J8709" s="42"/>
    </row>
    <row r="8710" spans="1:10" s="393" customFormat="1" x14ac:dyDescent="0.25">
      <c r="A8710" s="402" t="s">
        <v>22</v>
      </c>
      <c r="B8710" s="269">
        <v>44255</v>
      </c>
      <c r="C8710" s="1">
        <v>123</v>
      </c>
      <c r="D8710" s="39">
        <f t="shared" si="739"/>
        <v>216465</v>
      </c>
      <c r="E8710" s="1"/>
      <c r="F8710" s="39">
        <f t="shared" si="738"/>
        <v>3958</v>
      </c>
      <c r="G8710" s="436">
        <f>SUM(C8710,C8686,C8662,C8638,C8614,C8590,C8566,C8542,C8518,C8494,C8470,C8446,C8422,C8398)/POBLA!$B$21*100000</f>
        <v>128.60470679653818</v>
      </c>
      <c r="H8710" s="418">
        <f t="shared" si="737"/>
        <v>0.7466754227548843</v>
      </c>
      <c r="J8710" s="42"/>
    </row>
    <row r="8711" spans="1:10" s="393" customFormat="1" x14ac:dyDescent="0.25">
      <c r="A8711" s="402" t="s">
        <v>38</v>
      </c>
      <c r="B8711" s="269">
        <v>44255</v>
      </c>
      <c r="C8711" s="1">
        <v>90</v>
      </c>
      <c r="D8711" s="39">
        <f t="shared" si="739"/>
        <v>22658</v>
      </c>
      <c r="E8711" s="1"/>
      <c r="F8711" s="39">
        <f t="shared" si="738"/>
        <v>268</v>
      </c>
      <c r="G8711" s="436">
        <f>SUM(C8711,C8687,C8663,C8639,C8615,C8591,C8567,C8543,C8519,C8495,C8471,C8447,C8423,C8399)/POBLA!$B$22*100000</f>
        <v>81.364553062261251</v>
      </c>
      <c r="H8711" s="418">
        <f t="shared" si="737"/>
        <v>0.7865612648221344</v>
      </c>
      <c r="J8711" s="42"/>
    </row>
    <row r="8712" spans="1:10" s="393" customFormat="1" x14ac:dyDescent="0.25">
      <c r="A8712" s="402" t="s">
        <v>39</v>
      </c>
      <c r="B8712" s="269">
        <v>44255</v>
      </c>
      <c r="C8712" s="1">
        <v>6</v>
      </c>
      <c r="D8712" s="39">
        <f t="shared" si="739"/>
        <v>22939</v>
      </c>
      <c r="E8712" s="1"/>
      <c r="F8712" s="39">
        <f t="shared" si="738"/>
        <v>353</v>
      </c>
      <c r="G8712" s="436">
        <f>SUM(C8712,C8688,C8664,C8640,C8616,C8592,C8568,C8544,C8520,C8496,C8472,C8448,C8424,C8400)/POBLA!$B$23*100000</f>
        <v>274.27472713906013</v>
      </c>
      <c r="H8712" s="418">
        <f t="shared" si="737"/>
        <v>0.7601880877742947</v>
      </c>
      <c r="J8712" s="42"/>
    </row>
    <row r="8713" spans="1:10" s="393" customFormat="1" ht="15.75" thickBot="1" x14ac:dyDescent="0.3">
      <c r="A8713" s="404" t="s">
        <v>40</v>
      </c>
      <c r="B8713" s="269">
        <v>44255</v>
      </c>
      <c r="C8713" s="1">
        <v>84</v>
      </c>
      <c r="D8713" s="177">
        <f t="shared" si="739"/>
        <v>79797</v>
      </c>
      <c r="E8713" s="1"/>
      <c r="F8713" s="177">
        <f t="shared" si="738"/>
        <v>1473</v>
      </c>
      <c r="G8713" s="439">
        <f>SUM(C8713,C8689,C8665,C8641,C8617,C8593,C8569,C8545,C8521,C8497,C8473,C8449,C8425,C8401)/POBLA!$B$24*100000</f>
        <v>100.37435326107482</v>
      </c>
      <c r="H8713" s="419">
        <f t="shared" si="737"/>
        <v>1.0005882352941176</v>
      </c>
      <c r="J8713" s="42"/>
    </row>
    <row r="8714" spans="1:10" s="393" customFormat="1" x14ac:dyDescent="0.25">
      <c r="A8714" s="397" t="s">
        <v>16</v>
      </c>
      <c r="B8714" s="269">
        <v>44256</v>
      </c>
      <c r="C8714" s="1">
        <v>2004</v>
      </c>
      <c r="D8714" s="175">
        <f t="shared" si="739"/>
        <v>881811</v>
      </c>
      <c r="E8714" s="1">
        <v>26</v>
      </c>
      <c r="F8714" s="175">
        <f t="shared" ref="F8714:F8720" si="740">E8714+F8690</f>
        <v>26239</v>
      </c>
      <c r="G8714" s="410">
        <f>SUM(C8714,C8690,C8666,C8642,C8618,C8594,C8570,C8546,C8522,C8498,C8474,C8450,C8426,C8402)/POBLA!$B$1*100000</f>
        <v>198.63588121206027</v>
      </c>
      <c r="H8714" s="416">
        <f t="shared" ref="H8714:H8737" si="741">SUM(C8714,C8690,C8666,C8642,C8618,C8594,C8570,C8546,C8522,C8498,C8474,C8450,C8426,C8402)/SUM(C8378,C8354,C8330,C8306,C8282,C8258,C8234,C8210,C8186,C8162,C8138,C8114,C8090,C8066)</f>
        <v>0.86990063414390573</v>
      </c>
      <c r="J8714" s="42"/>
    </row>
    <row r="8715" spans="1:10" s="393" customFormat="1" x14ac:dyDescent="0.25">
      <c r="A8715" s="402" t="s">
        <v>43</v>
      </c>
      <c r="B8715" s="269">
        <v>44256</v>
      </c>
      <c r="C8715" s="1">
        <v>432</v>
      </c>
      <c r="D8715" s="39">
        <f t="shared" si="739"/>
        <v>232324</v>
      </c>
      <c r="E8715" s="1">
        <v>6</v>
      </c>
      <c r="F8715" s="39">
        <f t="shared" si="740"/>
        <v>6528</v>
      </c>
      <c r="G8715" s="436">
        <f>SUM(C8715,C8691,C8667,C8643,C8619,C8595,C8571,C8547,C8523,C8499,C8475,C8451,C8427,C8403)/POBLA!$B$2*100000</f>
        <v>305.30171547700871</v>
      </c>
      <c r="H8715" s="418">
        <f t="shared" si="741"/>
        <v>0.79455068539515994</v>
      </c>
      <c r="J8715" s="42"/>
    </row>
    <row r="8716" spans="1:10" s="393" customFormat="1" x14ac:dyDescent="0.25">
      <c r="A8716" s="402" t="s">
        <v>28</v>
      </c>
      <c r="B8716" s="269">
        <v>44256</v>
      </c>
      <c r="C8716" s="1">
        <v>154</v>
      </c>
      <c r="D8716" s="39">
        <f t="shared" si="739"/>
        <v>8038</v>
      </c>
      <c r="E8716" s="1"/>
      <c r="F8716" s="39">
        <f t="shared" si="740"/>
        <v>17</v>
      </c>
      <c r="G8716" s="436">
        <f>SUM(C8716,C8692,C8668,C8644,C8620,C8596,C8572,C8548,C8524,C8500,C8476,C8452,C8428,C8404)/POBLA!$B$3*100000</f>
        <v>279.22337388491184</v>
      </c>
      <c r="H8716" s="418">
        <f t="shared" si="741"/>
        <v>0.86891385767790263</v>
      </c>
      <c r="J8716" s="42"/>
    </row>
    <row r="8717" spans="1:10" s="393" customFormat="1" x14ac:dyDescent="0.25">
      <c r="A8717" s="402" t="s">
        <v>15</v>
      </c>
      <c r="B8717" s="269">
        <v>44256</v>
      </c>
      <c r="C8717" s="1">
        <v>74</v>
      </c>
      <c r="D8717" s="39">
        <f t="shared" si="739"/>
        <v>34217</v>
      </c>
      <c r="E8717" s="1">
        <v>2</v>
      </c>
      <c r="F8717" s="39">
        <f t="shared" si="740"/>
        <v>867</v>
      </c>
      <c r="G8717" s="436">
        <f>SUM(C8717,C8693,C8669,C8645,C8621,C8597,C8573,C8549,C8525,C8501,C8477,C8453,C8429,C8405)/POBLA!$B$4*100000</f>
        <v>141.79675079553124</v>
      </c>
      <c r="H8717" s="418">
        <f t="shared" si="741"/>
        <v>1.0276774969915765</v>
      </c>
      <c r="J8717" s="42"/>
    </row>
    <row r="8718" spans="1:10" s="393" customFormat="1" x14ac:dyDescent="0.25">
      <c r="A8718" s="402" t="s">
        <v>29</v>
      </c>
      <c r="B8718" s="269">
        <v>44256</v>
      </c>
      <c r="C8718" s="1">
        <v>117</v>
      </c>
      <c r="D8718" s="39">
        <f t="shared" si="739"/>
        <v>47008</v>
      </c>
      <c r="E8718" s="1">
        <v>5</v>
      </c>
      <c r="F8718" s="39">
        <f t="shared" si="740"/>
        <v>775</v>
      </c>
      <c r="G8718" s="436">
        <f>SUM(C8718,C8694,C8670,C8646,C8622,C8598,C8574,C8550,C8526,C8502,C8478,C8454,C8430,C8406)/POBLA!$B$5*100000</f>
        <v>277.22401186441226</v>
      </c>
      <c r="H8718" s="418">
        <f t="shared" si="741"/>
        <v>0.61949458483754516</v>
      </c>
      <c r="J8718" s="42"/>
    </row>
    <row r="8719" spans="1:10" s="393" customFormat="1" x14ac:dyDescent="0.25">
      <c r="A8719" s="402" t="s">
        <v>30</v>
      </c>
      <c r="B8719" s="269">
        <v>44256</v>
      </c>
      <c r="C8719" s="1">
        <v>93</v>
      </c>
      <c r="D8719" s="39">
        <f t="shared" si="739"/>
        <v>21949</v>
      </c>
      <c r="E8719" s="1"/>
      <c r="F8719" s="39">
        <f t="shared" si="740"/>
        <v>300</v>
      </c>
      <c r="G8719" s="436">
        <f>SUM(C8719,C8695,C8671,C8647,C8623,C8599,C8575,C8551,C8527,C8503,C8479,C8455,C8431,C8407)/POBLA!$B$7*100000</f>
        <v>61.24267042508211</v>
      </c>
      <c r="H8719" s="418">
        <f t="shared" si="741"/>
        <v>1.1056168987037926</v>
      </c>
      <c r="J8719" s="42"/>
    </row>
    <row r="8720" spans="1:10" s="393" customFormat="1" x14ac:dyDescent="0.25">
      <c r="A8720" s="402" t="s">
        <v>20</v>
      </c>
      <c r="B8720" s="269">
        <v>44256</v>
      </c>
      <c r="C8720" s="1">
        <v>393</v>
      </c>
      <c r="D8720" s="39">
        <f t="shared" si="739"/>
        <v>160271</v>
      </c>
      <c r="E8720" s="1">
        <v>12</v>
      </c>
      <c r="F8720" s="39">
        <f t="shared" si="740"/>
        <v>2845</v>
      </c>
      <c r="G8720" s="436">
        <f>SUM(C8720,C8696,C8672,C8648,C8624,C8600,C8576,C8552,C8528,C8504,C8480,C8456,C8432,C8408)/POBLA!$B$6*100000</f>
        <v>722.78664990484492</v>
      </c>
      <c r="H8720" s="418">
        <f t="shared" si="741"/>
        <v>1.1857435597189696</v>
      </c>
      <c r="J8720" s="42"/>
    </row>
    <row r="8721" spans="1:10" x14ac:dyDescent="0.25">
      <c r="A8721" s="402" t="s">
        <v>31</v>
      </c>
      <c r="B8721" s="269">
        <v>44256</v>
      </c>
      <c r="C8721" s="1">
        <v>92</v>
      </c>
      <c r="D8721" s="39">
        <f t="shared" si="739"/>
        <v>45259</v>
      </c>
      <c r="E8721" s="1">
        <v>12</v>
      </c>
      <c r="F8721" s="39">
        <f t="shared" ref="F8721:F8737" si="742">E8721+F8697</f>
        <v>853</v>
      </c>
      <c r="G8721" s="169">
        <f>SUM(C8721,C8697,C8673,C8649,C8625,C8601,C8577,C8553,C8529,C8505,C8481,C8457,C8433,C8409)/POBLA!$B$8*100000</f>
        <v>121.21553203878032</v>
      </c>
      <c r="H8721" s="527">
        <f t="shared" si="741"/>
        <v>0.69680630443799252</v>
      </c>
    </row>
    <row r="8722" spans="1:10" s="393" customFormat="1" x14ac:dyDescent="0.25">
      <c r="A8722" s="402" t="s">
        <v>41</v>
      </c>
      <c r="B8722" s="269">
        <v>44256</v>
      </c>
      <c r="C8722" s="1">
        <v>22</v>
      </c>
      <c r="D8722" s="39">
        <f t="shared" si="739"/>
        <v>1243</v>
      </c>
      <c r="E8722" s="1"/>
      <c r="F8722" s="39">
        <f t="shared" si="742"/>
        <v>19</v>
      </c>
      <c r="G8722" s="436">
        <f>SUM(C8722,C8698,C8674,C8650,C8626,C8602,C8578,C8554,C8530,C8506,C8482,C8458,C8434,C8410)/POBLA!$B$9*100000</f>
        <v>44.448630436901951</v>
      </c>
      <c r="H8722" s="418">
        <f t="shared" si="741"/>
        <v>2.1181102362204722</v>
      </c>
      <c r="J8722" s="42"/>
    </row>
    <row r="8723" spans="1:10" s="393" customFormat="1" x14ac:dyDescent="0.25">
      <c r="A8723" s="402" t="s">
        <v>32</v>
      </c>
      <c r="B8723" s="269">
        <v>44256</v>
      </c>
      <c r="C8723" s="1">
        <v>44</v>
      </c>
      <c r="D8723" s="39">
        <f t="shared" si="739"/>
        <v>20796</v>
      </c>
      <c r="E8723" s="1"/>
      <c r="F8723" s="39">
        <f t="shared" si="742"/>
        <v>905</v>
      </c>
      <c r="G8723" s="436">
        <f>SUM(C8723,C8699,C8675,C8651,C8627,C8603,C8579,C8555,C8531,C8507,C8483,C8459,C8435,C8411)/POBLA!$B$10*100000</f>
        <v>129.46226460374558</v>
      </c>
      <c r="H8723" s="418">
        <f t="shared" si="741"/>
        <v>2.22271714922049</v>
      </c>
      <c r="J8723" s="42"/>
    </row>
    <row r="8724" spans="1:10" s="393" customFormat="1" x14ac:dyDescent="0.25">
      <c r="A8724" s="402" t="s">
        <v>33</v>
      </c>
      <c r="B8724" s="269">
        <v>44256</v>
      </c>
      <c r="C8724" s="1">
        <v>75</v>
      </c>
      <c r="D8724" s="39">
        <f t="shared" si="739"/>
        <v>18765</v>
      </c>
      <c r="E8724" s="1">
        <v>4</v>
      </c>
      <c r="F8724" s="39">
        <f t="shared" si="742"/>
        <v>289</v>
      </c>
      <c r="G8724" s="436">
        <f>SUM(C8724,C8700,C8676,C8652,C8628,C8604,C8580,C8556,C8532,C8508,C8484,C8460,C8436,C8412)/POBLA!$B$11*100000</f>
        <v>284.57598178713715</v>
      </c>
      <c r="H8724" s="418">
        <f t="shared" si="741"/>
        <v>0.82792207792207795</v>
      </c>
      <c r="J8724" s="42"/>
    </row>
    <row r="8725" spans="1:10" s="393" customFormat="1" x14ac:dyDescent="0.25">
      <c r="A8725" s="402" t="s">
        <v>21</v>
      </c>
      <c r="B8725" s="269">
        <v>44256</v>
      </c>
      <c r="C8725" s="1">
        <v>17</v>
      </c>
      <c r="D8725" s="39">
        <f t="shared" si="739"/>
        <v>10241</v>
      </c>
      <c r="E8725" s="1">
        <v>1</v>
      </c>
      <c r="F8725" s="39">
        <f t="shared" si="742"/>
        <v>439</v>
      </c>
      <c r="G8725" s="436">
        <f>SUM(C8725,C8701,C8677,C8653,C8629,C8605,C8581,C8557,C8533,C8509,C8485,C8461,C8437,C8413)/POBLA!$B$12*100000</f>
        <v>96.561643174235329</v>
      </c>
      <c r="H8725" s="418">
        <f t="shared" si="741"/>
        <v>1.2582781456953642</v>
      </c>
      <c r="J8725" s="42"/>
    </row>
    <row r="8726" spans="1:10" s="393" customFormat="1" x14ac:dyDescent="0.25">
      <c r="A8726" s="402" t="s">
        <v>17</v>
      </c>
      <c r="B8726" s="269">
        <v>44256</v>
      </c>
      <c r="C8726" s="1">
        <v>98</v>
      </c>
      <c r="D8726" s="39">
        <f t="shared" si="739"/>
        <v>67334</v>
      </c>
      <c r="E8726" s="1">
        <v>1</v>
      </c>
      <c r="F8726" s="39">
        <f t="shared" si="742"/>
        <v>1449</v>
      </c>
      <c r="G8726" s="436">
        <f>SUM(C8726,C8702,C8678,C8654,C8630,C8606,C8582,C8558,C8534,C8510,C8486,C8462,C8438,C8414)/POBLA!$B$13*100000</f>
        <v>82.900492278195955</v>
      </c>
      <c r="H8726" s="418">
        <f t="shared" si="741"/>
        <v>0.92230296254890998</v>
      </c>
      <c r="J8726" s="42"/>
    </row>
    <row r="8727" spans="1:10" s="393" customFormat="1" x14ac:dyDescent="0.25">
      <c r="A8727" s="402" t="s">
        <v>23</v>
      </c>
      <c r="B8727" s="269">
        <v>44256</v>
      </c>
      <c r="C8727" s="1">
        <v>106</v>
      </c>
      <c r="D8727" s="39">
        <f t="shared" si="739"/>
        <v>8380</v>
      </c>
      <c r="E8727" s="1">
        <v>3</v>
      </c>
      <c r="F8727" s="39">
        <f t="shared" si="742"/>
        <v>143</v>
      </c>
      <c r="G8727" s="436">
        <f>SUM(C8727,C8703,C8679,C8655,C8631,C8607,C8583,C8559,C8535,C8511,C8487,C8463,C8439,C8415)/POBLA!$B$14*100000</f>
        <v>121.38327780834602</v>
      </c>
      <c r="H8727" s="418">
        <f t="shared" si="741"/>
        <v>0.76934673366834172</v>
      </c>
      <c r="J8727" s="42"/>
    </row>
    <row r="8728" spans="1:10" s="393" customFormat="1" x14ac:dyDescent="0.25">
      <c r="A8728" s="402" t="s">
        <v>19</v>
      </c>
      <c r="B8728" s="269">
        <v>44256</v>
      </c>
      <c r="C8728" s="1">
        <v>147</v>
      </c>
      <c r="D8728" s="39">
        <f t="shared" si="739"/>
        <v>61323</v>
      </c>
      <c r="E8728" s="1">
        <v>4</v>
      </c>
      <c r="F8728" s="39">
        <f t="shared" si="742"/>
        <v>906</v>
      </c>
      <c r="G8728" s="436">
        <f>SUM(C8728,C8704,C8680,C8656,C8632,C8608,C8584,C8560,C8536,C8512,C8488,C8464,C8440,C8416)/POBLA!$B$15*100000</f>
        <v>378.28078011375533</v>
      </c>
      <c r="H8728" s="418">
        <f t="shared" si="741"/>
        <v>0.57338507190139243</v>
      </c>
      <c r="J8728" s="42"/>
    </row>
    <row r="8729" spans="1:10" s="393" customFormat="1" x14ac:dyDescent="0.25">
      <c r="A8729" s="402" t="s">
        <v>18</v>
      </c>
      <c r="B8729" s="269">
        <v>44256</v>
      </c>
      <c r="C8729" s="1">
        <v>111</v>
      </c>
      <c r="D8729" s="39">
        <f t="shared" si="739"/>
        <v>52437</v>
      </c>
      <c r="E8729" s="1">
        <v>6</v>
      </c>
      <c r="F8729" s="39">
        <f t="shared" si="742"/>
        <v>1188</v>
      </c>
      <c r="G8729" s="436">
        <f>SUM(C8729,C8705,C8681,C8657,C8633,C8609,C8585,C8561,C8537,C8513,C8489,C8465,C8441,C8417)/POBLA!$B$16*100000</f>
        <v>234.48054466901192</v>
      </c>
      <c r="H8729" s="418">
        <f t="shared" si="741"/>
        <v>0.70176140912730189</v>
      </c>
      <c r="J8729" s="42"/>
    </row>
    <row r="8730" spans="1:10" s="393" customFormat="1" x14ac:dyDescent="0.25">
      <c r="A8730" s="402" t="s">
        <v>34</v>
      </c>
      <c r="B8730" s="269">
        <v>44256</v>
      </c>
      <c r="C8730" s="1">
        <v>56</v>
      </c>
      <c r="D8730" s="39">
        <f t="shared" si="739"/>
        <v>26197</v>
      </c>
      <c r="E8730" s="1">
        <v>2</v>
      </c>
      <c r="F8730" s="39">
        <f t="shared" si="742"/>
        <v>1097</v>
      </c>
      <c r="G8730" s="436">
        <f>SUM(C8730,C8706,C8682,C8658,C8634,C8610,C8586,C8562,C8538,C8514,C8490,C8466,C8442,C8418)/POBLA!$B$17*100000</f>
        <v>94.215306547261747</v>
      </c>
      <c r="H8730" s="418">
        <f t="shared" si="741"/>
        <v>1.3041788143828961</v>
      </c>
      <c r="J8730" s="42"/>
    </row>
    <row r="8731" spans="1:10" s="393" customFormat="1" x14ac:dyDescent="0.25">
      <c r="A8731" s="402" t="s">
        <v>35</v>
      </c>
      <c r="B8731" s="269">
        <v>44256</v>
      </c>
      <c r="C8731" s="1">
        <v>48</v>
      </c>
      <c r="D8731" s="39">
        <f t="shared" si="739"/>
        <v>15292</v>
      </c>
      <c r="E8731" s="1">
        <v>3</v>
      </c>
      <c r="F8731" s="39">
        <f t="shared" si="742"/>
        <v>211</v>
      </c>
      <c r="G8731" s="436">
        <f>SUM(C8731,C8707,C8683,C8659,C8635,C8611,C8587,C8563,C8539,C8515,C8491,C8467,C8443,C8419)/POBLA!$B$18*100000</f>
        <v>86.531655097111297</v>
      </c>
      <c r="H8731" s="418">
        <f t="shared" si="741"/>
        <v>1.0920840064620356</v>
      </c>
      <c r="J8731" s="42"/>
    </row>
    <row r="8732" spans="1:10" s="393" customFormat="1" x14ac:dyDescent="0.25">
      <c r="A8732" s="402" t="s">
        <v>36</v>
      </c>
      <c r="B8732" s="269">
        <v>44256</v>
      </c>
      <c r="C8732" s="1">
        <v>3</v>
      </c>
      <c r="D8732" s="39">
        <f t="shared" si="739"/>
        <v>20776</v>
      </c>
      <c r="E8732" s="1">
        <v>2</v>
      </c>
      <c r="F8732" s="39">
        <f t="shared" si="742"/>
        <v>355</v>
      </c>
      <c r="G8732" s="436">
        <f>SUM(C8732,C8708,C8684,C8660,C8636,C8612,C8588,C8564,C8540,C8516,C8492,C8468,C8444,C8420)/POBLA!$B$19*100000</f>
        <v>136.32929919264728</v>
      </c>
      <c r="H8732" s="418">
        <f t="shared" si="741"/>
        <v>0.64948453608247425</v>
      </c>
      <c r="J8732" s="42"/>
    </row>
    <row r="8733" spans="1:10" s="393" customFormat="1" x14ac:dyDescent="0.25">
      <c r="A8733" s="402" t="s">
        <v>37</v>
      </c>
      <c r="B8733" s="269">
        <v>44256</v>
      </c>
      <c r="C8733" s="1">
        <v>63</v>
      </c>
      <c r="D8733" s="39">
        <f t="shared" si="739"/>
        <v>35994</v>
      </c>
      <c r="E8733" s="1">
        <v>6</v>
      </c>
      <c r="F8733" s="39">
        <f t="shared" si="742"/>
        <v>584</v>
      </c>
      <c r="G8733" s="436">
        <f>SUM(C8733,C8709,C8685,C8661,C8637,C8613,C8589,C8565,C8541,C8517,C8493,C8469,C8445,C8421)/POBLA!$B$20*100000</f>
        <v>386.38439368003105</v>
      </c>
      <c r="H8733" s="418">
        <f t="shared" si="741"/>
        <v>0.74251182343667887</v>
      </c>
      <c r="J8733" s="42"/>
    </row>
    <row r="8734" spans="1:10" s="393" customFormat="1" x14ac:dyDescent="0.25">
      <c r="A8734" s="402" t="s">
        <v>22</v>
      </c>
      <c r="B8734" s="269">
        <v>44256</v>
      </c>
      <c r="C8734" s="1">
        <v>314</v>
      </c>
      <c r="D8734" s="39">
        <f t="shared" si="739"/>
        <v>216779</v>
      </c>
      <c r="E8734" s="1">
        <v>11</v>
      </c>
      <c r="F8734" s="39">
        <f t="shared" si="742"/>
        <v>3969</v>
      </c>
      <c r="G8734" s="436">
        <f>SUM(C8734,C8710,C8686,C8662,C8638,C8614,C8590,C8566,C8542,C8518,C8494,C8470,C8446,C8422)/POBLA!$B$21*100000</f>
        <v>133.24216763968514</v>
      </c>
      <c r="H8734" s="418">
        <f t="shared" si="741"/>
        <v>0.82406435816719137</v>
      </c>
      <c r="J8734" s="42"/>
    </row>
    <row r="8735" spans="1:10" s="393" customFormat="1" x14ac:dyDescent="0.25">
      <c r="A8735" s="402" t="s">
        <v>38</v>
      </c>
      <c r="B8735" s="269">
        <v>44256</v>
      </c>
      <c r="C8735" s="1">
        <v>34</v>
      </c>
      <c r="D8735" s="39">
        <f t="shared" si="739"/>
        <v>22692</v>
      </c>
      <c r="E8735" s="1">
        <v>1</v>
      </c>
      <c r="F8735" s="39">
        <f t="shared" si="742"/>
        <v>269</v>
      </c>
      <c r="G8735" s="436">
        <f>SUM(C8735,C8711,C8687,C8663,C8639,C8615,C8591,C8567,C8543,C8519,C8495,C8471,C8447,C8423)/POBLA!$B$22*100000</f>
        <v>82.488937589503564</v>
      </c>
      <c r="H8735" s="418">
        <f t="shared" si="741"/>
        <v>0.86680988184747587</v>
      </c>
      <c r="J8735" s="42"/>
    </row>
    <row r="8736" spans="1:10" s="393" customFormat="1" x14ac:dyDescent="0.25">
      <c r="A8736" s="402" t="s">
        <v>39</v>
      </c>
      <c r="B8736" s="269">
        <v>44256</v>
      </c>
      <c r="C8736" s="1">
        <v>32</v>
      </c>
      <c r="D8736" s="39">
        <f t="shared" si="739"/>
        <v>22971</v>
      </c>
      <c r="E8736" s="1">
        <v>2</v>
      </c>
      <c r="F8736" s="39">
        <f t="shared" si="742"/>
        <v>355</v>
      </c>
      <c r="G8736" s="436">
        <f>SUM(C8736,C8712,C8688,C8664,C8640,C8616,C8592,C8568,C8544,C8520,C8496,C8472,C8448,C8424)/POBLA!$B$23*100000</f>
        <v>288.41259967200136</v>
      </c>
      <c r="H8736" s="418">
        <f t="shared" si="741"/>
        <v>0.83743842364532017</v>
      </c>
      <c r="J8736" s="42"/>
    </row>
    <row r="8737" spans="1:10" s="393" customFormat="1" ht="15.75" thickBot="1" x14ac:dyDescent="0.3">
      <c r="A8737" s="404" t="s">
        <v>40</v>
      </c>
      <c r="B8737" s="269">
        <v>44256</v>
      </c>
      <c r="C8737" s="1">
        <v>129</v>
      </c>
      <c r="D8737" s="177">
        <f t="shared" si="739"/>
        <v>79926</v>
      </c>
      <c r="E8737" s="1">
        <v>3</v>
      </c>
      <c r="F8737" s="177">
        <f t="shared" si="742"/>
        <v>1476</v>
      </c>
      <c r="G8737" s="439">
        <f>SUM(C8737,C8713,C8689,C8665,C8641,C8617,C8593,C8569,C8545,C8521,C8497,C8473,C8449,C8425)/POBLA!$B$24*100000</f>
        <v>106.1572378110956</v>
      </c>
      <c r="H8737" s="419">
        <f t="shared" si="741"/>
        <v>1.1278996865203761</v>
      </c>
      <c r="J8737" s="42"/>
    </row>
    <row r="8738" spans="1:10" s="393" customFormat="1" x14ac:dyDescent="0.25">
      <c r="A8738" s="397" t="s">
        <v>16</v>
      </c>
      <c r="B8738" s="269">
        <v>44257</v>
      </c>
      <c r="C8738" s="1">
        <v>2926</v>
      </c>
      <c r="D8738" s="175">
        <f t="shared" si="739"/>
        <v>884737</v>
      </c>
      <c r="E8738" s="1">
        <v>36</v>
      </c>
      <c r="F8738" s="175">
        <f t="shared" ref="F8738:F8744" si="743">E8738+F8714</f>
        <v>26275</v>
      </c>
      <c r="G8738" s="410">
        <f>SUM(C8738,C8714,C8690,C8666,C8642,C8618,C8594,C8570,C8546,C8522,C8498,C8474,C8450,C8426)/POBLA!$B$1*100000</f>
        <v>206.84515334549786</v>
      </c>
      <c r="H8738" s="416">
        <f t="shared" ref="H8738:H8761" si="744">SUM(C8738,C8714,C8690,C8666,C8642,C8618,C8594,C8570,C8546,C8522,C8498,C8474,C8450,C8426)/SUM(C8402,C8378,C8354,C8330,C8306,C8282,C8258,C8234,C8210,C8186,C8162,C8138,C8114,C8090)</f>
        <v>0.97281282676890901</v>
      </c>
      <c r="J8738" s="42"/>
    </row>
    <row r="8739" spans="1:10" s="393" customFormat="1" x14ac:dyDescent="0.25">
      <c r="A8739" s="402" t="s">
        <v>43</v>
      </c>
      <c r="B8739" s="269">
        <v>44257</v>
      </c>
      <c r="C8739" s="1">
        <v>652</v>
      </c>
      <c r="D8739" s="39">
        <f t="shared" si="739"/>
        <v>232976</v>
      </c>
      <c r="E8739" s="1">
        <v>9</v>
      </c>
      <c r="F8739" s="39">
        <f t="shared" si="743"/>
        <v>6537</v>
      </c>
      <c r="G8739" s="436">
        <f>SUM(C8739,C8715,C8691,C8667,C8643,C8619,C8595,C8571,C8547,C8523,C8499,C8475,C8451,C8427)/POBLA!$B$2*100000</f>
        <v>312.22708985364375</v>
      </c>
      <c r="H8739" s="418">
        <f t="shared" si="744"/>
        <v>0.87403294802948939</v>
      </c>
      <c r="J8739" s="42"/>
    </row>
    <row r="8740" spans="1:10" s="393" customFormat="1" x14ac:dyDescent="0.25">
      <c r="A8740" s="402" t="s">
        <v>28</v>
      </c>
      <c r="B8740" s="269">
        <v>44257</v>
      </c>
      <c r="C8740" s="1">
        <v>93</v>
      </c>
      <c r="D8740" s="39">
        <f t="shared" si="739"/>
        <v>8131</v>
      </c>
      <c r="E8740" s="1"/>
      <c r="F8740" s="39">
        <f t="shared" si="743"/>
        <v>17</v>
      </c>
      <c r="G8740" s="436">
        <f>SUM(C8740,C8716,C8692,C8668,C8644,C8620,C8596,C8572,C8548,C8524,C8500,C8476,C8452,C8428)/POBLA!$B$3*100000</f>
        <v>300.64654653642663</v>
      </c>
      <c r="H8740" s="418">
        <f t="shared" si="744"/>
        <v>1.037375415282392</v>
      </c>
      <c r="J8740" s="42"/>
    </row>
    <row r="8741" spans="1:10" s="393" customFormat="1" x14ac:dyDescent="0.25">
      <c r="A8741" s="402" t="s">
        <v>15</v>
      </c>
      <c r="B8741" s="269">
        <v>44257</v>
      </c>
      <c r="C8741" s="1">
        <v>113</v>
      </c>
      <c r="D8741" s="39">
        <f t="shared" si="739"/>
        <v>34330</v>
      </c>
      <c r="E8741" s="1">
        <v>2</v>
      </c>
      <c r="F8741" s="39">
        <f t="shared" si="743"/>
        <v>869</v>
      </c>
      <c r="G8741" s="436">
        <f>SUM(C8741,C8717,C8693,C8669,C8645,C8621,C8597,C8573,C8549,C8525,C8501,C8477,C8453,C8429)/POBLA!$B$4*100000</f>
        <v>145.28355614296234</v>
      </c>
      <c r="H8741" s="418">
        <f t="shared" si="744"/>
        <v>1.11323155216285</v>
      </c>
      <c r="J8741" s="42"/>
    </row>
    <row r="8742" spans="1:10" s="393" customFormat="1" x14ac:dyDescent="0.25">
      <c r="A8742" s="402" t="s">
        <v>29</v>
      </c>
      <c r="B8742" s="269">
        <v>44257</v>
      </c>
      <c r="C8742" s="1">
        <v>131</v>
      </c>
      <c r="D8742" s="39">
        <f t="shared" si="739"/>
        <v>47139</v>
      </c>
      <c r="E8742" s="1"/>
      <c r="F8742" s="39">
        <f t="shared" si="743"/>
        <v>775</v>
      </c>
      <c r="G8742" s="436">
        <f>SUM(C8742,C8718,C8694,C8670,C8646,C8622,C8598,C8574,C8550,C8526,C8502,C8478,C8454,C8430)/POBLA!$B$5*100000</f>
        <v>291.76373276639191</v>
      </c>
      <c r="H8742" s="418">
        <f t="shared" si="744"/>
        <v>0.72705314009661837</v>
      </c>
      <c r="J8742" s="42"/>
    </row>
    <row r="8743" spans="1:10" s="393" customFormat="1" x14ac:dyDescent="0.25">
      <c r="A8743" s="402" t="s">
        <v>30</v>
      </c>
      <c r="B8743" s="269">
        <v>44257</v>
      </c>
      <c r="C8743" s="1">
        <v>111</v>
      </c>
      <c r="D8743" s="39">
        <f t="shared" si="739"/>
        <v>22060</v>
      </c>
      <c r="E8743" s="1"/>
      <c r="F8743" s="39">
        <f t="shared" si="743"/>
        <v>300</v>
      </c>
      <c r="G8743" s="436">
        <f>SUM(C8743,C8719,C8695,C8671,C8647,C8623,C8599,C8575,C8551,C8527,C8503,C8479,C8455,C8431)/POBLA!$B$7*100000</f>
        <v>51.270459652435214</v>
      </c>
      <c r="H8743" s="418">
        <f t="shared" si="744"/>
        <v>0.80534670008354214</v>
      </c>
      <c r="J8743" s="42"/>
    </row>
    <row r="8744" spans="1:10" s="393" customFormat="1" x14ac:dyDescent="0.25">
      <c r="A8744" s="402" t="s">
        <v>20</v>
      </c>
      <c r="B8744" s="269">
        <v>44257</v>
      </c>
      <c r="C8744" s="1">
        <v>778</v>
      </c>
      <c r="D8744" s="39">
        <f t="shared" si="739"/>
        <v>161049</v>
      </c>
      <c r="E8744" s="1">
        <v>8</v>
      </c>
      <c r="F8744" s="39">
        <f t="shared" si="743"/>
        <v>2853</v>
      </c>
      <c r="G8744" s="436">
        <f>SUM(C8744,C8720,C8696,C8672,C8648,C8624,C8600,C8576,C8552,C8528,C8504,C8480,C8456,C8432)/POBLA!$B$6*100000</f>
        <v>765.16705463324888</v>
      </c>
      <c r="H8744" s="418">
        <f t="shared" si="744"/>
        <v>1.3065204143814748</v>
      </c>
      <c r="J8744" s="42"/>
    </row>
    <row r="8745" spans="1:10" x14ac:dyDescent="0.25">
      <c r="A8745" s="402" t="s">
        <v>31</v>
      </c>
      <c r="B8745" s="269">
        <v>44257</v>
      </c>
      <c r="C8745" s="1">
        <v>99</v>
      </c>
      <c r="D8745" s="39">
        <f t="shared" si="739"/>
        <v>45358</v>
      </c>
      <c r="E8745" s="1">
        <v>13</v>
      </c>
      <c r="F8745" s="39">
        <f t="shared" ref="F8745:F8761" si="745">E8745+F8721</f>
        <v>866</v>
      </c>
      <c r="G8745" s="169">
        <f>SUM(C8745,C8721,C8697,C8673,C8649,C8625,C8601,C8577,C8553,C8529,C8505,C8481,C8457,C8433)/POBLA!$B$8*100000</f>
        <v>120.92692362916416</v>
      </c>
      <c r="H8745" s="527">
        <f t="shared" si="744"/>
        <v>0.75156950672645739</v>
      </c>
    </row>
    <row r="8746" spans="1:10" s="393" customFormat="1" x14ac:dyDescent="0.25">
      <c r="A8746" s="402" t="s">
        <v>41</v>
      </c>
      <c r="B8746" s="269">
        <v>44257</v>
      </c>
      <c r="C8746" s="1">
        <v>14</v>
      </c>
      <c r="D8746" s="39">
        <f t="shared" si="739"/>
        <v>1257</v>
      </c>
      <c r="E8746" s="1"/>
      <c r="F8746" s="39">
        <f t="shared" si="745"/>
        <v>19</v>
      </c>
      <c r="G8746" s="436">
        <f>SUM(C8746,C8722,C8698,C8674,C8650,C8626,C8602,C8578,C8554,C8530,C8506,C8482,C8458,C8434)/POBLA!$B$9*100000</f>
        <v>46.100995880652945</v>
      </c>
      <c r="H8746" s="418">
        <f t="shared" si="744"/>
        <v>2.1968503937007875</v>
      </c>
      <c r="J8746" s="42"/>
    </row>
    <row r="8747" spans="1:10" s="393" customFormat="1" x14ac:dyDescent="0.25">
      <c r="A8747" s="402" t="s">
        <v>32</v>
      </c>
      <c r="B8747" s="269">
        <v>44257</v>
      </c>
      <c r="C8747" s="1">
        <v>92</v>
      </c>
      <c r="D8747" s="39">
        <f t="shared" si="739"/>
        <v>20888</v>
      </c>
      <c r="E8747" s="1">
        <v>4</v>
      </c>
      <c r="F8747" s="39">
        <f t="shared" si="745"/>
        <v>909</v>
      </c>
      <c r="G8747" s="436">
        <f>SUM(C8747,C8723,C8699,C8675,C8651,C8627,C8603,C8579,C8555,C8531,C8507,C8483,C8459,C8435)/POBLA!$B$10*100000</f>
        <v>137.63473220899203</v>
      </c>
      <c r="H8747" s="418">
        <f t="shared" si="744"/>
        <v>2.3267543859649122</v>
      </c>
      <c r="J8747" s="42"/>
    </row>
    <row r="8748" spans="1:10" s="393" customFormat="1" x14ac:dyDescent="0.25">
      <c r="A8748" s="402" t="s">
        <v>33</v>
      </c>
      <c r="B8748" s="269">
        <v>44257</v>
      </c>
      <c r="C8748" s="1">
        <v>84</v>
      </c>
      <c r="D8748" s="39">
        <f t="shared" si="739"/>
        <v>18849</v>
      </c>
      <c r="E8748" s="1"/>
      <c r="F8748" s="39">
        <f t="shared" si="745"/>
        <v>289</v>
      </c>
      <c r="G8748" s="436">
        <f>SUM(C8748,C8724,C8700,C8676,C8652,C8628,C8604,C8580,C8556,C8532,C8508,C8484,C8460,C8436)/POBLA!$B$11*100000</f>
        <v>293.22485966498152</v>
      </c>
      <c r="H8748" s="418">
        <f t="shared" si="744"/>
        <v>0.87802840434419382</v>
      </c>
      <c r="J8748" s="42"/>
    </row>
    <row r="8749" spans="1:10" s="393" customFormat="1" x14ac:dyDescent="0.25">
      <c r="A8749" s="402" t="s">
        <v>21</v>
      </c>
      <c r="B8749" s="269">
        <v>44257</v>
      </c>
      <c r="C8749" s="1">
        <v>23</v>
      </c>
      <c r="D8749" s="39">
        <f t="shared" si="739"/>
        <v>10264</v>
      </c>
      <c r="E8749" s="1"/>
      <c r="F8749" s="39">
        <f t="shared" si="745"/>
        <v>439</v>
      </c>
      <c r="G8749" s="436">
        <f>SUM(C8749,C8725,C8701,C8677,C8653,C8629,C8605,C8581,C8557,C8533,C8509,C8485,C8461,C8437)/POBLA!$B$12*100000</f>
        <v>97.323971936137184</v>
      </c>
      <c r="H8749" s="418">
        <f t="shared" si="744"/>
        <v>1.2120253164556962</v>
      </c>
      <c r="J8749" s="42"/>
    </row>
    <row r="8750" spans="1:10" s="393" customFormat="1" x14ac:dyDescent="0.25">
      <c r="A8750" s="402" t="s">
        <v>17</v>
      </c>
      <c r="B8750" s="269">
        <v>44257</v>
      </c>
      <c r="C8750" s="1">
        <v>146</v>
      </c>
      <c r="D8750" s="39">
        <f t="shared" si="739"/>
        <v>67480</v>
      </c>
      <c r="E8750" s="1"/>
      <c r="F8750" s="39">
        <f t="shared" si="745"/>
        <v>1449</v>
      </c>
      <c r="G8750" s="436">
        <f>SUM(C8750,C8726,C8702,C8678,C8654,C8630,C8606,C8582,C8558,C8534,C8510,C8486,C8462,C8438)/POBLA!$B$13*100000</f>
        <v>87.92476453748057</v>
      </c>
      <c r="H8750" s="418">
        <f t="shared" si="744"/>
        <v>1.0361160449970397</v>
      </c>
      <c r="J8750" s="42"/>
    </row>
    <row r="8751" spans="1:10" s="393" customFormat="1" x14ac:dyDescent="0.25">
      <c r="A8751" s="402" t="s">
        <v>23</v>
      </c>
      <c r="B8751" s="269">
        <v>44257</v>
      </c>
      <c r="C8751" s="1">
        <v>154</v>
      </c>
      <c r="D8751" s="39">
        <f t="shared" si="739"/>
        <v>8534</v>
      </c>
      <c r="E8751" s="1">
        <v>3</v>
      </c>
      <c r="F8751" s="39">
        <f t="shared" si="745"/>
        <v>146</v>
      </c>
      <c r="G8751" s="436">
        <f>SUM(C8751,C8727,C8703,C8679,C8655,C8631,C8607,C8583,C8559,C8535,C8511,C8487,C8463,C8439)/POBLA!$B$14*100000</f>
        <v>124.47534040437836</v>
      </c>
      <c r="H8751" s="418">
        <f t="shared" si="744"/>
        <v>0.86216364634816034</v>
      </c>
      <c r="J8751" s="42"/>
    </row>
    <row r="8752" spans="1:10" s="393" customFormat="1" x14ac:dyDescent="0.25">
      <c r="A8752" s="402" t="s">
        <v>19</v>
      </c>
      <c r="B8752" s="269">
        <v>44257</v>
      </c>
      <c r="C8752" s="1">
        <v>176</v>
      </c>
      <c r="D8752" s="39">
        <f t="shared" si="739"/>
        <v>61499</v>
      </c>
      <c r="E8752" s="1">
        <v>4</v>
      </c>
      <c r="F8752" s="39">
        <f t="shared" si="745"/>
        <v>910</v>
      </c>
      <c r="G8752" s="436">
        <f>SUM(C8752,C8728,C8704,C8680,C8656,C8632,C8608,C8584,C8560,C8536,C8512,C8488,C8464,C8440)/POBLA!$B$15*100000</f>
        <v>387.9185069956344</v>
      </c>
      <c r="H8752" s="418">
        <f t="shared" si="744"/>
        <v>0.64496745117676513</v>
      </c>
      <c r="J8752" s="42"/>
    </row>
    <row r="8753" spans="1:10" s="393" customFormat="1" x14ac:dyDescent="0.25">
      <c r="A8753" s="402" t="s">
        <v>18</v>
      </c>
      <c r="B8753" s="269">
        <v>44257</v>
      </c>
      <c r="C8753" s="1">
        <v>120</v>
      </c>
      <c r="D8753" s="39">
        <f t="shared" si="739"/>
        <v>52557</v>
      </c>
      <c r="E8753" s="1">
        <v>5</v>
      </c>
      <c r="F8753" s="39">
        <f t="shared" si="745"/>
        <v>1193</v>
      </c>
      <c r="G8753" s="436">
        <f>SUM(C8753,C8729,C8705,C8681,C8657,C8633,C8609,C8585,C8561,C8537,C8513,C8489,C8465,C8441)/POBLA!$B$16*100000</f>
        <v>235.4168617327216</v>
      </c>
      <c r="H8753" s="418">
        <f t="shared" si="744"/>
        <v>0.7596029348295209</v>
      </c>
      <c r="J8753" s="42"/>
    </row>
    <row r="8754" spans="1:10" s="393" customFormat="1" x14ac:dyDescent="0.25">
      <c r="A8754" s="402" t="s">
        <v>34</v>
      </c>
      <c r="B8754" s="269">
        <v>44257</v>
      </c>
      <c r="C8754" s="1">
        <v>103</v>
      </c>
      <c r="D8754" s="39">
        <f t="shared" si="739"/>
        <v>26300</v>
      </c>
      <c r="E8754" s="1">
        <v>5</v>
      </c>
      <c r="F8754" s="39">
        <f t="shared" si="745"/>
        <v>1102</v>
      </c>
      <c r="G8754" s="436">
        <f>SUM(C8754,C8730,C8706,C8682,C8658,C8634,C8610,C8586,C8562,C8538,C8514,C8490,C8466,C8442)/POBLA!$B$17*100000</f>
        <v>98.216999895394338</v>
      </c>
      <c r="H8754" s="418">
        <f t="shared" si="744"/>
        <v>1.3742632612966601</v>
      </c>
      <c r="J8754" s="42"/>
    </row>
    <row r="8755" spans="1:10" s="393" customFormat="1" x14ac:dyDescent="0.25">
      <c r="A8755" s="402" t="s">
        <v>35</v>
      </c>
      <c r="B8755" s="269">
        <v>44257</v>
      </c>
      <c r="C8755" s="1">
        <v>51</v>
      </c>
      <c r="D8755" s="39">
        <f t="shared" si="739"/>
        <v>15343</v>
      </c>
      <c r="E8755" s="1">
        <v>1</v>
      </c>
      <c r="F8755" s="39">
        <f t="shared" si="745"/>
        <v>212</v>
      </c>
      <c r="G8755" s="436">
        <f>SUM(C8755,C8731,C8707,C8683,C8659,C8635,C8611,C8587,C8563,C8539,C8515,C8491,C8467,C8443)/POBLA!$B$18*100000</f>
        <v>87.427692945750039</v>
      </c>
      <c r="H8755" s="418">
        <f t="shared" si="744"/>
        <v>1.1775862068965517</v>
      </c>
      <c r="J8755" s="42"/>
    </row>
    <row r="8756" spans="1:10" s="393" customFormat="1" x14ac:dyDescent="0.25">
      <c r="A8756" s="402" t="s">
        <v>36</v>
      </c>
      <c r="B8756" s="269">
        <v>44257</v>
      </c>
      <c r="C8756" s="1">
        <v>6</v>
      </c>
      <c r="D8756" s="39">
        <f t="shared" si="739"/>
        <v>20782</v>
      </c>
      <c r="E8756" s="1">
        <v>1</v>
      </c>
      <c r="F8756" s="39">
        <f t="shared" si="745"/>
        <v>356</v>
      </c>
      <c r="G8756" s="436">
        <f>SUM(C8756,C8732,C8708,C8684,C8660,C8636,C8612,C8588,C8564,C8540,C8516,C8492,C8468,C8444)/POBLA!$B$19*100000</f>
        <v>110.36181363214303</v>
      </c>
      <c r="H8756" s="418">
        <f t="shared" si="744"/>
        <v>0.49124343257443082</v>
      </c>
      <c r="J8756" s="42"/>
    </row>
    <row r="8757" spans="1:10" s="393" customFormat="1" x14ac:dyDescent="0.25">
      <c r="A8757" s="402" t="s">
        <v>37</v>
      </c>
      <c r="B8757" s="269">
        <v>44257</v>
      </c>
      <c r="C8757" s="1">
        <v>104</v>
      </c>
      <c r="D8757" s="39">
        <f t="shared" si="739"/>
        <v>36098</v>
      </c>
      <c r="E8757" s="1">
        <v>4</v>
      </c>
      <c r="F8757" s="39">
        <f t="shared" si="745"/>
        <v>588</v>
      </c>
      <c r="G8757" s="436">
        <f>SUM(C8757,C8733,C8709,C8685,C8661,C8637,C8613,C8589,C8565,C8541,C8517,C8493,C8469,C8445)/POBLA!$B$20*100000</f>
        <v>400.6037768869395</v>
      </c>
      <c r="H8757" s="418">
        <f t="shared" si="744"/>
        <v>0.81524763494713415</v>
      </c>
      <c r="J8757" s="42"/>
    </row>
    <row r="8758" spans="1:10" s="393" customFormat="1" x14ac:dyDescent="0.25">
      <c r="A8758" s="402" t="s">
        <v>22</v>
      </c>
      <c r="B8758" s="269">
        <v>44257</v>
      </c>
      <c r="C8758" s="1">
        <v>409</v>
      </c>
      <c r="D8758" s="39">
        <f t="shared" si="739"/>
        <v>217188</v>
      </c>
      <c r="E8758" s="1">
        <v>20</v>
      </c>
      <c r="F8758" s="39">
        <f t="shared" si="745"/>
        <v>3989</v>
      </c>
      <c r="G8758" s="436">
        <f>SUM(C8758,C8734,C8710,C8686,C8662,C8638,C8614,C8590,C8566,C8542,C8518,C8494,C8470,C8446)/POBLA!$B$21*100000</f>
        <v>139.71764649993298</v>
      </c>
      <c r="H8758" s="418">
        <f t="shared" si="744"/>
        <v>0.91788965261006872</v>
      </c>
      <c r="J8758" s="42"/>
    </row>
    <row r="8759" spans="1:10" s="393" customFormat="1" x14ac:dyDescent="0.25">
      <c r="A8759" s="402" t="s">
        <v>38</v>
      </c>
      <c r="B8759" s="269">
        <v>44257</v>
      </c>
      <c r="C8759" s="1">
        <v>40</v>
      </c>
      <c r="D8759" s="39">
        <f t="shared" si="739"/>
        <v>22732</v>
      </c>
      <c r="E8759" s="1"/>
      <c r="F8759" s="39">
        <f t="shared" si="745"/>
        <v>269</v>
      </c>
      <c r="G8759" s="436">
        <f>SUM(C8759,C8735,C8711,C8687,C8663,C8639,C8615,C8591,C8567,C8543,C8519,C8495,C8471,C8447)/POBLA!$B$22*100000</f>
        <v>83.613322116745863</v>
      </c>
      <c r="H8759" s="418">
        <f t="shared" si="744"/>
        <v>0.91806958473625144</v>
      </c>
      <c r="J8759" s="42"/>
    </row>
    <row r="8760" spans="1:10" s="393" customFormat="1" x14ac:dyDescent="0.25">
      <c r="A8760" s="402" t="s">
        <v>39</v>
      </c>
      <c r="B8760" s="269">
        <v>44257</v>
      </c>
      <c r="C8760" s="1">
        <v>55</v>
      </c>
      <c r="D8760" s="39">
        <f t="shared" si="739"/>
        <v>23026</v>
      </c>
      <c r="E8760" s="1">
        <v>1</v>
      </c>
      <c r="F8760" s="39">
        <f t="shared" si="745"/>
        <v>356</v>
      </c>
      <c r="G8760" s="436">
        <f>SUM(C8760,C8736,C8712,C8688,C8664,C8640,C8616,C8592,C8568,C8544,C8520,C8496,C8472,C8448)/POBLA!$B$23*100000</f>
        <v>307.07459141548378</v>
      </c>
      <c r="H8760" s="418">
        <f t="shared" si="744"/>
        <v>0.94764397905759157</v>
      </c>
      <c r="J8760" s="42"/>
    </row>
    <row r="8761" spans="1:10" s="393" customFormat="1" ht="15.75" thickBot="1" x14ac:dyDescent="0.3">
      <c r="A8761" s="404" t="s">
        <v>40</v>
      </c>
      <c r="B8761" s="269">
        <v>44257</v>
      </c>
      <c r="C8761" s="1">
        <v>173</v>
      </c>
      <c r="D8761" s="177">
        <f t="shared" si="739"/>
        <v>80099</v>
      </c>
      <c r="E8761" s="1"/>
      <c r="F8761" s="177">
        <f t="shared" si="745"/>
        <v>1476</v>
      </c>
      <c r="G8761" s="439">
        <f>SUM(C8761,C8737,C8713,C8689,C8665,C8641,C8617,C8593,C8569,C8545,C8521,C8497,C8473,C8449)/POBLA!$B$24*100000</f>
        <v>112.41219456928131</v>
      </c>
      <c r="H8761" s="419">
        <f t="shared" si="744"/>
        <v>1.2880324543610548</v>
      </c>
      <c r="J8761" s="42"/>
    </row>
    <row r="8762" spans="1:10" s="393" customFormat="1" x14ac:dyDescent="0.25">
      <c r="A8762" s="397" t="s">
        <v>16</v>
      </c>
      <c r="B8762" s="269">
        <v>44258</v>
      </c>
      <c r="C8762" s="1">
        <v>3460</v>
      </c>
      <c r="D8762" s="175">
        <f t="shared" si="739"/>
        <v>888197</v>
      </c>
      <c r="E8762" s="1">
        <v>169</v>
      </c>
      <c r="F8762" s="175">
        <f t="shared" ref="F8762:F8768" si="746">E8762+F8738</f>
        <v>26444</v>
      </c>
      <c r="G8762" s="410">
        <f>SUM(C8762,C8738,C8714,C8690,C8666,C8642,C8618,C8594,C8570,C8546,C8522,C8498,C8474,C8450)/POBLA!$B$1*100000</f>
        <v>211.73651132500447</v>
      </c>
      <c r="H8762" s="416">
        <f t="shared" ref="H8762:H8785" si="747">SUM(C8762,C8738,C8714,C8690,C8666,C8642,C8618,C8594,C8570,C8546,C8522,C8498,C8474,C8450)/SUM(C8426,C8402,C8378,C8354,C8330,C8306,C8282,C8258,C8234,C8210,C8186,C8162,C8138,C8114)</f>
        <v>1.0256828035679766</v>
      </c>
      <c r="J8762" s="42"/>
    </row>
    <row r="8763" spans="1:10" s="393" customFormat="1" x14ac:dyDescent="0.25">
      <c r="A8763" s="402" t="s">
        <v>43</v>
      </c>
      <c r="B8763" s="269">
        <v>44258</v>
      </c>
      <c r="C8763" s="1">
        <v>859</v>
      </c>
      <c r="D8763" s="39">
        <f t="shared" si="739"/>
        <v>233835</v>
      </c>
      <c r="E8763" s="1">
        <v>18</v>
      </c>
      <c r="F8763" s="39">
        <f t="shared" si="746"/>
        <v>6555</v>
      </c>
      <c r="G8763" s="436">
        <f>SUM(C8763,C8739,C8715,C8691,C8667,C8643,C8619,C8595,C8571,C8547,C8523,C8499,C8475,C8451)/POBLA!$B$2*100000</f>
        <v>315.31587185261242</v>
      </c>
      <c r="H8763" s="418">
        <f t="shared" si="747"/>
        <v>0.90805243445692885</v>
      </c>
      <c r="J8763" s="42"/>
    </row>
    <row r="8764" spans="1:10" s="393" customFormat="1" x14ac:dyDescent="0.25">
      <c r="A8764" s="402" t="s">
        <v>28</v>
      </c>
      <c r="B8764" s="269">
        <v>44258</v>
      </c>
      <c r="C8764" s="1">
        <v>53</v>
      </c>
      <c r="D8764" s="39">
        <f t="shared" si="739"/>
        <v>8184</v>
      </c>
      <c r="E8764" s="1"/>
      <c r="F8764" s="39">
        <f t="shared" si="746"/>
        <v>17</v>
      </c>
      <c r="G8764" s="436">
        <f>SUM(C8764,C8740,C8716,C8692,C8668,C8644,C8620,C8596,C8572,C8548,C8524,C8500,C8476,C8452)/POBLA!$B$3*100000</f>
        <v>293.90667199437701</v>
      </c>
      <c r="H8764" s="418">
        <f t="shared" si="747"/>
        <v>1.0654450261780104</v>
      </c>
      <c r="J8764" s="42"/>
    </row>
    <row r="8765" spans="1:10" s="393" customFormat="1" x14ac:dyDescent="0.25">
      <c r="A8765" s="402" t="s">
        <v>15</v>
      </c>
      <c r="B8765" s="269">
        <v>44258</v>
      </c>
      <c r="C8765" s="1">
        <v>174</v>
      </c>
      <c r="D8765" s="39">
        <f t="shared" si="739"/>
        <v>34504</v>
      </c>
      <c r="E8765" s="1">
        <v>1</v>
      </c>
      <c r="F8765" s="39">
        <f t="shared" si="746"/>
        <v>870</v>
      </c>
      <c r="G8765" s="436">
        <f>SUM(C8765,C8741,C8717,C8693,C8669,C8645,C8621,C8597,C8573,C8549,C8525,C8501,C8477,C8453)/POBLA!$B$4*100000</f>
        <v>151.09489838868083</v>
      </c>
      <c r="H8765" s="418">
        <f t="shared" si="747"/>
        <v>1.1674150096215523</v>
      </c>
      <c r="J8765" s="42"/>
    </row>
    <row r="8766" spans="1:10" s="393" customFormat="1" x14ac:dyDescent="0.25">
      <c r="A8766" s="402" t="s">
        <v>29</v>
      </c>
      <c r="B8766" s="269">
        <v>44258</v>
      </c>
      <c r="C8766" s="1">
        <v>131</v>
      </c>
      <c r="D8766" s="39">
        <f t="shared" si="739"/>
        <v>47270</v>
      </c>
      <c r="E8766" s="1">
        <v>2</v>
      </c>
      <c r="F8766" s="39">
        <f t="shared" si="746"/>
        <v>777</v>
      </c>
      <c r="G8766" s="436">
        <f>SUM(C8766,C8742,C8718,C8694,C8670,C8646,C8622,C8598,C8574,C8550,C8526,C8502,C8478,C8454)/POBLA!$B$5*100000</f>
        <v>284.65542476986855</v>
      </c>
      <c r="H8766" s="418">
        <f t="shared" si="747"/>
        <v>0.74661016949152548</v>
      </c>
      <c r="J8766" s="42"/>
    </row>
    <row r="8767" spans="1:10" s="393" customFormat="1" x14ac:dyDescent="0.25">
      <c r="A8767" s="402" t="s">
        <v>30</v>
      </c>
      <c r="B8767" s="269">
        <v>44258</v>
      </c>
      <c r="C8767" s="1">
        <v>253</v>
      </c>
      <c r="D8767" s="39">
        <f t="shared" si="739"/>
        <v>22313</v>
      </c>
      <c r="E8767" s="1"/>
      <c r="F8767" s="39">
        <f t="shared" si="746"/>
        <v>300</v>
      </c>
      <c r="G8767" s="436">
        <f>SUM(C8767,C8743,C8719,C8695,C8671,C8647,C8623,C8599,C8575,C8551,C8527,C8503,C8479,C8455)/POBLA!$B$7*100000</f>
        <v>50.313127418261118</v>
      </c>
      <c r="H8767" s="418">
        <f t="shared" si="747"/>
        <v>0.77192982456140347</v>
      </c>
      <c r="J8767" s="42"/>
    </row>
    <row r="8768" spans="1:10" s="393" customFormat="1" x14ac:dyDescent="0.25">
      <c r="A8768" s="402" t="s">
        <v>20</v>
      </c>
      <c r="B8768" s="269">
        <v>44258</v>
      </c>
      <c r="C8768" s="1">
        <v>699</v>
      </c>
      <c r="D8768" s="39">
        <f t="shared" si="739"/>
        <v>161748</v>
      </c>
      <c r="E8768" s="1">
        <v>9</v>
      </c>
      <c r="F8768" s="39">
        <f t="shared" si="746"/>
        <v>2862</v>
      </c>
      <c r="G8768" s="436">
        <f>SUM(C8768,C8744,C8720,C8696,C8672,C8648,C8624,C8600,C8576,C8552,C8528,C8504,C8480,C8456)/POBLA!$B$6*100000</f>
        <v>788.45397175769835</v>
      </c>
      <c r="H8768" s="418">
        <f t="shared" si="747"/>
        <v>1.3809970307860604</v>
      </c>
      <c r="J8768" s="42"/>
    </row>
    <row r="8769" spans="1:10" x14ac:dyDescent="0.25">
      <c r="A8769" s="402" t="s">
        <v>31</v>
      </c>
      <c r="B8769" s="269">
        <v>44258</v>
      </c>
      <c r="C8769" s="1">
        <v>161</v>
      </c>
      <c r="D8769" s="39">
        <f t="shared" si="739"/>
        <v>45519</v>
      </c>
      <c r="E8769" s="1">
        <v>3</v>
      </c>
      <c r="F8769" s="39">
        <f t="shared" ref="F8769:F8792" si="748">E8769+F8745</f>
        <v>869</v>
      </c>
      <c r="G8769" s="169">
        <f>SUM(C8769,C8745,C8721,C8697,C8673,C8649,C8625,C8601,C8577,C8553,C8529,C8505,C8481,C8457)/POBLA!$B$8*100000</f>
        <v>126.4104834118709</v>
      </c>
      <c r="H8769" s="527">
        <f t="shared" si="747"/>
        <v>0.8546341463414634</v>
      </c>
    </row>
    <row r="8770" spans="1:10" s="393" customFormat="1" x14ac:dyDescent="0.25">
      <c r="A8770" s="402" t="s">
        <v>41</v>
      </c>
      <c r="B8770" s="269">
        <v>44258</v>
      </c>
      <c r="C8770" s="1">
        <v>29</v>
      </c>
      <c r="D8770" s="39">
        <f t="shared" ref="D8770:D8809" si="749">C8770+D8746</f>
        <v>1286</v>
      </c>
      <c r="E8770" s="1"/>
      <c r="F8770" s="39">
        <f t="shared" si="748"/>
        <v>19</v>
      </c>
      <c r="G8770" s="436">
        <f>SUM(C8770,C8746,C8722,C8698,C8674,C8650,C8626,C8602,C8578,C8554,C8530,C8506,C8482,C8458)/POBLA!$B$9*100000</f>
        <v>49.240490223779844</v>
      </c>
      <c r="H8770" s="418">
        <f t="shared" si="747"/>
        <v>2.2406015037593985</v>
      </c>
      <c r="J8770" s="42"/>
    </row>
    <row r="8771" spans="1:10" s="393" customFormat="1" x14ac:dyDescent="0.25">
      <c r="A8771" s="402" t="s">
        <v>32</v>
      </c>
      <c r="B8771" s="269">
        <v>44258</v>
      </c>
      <c r="C8771" s="1">
        <v>94</v>
      </c>
      <c r="D8771" s="39">
        <f t="shared" si="749"/>
        <v>20982</v>
      </c>
      <c r="E8771" s="1">
        <v>2</v>
      </c>
      <c r="F8771" s="39">
        <f t="shared" si="748"/>
        <v>911</v>
      </c>
      <c r="G8771" s="436">
        <f>SUM(C8771,C8747,C8723,C8699,C8675,C8651,C8627,C8603,C8579,C8555,C8531,C8507,C8483,C8459)/POBLA!$B$10*100000</f>
        <v>143.21276565384281</v>
      </c>
      <c r="H8771" s="418">
        <f t="shared" si="747"/>
        <v>2.3340380549682873</v>
      </c>
      <c r="J8771" s="42"/>
    </row>
    <row r="8772" spans="1:10" s="393" customFormat="1" x14ac:dyDescent="0.25">
      <c r="A8772" s="402" t="s">
        <v>33</v>
      </c>
      <c r="B8772" s="269">
        <v>44258</v>
      </c>
      <c r="C8772" s="1">
        <v>104</v>
      </c>
      <c r="D8772" s="39">
        <f t="shared" si="749"/>
        <v>18953</v>
      </c>
      <c r="E8772" s="1"/>
      <c r="F8772" s="39">
        <f t="shared" si="748"/>
        <v>289</v>
      </c>
      <c r="G8772" s="436">
        <f>SUM(C8772,C8748,C8724,C8700,C8676,C8652,C8628,C8604,C8580,C8556,C8532,C8508,C8484,C8460)/POBLA!$B$11*100000</f>
        <v>310.24361936009467</v>
      </c>
      <c r="H8772" s="418">
        <f t="shared" si="747"/>
        <v>0.9754385964912281</v>
      </c>
      <c r="J8772" s="42"/>
    </row>
    <row r="8773" spans="1:10" s="393" customFormat="1" x14ac:dyDescent="0.25">
      <c r="A8773" s="402" t="s">
        <v>21</v>
      </c>
      <c r="B8773" s="269">
        <v>44258</v>
      </c>
      <c r="C8773" s="1">
        <v>23</v>
      </c>
      <c r="D8773" s="39">
        <f t="shared" si="749"/>
        <v>10287</v>
      </c>
      <c r="E8773" s="1"/>
      <c r="F8773" s="39">
        <f t="shared" si="748"/>
        <v>439</v>
      </c>
      <c r="G8773" s="436">
        <f>SUM(C8773,C8749,C8725,C8701,C8677,C8653,C8629,C8605,C8581,C8557,C8533,C8509,C8485,C8461)/POBLA!$B$12*100000</f>
        <v>94.274656888529748</v>
      </c>
      <c r="H8773" s="418">
        <f t="shared" si="747"/>
        <v>1.1208459214501512</v>
      </c>
      <c r="J8773" s="42"/>
    </row>
    <row r="8774" spans="1:10" s="393" customFormat="1" x14ac:dyDescent="0.25">
      <c r="A8774" s="402" t="s">
        <v>17</v>
      </c>
      <c r="B8774" s="269">
        <v>44258</v>
      </c>
      <c r="C8774" s="1">
        <v>207</v>
      </c>
      <c r="D8774" s="39">
        <f t="shared" si="749"/>
        <v>67687</v>
      </c>
      <c r="E8774" s="1">
        <v>4</v>
      </c>
      <c r="F8774" s="39">
        <f t="shared" si="748"/>
        <v>1453</v>
      </c>
      <c r="G8774" s="436">
        <f>SUM(C8774,C8750,C8726,C8702,C8678,C8654,C8630,C8606,C8582,C8558,C8534,C8510,C8486,C8462)/POBLA!$B$13*100000</f>
        <v>91.592483286758338</v>
      </c>
      <c r="H8774" s="418">
        <f t="shared" si="747"/>
        <v>1.0948948948948949</v>
      </c>
      <c r="J8774" s="42"/>
    </row>
    <row r="8775" spans="1:10" s="393" customFormat="1" x14ac:dyDescent="0.25">
      <c r="A8775" s="402" t="s">
        <v>23</v>
      </c>
      <c r="B8775" s="269">
        <v>44258</v>
      </c>
      <c r="C8775" s="1">
        <v>116</v>
      </c>
      <c r="D8775" s="39">
        <f t="shared" si="749"/>
        <v>8650</v>
      </c>
      <c r="E8775" s="1">
        <v>2</v>
      </c>
      <c r="F8775" s="39">
        <f t="shared" si="748"/>
        <v>148</v>
      </c>
      <c r="G8775" s="436">
        <f>SUM(C8775,C8751,C8727,C8703,C8679,C8655,C8631,C8607,C8583,C8559,C8535,C8511,C8487,C8463)/POBLA!$B$14*100000</f>
        <v>126.14029718685731</v>
      </c>
      <c r="H8775" s="418">
        <f t="shared" si="747"/>
        <v>0.921784472769409</v>
      </c>
      <c r="J8775" s="42"/>
    </row>
    <row r="8776" spans="1:10" s="393" customFormat="1" x14ac:dyDescent="0.25">
      <c r="A8776" s="402" t="s">
        <v>19</v>
      </c>
      <c r="B8776" s="269">
        <v>44258</v>
      </c>
      <c r="C8776" s="1">
        <v>176</v>
      </c>
      <c r="D8776" s="39">
        <f t="shared" si="749"/>
        <v>61675</v>
      </c>
      <c r="E8776" s="1">
        <v>28</v>
      </c>
      <c r="F8776" s="39">
        <f t="shared" si="748"/>
        <v>938</v>
      </c>
      <c r="G8776" s="436">
        <f>SUM(C8776,C8752,C8728,C8704,C8680,C8656,C8632,C8608,C8584,C8560,C8536,C8512,C8488,C8464)/POBLA!$B$15*100000</f>
        <v>380.5396223516957</v>
      </c>
      <c r="H8776" s="418">
        <f t="shared" si="747"/>
        <v>0.67153866595801226</v>
      </c>
      <c r="J8776" s="42"/>
    </row>
    <row r="8777" spans="1:10" s="393" customFormat="1" x14ac:dyDescent="0.25">
      <c r="A8777" s="402" t="s">
        <v>18</v>
      </c>
      <c r="B8777" s="269">
        <v>44258</v>
      </c>
      <c r="C8777" s="1">
        <v>185</v>
      </c>
      <c r="D8777" s="39">
        <f t="shared" si="749"/>
        <v>52742</v>
      </c>
      <c r="E8777" s="1">
        <v>4</v>
      </c>
      <c r="F8777" s="39">
        <f t="shared" si="748"/>
        <v>1197</v>
      </c>
      <c r="G8777" s="436">
        <f>SUM(C8777,C8753,C8729,C8705,C8681,C8657,C8633,C8609,C8585,C8561,C8537,C8513,C8489,C8465)/POBLA!$B$16*100000</f>
        <v>239.96468747074007</v>
      </c>
      <c r="H8777" s="418">
        <f t="shared" si="747"/>
        <v>0.81992687385740404</v>
      </c>
      <c r="J8777" s="42"/>
    </row>
    <row r="8778" spans="1:10" s="393" customFormat="1" x14ac:dyDescent="0.25">
      <c r="A8778" s="402" t="s">
        <v>34</v>
      </c>
      <c r="B8778" s="269">
        <v>44258</v>
      </c>
      <c r="C8778" s="1">
        <v>140</v>
      </c>
      <c r="D8778" s="39">
        <f t="shared" si="749"/>
        <v>26440</v>
      </c>
      <c r="E8778" s="1">
        <v>3</v>
      </c>
      <c r="F8778" s="39">
        <f t="shared" si="748"/>
        <v>1105</v>
      </c>
      <c r="G8778" s="436">
        <f>SUM(C8778,C8754,C8730,C8706,C8682,C8658,C8634,C8610,C8586,C8562,C8538,C8514,C8490,C8466)/POBLA!$B$17*100000</f>
        <v>105.65874541999176</v>
      </c>
      <c r="H8778" s="418">
        <f t="shared" si="747"/>
        <v>1.5644490644490645</v>
      </c>
      <c r="J8778" s="42"/>
    </row>
    <row r="8779" spans="1:10" s="393" customFormat="1" x14ac:dyDescent="0.25">
      <c r="A8779" s="402" t="s">
        <v>35</v>
      </c>
      <c r="B8779" s="269">
        <v>44258</v>
      </c>
      <c r="C8779" s="1">
        <v>61</v>
      </c>
      <c r="D8779" s="39">
        <f t="shared" si="749"/>
        <v>15404</v>
      </c>
      <c r="E8779" s="1"/>
      <c r="F8779" s="39">
        <f t="shared" si="748"/>
        <v>212</v>
      </c>
      <c r="G8779" s="436">
        <f>SUM(C8779,C8755,C8731,C8707,C8683,C8659,C8635,C8611,C8587,C8563,C8539,C8515,C8491,C8467)/POBLA!$B$18*100000</f>
        <v>84.739579399833843</v>
      </c>
      <c r="H8779" s="418">
        <f t="shared" si="747"/>
        <v>1.097844112769486</v>
      </c>
      <c r="J8779" s="42"/>
    </row>
    <row r="8780" spans="1:10" s="393" customFormat="1" x14ac:dyDescent="0.25">
      <c r="A8780" s="402" t="s">
        <v>36</v>
      </c>
      <c r="B8780" s="269">
        <v>44258</v>
      </c>
      <c r="C8780" s="1">
        <v>6</v>
      </c>
      <c r="D8780" s="39">
        <f t="shared" si="749"/>
        <v>20788</v>
      </c>
      <c r="E8780" s="1"/>
      <c r="F8780" s="39">
        <f t="shared" si="748"/>
        <v>356</v>
      </c>
      <c r="G8780" s="436">
        <f>SUM(C8780,C8756,C8732,C8708,C8684,C8660,C8636,C8612,C8588,C8564,C8540,C8516,C8492,C8468)/POBLA!$B$19*100000</f>
        <v>110.36181363214303</v>
      </c>
      <c r="H8780" s="418">
        <f t="shared" si="747"/>
        <v>0.4925373134328358</v>
      </c>
      <c r="J8780" s="42"/>
    </row>
    <row r="8781" spans="1:10" s="393" customFormat="1" x14ac:dyDescent="0.25">
      <c r="A8781" s="402" t="s">
        <v>37</v>
      </c>
      <c r="B8781" s="269">
        <v>44258</v>
      </c>
      <c r="C8781" s="1">
        <v>139</v>
      </c>
      <c r="D8781" s="39">
        <f t="shared" si="749"/>
        <v>36237</v>
      </c>
      <c r="E8781" s="1">
        <v>5</v>
      </c>
      <c r="F8781" s="39">
        <f t="shared" si="748"/>
        <v>593</v>
      </c>
      <c r="G8781" s="436">
        <f>SUM(C8781,C8757,C8733,C8709,C8685,C8661,C8637,C8613,C8589,C8565,C8541,C8517,C8493,C8469)/POBLA!$B$20*100000</f>
        <v>406.61966978216998</v>
      </c>
      <c r="H8781" s="418">
        <f t="shared" si="747"/>
        <v>0.99598124581379777</v>
      </c>
      <c r="J8781" s="42"/>
    </row>
    <row r="8782" spans="1:10" s="393" customFormat="1" x14ac:dyDescent="0.25">
      <c r="A8782" s="402" t="s">
        <v>22</v>
      </c>
      <c r="B8782" s="269">
        <v>44258</v>
      </c>
      <c r="C8782" s="1">
        <v>503</v>
      </c>
      <c r="D8782" s="39">
        <f t="shared" si="749"/>
        <v>217691</v>
      </c>
      <c r="E8782" s="1">
        <v>10</v>
      </c>
      <c r="F8782" s="39">
        <f t="shared" si="748"/>
        <v>3999</v>
      </c>
      <c r="G8782" s="436">
        <f>SUM(C8782,C8758,C8734,C8710,C8686,C8662,C8638,C8614,C8590,C8566,C8542,C8518,C8494,C8470)/POBLA!$B$21*100000</f>
        <v>144.89237414807866</v>
      </c>
      <c r="H8782" s="418">
        <f t="shared" si="747"/>
        <v>1.0217347956131606</v>
      </c>
      <c r="J8782" s="42"/>
    </row>
    <row r="8783" spans="1:10" s="393" customFormat="1" x14ac:dyDescent="0.25">
      <c r="A8783" s="402" t="s">
        <v>38</v>
      </c>
      <c r="B8783" s="269">
        <v>44258</v>
      </c>
      <c r="C8783" s="1">
        <v>55</v>
      </c>
      <c r="D8783" s="39">
        <f t="shared" si="749"/>
        <v>22787</v>
      </c>
      <c r="E8783" s="1"/>
      <c r="F8783" s="39">
        <f t="shared" si="748"/>
        <v>269</v>
      </c>
      <c r="G8783" s="436">
        <f>SUM(C8783,C8759,C8735,C8711,C8687,C8663,C8639,C8615,C8591,C8567,C8543,C8519,C8495,C8471)/POBLA!$B$22*100000</f>
        <v>84.328839543172791</v>
      </c>
      <c r="H8783" s="418">
        <f t="shared" si="747"/>
        <v>0.972877358490566</v>
      </c>
      <c r="J8783" s="42"/>
    </row>
    <row r="8784" spans="1:10" s="393" customFormat="1" x14ac:dyDescent="0.25">
      <c r="A8784" s="402" t="s">
        <v>39</v>
      </c>
      <c r="B8784" s="269">
        <v>44258</v>
      </c>
      <c r="C8784" s="1">
        <v>22</v>
      </c>
      <c r="D8784" s="39">
        <f t="shared" si="749"/>
        <v>23048</v>
      </c>
      <c r="E8784" s="1"/>
      <c r="F8784" s="39">
        <f t="shared" si="748"/>
        <v>356</v>
      </c>
      <c r="G8784" s="436">
        <f>SUM(C8784,C8760,C8736,C8712,C8688,C8664,C8640,C8616,C8592,C8568,C8544,C8520,C8496,C8472)/POBLA!$B$23*100000</f>
        <v>293.50223378386022</v>
      </c>
      <c r="H8784" s="418">
        <f t="shared" si="747"/>
        <v>0.92348754448398573</v>
      </c>
      <c r="J8784" s="42"/>
    </row>
    <row r="8785" spans="1:10" s="393" customFormat="1" ht="15.75" thickBot="1" x14ac:dyDescent="0.3">
      <c r="A8785" s="404" t="s">
        <v>40</v>
      </c>
      <c r="B8785" s="269">
        <v>44258</v>
      </c>
      <c r="C8785" s="1">
        <v>205</v>
      </c>
      <c r="D8785" s="177">
        <f t="shared" si="749"/>
        <v>80304</v>
      </c>
      <c r="E8785" s="1">
        <v>2</v>
      </c>
      <c r="F8785" s="177">
        <f t="shared" si="748"/>
        <v>1478</v>
      </c>
      <c r="G8785" s="439">
        <f>SUM(C8785,C8761,C8737,C8713,C8689,C8665,C8641,C8617,C8593,C8569,C8545,C8521,C8497,C8473)/POBLA!$B$24*100000</f>
        <v>116.89688054684845</v>
      </c>
      <c r="H8785" s="419">
        <f t="shared" si="747"/>
        <v>1.3358057990559675</v>
      </c>
      <c r="J8785" s="42"/>
    </row>
    <row r="8786" spans="1:10" s="393" customFormat="1" x14ac:dyDescent="0.25">
      <c r="A8786" s="397" t="s">
        <v>16</v>
      </c>
      <c r="B8786" s="269">
        <v>44259</v>
      </c>
      <c r="C8786" s="1">
        <v>3066</v>
      </c>
      <c r="D8786" s="175">
        <f t="shared" si="749"/>
        <v>891263</v>
      </c>
      <c r="E8786" s="1">
        <v>113</v>
      </c>
      <c r="F8786" s="175">
        <f t="shared" si="748"/>
        <v>26557</v>
      </c>
      <c r="G8786" s="410">
        <f>SUM(C8786,C8762,C8738,C8714,C8690,C8666,C8642,C8618,C8594,C8570,C8546,C8522,C8498,C8474)/POBLA!$B$1*100000</f>
        <v>210.66474524091674</v>
      </c>
      <c r="H8786" s="416">
        <f t="shared" ref="H8786:H8809" si="750">SUM(C8786,C8762,C8738,C8714,C8690,C8666,C8642,C8618,C8594,C8570,C8546,C8522,C8498,C8474)/SUM(C8450,C8426,C8402,C8378,C8354,C8330,C8306,C8282,C8258,C8234,C8210,C8186,C8162,C8138)</f>
        <v>1.0334768989819891</v>
      </c>
      <c r="J8786" s="42"/>
    </row>
    <row r="8787" spans="1:10" s="393" customFormat="1" x14ac:dyDescent="0.25">
      <c r="A8787" s="402" t="s">
        <v>43</v>
      </c>
      <c r="B8787" s="269">
        <v>44259</v>
      </c>
      <c r="C8787" s="1">
        <v>668</v>
      </c>
      <c r="D8787" s="39">
        <f t="shared" si="749"/>
        <v>234503</v>
      </c>
      <c r="E8787" s="1">
        <v>18</v>
      </c>
      <c r="F8787" s="39">
        <f t="shared" si="748"/>
        <v>6573</v>
      </c>
      <c r="G8787" s="436">
        <f>SUM(C8787,C8763,C8739,C8715,C8691,C8667,C8643,C8619,C8595,C8571,C8547,C8523,C8499,C8475)/POBLA!$B$2*100000</f>
        <v>311.21917151713819</v>
      </c>
      <c r="H8787" s="418">
        <f t="shared" si="750"/>
        <v>0.93294346978557507</v>
      </c>
      <c r="J8787" s="42"/>
    </row>
    <row r="8788" spans="1:10" s="393" customFormat="1" x14ac:dyDescent="0.25">
      <c r="A8788" s="402" t="s">
        <v>28</v>
      </c>
      <c r="B8788" s="269">
        <v>44259</v>
      </c>
      <c r="C8788" s="1">
        <v>59</v>
      </c>
      <c r="D8788" s="39">
        <f t="shared" si="749"/>
        <v>8243</v>
      </c>
      <c r="E8788" s="1"/>
      <c r="F8788" s="39">
        <f t="shared" si="748"/>
        <v>17</v>
      </c>
      <c r="G8788" s="436">
        <f>SUM(C8788,C8764,C8740,C8716,C8692,C8668,C8644,C8620,C8596,C8572,C8548,C8524,C8500,C8476)/POBLA!$B$3*100000</f>
        <v>291.74028374871824</v>
      </c>
      <c r="H8788" s="418">
        <f t="shared" si="750"/>
        <v>1.1119266055045871</v>
      </c>
      <c r="J8788" s="42"/>
    </row>
    <row r="8789" spans="1:10" s="393" customFormat="1" x14ac:dyDescent="0.25">
      <c r="A8789" s="402" t="s">
        <v>15</v>
      </c>
      <c r="B8789" s="269">
        <v>44259</v>
      </c>
      <c r="C8789" s="1">
        <v>181</v>
      </c>
      <c r="D8789" s="39">
        <f t="shared" si="749"/>
        <v>34685</v>
      </c>
      <c r="E8789" s="1">
        <v>1</v>
      </c>
      <c r="F8789" s="39">
        <f t="shared" si="748"/>
        <v>871</v>
      </c>
      <c r="G8789" s="436">
        <f>SUM(C8789,C8765,C8741,C8717,C8693,C8669,C8645,C8621,C8597,C8573,C8549,C8525,C8501,C8477)/POBLA!$B$4*100000</f>
        <v>157.81945155872651</v>
      </c>
      <c r="H8789" s="418">
        <f t="shared" si="750"/>
        <v>1.245740498034076</v>
      </c>
      <c r="J8789" s="42"/>
    </row>
    <row r="8790" spans="1:10" s="393" customFormat="1" x14ac:dyDescent="0.25">
      <c r="A8790" s="402" t="s">
        <v>29</v>
      </c>
      <c r="B8790" s="269">
        <v>44259</v>
      </c>
      <c r="C8790" s="1">
        <v>83</v>
      </c>
      <c r="D8790" s="39">
        <f t="shared" si="749"/>
        <v>47353</v>
      </c>
      <c r="E8790" s="1"/>
      <c r="F8790" s="39">
        <f t="shared" si="748"/>
        <v>777</v>
      </c>
      <c r="G8790" s="436">
        <f>SUM(C8790,C8766,C8742,C8718,C8694,C8670,C8646,C8622,C8598,C8574,C8550,C8526,C8502,C8478)/POBLA!$B$5*100000</f>
        <v>247.33680778812072</v>
      </c>
      <c r="H8790" s="418">
        <f t="shared" si="750"/>
        <v>0.63791666666666669</v>
      </c>
      <c r="J8790" s="42"/>
    </row>
    <row r="8791" spans="1:10" s="393" customFormat="1" x14ac:dyDescent="0.25">
      <c r="A8791" s="402" t="s">
        <v>30</v>
      </c>
      <c r="B8791" s="269">
        <v>44259</v>
      </c>
      <c r="C8791" s="1">
        <v>396</v>
      </c>
      <c r="D8791" s="39">
        <f t="shared" si="749"/>
        <v>22709</v>
      </c>
      <c r="E8791" s="1"/>
      <c r="F8791" s="39">
        <f t="shared" si="748"/>
        <v>300</v>
      </c>
      <c r="G8791" s="436">
        <f>SUM(C8791,C8767,C8743,C8719,C8695,C8671,C8647,C8623,C8599,C8575,C8551,C8527,C8503,C8479)/POBLA!$B$7*100000</f>
        <v>56.934675371298646</v>
      </c>
      <c r="H8791" s="418">
        <f t="shared" si="750"/>
        <v>0.89134054954204833</v>
      </c>
      <c r="J8791" s="42"/>
    </row>
    <row r="8792" spans="1:10" s="393" customFormat="1" x14ac:dyDescent="0.25">
      <c r="A8792" s="402" t="s">
        <v>20</v>
      </c>
      <c r="B8792" s="269">
        <v>44259</v>
      </c>
      <c r="C8792" s="1">
        <v>696</v>
      </c>
      <c r="D8792" s="39">
        <f t="shared" si="749"/>
        <v>162444</v>
      </c>
      <c r="E8792" s="1">
        <v>2</v>
      </c>
      <c r="F8792" s="39">
        <f t="shared" si="748"/>
        <v>2864</v>
      </c>
      <c r="G8792" s="436">
        <f>SUM(C8792,C8768,C8744,C8720,C8696,C8672,C8648,C8624,C8600,C8576,C8552,C8528,C8504,C8480)/POBLA!$B$6*100000</f>
        <v>774.89224224460895</v>
      </c>
      <c r="H8792" s="418">
        <f t="shared" si="750"/>
        <v>1.2933730454207</v>
      </c>
      <c r="J8792" s="42"/>
    </row>
    <row r="8793" spans="1:10" x14ac:dyDescent="0.25">
      <c r="A8793" s="402" t="s">
        <v>31</v>
      </c>
      <c r="B8793" s="269">
        <v>44259</v>
      </c>
      <c r="C8793" s="1">
        <v>197</v>
      </c>
      <c r="D8793" s="39">
        <f t="shared" si="749"/>
        <v>45716</v>
      </c>
      <c r="E8793" s="1">
        <v>1</v>
      </c>
      <c r="F8793" s="39">
        <f t="shared" ref="F8793:F8816" si="751">E8793+F8769</f>
        <v>870</v>
      </c>
      <c r="G8793" s="169">
        <f>SUM(C8793,C8769,C8745,C8721,C8697,C8673,C8649,C8625,C8601,C8577,C8553,C8529,C8505,C8481)/POBLA!$B$8*100000</f>
        <v>126.69909182148704</v>
      </c>
      <c r="H8793" s="527">
        <f t="shared" si="750"/>
        <v>0.86716049382716054</v>
      </c>
    </row>
    <row r="8794" spans="1:10" s="393" customFormat="1" x14ac:dyDescent="0.25">
      <c r="A8794" s="402" t="s">
        <v>41</v>
      </c>
      <c r="B8794" s="269">
        <v>44259</v>
      </c>
      <c r="C8794" s="1">
        <v>23</v>
      </c>
      <c r="D8794" s="39">
        <f t="shared" si="749"/>
        <v>1309</v>
      </c>
      <c r="E8794" s="1">
        <v>1</v>
      </c>
      <c r="F8794" s="39">
        <f t="shared" si="751"/>
        <v>20</v>
      </c>
      <c r="G8794" s="436">
        <f>SUM(C8794,C8770,C8746,C8722,C8698,C8674,C8650,C8626,C8602,C8578,C8554,C8530,C8506,C8482)/POBLA!$B$9*100000</f>
        <v>44.448630436901951</v>
      </c>
      <c r="H8794" s="418">
        <f t="shared" si="750"/>
        <v>1.4780219780219781</v>
      </c>
      <c r="J8794" s="42"/>
    </row>
    <row r="8795" spans="1:10" s="393" customFormat="1" x14ac:dyDescent="0.25">
      <c r="A8795" s="402" t="s">
        <v>32</v>
      </c>
      <c r="B8795" s="269">
        <v>44259</v>
      </c>
      <c r="C8795" s="1">
        <v>87</v>
      </c>
      <c r="D8795" s="39">
        <f t="shared" si="749"/>
        <v>21069</v>
      </c>
      <c r="E8795" s="1"/>
      <c r="F8795" s="39">
        <f t="shared" si="751"/>
        <v>911</v>
      </c>
      <c r="G8795" s="436">
        <f>SUM(C8795,C8771,C8747,C8723,C8699,C8675,C8651,C8627,C8603,C8579,C8555,C8531,C8507,C8483)/POBLA!$B$10*100000</f>
        <v>148.6610773906738</v>
      </c>
      <c r="H8795" s="418">
        <f t="shared" si="750"/>
        <v>2.3387755102040817</v>
      </c>
      <c r="J8795" s="42"/>
    </row>
    <row r="8796" spans="1:10" s="393" customFormat="1" x14ac:dyDescent="0.25">
      <c r="A8796" s="402" t="s">
        <v>33</v>
      </c>
      <c r="B8796" s="269">
        <v>44259</v>
      </c>
      <c r="C8796" s="1">
        <v>101</v>
      </c>
      <c r="D8796" s="39">
        <f t="shared" si="749"/>
        <v>19054</v>
      </c>
      <c r="E8796" s="1"/>
      <c r="F8796" s="39">
        <f t="shared" si="751"/>
        <v>289</v>
      </c>
      <c r="G8796" s="436">
        <f>SUM(C8796,C8772,C8748,C8724,C8700,C8676,C8652,C8628,C8604,C8580,C8556,C8532,C8508,C8484)/POBLA!$B$11*100000</f>
        <v>310.52261542067026</v>
      </c>
      <c r="H8796" s="418">
        <f t="shared" si="750"/>
        <v>1.0440900562851783</v>
      </c>
      <c r="J8796" s="42"/>
    </row>
    <row r="8797" spans="1:10" s="393" customFormat="1" x14ac:dyDescent="0.25">
      <c r="A8797" s="402" t="s">
        <v>21</v>
      </c>
      <c r="B8797" s="269">
        <v>44259</v>
      </c>
      <c r="C8797" s="1">
        <v>19</v>
      </c>
      <c r="D8797" s="39">
        <f t="shared" si="749"/>
        <v>10306</v>
      </c>
      <c r="E8797" s="1"/>
      <c r="F8797" s="39">
        <f t="shared" si="751"/>
        <v>439</v>
      </c>
      <c r="G8797" s="436">
        <f>SUM(C8797,C8773,C8749,C8725,C8701,C8677,C8653,C8629,C8605,C8581,C8557,C8533,C8509,C8485)/POBLA!$B$12*100000</f>
        <v>91.733561015523549</v>
      </c>
      <c r="H8797" s="418">
        <f t="shared" si="750"/>
        <v>1.0403458213256485</v>
      </c>
      <c r="J8797" s="42"/>
    </row>
    <row r="8798" spans="1:10" s="393" customFormat="1" x14ac:dyDescent="0.25">
      <c r="A8798" s="402" t="s">
        <v>17</v>
      </c>
      <c r="B8798" s="269">
        <v>44259</v>
      </c>
      <c r="C8798" s="1">
        <v>199</v>
      </c>
      <c r="D8798" s="39">
        <f t="shared" si="749"/>
        <v>67886</v>
      </c>
      <c r="E8798" s="1">
        <v>3</v>
      </c>
      <c r="F8798" s="39">
        <f t="shared" si="751"/>
        <v>1456</v>
      </c>
      <c r="G8798" s="436">
        <f>SUM(C8798,C8774,C8750,C8726,C8702,C8678,C8654,C8630,C8606,C8582,C8558,C8534,C8510,C8486)/POBLA!$B$13*100000</f>
        <v>93.350978577507945</v>
      </c>
      <c r="H8798" s="418">
        <f t="shared" si="750"/>
        <v>1.1336180597925565</v>
      </c>
      <c r="J8798" s="42"/>
    </row>
    <row r="8799" spans="1:10" s="393" customFormat="1" x14ac:dyDescent="0.25">
      <c r="A8799" s="402" t="s">
        <v>23</v>
      </c>
      <c r="B8799" s="269">
        <v>44259</v>
      </c>
      <c r="C8799" s="1">
        <v>145</v>
      </c>
      <c r="D8799" s="39">
        <f t="shared" si="749"/>
        <v>8795</v>
      </c>
      <c r="E8799" s="1">
        <v>3</v>
      </c>
      <c r="F8799" s="39">
        <f t="shared" si="751"/>
        <v>151</v>
      </c>
      <c r="G8799" s="436">
        <f>SUM(C8799,C8775,C8751,C8727,C8703,C8679,C8655,C8631,C8607,C8583,C8559,C8535,C8511,C8487)/POBLA!$B$14*100000</f>
        <v>129.54949440812371</v>
      </c>
      <c r="H8799" s="418">
        <f t="shared" si="750"/>
        <v>1.0036855036855037</v>
      </c>
      <c r="J8799" s="42"/>
    </row>
    <row r="8800" spans="1:10" s="393" customFormat="1" x14ac:dyDescent="0.25">
      <c r="A8800" s="402" t="s">
        <v>19</v>
      </c>
      <c r="B8800" s="269">
        <v>44259</v>
      </c>
      <c r="C8800" s="1">
        <v>214</v>
      </c>
      <c r="D8800" s="39">
        <f t="shared" si="749"/>
        <v>61889</v>
      </c>
      <c r="E8800" s="1"/>
      <c r="F8800" s="39">
        <f t="shared" si="751"/>
        <v>938</v>
      </c>
      <c r="G8800" s="436">
        <f>SUM(C8800,C8776,C8752,C8728,C8704,C8680,C8656,C8632,C8608,C8584,C8560,C8536,C8512,C8488)/POBLA!$B$15*100000</f>
        <v>368.49246374934683</v>
      </c>
      <c r="H8800" s="418">
        <f t="shared" si="750"/>
        <v>0.68581838565022424</v>
      </c>
      <c r="J8800" s="42"/>
    </row>
    <row r="8801" spans="1:10" s="393" customFormat="1" x14ac:dyDescent="0.25">
      <c r="A8801" s="402" t="s">
        <v>18</v>
      </c>
      <c r="B8801" s="269">
        <v>44259</v>
      </c>
      <c r="C8801" s="1">
        <v>132</v>
      </c>
      <c r="D8801" s="39">
        <f t="shared" si="749"/>
        <v>52874</v>
      </c>
      <c r="E8801" s="1">
        <v>7</v>
      </c>
      <c r="F8801" s="39">
        <f t="shared" si="751"/>
        <v>1204</v>
      </c>
      <c r="G8801" s="436">
        <f>SUM(C8801,C8777,C8753,C8729,C8705,C8681,C8657,C8633,C8609,C8585,C8561,C8537,C8513,C8489)/POBLA!$B$16*100000</f>
        <v>228.06008480357403</v>
      </c>
      <c r="H8801" s="418">
        <f t="shared" si="750"/>
        <v>0.76801801801801806</v>
      </c>
      <c r="J8801" s="42"/>
    </row>
    <row r="8802" spans="1:10" s="393" customFormat="1" x14ac:dyDescent="0.25">
      <c r="A8802" s="402" t="s">
        <v>34</v>
      </c>
      <c r="B8802" s="269">
        <v>44259</v>
      </c>
      <c r="C8802" s="1">
        <v>169</v>
      </c>
      <c r="D8802" s="39">
        <f t="shared" si="749"/>
        <v>26609</v>
      </c>
      <c r="E8802" s="1">
        <v>5</v>
      </c>
      <c r="F8802" s="39">
        <f t="shared" si="751"/>
        <v>1110</v>
      </c>
      <c r="G8802" s="436">
        <f>SUM(C8802,C8778,C8754,C8730,C8706,C8682,C8658,C8634,C8610,C8586,C8562,C8538,C8514,C8490)/POBLA!$B$17*100000</f>
        <v>111.27515713666907</v>
      </c>
      <c r="H8802" s="418">
        <f t="shared" si="750"/>
        <v>1.6562173458725182</v>
      </c>
      <c r="J8802" s="42"/>
    </row>
    <row r="8803" spans="1:10" s="393" customFormat="1" x14ac:dyDescent="0.25">
      <c r="A8803" s="402" t="s">
        <v>35</v>
      </c>
      <c r="B8803" s="269">
        <v>44259</v>
      </c>
      <c r="C8803" s="1">
        <v>53</v>
      </c>
      <c r="D8803" s="39">
        <f t="shared" si="749"/>
        <v>15457</v>
      </c>
      <c r="E8803" s="1">
        <v>2</v>
      </c>
      <c r="F8803" s="39">
        <f t="shared" si="751"/>
        <v>214</v>
      </c>
      <c r="G8803" s="436">
        <f>SUM(C8803,C8779,C8755,C8731,C8707,C8683,C8659,C8635,C8611,C8587,C8563,C8539,C8515,C8491)/POBLA!$B$18*100000</f>
        <v>81.411438819175714</v>
      </c>
      <c r="H8803" s="418">
        <f t="shared" si="750"/>
        <v>1.0635451505016722</v>
      </c>
      <c r="J8803" s="42"/>
    </row>
    <row r="8804" spans="1:10" s="393" customFormat="1" x14ac:dyDescent="0.25">
      <c r="A8804" s="402" t="s">
        <v>36</v>
      </c>
      <c r="B8804" s="269">
        <v>44259</v>
      </c>
      <c r="C8804" s="1">
        <v>8</v>
      </c>
      <c r="D8804" s="39">
        <f t="shared" si="749"/>
        <v>20796</v>
      </c>
      <c r="E8804" s="1">
        <v>2</v>
      </c>
      <c r="F8804" s="39">
        <f t="shared" si="751"/>
        <v>358</v>
      </c>
      <c r="G8804" s="436">
        <f>SUM(C8804,C8780,C8756,C8732,C8708,C8684,C8660,C8636,C8612,C8588,C8564,C8540,C8516,C8492)/POBLA!$B$19*100000</f>
        <v>108.59130325301773</v>
      </c>
      <c r="H8804" s="418">
        <f t="shared" si="750"/>
        <v>0.47916666666666669</v>
      </c>
      <c r="J8804" s="42"/>
    </row>
    <row r="8805" spans="1:10" s="393" customFormat="1" x14ac:dyDescent="0.25">
      <c r="A8805" s="402" t="s">
        <v>37</v>
      </c>
      <c r="B8805" s="269">
        <v>44259</v>
      </c>
      <c r="C8805" s="1">
        <v>194</v>
      </c>
      <c r="D8805" s="39">
        <f t="shared" si="749"/>
        <v>36431</v>
      </c>
      <c r="E8805" s="1">
        <v>3</v>
      </c>
      <c r="F8805" s="39">
        <f t="shared" si="751"/>
        <v>596</v>
      </c>
      <c r="G8805" s="436">
        <f>SUM(C8805,C8781,C8757,C8733,C8709,C8685,C8661,C8637,C8613,C8589,C8565,C8541,C8517,C8493)/POBLA!$B$20*100000</f>
        <v>428.49564394664452</v>
      </c>
      <c r="H8805" s="418">
        <f t="shared" si="750"/>
        <v>1.0988779803646564</v>
      </c>
      <c r="J8805" s="42"/>
    </row>
    <row r="8806" spans="1:10" s="393" customFormat="1" x14ac:dyDescent="0.25">
      <c r="A8806" s="402" t="s">
        <v>22</v>
      </c>
      <c r="B8806" s="269">
        <v>44259</v>
      </c>
      <c r="C8806" s="1">
        <v>479</v>
      </c>
      <c r="D8806" s="39">
        <f t="shared" si="749"/>
        <v>218170</v>
      </c>
      <c r="E8806" s="1">
        <v>30</v>
      </c>
      <c r="F8806" s="39">
        <f t="shared" si="751"/>
        <v>4029</v>
      </c>
      <c r="G8806" s="436">
        <f>SUM(C8806,C8782,C8758,C8734,C8710,C8686,C8662,C8638,C8614,C8590,C8566,C8542,C8518,C8494)/POBLA!$B$21*100000</f>
        <v>147.06971856833667</v>
      </c>
      <c r="H8806" s="418">
        <f t="shared" si="750"/>
        <v>1.0730348669279968</v>
      </c>
      <c r="J8806" s="42"/>
    </row>
    <row r="8807" spans="1:10" s="393" customFormat="1" x14ac:dyDescent="0.25">
      <c r="A8807" s="402" t="s">
        <v>38</v>
      </c>
      <c r="B8807" s="269">
        <v>44259</v>
      </c>
      <c r="C8807" s="1">
        <v>80</v>
      </c>
      <c r="D8807" s="39">
        <f t="shared" si="749"/>
        <v>22867</v>
      </c>
      <c r="E8807" s="1"/>
      <c r="F8807" s="39">
        <f t="shared" si="751"/>
        <v>269</v>
      </c>
      <c r="G8807" s="436">
        <f>SUM(C8807,C8783,C8759,C8735,C8711,C8687,C8663,C8639,C8615,C8591,C8567,C8543,C8519,C8495)/POBLA!$B$22*100000</f>
        <v>85.351007295211247</v>
      </c>
      <c r="H8807" s="418">
        <f t="shared" si="750"/>
        <v>0.99051008303677346</v>
      </c>
      <c r="J8807" s="42"/>
    </row>
    <row r="8808" spans="1:10" s="393" customFormat="1" x14ac:dyDescent="0.25">
      <c r="A8808" s="402" t="s">
        <v>39</v>
      </c>
      <c r="B8808" s="269">
        <v>44259</v>
      </c>
      <c r="C8808" s="1">
        <v>33</v>
      </c>
      <c r="D8808" s="39">
        <f t="shared" si="749"/>
        <v>23081</v>
      </c>
      <c r="E8808" s="1"/>
      <c r="F8808" s="39">
        <f t="shared" si="751"/>
        <v>356</v>
      </c>
      <c r="G8808" s="436">
        <f>SUM(C8808,C8784,C8760,C8736,C8712,C8688,C8664,C8640,C8616,C8592,C8568,C8544,C8520,C8496)/POBLA!$B$23*100000</f>
        <v>281.06090595487194</v>
      </c>
      <c r="H8808" s="418">
        <f t="shared" si="750"/>
        <v>0.84523809523809523</v>
      </c>
      <c r="J8808" s="42"/>
    </row>
    <row r="8809" spans="1:10" s="393" customFormat="1" ht="15.75" thickBot="1" x14ac:dyDescent="0.3">
      <c r="A8809" s="404" t="s">
        <v>40</v>
      </c>
      <c r="B8809" s="269">
        <v>44259</v>
      </c>
      <c r="C8809" s="1">
        <v>150</v>
      </c>
      <c r="D8809" s="177">
        <f t="shared" si="749"/>
        <v>80454</v>
      </c>
      <c r="E8809" s="1"/>
      <c r="F8809" s="177">
        <f t="shared" si="751"/>
        <v>1478</v>
      </c>
      <c r="G8809" s="439">
        <f>SUM(C8809,C8785,C8761,C8737,C8713,C8689,C8665,C8641,C8617,C8593,C8569,C8545,C8521,C8497)/POBLA!$B$24*100000</f>
        <v>118.66715132746704</v>
      </c>
      <c r="H8809" s="419">
        <f t="shared" si="750"/>
        <v>1.4013937282229965</v>
      </c>
      <c r="J8809" s="42"/>
    </row>
    <row r="8810" spans="1:10" s="393" customFormat="1" x14ac:dyDescent="0.25">
      <c r="A8810" s="397" t="s">
        <v>16</v>
      </c>
      <c r="B8810" s="269">
        <v>44260</v>
      </c>
      <c r="C8810" s="1">
        <v>3494</v>
      </c>
      <c r="D8810" s="175">
        <f t="shared" ref="D8810:D8841" si="752">C8810+D8786</f>
        <v>894757</v>
      </c>
      <c r="E8810" s="1">
        <v>86</v>
      </c>
      <c r="F8810" s="175">
        <f t="shared" si="751"/>
        <v>26643</v>
      </c>
      <c r="G8810" s="410">
        <f>SUM(C8810,C8786,C8762,C8738,C8714,C8690,C8666,C8642,C8618,C8594,C8570,C8546,C8522,C8498)/POBLA!$B$1*100000</f>
        <v>210.35119665248686</v>
      </c>
      <c r="H8810" s="416">
        <f t="shared" ref="H8810:H8841" si="753">SUM(C8810,C8786,C8762,C8738,C8714,C8690,C8666,C8642,C8618,C8594,C8570,C8546,C8522,C8498)/SUM(C8474,C8450,C8426,C8402,C8378,C8354,C8330,C8306,C8282,C8258,C8234,C8210,C8186,C8162)</f>
        <v>1.0300374071799452</v>
      </c>
      <c r="J8810" s="42"/>
    </row>
    <row r="8811" spans="1:10" s="393" customFormat="1" x14ac:dyDescent="0.25">
      <c r="A8811" s="402" t="s">
        <v>43</v>
      </c>
      <c r="B8811" s="269">
        <v>44260</v>
      </c>
      <c r="C8811" s="1">
        <v>863</v>
      </c>
      <c r="D8811" s="39">
        <f t="shared" si="752"/>
        <v>235366</v>
      </c>
      <c r="E8811" s="1">
        <v>7</v>
      </c>
      <c r="F8811" s="39">
        <f t="shared" si="751"/>
        <v>6580</v>
      </c>
      <c r="G8811" s="436">
        <f>SUM(C8811,C8787,C8763,C8739,C8715,C8691,C8667,C8643,C8619,C8595,C8571,C8547,C8523,C8499)/POBLA!$B$2*100000</f>
        <v>311.73938743275397</v>
      </c>
      <c r="H8811" s="418">
        <f t="shared" si="753"/>
        <v>0.95679073944716098</v>
      </c>
      <c r="J8811" s="42"/>
    </row>
    <row r="8812" spans="1:10" s="393" customFormat="1" x14ac:dyDescent="0.25">
      <c r="A8812" s="402" t="s">
        <v>28</v>
      </c>
      <c r="B8812" s="269">
        <v>44260</v>
      </c>
      <c r="C8812" s="1">
        <v>117</v>
      </c>
      <c r="D8812" s="39">
        <f t="shared" si="752"/>
        <v>8360</v>
      </c>
      <c r="E8812" s="1"/>
      <c r="F8812" s="39">
        <f t="shared" si="751"/>
        <v>17</v>
      </c>
      <c r="G8812" s="436">
        <f>SUM(C8812,C8788,C8764,C8740,C8716,C8692,C8668,C8644,C8620,C8596,C8572,C8548,C8524,C8500)/POBLA!$B$3*100000</f>
        <v>296.31377004510904</v>
      </c>
      <c r="H8812" s="418">
        <f t="shared" si="753"/>
        <v>1.1419294990723563</v>
      </c>
      <c r="J8812" s="42"/>
    </row>
    <row r="8813" spans="1:10" s="393" customFormat="1" x14ac:dyDescent="0.25">
      <c r="A8813" s="402" t="s">
        <v>15</v>
      </c>
      <c r="B8813" s="269">
        <v>44260</v>
      </c>
      <c r="C8813" s="1">
        <v>172</v>
      </c>
      <c r="D8813" s="39">
        <f t="shared" si="752"/>
        <v>34857</v>
      </c>
      <c r="E8813" s="1">
        <v>1</v>
      </c>
      <c r="F8813" s="39">
        <f t="shared" si="751"/>
        <v>872</v>
      </c>
      <c r="G8813" s="436">
        <f>SUM(C8813,C8789,C8765,C8741,C8717,C8693,C8669,C8645,C8621,C8597,C8573,C8549,C8525,C8501)/POBLA!$B$4*100000</f>
        <v>158.40058578329837</v>
      </c>
      <c r="H8813" s="418">
        <f t="shared" si="753"/>
        <v>1.2454308093994777</v>
      </c>
      <c r="J8813" s="42"/>
    </row>
    <row r="8814" spans="1:10" s="393" customFormat="1" x14ac:dyDescent="0.25">
      <c r="A8814" s="402" t="s">
        <v>29</v>
      </c>
      <c r="B8814" s="269">
        <v>44260</v>
      </c>
      <c r="C8814" s="1">
        <v>108</v>
      </c>
      <c r="D8814" s="39">
        <f t="shared" si="752"/>
        <v>47461</v>
      </c>
      <c r="E8814" s="1"/>
      <c r="F8814" s="39">
        <f t="shared" si="751"/>
        <v>777</v>
      </c>
      <c r="G8814" s="436">
        <f>SUM(C8814,C8790,C8766,C8742,C8718,C8694,C8670,C8646,C8622,C8598,C8574,C8550,C8526,C8502)/POBLA!$B$5*100000</f>
        <v>236.1896884299363</v>
      </c>
      <c r="H8814" s="418">
        <f t="shared" si="753"/>
        <v>0.63454861111111116</v>
      </c>
      <c r="J8814" s="42"/>
    </row>
    <row r="8815" spans="1:10" s="393" customFormat="1" x14ac:dyDescent="0.25">
      <c r="A8815" s="402" t="s">
        <v>30</v>
      </c>
      <c r="B8815" s="269">
        <v>44260</v>
      </c>
      <c r="C8815" s="1">
        <v>155</v>
      </c>
      <c r="D8815" s="39">
        <f t="shared" si="752"/>
        <v>22864</v>
      </c>
      <c r="E8815" s="1"/>
      <c r="F8815" s="39">
        <f t="shared" si="751"/>
        <v>300</v>
      </c>
      <c r="G8815" s="436">
        <f>SUM(C8815,C8791,C8767,C8743,C8719,C8695,C8671,C8647,C8623,C8599,C8575,C8551,C8527,C8503)/POBLA!$B$7*100000</f>
        <v>57.838822481351968</v>
      </c>
      <c r="H8815" s="418">
        <f t="shared" si="753"/>
        <v>0.95941773268636965</v>
      </c>
      <c r="J8815" s="42"/>
    </row>
    <row r="8816" spans="1:10" s="393" customFormat="1" x14ac:dyDescent="0.25">
      <c r="A8816" s="402" t="s">
        <v>20</v>
      </c>
      <c r="B8816" s="269">
        <v>44260</v>
      </c>
      <c r="C8816" s="1">
        <v>728</v>
      </c>
      <c r="D8816" s="39">
        <f t="shared" si="752"/>
        <v>163172</v>
      </c>
      <c r="E8816" s="1">
        <v>10</v>
      </c>
      <c r="F8816" s="39">
        <f t="shared" si="751"/>
        <v>2874</v>
      </c>
      <c r="G8816" s="436">
        <f>SUM(C8816,C8792,C8768,C8744,C8720,C8696,C8672,C8648,C8624,C8600,C8576,C8552,C8528,C8504)/POBLA!$B$6*100000</f>
        <v>766.2377174895455</v>
      </c>
      <c r="H8816" s="418">
        <f t="shared" si="753"/>
        <v>1.2284365612930912</v>
      </c>
      <c r="J8816" s="42"/>
    </row>
    <row r="8817" spans="1:10" x14ac:dyDescent="0.25">
      <c r="A8817" s="402" t="s">
        <v>31</v>
      </c>
      <c r="B8817" s="269">
        <v>44260</v>
      </c>
      <c r="C8817" s="1">
        <v>120</v>
      </c>
      <c r="D8817" s="39">
        <f t="shared" si="752"/>
        <v>45836</v>
      </c>
      <c r="F8817" s="39">
        <f t="shared" ref="F8817:F8840" si="754">E8817+F8793</f>
        <v>870</v>
      </c>
      <c r="G8817" s="169">
        <f>SUM(C8817,C8793,C8769,C8745,C8721,C8697,C8673,C8649,C8625,C8601,C8577,C8553,C8529,C8505)/POBLA!$B$8*100000</f>
        <v>124.17376823734578</v>
      </c>
      <c r="H8817" s="527">
        <f t="shared" si="753"/>
        <v>0.89356178608515058</v>
      </c>
    </row>
    <row r="8818" spans="1:10" s="393" customFormat="1" x14ac:dyDescent="0.25">
      <c r="A8818" s="402" t="s">
        <v>41</v>
      </c>
      <c r="B8818" s="269">
        <v>44260</v>
      </c>
      <c r="C8818" s="1">
        <v>28</v>
      </c>
      <c r="D8818" s="39">
        <f t="shared" si="752"/>
        <v>1337</v>
      </c>
      <c r="E8818" s="1"/>
      <c r="F8818" s="39">
        <f t="shared" si="754"/>
        <v>20</v>
      </c>
      <c r="G8818" s="436">
        <f>SUM(C8818,C8794,C8770,C8746,C8722,C8698,C8674,C8650,C8626,C8602,C8578,C8554,C8530,C8506)/POBLA!$B$9*100000</f>
        <v>46.266232425028051</v>
      </c>
      <c r="H8818" s="418">
        <f t="shared" si="753"/>
        <v>1.4736842105263157</v>
      </c>
      <c r="J8818" s="42"/>
    </row>
    <row r="8819" spans="1:10" s="393" customFormat="1" x14ac:dyDescent="0.25">
      <c r="A8819" s="402" t="s">
        <v>32</v>
      </c>
      <c r="B8819" s="269">
        <v>44260</v>
      </c>
      <c r="C8819" s="1">
        <v>80</v>
      </c>
      <c r="D8819" s="39">
        <f t="shared" si="752"/>
        <v>21149</v>
      </c>
      <c r="E8819" s="1">
        <v>1</v>
      </c>
      <c r="F8819" s="39">
        <f t="shared" si="754"/>
        <v>912</v>
      </c>
      <c r="G8819" s="436">
        <f>SUM(C8819,C8795,C8771,C8747,C8723,C8699,C8675,C8651,C8627,C8603,C8579,C8555,C8531,C8507)/POBLA!$B$10*100000</f>
        <v>152.42300692324756</v>
      </c>
      <c r="H8819" s="418">
        <f t="shared" si="753"/>
        <v>2.3594377510040161</v>
      </c>
      <c r="J8819" s="42"/>
    </row>
    <row r="8820" spans="1:10" s="393" customFormat="1" x14ac:dyDescent="0.25">
      <c r="A8820" s="402" t="s">
        <v>33</v>
      </c>
      <c r="B8820" s="269">
        <v>44260</v>
      </c>
      <c r="C8820" s="1">
        <v>110</v>
      </c>
      <c r="D8820" s="39">
        <f t="shared" si="752"/>
        <v>19164</v>
      </c>
      <c r="E8820" s="1"/>
      <c r="F8820" s="39">
        <f t="shared" si="754"/>
        <v>289</v>
      </c>
      <c r="G8820" s="436">
        <f>SUM(C8820,C8796,C8772,C8748,C8724,C8700,C8676,C8652,C8628,C8604,C8580,C8556,C8532,C8508)/POBLA!$B$11*100000</f>
        <v>321.68245784369526</v>
      </c>
      <c r="H8820" s="418">
        <f t="shared" si="753"/>
        <v>1.1022944550669216</v>
      </c>
      <c r="J8820" s="42"/>
    </row>
    <row r="8821" spans="1:10" s="393" customFormat="1" x14ac:dyDescent="0.25">
      <c r="A8821" s="402" t="s">
        <v>21</v>
      </c>
      <c r="B8821" s="269">
        <v>44260</v>
      </c>
      <c r="C8821" s="1">
        <v>23</v>
      </c>
      <c r="D8821" s="39">
        <f t="shared" si="752"/>
        <v>10329</v>
      </c>
      <c r="E8821" s="1"/>
      <c r="F8821" s="39">
        <f t="shared" si="754"/>
        <v>439</v>
      </c>
      <c r="G8821" s="436">
        <f>SUM(C8821,C8797,C8773,C8749,C8725,C8701,C8677,C8653,C8629,C8605,C8581,C8557,C8533,C8509)/POBLA!$B$12*100000</f>
        <v>89.192465142517364</v>
      </c>
      <c r="H8821" s="418">
        <f t="shared" si="753"/>
        <v>0.9859550561797753</v>
      </c>
      <c r="J8821" s="42"/>
    </row>
    <row r="8822" spans="1:10" s="393" customFormat="1" x14ac:dyDescent="0.25">
      <c r="A8822" s="402" t="s">
        <v>17</v>
      </c>
      <c r="B8822" s="269">
        <v>44260</v>
      </c>
      <c r="C8822" s="1">
        <v>161</v>
      </c>
      <c r="D8822" s="39">
        <f t="shared" si="752"/>
        <v>68047</v>
      </c>
      <c r="E8822" s="1">
        <v>3</v>
      </c>
      <c r="F8822" s="39">
        <f t="shared" si="754"/>
        <v>1459</v>
      </c>
      <c r="G8822" s="436">
        <f>SUM(C8822,C8798,C8774,C8750,C8726,C8702,C8678,C8654,C8630,C8606,C8582,C8558,C8534,C8510)/POBLA!$B$13*100000</f>
        <v>94.456318474550557</v>
      </c>
      <c r="H8822" s="418">
        <f t="shared" si="753"/>
        <v>1.1764705882352942</v>
      </c>
      <c r="J8822" s="42"/>
    </row>
    <row r="8823" spans="1:10" s="393" customFormat="1" x14ac:dyDescent="0.25">
      <c r="A8823" s="402" t="s">
        <v>23</v>
      </c>
      <c r="B8823" s="269">
        <v>44260</v>
      </c>
      <c r="C8823" s="1">
        <v>110</v>
      </c>
      <c r="D8823" s="39">
        <f t="shared" si="752"/>
        <v>8905</v>
      </c>
      <c r="E8823" s="1"/>
      <c r="F8823" s="39">
        <f t="shared" si="754"/>
        <v>151</v>
      </c>
      <c r="G8823" s="436">
        <f>SUM(C8823,C8799,C8775,C8751,C8727,C8703,C8679,C8655,C8631,C8607,C8583,C8559,C8535,C8511)/POBLA!$B$14*100000</f>
        <v>130.02519634597485</v>
      </c>
      <c r="H8823" s="418">
        <f t="shared" si="753"/>
        <v>1.0691003911342893</v>
      </c>
      <c r="J8823" s="42"/>
    </row>
    <row r="8824" spans="1:10" s="393" customFormat="1" x14ac:dyDescent="0.25">
      <c r="A8824" s="402" t="s">
        <v>19</v>
      </c>
      <c r="B8824" s="269">
        <v>44260</v>
      </c>
      <c r="C8824" s="1">
        <v>182</v>
      </c>
      <c r="D8824" s="39">
        <f t="shared" si="752"/>
        <v>62071</v>
      </c>
      <c r="E8824" s="1"/>
      <c r="F8824" s="39">
        <f t="shared" si="754"/>
        <v>938</v>
      </c>
      <c r="G8824" s="436">
        <f>SUM(C8824,C8800,C8776,C8752,C8728,C8704,C8680,C8656,C8632,C8608,C8584,C8560,C8536,C8512)/POBLA!$B$15*100000</f>
        <v>356.44530514699795</v>
      </c>
      <c r="H8824" s="418">
        <f t="shared" si="753"/>
        <v>0.67416690401594992</v>
      </c>
      <c r="J8824" s="42"/>
    </row>
    <row r="8825" spans="1:10" s="393" customFormat="1" x14ac:dyDescent="0.25">
      <c r="A8825" s="402" t="s">
        <v>18</v>
      </c>
      <c r="B8825" s="269">
        <v>44260</v>
      </c>
      <c r="C8825" s="1">
        <v>157</v>
      </c>
      <c r="D8825" s="39">
        <f t="shared" si="752"/>
        <v>53031</v>
      </c>
      <c r="E8825" s="1">
        <v>3</v>
      </c>
      <c r="F8825" s="39">
        <f t="shared" si="754"/>
        <v>1207</v>
      </c>
      <c r="G8825" s="436">
        <f>SUM(C8825,C8801,C8777,C8753,C8729,C8705,C8681,C8657,C8633,C8609,C8585,C8561,C8537,C8513)/POBLA!$B$16*100000</f>
        <v>230.73527641417317</v>
      </c>
      <c r="H8825" s="418">
        <f t="shared" si="753"/>
        <v>0.81214689265536721</v>
      </c>
      <c r="J8825" s="42"/>
    </row>
    <row r="8826" spans="1:10" s="393" customFormat="1" x14ac:dyDescent="0.25">
      <c r="A8826" s="402" t="s">
        <v>34</v>
      </c>
      <c r="B8826" s="269">
        <v>44260</v>
      </c>
      <c r="C8826" s="1">
        <v>173</v>
      </c>
      <c r="D8826" s="39">
        <f t="shared" si="752"/>
        <v>26782</v>
      </c>
      <c r="E8826" s="1">
        <v>2</v>
      </c>
      <c r="F8826" s="39">
        <f t="shared" si="754"/>
        <v>1112</v>
      </c>
      <c r="G8826" s="436">
        <f>SUM(C8826,C8802,C8778,C8754,C8730,C8706,C8682,C8658,C8634,C8610,C8586,C8562,C8538,C8514)/POBLA!$B$17*100000</f>
        <v>112.74946521229687</v>
      </c>
      <c r="H8826" s="418">
        <f t="shared" si="753"/>
        <v>1.576054955839058</v>
      </c>
      <c r="J8826" s="42"/>
    </row>
    <row r="8827" spans="1:10" s="393" customFormat="1" x14ac:dyDescent="0.25">
      <c r="A8827" s="402" t="s">
        <v>35</v>
      </c>
      <c r="B8827" s="269">
        <v>44260</v>
      </c>
      <c r="C8827" s="1">
        <v>62</v>
      </c>
      <c r="D8827" s="39">
        <f t="shared" si="752"/>
        <v>15519</v>
      </c>
      <c r="E8827" s="1"/>
      <c r="F8827" s="39">
        <f t="shared" si="754"/>
        <v>214</v>
      </c>
      <c r="G8827" s="436">
        <f>SUM(C8827,C8803,C8779,C8755,C8731,C8707,C8683,C8659,C8635,C8611,C8587,C8563,C8539,C8515)/POBLA!$B$18*100000</f>
        <v>80.515400970537002</v>
      </c>
      <c r="H8827" s="418">
        <f t="shared" si="753"/>
        <v>1.0112540192926045</v>
      </c>
      <c r="J8827" s="42"/>
    </row>
    <row r="8828" spans="1:10" s="393" customFormat="1" x14ac:dyDescent="0.25">
      <c r="A8828" s="402" t="s">
        <v>36</v>
      </c>
      <c r="B8828" s="269">
        <v>44260</v>
      </c>
      <c r="C8828" s="1">
        <v>5</v>
      </c>
      <c r="D8828" s="39">
        <f t="shared" si="752"/>
        <v>20801</v>
      </c>
      <c r="E8828" s="1"/>
      <c r="F8828" s="39">
        <f t="shared" si="754"/>
        <v>358</v>
      </c>
      <c r="G8828" s="436">
        <f>SUM(C8828,C8804,C8780,C8756,C8732,C8708,C8684,C8660,C8636,C8612,C8588,C8564,C8540,C8516)/POBLA!$B$19*100000</f>
        <v>107.80440975118428</v>
      </c>
      <c r="H8828" s="418">
        <f t="shared" si="753"/>
        <v>0.47610773240660298</v>
      </c>
      <c r="J8828" s="42"/>
    </row>
    <row r="8829" spans="1:10" s="393" customFormat="1" x14ac:dyDescent="0.25">
      <c r="A8829" s="402" t="s">
        <v>37</v>
      </c>
      <c r="B8829" s="269">
        <v>44260</v>
      </c>
      <c r="C8829" s="1">
        <v>150</v>
      </c>
      <c r="D8829" s="39">
        <f t="shared" si="752"/>
        <v>36581</v>
      </c>
      <c r="E8829" s="1"/>
      <c r="F8829" s="39">
        <f t="shared" si="754"/>
        <v>596</v>
      </c>
      <c r="G8829" s="436">
        <f>SUM(C8829,C8805,C8781,C8757,C8733,C8709,C8685,C8661,C8637,C8613,C8589,C8565,C8541,C8517)/POBLA!$B$20*100000</f>
        <v>431.77704007131564</v>
      </c>
      <c r="H8829" s="418">
        <f t="shared" si="753"/>
        <v>1.145032632342277</v>
      </c>
      <c r="J8829" s="42"/>
    </row>
    <row r="8830" spans="1:10" s="393" customFormat="1" x14ac:dyDescent="0.25">
      <c r="A8830" s="402" t="s">
        <v>22</v>
      </c>
      <c r="B8830" s="269">
        <v>44260</v>
      </c>
      <c r="C8830" s="1">
        <v>527</v>
      </c>
      <c r="D8830" s="39">
        <f t="shared" si="752"/>
        <v>218697</v>
      </c>
      <c r="E8830" s="1">
        <v>20</v>
      </c>
      <c r="F8830" s="39">
        <f t="shared" si="754"/>
        <v>4049</v>
      </c>
      <c r="G8830" s="436">
        <f>SUM(C8830,C8806,C8782,C8758,C8734,C8710,C8686,C8662,C8638,C8614,C8590,C8566,C8542,C8518)/POBLA!$B$21*100000</f>
        <v>147.63526257359848</v>
      </c>
      <c r="H8830" s="418">
        <f t="shared" si="753"/>
        <v>1.0745009261164848</v>
      </c>
      <c r="J8830" s="42"/>
    </row>
    <row r="8831" spans="1:10" s="393" customFormat="1" x14ac:dyDescent="0.25">
      <c r="A8831" s="402" t="s">
        <v>38</v>
      </c>
      <c r="B8831" s="269">
        <v>44260</v>
      </c>
      <c r="C8831" s="1">
        <v>91</v>
      </c>
      <c r="D8831" s="39">
        <f t="shared" si="752"/>
        <v>22958</v>
      </c>
      <c r="E8831" s="1">
        <v>2</v>
      </c>
      <c r="F8831" s="39">
        <f t="shared" si="754"/>
        <v>271</v>
      </c>
      <c r="G8831" s="436">
        <f>SUM(C8831,C8807,C8783,C8759,C8735,C8711,C8687,C8663,C8639,C8615,C8591,C8567,C8543,C8519)/POBLA!$B$22*100000</f>
        <v>89.133027977753542</v>
      </c>
      <c r="H8831" s="418">
        <f t="shared" si="753"/>
        <v>1.080545229244114</v>
      </c>
      <c r="J8831" s="42"/>
    </row>
    <row r="8832" spans="1:10" s="393" customFormat="1" x14ac:dyDescent="0.25">
      <c r="A8832" s="402" t="s">
        <v>39</v>
      </c>
      <c r="B8832" s="269">
        <v>44260</v>
      </c>
      <c r="C8832" s="1">
        <v>48</v>
      </c>
      <c r="D8832" s="39">
        <f t="shared" si="752"/>
        <v>23129</v>
      </c>
      <c r="E8832" s="1"/>
      <c r="F8832" s="39">
        <f t="shared" si="754"/>
        <v>356</v>
      </c>
      <c r="G8832" s="436">
        <f>SUM(C8832,C8808,C8784,C8760,C8736,C8712,C8688,C8664,C8640,C8616,C8592,C8568,C8544,C8520)/POBLA!$B$23*100000</f>
        <v>280.49539105355427</v>
      </c>
      <c r="H8832" s="418">
        <f t="shared" si="753"/>
        <v>0.84353741496598644</v>
      </c>
      <c r="J8832" s="42"/>
    </row>
    <row r="8833" spans="1:10" s="393" customFormat="1" ht="15.75" thickBot="1" x14ac:dyDescent="0.3">
      <c r="A8833" s="404" t="s">
        <v>40</v>
      </c>
      <c r="B8833" s="269">
        <v>44260</v>
      </c>
      <c r="C8833" s="1">
        <v>227</v>
      </c>
      <c r="D8833" s="177">
        <f t="shared" si="752"/>
        <v>80681</v>
      </c>
      <c r="E8833" s="1">
        <v>5</v>
      </c>
      <c r="F8833" s="177">
        <f t="shared" si="754"/>
        <v>1483</v>
      </c>
      <c r="G8833" s="439">
        <f>SUM(C8833,C8809,C8785,C8761,C8737,C8713,C8689,C8665,C8641,C8617,C8593,C8569,C8545,C8521)/POBLA!$B$24*100000</f>
        <v>122.73877412288982</v>
      </c>
      <c r="H8833" s="419">
        <f t="shared" si="753"/>
        <v>1.435472739820566</v>
      </c>
      <c r="J8833" s="42"/>
    </row>
    <row r="8834" spans="1:10" s="393" customFormat="1" x14ac:dyDescent="0.25">
      <c r="A8834" s="397" t="s">
        <v>16</v>
      </c>
      <c r="B8834" s="269">
        <v>44261</v>
      </c>
      <c r="C8834" s="17">
        <v>2215</v>
      </c>
      <c r="D8834" s="175">
        <f t="shared" si="752"/>
        <v>896972</v>
      </c>
      <c r="E8834" s="1">
        <v>65</v>
      </c>
      <c r="F8834" s="175">
        <f t="shared" si="754"/>
        <v>26708</v>
      </c>
      <c r="G8834" s="410">
        <f>SUM(C8834,C8810,C8786,C8762,C8738,C8714,C8690,C8666,C8642,C8618,C8594,C8570,C8546,C8522)/POBLA!$B$1*100000</f>
        <v>208.66943604181736</v>
      </c>
      <c r="H8834" s="416">
        <f t="shared" si="753"/>
        <v>1.0343921324817724</v>
      </c>
      <c r="J8834" s="42"/>
    </row>
    <row r="8835" spans="1:10" s="393" customFormat="1" x14ac:dyDescent="0.25">
      <c r="A8835" s="402" t="s">
        <v>43</v>
      </c>
      <c r="B8835" s="269">
        <v>44261</v>
      </c>
      <c r="C8835" s="17">
        <v>651</v>
      </c>
      <c r="D8835" s="39">
        <f t="shared" si="752"/>
        <v>236017</v>
      </c>
      <c r="E8835" s="1">
        <v>3</v>
      </c>
      <c r="F8835" s="39">
        <f t="shared" si="754"/>
        <v>6583</v>
      </c>
      <c r="G8835" s="436">
        <f>SUM(C8835,C8811,C8787,C8763,C8739,C8715,C8691,C8667,C8643,C8619,C8595,C8571,C8547,C8523)/POBLA!$B$2*100000</f>
        <v>313.52762964268322</v>
      </c>
      <c r="H8835" s="418">
        <f t="shared" si="753"/>
        <v>0.97561715904492108</v>
      </c>
      <c r="J8835" s="42"/>
    </row>
    <row r="8836" spans="1:10" s="393" customFormat="1" x14ac:dyDescent="0.25">
      <c r="A8836" s="402" t="s">
        <v>28</v>
      </c>
      <c r="B8836" s="269">
        <v>44261</v>
      </c>
      <c r="C8836" s="17">
        <v>46</v>
      </c>
      <c r="D8836" s="39">
        <f t="shared" si="752"/>
        <v>8406</v>
      </c>
      <c r="E8836" s="1"/>
      <c r="F8836" s="39">
        <f t="shared" si="754"/>
        <v>17</v>
      </c>
      <c r="G8836" s="436">
        <f>SUM(C8836,C8812,C8788,C8764,C8740,C8716,C8692,C8668,C8644,C8620,C8596,C8572,C8548,C8524)/POBLA!$B$3*100000</f>
        <v>294.86951121466979</v>
      </c>
      <c r="H8836" s="418">
        <f t="shared" si="753"/>
        <v>1.1633428300094968</v>
      </c>
      <c r="J8836" s="42"/>
    </row>
    <row r="8837" spans="1:10" s="393" customFormat="1" x14ac:dyDescent="0.25">
      <c r="A8837" s="402" t="s">
        <v>15</v>
      </c>
      <c r="B8837" s="269">
        <v>44261</v>
      </c>
      <c r="C8837" s="17">
        <v>122</v>
      </c>
      <c r="D8837" s="39">
        <f t="shared" si="752"/>
        <v>34979</v>
      </c>
      <c r="E8837" s="1">
        <v>1</v>
      </c>
      <c r="F8837" s="39">
        <f t="shared" si="754"/>
        <v>873</v>
      </c>
      <c r="G8837" s="436">
        <f>SUM(C8837,C8813,C8789,C8765,C8741,C8717,C8693,C8669,C8645,C8621,C8597,C8573,C8549,C8525)/POBLA!$B$4*100000</f>
        <v>153.91755033660127</v>
      </c>
      <c r="H8837" s="418">
        <f t="shared" si="753"/>
        <v>1.1854219948849105</v>
      </c>
      <c r="J8837" s="42"/>
    </row>
    <row r="8838" spans="1:10" s="393" customFormat="1" x14ac:dyDescent="0.25">
      <c r="A8838" s="402" t="s">
        <v>29</v>
      </c>
      <c r="B8838" s="269">
        <v>44261</v>
      </c>
      <c r="C8838" s="17">
        <v>41</v>
      </c>
      <c r="D8838" s="39">
        <f t="shared" si="752"/>
        <v>47502</v>
      </c>
      <c r="E8838" s="1"/>
      <c r="F8838" s="39">
        <f t="shared" si="754"/>
        <v>777</v>
      </c>
      <c r="G8838" s="436">
        <f>SUM(C8838,C8814,C8790,C8766,C8742,C8718,C8694,C8670,C8646,C8622,C8598,C8574,C8550,C8526)/POBLA!$B$5*100000</f>
        <v>233.76640161293969</v>
      </c>
      <c r="H8838" s="418">
        <f t="shared" si="753"/>
        <v>0.65623582766439914</v>
      </c>
      <c r="J8838" s="42"/>
    </row>
    <row r="8839" spans="1:10" s="393" customFormat="1" x14ac:dyDescent="0.25">
      <c r="A8839" s="402" t="s">
        <v>30</v>
      </c>
      <c r="B8839" s="269">
        <v>44261</v>
      </c>
      <c r="C8839" s="17">
        <v>177</v>
      </c>
      <c r="D8839" s="39">
        <f t="shared" si="752"/>
        <v>23041</v>
      </c>
      <c r="E8839" s="1"/>
      <c r="F8839" s="39">
        <f t="shared" si="754"/>
        <v>300</v>
      </c>
      <c r="G8839" s="436">
        <f>SUM(C8839,C8815,C8791,C8767,C8743,C8719,C8695,C8671,C8647,C8623,C8599,C8575,C8551,C8527)/POBLA!$B$7*100000</f>
        <v>59.221635708492336</v>
      </c>
      <c r="H8839" s="418">
        <f t="shared" si="753"/>
        <v>1.0630071599045345</v>
      </c>
      <c r="J8839" s="42"/>
    </row>
    <row r="8840" spans="1:10" s="393" customFormat="1" x14ac:dyDescent="0.25">
      <c r="A8840" s="402" t="s">
        <v>20</v>
      </c>
      <c r="B8840" s="269">
        <v>44261</v>
      </c>
      <c r="C8840" s="17">
        <v>412</v>
      </c>
      <c r="D8840" s="39">
        <f t="shared" si="752"/>
        <v>163584</v>
      </c>
      <c r="E8840" s="1">
        <v>2</v>
      </c>
      <c r="F8840" s="39">
        <f t="shared" si="754"/>
        <v>2876</v>
      </c>
      <c r="G8840" s="436">
        <f>SUM(C8840,C8816,C8792,C8768,C8744,C8720,C8696,C8672,C8648,C8624,C8600,C8576,C8552,C8528)/POBLA!$B$6*100000</f>
        <v>750.26699654978893</v>
      </c>
      <c r="H8840" s="418">
        <f t="shared" si="753"/>
        <v>1.1795483237480713</v>
      </c>
      <c r="J8840" s="42"/>
    </row>
    <row r="8841" spans="1:10" x14ac:dyDescent="0.25">
      <c r="A8841" s="402" t="s">
        <v>31</v>
      </c>
      <c r="B8841" s="269">
        <v>44261</v>
      </c>
      <c r="C8841" s="17">
        <v>101</v>
      </c>
      <c r="D8841" s="39">
        <f t="shared" si="752"/>
        <v>45937</v>
      </c>
      <c r="E8841" s="1">
        <v>2</v>
      </c>
      <c r="F8841" s="39">
        <f t="shared" ref="F8841:F8864" si="755">E8841+F8817</f>
        <v>872</v>
      </c>
      <c r="G8841" s="169">
        <f>SUM(C8841,C8817,C8793,C8769,C8745,C8721,C8697,C8673,C8649,C8625,C8601,C8577,C8553,C8529)/POBLA!$B$8*100000</f>
        <v>123.09148670128523</v>
      </c>
      <c r="H8841" s="527">
        <f t="shared" si="753"/>
        <v>0.94046306504961408</v>
      </c>
    </row>
    <row r="8842" spans="1:10" s="393" customFormat="1" x14ac:dyDescent="0.25">
      <c r="A8842" s="402" t="s">
        <v>41</v>
      </c>
      <c r="B8842" s="269">
        <v>44261</v>
      </c>
      <c r="C8842" s="17">
        <v>3</v>
      </c>
      <c r="D8842" s="39">
        <f t="shared" ref="D8842:D8873" si="756">C8842+D8818</f>
        <v>1340</v>
      </c>
      <c r="E8842" s="1"/>
      <c r="F8842" s="39">
        <f t="shared" si="755"/>
        <v>20</v>
      </c>
      <c r="G8842" s="436">
        <f>SUM(C8842,C8818,C8794,C8770,C8746,C8722,C8698,C8674,C8650,C8626,C8602,C8578,C8554,C8530)/POBLA!$B$9*100000</f>
        <v>44.613866981277049</v>
      </c>
      <c r="H8842" s="418">
        <f t="shared" ref="H8842:H8873" si="757">SUM(C8842,C8818,C8794,C8770,C8746,C8722,C8698,C8674,C8650,C8626,C8602,C8578,C8554,C8530)/SUM(C8506,C8482,C8458,C8434,C8410,C8386,C8362,C8338,C8314,C8290,C8266,C8242,C8218,C8194)</f>
        <v>1.3366336633663367</v>
      </c>
      <c r="J8842" s="42"/>
    </row>
    <row r="8843" spans="1:10" s="393" customFormat="1" x14ac:dyDescent="0.25">
      <c r="A8843" s="402" t="s">
        <v>32</v>
      </c>
      <c r="B8843" s="269">
        <v>44261</v>
      </c>
      <c r="C8843" s="17">
        <v>56</v>
      </c>
      <c r="D8843" s="39">
        <f t="shared" si="756"/>
        <v>21205</v>
      </c>
      <c r="E8843" s="1"/>
      <c r="F8843" s="39">
        <f t="shared" si="755"/>
        <v>912</v>
      </c>
      <c r="G8843" s="436">
        <f>SUM(C8843,C8819,C8795,C8771,C8747,C8723,C8699,C8675,C8651,C8627,C8603,C8579,C8555,C8531)/POBLA!$B$10*100000</f>
        <v>150.86634642701011</v>
      </c>
      <c r="H8843" s="418">
        <f t="shared" si="757"/>
        <v>2.1576994434137293</v>
      </c>
      <c r="J8843" s="42"/>
    </row>
    <row r="8844" spans="1:10" s="393" customFormat="1" x14ac:dyDescent="0.25">
      <c r="A8844" s="402" t="s">
        <v>33</v>
      </c>
      <c r="B8844" s="269">
        <v>44261</v>
      </c>
      <c r="C8844" s="17">
        <v>34</v>
      </c>
      <c r="D8844" s="39">
        <f t="shared" si="756"/>
        <v>19198</v>
      </c>
      <c r="E8844" s="1"/>
      <c r="F8844" s="39">
        <f t="shared" si="755"/>
        <v>289</v>
      </c>
      <c r="G8844" s="436">
        <f>SUM(C8844,C8820,C8796,C8772,C8748,C8724,C8700,C8676,C8652,C8628,C8604,C8580,C8556,C8532)/POBLA!$B$11*100000</f>
        <v>314.42856026872897</v>
      </c>
      <c r="H8844" s="418">
        <f t="shared" si="757"/>
        <v>1.0826128722382324</v>
      </c>
      <c r="J8844" s="42"/>
    </row>
    <row r="8845" spans="1:10" s="393" customFormat="1" x14ac:dyDescent="0.25">
      <c r="A8845" s="402" t="s">
        <v>21</v>
      </c>
      <c r="B8845" s="269">
        <v>44261</v>
      </c>
      <c r="C8845" s="17">
        <v>22</v>
      </c>
      <c r="D8845" s="39">
        <f t="shared" si="756"/>
        <v>10351</v>
      </c>
      <c r="E8845" s="1">
        <v>5</v>
      </c>
      <c r="F8845" s="39">
        <f t="shared" si="755"/>
        <v>444</v>
      </c>
      <c r="G8845" s="436">
        <f>SUM(C8845,C8821,C8797,C8773,C8749,C8725,C8701,C8677,C8653,C8629,C8605,C8581,C8557,C8533)/POBLA!$B$12*100000</f>
        <v>90.717122666321075</v>
      </c>
      <c r="H8845" s="418">
        <f t="shared" si="757"/>
        <v>1.0469208211143695</v>
      </c>
      <c r="J8845" s="42"/>
    </row>
    <row r="8846" spans="1:10" s="393" customFormat="1" x14ac:dyDescent="0.25">
      <c r="A8846" s="402" t="s">
        <v>17</v>
      </c>
      <c r="B8846" s="269">
        <v>44261</v>
      </c>
      <c r="C8846" s="17">
        <v>124</v>
      </c>
      <c r="D8846" s="39">
        <f t="shared" si="756"/>
        <v>68171</v>
      </c>
      <c r="E8846" s="1"/>
      <c r="F8846" s="39">
        <f t="shared" si="755"/>
        <v>1459</v>
      </c>
      <c r="G8846" s="436">
        <f>SUM(C8846,C8822,C8798,C8774,C8750,C8726,C8702,C8678,C8654,C8630,C8606,C8582,C8558,C8534)/POBLA!$B$13*100000</f>
        <v>94.305590306772018</v>
      </c>
      <c r="H8846" s="418">
        <f t="shared" si="757"/>
        <v>1.1701995012468829</v>
      </c>
      <c r="J8846" s="42"/>
    </row>
    <row r="8847" spans="1:10" s="393" customFormat="1" x14ac:dyDescent="0.25">
      <c r="A8847" s="402" t="s">
        <v>23</v>
      </c>
      <c r="B8847" s="269">
        <v>44261</v>
      </c>
      <c r="C8847" s="17">
        <v>108</v>
      </c>
      <c r="D8847" s="39">
        <f t="shared" si="756"/>
        <v>9013</v>
      </c>
      <c r="E8847" s="1"/>
      <c r="F8847" s="39">
        <f t="shared" si="755"/>
        <v>151</v>
      </c>
      <c r="G8847" s="436">
        <f>SUM(C8847,C8823,C8799,C8775,C8751,C8727,C8703,C8679,C8655,C8631,C8607,C8583,C8559,C8535)/POBLA!$B$14*100000</f>
        <v>130.65946559644303</v>
      </c>
      <c r="H8847" s="418">
        <f t="shared" si="757"/>
        <v>1.0935633709356336</v>
      </c>
      <c r="J8847" s="42"/>
    </row>
    <row r="8848" spans="1:10" s="393" customFormat="1" x14ac:dyDescent="0.25">
      <c r="A8848" s="402" t="s">
        <v>19</v>
      </c>
      <c r="B8848" s="269">
        <v>44261</v>
      </c>
      <c r="C8848" s="17">
        <v>91</v>
      </c>
      <c r="D8848" s="39">
        <f t="shared" si="756"/>
        <v>62162</v>
      </c>
      <c r="E8848" s="1">
        <v>1</v>
      </c>
      <c r="F8848" s="39">
        <f t="shared" si="755"/>
        <v>939</v>
      </c>
      <c r="G8848" s="436">
        <f>SUM(C8848,C8824,C8800,C8776,C8752,C8728,C8704,C8680,C8656,C8632,C8608,C8584,C8560,C8536)/POBLA!$B$15*100000</f>
        <v>345.75345188741329</v>
      </c>
      <c r="H8848" s="418">
        <f t="shared" si="757"/>
        <v>0.68069967388081831</v>
      </c>
      <c r="J8848" s="42"/>
    </row>
    <row r="8849" spans="1:10" s="393" customFormat="1" x14ac:dyDescent="0.25">
      <c r="A8849" s="402" t="s">
        <v>18</v>
      </c>
      <c r="B8849" s="269">
        <v>44261</v>
      </c>
      <c r="C8849" s="17">
        <v>71</v>
      </c>
      <c r="D8849" s="39">
        <f t="shared" si="756"/>
        <v>53102</v>
      </c>
      <c r="E8849" s="1">
        <v>3</v>
      </c>
      <c r="F8849" s="39">
        <f t="shared" si="755"/>
        <v>1210</v>
      </c>
      <c r="G8849" s="436">
        <f>SUM(C8849,C8825,C8801,C8777,C8753,C8729,C8705,C8681,C8657,C8633,C8609,C8585,C8561,C8537)/POBLA!$B$16*100000</f>
        <v>229.66519976993354</v>
      </c>
      <c r="H8849" s="418">
        <f t="shared" si="757"/>
        <v>0.8306724721819061</v>
      </c>
      <c r="J8849" s="42"/>
    </row>
    <row r="8850" spans="1:10" s="393" customFormat="1" x14ac:dyDescent="0.25">
      <c r="A8850" s="402" t="s">
        <v>34</v>
      </c>
      <c r="B8850" s="269">
        <v>44261</v>
      </c>
      <c r="C8850" s="17">
        <v>62</v>
      </c>
      <c r="D8850" s="39">
        <f t="shared" si="756"/>
        <v>26844</v>
      </c>
      <c r="E8850" s="1">
        <v>4</v>
      </c>
      <c r="F8850" s="39">
        <f t="shared" si="755"/>
        <v>1116</v>
      </c>
      <c r="G8850" s="436">
        <f>SUM(C8850,C8826,C8802,C8778,C8754,C8730,C8706,C8682,C8658,C8634,C8610,C8586,C8562,C8538)/POBLA!$B$17*100000</f>
        <v>106.85223290978567</v>
      </c>
      <c r="H8850" s="418">
        <f t="shared" si="757"/>
        <v>1.418452935694315</v>
      </c>
      <c r="J8850" s="42"/>
    </row>
    <row r="8851" spans="1:10" s="393" customFormat="1" x14ac:dyDescent="0.25">
      <c r="A8851" s="402" t="s">
        <v>35</v>
      </c>
      <c r="B8851" s="269">
        <v>44261</v>
      </c>
      <c r="C8851" s="17">
        <v>5</v>
      </c>
      <c r="D8851" s="39">
        <f t="shared" si="756"/>
        <v>15524</v>
      </c>
      <c r="E8851" s="1"/>
      <c r="F8851" s="39">
        <f t="shared" si="755"/>
        <v>214</v>
      </c>
      <c r="G8851" s="436">
        <f>SUM(C8851,C8827,C8803,C8779,C8755,C8731,C8707,C8683,C8659,C8635,C8611,C8587,C8563,C8539)/POBLA!$B$18*100000</f>
        <v>77.82728742462082</v>
      </c>
      <c r="H8851" s="418">
        <f t="shared" si="757"/>
        <v>0.95597484276729561</v>
      </c>
      <c r="J8851" s="42"/>
    </row>
    <row r="8852" spans="1:10" s="393" customFormat="1" x14ac:dyDescent="0.25">
      <c r="A8852" s="402" t="s">
        <v>36</v>
      </c>
      <c r="B8852" s="269">
        <v>44261</v>
      </c>
      <c r="C8852" s="17">
        <v>1</v>
      </c>
      <c r="D8852" s="39">
        <f t="shared" si="756"/>
        <v>20802</v>
      </c>
      <c r="E8852" s="1"/>
      <c r="F8852" s="39">
        <f t="shared" si="755"/>
        <v>358</v>
      </c>
      <c r="G8852" s="436">
        <f>SUM(C8852,C8828,C8804,C8780,C8756,C8732,C8708,C8684,C8660,C8636,C8612,C8588,C8564,C8540)/POBLA!$B$19*100000</f>
        <v>56.066162005634162</v>
      </c>
      <c r="H8852" s="418">
        <f t="shared" si="757"/>
        <v>0.20184135977337112</v>
      </c>
      <c r="J8852" s="42"/>
    </row>
    <row r="8853" spans="1:10" s="393" customFormat="1" x14ac:dyDescent="0.25">
      <c r="A8853" s="402" t="s">
        <v>37</v>
      </c>
      <c r="B8853" s="269">
        <v>44261</v>
      </c>
      <c r="C8853" s="17">
        <v>31</v>
      </c>
      <c r="D8853" s="39">
        <f t="shared" si="756"/>
        <v>36612</v>
      </c>
      <c r="E8853" s="1"/>
      <c r="F8853" s="39">
        <f t="shared" si="755"/>
        <v>596</v>
      </c>
      <c r="G8853" s="436">
        <f>SUM(C8853,C8829,C8805,C8781,C8757,C8733,C8709,C8685,C8661,C8637,C8613,C8589,C8565,C8541)/POBLA!$B$20*100000</f>
        <v>411.26831429212086</v>
      </c>
      <c r="H8853" s="418">
        <f t="shared" si="757"/>
        <v>1.103448275862069</v>
      </c>
      <c r="J8853" s="42"/>
    </row>
    <row r="8854" spans="1:10" s="393" customFormat="1" x14ac:dyDescent="0.25">
      <c r="A8854" s="402" t="s">
        <v>22</v>
      </c>
      <c r="B8854" s="269">
        <v>44261</v>
      </c>
      <c r="C8854" s="17">
        <v>337</v>
      </c>
      <c r="D8854" s="39">
        <f t="shared" si="756"/>
        <v>219034</v>
      </c>
      <c r="E8854" s="1"/>
      <c r="F8854" s="39">
        <f t="shared" si="755"/>
        <v>4049</v>
      </c>
      <c r="G8854" s="436">
        <f>SUM(C8854,C8830,C8806,C8782,C8758,C8734,C8710,C8686,C8662,C8638,C8614,C8590,C8566,C8542)/POBLA!$B$21*100000</f>
        <v>146.53245176333795</v>
      </c>
      <c r="H8854" s="418">
        <f t="shared" si="757"/>
        <v>1.0786844296419651</v>
      </c>
      <c r="J8854" s="42"/>
    </row>
    <row r="8855" spans="1:10" s="393" customFormat="1" x14ac:dyDescent="0.25">
      <c r="A8855" s="402" t="s">
        <v>38</v>
      </c>
      <c r="B8855" s="269">
        <v>44261</v>
      </c>
      <c r="C8855" s="17">
        <v>54</v>
      </c>
      <c r="D8855" s="39">
        <f t="shared" si="756"/>
        <v>23012</v>
      </c>
      <c r="E8855" s="1"/>
      <c r="F8855" s="39">
        <f t="shared" si="755"/>
        <v>271</v>
      </c>
      <c r="G8855" s="436">
        <f>SUM(C8855,C8831,C8807,C8783,C8759,C8735,C8711,C8687,C8663,C8639,C8615,C8591,C8567,C8543)/POBLA!$B$22*100000</f>
        <v>89.133027977753542</v>
      </c>
      <c r="H8855" s="418">
        <f t="shared" si="757"/>
        <v>1.102402022756005</v>
      </c>
      <c r="J8855" s="42"/>
    </row>
    <row r="8856" spans="1:10" s="393" customFormat="1" x14ac:dyDescent="0.25">
      <c r="A8856" s="402" t="s">
        <v>39</v>
      </c>
      <c r="B8856" s="269">
        <v>44261</v>
      </c>
      <c r="C8856" s="17">
        <v>10</v>
      </c>
      <c r="D8856" s="39">
        <f t="shared" si="756"/>
        <v>23139</v>
      </c>
      <c r="E8856" s="1"/>
      <c r="F8856" s="39">
        <f t="shared" si="755"/>
        <v>356</v>
      </c>
      <c r="G8856" s="436">
        <f>SUM(C8856,C8832,C8808,C8784,C8760,C8736,C8712,C8688,C8664,C8640,C8616,C8592,C8568,C8544)/POBLA!$B$23*100000</f>
        <v>267.48854832324832</v>
      </c>
      <c r="H8856" s="418">
        <f t="shared" si="757"/>
        <v>0.7831125827814569</v>
      </c>
      <c r="J8856" s="42"/>
    </row>
    <row r="8857" spans="1:10" s="393" customFormat="1" ht="15.75" thickBot="1" x14ac:dyDescent="0.3">
      <c r="A8857" s="404" t="s">
        <v>40</v>
      </c>
      <c r="B8857" s="269">
        <v>44261</v>
      </c>
      <c r="C8857" s="17">
        <v>86</v>
      </c>
      <c r="D8857" s="177">
        <f t="shared" si="756"/>
        <v>80767</v>
      </c>
      <c r="E8857" s="1"/>
      <c r="F8857" s="177">
        <f t="shared" si="755"/>
        <v>1483</v>
      </c>
      <c r="G8857" s="439">
        <f>SUM(C8857,C8833,C8809,C8785,C8761,C8737,C8713,C8689,C8665,C8641,C8617,C8593,C8569,C8545)/POBLA!$B$24*100000</f>
        <v>122.38471996676613</v>
      </c>
      <c r="H8857" s="419">
        <f t="shared" si="757"/>
        <v>1.4313319530710835</v>
      </c>
      <c r="J8857" s="42"/>
    </row>
    <row r="8858" spans="1:10" s="393" customFormat="1" x14ac:dyDescent="0.25">
      <c r="A8858" s="397" t="s">
        <v>16</v>
      </c>
      <c r="B8858" s="269">
        <v>44262</v>
      </c>
      <c r="C8858" s="1">
        <v>990</v>
      </c>
      <c r="D8858" s="175">
        <f t="shared" si="756"/>
        <v>897962</v>
      </c>
      <c r="E8858" s="1">
        <v>3</v>
      </c>
      <c r="F8858" s="175">
        <f t="shared" si="755"/>
        <v>26711</v>
      </c>
      <c r="G8858" s="410">
        <f>SUM(C8858,C8834,C8810,C8786,C8762,C8738,C8714,C8690,C8666,C8642,C8618,C8594,C8570,C8546)/POBLA!$B$1*100000</f>
        <v>205.7448828442802</v>
      </c>
      <c r="H8858" s="416">
        <f t="shared" si="757"/>
        <v>1.0197507840976519</v>
      </c>
      <c r="J8858" s="42"/>
    </row>
    <row r="8859" spans="1:10" s="393" customFormat="1" x14ac:dyDescent="0.25">
      <c r="A8859" s="402" t="s">
        <v>43</v>
      </c>
      <c r="B8859" s="269">
        <v>44262</v>
      </c>
      <c r="C8859" s="1">
        <v>429</v>
      </c>
      <c r="D8859" s="39">
        <f t="shared" si="756"/>
        <v>236446</v>
      </c>
      <c r="E8859" s="1">
        <v>1</v>
      </c>
      <c r="F8859" s="39">
        <f t="shared" si="755"/>
        <v>6584</v>
      </c>
      <c r="G8859" s="436">
        <f>SUM(C8859,C8835,C8811,C8787,C8763,C8739,C8715,C8691,C8667,C8643,C8619,C8595,C8571,C8547)/POBLA!$B$2*100000</f>
        <v>316.06368223131011</v>
      </c>
      <c r="H8859" s="418">
        <f t="shared" si="757"/>
        <v>1.0065230896665975</v>
      </c>
      <c r="J8859" s="42"/>
    </row>
    <row r="8860" spans="1:10" s="393" customFormat="1" x14ac:dyDescent="0.25">
      <c r="A8860" s="402" t="s">
        <v>28</v>
      </c>
      <c r="B8860" s="269">
        <v>44262</v>
      </c>
      <c r="C8860" s="1">
        <v>46</v>
      </c>
      <c r="D8860" s="39">
        <f t="shared" si="756"/>
        <v>8452</v>
      </c>
      <c r="E8860" s="1"/>
      <c r="F8860" s="39">
        <f t="shared" si="755"/>
        <v>17</v>
      </c>
      <c r="G8860" s="436">
        <f>SUM(C8860,C8836,C8812,C8788,C8764,C8740,C8716,C8692,C8668,C8644,C8620,C8596,C8572,C8548)/POBLA!$B$3*100000</f>
        <v>279.46408368998505</v>
      </c>
      <c r="H8860" s="418">
        <f t="shared" si="757"/>
        <v>1.0554545454545454</v>
      </c>
      <c r="J8860" s="42"/>
    </row>
    <row r="8861" spans="1:10" s="393" customFormat="1" x14ac:dyDescent="0.25">
      <c r="A8861" s="402" t="s">
        <v>15</v>
      </c>
      <c r="B8861" s="269">
        <v>44262</v>
      </c>
      <c r="C8861" s="1">
        <v>84</v>
      </c>
      <c r="D8861" s="39">
        <f t="shared" si="756"/>
        <v>35063</v>
      </c>
      <c r="E8861" s="1"/>
      <c r="F8861" s="39">
        <f t="shared" si="755"/>
        <v>873</v>
      </c>
      <c r="G8861" s="436">
        <f>SUM(C8861,C8837,C8813,C8789,C8765,C8741,C8717,C8693,C8669,C8645,C8621,C8597,C8573,C8549)/POBLA!$B$4*100000</f>
        <v>154.16660786141776</v>
      </c>
      <c r="H8861" s="418">
        <f t="shared" si="757"/>
        <v>1.2058441558441559</v>
      </c>
      <c r="J8861" s="42"/>
    </row>
    <row r="8862" spans="1:10" s="393" customFormat="1" x14ac:dyDescent="0.25">
      <c r="A8862" s="402" t="s">
        <v>29</v>
      </c>
      <c r="B8862" s="269">
        <v>44262</v>
      </c>
      <c r="C8862" s="1">
        <v>42</v>
      </c>
      <c r="D8862" s="39">
        <f t="shared" si="756"/>
        <v>47544</v>
      </c>
      <c r="E8862" s="1"/>
      <c r="F8862" s="39">
        <f t="shared" si="755"/>
        <v>777</v>
      </c>
      <c r="G8862" s="436">
        <f>SUM(C8862,C8838,C8814,C8790,C8766,C8742,C8718,C8694,C8670,C8646,C8622,C8598,C8574,C8550)/POBLA!$B$5*100000</f>
        <v>234.73571633973833</v>
      </c>
      <c r="H8862" s="418">
        <f t="shared" si="757"/>
        <v>0.66681964203763189</v>
      </c>
      <c r="J8862" s="42"/>
    </row>
    <row r="8863" spans="1:10" s="393" customFormat="1" x14ac:dyDescent="0.25">
      <c r="A8863" s="402" t="s">
        <v>30</v>
      </c>
      <c r="B8863" s="269">
        <v>44262</v>
      </c>
      <c r="C8863" s="1">
        <v>139</v>
      </c>
      <c r="D8863" s="39">
        <f t="shared" si="756"/>
        <v>23180</v>
      </c>
      <c r="E8863" s="1"/>
      <c r="F8863" s="39">
        <f t="shared" si="755"/>
        <v>300</v>
      </c>
      <c r="G8863" s="436">
        <f>SUM(C8863,C8839,C8815,C8791,C8767,C8743,C8719,C8695,C8671,C8647,C8623,C8599,C8575,C8551)/POBLA!$B$7*100000</f>
        <v>59.035487774069594</v>
      </c>
      <c r="H8863" s="418">
        <f t="shared" si="757"/>
        <v>0.99685675797036377</v>
      </c>
      <c r="J8863" s="42"/>
    </row>
    <row r="8864" spans="1:10" s="393" customFormat="1" x14ac:dyDescent="0.25">
      <c r="A8864" s="402" t="s">
        <v>20</v>
      </c>
      <c r="B8864" s="269">
        <v>44262</v>
      </c>
      <c r="C8864" s="1">
        <v>256</v>
      </c>
      <c r="D8864" s="39">
        <f t="shared" si="756"/>
        <v>163840</v>
      </c>
      <c r="E8864" s="1"/>
      <c r="F8864" s="39">
        <f t="shared" si="755"/>
        <v>2876</v>
      </c>
      <c r="G8864" s="436">
        <f>SUM(C8864,C8840,C8816,C8792,C8768,C8744,C8720,C8696,C8672,C8648,C8624,C8600,C8576,C8552)/POBLA!$B$6*100000</f>
        <v>737.5082641789221</v>
      </c>
      <c r="H8864" s="418">
        <f t="shared" si="757"/>
        <v>1.1318636176913597</v>
      </c>
      <c r="J8864" s="42"/>
    </row>
    <row r="8865" spans="1:10" x14ac:dyDescent="0.25">
      <c r="A8865" s="402" t="s">
        <v>31</v>
      </c>
      <c r="B8865" s="269">
        <v>44262</v>
      </c>
      <c r="C8865" s="1">
        <v>56</v>
      </c>
      <c r="D8865" s="39">
        <f t="shared" si="756"/>
        <v>45993</v>
      </c>
      <c r="F8865" s="39">
        <f t="shared" ref="F8865:F8888" si="758">E8865+F8841</f>
        <v>872</v>
      </c>
      <c r="G8865" s="169">
        <f>SUM(C8865,C8841,C8817,C8793,C8769,C8745,C8721,C8697,C8673,C8649,C8625,C8601,C8577,C8553)/POBLA!$B$8*100000</f>
        <v>120.85477152676013</v>
      </c>
      <c r="H8865" s="527">
        <f t="shared" si="757"/>
        <v>0.93262806236080176</v>
      </c>
    </row>
    <row r="8866" spans="1:10" s="393" customFormat="1" x14ac:dyDescent="0.25">
      <c r="A8866" s="402" t="s">
        <v>41</v>
      </c>
      <c r="B8866" s="269">
        <v>44262</v>
      </c>
      <c r="C8866" s="1">
        <v>28</v>
      </c>
      <c r="D8866" s="39">
        <f t="shared" si="756"/>
        <v>1368</v>
      </c>
      <c r="E8866" s="1"/>
      <c r="F8866" s="39">
        <f t="shared" si="758"/>
        <v>20</v>
      </c>
      <c r="G8866" s="436">
        <f>SUM(C8866,C8842,C8818,C8794,C8770,C8746,C8722,C8698,C8674,C8650,C8626,C8602,C8578,C8554)/POBLA!$B$9*100000</f>
        <v>47.753361324403954</v>
      </c>
      <c r="H8866" s="418">
        <f t="shared" si="757"/>
        <v>1.4378109452736318</v>
      </c>
      <c r="J8866" s="42"/>
    </row>
    <row r="8867" spans="1:10" s="393" customFormat="1" x14ac:dyDescent="0.25">
      <c r="A8867" s="402" t="s">
        <v>32</v>
      </c>
      <c r="B8867" s="269">
        <v>44262</v>
      </c>
      <c r="C8867" s="1">
        <v>56</v>
      </c>
      <c r="D8867" s="39">
        <f t="shared" si="756"/>
        <v>21261</v>
      </c>
      <c r="E8867" s="1">
        <v>1</v>
      </c>
      <c r="F8867" s="39">
        <f t="shared" si="758"/>
        <v>913</v>
      </c>
      <c r="G8867" s="436">
        <f>SUM(C8867,C8843,C8819,C8795,C8771,C8747,C8723,C8699,C8675,C8651,C8627,C8603,C8579,C8555)/POBLA!$B$10*100000</f>
        <v>148.6610773906738</v>
      </c>
      <c r="H8867" s="418">
        <f t="shared" si="757"/>
        <v>1.9260504201680673</v>
      </c>
      <c r="J8867" s="42"/>
    </row>
    <row r="8868" spans="1:10" s="393" customFormat="1" x14ac:dyDescent="0.25">
      <c r="A8868" s="402" t="s">
        <v>33</v>
      </c>
      <c r="B8868" s="269">
        <v>44262</v>
      </c>
      <c r="C8868" s="1">
        <v>43</v>
      </c>
      <c r="D8868" s="39">
        <f t="shared" si="756"/>
        <v>19241</v>
      </c>
      <c r="E8868" s="1"/>
      <c r="F8868" s="39">
        <f t="shared" si="758"/>
        <v>289</v>
      </c>
      <c r="G8868" s="436">
        <f>SUM(C8868,C8844,C8820,C8796,C8772,C8748,C8724,C8700,C8676,C8652,C8628,C8604,C8580,C8556)/POBLA!$B$11*100000</f>
        <v>321.12446572254402</v>
      </c>
      <c r="H8868" s="418">
        <f t="shared" si="757"/>
        <v>1.1487025948103793</v>
      </c>
      <c r="J8868" s="42"/>
    </row>
    <row r="8869" spans="1:10" s="393" customFormat="1" x14ac:dyDescent="0.25">
      <c r="A8869" s="402" t="s">
        <v>21</v>
      </c>
      <c r="B8869" s="269">
        <v>44262</v>
      </c>
      <c r="C8869" s="1">
        <v>12</v>
      </c>
      <c r="D8869" s="39">
        <f t="shared" si="756"/>
        <v>10363</v>
      </c>
      <c r="E8869" s="1"/>
      <c r="F8869" s="39">
        <f t="shared" si="758"/>
        <v>444</v>
      </c>
      <c r="G8869" s="436">
        <f>SUM(C8869,C8845,C8821,C8797,C8773,C8749,C8725,C8701,C8677,C8653,C8629,C8605,C8581,C8557)/POBLA!$B$12*100000</f>
        <v>87.413698031413034</v>
      </c>
      <c r="H8869" s="418">
        <f t="shared" si="757"/>
        <v>1.0299401197604789</v>
      </c>
      <c r="J8869" s="42"/>
    </row>
    <row r="8870" spans="1:10" s="393" customFormat="1" x14ac:dyDescent="0.25">
      <c r="A8870" s="402" t="s">
        <v>17</v>
      </c>
      <c r="B8870" s="269">
        <v>44262</v>
      </c>
      <c r="C8870" s="1">
        <v>56</v>
      </c>
      <c r="D8870" s="39">
        <f t="shared" si="756"/>
        <v>68227</v>
      </c>
      <c r="E8870" s="1">
        <v>2</v>
      </c>
      <c r="F8870" s="39">
        <f t="shared" si="758"/>
        <v>1461</v>
      </c>
      <c r="G8870" s="436">
        <f>SUM(C8870,C8846,C8822,C8798,C8774,C8750,C8726,C8702,C8678,C8654,C8630,C8606,C8582,C8558)/POBLA!$B$13*100000</f>
        <v>95.159716590850394</v>
      </c>
      <c r="H8870" s="418">
        <f t="shared" si="757"/>
        <v>1.1800623052959502</v>
      </c>
      <c r="J8870" s="42"/>
    </row>
    <row r="8871" spans="1:10" s="393" customFormat="1" x14ac:dyDescent="0.25">
      <c r="A8871" s="402" t="s">
        <v>23</v>
      </c>
      <c r="B8871" s="269">
        <v>44262</v>
      </c>
      <c r="C8871" s="1">
        <v>109</v>
      </c>
      <c r="D8871" s="39">
        <f t="shared" si="756"/>
        <v>9122</v>
      </c>
      <c r="E8871" s="1"/>
      <c r="F8871" s="39">
        <f t="shared" si="758"/>
        <v>151</v>
      </c>
      <c r="G8871" s="436">
        <f>SUM(C8871,C8847,C8823,C8799,C8775,C8751,C8727,C8703,C8679,C8655,C8631,C8607,C8583,C8559)/POBLA!$B$14*100000</f>
        <v>130.02519634597485</v>
      </c>
      <c r="H8871" s="418">
        <f t="shared" si="757"/>
        <v>1.1549295774647887</v>
      </c>
      <c r="J8871" s="42"/>
    </row>
    <row r="8872" spans="1:10" s="393" customFormat="1" x14ac:dyDescent="0.25">
      <c r="A8872" s="402" t="s">
        <v>19</v>
      </c>
      <c r="B8872" s="269">
        <v>44262</v>
      </c>
      <c r="C8872" s="1">
        <v>133</v>
      </c>
      <c r="D8872" s="39">
        <f t="shared" si="756"/>
        <v>62295</v>
      </c>
      <c r="E8872" s="1">
        <v>1</v>
      </c>
      <c r="F8872" s="39">
        <f t="shared" si="758"/>
        <v>940</v>
      </c>
      <c r="G8872" s="436">
        <f>SUM(C8872,C8848,C8824,C8800,C8776,C8752,C8728,C8704,C8680,C8656,C8632,C8608,C8584,C8560)/POBLA!$B$15*100000</f>
        <v>348.3134730904124</v>
      </c>
      <c r="H8872" s="418">
        <f t="shared" si="757"/>
        <v>0.69522091974752032</v>
      </c>
      <c r="J8872" s="42"/>
    </row>
    <row r="8873" spans="1:10" s="393" customFormat="1" x14ac:dyDescent="0.25">
      <c r="A8873" s="402" t="s">
        <v>18</v>
      </c>
      <c r="B8873" s="269">
        <v>44262</v>
      </c>
      <c r="C8873" s="1">
        <v>14</v>
      </c>
      <c r="D8873" s="39">
        <f t="shared" si="756"/>
        <v>53116</v>
      </c>
      <c r="E8873" s="1"/>
      <c r="F8873" s="39">
        <f t="shared" si="758"/>
        <v>1210</v>
      </c>
      <c r="G8873" s="436">
        <f>SUM(C8873,C8849,C8825,C8801,C8777,C8753,C8729,C8705,C8681,C8657,C8633,C8609,C8585,C8561)/POBLA!$B$16*100000</f>
        <v>222.30842284078597</v>
      </c>
      <c r="H8873" s="418">
        <f t="shared" si="757"/>
        <v>0.80019258545979777</v>
      </c>
      <c r="J8873" s="42"/>
    </row>
    <row r="8874" spans="1:10" s="393" customFormat="1" x14ac:dyDescent="0.25">
      <c r="A8874" s="402" t="s">
        <v>34</v>
      </c>
      <c r="B8874" s="269">
        <v>44262</v>
      </c>
      <c r="C8874" s="1">
        <v>17</v>
      </c>
      <c r="D8874" s="39">
        <f t="shared" ref="D8874:D8905" si="759">C8874+D8850</f>
        <v>26861</v>
      </c>
      <c r="E8874" s="1"/>
      <c r="F8874" s="39">
        <f t="shared" si="758"/>
        <v>1116</v>
      </c>
      <c r="G8874" s="436">
        <f>SUM(C8874,C8850,C8826,C8802,C8778,C8754,C8730,C8706,C8682,C8658,C8634,C8610,C8586,C8562)/POBLA!$B$17*100000</f>
        <v>102.21869324352691</v>
      </c>
      <c r="H8874" s="418">
        <f t="shared" ref="H8874:H8905" si="760">SUM(C8874,C8850,C8826,C8802,C8778,C8754,C8730,C8706,C8682,C8658,C8634,C8610,C8586,C8562)/SUM(C8538,C8514,C8490,C8466,C8442,C8418,C8394,C8370,C8346,C8322,C8298,C8274,C8250,C8226)</f>
        <v>1.3081761006289307</v>
      </c>
      <c r="J8874" s="42"/>
    </row>
    <row r="8875" spans="1:10" s="393" customFormat="1" x14ac:dyDescent="0.25">
      <c r="A8875" s="402" t="s">
        <v>35</v>
      </c>
      <c r="B8875" s="269">
        <v>44262</v>
      </c>
      <c r="C8875" s="1">
        <v>10</v>
      </c>
      <c r="D8875" s="39">
        <f t="shared" si="759"/>
        <v>15534</v>
      </c>
      <c r="E8875" s="1"/>
      <c r="F8875" s="39">
        <f t="shared" si="758"/>
        <v>214</v>
      </c>
      <c r="G8875" s="436">
        <f>SUM(C8875,C8851,C8827,C8803,C8779,C8755,C8731,C8707,C8683,C8659,C8635,C8611,C8587,C8563)/POBLA!$B$18*100000</f>
        <v>78.723325273259547</v>
      </c>
      <c r="H8875" s="418">
        <f t="shared" si="760"/>
        <v>0.97619047619047616</v>
      </c>
      <c r="J8875" s="42"/>
    </row>
    <row r="8876" spans="1:10" s="393" customFormat="1" x14ac:dyDescent="0.25">
      <c r="A8876" s="402" t="s">
        <v>36</v>
      </c>
      <c r="B8876" s="269">
        <v>44262</v>
      </c>
      <c r="C8876" s="1">
        <v>0</v>
      </c>
      <c r="D8876" s="39">
        <f t="shared" si="759"/>
        <v>20802</v>
      </c>
      <c r="E8876" s="1"/>
      <c r="F8876" s="39">
        <f t="shared" si="758"/>
        <v>358</v>
      </c>
      <c r="G8876" s="436">
        <f>SUM(C8876,C8852,C8828,C8804,C8780,C8756,C8732,C8708,C8684,C8660,C8636,C8612,C8588,C8564)/POBLA!$B$19*100000</f>
        <v>55.672715254717424</v>
      </c>
      <c r="H8876" s="418">
        <f t="shared" si="760"/>
        <v>0.20028308563340411</v>
      </c>
      <c r="J8876" s="42"/>
    </row>
    <row r="8877" spans="1:10" s="393" customFormat="1" x14ac:dyDescent="0.25">
      <c r="A8877" s="402" t="s">
        <v>37</v>
      </c>
      <c r="B8877" s="269">
        <v>44262</v>
      </c>
      <c r="C8877" s="1">
        <v>51</v>
      </c>
      <c r="D8877" s="39">
        <f t="shared" si="759"/>
        <v>36663</v>
      </c>
      <c r="E8877" s="1">
        <v>1</v>
      </c>
      <c r="F8877" s="39">
        <f t="shared" si="758"/>
        <v>597</v>
      </c>
      <c r="G8877" s="436">
        <f>SUM(C8877,C8853,C8829,C8805,C8781,C8757,C8733,C8709,C8685,C8661,C8637,C8613,C8589,C8565)/POBLA!$B$20*100000</f>
        <v>403.06482398044284</v>
      </c>
      <c r="H8877" s="418">
        <f t="shared" si="760"/>
        <v>1.0566308243727598</v>
      </c>
      <c r="J8877" s="42"/>
    </row>
    <row r="8878" spans="1:10" s="393" customFormat="1" x14ac:dyDescent="0.25">
      <c r="A8878" s="402" t="s">
        <v>22</v>
      </c>
      <c r="B8878" s="269">
        <v>44262</v>
      </c>
      <c r="C8878" s="1">
        <v>229</v>
      </c>
      <c r="D8878" s="39">
        <f t="shared" si="759"/>
        <v>219263</v>
      </c>
      <c r="E8878" s="1">
        <v>1</v>
      </c>
      <c r="F8878" s="39">
        <f t="shared" si="758"/>
        <v>4050</v>
      </c>
      <c r="G8878" s="436">
        <f>SUM(C8878,C8854,C8830,C8806,C8782,C8758,C8734,C8710,C8686,C8662,C8638,C8614,C8590,C8566)/POBLA!$B$21*100000</f>
        <v>147.18282736938903</v>
      </c>
      <c r="H8878" s="418">
        <f t="shared" si="760"/>
        <v>1.0725324541520709</v>
      </c>
      <c r="J8878" s="42"/>
    </row>
    <row r="8879" spans="1:10" s="393" customFormat="1" x14ac:dyDescent="0.25">
      <c r="A8879" s="402" t="s">
        <v>38</v>
      </c>
      <c r="B8879" s="269">
        <v>44262</v>
      </c>
      <c r="C8879" s="1">
        <v>27</v>
      </c>
      <c r="D8879" s="39">
        <f t="shared" si="759"/>
        <v>23039</v>
      </c>
      <c r="E8879" s="1"/>
      <c r="F8879" s="39">
        <f t="shared" si="758"/>
        <v>271</v>
      </c>
      <c r="G8879" s="436">
        <f>SUM(C8879,C8855,C8831,C8807,C8783,C8759,C8735,C8711,C8687,C8663,C8639,C8615,C8591,C8567)/POBLA!$B$22*100000</f>
        <v>87.701993124899701</v>
      </c>
      <c r="H8879" s="418">
        <f t="shared" si="760"/>
        <v>1.1470588235294117</v>
      </c>
      <c r="J8879" s="42"/>
    </row>
    <row r="8880" spans="1:10" s="393" customFormat="1" x14ac:dyDescent="0.25">
      <c r="A8880" s="402" t="s">
        <v>39</v>
      </c>
      <c r="B8880" s="269">
        <v>44262</v>
      </c>
      <c r="C8880" s="1">
        <v>37</v>
      </c>
      <c r="D8880" s="39">
        <f t="shared" si="759"/>
        <v>23176</v>
      </c>
      <c r="E8880" s="1"/>
      <c r="F8880" s="39">
        <f t="shared" si="758"/>
        <v>356</v>
      </c>
      <c r="G8880" s="436">
        <f>SUM(C8880,C8856,C8832,C8808,C8784,C8760,C8736,C8712,C8688,C8664,C8640,C8616,C8592,C8568)/POBLA!$B$23*100000</f>
        <v>265.79200361929537</v>
      </c>
      <c r="H8880" s="418">
        <f t="shared" si="760"/>
        <v>0.75320512820512819</v>
      </c>
      <c r="J8880" s="42"/>
    </row>
    <row r="8881" spans="1:10" s="393" customFormat="1" ht="15.75" thickBot="1" x14ac:dyDescent="0.3">
      <c r="A8881" s="404" t="s">
        <v>40</v>
      </c>
      <c r="B8881" s="269">
        <v>44262</v>
      </c>
      <c r="C8881" s="1">
        <v>58</v>
      </c>
      <c r="D8881" s="177">
        <f t="shared" si="759"/>
        <v>80825</v>
      </c>
      <c r="E8881" s="1"/>
      <c r="F8881" s="177">
        <f t="shared" si="758"/>
        <v>1483</v>
      </c>
      <c r="G8881" s="439">
        <f>SUM(C8881,C8857,C8833,C8809,C8785,C8761,C8737,C8713,C8689,C8665,C8641,C8617,C8593,C8569)/POBLA!$B$24*100000</f>
        <v>121.49958457645681</v>
      </c>
      <c r="H8881" s="419">
        <f t="shared" si="760"/>
        <v>1.4141483516483517</v>
      </c>
      <c r="J8881" s="42"/>
    </row>
    <row r="8882" spans="1:10" s="393" customFormat="1" x14ac:dyDescent="0.25">
      <c r="A8882" s="397" t="s">
        <v>16</v>
      </c>
      <c r="B8882" s="269">
        <v>44263</v>
      </c>
      <c r="C8882" s="1">
        <v>1991</v>
      </c>
      <c r="D8882" s="175">
        <f t="shared" si="759"/>
        <v>899953</v>
      </c>
      <c r="E8882" s="1">
        <v>130</v>
      </c>
      <c r="F8882" s="175">
        <f t="shared" si="758"/>
        <v>26841</v>
      </c>
      <c r="G8882" s="410">
        <f>SUM(C8882,C8858,C8834,C8810,C8786,C8762,C8738,C8714,C8690,C8666,C8642,C8618,C8594,C8570)/POBLA!$B$1*100000</f>
        <v>205.69927577687221</v>
      </c>
      <c r="H8882" s="416">
        <f t="shared" si="760"/>
        <v>1.022297775888936</v>
      </c>
      <c r="J8882" s="42"/>
    </row>
    <row r="8883" spans="1:10" s="393" customFormat="1" x14ac:dyDescent="0.25">
      <c r="A8883" s="402" t="s">
        <v>43</v>
      </c>
      <c r="B8883" s="269">
        <v>44263</v>
      </c>
      <c r="C8883" s="1">
        <v>693</v>
      </c>
      <c r="D8883" s="39">
        <f t="shared" si="759"/>
        <v>237139</v>
      </c>
      <c r="E8883" s="1">
        <v>28</v>
      </c>
      <c r="F8883" s="39">
        <f t="shared" si="758"/>
        <v>6612</v>
      </c>
      <c r="G8883" s="436">
        <f>SUM(C8883,C8859,C8835,C8811,C8787,C8763,C8739,C8715,C8691,C8667,C8643,C8619,C8595,C8571)/POBLA!$B$2*100000</f>
        <v>311.77190092747992</v>
      </c>
      <c r="H8883" s="418">
        <f t="shared" si="760"/>
        <v>0.98006950122649228</v>
      </c>
      <c r="J8883" s="42"/>
    </row>
    <row r="8884" spans="1:10" s="393" customFormat="1" x14ac:dyDescent="0.25">
      <c r="A8884" s="402" t="s">
        <v>28</v>
      </c>
      <c r="B8884" s="269">
        <v>44263</v>
      </c>
      <c r="C8884" s="1">
        <v>75</v>
      </c>
      <c r="D8884" s="39">
        <f t="shared" si="759"/>
        <v>8527</v>
      </c>
      <c r="E8884" s="1"/>
      <c r="F8884" s="39">
        <f t="shared" si="758"/>
        <v>17</v>
      </c>
      <c r="G8884" s="436">
        <f>SUM(C8884,C8860,C8836,C8812,C8788,C8764,C8740,C8716,C8692,C8668,C8644,C8620,C8596,C8572)/POBLA!$B$3*100000</f>
        <v>277.05698563925301</v>
      </c>
      <c r="H8884" s="418">
        <f t="shared" si="760"/>
        <v>1.0941064638783271</v>
      </c>
      <c r="J8884" s="42"/>
    </row>
    <row r="8885" spans="1:10" s="393" customFormat="1" x14ac:dyDescent="0.25">
      <c r="A8885" s="402" t="s">
        <v>15</v>
      </c>
      <c r="B8885" s="269">
        <v>44263</v>
      </c>
      <c r="C8885" s="1">
        <v>119</v>
      </c>
      <c r="D8885" s="39">
        <f t="shared" si="759"/>
        <v>35182</v>
      </c>
      <c r="E8885" s="1">
        <v>4</v>
      </c>
      <c r="F8885" s="39">
        <f t="shared" si="758"/>
        <v>877</v>
      </c>
      <c r="G8885" s="436">
        <f>SUM(C8885,C8861,C8837,C8813,C8789,C8765,C8741,C8717,C8693,C8669,C8645,C8621,C8597,C8573)/POBLA!$B$4*100000</f>
        <v>153.75151198672356</v>
      </c>
      <c r="H8885" s="418">
        <f t="shared" si="760"/>
        <v>1.1575</v>
      </c>
      <c r="J8885" s="42"/>
    </row>
    <row r="8886" spans="1:10" s="393" customFormat="1" x14ac:dyDescent="0.25">
      <c r="A8886" s="402" t="s">
        <v>29</v>
      </c>
      <c r="B8886" s="269">
        <v>44263</v>
      </c>
      <c r="C8886" s="1">
        <v>69</v>
      </c>
      <c r="D8886" s="39">
        <f t="shared" si="759"/>
        <v>47613</v>
      </c>
      <c r="E8886" s="1">
        <v>4</v>
      </c>
      <c r="F8886" s="39">
        <f t="shared" si="758"/>
        <v>781</v>
      </c>
      <c r="G8886" s="436">
        <f>SUM(C8886,C8862,C8838,C8814,C8790,C8766,C8742,C8718,C8694,C8670,C8646,C8622,C8598,C8574)/POBLA!$B$5*100000</f>
        <v>223.10393961815461</v>
      </c>
      <c r="H8886" s="418">
        <f t="shared" si="760"/>
        <v>0.66330451488952935</v>
      </c>
      <c r="J8886" s="42"/>
    </row>
    <row r="8887" spans="1:10" s="393" customFormat="1" x14ac:dyDescent="0.25">
      <c r="A8887" s="402" t="s">
        <v>30</v>
      </c>
      <c r="B8887" s="269">
        <v>44263</v>
      </c>
      <c r="C8887" s="1">
        <v>198</v>
      </c>
      <c r="D8887" s="39">
        <f t="shared" si="759"/>
        <v>23378</v>
      </c>
      <c r="E8887" s="1">
        <v>1</v>
      </c>
      <c r="F8887" s="39">
        <f t="shared" si="758"/>
        <v>301</v>
      </c>
      <c r="G8887" s="436">
        <f>SUM(C8887,C8863,C8839,C8815,C8791,C8767,C8743,C8719,C8695,C8671,C8647,C8623,C8599,C8575)/POBLA!$B$7*100000</f>
        <v>60.524671249451522</v>
      </c>
      <c r="H8887" s="418">
        <f t="shared" si="760"/>
        <v>0.99519020550940096</v>
      </c>
      <c r="J8887" s="42"/>
    </row>
    <row r="8888" spans="1:10" s="393" customFormat="1" x14ac:dyDescent="0.25">
      <c r="A8888" s="402" t="s">
        <v>20</v>
      </c>
      <c r="B8888" s="269">
        <v>44263</v>
      </c>
      <c r="C8888" s="1">
        <v>492</v>
      </c>
      <c r="D8888" s="39">
        <f t="shared" si="759"/>
        <v>164332</v>
      </c>
      <c r="E8888" s="1">
        <v>7</v>
      </c>
      <c r="F8888" s="39">
        <f t="shared" si="758"/>
        <v>2883</v>
      </c>
      <c r="G8888" s="436">
        <f>SUM(C8888,C8864,C8840,C8816,C8792,C8768,C8744,C8720,C8696,C8672,C8648,C8624,C8600,C8576)/POBLA!$B$6*100000</f>
        <v>745.53823560114597</v>
      </c>
      <c r="H8888" s="418">
        <f t="shared" si="760"/>
        <v>1.1130944451844944</v>
      </c>
      <c r="J8888" s="42"/>
    </row>
    <row r="8889" spans="1:10" x14ac:dyDescent="0.25">
      <c r="A8889" s="402" t="s">
        <v>31</v>
      </c>
      <c r="B8889" s="269">
        <v>44263</v>
      </c>
      <c r="C8889" s="1">
        <v>85</v>
      </c>
      <c r="D8889" s="39">
        <f t="shared" si="759"/>
        <v>46078</v>
      </c>
      <c r="E8889" s="1">
        <v>15</v>
      </c>
      <c r="F8889" s="39">
        <f t="shared" ref="F8889:F8912" si="761">E8889+F8865</f>
        <v>887</v>
      </c>
      <c r="G8889" s="169">
        <f>SUM(C8889,C8865,C8841,C8817,C8793,C8769,C8745,C8721,C8697,C8673,C8649,C8625,C8601,C8577)/POBLA!$B$8*100000</f>
        <v>119.05096896665923</v>
      </c>
      <c r="H8889" s="527">
        <f t="shared" si="760"/>
        <v>0.89869281045751637</v>
      </c>
    </row>
    <row r="8890" spans="1:10" s="393" customFormat="1" x14ac:dyDescent="0.25">
      <c r="A8890" s="402" t="s">
        <v>41</v>
      </c>
      <c r="B8890" s="269">
        <v>44263</v>
      </c>
      <c r="C8890" s="1">
        <v>24</v>
      </c>
      <c r="D8890" s="39">
        <f t="shared" si="759"/>
        <v>1392</v>
      </c>
      <c r="E8890" s="1"/>
      <c r="F8890" s="39">
        <f t="shared" si="761"/>
        <v>20</v>
      </c>
      <c r="G8890" s="436">
        <f>SUM(C8890,C8866,C8842,C8818,C8794,C8770,C8746,C8722,C8698,C8674,C8650,C8626,C8602,C8578)/POBLA!$B$9*100000</f>
        <v>42.300555360025648</v>
      </c>
      <c r="H8890" s="418">
        <f t="shared" si="760"/>
        <v>1.0199203187250996</v>
      </c>
      <c r="J8890" s="42"/>
    </row>
    <row r="8891" spans="1:10" s="393" customFormat="1" x14ac:dyDescent="0.25">
      <c r="A8891" s="402" t="s">
        <v>32</v>
      </c>
      <c r="B8891" s="269">
        <v>44263</v>
      </c>
      <c r="C8891" s="1">
        <v>35</v>
      </c>
      <c r="D8891" s="39">
        <f t="shared" si="759"/>
        <v>21296</v>
      </c>
      <c r="E8891" s="1">
        <v>2</v>
      </c>
      <c r="F8891" s="39">
        <f t="shared" si="761"/>
        <v>915</v>
      </c>
      <c r="G8891" s="436">
        <f>SUM(C8891,C8867,C8843,C8819,C8795,C8771,C8747,C8723,C8699,C8675,C8651,C8627,C8603,C8579)/POBLA!$B$10*100000</f>
        <v>146.9746951864166</v>
      </c>
      <c r="H8891" s="418">
        <f t="shared" si="760"/>
        <v>1.8392857142857142</v>
      </c>
      <c r="J8891" s="42"/>
    </row>
    <row r="8892" spans="1:10" s="393" customFormat="1" x14ac:dyDescent="0.25">
      <c r="A8892" s="402" t="s">
        <v>33</v>
      </c>
      <c r="B8892" s="269">
        <v>44263</v>
      </c>
      <c r="C8892" s="1">
        <v>69</v>
      </c>
      <c r="D8892" s="39">
        <f t="shared" si="759"/>
        <v>19310</v>
      </c>
      <c r="E8892" s="1">
        <v>2</v>
      </c>
      <c r="F8892" s="39">
        <f t="shared" si="761"/>
        <v>291</v>
      </c>
      <c r="G8892" s="436">
        <f>SUM(C8892,C8868,C8844,C8820,C8796,C8772,C8748,C8724,C8700,C8676,C8652,C8628,C8604,C8580)/POBLA!$B$11*100000</f>
        <v>320.56647360139272</v>
      </c>
      <c r="H8892" s="418">
        <f t="shared" si="760"/>
        <v>1.1845360824742268</v>
      </c>
      <c r="J8892" s="42"/>
    </row>
    <row r="8893" spans="1:10" s="393" customFormat="1" x14ac:dyDescent="0.25">
      <c r="A8893" s="402" t="s">
        <v>21</v>
      </c>
      <c r="B8893" s="269">
        <v>44263</v>
      </c>
      <c r="C8893" s="1">
        <v>17</v>
      </c>
      <c r="D8893" s="39">
        <f t="shared" si="759"/>
        <v>10380</v>
      </c>
      <c r="E8893" s="1"/>
      <c r="F8893" s="39">
        <f t="shared" si="761"/>
        <v>444</v>
      </c>
      <c r="G8893" s="436">
        <f>SUM(C8893,C8869,C8845,C8821,C8797,C8773,C8749,C8725,C8701,C8677,C8653,C8629,C8605,C8581)/POBLA!$B$12*100000</f>
        <v>84.618492571106216</v>
      </c>
      <c r="H8893" s="418">
        <f t="shared" si="760"/>
        <v>0.94602272727272729</v>
      </c>
      <c r="J8893" s="42"/>
    </row>
    <row r="8894" spans="1:10" s="393" customFormat="1" x14ac:dyDescent="0.25">
      <c r="A8894" s="402" t="s">
        <v>17</v>
      </c>
      <c r="B8894" s="269">
        <v>44263</v>
      </c>
      <c r="C8894" s="1">
        <v>128</v>
      </c>
      <c r="D8894" s="39">
        <f t="shared" si="759"/>
        <v>68355</v>
      </c>
      <c r="E8894" s="1">
        <v>3</v>
      </c>
      <c r="F8894" s="39">
        <f t="shared" si="761"/>
        <v>1464</v>
      </c>
      <c r="G8894" s="436">
        <f>SUM(C8894,C8870,C8846,C8822,C8798,C8774,C8750,C8726,C8702,C8678,C8654,C8630,C8606,C8582)/POBLA!$B$13*100000</f>
        <v>97.671852720492694</v>
      </c>
      <c r="H8894" s="418">
        <f t="shared" si="760"/>
        <v>1.2421725239616614</v>
      </c>
      <c r="J8894" s="42"/>
    </row>
    <row r="8895" spans="1:10" s="393" customFormat="1" x14ac:dyDescent="0.25">
      <c r="A8895" s="402" t="s">
        <v>23</v>
      </c>
      <c r="B8895" s="269">
        <v>44263</v>
      </c>
      <c r="C8895" s="1">
        <v>109</v>
      </c>
      <c r="D8895" s="39">
        <f t="shared" si="759"/>
        <v>9231</v>
      </c>
      <c r="E8895" s="1">
        <v>4</v>
      </c>
      <c r="F8895" s="39">
        <f t="shared" si="761"/>
        <v>155</v>
      </c>
      <c r="G8895" s="436">
        <f>SUM(C8895,C8871,C8847,C8823,C8799,C8775,C8751,C8727,C8703,C8679,C8655,C8631,C8607,C8583)/POBLA!$B$14*100000</f>
        <v>128.59809053242145</v>
      </c>
      <c r="H8895" s="418">
        <f t="shared" si="760"/>
        <v>1.0878604963112006</v>
      </c>
      <c r="J8895" s="42"/>
    </row>
    <row r="8896" spans="1:10" s="393" customFormat="1" x14ac:dyDescent="0.25">
      <c r="A8896" s="402" t="s">
        <v>19</v>
      </c>
      <c r="B8896" s="269">
        <v>44263</v>
      </c>
      <c r="C8896" s="1">
        <v>128</v>
      </c>
      <c r="D8896" s="39">
        <f t="shared" si="759"/>
        <v>62423</v>
      </c>
      <c r="E8896" s="1"/>
      <c r="F8896" s="39">
        <f t="shared" si="761"/>
        <v>940</v>
      </c>
      <c r="G8896" s="436">
        <f>SUM(C8896,C8872,C8848,C8824,C8800,C8776,C8752,C8728,C8704,C8680,C8656,C8632,C8608,C8584)/POBLA!$B$15*100000</f>
        <v>335.96513552300479</v>
      </c>
      <c r="H8896" s="418">
        <f t="shared" si="760"/>
        <v>0.68330781010719754</v>
      </c>
      <c r="J8896" s="42"/>
    </row>
    <row r="8897" spans="1:10" s="393" customFormat="1" x14ac:dyDescent="0.25">
      <c r="A8897" s="402" t="s">
        <v>18</v>
      </c>
      <c r="B8897" s="269">
        <v>44263</v>
      </c>
      <c r="C8897" s="1">
        <v>111</v>
      </c>
      <c r="D8897" s="39">
        <f t="shared" si="759"/>
        <v>53227</v>
      </c>
      <c r="E8897" s="1">
        <v>5</v>
      </c>
      <c r="F8897" s="39">
        <f t="shared" si="761"/>
        <v>1215</v>
      </c>
      <c r="G8897" s="436">
        <f>SUM(C8897,C8873,C8849,C8825,C8801,C8777,C8753,C8729,C8705,C8681,C8657,C8633,C8609,C8585)/POBLA!$B$16*100000</f>
        <v>221.23834619654633</v>
      </c>
      <c r="H8897" s="418">
        <f t="shared" si="760"/>
        <v>0.83408976298537574</v>
      </c>
      <c r="J8897" s="42"/>
    </row>
    <row r="8898" spans="1:10" s="393" customFormat="1" x14ac:dyDescent="0.25">
      <c r="A8898" s="402" t="s">
        <v>34</v>
      </c>
      <c r="B8898" s="269">
        <v>44263</v>
      </c>
      <c r="C8898" s="1">
        <v>43</v>
      </c>
      <c r="D8898" s="39">
        <f t="shared" si="759"/>
        <v>26904</v>
      </c>
      <c r="E8898" s="1">
        <v>8</v>
      </c>
      <c r="F8898" s="39">
        <f t="shared" si="761"/>
        <v>1124</v>
      </c>
      <c r="G8898" s="436">
        <f>SUM(C8898,C8874,C8850,C8826,C8802,C8778,C8754,C8730,C8706,C8682,C8658,C8634,C8610,C8586)/POBLA!$B$17*100000</f>
        <v>100.04233370331445</v>
      </c>
      <c r="H8898" s="418">
        <f t="shared" si="760"/>
        <v>1.227390180878553</v>
      </c>
      <c r="J8898" s="42"/>
    </row>
    <row r="8899" spans="1:10" s="393" customFormat="1" x14ac:dyDescent="0.25">
      <c r="A8899" s="402" t="s">
        <v>35</v>
      </c>
      <c r="B8899" s="269">
        <v>44263</v>
      </c>
      <c r="C8899" s="1">
        <v>78</v>
      </c>
      <c r="D8899" s="39">
        <f t="shared" si="759"/>
        <v>15612</v>
      </c>
      <c r="E8899" s="1">
        <v>1</v>
      </c>
      <c r="F8899" s="39">
        <f t="shared" si="761"/>
        <v>215</v>
      </c>
      <c r="G8899" s="436">
        <f>SUM(C8899,C8875,C8851,C8827,C8803,C8779,C8755,C8731,C8707,C8683,C8659,C8635,C8611,C8587)/POBLA!$B$18*100000</f>
        <v>79.619363121898274</v>
      </c>
      <c r="H8899" s="418">
        <f t="shared" si="760"/>
        <v>0.95252679938744256</v>
      </c>
      <c r="J8899" s="42"/>
    </row>
    <row r="8900" spans="1:10" s="393" customFormat="1" x14ac:dyDescent="0.25">
      <c r="A8900" s="402" t="s">
        <v>36</v>
      </c>
      <c r="B8900" s="269">
        <v>44263</v>
      </c>
      <c r="C8900" s="1">
        <v>3</v>
      </c>
      <c r="D8900" s="39">
        <f t="shared" si="759"/>
        <v>20805</v>
      </c>
      <c r="E8900" s="1"/>
      <c r="F8900" s="39">
        <f t="shared" si="761"/>
        <v>358</v>
      </c>
      <c r="G8900" s="436">
        <f>SUM(C8900,C8876,C8852,C8828,C8804,C8780,C8756,C8732,C8708,C8684,C8660,C8636,C8612,C8588)/POBLA!$B$19*100000</f>
        <v>51.738247745550119</v>
      </c>
      <c r="H8900" s="418">
        <f t="shared" si="760"/>
        <v>0.18391608391608391</v>
      </c>
      <c r="J8900" s="42"/>
    </row>
    <row r="8901" spans="1:10" s="393" customFormat="1" x14ac:dyDescent="0.25">
      <c r="A8901" s="402" t="s">
        <v>37</v>
      </c>
      <c r="B8901" s="269">
        <v>44263</v>
      </c>
      <c r="C8901" s="1">
        <v>94</v>
      </c>
      <c r="D8901" s="39">
        <f t="shared" si="759"/>
        <v>36757</v>
      </c>
      <c r="E8901" s="1">
        <v>1</v>
      </c>
      <c r="F8901" s="39">
        <f t="shared" si="761"/>
        <v>598</v>
      </c>
      <c r="G8901" s="436">
        <f>SUM(C8901,C8877,C8853,C8829,C8805,C8781,C8757,C8733,C8709,C8685,C8661,C8637,C8613,C8589)/POBLA!$B$20*100000</f>
        <v>394.86133366876493</v>
      </c>
      <c r="H8901" s="418">
        <f t="shared" si="760"/>
        <v>1.0418470418470418</v>
      </c>
      <c r="J8901" s="42"/>
    </row>
    <row r="8902" spans="1:10" s="393" customFormat="1" x14ac:dyDescent="0.25">
      <c r="A8902" s="402" t="s">
        <v>22</v>
      </c>
      <c r="B8902" s="269">
        <v>44263</v>
      </c>
      <c r="C8902" s="1">
        <v>289</v>
      </c>
      <c r="D8902" s="39">
        <f t="shared" si="759"/>
        <v>219552</v>
      </c>
      <c r="E8902" s="1">
        <v>24</v>
      </c>
      <c r="F8902" s="39">
        <f t="shared" si="761"/>
        <v>4074</v>
      </c>
      <c r="G8902" s="436">
        <f>SUM(C8902,C8878,C8854,C8830,C8806,C8782,C8758,C8734,C8710,C8686,C8662,C8638,C8614,C8590)/POBLA!$B$21*100000</f>
        <v>146.02346215860229</v>
      </c>
      <c r="H8902" s="418">
        <f t="shared" si="760"/>
        <v>1.0568972574703235</v>
      </c>
      <c r="J8902" s="42"/>
    </row>
    <row r="8903" spans="1:10" s="393" customFormat="1" x14ac:dyDescent="0.25">
      <c r="A8903" s="402" t="s">
        <v>38</v>
      </c>
      <c r="B8903" s="269">
        <v>44263</v>
      </c>
      <c r="C8903" s="1">
        <v>44</v>
      </c>
      <c r="D8903" s="39">
        <f t="shared" si="759"/>
        <v>23083</v>
      </c>
      <c r="E8903" s="1"/>
      <c r="F8903" s="39">
        <f t="shared" si="761"/>
        <v>271</v>
      </c>
      <c r="G8903" s="436">
        <f>SUM(C8903,C8879,C8855,C8831,C8807,C8783,C8759,C8735,C8711,C8687,C8663,C8639,C8615,C8591)/POBLA!$B$22*100000</f>
        <v>88.519727326530472</v>
      </c>
      <c r="H8903" s="418">
        <f t="shared" si="760"/>
        <v>1.1944827586206896</v>
      </c>
      <c r="J8903" s="42"/>
    </row>
    <row r="8904" spans="1:10" s="393" customFormat="1" x14ac:dyDescent="0.25">
      <c r="A8904" s="402" t="s">
        <v>39</v>
      </c>
      <c r="B8904" s="269">
        <v>44263</v>
      </c>
      <c r="C8904" s="1">
        <v>34</v>
      </c>
      <c r="D8904" s="39">
        <f t="shared" si="759"/>
        <v>23210</v>
      </c>
      <c r="E8904" s="1">
        <v>2</v>
      </c>
      <c r="F8904" s="39">
        <f t="shared" si="761"/>
        <v>358</v>
      </c>
      <c r="G8904" s="436">
        <f>SUM(C8904,C8880,C8856,C8832,C8808,C8784,C8760,C8736,C8712,C8688,C8664,C8640,C8616,C8592)/POBLA!$B$23*100000</f>
        <v>261.26788440875418</v>
      </c>
      <c r="H8904" s="418">
        <f t="shared" si="760"/>
        <v>0.80628272251308897</v>
      </c>
      <c r="J8904" s="42"/>
    </row>
    <row r="8905" spans="1:10" s="393" customFormat="1" ht="15.75" thickBot="1" x14ac:dyDescent="0.3">
      <c r="A8905" s="404" t="s">
        <v>40</v>
      </c>
      <c r="B8905" s="269">
        <v>44263</v>
      </c>
      <c r="C8905" s="1">
        <v>130</v>
      </c>
      <c r="D8905" s="177">
        <f t="shared" si="759"/>
        <v>80955</v>
      </c>
      <c r="E8905" s="1"/>
      <c r="F8905" s="177">
        <f t="shared" si="761"/>
        <v>1483</v>
      </c>
      <c r="G8905" s="439">
        <f>SUM(C8905,C8881,C8857,C8833,C8809,C8785,C8761,C8737,C8713,C8689,C8665,C8641,C8617,C8593)/POBLA!$B$24*100000</f>
        <v>120.2603950300238</v>
      </c>
      <c r="H8905" s="419">
        <f t="shared" si="760"/>
        <v>1.3586666666666667</v>
      </c>
      <c r="J8905" s="42"/>
    </row>
    <row r="8906" spans="1:10" s="393" customFormat="1" x14ac:dyDescent="0.25">
      <c r="A8906" s="397" t="s">
        <v>16</v>
      </c>
      <c r="B8906" s="269">
        <v>44264</v>
      </c>
      <c r="C8906" s="1">
        <v>3146</v>
      </c>
      <c r="D8906" s="175">
        <f t="shared" ref="D8906:D8937" si="762">C8906+D8882</f>
        <v>903099</v>
      </c>
      <c r="E8906" s="1">
        <v>62</v>
      </c>
      <c r="F8906" s="175">
        <f t="shared" si="761"/>
        <v>26903</v>
      </c>
      <c r="G8906" s="410">
        <f>SUM(C8906,C8882,C8858,C8834,C8810,C8786,C8762,C8738,C8714,C8690,C8666,C8642,C8618,C8594)/POBLA!$B$1*100000</f>
        <v>204.23414873639061</v>
      </c>
      <c r="H8906" s="416">
        <f t="shared" ref="H8906:H8937" si="763">SUM(C8906,C8882,C8858,C8834,C8810,C8786,C8762,C8738,C8714,C8690,C8666,C8642,C8618,C8594)/SUM(C8570,C8546,C8522,C8498,C8474,C8450,C8426,C8402,C8378,C8354,C8330,C8306,C8282,C8258)</f>
        <v>1.013867270411773</v>
      </c>
      <c r="J8906" s="42"/>
    </row>
    <row r="8907" spans="1:10" s="393" customFormat="1" x14ac:dyDescent="0.25">
      <c r="A8907" s="402" t="s">
        <v>43</v>
      </c>
      <c r="B8907" s="269">
        <v>44264</v>
      </c>
      <c r="C8907" s="1">
        <v>877</v>
      </c>
      <c r="D8907" s="39">
        <f t="shared" si="762"/>
        <v>238016</v>
      </c>
      <c r="E8907" s="1">
        <v>20</v>
      </c>
      <c r="F8907" s="39">
        <f t="shared" si="761"/>
        <v>6632</v>
      </c>
      <c r="G8907" s="436">
        <f>SUM(C8907,C8883,C8859,C8835,C8811,C8787,C8763,C8739,C8715,C8691,C8667,C8643,C8619,C8595)/POBLA!$B$2*100000</f>
        <v>313.36506216905326</v>
      </c>
      <c r="H8907" s="418">
        <f t="shared" si="763"/>
        <v>1.0012466237274049</v>
      </c>
      <c r="J8907" s="42"/>
    </row>
    <row r="8908" spans="1:10" s="393" customFormat="1" x14ac:dyDescent="0.25">
      <c r="A8908" s="402" t="s">
        <v>28</v>
      </c>
      <c r="B8908" s="269">
        <v>44264</v>
      </c>
      <c r="C8908" s="1">
        <v>92</v>
      </c>
      <c r="D8908" s="39">
        <f t="shared" si="762"/>
        <v>8619</v>
      </c>
      <c r="E8908" s="1"/>
      <c r="F8908" s="39">
        <f t="shared" si="761"/>
        <v>17</v>
      </c>
      <c r="G8908" s="436">
        <f>SUM(C8908,C8884,C8860,C8836,C8812,C8788,C8764,C8740,C8716,C8692,C8668,C8644,C8620,C8596)/POBLA!$B$3*100000</f>
        <v>284.27827979144905</v>
      </c>
      <c r="H8908" s="418">
        <f t="shared" si="763"/>
        <v>1.1454898157129001</v>
      </c>
      <c r="J8908" s="42"/>
    </row>
    <row r="8909" spans="1:10" s="393" customFormat="1" x14ac:dyDescent="0.25">
      <c r="A8909" s="402" t="s">
        <v>15</v>
      </c>
      <c r="B8909" s="269">
        <v>44264</v>
      </c>
      <c r="C8909" s="1">
        <v>98</v>
      </c>
      <c r="D8909" s="39">
        <f t="shared" si="762"/>
        <v>35280</v>
      </c>
      <c r="E8909" s="1">
        <v>1</v>
      </c>
      <c r="F8909" s="39">
        <f t="shared" si="761"/>
        <v>878</v>
      </c>
      <c r="G8909" s="436">
        <f>SUM(C8909,C8885,C8861,C8837,C8813,C8789,C8765,C8741,C8717,C8693,C8669,C8645,C8621,C8597)/POBLA!$B$4*100000</f>
        <v>146.03072871741185</v>
      </c>
      <c r="H8909" s="418">
        <f t="shared" si="763"/>
        <v>1.0791411042944785</v>
      </c>
      <c r="J8909" s="42"/>
    </row>
    <row r="8910" spans="1:10" s="393" customFormat="1" x14ac:dyDescent="0.25">
      <c r="A8910" s="402" t="s">
        <v>29</v>
      </c>
      <c r="B8910" s="269">
        <v>44264</v>
      </c>
      <c r="C8910" s="1">
        <v>99</v>
      </c>
      <c r="D8910" s="39">
        <f t="shared" si="762"/>
        <v>47712</v>
      </c>
      <c r="E8910" s="1">
        <v>1</v>
      </c>
      <c r="F8910" s="39">
        <f t="shared" si="761"/>
        <v>782</v>
      </c>
      <c r="G8910" s="436">
        <f>SUM(C8910,C8886,C8862,C8838,C8814,C8790,C8766,C8742,C8718,C8694,C8670,C8646,C8622,C8598)/POBLA!$B$5*100000</f>
        <v>210.98750553317154</v>
      </c>
      <c r="H8910" s="418">
        <f t="shared" si="763"/>
        <v>0.65137157107231924</v>
      </c>
      <c r="J8910" s="42"/>
    </row>
    <row r="8911" spans="1:10" s="393" customFormat="1" x14ac:dyDescent="0.25">
      <c r="A8911" s="402" t="s">
        <v>30</v>
      </c>
      <c r="B8911" s="269">
        <v>44264</v>
      </c>
      <c r="C8911" s="1">
        <v>246</v>
      </c>
      <c r="D8911" s="39">
        <f t="shared" si="762"/>
        <v>23624</v>
      </c>
      <c r="E8911" s="1">
        <v>1</v>
      </c>
      <c r="F8911" s="39">
        <f t="shared" si="761"/>
        <v>302</v>
      </c>
      <c r="G8911" s="436">
        <f>SUM(C8911,C8887,C8863,C8839,C8815,C8791,C8767,C8743,C8719,C8695,C8671,C8647,C8623,C8599)/POBLA!$B$7*100000</f>
        <v>64.965629113536949</v>
      </c>
      <c r="H8911" s="418">
        <f t="shared" si="763"/>
        <v>1.1069324875396467</v>
      </c>
      <c r="J8911" s="42"/>
    </row>
    <row r="8912" spans="1:10" s="393" customFormat="1" x14ac:dyDescent="0.25">
      <c r="A8912" s="402" t="s">
        <v>20</v>
      </c>
      <c r="B8912" s="269">
        <v>44264</v>
      </c>
      <c r="C8912" s="1">
        <v>699</v>
      </c>
      <c r="D8912" s="39">
        <f t="shared" si="762"/>
        <v>165031</v>
      </c>
      <c r="E8912" s="1">
        <v>7</v>
      </c>
      <c r="F8912" s="39">
        <f t="shared" si="761"/>
        <v>2890</v>
      </c>
      <c r="G8912" s="436">
        <f>SUM(C8912,C8888,C8864,C8840,C8816,C8792,C8768,C8744,C8720,C8696,C8672,C8648,C8624,C8600)/POBLA!$B$6*100000</f>
        <v>734.1178318006497</v>
      </c>
      <c r="H8912" s="418">
        <f t="shared" si="763"/>
        <v>1.0749934674679906</v>
      </c>
      <c r="J8912" s="42"/>
    </row>
    <row r="8913" spans="1:10" x14ac:dyDescent="0.25">
      <c r="A8913" s="402" t="s">
        <v>31</v>
      </c>
      <c r="B8913" s="269">
        <v>44264</v>
      </c>
      <c r="C8913" s="1">
        <v>159</v>
      </c>
      <c r="D8913" s="39">
        <f t="shared" si="762"/>
        <v>46237</v>
      </c>
      <c r="E8913" s="1">
        <v>2</v>
      </c>
      <c r="F8913" s="39">
        <f t="shared" ref="F8913:F8936" si="764">E8913+F8889</f>
        <v>889</v>
      </c>
      <c r="G8913" s="169">
        <f>SUM(C8913,C8889,C8865,C8841,C8817,C8793,C8769,C8745,C8721,C8697,C8673,C8649,C8625,C8601)/POBLA!$B$8*100000</f>
        <v>120.13325050271976</v>
      </c>
      <c r="H8913" s="527">
        <f t="shared" si="763"/>
        <v>0.9353932584269663</v>
      </c>
    </row>
    <row r="8914" spans="1:10" s="393" customFormat="1" x14ac:dyDescent="0.25">
      <c r="A8914" s="402" t="s">
        <v>41</v>
      </c>
      <c r="B8914" s="269">
        <v>44264</v>
      </c>
      <c r="C8914" s="1">
        <v>28</v>
      </c>
      <c r="D8914" s="39">
        <f t="shared" si="762"/>
        <v>1420</v>
      </c>
      <c r="E8914" s="1"/>
      <c r="F8914" s="39">
        <f t="shared" si="764"/>
        <v>20</v>
      </c>
      <c r="G8914" s="436">
        <f>SUM(C8914,C8890,C8866,C8842,C8818,C8794,C8770,C8746,C8722,C8698,C8674,C8650,C8626,C8602)/POBLA!$B$9*100000</f>
        <v>41.639609182525248</v>
      </c>
      <c r="H8914" s="418">
        <f t="shared" si="763"/>
        <v>0.9</v>
      </c>
      <c r="J8914" s="42"/>
    </row>
    <row r="8915" spans="1:10" s="393" customFormat="1" x14ac:dyDescent="0.25">
      <c r="A8915" s="402" t="s">
        <v>32</v>
      </c>
      <c r="B8915" s="269">
        <v>44264</v>
      </c>
      <c r="C8915" s="1">
        <v>68</v>
      </c>
      <c r="D8915" s="39">
        <f t="shared" si="762"/>
        <v>21364</v>
      </c>
      <c r="E8915" s="1">
        <v>2</v>
      </c>
      <c r="F8915" s="39">
        <f t="shared" si="764"/>
        <v>917</v>
      </c>
      <c r="G8915" s="436">
        <f>SUM(C8915,C8891,C8867,C8843,C8819,C8795,C8771,C8747,C8723,C8699,C8675,C8651,C8627,C8603)/POBLA!$B$10*100000</f>
        <v>140.35888807740753</v>
      </c>
      <c r="H8915" s="418">
        <f t="shared" si="763"/>
        <v>1.5681159420289854</v>
      </c>
      <c r="J8915" s="42"/>
    </row>
    <row r="8916" spans="1:10" s="393" customFormat="1" x14ac:dyDescent="0.25">
      <c r="A8916" s="402" t="s">
        <v>33</v>
      </c>
      <c r="B8916" s="269">
        <v>44264</v>
      </c>
      <c r="C8916" s="1">
        <v>110</v>
      </c>
      <c r="D8916" s="39">
        <f t="shared" si="762"/>
        <v>19420</v>
      </c>
      <c r="E8916" s="1">
        <v>7</v>
      </c>
      <c r="F8916" s="39">
        <f t="shared" si="764"/>
        <v>298</v>
      </c>
      <c r="G8916" s="436">
        <f>SUM(C8916,C8892,C8868,C8844,C8820,C8796,C8772,C8748,C8724,C8700,C8676,C8652,C8628,C8604)/POBLA!$B$11*100000</f>
        <v>333.6792884484471</v>
      </c>
      <c r="H8916" s="418">
        <f t="shared" si="763"/>
        <v>1.2805139186295502</v>
      </c>
      <c r="J8916" s="42"/>
    </row>
    <row r="8917" spans="1:10" s="393" customFormat="1" x14ac:dyDescent="0.25">
      <c r="A8917" s="402" t="s">
        <v>21</v>
      </c>
      <c r="B8917" s="269">
        <v>44264</v>
      </c>
      <c r="C8917" s="1">
        <v>14</v>
      </c>
      <c r="D8917" s="39">
        <f t="shared" si="762"/>
        <v>10394</v>
      </c>
      <c r="E8917" s="1"/>
      <c r="F8917" s="39">
        <f t="shared" si="764"/>
        <v>444</v>
      </c>
      <c r="G8917" s="436">
        <f>SUM(C8917,C8893,C8869,C8845,C8821,C8797,C8773,C8749,C8725,C8701,C8677,C8653,C8629,C8605)/POBLA!$B$12*100000</f>
        <v>82.331506285400636</v>
      </c>
      <c r="H8917" s="418">
        <f t="shared" si="763"/>
        <v>0.88524590163934425</v>
      </c>
      <c r="J8917" s="42"/>
    </row>
    <row r="8918" spans="1:10" s="393" customFormat="1" x14ac:dyDescent="0.25">
      <c r="A8918" s="402" t="s">
        <v>17</v>
      </c>
      <c r="B8918" s="269">
        <v>44264</v>
      </c>
      <c r="C8918" s="1">
        <v>204</v>
      </c>
      <c r="D8918" s="39">
        <f t="shared" si="762"/>
        <v>68559</v>
      </c>
      <c r="E8918" s="1">
        <v>2</v>
      </c>
      <c r="F8918" s="39">
        <f t="shared" si="764"/>
        <v>1466</v>
      </c>
      <c r="G8918" s="436">
        <f>SUM(C8918,C8894,C8870,C8846,C8822,C8798,C8774,C8750,C8726,C8702,C8678,C8654,C8630,C8606)/POBLA!$B$13*100000</f>
        <v>101.33957146977048</v>
      </c>
      <c r="H8918" s="418">
        <f t="shared" si="763"/>
        <v>1.3428761651131824</v>
      </c>
      <c r="J8918" s="42"/>
    </row>
    <row r="8919" spans="1:10" s="393" customFormat="1" x14ac:dyDescent="0.25">
      <c r="A8919" s="402" t="s">
        <v>23</v>
      </c>
      <c r="B8919" s="269">
        <v>44264</v>
      </c>
      <c r="C8919" s="1">
        <v>123</v>
      </c>
      <c r="D8919" s="39">
        <f t="shared" si="762"/>
        <v>9354</v>
      </c>
      <c r="E8919" s="1">
        <v>1</v>
      </c>
      <c r="F8919" s="39">
        <f t="shared" si="764"/>
        <v>156</v>
      </c>
      <c r="G8919" s="436">
        <f>SUM(C8919,C8895,C8871,C8847,C8823,C8799,C8775,C8751,C8727,C8703,C8679,C8655,C8631,C8607)/POBLA!$B$14*100000</f>
        <v>129.62877806443223</v>
      </c>
      <c r="H8919" s="418">
        <f t="shared" si="763"/>
        <v>1.0871010638297873</v>
      </c>
      <c r="J8919" s="42"/>
    </row>
    <row r="8920" spans="1:10" s="393" customFormat="1" x14ac:dyDescent="0.25">
      <c r="A8920" s="402" t="s">
        <v>19</v>
      </c>
      <c r="B8920" s="269">
        <v>44264</v>
      </c>
      <c r="C8920" s="1">
        <v>156</v>
      </c>
      <c r="D8920" s="39">
        <f t="shared" si="762"/>
        <v>62579</v>
      </c>
      <c r="E8920" s="1">
        <v>9</v>
      </c>
      <c r="F8920" s="39">
        <f t="shared" si="764"/>
        <v>949</v>
      </c>
      <c r="G8920" s="436">
        <f>SUM(C8920,C8896,C8872,C8848,C8824,C8800,C8776,C8752,C8728,C8704,C8680,C8656,C8632,C8608)/POBLA!$B$15*100000</f>
        <v>331.29686156459462</v>
      </c>
      <c r="H8920" s="418">
        <f t="shared" si="763"/>
        <v>0.69996818326439703</v>
      </c>
      <c r="J8920" s="42"/>
    </row>
    <row r="8921" spans="1:10" s="393" customFormat="1" x14ac:dyDescent="0.25">
      <c r="A8921" s="402" t="s">
        <v>18</v>
      </c>
      <c r="B8921" s="269">
        <v>44264</v>
      </c>
      <c r="C8921" s="1">
        <v>140</v>
      </c>
      <c r="D8921" s="39">
        <f t="shared" si="762"/>
        <v>53367</v>
      </c>
      <c r="E8921" s="1">
        <v>4</v>
      </c>
      <c r="F8921" s="39">
        <f t="shared" si="764"/>
        <v>1219</v>
      </c>
      <c r="G8921" s="436">
        <f>SUM(C8921,C8897,C8873,C8849,C8825,C8801,C8777,C8753,C8729,C8705,C8681,C8657,C8633,C8609)/POBLA!$B$16*100000</f>
        <v>217.22555878064767</v>
      </c>
      <c r="H8921" s="418">
        <f t="shared" si="763"/>
        <v>0.8341037493579867</v>
      </c>
      <c r="J8921" s="42"/>
    </row>
    <row r="8922" spans="1:10" s="393" customFormat="1" x14ac:dyDescent="0.25">
      <c r="A8922" s="402" t="s">
        <v>34</v>
      </c>
      <c r="B8922" s="269">
        <v>44264</v>
      </c>
      <c r="C8922" s="1">
        <v>131</v>
      </c>
      <c r="D8922" s="39">
        <f t="shared" si="762"/>
        <v>27035</v>
      </c>
      <c r="E8922" s="1">
        <v>3</v>
      </c>
      <c r="F8922" s="39">
        <f t="shared" si="764"/>
        <v>1127</v>
      </c>
      <c r="G8922" s="436">
        <f>SUM(C8922,C8898,C8874,C8850,C8826,C8802,C8778,C8754,C8730,C8706,C8682,C8658,C8634,C8610)/POBLA!$B$17*100000</f>
        <v>102.35910353644385</v>
      </c>
      <c r="H8922" s="418">
        <f t="shared" si="763"/>
        <v>1.2525773195876289</v>
      </c>
      <c r="J8922" s="42"/>
    </row>
    <row r="8923" spans="1:10" s="393" customFormat="1" x14ac:dyDescent="0.25">
      <c r="A8923" s="402" t="s">
        <v>35</v>
      </c>
      <c r="B8923" s="269">
        <v>44264</v>
      </c>
      <c r="C8923" s="1">
        <v>64</v>
      </c>
      <c r="D8923" s="39">
        <f t="shared" si="762"/>
        <v>15676</v>
      </c>
      <c r="E8923" s="1"/>
      <c r="F8923" s="39">
        <f t="shared" si="764"/>
        <v>215</v>
      </c>
      <c r="G8923" s="436">
        <f>SUM(C8923,C8899,C8875,C8851,C8827,C8803,C8779,C8755,C8731,C8707,C8683,C8659,C8635,C8611)/POBLA!$B$18*100000</f>
        <v>78.723325273259547</v>
      </c>
      <c r="H8923" s="418">
        <f t="shared" si="763"/>
        <v>0.9375</v>
      </c>
      <c r="J8923" s="42"/>
    </row>
    <row r="8924" spans="1:10" s="393" customFormat="1" x14ac:dyDescent="0.25">
      <c r="A8924" s="402" t="s">
        <v>36</v>
      </c>
      <c r="B8924" s="269">
        <v>44264</v>
      </c>
      <c r="C8924" s="1">
        <v>6</v>
      </c>
      <c r="D8924" s="39">
        <f t="shared" si="762"/>
        <v>20811</v>
      </c>
      <c r="E8924" s="1"/>
      <c r="F8924" s="39">
        <f t="shared" si="764"/>
        <v>358</v>
      </c>
      <c r="G8924" s="436">
        <f>SUM(C8924,C8900,C8876,C8852,C8828,C8804,C8780,C8756,C8732,C8708,C8684,C8660,C8636,C8612)/POBLA!$B$19*100000</f>
        <v>50.754630868258282</v>
      </c>
      <c r="H8924" s="418">
        <f t="shared" si="763"/>
        <v>0.1799163179916318</v>
      </c>
      <c r="J8924" s="42"/>
    </row>
    <row r="8925" spans="1:10" s="393" customFormat="1" x14ac:dyDescent="0.25">
      <c r="A8925" s="402" t="s">
        <v>37</v>
      </c>
      <c r="B8925" s="269">
        <v>44264</v>
      </c>
      <c r="C8925" s="1">
        <v>68</v>
      </c>
      <c r="D8925" s="39">
        <f t="shared" si="762"/>
        <v>36825</v>
      </c>
      <c r="E8925" s="1">
        <v>3</v>
      </c>
      <c r="F8925" s="39">
        <f t="shared" si="764"/>
        <v>601</v>
      </c>
      <c r="G8925" s="436">
        <f>SUM(C8925,C8901,C8877,C8853,C8829,C8805,C8781,C8757,C8733,C8709,C8685,C8661,C8637,C8613)/POBLA!$B$20*100000</f>
        <v>381.46229949302432</v>
      </c>
      <c r="H8925" s="418">
        <f t="shared" si="763"/>
        <v>1.0108695652173914</v>
      </c>
      <c r="J8925" s="42"/>
    </row>
    <row r="8926" spans="1:10" s="393" customFormat="1" x14ac:dyDescent="0.25">
      <c r="A8926" s="402" t="s">
        <v>22</v>
      </c>
      <c r="B8926" s="269">
        <v>44264</v>
      </c>
      <c r="C8926" s="1">
        <v>514</v>
      </c>
      <c r="D8926" s="39">
        <f t="shared" si="762"/>
        <v>220066</v>
      </c>
      <c r="E8926" s="1">
        <v>4</v>
      </c>
      <c r="F8926" s="39">
        <f t="shared" si="764"/>
        <v>4078</v>
      </c>
      <c r="G8926" s="436">
        <f>SUM(C8926,C8902,C8878,C8854,C8830,C8806,C8782,C8758,C8734,C8710,C8686,C8662,C8638,C8614)/POBLA!$B$21*100000</f>
        <v>149.41672619017322</v>
      </c>
      <c r="H8926" s="418">
        <f t="shared" si="763"/>
        <v>1.1006040408248281</v>
      </c>
      <c r="J8926" s="42"/>
    </row>
    <row r="8927" spans="1:10" s="393" customFormat="1" x14ac:dyDescent="0.25">
      <c r="A8927" s="402" t="s">
        <v>38</v>
      </c>
      <c r="B8927" s="269">
        <v>44264</v>
      </c>
      <c r="C8927" s="1">
        <v>42</v>
      </c>
      <c r="D8927" s="39">
        <f t="shared" si="762"/>
        <v>23125</v>
      </c>
      <c r="E8927" s="1">
        <v>1</v>
      </c>
      <c r="F8927" s="39">
        <f t="shared" si="764"/>
        <v>272</v>
      </c>
      <c r="G8927" s="436">
        <f>SUM(C8927,C8903,C8879,C8855,C8831,C8807,C8783,C8759,C8735,C8711,C8687,C8663,C8639,C8615)/POBLA!$B$22*100000</f>
        <v>86.884258923268931</v>
      </c>
      <c r="H8927" s="418">
        <f t="shared" si="763"/>
        <v>1.159618008185539</v>
      </c>
      <c r="J8927" s="42"/>
    </row>
    <row r="8928" spans="1:10" s="393" customFormat="1" x14ac:dyDescent="0.25">
      <c r="A8928" s="402" t="s">
        <v>39</v>
      </c>
      <c r="B8928" s="269">
        <v>44264</v>
      </c>
      <c r="C8928" s="1">
        <v>31</v>
      </c>
      <c r="D8928" s="39">
        <f t="shared" si="762"/>
        <v>23241</v>
      </c>
      <c r="E8928" s="1"/>
      <c r="F8928" s="39">
        <f t="shared" si="764"/>
        <v>358</v>
      </c>
      <c r="G8928" s="436">
        <f>SUM(C8928,C8904,C8880,C8856,C8832,C8808,C8784,C8760,C8736,C8712,C8688,C8664,C8640,C8616)/POBLA!$B$23*100000</f>
        <v>252.21964598767178</v>
      </c>
      <c r="H8928" s="418">
        <f t="shared" si="763"/>
        <v>0.75979557069846682</v>
      </c>
      <c r="J8928" s="42"/>
    </row>
    <row r="8929" spans="1:10" s="393" customFormat="1" ht="15.75" thickBot="1" x14ac:dyDescent="0.3">
      <c r="A8929" s="404" t="s">
        <v>40</v>
      </c>
      <c r="B8929" s="269">
        <v>44264</v>
      </c>
      <c r="C8929" s="1">
        <v>192</v>
      </c>
      <c r="D8929" s="177">
        <f t="shared" si="762"/>
        <v>81147</v>
      </c>
      <c r="E8929" s="1">
        <v>1</v>
      </c>
      <c r="F8929" s="177">
        <f t="shared" si="764"/>
        <v>1484</v>
      </c>
      <c r="G8929" s="439">
        <f>SUM(C8929,C8905,C8881,C8857,C8833,C8809,C8785,C8761,C8737,C8713,C8689,C8665,C8641,C8617)/POBLA!$B$24*100000</f>
        <v>123.44688243513728</v>
      </c>
      <c r="H8929" s="419">
        <f t="shared" si="763"/>
        <v>1.354922279792746</v>
      </c>
      <c r="J8929" s="42"/>
    </row>
    <row r="8930" spans="1:10" s="393" customFormat="1" x14ac:dyDescent="0.25">
      <c r="A8930" s="397" t="s">
        <v>16</v>
      </c>
      <c r="B8930" s="269">
        <v>44265</v>
      </c>
      <c r="C8930" s="1">
        <v>3263</v>
      </c>
      <c r="D8930" s="175">
        <f t="shared" si="762"/>
        <v>906362</v>
      </c>
      <c r="E8930" s="1">
        <v>29</v>
      </c>
      <c r="F8930" s="175">
        <f t="shared" si="764"/>
        <v>26932</v>
      </c>
      <c r="G8930" s="410">
        <f>SUM(C8930,C8906,C8882,C8858,C8834,C8810,C8786,C8762,C8738,C8714,C8690,C8666,C8642,C8618)/POBLA!$B$1*100000</f>
        <v>202.88303936442904</v>
      </c>
      <c r="H8930" s="416">
        <f t="shared" si="763"/>
        <v>1.0005060444194547</v>
      </c>
      <c r="J8930" s="42"/>
    </row>
    <row r="8931" spans="1:10" s="393" customFormat="1" x14ac:dyDescent="0.25">
      <c r="A8931" s="402" t="s">
        <v>43</v>
      </c>
      <c r="B8931" s="269">
        <v>44265</v>
      </c>
      <c r="C8931" s="1">
        <v>934</v>
      </c>
      <c r="D8931" s="39">
        <f t="shared" si="762"/>
        <v>238950</v>
      </c>
      <c r="E8931" s="1">
        <v>21</v>
      </c>
      <c r="F8931" s="39">
        <f t="shared" si="764"/>
        <v>6653</v>
      </c>
      <c r="G8931" s="436">
        <f>SUM(C8931,C8907,C8883,C8859,C8835,C8811,C8787,C8763,C8739,C8715,C8691,C8667,C8643,C8619)/POBLA!$B$2*100000</f>
        <v>311.12163103296024</v>
      </c>
      <c r="H8931" s="418">
        <f t="shared" si="763"/>
        <v>0.98507309038501134</v>
      </c>
      <c r="J8931" s="42"/>
    </row>
    <row r="8932" spans="1:10" s="393" customFormat="1" x14ac:dyDescent="0.25">
      <c r="A8932" s="402" t="s">
        <v>28</v>
      </c>
      <c r="B8932" s="269">
        <v>44265</v>
      </c>
      <c r="C8932" s="1">
        <v>71</v>
      </c>
      <c r="D8932" s="39">
        <f t="shared" si="762"/>
        <v>8690</v>
      </c>
      <c r="E8932" s="1"/>
      <c r="F8932" s="39">
        <f t="shared" si="764"/>
        <v>17</v>
      </c>
      <c r="G8932" s="436">
        <f>SUM(C8932,C8908,C8884,C8860,C8836,C8812,C8788,C8764,C8740,C8716,C8692,C8668,C8644,C8620)/POBLA!$B$3*100000</f>
        <v>283.55615037622943</v>
      </c>
      <c r="H8932" s="418">
        <f t="shared" si="763"/>
        <v>1.1208372978116079</v>
      </c>
      <c r="J8932" s="42"/>
    </row>
    <row r="8933" spans="1:10" s="393" customFormat="1" x14ac:dyDescent="0.25">
      <c r="A8933" s="402" t="s">
        <v>15</v>
      </c>
      <c r="B8933" s="269">
        <v>44265</v>
      </c>
      <c r="C8933" s="1">
        <v>139</v>
      </c>
      <c r="D8933" s="39">
        <f t="shared" si="762"/>
        <v>35419</v>
      </c>
      <c r="E8933" s="1">
        <v>1</v>
      </c>
      <c r="F8933" s="39">
        <f t="shared" si="764"/>
        <v>879</v>
      </c>
      <c r="G8933" s="436">
        <f>SUM(C8933,C8909,C8885,C8861,C8837,C8813,C8789,C8765,C8741,C8717,C8693,C8669,C8645,C8621)/POBLA!$B$4*100000</f>
        <v>144.61940274345164</v>
      </c>
      <c r="H8933" s="418">
        <f t="shared" si="763"/>
        <v>1.0602556299452222</v>
      </c>
      <c r="J8933" s="42"/>
    </row>
    <row r="8934" spans="1:10" s="393" customFormat="1" x14ac:dyDescent="0.25">
      <c r="A8934" s="402" t="s">
        <v>29</v>
      </c>
      <c r="B8934" s="269">
        <v>44265</v>
      </c>
      <c r="C8934" s="1">
        <v>95</v>
      </c>
      <c r="D8934" s="39">
        <f t="shared" si="762"/>
        <v>47807</v>
      </c>
      <c r="E8934" s="1">
        <v>1</v>
      </c>
      <c r="F8934" s="39">
        <f t="shared" si="764"/>
        <v>783</v>
      </c>
      <c r="G8934" s="436">
        <f>SUM(C8934,C8910,C8886,C8862,C8838,C8814,C8790,C8766,C8742,C8718,C8694,C8670,C8646,C8622)/POBLA!$B$5*100000</f>
        <v>196.28623217672543</v>
      </c>
      <c r="H8934" s="418">
        <f t="shared" si="763"/>
        <v>0.59940799210656137</v>
      </c>
      <c r="J8934" s="42"/>
    </row>
    <row r="8935" spans="1:10" s="393" customFormat="1" x14ac:dyDescent="0.25">
      <c r="A8935" s="402" t="s">
        <v>30</v>
      </c>
      <c r="B8935" s="269">
        <v>44265</v>
      </c>
      <c r="C8935" s="1">
        <v>334</v>
      </c>
      <c r="D8935" s="39">
        <f t="shared" si="762"/>
        <v>23958</v>
      </c>
      <c r="E8935" s="1">
        <v>4</v>
      </c>
      <c r="F8935" s="39">
        <f t="shared" si="764"/>
        <v>306</v>
      </c>
      <c r="G8935" s="436">
        <f>SUM(C8935,C8911,C8887,C8863,C8839,C8815,C8791,C8767,C8743,C8719,C8695,C8671,C8647,C8623)/POBLA!$B$7*100000</f>
        <v>70.470289460038032</v>
      </c>
      <c r="H8935" s="418">
        <f t="shared" si="763"/>
        <v>1.1910112359550562</v>
      </c>
      <c r="J8935" s="42"/>
    </row>
    <row r="8936" spans="1:10" s="393" customFormat="1" x14ac:dyDescent="0.25">
      <c r="A8936" s="402" t="s">
        <v>20</v>
      </c>
      <c r="B8936" s="269">
        <v>44265</v>
      </c>
      <c r="C8936" s="1">
        <v>649</v>
      </c>
      <c r="D8936" s="39">
        <f t="shared" si="762"/>
        <v>165680</v>
      </c>
      <c r="E8936" s="1">
        <v>7</v>
      </c>
      <c r="F8936" s="39">
        <f t="shared" si="764"/>
        <v>2897</v>
      </c>
      <c r="G8936" s="436">
        <f>SUM(C8936,C8912,C8888,C8864,C8840,C8816,C8792,C8768,C8744,C8720,C8696,C8672,C8648,C8624)/POBLA!$B$6*100000</f>
        <v>728.13996418632746</v>
      </c>
      <c r="H8936" s="418">
        <f t="shared" si="763"/>
        <v>1.0722638286690316</v>
      </c>
      <c r="J8936" s="42"/>
    </row>
    <row r="8937" spans="1:10" x14ac:dyDescent="0.25">
      <c r="A8937" s="402" t="s">
        <v>31</v>
      </c>
      <c r="B8937" s="269">
        <v>44265</v>
      </c>
      <c r="C8937" s="1">
        <v>173</v>
      </c>
      <c r="D8937" s="39">
        <f t="shared" si="762"/>
        <v>46410</v>
      </c>
      <c r="E8937" s="1">
        <v>4</v>
      </c>
      <c r="F8937" s="39">
        <f t="shared" ref="F8937:F8960" si="765">E8937+F8913</f>
        <v>893</v>
      </c>
      <c r="G8937" s="169">
        <f>SUM(C8937,C8913,C8889,C8865,C8841,C8817,C8793,C8769,C8745,C8721,C8697,C8673,C8649,C8625)/POBLA!$B$8*100000</f>
        <v>119.70033788829555</v>
      </c>
      <c r="H8937" s="527">
        <f t="shared" si="763"/>
        <v>0.94047619047619047</v>
      </c>
    </row>
    <row r="8938" spans="1:10" s="393" customFormat="1" x14ac:dyDescent="0.25">
      <c r="A8938" s="402" t="s">
        <v>41</v>
      </c>
      <c r="B8938" s="269">
        <v>44265</v>
      </c>
      <c r="C8938" s="1">
        <v>8</v>
      </c>
      <c r="D8938" s="39">
        <f t="shared" ref="D8938:D8969" si="766">C8938+D8914</f>
        <v>1428</v>
      </c>
      <c r="E8938" s="1"/>
      <c r="F8938" s="39">
        <f t="shared" si="765"/>
        <v>20</v>
      </c>
      <c r="G8938" s="436">
        <f>SUM(C8938,C8914,C8890,C8866,C8842,C8818,C8794,C8770,C8746,C8722,C8698,C8674,C8650,C8626)/POBLA!$B$9*100000</f>
        <v>41.804845726900346</v>
      </c>
      <c r="H8938" s="418">
        <f t="shared" ref="H8938:H8969" si="767">SUM(C8938,C8914,C8890,C8866,C8842,C8818,C8794,C8770,C8746,C8722,C8698,C8674,C8650,C8626)/SUM(C8602,C8578,C8554,C8530,C8506,C8482,C8458,C8434,C8410,C8386,C8362,C8338,C8314,C8290)</f>
        <v>0.8971631205673759</v>
      </c>
      <c r="J8938" s="42"/>
    </row>
    <row r="8939" spans="1:10" s="393" customFormat="1" x14ac:dyDescent="0.25">
      <c r="A8939" s="402" t="s">
        <v>32</v>
      </c>
      <c r="B8939" s="269">
        <v>44265</v>
      </c>
      <c r="C8939" s="1">
        <v>81</v>
      </c>
      <c r="D8939" s="39">
        <f t="shared" si="766"/>
        <v>21445</v>
      </c>
      <c r="E8939" s="1">
        <v>1</v>
      </c>
      <c r="F8939" s="39">
        <f t="shared" si="765"/>
        <v>918</v>
      </c>
      <c r="G8939" s="436">
        <f>SUM(C8939,C8915,C8891,C8867,C8843,C8819,C8795,C8771,C8747,C8723,C8699,C8675,C8651,C8627)/POBLA!$B$10*100000</f>
        <v>137.50501050097225</v>
      </c>
      <c r="H8939" s="418">
        <f t="shared" si="767"/>
        <v>1.4095744680851063</v>
      </c>
      <c r="J8939" s="42"/>
    </row>
    <row r="8940" spans="1:10" s="393" customFormat="1" x14ac:dyDescent="0.25">
      <c r="A8940" s="402" t="s">
        <v>33</v>
      </c>
      <c r="B8940" s="269">
        <v>44265</v>
      </c>
      <c r="C8940" s="1">
        <v>87</v>
      </c>
      <c r="D8940" s="39">
        <f t="shared" si="766"/>
        <v>19507</v>
      </c>
      <c r="E8940" s="1"/>
      <c r="F8940" s="39">
        <f t="shared" si="765"/>
        <v>298</v>
      </c>
      <c r="G8940" s="436">
        <f>SUM(C8940,C8916,C8892,C8868,C8844,C8820,C8796,C8772,C8748,C8724,C8700,C8676,C8652,C8628)/POBLA!$B$11*100000</f>
        <v>332.56330420614461</v>
      </c>
      <c r="H8940" s="418">
        <f t="shared" si="767"/>
        <v>1.2390852390852392</v>
      </c>
      <c r="J8940" s="42"/>
    </row>
    <row r="8941" spans="1:10" s="393" customFormat="1" x14ac:dyDescent="0.25">
      <c r="A8941" s="402" t="s">
        <v>21</v>
      </c>
      <c r="B8941" s="269">
        <v>44265</v>
      </c>
      <c r="C8941" s="1">
        <v>27</v>
      </c>
      <c r="D8941" s="39">
        <f t="shared" si="766"/>
        <v>10421</v>
      </c>
      <c r="E8941" s="1"/>
      <c r="F8941" s="39">
        <f t="shared" si="765"/>
        <v>444</v>
      </c>
      <c r="G8941" s="436">
        <f>SUM(C8941,C8917,C8893,C8869,C8845,C8821,C8797,C8773,C8749,C8725,C8701,C8677,C8653,C8629)/POBLA!$B$12*100000</f>
        <v>75.216437840983303</v>
      </c>
      <c r="H8941" s="418">
        <f t="shared" si="767"/>
        <v>0.7531806615776081</v>
      </c>
      <c r="J8941" s="42"/>
    </row>
    <row r="8942" spans="1:10" s="393" customFormat="1" x14ac:dyDescent="0.25">
      <c r="A8942" s="402" t="s">
        <v>17</v>
      </c>
      <c r="B8942" s="269">
        <v>44265</v>
      </c>
      <c r="C8942" s="1">
        <v>248</v>
      </c>
      <c r="D8942" s="39">
        <f t="shared" si="766"/>
        <v>68807</v>
      </c>
      <c r="E8942" s="1">
        <v>3</v>
      </c>
      <c r="F8942" s="39">
        <f t="shared" si="765"/>
        <v>1469</v>
      </c>
      <c r="G8942" s="436">
        <f>SUM(C8942,C8918,C8894,C8870,C8846,C8822,C8798,C8774,C8750,C8726,C8702,C8678,C8654,C8630)/POBLA!$B$13*100000</f>
        <v>105.50971744497667</v>
      </c>
      <c r="H8942" s="418">
        <f t="shared" si="767"/>
        <v>1.4189189189189189</v>
      </c>
      <c r="J8942" s="42"/>
    </row>
    <row r="8943" spans="1:10" s="393" customFormat="1" x14ac:dyDescent="0.25">
      <c r="A8943" s="402" t="s">
        <v>23</v>
      </c>
      <c r="B8943" s="269">
        <v>44265</v>
      </c>
      <c r="C8943" s="1">
        <v>113</v>
      </c>
      <c r="D8943" s="39">
        <f t="shared" si="766"/>
        <v>9467</v>
      </c>
      <c r="E8943" s="1">
        <v>5</v>
      </c>
      <c r="F8943" s="39">
        <f t="shared" si="765"/>
        <v>161</v>
      </c>
      <c r="G8943" s="436">
        <f>SUM(C8943,C8919,C8895,C8871,C8847,C8823,C8799,C8775,C8751,C8727,C8703,C8679,C8655,C8631)/POBLA!$B$14*100000</f>
        <v>129.54949440812371</v>
      </c>
      <c r="H8943" s="418">
        <f t="shared" si="767"/>
        <v>1.061038961038961</v>
      </c>
      <c r="J8943" s="42"/>
    </row>
    <row r="8944" spans="1:10" s="393" customFormat="1" x14ac:dyDescent="0.25">
      <c r="A8944" s="402" t="s">
        <v>19</v>
      </c>
      <c r="B8944" s="269">
        <v>44265</v>
      </c>
      <c r="C8944" s="1">
        <v>157</v>
      </c>
      <c r="D8944" s="39">
        <f t="shared" si="766"/>
        <v>62736</v>
      </c>
      <c r="E8944" s="1">
        <v>1</v>
      </c>
      <c r="F8944" s="39">
        <f t="shared" si="765"/>
        <v>950</v>
      </c>
      <c r="G8944" s="436">
        <f>SUM(C8944,C8920,C8896,C8872,C8848,C8824,C8800,C8776,C8752,C8728,C8704,C8680,C8656,C8632)/POBLA!$B$15*100000</f>
        <v>315.635555381541</v>
      </c>
      <c r="H8944" s="418">
        <f t="shared" si="767"/>
        <v>0.69449966865473822</v>
      </c>
      <c r="J8944" s="42"/>
    </row>
    <row r="8945" spans="1:10" s="393" customFormat="1" x14ac:dyDescent="0.25">
      <c r="A8945" s="402" t="s">
        <v>18</v>
      </c>
      <c r="B8945" s="269">
        <v>44265</v>
      </c>
      <c r="C8945" s="1">
        <v>146</v>
      </c>
      <c r="D8945" s="39">
        <f t="shared" si="766"/>
        <v>53513</v>
      </c>
      <c r="E8945" s="1">
        <v>8</v>
      </c>
      <c r="F8945" s="39">
        <f t="shared" si="765"/>
        <v>1227</v>
      </c>
      <c r="G8945" s="436">
        <f>SUM(C8945,C8921,C8897,C8873,C8849,C8825,C8801,C8777,C8753,C8729,C8705,C8681,C8657,C8633)/POBLA!$B$16*100000</f>
        <v>214.55036717004856</v>
      </c>
      <c r="H8945" s="418">
        <f t="shared" si="767"/>
        <v>0.84778012684989434</v>
      </c>
      <c r="J8945" s="42"/>
    </row>
    <row r="8946" spans="1:10" s="393" customFormat="1" x14ac:dyDescent="0.25">
      <c r="A8946" s="402" t="s">
        <v>34</v>
      </c>
      <c r="B8946" s="269">
        <v>44265</v>
      </c>
      <c r="C8946" s="1">
        <v>176</v>
      </c>
      <c r="D8946" s="39">
        <f t="shared" si="766"/>
        <v>27211</v>
      </c>
      <c r="E8946" s="1">
        <v>1</v>
      </c>
      <c r="F8946" s="39">
        <f t="shared" si="765"/>
        <v>1128</v>
      </c>
      <c r="G8946" s="436">
        <f>SUM(C8946,C8922,C8898,C8874,C8850,C8826,C8802,C8778,C8754,C8730,C8706,C8682,C8658,C8634)/POBLA!$B$17*100000</f>
        <v>103.27177044040391</v>
      </c>
      <c r="H8946" s="418">
        <f t="shared" si="767"/>
        <v>1.1988590057049715</v>
      </c>
      <c r="J8946" s="42"/>
    </row>
    <row r="8947" spans="1:10" s="393" customFormat="1" x14ac:dyDescent="0.25">
      <c r="A8947" s="402" t="s">
        <v>35</v>
      </c>
      <c r="B8947" s="269">
        <v>44265</v>
      </c>
      <c r="C8947" s="1">
        <v>72</v>
      </c>
      <c r="D8947" s="39">
        <f t="shared" si="766"/>
        <v>15748</v>
      </c>
      <c r="E8947" s="1">
        <v>1</v>
      </c>
      <c r="F8947" s="39">
        <f t="shared" si="765"/>
        <v>216</v>
      </c>
      <c r="G8947" s="436">
        <f>SUM(C8947,C8923,C8899,C8875,C8851,C8827,C8803,C8779,C8755,C8731,C8707,C8683,C8659,C8635)/POBLA!$B$18*100000</f>
        <v>77.699282017672431</v>
      </c>
      <c r="H8947" s="418">
        <f t="shared" si="767"/>
        <v>0.88742690058479534</v>
      </c>
      <c r="J8947" s="42"/>
    </row>
    <row r="8948" spans="1:10" s="393" customFormat="1" x14ac:dyDescent="0.25">
      <c r="A8948" s="402" t="s">
        <v>36</v>
      </c>
      <c r="B8948" s="269">
        <v>44265</v>
      </c>
      <c r="C8948" s="1">
        <v>2</v>
      </c>
      <c r="D8948" s="39">
        <f t="shared" si="766"/>
        <v>20813</v>
      </c>
      <c r="E8948" s="1">
        <v>1</v>
      </c>
      <c r="F8948" s="39">
        <f t="shared" si="765"/>
        <v>359</v>
      </c>
      <c r="G8948" s="436">
        <f>SUM(C8948,C8924,C8900,C8876,C8852,C8828,C8804,C8780,C8756,C8732,C8708,C8684,C8660,C8636)/POBLA!$B$19*100000</f>
        <v>44.852929604507324</v>
      </c>
      <c r="H8948" s="418">
        <f t="shared" si="767"/>
        <v>0.15605749486652978</v>
      </c>
      <c r="J8948" s="42"/>
    </row>
    <row r="8949" spans="1:10" s="393" customFormat="1" x14ac:dyDescent="0.25">
      <c r="A8949" s="402" t="s">
        <v>37</v>
      </c>
      <c r="B8949" s="269">
        <v>44265</v>
      </c>
      <c r="C8949" s="1">
        <v>138</v>
      </c>
      <c r="D8949" s="39">
        <f t="shared" si="766"/>
        <v>36963</v>
      </c>
      <c r="E8949" s="1">
        <v>3</v>
      </c>
      <c r="F8949" s="39">
        <f t="shared" si="765"/>
        <v>604</v>
      </c>
      <c r="G8949" s="436">
        <f>SUM(C8949,C8925,C8901,C8877,C8853,C8829,C8805,C8781,C8757,C8733,C8709,C8685,C8661,C8637)/POBLA!$B$20*100000</f>
        <v>364.2349698385006</v>
      </c>
      <c r="H8949" s="418">
        <f t="shared" si="767"/>
        <v>0.91609353507565339</v>
      </c>
      <c r="J8949" s="42"/>
    </row>
    <row r="8950" spans="1:10" s="393" customFormat="1" x14ac:dyDescent="0.25">
      <c r="A8950" s="402" t="s">
        <v>22</v>
      </c>
      <c r="B8950" s="269">
        <v>44265</v>
      </c>
      <c r="C8950" s="1">
        <v>509</v>
      </c>
      <c r="D8950" s="39">
        <f t="shared" si="766"/>
        <v>220575</v>
      </c>
      <c r="E8950" s="1">
        <v>12</v>
      </c>
      <c r="F8950" s="39">
        <f t="shared" si="765"/>
        <v>4090</v>
      </c>
      <c r="G8950" s="436">
        <f>SUM(C8950,C8926,C8902,C8878,C8854,C8830,C8806,C8782,C8758,C8734,C8710,C8686,C8662,C8638)/POBLA!$B$21*100000</f>
        <v>150.18021059727667</v>
      </c>
      <c r="H8950" s="418">
        <f t="shared" si="767"/>
        <v>1.1181052631578947</v>
      </c>
      <c r="J8950" s="42"/>
    </row>
    <row r="8951" spans="1:10" s="393" customFormat="1" x14ac:dyDescent="0.25">
      <c r="A8951" s="402" t="s">
        <v>38</v>
      </c>
      <c r="B8951" s="269">
        <v>44265</v>
      </c>
      <c r="C8951" s="1">
        <v>51</v>
      </c>
      <c r="D8951" s="39">
        <f t="shared" si="766"/>
        <v>23176</v>
      </c>
      <c r="E8951" s="1"/>
      <c r="F8951" s="39">
        <f t="shared" si="765"/>
        <v>272</v>
      </c>
      <c r="G8951" s="436">
        <f>SUM(C8951,C8927,C8903,C8879,C8855,C8831,C8807,C8783,C8759,C8735,C8711,C8687,C8663,C8639)/POBLA!$B$22*100000</f>
        <v>85.453224070415089</v>
      </c>
      <c r="H8951" s="418">
        <f t="shared" si="767"/>
        <v>1.1824611032531824</v>
      </c>
      <c r="J8951" s="42"/>
    </row>
    <row r="8952" spans="1:10" s="393" customFormat="1" x14ac:dyDescent="0.25">
      <c r="A8952" s="402" t="s">
        <v>39</v>
      </c>
      <c r="B8952" s="269">
        <v>44265</v>
      </c>
      <c r="C8952" s="1">
        <v>15</v>
      </c>
      <c r="D8952" s="39">
        <f t="shared" si="766"/>
        <v>23256</v>
      </c>
      <c r="E8952" s="1"/>
      <c r="F8952" s="39">
        <f t="shared" si="765"/>
        <v>358</v>
      </c>
      <c r="G8952" s="436">
        <f>SUM(C8952,C8928,C8904,C8880,C8856,C8832,C8808,C8784,C8760,C8736,C8712,C8688,C8664,C8640)/POBLA!$B$23*100000</f>
        <v>239.21280325736586</v>
      </c>
      <c r="H8952" s="418">
        <f t="shared" si="767"/>
        <v>0.82135922330097089</v>
      </c>
      <c r="J8952" s="42"/>
    </row>
    <row r="8953" spans="1:10" s="393" customFormat="1" ht="15.75" thickBot="1" x14ac:dyDescent="0.3">
      <c r="A8953" s="404" t="s">
        <v>40</v>
      </c>
      <c r="B8953" s="269">
        <v>44265</v>
      </c>
      <c r="C8953" s="1">
        <v>205</v>
      </c>
      <c r="D8953" s="177">
        <f t="shared" si="766"/>
        <v>81352</v>
      </c>
      <c r="E8953" s="1">
        <v>4</v>
      </c>
      <c r="F8953" s="177">
        <f t="shared" si="765"/>
        <v>1488</v>
      </c>
      <c r="G8953" s="439">
        <f>SUM(C8953,C8929,C8905,C8881,C8857,C8833,C8809,C8785,C8761,C8737,C8713,C8689,C8665,C8641)/POBLA!$B$24*100000</f>
        <v>122.62075607084859</v>
      </c>
      <c r="H8953" s="419">
        <f t="shared" si="767"/>
        <v>1.2555891238670696</v>
      </c>
      <c r="J8953" s="42"/>
    </row>
    <row r="8954" spans="1:10" s="393" customFormat="1" x14ac:dyDescent="0.25">
      <c r="A8954" s="397" t="s">
        <v>16</v>
      </c>
      <c r="B8954" s="269">
        <v>44266</v>
      </c>
      <c r="C8954" s="1">
        <v>3450</v>
      </c>
      <c r="D8954" s="175">
        <f t="shared" si="766"/>
        <v>909812</v>
      </c>
      <c r="E8954" s="1">
        <v>54</v>
      </c>
      <c r="F8954" s="175">
        <f t="shared" si="765"/>
        <v>26986</v>
      </c>
      <c r="G8954" s="410">
        <f>SUM(C8954,C8930,C8906,C8882,C8858,C8834,C8810,C8786,C8762,C8738,C8714,C8690,C8666,C8642)/POBLA!$B$1*100000</f>
        <v>204.00041251592469</v>
      </c>
      <c r="H8954" s="440">
        <f t="shared" si="767"/>
        <v>1.0030834781633682</v>
      </c>
      <c r="J8954" s="42"/>
    </row>
    <row r="8955" spans="1:10" s="393" customFormat="1" x14ac:dyDescent="0.25">
      <c r="A8955" s="402" t="s">
        <v>43</v>
      </c>
      <c r="B8955" s="269">
        <v>44266</v>
      </c>
      <c r="C8955" s="1">
        <v>825</v>
      </c>
      <c r="D8955" s="39">
        <f t="shared" si="766"/>
        <v>239775</v>
      </c>
      <c r="E8955" s="1">
        <v>8</v>
      </c>
      <c r="F8955" s="39">
        <f t="shared" si="765"/>
        <v>6661</v>
      </c>
      <c r="G8955" s="436">
        <f>SUM(C8955,C8931,C8907,C8883,C8859,C8835,C8811,C8787,C8763,C8739,C8715,C8691,C8667,C8643)/POBLA!$B$2*100000</f>
        <v>309.20333484412708</v>
      </c>
      <c r="H8955" s="441">
        <f t="shared" si="767"/>
        <v>0.96724979658258747</v>
      </c>
      <c r="J8955" s="42"/>
    </row>
    <row r="8956" spans="1:10" s="393" customFormat="1" x14ac:dyDescent="0.25">
      <c r="A8956" s="402" t="s">
        <v>28</v>
      </c>
      <c r="B8956" s="269">
        <v>44266</v>
      </c>
      <c r="C8956" s="1">
        <v>80</v>
      </c>
      <c r="D8956" s="39">
        <f t="shared" si="766"/>
        <v>8770</v>
      </c>
      <c r="E8956" s="1"/>
      <c r="F8956" s="39">
        <f t="shared" si="765"/>
        <v>17</v>
      </c>
      <c r="G8956" s="436">
        <f>SUM(C8956,C8932,C8908,C8884,C8860,C8836,C8812,C8788,C8764,C8740,C8716,C8692,C8668,C8644)/POBLA!$B$3*100000</f>
        <v>272.24278953778901</v>
      </c>
      <c r="H8956" s="441">
        <f t="shared" si="767"/>
        <v>1.049165120593692</v>
      </c>
      <c r="J8956" s="42"/>
    </row>
    <row r="8957" spans="1:10" s="393" customFormat="1" x14ac:dyDescent="0.25">
      <c r="A8957" s="402" t="s">
        <v>15</v>
      </c>
      <c r="B8957" s="269">
        <v>44266</v>
      </c>
      <c r="C8957" s="1">
        <v>140</v>
      </c>
      <c r="D8957" s="39">
        <f t="shared" si="766"/>
        <v>35559</v>
      </c>
      <c r="E8957" s="1">
        <v>7</v>
      </c>
      <c r="F8957" s="39">
        <f t="shared" si="765"/>
        <v>886</v>
      </c>
      <c r="G8957" s="436">
        <f>SUM(C8957,C8933,C8909,C8885,C8861,C8837,C8813,C8789,C8765,C8741,C8717,C8693,C8669,C8645)/POBLA!$B$4*100000</f>
        <v>141.79675079553124</v>
      </c>
      <c r="H8957" s="441">
        <f t="shared" si="767"/>
        <v>1.0172721858248959</v>
      </c>
      <c r="J8957" s="42"/>
    </row>
    <row r="8958" spans="1:10" s="393" customFormat="1" x14ac:dyDescent="0.25">
      <c r="A8958" s="402" t="s">
        <v>29</v>
      </c>
      <c r="B8958" s="269">
        <v>44266</v>
      </c>
      <c r="C8958" s="1">
        <v>105</v>
      </c>
      <c r="D8958" s="39">
        <f t="shared" si="766"/>
        <v>47912</v>
      </c>
      <c r="E8958" s="1">
        <v>24</v>
      </c>
      <c r="F8958" s="39">
        <f t="shared" si="765"/>
        <v>807</v>
      </c>
      <c r="G8958" s="436">
        <f>SUM(C8958,C8934,C8910,C8886,C8862,C8838,C8814,C8790,C8766,C8742,C8718,C8694,C8670,C8646)/POBLA!$B$5*100000</f>
        <v>190.30879136146714</v>
      </c>
      <c r="H8958" s="441">
        <f t="shared" si="767"/>
        <v>0.61067910834629346</v>
      </c>
      <c r="J8958" s="42"/>
    </row>
    <row r="8959" spans="1:10" s="393" customFormat="1" x14ac:dyDescent="0.25">
      <c r="A8959" s="402" t="s">
        <v>30</v>
      </c>
      <c r="B8959" s="269">
        <v>44266</v>
      </c>
      <c r="C8959" s="1">
        <v>71</v>
      </c>
      <c r="D8959" s="39">
        <f t="shared" si="766"/>
        <v>24029</v>
      </c>
      <c r="E8959" s="1"/>
      <c r="F8959" s="39">
        <f t="shared" si="765"/>
        <v>306</v>
      </c>
      <c r="G8959" s="436">
        <f>SUM(C8959,C8935,C8911,C8887,C8863,C8839,C8815,C8791,C8767,C8743,C8719,C8695,C8671,C8647)/POBLA!$B$6*100000</f>
        <v>234.29672171955593</v>
      </c>
      <c r="H8959" s="441">
        <f t="shared" si="767"/>
        <v>1.1665926254997778</v>
      </c>
      <c r="J8959" s="42"/>
    </row>
    <row r="8960" spans="1:10" s="393" customFormat="1" x14ac:dyDescent="0.25">
      <c r="A8960" s="402" t="s">
        <v>20</v>
      </c>
      <c r="B8960" s="269">
        <v>44266</v>
      </c>
      <c r="C8960" s="1">
        <v>698</v>
      </c>
      <c r="D8960" s="39">
        <f t="shared" si="766"/>
        <v>166378</v>
      </c>
      <c r="E8960" s="1">
        <v>10</v>
      </c>
      <c r="F8960" s="39">
        <f t="shared" si="765"/>
        <v>2907</v>
      </c>
      <c r="G8960" s="436">
        <f>SUM(C8960,C8936,C8912,C8888,C8864,C8840,C8816,C8792,C8768,C8744,C8720,C8696,C8672,C8648)/POBLA!$B$7*100000</f>
        <v>206.96991051602868</v>
      </c>
      <c r="H8960" s="441">
        <f t="shared" si="767"/>
        <v>0.96911966131241445</v>
      </c>
      <c r="J8960" s="42"/>
    </row>
    <row r="8961" spans="1:10" x14ac:dyDescent="0.25">
      <c r="A8961" s="402" t="s">
        <v>31</v>
      </c>
      <c r="B8961" s="269">
        <v>44266</v>
      </c>
      <c r="C8961" s="1">
        <v>141</v>
      </c>
      <c r="D8961" s="39">
        <f t="shared" si="766"/>
        <v>46551</v>
      </c>
      <c r="E8961" s="1">
        <v>1</v>
      </c>
      <c r="F8961" s="39">
        <f t="shared" ref="F8961:F8984" si="768">E8961+F8937</f>
        <v>894</v>
      </c>
      <c r="G8961" s="169">
        <f>SUM(C8961,C8937,C8913,C8889,C8865,C8841,C8817,C8793,C8769,C8745,C8721,C8697,C8673,C8649)/POBLA!$B$8*100000</f>
        <v>118.32944794261887</v>
      </c>
      <c r="H8961" s="518">
        <f t="shared" si="767"/>
        <v>0.93234792495736218</v>
      </c>
    </row>
    <row r="8962" spans="1:10" s="393" customFormat="1" x14ac:dyDescent="0.25">
      <c r="A8962" s="402" t="s">
        <v>41</v>
      </c>
      <c r="B8962" s="269">
        <v>44266</v>
      </c>
      <c r="C8962" s="1">
        <v>49</v>
      </c>
      <c r="D8962" s="39">
        <f t="shared" si="766"/>
        <v>1477</v>
      </c>
      <c r="E8962" s="1"/>
      <c r="F8962" s="39">
        <f t="shared" si="768"/>
        <v>20</v>
      </c>
      <c r="G8962" s="436">
        <f>SUM(C8962,C8938,C8914,C8890,C8866,C8842,C8818,C8794,C8770,C8746,C8722,C8698,C8674,C8650)/POBLA!$B$9*100000</f>
        <v>48.249070957529256</v>
      </c>
      <c r="H8962" s="441">
        <f t="shared" si="767"/>
        <v>1.0695970695970696</v>
      </c>
      <c r="J8962" s="42"/>
    </row>
    <row r="8963" spans="1:10" s="393" customFormat="1" x14ac:dyDescent="0.25">
      <c r="A8963" s="402" t="s">
        <v>32</v>
      </c>
      <c r="B8963" s="269">
        <v>44266</v>
      </c>
      <c r="C8963" s="1">
        <v>67</v>
      </c>
      <c r="D8963" s="39">
        <f t="shared" si="766"/>
        <v>21512</v>
      </c>
      <c r="E8963" s="1"/>
      <c r="F8963" s="39">
        <f t="shared" si="768"/>
        <v>918</v>
      </c>
      <c r="G8963" s="436">
        <f>SUM(C8963,C8939,C8915,C8891,C8867,C8843,C8819,C8795,C8771,C8747,C8723,C8699,C8675,C8651)/POBLA!$B$10*100000</f>
        <v>132.44586388820065</v>
      </c>
      <c r="H8963" s="441">
        <f t="shared" si="767"/>
        <v>1.2286401925391095</v>
      </c>
      <c r="J8963" s="42"/>
    </row>
    <row r="8964" spans="1:10" s="393" customFormat="1" x14ac:dyDescent="0.25">
      <c r="A8964" s="402" t="s">
        <v>33</v>
      </c>
      <c r="B8964" s="269">
        <v>44266</v>
      </c>
      <c r="C8964" s="1">
        <v>101</v>
      </c>
      <c r="D8964" s="39">
        <f t="shared" si="766"/>
        <v>19608</v>
      </c>
      <c r="E8964" s="1">
        <v>1</v>
      </c>
      <c r="F8964" s="39">
        <f t="shared" si="768"/>
        <v>299</v>
      </c>
      <c r="G8964" s="436">
        <f>SUM(C8964,C8940,C8916,C8892,C8868,C8844,C8820,C8796,C8772,C8748,C8724,C8700,C8676,C8652)/POBLA!$B$11*100000</f>
        <v>298.80478087649402</v>
      </c>
      <c r="H8964" s="441">
        <f t="shared" si="767"/>
        <v>1.0084745762711864</v>
      </c>
      <c r="J8964" s="42"/>
    </row>
    <row r="8965" spans="1:10" s="393" customFormat="1" x14ac:dyDescent="0.25">
      <c r="A8965" s="402" t="s">
        <v>21</v>
      </c>
      <c r="B8965" s="269">
        <v>44266</v>
      </c>
      <c r="C8965" s="1">
        <v>31</v>
      </c>
      <c r="D8965" s="39">
        <f t="shared" si="766"/>
        <v>10452</v>
      </c>
      <c r="E8965" s="1"/>
      <c r="F8965" s="39">
        <f t="shared" si="768"/>
        <v>444</v>
      </c>
      <c r="G8965" s="436">
        <f>SUM(C8965,C8941,C8917,C8893,C8869,C8845,C8821,C8797,C8773,C8749,C8725,C8701,C8677,C8653)/POBLA!$B$12*100000</f>
        <v>77.249314539388251</v>
      </c>
      <c r="H8965" s="441">
        <f t="shared" si="767"/>
        <v>0.77353689567430028</v>
      </c>
      <c r="J8965" s="42"/>
    </row>
    <row r="8966" spans="1:10" s="393" customFormat="1" x14ac:dyDescent="0.25">
      <c r="A8966" s="402" t="s">
        <v>17</v>
      </c>
      <c r="B8966" s="269">
        <v>44266</v>
      </c>
      <c r="C8966" s="1">
        <v>198</v>
      </c>
      <c r="D8966" s="39">
        <f t="shared" si="766"/>
        <v>69005</v>
      </c>
      <c r="E8966" s="1">
        <v>4</v>
      </c>
      <c r="F8966" s="39">
        <f t="shared" si="768"/>
        <v>1473</v>
      </c>
      <c r="G8966" s="436">
        <f>SUM(C8966,C8942,C8918,C8894,C8870,C8846,C8822,C8798,C8774,C8750,C8726,C8702,C8678,C8654)/POBLA!$B$13*100000</f>
        <v>104.40437754793406</v>
      </c>
      <c r="H8966" s="441">
        <f t="shared" si="767"/>
        <v>1.3389175257731958</v>
      </c>
      <c r="J8966" s="42"/>
    </row>
    <row r="8967" spans="1:10" s="393" customFormat="1" x14ac:dyDescent="0.25">
      <c r="A8967" s="402" t="s">
        <v>23</v>
      </c>
      <c r="B8967" s="269">
        <v>44266</v>
      </c>
      <c r="C8967" s="1">
        <v>127</v>
      </c>
      <c r="D8967" s="39">
        <f t="shared" si="766"/>
        <v>9594</v>
      </c>
      <c r="E8967" s="1">
        <v>3</v>
      </c>
      <c r="F8967" s="39">
        <f t="shared" si="768"/>
        <v>164</v>
      </c>
      <c r="G8967" s="436">
        <f>SUM(C8967,C8943,C8919,C8895,C8871,C8847,C8823,C8799,C8775,C8751,C8727,C8703,C8679,C8655)/POBLA!$B$14*100000</f>
        <v>129.54949440812371</v>
      </c>
      <c r="H8967" s="441">
        <f t="shared" si="767"/>
        <v>1.0576051779935276</v>
      </c>
      <c r="J8967" s="42"/>
    </row>
    <row r="8968" spans="1:10" s="393" customFormat="1" x14ac:dyDescent="0.25">
      <c r="A8968" s="402" t="s">
        <v>19</v>
      </c>
      <c r="B8968" s="269">
        <v>44266</v>
      </c>
      <c r="C8968" s="1">
        <v>166</v>
      </c>
      <c r="D8968" s="39">
        <f t="shared" si="766"/>
        <v>62902</v>
      </c>
      <c r="E8968" s="1">
        <v>3</v>
      </c>
      <c r="F8968" s="39">
        <f t="shared" si="768"/>
        <v>953</v>
      </c>
      <c r="G8968" s="436">
        <f>SUM(C8968,C8944,C8920,C8896,C8872,C8848,C8824,C8800,C8776,C8752,C8728,C8704,C8680,C8656)/POBLA!$B$15*100000</f>
        <v>310.36492349301341</v>
      </c>
      <c r="H8968" s="441">
        <f t="shared" si="767"/>
        <v>0.70995521873923528</v>
      </c>
      <c r="J8968" s="42"/>
    </row>
    <row r="8969" spans="1:10" s="393" customFormat="1" x14ac:dyDescent="0.25">
      <c r="A8969" s="402" t="s">
        <v>18</v>
      </c>
      <c r="B8969" s="269">
        <v>44266</v>
      </c>
      <c r="C8969" s="1">
        <v>89</v>
      </c>
      <c r="D8969" s="39">
        <f t="shared" si="766"/>
        <v>53602</v>
      </c>
      <c r="E8969" s="1">
        <v>3</v>
      </c>
      <c r="F8969" s="39">
        <f t="shared" si="768"/>
        <v>1230</v>
      </c>
      <c r="G8969" s="436">
        <f>SUM(C8969,C8945,C8921,C8897,C8873,C8849,C8825,C8801,C8777,C8753,C8729,C8705,C8681,C8657)/POBLA!$B$16*100000</f>
        <v>209.06622436832038</v>
      </c>
      <c r="H8969" s="441">
        <f t="shared" si="767"/>
        <v>0.86881600889382993</v>
      </c>
      <c r="J8969" s="42"/>
    </row>
    <row r="8970" spans="1:10" s="393" customFormat="1" x14ac:dyDescent="0.25">
      <c r="A8970" s="402" t="s">
        <v>34</v>
      </c>
      <c r="B8970" s="269">
        <v>44266</v>
      </c>
      <c r="C8970" s="1">
        <v>141</v>
      </c>
      <c r="D8970" s="39">
        <f t="shared" ref="D8970:D9033" si="769">C8970+D8946</f>
        <v>27352</v>
      </c>
      <c r="E8970" s="1">
        <v>3</v>
      </c>
      <c r="F8970" s="39">
        <f t="shared" si="768"/>
        <v>1131</v>
      </c>
      <c r="G8970" s="436">
        <f>SUM(C8970,C8946,C8922,C8898,C8874,C8850,C8826,C8802,C8778,C8754,C8730,C8706,C8682,C8658)/POBLA!$B$17*100000</f>
        <v>103.41218073332084</v>
      </c>
      <c r="H8970" s="441">
        <f t="shared" ref="H8970:H8993" si="770">SUM(C8970,C8946,C8922,C8898,C8874,C8850,C8826,C8802,C8778,C8754,C8730,C8706,C8682,C8658)/SUM(C8634,C8610,C8586,C8562,C8538,C8514,C8490,C8466,C8442,C8418,C8394,C8370,C8346,C8322)</f>
        <v>1.1598425196850393</v>
      </c>
      <c r="J8970" s="42"/>
    </row>
    <row r="8971" spans="1:10" s="393" customFormat="1" x14ac:dyDescent="0.25">
      <c r="A8971" s="402" t="s">
        <v>35</v>
      </c>
      <c r="B8971" s="269">
        <v>44266</v>
      </c>
      <c r="C8971" s="1">
        <v>60</v>
      </c>
      <c r="D8971" s="39">
        <f t="shared" si="769"/>
        <v>15808</v>
      </c>
      <c r="E8971" s="1"/>
      <c r="F8971" s="39">
        <f t="shared" si="768"/>
        <v>216</v>
      </c>
      <c r="G8971" s="436">
        <f>SUM(C8971,C8947,C8923,C8899,C8875,C8851,C8827,C8803,C8779,C8755,C8731,C8707,C8683,C8659)/POBLA!$B$18*100000</f>
        <v>78.851330680207937</v>
      </c>
      <c r="H8971" s="441">
        <f t="shared" si="770"/>
        <v>0.94045801526717554</v>
      </c>
      <c r="J8971" s="42"/>
    </row>
    <row r="8972" spans="1:10" s="393" customFormat="1" x14ac:dyDescent="0.25">
      <c r="A8972" s="402" t="s">
        <v>36</v>
      </c>
      <c r="B8972" s="269">
        <v>44266</v>
      </c>
      <c r="C8972" s="1">
        <v>563</v>
      </c>
      <c r="D8972" s="39">
        <f t="shared" si="769"/>
        <v>21376</v>
      </c>
      <c r="E8972" s="1">
        <v>2</v>
      </c>
      <c r="F8972" s="39">
        <f t="shared" si="768"/>
        <v>361</v>
      </c>
      <c r="G8972" s="436">
        <f>SUM(C8972,C8948,C8924,C8900,C8876,C8852,C8828,C8804,C8780,C8756,C8732,C8708,C8684,C8660)/POBLA!$B$19*100000</f>
        <v>122.55866291056168</v>
      </c>
      <c r="H8972" s="441">
        <f t="shared" si="770"/>
        <v>0.38743781094527363</v>
      </c>
      <c r="J8972" s="42"/>
    </row>
    <row r="8973" spans="1:10" s="393" customFormat="1" x14ac:dyDescent="0.25">
      <c r="A8973" s="402" t="s">
        <v>37</v>
      </c>
      <c r="B8973" s="269">
        <v>44266</v>
      </c>
      <c r="C8973" s="1">
        <v>115</v>
      </c>
      <c r="D8973" s="39">
        <f t="shared" si="769"/>
        <v>37078</v>
      </c>
      <c r="E8973" s="1">
        <v>2</v>
      </c>
      <c r="F8973" s="39">
        <f t="shared" si="768"/>
        <v>606</v>
      </c>
      <c r="G8973" s="436">
        <f>SUM(C8973,C8949,C8925,C8901,C8877,C8853,C8829,C8805,C8781,C8757,C8733,C8709,C8685,C8661)/POBLA!$B$20*100000</f>
        <v>358.49252662032603</v>
      </c>
      <c r="H8973" s="441">
        <f t="shared" si="770"/>
        <v>0.88821138211382111</v>
      </c>
      <c r="J8973" s="42"/>
    </row>
    <row r="8974" spans="1:10" s="393" customFormat="1" x14ac:dyDescent="0.25">
      <c r="A8974" s="402" t="s">
        <v>22</v>
      </c>
      <c r="B8974" s="269">
        <v>44266</v>
      </c>
      <c r="C8974" s="1">
        <v>614</v>
      </c>
      <c r="D8974" s="39">
        <f t="shared" si="769"/>
        <v>221189</v>
      </c>
      <c r="E8974" s="1">
        <v>8</v>
      </c>
      <c r="F8974" s="39">
        <f t="shared" si="768"/>
        <v>4098</v>
      </c>
      <c r="G8974" s="436">
        <f>SUM(C8974,C8950,C8926,C8902,C8878,C8854,C8830,C8806,C8782,C8758,C8734,C8710,C8686,C8662)/POBLA!$B$21*100000</f>
        <v>155.15699784358071</v>
      </c>
      <c r="H8974" s="441">
        <f t="shared" si="770"/>
        <v>1.1595519864750634</v>
      </c>
      <c r="J8974" s="42"/>
    </row>
    <row r="8975" spans="1:10" s="393" customFormat="1" x14ac:dyDescent="0.25">
      <c r="A8975" s="402" t="s">
        <v>38</v>
      </c>
      <c r="B8975" s="269">
        <v>44266</v>
      </c>
      <c r="C8975" s="1">
        <v>67</v>
      </c>
      <c r="D8975" s="39">
        <f t="shared" si="769"/>
        <v>23243</v>
      </c>
      <c r="E8975" s="1"/>
      <c r="F8975" s="39">
        <f t="shared" si="768"/>
        <v>272</v>
      </c>
      <c r="G8975" s="436">
        <f>SUM(C8975,C8951,C8927,C8903,C8879,C8855,C8831,C8807,C8783,C8759,C8735,C8711,C8687,C8663)/POBLA!$B$22*100000</f>
        <v>84.328839543172791</v>
      </c>
      <c r="H8975" s="441">
        <f t="shared" si="770"/>
        <v>1.1853448275862069</v>
      </c>
      <c r="J8975" s="42"/>
    </row>
    <row r="8976" spans="1:10" s="393" customFormat="1" x14ac:dyDescent="0.25">
      <c r="A8976" s="402" t="s">
        <v>39</v>
      </c>
      <c r="B8976" s="269">
        <v>44266</v>
      </c>
      <c r="C8976" s="1">
        <v>36</v>
      </c>
      <c r="D8976" s="39">
        <f t="shared" si="769"/>
        <v>23292</v>
      </c>
      <c r="E8976" s="1"/>
      <c r="F8976" s="39">
        <f t="shared" si="768"/>
        <v>358</v>
      </c>
      <c r="G8976" s="436">
        <f>SUM(C8976,C8952,C8928,C8904,C8880,C8856,C8832,C8808,C8784,C8760,C8736,C8712,C8688,C8664)/POBLA!$B$23*100000</f>
        <v>240.34383306000112</v>
      </c>
      <c r="H8976" s="441">
        <f t="shared" si="770"/>
        <v>0.84830339321357284</v>
      </c>
      <c r="J8976" s="42"/>
    </row>
    <row r="8977" spans="1:10" s="393" customFormat="1" ht="15.75" thickBot="1" x14ac:dyDescent="0.3">
      <c r="A8977" s="404" t="s">
        <v>40</v>
      </c>
      <c r="B8977" s="269">
        <v>44266</v>
      </c>
      <c r="C8977" s="1">
        <v>270</v>
      </c>
      <c r="D8977" s="177">
        <f t="shared" si="769"/>
        <v>81622</v>
      </c>
      <c r="E8977" s="1"/>
      <c r="F8977" s="177">
        <f t="shared" si="768"/>
        <v>1488</v>
      </c>
      <c r="G8977" s="439">
        <f>SUM(C8977,C8953,C8929,C8905,C8881,C8857,C8833,C8809,C8785,C8761,C8737,C8713,C8689,C8665)/POBLA!$B$24*100000</f>
        <v>124.45003587748782</v>
      </c>
      <c r="H8977" s="442">
        <f t="shared" si="770"/>
        <v>1.1908526256352343</v>
      </c>
      <c r="J8977" s="42"/>
    </row>
    <row r="8978" spans="1:10" s="393" customFormat="1" x14ac:dyDescent="0.25">
      <c r="A8978" s="397" t="s">
        <v>16</v>
      </c>
      <c r="B8978" s="269">
        <v>44267</v>
      </c>
      <c r="C8978" s="1">
        <v>3257</v>
      </c>
      <c r="D8978" s="175">
        <f t="shared" si="769"/>
        <v>913069</v>
      </c>
      <c r="E8978" s="1">
        <v>28</v>
      </c>
      <c r="F8978" s="175">
        <f t="shared" si="768"/>
        <v>27014</v>
      </c>
      <c r="G8978" s="410">
        <f>SUM(C8978,C8954,C8930,C8906,C8882,C8858,C8834,C8810,C8786,C8762,C8738,C8714,C8690,C8666)/POBLA!$B$1*100000</f>
        <v>210.66474524091674</v>
      </c>
      <c r="H8978" s="440">
        <f t="shared" si="770"/>
        <v>1.0693966140934741</v>
      </c>
      <c r="J8978" s="42"/>
    </row>
    <row r="8979" spans="1:10" s="393" customFormat="1" x14ac:dyDescent="0.25">
      <c r="A8979" s="402" t="s">
        <v>43</v>
      </c>
      <c r="B8979" s="269">
        <v>44267</v>
      </c>
      <c r="C8979" s="1">
        <v>829</v>
      </c>
      <c r="D8979" s="39">
        <f t="shared" si="769"/>
        <v>240604</v>
      </c>
      <c r="E8979" s="1">
        <v>10</v>
      </c>
      <c r="F8979" s="39">
        <f t="shared" si="768"/>
        <v>6671</v>
      </c>
      <c r="G8979" s="436">
        <f>SUM(C8979,C8955,C8931,C8907,C8883,C8859,C8835,C8811,C8787,C8763,C8739,C8715,C8691,C8667)/POBLA!$B$2*100000</f>
        <v>316.42133067329598</v>
      </c>
      <c r="H8979" s="441">
        <f t="shared" si="770"/>
        <v>1.0109068245559365</v>
      </c>
      <c r="J8979" s="42"/>
    </row>
    <row r="8980" spans="1:10" s="393" customFormat="1" x14ac:dyDescent="0.25">
      <c r="A8980" s="402" t="s">
        <v>28</v>
      </c>
      <c r="B8980" s="269">
        <v>44267</v>
      </c>
      <c r="C8980" s="1">
        <v>101</v>
      </c>
      <c r="D8980" s="39">
        <f t="shared" si="769"/>
        <v>8871</v>
      </c>
      <c r="E8980" s="1">
        <v>1</v>
      </c>
      <c r="F8980" s="39">
        <f t="shared" si="768"/>
        <v>18</v>
      </c>
      <c r="G8980" s="436">
        <f>SUM(C8980,C8956,C8932,C8908,C8884,C8860,C8836,C8812,C8788,C8764,C8740,C8716,C8692,C8668)/POBLA!$B$3*100000</f>
        <v>276.5755660291066</v>
      </c>
      <c r="H8980" s="441">
        <f t="shared" si="770"/>
        <v>1.1058710298363812</v>
      </c>
      <c r="J8980" s="42"/>
    </row>
    <row r="8981" spans="1:10" s="393" customFormat="1" x14ac:dyDescent="0.25">
      <c r="A8981" s="402" t="s">
        <v>15</v>
      </c>
      <c r="B8981" s="269">
        <v>44267</v>
      </c>
      <c r="C8981" s="1">
        <v>156</v>
      </c>
      <c r="D8981" s="39">
        <f t="shared" si="769"/>
        <v>35715</v>
      </c>
      <c r="E8981" s="1">
        <v>4</v>
      </c>
      <c r="F8981" s="39">
        <f t="shared" si="768"/>
        <v>890</v>
      </c>
      <c r="G8981" s="436">
        <f>SUM(C8981,C8957,C8933,C8909,C8885,C8861,C8837,C8813,C8789,C8765,C8741,C8717,C8693,C8669)/POBLA!$B$4*100000</f>
        <v>146.19676706728953</v>
      </c>
      <c r="H8981" s="441">
        <f t="shared" si="770"/>
        <v>1.058929645219483</v>
      </c>
      <c r="J8981" s="42"/>
    </row>
    <row r="8982" spans="1:10" s="393" customFormat="1" x14ac:dyDescent="0.25">
      <c r="A8982" s="402" t="s">
        <v>29</v>
      </c>
      <c r="B8982" s="269">
        <v>44267</v>
      </c>
      <c r="C8982" s="1">
        <v>108</v>
      </c>
      <c r="D8982" s="39">
        <f t="shared" si="769"/>
        <v>48020</v>
      </c>
      <c r="E8982" s="1">
        <v>1</v>
      </c>
      <c r="F8982" s="39">
        <f t="shared" si="768"/>
        <v>808</v>
      </c>
      <c r="G8982" s="436">
        <f>SUM(C8982,C8958,C8934,C8910,C8886,C8862,C8838,C8814,C8790,C8766,C8742,C8718,C8694,C8670)/POBLA!$B$5*100000</f>
        <v>196.28623217672543</v>
      </c>
      <c r="H8982" s="441">
        <f t="shared" si="770"/>
        <v>0.68721719457013575</v>
      </c>
      <c r="J8982" s="42"/>
    </row>
    <row r="8983" spans="1:10" s="393" customFormat="1" x14ac:dyDescent="0.25">
      <c r="A8983" s="402" t="s">
        <v>30</v>
      </c>
      <c r="B8983" s="269">
        <v>44267</v>
      </c>
      <c r="C8983" s="1">
        <v>512</v>
      </c>
      <c r="D8983" s="39">
        <f t="shared" si="769"/>
        <v>24541</v>
      </c>
      <c r="E8983" s="1"/>
      <c r="F8983" s="39">
        <f t="shared" si="768"/>
        <v>306</v>
      </c>
      <c r="G8983" s="436">
        <f>SUM(C8983,C8959,C8935,C8911,C8887,C8863,C8839,C8815,C8791,C8767,C8743,C8719,C8695,C8671)/POBLA!$B$6*100000</f>
        <v>260.08185217536385</v>
      </c>
      <c r="H8983" s="441">
        <f t="shared" si="770"/>
        <v>1.2055417700578992</v>
      </c>
      <c r="J8983" s="42"/>
    </row>
    <row r="8984" spans="1:10" s="393" customFormat="1" x14ac:dyDescent="0.25">
      <c r="A8984" s="402" t="s">
        <v>20</v>
      </c>
      <c r="B8984" s="269">
        <v>44267</v>
      </c>
      <c r="C8984" s="1">
        <v>627</v>
      </c>
      <c r="D8984" s="39">
        <f t="shared" si="769"/>
        <v>167005</v>
      </c>
      <c r="E8984" s="1">
        <v>4</v>
      </c>
      <c r="F8984" s="39">
        <f t="shared" si="768"/>
        <v>2911</v>
      </c>
      <c r="G8984" s="436">
        <f>SUM(C8984,C8960,C8936,C8912,C8888,C8864,C8840,C8816,C8792,C8768,C8744,C8720,C8696,C8672)/POBLA!$B$7*100000</f>
        <v>212.58094111077131</v>
      </c>
      <c r="H8984" s="441">
        <f t="shared" si="770"/>
        <v>1.0251346499102334</v>
      </c>
      <c r="J8984" s="42"/>
    </row>
    <row r="8985" spans="1:10" x14ac:dyDescent="0.25">
      <c r="A8985" s="402" t="s">
        <v>31</v>
      </c>
      <c r="B8985" s="269">
        <v>44267</v>
      </c>
      <c r="C8985" s="1">
        <v>151</v>
      </c>
      <c r="D8985" s="39">
        <f t="shared" si="769"/>
        <v>46702</v>
      </c>
      <c r="E8985" s="1">
        <v>4</v>
      </c>
      <c r="F8985" s="39">
        <f t="shared" ref="F8985:F9008" si="771">E8985+F8961</f>
        <v>898</v>
      </c>
      <c r="G8985" s="169">
        <f>SUM(C8985,C8961,C8937,C8913,C8889,C8865,C8841,C8817,C8793,C8769,C8745,C8721,C8697,C8673)/POBLA!$B$8*100000</f>
        <v>122.58642198445699</v>
      </c>
      <c r="H8985" s="518">
        <f t="shared" si="770"/>
        <v>1.0101070154577882</v>
      </c>
    </row>
    <row r="8986" spans="1:10" s="393" customFormat="1" x14ac:dyDescent="0.25">
      <c r="A8986" s="402" t="s">
        <v>41</v>
      </c>
      <c r="B8986" s="269">
        <v>44267</v>
      </c>
      <c r="C8986" s="1">
        <v>26</v>
      </c>
      <c r="D8986" s="39">
        <f t="shared" si="769"/>
        <v>1503</v>
      </c>
      <c r="E8986" s="1"/>
      <c r="F8986" s="39">
        <f t="shared" si="771"/>
        <v>20</v>
      </c>
      <c r="G8986" s="436">
        <f>SUM(C8986,C8962,C8938,C8914,C8890,C8866,C8842,C8818,C8794,C8770,C8746,C8722,C8698,C8674)/POBLA!$B$9*100000</f>
        <v>48.74478059065455</v>
      </c>
      <c r="H8986" s="441">
        <f t="shared" si="770"/>
        <v>1.088560885608856</v>
      </c>
      <c r="J8986" s="42"/>
    </row>
    <row r="8987" spans="1:10" s="393" customFormat="1" x14ac:dyDescent="0.25">
      <c r="A8987" s="402" t="s">
        <v>32</v>
      </c>
      <c r="B8987" s="269">
        <v>44267</v>
      </c>
      <c r="C8987" s="1">
        <v>73</v>
      </c>
      <c r="D8987" s="39">
        <f t="shared" si="769"/>
        <v>21585</v>
      </c>
      <c r="E8987" s="1">
        <v>2</v>
      </c>
      <c r="F8987" s="39">
        <f t="shared" si="771"/>
        <v>920</v>
      </c>
      <c r="G8987" s="436">
        <f>SUM(C8987,C8963,C8939,C8915,C8891,C8867,C8843,C8819,C8795,C8771,C8747,C8723,C8699,C8675)/POBLA!$B$10*100000</f>
        <v>131.14864680800278</v>
      </c>
      <c r="H8987" s="441">
        <f t="shared" si="770"/>
        <v>1.1501706484641638</v>
      </c>
      <c r="J8987" s="42"/>
    </row>
    <row r="8988" spans="1:10" s="393" customFormat="1" x14ac:dyDescent="0.25">
      <c r="A8988" s="402" t="s">
        <v>33</v>
      </c>
      <c r="B8988" s="269">
        <v>44267</v>
      </c>
      <c r="C8988" s="1">
        <v>110</v>
      </c>
      <c r="D8988" s="39">
        <f t="shared" si="769"/>
        <v>19718</v>
      </c>
      <c r="E8988" s="1"/>
      <c r="F8988" s="39">
        <f t="shared" si="771"/>
        <v>299</v>
      </c>
      <c r="G8988" s="436">
        <f>SUM(C8988,C8964,C8940,C8916,C8892,C8868,C8844,C8820,C8796,C8772,C8748,C8724,C8700,C8676)/POBLA!$B$11*100000</f>
        <v>314.70755632930462</v>
      </c>
      <c r="H8988" s="441">
        <f t="shared" si="770"/>
        <v>1.0804597701149425</v>
      </c>
      <c r="J8988" s="42"/>
    </row>
    <row r="8989" spans="1:10" s="393" customFormat="1" x14ac:dyDescent="0.25">
      <c r="A8989" s="402" t="s">
        <v>21</v>
      </c>
      <c r="B8989" s="269">
        <v>44267</v>
      </c>
      <c r="C8989" s="1">
        <v>34</v>
      </c>
      <c r="D8989" s="39">
        <f t="shared" si="769"/>
        <v>10486</v>
      </c>
      <c r="E8989" s="1"/>
      <c r="F8989" s="39">
        <f t="shared" si="771"/>
        <v>444</v>
      </c>
      <c r="G8989" s="436">
        <f>SUM(C8989,C8965,C8941,C8917,C8893,C8869,C8845,C8821,C8797,C8773,C8749,C8725,C8701,C8677)/POBLA!$B$12*100000</f>
        <v>80.552739174296306</v>
      </c>
      <c r="H8989" s="441">
        <f t="shared" si="770"/>
        <v>0.82337662337662343</v>
      </c>
      <c r="J8989" s="42"/>
    </row>
    <row r="8990" spans="1:10" s="393" customFormat="1" x14ac:dyDescent="0.25">
      <c r="A8990" s="402" t="s">
        <v>17</v>
      </c>
      <c r="B8990" s="269">
        <v>44267</v>
      </c>
      <c r="C8990" s="1">
        <v>168</v>
      </c>
      <c r="D8990" s="39">
        <f t="shared" si="769"/>
        <v>69173</v>
      </c>
      <c r="E8990" s="1">
        <v>2</v>
      </c>
      <c r="F8990" s="39">
        <f t="shared" si="771"/>
        <v>1475</v>
      </c>
      <c r="G8990" s="436">
        <f>SUM(C8990,C8966,C8942,C8918,C8894,C8870,C8846,C8822,C8798,C8774,C8750,C8726,C8702,C8678)/POBLA!$B$13*100000</f>
        <v>105.96190194831229</v>
      </c>
      <c r="H8990" s="441">
        <f t="shared" si="770"/>
        <v>1.3650485436893205</v>
      </c>
      <c r="J8990" s="42"/>
    </row>
    <row r="8991" spans="1:10" s="393" customFormat="1" x14ac:dyDescent="0.25">
      <c r="A8991" s="402" t="s">
        <v>23</v>
      </c>
      <c r="B8991" s="269">
        <v>44267</v>
      </c>
      <c r="C8991" s="1">
        <v>135</v>
      </c>
      <c r="D8991" s="39">
        <f t="shared" si="769"/>
        <v>9729</v>
      </c>
      <c r="E8991" s="1">
        <v>1</v>
      </c>
      <c r="F8991" s="39">
        <f t="shared" si="771"/>
        <v>165</v>
      </c>
      <c r="G8991" s="436">
        <f>SUM(C8991,C8967,C8943,C8919,C8895,C8871,C8847,C8823,C8799,C8775,C8751,C8727,C8703,C8679)/POBLA!$B$14*100000</f>
        <v>131.05588387798562</v>
      </c>
      <c r="H8991" s="441">
        <f t="shared" si="770"/>
        <v>1.0623393316195373</v>
      </c>
      <c r="J8991" s="42"/>
    </row>
    <row r="8992" spans="1:10" s="393" customFormat="1" x14ac:dyDescent="0.25">
      <c r="A8992" s="402" t="s">
        <v>19</v>
      </c>
      <c r="B8992" s="269">
        <v>44267</v>
      </c>
      <c r="C8992" s="1">
        <v>155</v>
      </c>
      <c r="D8992" s="39">
        <f t="shared" si="769"/>
        <v>63057</v>
      </c>
      <c r="E8992" s="1">
        <v>2</v>
      </c>
      <c r="F8992" s="39">
        <f t="shared" si="771"/>
        <v>955</v>
      </c>
      <c r="G8992" s="436">
        <f>SUM(C8992,C8968,C8944,C8920,C8896,C8872,C8848,C8824,C8800,C8776,C8752,C8728,C8704,C8680)/POBLA!$B$15*100000</f>
        <v>307.65431280748493</v>
      </c>
      <c r="H8992" s="441">
        <f t="shared" si="770"/>
        <v>0.73861171366594358</v>
      </c>
      <c r="J8992" s="42"/>
    </row>
    <row r="8993" spans="1:10" s="393" customFormat="1" x14ac:dyDescent="0.25">
      <c r="A8993" s="402" t="s">
        <v>18</v>
      </c>
      <c r="B8993" s="269">
        <v>44267</v>
      </c>
      <c r="C8993" s="1">
        <v>112</v>
      </c>
      <c r="D8993" s="39">
        <f t="shared" si="769"/>
        <v>53714</v>
      </c>
      <c r="E8993" s="1">
        <v>7</v>
      </c>
      <c r="F8993" s="39">
        <f t="shared" si="771"/>
        <v>1237</v>
      </c>
      <c r="G8993" s="436">
        <f>SUM(C8993,C8969,C8945,C8921,C8897,C8873,C8849,C8825,C8801,C8777,C8753,C8729,C8705,C8681)/POBLA!$B$16*100000</f>
        <v>204.51839863030187</v>
      </c>
      <c r="H8993" s="441">
        <f t="shared" si="770"/>
        <v>0.85418994413407823</v>
      </c>
      <c r="J8993" s="42"/>
    </row>
    <row r="8994" spans="1:10" s="393" customFormat="1" x14ac:dyDescent="0.25">
      <c r="A8994" s="402" t="s">
        <v>34</v>
      </c>
      <c r="B8994" s="269">
        <v>44267</v>
      </c>
      <c r="C8994" s="1">
        <v>100</v>
      </c>
      <c r="D8994" s="39">
        <f t="shared" si="769"/>
        <v>27452</v>
      </c>
      <c r="E8994" s="1">
        <v>7</v>
      </c>
      <c r="F8994" s="39">
        <f t="shared" si="771"/>
        <v>1138</v>
      </c>
      <c r="G8994" s="436">
        <f>SUM(C8994,C8970,C8946,C8922,C8898,C8874,C8850,C8826,C8802,C8778,C8754,C8730,C8706,C8682)/POBLA!$B$17*100000</f>
        <v>105.65874541999176</v>
      </c>
      <c r="H8994" s="441">
        <f t="shared" ref="H8994:H9017" si="772">SUM(C8994,C8970,C8946,C8922,C8898,C8874,C8850,C8826,C8802,C8778,C8754,C8730,C8706,C8682)/SUM(C8658,C8634,C8610,C8586,C8562,C8538,C8514,C8490,C8466,C8442,C8418,C8394,C8370,C8346)</f>
        <v>1.2068965517241379</v>
      </c>
      <c r="J8994" s="42"/>
    </row>
    <row r="8995" spans="1:10" s="393" customFormat="1" x14ac:dyDescent="0.25">
      <c r="A8995" s="402" t="s">
        <v>35</v>
      </c>
      <c r="B8995" s="269">
        <v>44267</v>
      </c>
      <c r="C8995" s="1">
        <v>51</v>
      </c>
      <c r="D8995" s="39">
        <f t="shared" si="769"/>
        <v>15859</v>
      </c>
      <c r="E8995" s="1">
        <v>1</v>
      </c>
      <c r="F8995" s="39">
        <f t="shared" si="771"/>
        <v>217</v>
      </c>
      <c r="G8995" s="436">
        <f>SUM(C8995,C8971,C8947,C8923,C8899,C8875,C8851,C8827,C8803,C8779,C8755,C8731,C8707,C8683)/POBLA!$B$18*100000</f>
        <v>80.89941719138217</v>
      </c>
      <c r="H8995" s="441">
        <f t="shared" si="772"/>
        <v>1.0047694753577106</v>
      </c>
      <c r="J8995" s="42"/>
    </row>
    <row r="8996" spans="1:10" s="393" customFormat="1" x14ac:dyDescent="0.25">
      <c r="A8996" s="402" t="s">
        <v>36</v>
      </c>
      <c r="B8996" s="269">
        <v>44267</v>
      </c>
      <c r="C8996" s="1">
        <v>139</v>
      </c>
      <c r="D8996" s="39">
        <f t="shared" si="769"/>
        <v>21515</v>
      </c>
      <c r="E8996" s="1"/>
      <c r="F8996" s="39">
        <f t="shared" si="771"/>
        <v>361</v>
      </c>
      <c r="G8996" s="436">
        <f>SUM(C8996,C8972,C8948,C8924,C8900,C8876,C8852,C8828,C8804,C8780,C8756,C8732,C8708,C8684)/POBLA!$B$19*100000</f>
        <v>149.31304197289938</v>
      </c>
      <c r="H8996" s="441">
        <f t="shared" si="772"/>
        <v>0.47407870081199249</v>
      </c>
      <c r="J8996" s="42"/>
    </row>
    <row r="8997" spans="1:10" s="393" customFormat="1" x14ac:dyDescent="0.25">
      <c r="A8997" s="402" t="s">
        <v>37</v>
      </c>
      <c r="B8997" s="269">
        <v>44267</v>
      </c>
      <c r="C8997" s="1">
        <v>147</v>
      </c>
      <c r="D8997" s="39">
        <f t="shared" si="769"/>
        <v>37225</v>
      </c>
      <c r="E8997" s="1">
        <v>1</v>
      </c>
      <c r="F8997" s="39">
        <f t="shared" si="771"/>
        <v>607</v>
      </c>
      <c r="G8997" s="436">
        <f>SUM(C8997,C8973,C8949,C8925,C8901,C8877,C8853,C8829,C8805,C8781,C8757,C8733,C8709,C8685)/POBLA!$B$20*100000</f>
        <v>382.2826485241921</v>
      </c>
      <c r="H8997" s="441">
        <f t="shared" si="772"/>
        <v>0.98798586572438163</v>
      </c>
      <c r="J8997" s="42"/>
    </row>
    <row r="8998" spans="1:10" s="393" customFormat="1" x14ac:dyDescent="0.25">
      <c r="A8998" s="402" t="s">
        <v>22</v>
      </c>
      <c r="B8998" s="269">
        <v>44267</v>
      </c>
      <c r="C8998" s="1">
        <v>464</v>
      </c>
      <c r="D8998" s="39">
        <f t="shared" si="769"/>
        <v>221653</v>
      </c>
      <c r="E8998" s="1">
        <v>6</v>
      </c>
      <c r="F8998" s="39">
        <f t="shared" si="771"/>
        <v>4104</v>
      </c>
      <c r="G8998" s="436">
        <f>SUM(C8998,C8974,C8950,C8926,C8902,C8878,C8854,C8830,C8806,C8782,C8758,C8734,C8710,C8686)/POBLA!$B$21*100000</f>
        <v>160.8972694969882</v>
      </c>
      <c r="H8998" s="441">
        <f t="shared" si="772"/>
        <v>1.2202444778039889</v>
      </c>
      <c r="J8998" s="42"/>
    </row>
    <row r="8999" spans="1:10" s="393" customFormat="1" x14ac:dyDescent="0.25">
      <c r="A8999" s="402" t="s">
        <v>38</v>
      </c>
      <c r="B8999" s="269">
        <v>44267</v>
      </c>
      <c r="C8999" s="1">
        <v>68</v>
      </c>
      <c r="D8999" s="39">
        <f t="shared" si="769"/>
        <v>23311</v>
      </c>
      <c r="E8999" s="1">
        <v>2</v>
      </c>
      <c r="F8999" s="39">
        <f t="shared" si="771"/>
        <v>274</v>
      </c>
      <c r="G8999" s="436">
        <f>SUM(C8999,C8975,C8951,C8927,C8903,C8879,C8855,C8831,C8807,C8783,C8759,C8735,C8711,C8687)/POBLA!$B$22*100000</f>
        <v>84.431056318376633</v>
      </c>
      <c r="H8999" s="441">
        <f t="shared" si="772"/>
        <v>1.1617440225035163</v>
      </c>
      <c r="J8999" s="42"/>
    </row>
    <row r="9000" spans="1:10" s="393" customFormat="1" x14ac:dyDescent="0.25">
      <c r="A9000" s="402" t="s">
        <v>39</v>
      </c>
      <c r="B9000" s="269">
        <v>44267</v>
      </c>
      <c r="C9000" s="1">
        <v>25</v>
      </c>
      <c r="D9000" s="39">
        <f t="shared" si="769"/>
        <v>23317</v>
      </c>
      <c r="E9000" s="1"/>
      <c r="F9000" s="39">
        <f t="shared" si="771"/>
        <v>358</v>
      </c>
      <c r="G9000" s="436">
        <f>SUM(C9000,C8976,C8952,C8928,C8904,C8880,C8856,C8832,C8808,C8784,C8760,C8736,C8712,C8688)/POBLA!$B$23*100000</f>
        <v>239.21280325736586</v>
      </c>
      <c r="H9000" s="441">
        <f t="shared" si="772"/>
        <v>0.87941787941787941</v>
      </c>
      <c r="J9000" s="42"/>
    </row>
    <row r="9001" spans="1:10" s="393" customFormat="1" ht="15.75" thickBot="1" x14ac:dyDescent="0.3">
      <c r="A9001" s="404" t="s">
        <v>40</v>
      </c>
      <c r="B9001" s="269">
        <v>44267</v>
      </c>
      <c r="C9001" s="1">
        <v>301</v>
      </c>
      <c r="D9001" s="177">
        <f t="shared" si="769"/>
        <v>81923</v>
      </c>
      <c r="E9001" s="1">
        <v>3</v>
      </c>
      <c r="F9001" s="177">
        <f t="shared" si="771"/>
        <v>1491</v>
      </c>
      <c r="G9001" s="439">
        <f>SUM(C9001,C8977,C8953,C8929,C8905,C8881,C8857,C8833,C8809,C8785,C8761,C8737,C8713,C8689)/POBLA!$B$24*100000</f>
        <v>134.71760640507571</v>
      </c>
      <c r="H9001" s="442">
        <f t="shared" si="772"/>
        <v>1.3437316068275456</v>
      </c>
      <c r="J9001" s="42"/>
    </row>
    <row r="9002" spans="1:10" s="393" customFormat="1" x14ac:dyDescent="0.25">
      <c r="A9002" s="397" t="s">
        <v>16</v>
      </c>
      <c r="B9002" s="269">
        <v>44268</v>
      </c>
      <c r="C9002" s="17">
        <v>2692</v>
      </c>
      <c r="D9002" s="175">
        <f t="shared" si="769"/>
        <v>915761</v>
      </c>
      <c r="E9002" s="1">
        <v>21</v>
      </c>
      <c r="F9002" s="175">
        <f t="shared" si="771"/>
        <v>27035</v>
      </c>
      <c r="G9002" s="410">
        <f>SUM(C9002,C8978,C8954,C8930,C8906,C8882,C8858,C8834,C8810,C8786,C8762,C8738,C8714,C8690)/POBLA!$B$1*100000</f>
        <v>212.27809525047428</v>
      </c>
      <c r="H9002" s="440">
        <f t="shared" si="772"/>
        <v>1.0788040329122726</v>
      </c>
      <c r="J9002" s="42"/>
    </row>
    <row r="9003" spans="1:10" s="393" customFormat="1" x14ac:dyDescent="0.25">
      <c r="A9003" s="402" t="s">
        <v>43</v>
      </c>
      <c r="B9003" s="269">
        <v>44268</v>
      </c>
      <c r="C9003" s="17">
        <v>796</v>
      </c>
      <c r="D9003" s="39">
        <f t="shared" si="769"/>
        <v>241400</v>
      </c>
      <c r="E9003" s="1">
        <v>19</v>
      </c>
      <c r="F9003" s="39">
        <f t="shared" si="771"/>
        <v>6690</v>
      </c>
      <c r="G9003" s="436">
        <f>SUM(C9003,C8979,C8955,C8931,C8907,C8883,C8859,C8835,C8811,C8787,C8763,C8739,C8715,C8691)/POBLA!$B$2*100000</f>
        <v>323.34670504993096</v>
      </c>
      <c r="H9003" s="441">
        <f t="shared" si="772"/>
        <v>1.0285448340055849</v>
      </c>
      <c r="J9003" s="42"/>
    </row>
    <row r="9004" spans="1:10" s="393" customFormat="1" x14ac:dyDescent="0.25">
      <c r="A9004" s="402" t="s">
        <v>28</v>
      </c>
      <c r="B9004" s="269">
        <v>44268</v>
      </c>
      <c r="C9004" s="17">
        <v>104</v>
      </c>
      <c r="D9004" s="39">
        <f t="shared" si="769"/>
        <v>8975</v>
      </c>
      <c r="E9004" s="1"/>
      <c r="F9004" s="39">
        <f t="shared" si="771"/>
        <v>18</v>
      </c>
      <c r="G9004" s="436">
        <f>SUM(C9004,C8980,C8956,C8932,C8908,C8884,C8860,C8836,C8812,C8788,C8764,C8740,C8716,C8692)/POBLA!$B$3*100000</f>
        <v>273.20562875808184</v>
      </c>
      <c r="H9004" s="441">
        <f t="shared" si="772"/>
        <v>1.051899907321594</v>
      </c>
      <c r="J9004" s="42"/>
    </row>
    <row r="9005" spans="1:10" s="393" customFormat="1" x14ac:dyDescent="0.25">
      <c r="A9005" s="402" t="s">
        <v>15</v>
      </c>
      <c r="B9005" s="269">
        <v>44268</v>
      </c>
      <c r="C9005" s="17">
        <v>140</v>
      </c>
      <c r="D9005" s="39">
        <f t="shared" si="769"/>
        <v>35855</v>
      </c>
      <c r="E9005" s="1">
        <v>4</v>
      </c>
      <c r="F9005" s="39">
        <f t="shared" si="771"/>
        <v>894</v>
      </c>
      <c r="G9005" s="436">
        <f>SUM(C9005,C8981,C8957,C8933,C8909,C8885,C8861,C8837,C8813,C8789,C8765,C8741,C8717,C8693)/POBLA!$B$4*100000</f>
        <v>149.10243819014877</v>
      </c>
      <c r="H9005" s="441">
        <f t="shared" si="772"/>
        <v>1.060838747784997</v>
      </c>
      <c r="J9005" s="42"/>
    </row>
    <row r="9006" spans="1:10" s="393" customFormat="1" x14ac:dyDescent="0.25">
      <c r="A9006" s="402" t="s">
        <v>29</v>
      </c>
      <c r="B9006" s="269">
        <v>44268</v>
      </c>
      <c r="C9006" s="17">
        <v>85</v>
      </c>
      <c r="D9006" s="39">
        <f t="shared" si="769"/>
        <v>48105</v>
      </c>
      <c r="E9006" s="1"/>
      <c r="F9006" s="39">
        <f t="shared" si="771"/>
        <v>808</v>
      </c>
      <c r="G9006" s="436">
        <f>SUM(C9006,C8982,C8958,C8934,C8910,C8886,C8862,C8838,C8814,C8790,C8766,C8742,C8718,C8694)/POBLA!$B$5*100000</f>
        <v>197.578651812457</v>
      </c>
      <c r="H9006" s="441">
        <f t="shared" si="772"/>
        <v>0.70571263704558573</v>
      </c>
      <c r="J9006" s="42"/>
    </row>
    <row r="9007" spans="1:10" s="393" customFormat="1" x14ac:dyDescent="0.25">
      <c r="A9007" s="402" t="s">
        <v>30</v>
      </c>
      <c r="B9007" s="269">
        <v>44268</v>
      </c>
      <c r="C9007" s="17">
        <v>298</v>
      </c>
      <c r="D9007" s="39">
        <f t="shared" si="769"/>
        <v>24839</v>
      </c>
      <c r="E9007" s="1"/>
      <c r="F9007" s="39">
        <f t="shared" si="771"/>
        <v>306</v>
      </c>
      <c r="G9007" s="436">
        <f>SUM(C9007,C8983,C8959,C8935,C8911,C8887,C8863,C8839,C8815,C8791,C8767,C8743,C8719,C8695)/POBLA!$B$6*100000</f>
        <v>271.32381216647735</v>
      </c>
      <c r="H9007" s="441">
        <f t="shared" si="772"/>
        <v>1.198659834450138</v>
      </c>
      <c r="J9007" s="42"/>
    </row>
    <row r="9008" spans="1:10" s="393" customFormat="1" x14ac:dyDescent="0.25">
      <c r="A9008" s="402" t="s">
        <v>20</v>
      </c>
      <c r="B9008" s="269">
        <v>44268</v>
      </c>
      <c r="C9008" s="17">
        <v>593</v>
      </c>
      <c r="D9008" s="39">
        <f t="shared" si="769"/>
        <v>167598</v>
      </c>
      <c r="E9008" s="1">
        <v>5</v>
      </c>
      <c r="F9008" s="39">
        <f t="shared" si="771"/>
        <v>2916</v>
      </c>
      <c r="G9008" s="436">
        <f>SUM(C9008,C8984,C8960,C8936,C8912,C8888,C8864,C8840,C8816,C8792,C8768,C8744,C8720,C8696)/POBLA!$B$7*100000</f>
        <v>214.17649483439482</v>
      </c>
      <c r="H9008" s="441">
        <f t="shared" si="772"/>
        <v>1.0356178474990356</v>
      </c>
      <c r="J9008" s="42"/>
    </row>
    <row r="9009" spans="1:10" x14ac:dyDescent="0.25">
      <c r="A9009" s="402" t="s">
        <v>31</v>
      </c>
      <c r="B9009" s="269">
        <v>44268</v>
      </c>
      <c r="C9009" s="17">
        <v>108</v>
      </c>
      <c r="D9009" s="39">
        <f t="shared" si="769"/>
        <v>46810</v>
      </c>
      <c r="F9009" s="39">
        <f t="shared" ref="F9009:F9032" si="773">E9009+F8985</f>
        <v>898</v>
      </c>
      <c r="G9009" s="169">
        <f>SUM(C9009,C8985,C8961,C8937,C8913,C8889,C8865,C8841,C8817,C8793,C8769,C8745,C8721,C8697)/POBLA!$B$8*100000</f>
        <v>122.29781357484086</v>
      </c>
      <c r="H9009" s="518">
        <f t="shared" si="772"/>
        <v>1.0065320665083135</v>
      </c>
    </row>
    <row r="9010" spans="1:10" s="393" customFormat="1" x14ac:dyDescent="0.25">
      <c r="A9010" s="402" t="s">
        <v>41</v>
      </c>
      <c r="B9010" s="269">
        <v>44268</v>
      </c>
      <c r="C9010" s="17">
        <v>19</v>
      </c>
      <c r="D9010" s="39">
        <f t="shared" si="769"/>
        <v>1522</v>
      </c>
      <c r="E9010" s="1"/>
      <c r="F9010" s="39">
        <f t="shared" si="773"/>
        <v>20</v>
      </c>
      <c r="G9010" s="436">
        <f>SUM(C9010,C8986,C8962,C8938,C8914,C8890,C8866,C8842,C8818,C8794,C8770,C8746,C8722,C8698)/POBLA!$B$9*100000</f>
        <v>49.90143640128025</v>
      </c>
      <c r="H9010" s="441">
        <f t="shared" si="772"/>
        <v>1.1526717557251909</v>
      </c>
      <c r="J9010" s="42"/>
    </row>
    <row r="9011" spans="1:10" s="393" customFormat="1" x14ac:dyDescent="0.25">
      <c r="A9011" s="402" t="s">
        <v>32</v>
      </c>
      <c r="B9011" s="269">
        <v>44268</v>
      </c>
      <c r="C9011" s="17">
        <v>27</v>
      </c>
      <c r="D9011" s="39">
        <f t="shared" si="769"/>
        <v>21612</v>
      </c>
      <c r="E9011" s="1">
        <v>3</v>
      </c>
      <c r="F9011" s="39">
        <f t="shared" si="773"/>
        <v>923</v>
      </c>
      <c r="G9011" s="436">
        <f>SUM(C9011,C8987,C8963,C8939,C8915,C8891,C8867,C8843,C8819,C8795,C8771,C8747,C8723,C8699)/POBLA!$B$10*100000</f>
        <v>122.58701407869698</v>
      </c>
      <c r="H9011" s="441">
        <f t="shared" si="772"/>
        <v>0.99788806758183735</v>
      </c>
      <c r="J9011" s="42"/>
    </row>
    <row r="9012" spans="1:10" s="393" customFormat="1" x14ac:dyDescent="0.25">
      <c r="A9012" s="402" t="s">
        <v>33</v>
      </c>
      <c r="B9012" s="269">
        <v>44268</v>
      </c>
      <c r="C9012" s="17">
        <v>95</v>
      </c>
      <c r="D9012" s="39">
        <f t="shared" si="769"/>
        <v>19813</v>
      </c>
      <c r="E9012" s="1"/>
      <c r="F9012" s="39">
        <f t="shared" si="773"/>
        <v>299</v>
      </c>
      <c r="G9012" s="436">
        <f>SUM(C9012,C8988,C8964,C8940,C8916,C8892,C8868,C8844,C8820,C8796,C8772,C8748,C8724,C8700)/POBLA!$B$11*100000</f>
        <v>326.42539087348086</v>
      </c>
      <c r="H9012" s="441">
        <f t="shared" si="772"/>
        <v>1.2</v>
      </c>
      <c r="J9012" s="42"/>
    </row>
    <row r="9013" spans="1:10" s="393" customFormat="1" x14ac:dyDescent="0.25">
      <c r="A9013" s="402" t="s">
        <v>21</v>
      </c>
      <c r="B9013" s="269">
        <v>44268</v>
      </c>
      <c r="C9013" s="17">
        <v>19</v>
      </c>
      <c r="D9013" s="39">
        <f t="shared" si="769"/>
        <v>10505</v>
      </c>
      <c r="E9013" s="1">
        <v>1</v>
      </c>
      <c r="F9013" s="39">
        <f t="shared" si="773"/>
        <v>445</v>
      </c>
      <c r="G9013" s="436">
        <f>SUM(C9013,C8989,C8965,C8941,C8917,C8893,C8869,C8845,C8821,C8797,C8773,C8749,C8725,C8701)/POBLA!$B$12*100000</f>
        <v>84.110273396504979</v>
      </c>
      <c r="H9013" s="441">
        <f t="shared" si="772"/>
        <v>0.92458100558659218</v>
      </c>
      <c r="J9013" s="42"/>
    </row>
    <row r="9014" spans="1:10" s="393" customFormat="1" x14ac:dyDescent="0.25">
      <c r="A9014" s="402" t="s">
        <v>17</v>
      </c>
      <c r="B9014" s="269">
        <v>44268</v>
      </c>
      <c r="C9014" s="17">
        <v>135</v>
      </c>
      <c r="D9014" s="39">
        <f t="shared" si="769"/>
        <v>69308</v>
      </c>
      <c r="E9014" s="1">
        <v>2</v>
      </c>
      <c r="F9014" s="39">
        <f t="shared" si="773"/>
        <v>1477</v>
      </c>
      <c r="G9014" s="436">
        <f>SUM(C9014,C8990,C8966,C8942,C8918,C8894,C8870,C8846,C8822,C8798,C8774,C8750,C8726,C8702)/POBLA!$B$13*100000</f>
        <v>106.66530006461215</v>
      </c>
      <c r="H9014" s="441">
        <f t="shared" si="772"/>
        <v>1.3565495207667733</v>
      </c>
      <c r="J9014" s="42"/>
    </row>
    <row r="9015" spans="1:10" s="393" customFormat="1" x14ac:dyDescent="0.25">
      <c r="A9015" s="402" t="s">
        <v>23</v>
      </c>
      <c r="B9015" s="269">
        <v>44268</v>
      </c>
      <c r="C9015" s="17">
        <v>119</v>
      </c>
      <c r="D9015" s="39">
        <f t="shared" si="769"/>
        <v>9848</v>
      </c>
      <c r="E9015" s="1">
        <v>3</v>
      </c>
      <c r="F9015" s="39">
        <f t="shared" si="773"/>
        <v>168</v>
      </c>
      <c r="G9015" s="436">
        <f>SUM(C9015,C8991,C8967,C8943,C8919,C8895,C8871,C8847,C8823,C8799,C8775,C8751,C8727,C8703)/POBLA!$B$14*100000</f>
        <v>130.58018194013451</v>
      </c>
      <c r="H9015" s="441">
        <f t="shared" si="772"/>
        <v>1.041087231352718</v>
      </c>
      <c r="J9015" s="42"/>
    </row>
    <row r="9016" spans="1:10" s="393" customFormat="1" x14ac:dyDescent="0.25">
      <c r="A9016" s="402" t="s">
        <v>19</v>
      </c>
      <c r="B9016" s="269">
        <v>44268</v>
      </c>
      <c r="C9016" s="17">
        <v>83</v>
      </c>
      <c r="D9016" s="39">
        <f t="shared" si="769"/>
        <v>63140</v>
      </c>
      <c r="E9016" s="1"/>
      <c r="F9016" s="39">
        <f t="shared" si="773"/>
        <v>955</v>
      </c>
      <c r="G9016" s="436">
        <f>SUM(C9016,C8992,C8968,C8944,C8920,C8896,C8872,C8848,C8824,C8800,C8776,C8752,C8728,C8704)/POBLA!$B$15*100000</f>
        <v>307.65431280748493</v>
      </c>
      <c r="H9016" s="441">
        <f t="shared" si="772"/>
        <v>0.76631657914478624</v>
      </c>
      <c r="J9016" s="42"/>
    </row>
    <row r="9017" spans="1:10" s="393" customFormat="1" x14ac:dyDescent="0.25">
      <c r="A9017" s="402" t="s">
        <v>18</v>
      </c>
      <c r="B9017" s="269">
        <v>44268</v>
      </c>
      <c r="C9017" s="17">
        <v>36</v>
      </c>
      <c r="D9017" s="39">
        <f t="shared" si="769"/>
        <v>53750</v>
      </c>
      <c r="E9017" s="1"/>
      <c r="F9017" s="39">
        <f t="shared" si="773"/>
        <v>1237</v>
      </c>
      <c r="G9017" s="436">
        <f>SUM(C9017,C8993,C8969,C8945,C8921,C8897,C8873,C8849,C8825,C8801,C8777,C8753,C8729,C8705)/POBLA!$B$16*100000</f>
        <v>197.96417918433409</v>
      </c>
      <c r="H9017" s="441">
        <f t="shared" si="772"/>
        <v>0.84090909090909094</v>
      </c>
      <c r="J9017" s="42"/>
    </row>
    <row r="9018" spans="1:10" s="393" customFormat="1" x14ac:dyDescent="0.25">
      <c r="A9018" s="402" t="s">
        <v>34</v>
      </c>
      <c r="B9018" s="269">
        <v>44268</v>
      </c>
      <c r="C9018" s="17">
        <v>140</v>
      </c>
      <c r="D9018" s="39">
        <f t="shared" si="769"/>
        <v>27592</v>
      </c>
      <c r="E9018" s="1">
        <v>2</v>
      </c>
      <c r="F9018" s="39">
        <f t="shared" si="773"/>
        <v>1140</v>
      </c>
      <c r="G9018" s="436">
        <f>SUM(C9018,C8994,C8970,C8946,C8922,C8898,C8874,C8850,C8826,C8802,C8778,C8754,C8730,C8706)/POBLA!$B$17*100000</f>
        <v>107.62448952082882</v>
      </c>
      <c r="H9018" s="441">
        <f t="shared" ref="H9018:H9041" si="774">SUM(C9018,C8994,C8970,C8946,C8922,C8898,C8874,C8850,C8826,C8802,C8778,C8754,C8730,C8706)/SUM(C8682,C8658,C8634,C8610,C8586,C8562,C8538,C8514,C8490,C8466,C8442,C8418,C8394,C8370)</f>
        <v>1.2205414012738853</v>
      </c>
      <c r="J9018" s="42"/>
    </row>
    <row r="9019" spans="1:10" s="393" customFormat="1" x14ac:dyDescent="0.25">
      <c r="A9019" s="402" t="s">
        <v>35</v>
      </c>
      <c r="B9019" s="269">
        <v>44268</v>
      </c>
      <c r="C9019" s="17">
        <v>11</v>
      </c>
      <c r="D9019" s="39">
        <f t="shared" si="769"/>
        <v>15870</v>
      </c>
      <c r="E9019" s="1"/>
      <c r="F9019" s="39">
        <f t="shared" si="773"/>
        <v>217</v>
      </c>
      <c r="G9019" s="436">
        <f>SUM(C9019,C8995,C8971,C8947,C8923,C8899,C8875,C8851,C8827,C8803,C8779,C8755,C8731,C8707)/POBLA!$B$18*100000</f>
        <v>80.771411784433781</v>
      </c>
      <c r="H9019" s="441">
        <f t="shared" si="774"/>
        <v>0.99370078740157475</v>
      </c>
      <c r="J9019" s="42"/>
    </row>
    <row r="9020" spans="1:10" s="393" customFormat="1" x14ac:dyDescent="0.25">
      <c r="A9020" s="402" t="s">
        <v>36</v>
      </c>
      <c r="B9020" s="269">
        <v>44268</v>
      </c>
      <c r="C9020" s="17">
        <v>1</v>
      </c>
      <c r="D9020" s="39">
        <f t="shared" si="769"/>
        <v>21516</v>
      </c>
      <c r="E9020" s="1"/>
      <c r="F9020" s="39">
        <f t="shared" si="773"/>
        <v>361</v>
      </c>
      <c r="G9020" s="436">
        <f>SUM(C9020,C8996,C8972,C8948,C8924,C8900,C8876,C8852,C8828,C8804,C8780,C8756,C8732,C8708)/POBLA!$B$19*100000</f>
        <v>146.3621913410239</v>
      </c>
      <c r="H9020" s="441">
        <f t="shared" si="774"/>
        <v>0.75151515151515147</v>
      </c>
      <c r="J9020" s="42"/>
    </row>
    <row r="9021" spans="1:10" s="393" customFormat="1" x14ac:dyDescent="0.25">
      <c r="A9021" s="402" t="s">
        <v>37</v>
      </c>
      <c r="B9021" s="269">
        <v>44268</v>
      </c>
      <c r="C9021" s="17">
        <v>99</v>
      </c>
      <c r="D9021" s="39">
        <f t="shared" si="769"/>
        <v>37324</v>
      </c>
      <c r="E9021" s="1">
        <v>3</v>
      </c>
      <c r="F9021" s="39">
        <f t="shared" si="773"/>
        <v>610</v>
      </c>
      <c r="G9021" s="436">
        <f>SUM(C9021,C8997,C8973,C8949,C8925,C8901,C8877,C8853,C8829,C8805,C8781,C8757,C8733,C8709)/POBLA!$B$20*100000</f>
        <v>390.48613883587001</v>
      </c>
      <c r="H9021" s="441">
        <f t="shared" si="774"/>
        <v>1.0063424947145878</v>
      </c>
      <c r="J9021" s="42"/>
    </row>
    <row r="9022" spans="1:10" s="393" customFormat="1" x14ac:dyDescent="0.25">
      <c r="A9022" s="402" t="s">
        <v>22</v>
      </c>
      <c r="B9022" s="269">
        <v>44268</v>
      </c>
      <c r="C9022" s="17">
        <v>471</v>
      </c>
      <c r="D9022" s="39">
        <f t="shared" si="769"/>
        <v>222124</v>
      </c>
      <c r="E9022" s="1">
        <v>1</v>
      </c>
      <c r="F9022" s="39">
        <f t="shared" si="773"/>
        <v>4105</v>
      </c>
      <c r="G9022" s="436">
        <f>SUM(C9022,C8998,C8974,C8950,C8926,C8902,C8878,C8854,C8830,C8806,C8782,C8758,C8734,C8710)/POBLA!$B$21*100000</f>
        <v>163.49877192119257</v>
      </c>
      <c r="H9022" s="441">
        <f t="shared" si="774"/>
        <v>1.2520571676050238</v>
      </c>
      <c r="J9022" s="42"/>
    </row>
    <row r="9023" spans="1:10" s="393" customFormat="1" x14ac:dyDescent="0.25">
      <c r="A9023" s="402" t="s">
        <v>38</v>
      </c>
      <c r="B9023" s="269">
        <v>44268</v>
      </c>
      <c r="C9023" s="17">
        <v>71</v>
      </c>
      <c r="D9023" s="39">
        <f t="shared" si="769"/>
        <v>23382</v>
      </c>
      <c r="E9023" s="1">
        <v>2</v>
      </c>
      <c r="F9023" s="39">
        <f t="shared" si="773"/>
        <v>276</v>
      </c>
      <c r="G9023" s="436">
        <f>SUM(C9023,C8999,C8975,C8951,C8927,C8903,C8879,C8855,C8831,C8807,C8783,C8759,C8735,C8711)/POBLA!$B$22*100000</f>
        <v>83.204455015930478</v>
      </c>
      <c r="H9023" s="441">
        <f t="shared" si="774"/>
        <v>1.1074829931972789</v>
      </c>
      <c r="J9023" s="42"/>
    </row>
    <row r="9024" spans="1:10" s="393" customFormat="1" x14ac:dyDescent="0.25">
      <c r="A9024" s="402" t="s">
        <v>39</v>
      </c>
      <c r="B9024" s="269">
        <v>44268</v>
      </c>
      <c r="C9024" s="17">
        <v>12</v>
      </c>
      <c r="D9024" s="39">
        <f t="shared" si="769"/>
        <v>23329</v>
      </c>
      <c r="E9024" s="1"/>
      <c r="F9024" s="39">
        <f t="shared" si="773"/>
        <v>358</v>
      </c>
      <c r="G9024" s="436">
        <f>SUM(C9024,C9000,C8976,C8952,C8928,C8904,C8880,C8856,C8832,C8808,C8784,C8760,C8736,C8712)/POBLA!$B$23*100000</f>
        <v>223.94390092178926</v>
      </c>
      <c r="H9024" s="441">
        <f t="shared" si="774"/>
        <v>0.78260869565217395</v>
      </c>
      <c r="J9024" s="42"/>
    </row>
    <row r="9025" spans="1:10" s="393" customFormat="1" ht="15.75" thickBot="1" x14ac:dyDescent="0.3">
      <c r="A9025" s="404" t="s">
        <v>40</v>
      </c>
      <c r="B9025" s="269">
        <v>44268</v>
      </c>
      <c r="C9025" s="17">
        <v>124</v>
      </c>
      <c r="D9025" s="177">
        <f t="shared" si="769"/>
        <v>82047</v>
      </c>
      <c r="E9025" s="1"/>
      <c r="F9025" s="177">
        <f t="shared" si="773"/>
        <v>1491</v>
      </c>
      <c r="G9025" s="439">
        <f>SUM(C9025,C9001,C8977,C8953,C8929,C8905,C8881,C8857,C8833,C8809,C8785,C8761,C8737,C8713)/POBLA!$B$24*100000</f>
        <v>137.72706673212735</v>
      </c>
      <c r="H9025" s="442">
        <f t="shared" si="774"/>
        <v>1.3876337693222354</v>
      </c>
      <c r="J9025" s="42"/>
    </row>
    <row r="9026" spans="1:10" s="393" customFormat="1" x14ac:dyDescent="0.25">
      <c r="A9026" s="397" t="s">
        <v>16</v>
      </c>
      <c r="B9026" s="269">
        <v>44269</v>
      </c>
      <c r="C9026" s="1">
        <v>1539</v>
      </c>
      <c r="D9026" s="175">
        <f t="shared" si="769"/>
        <v>917300</v>
      </c>
      <c r="E9026" s="1">
        <v>12</v>
      </c>
      <c r="F9026" s="175">
        <f t="shared" si="773"/>
        <v>27047</v>
      </c>
      <c r="G9026" s="410">
        <f>SUM(C9026,C9002,C8978,C8954,C8930,C8906,C8882,C8858,C8834,C8810,C8786,C8762,C8738,C8714)/POBLA!$B$1*100000</f>
        <v>213.74322229095588</v>
      </c>
      <c r="H9026" s="440">
        <f t="shared" si="774"/>
        <v>1.0960301683816651</v>
      </c>
      <c r="J9026" s="42"/>
    </row>
    <row r="9027" spans="1:10" s="393" customFormat="1" x14ac:dyDescent="0.25">
      <c r="A9027" s="402" t="s">
        <v>43</v>
      </c>
      <c r="B9027" s="269">
        <v>44269</v>
      </c>
      <c r="C9027" s="1">
        <v>556</v>
      </c>
      <c r="D9027" s="39">
        <f t="shared" si="769"/>
        <v>241956</v>
      </c>
      <c r="E9027" s="1">
        <v>3</v>
      </c>
      <c r="F9027" s="39">
        <f t="shared" si="773"/>
        <v>6693</v>
      </c>
      <c r="G9027" s="436">
        <f>SUM(C9027,C9003,C8979,C8955,C8931,C8907,C8883,C8859,C8835,C8811,C8787,C8763,C8739,C8715)/POBLA!$B$2*100000</f>
        <v>327.21581092232333</v>
      </c>
      <c r="H9027" s="441">
        <f t="shared" si="774"/>
        <v>1.0650862525134934</v>
      </c>
      <c r="J9027" s="42"/>
    </row>
    <row r="9028" spans="1:10" s="393" customFormat="1" x14ac:dyDescent="0.25">
      <c r="A9028" s="402" t="s">
        <v>28</v>
      </c>
      <c r="B9028" s="269">
        <v>44269</v>
      </c>
      <c r="C9028" s="1">
        <v>53</v>
      </c>
      <c r="D9028" s="39">
        <f t="shared" si="769"/>
        <v>9028</v>
      </c>
      <c r="E9028" s="1"/>
      <c r="F9028" s="39">
        <f t="shared" si="773"/>
        <v>18</v>
      </c>
      <c r="G9028" s="436">
        <f>SUM(C9028,C9004,C8980,C8956,C8932,C8908,C8884,C8860,C8836,C8812,C8788,C8764,C8740,C8716)/POBLA!$B$3*100000</f>
        <v>275.37201700374061</v>
      </c>
      <c r="H9028" s="441">
        <f t="shared" si="774"/>
        <v>1.0485792850595783</v>
      </c>
      <c r="J9028" s="42"/>
    </row>
    <row r="9029" spans="1:10" s="393" customFormat="1" x14ac:dyDescent="0.25">
      <c r="A9029" s="402" t="s">
        <v>15</v>
      </c>
      <c r="B9029" s="269">
        <v>44269</v>
      </c>
      <c r="C9029" s="1">
        <v>87</v>
      </c>
      <c r="D9029" s="39">
        <f t="shared" si="769"/>
        <v>35942</v>
      </c>
      <c r="E9029" s="1"/>
      <c r="F9029" s="39">
        <f t="shared" si="773"/>
        <v>894</v>
      </c>
      <c r="G9029" s="436">
        <f>SUM(C9029,C9005,C8981,C8957,C8933,C8909,C8885,C8861,C8837,C8813,C8789,C8765,C8741,C8717)/POBLA!$B$4*100000</f>
        <v>149.35149571496527</v>
      </c>
      <c r="H9029" s="441">
        <f t="shared" si="774"/>
        <v>1.0601060695344726</v>
      </c>
      <c r="J9029" s="42"/>
    </row>
    <row r="9030" spans="1:10" s="393" customFormat="1" x14ac:dyDescent="0.25">
      <c r="A9030" s="402" t="s">
        <v>29</v>
      </c>
      <c r="B9030" s="269">
        <v>44269</v>
      </c>
      <c r="C9030" s="1">
        <v>23</v>
      </c>
      <c r="D9030" s="39">
        <f t="shared" si="769"/>
        <v>48128</v>
      </c>
      <c r="E9030" s="1"/>
      <c r="F9030" s="39">
        <f t="shared" si="773"/>
        <v>808</v>
      </c>
      <c r="G9030" s="436">
        <f>SUM(C9030,C9006,C8982,C8958,C8934,C8910,C8886,C8862,C8838,C8814,C8790,C8766,C8742,C8718)/POBLA!$B$5*100000</f>
        <v>199.84038617498717</v>
      </c>
      <c r="H9030" s="441">
        <f t="shared" si="774"/>
        <v>0.74518072289156623</v>
      </c>
      <c r="J9030" s="42"/>
    </row>
    <row r="9031" spans="1:10" s="393" customFormat="1" x14ac:dyDescent="0.25">
      <c r="A9031" s="402" t="s">
        <v>30</v>
      </c>
      <c r="B9031" s="269">
        <v>44269</v>
      </c>
      <c r="C9031" s="1">
        <v>121</v>
      </c>
      <c r="D9031" s="39">
        <f t="shared" si="769"/>
        <v>24960</v>
      </c>
      <c r="E9031" s="1"/>
      <c r="F9031" s="39">
        <f t="shared" si="773"/>
        <v>306</v>
      </c>
      <c r="G9031" s="436">
        <f>SUM(C9031,C9007,C8983,C8959,C8935,C8911,C8887,C8863,C8839,C8815,C8791,C8767,C8743,C8719)/POBLA!$B$6*100000</f>
        <v>276.9447921620341</v>
      </c>
      <c r="H9031" s="441">
        <f t="shared" si="774"/>
        <v>1.2381332269644993</v>
      </c>
      <c r="J9031" s="42"/>
    </row>
    <row r="9032" spans="1:10" s="393" customFormat="1" x14ac:dyDescent="0.25">
      <c r="A9032" s="402" t="s">
        <v>20</v>
      </c>
      <c r="B9032" s="269">
        <v>44269</v>
      </c>
      <c r="C9032" s="1">
        <v>281</v>
      </c>
      <c r="D9032" s="39">
        <f t="shared" si="769"/>
        <v>167879</v>
      </c>
      <c r="E9032" s="1">
        <v>2</v>
      </c>
      <c r="F9032" s="39">
        <f t="shared" si="773"/>
        <v>2918</v>
      </c>
      <c r="G9032" s="436">
        <f>SUM(C9032,C9008,C8984,C8960,C8936,C8912,C8888,C8864,C8840,C8816,C8792,C8768,C8744,C8720)/POBLA!$B$7*100000</f>
        <v>212.76708904519404</v>
      </c>
      <c r="H9032" s="441">
        <f t="shared" si="774"/>
        <v>1.0214477211796247</v>
      </c>
      <c r="J9032" s="42"/>
    </row>
    <row r="9033" spans="1:10" x14ac:dyDescent="0.25">
      <c r="A9033" s="402" t="s">
        <v>31</v>
      </c>
      <c r="B9033" s="269">
        <v>44269</v>
      </c>
      <c r="C9033" s="1">
        <v>62</v>
      </c>
      <c r="D9033" s="39">
        <f t="shared" si="769"/>
        <v>46872</v>
      </c>
      <c r="F9033" s="39">
        <f t="shared" ref="F9033:F9056" si="775">E9033+F9009</f>
        <v>898</v>
      </c>
      <c r="G9033" s="169">
        <f>SUM(C9033,C9009,C8985,C8961,C8937,C8913,C8889,C8865,C8841,C8817,C8793,C8769,C8745,C8721)/POBLA!$B$8*100000</f>
        <v>123.01933459888122</v>
      </c>
      <c r="H9033" s="518">
        <f t="shared" si="774"/>
        <v>1.0518198642813079</v>
      </c>
    </row>
    <row r="9034" spans="1:10" s="393" customFormat="1" x14ac:dyDescent="0.25">
      <c r="A9034" s="402" t="s">
        <v>41</v>
      </c>
      <c r="B9034" s="269">
        <v>44269</v>
      </c>
      <c r="C9034" s="1">
        <v>45</v>
      </c>
      <c r="D9034" s="39">
        <f t="shared" ref="D9034:D9098" si="776">C9034+D9010</f>
        <v>1567</v>
      </c>
      <c r="E9034" s="1"/>
      <c r="F9034" s="39">
        <f t="shared" si="775"/>
        <v>20</v>
      </c>
      <c r="G9034" s="436">
        <f>SUM(C9034,C9010,C8986,C8962,C8938,C8914,C8890,C8866,C8842,C8818,C8794,C8770,C8746,C8722)/POBLA!$B$9*100000</f>
        <v>57.171844353784657</v>
      </c>
      <c r="H9034" s="441">
        <f t="shared" si="774"/>
        <v>1.3675889328063242</v>
      </c>
      <c r="J9034" s="42"/>
    </row>
    <row r="9035" spans="1:10" s="393" customFormat="1" x14ac:dyDescent="0.25">
      <c r="A9035" s="402" t="s">
        <v>32</v>
      </c>
      <c r="B9035" s="269">
        <v>44269</v>
      </c>
      <c r="C9035" s="1">
        <v>69</v>
      </c>
      <c r="D9035" s="39">
        <f t="shared" si="776"/>
        <v>21681</v>
      </c>
      <c r="E9035" s="1">
        <v>4</v>
      </c>
      <c r="F9035" s="39">
        <f t="shared" si="775"/>
        <v>927</v>
      </c>
      <c r="G9035" s="436">
        <f>SUM(C9035,C9011,C8987,C8963,C8939,C8915,C8891,C8867,C8843,C8819,C8795,C8771,C8747,C8723)/POBLA!$B$10*100000</f>
        <v>120.51146675038042</v>
      </c>
      <c r="H9035" s="441">
        <f t="shared" si="774"/>
        <v>0.94506612410986779</v>
      </c>
      <c r="J9035" s="42"/>
    </row>
    <row r="9036" spans="1:10" s="393" customFormat="1" x14ac:dyDescent="0.25">
      <c r="A9036" s="402" t="s">
        <v>33</v>
      </c>
      <c r="B9036" s="269">
        <v>44269</v>
      </c>
      <c r="C9036" s="1">
        <v>27</v>
      </c>
      <c r="D9036" s="39">
        <f t="shared" si="776"/>
        <v>19840</v>
      </c>
      <c r="E9036" s="1"/>
      <c r="F9036" s="39">
        <f t="shared" si="775"/>
        <v>299</v>
      </c>
      <c r="G9036" s="436">
        <f>SUM(C9036,C9012,C8988,C8964,C8940,C8916,C8892,C8868,C8844,C8820,C8796,C8772,C8748,C8724)/POBLA!$B$11*100000</f>
        <v>320.84546966196837</v>
      </c>
      <c r="H9036" s="441">
        <f t="shared" si="774"/>
        <v>1.1782786885245902</v>
      </c>
      <c r="J9036" s="42"/>
    </row>
    <row r="9037" spans="1:10" s="393" customFormat="1" x14ac:dyDescent="0.25">
      <c r="A9037" s="402" t="s">
        <v>21</v>
      </c>
      <c r="B9037" s="269">
        <v>44269</v>
      </c>
      <c r="C9037" s="1">
        <v>30</v>
      </c>
      <c r="D9037" s="39">
        <f t="shared" si="776"/>
        <v>10535</v>
      </c>
      <c r="E9037" s="1"/>
      <c r="F9037" s="39">
        <f t="shared" si="775"/>
        <v>445</v>
      </c>
      <c r="G9037" s="436">
        <f>SUM(C9037,C9013,C8989,C8965,C8941,C8917,C8893,C8869,C8845,C8821,C8797,C8773,C8749,C8725)/POBLA!$B$12*100000</f>
        <v>79.028081650492595</v>
      </c>
      <c r="H9037" s="441">
        <f t="shared" si="774"/>
        <v>0.82493368700265257</v>
      </c>
      <c r="J9037" s="42"/>
    </row>
    <row r="9038" spans="1:10" s="393" customFormat="1" x14ac:dyDescent="0.25">
      <c r="A9038" s="402" t="s">
        <v>17</v>
      </c>
      <c r="B9038" s="269">
        <v>44269</v>
      </c>
      <c r="C9038" s="1">
        <v>60</v>
      </c>
      <c r="D9038" s="39">
        <f t="shared" si="776"/>
        <v>69368</v>
      </c>
      <c r="E9038" s="1"/>
      <c r="F9038" s="39">
        <f t="shared" si="775"/>
        <v>1477</v>
      </c>
      <c r="G9038" s="436">
        <f>SUM(C9038,C9014,C8990,C8966,C8942,C8918,C8894,C8870,C8846,C8822,C8798,C8774,C8750,C8726)/POBLA!$B$13*100000</f>
        <v>107.11748456794777</v>
      </c>
      <c r="H9038" s="441">
        <f t="shared" si="774"/>
        <v>1.3553719008264462</v>
      </c>
      <c r="J9038" s="42"/>
    </row>
    <row r="9039" spans="1:10" s="393" customFormat="1" x14ac:dyDescent="0.25">
      <c r="A9039" s="402" t="s">
        <v>23</v>
      </c>
      <c r="B9039" s="269">
        <v>44269</v>
      </c>
      <c r="C9039" s="1">
        <v>122</v>
      </c>
      <c r="D9039" s="39">
        <f t="shared" si="776"/>
        <v>9970</v>
      </c>
      <c r="E9039" s="1"/>
      <c r="F9039" s="39">
        <f t="shared" si="775"/>
        <v>168</v>
      </c>
      <c r="G9039" s="436">
        <f>SUM(C9039,C9015,C8991,C8967,C8943,C8919,C8895,C8871,C8847,C8823,C8799,C8775,C8751,C8727)/POBLA!$B$14*100000</f>
        <v>134.46508109925202</v>
      </c>
      <c r="H9039" s="441">
        <f t="shared" si="774"/>
        <v>1.1027308192457737</v>
      </c>
      <c r="J9039" s="42"/>
    </row>
    <row r="9040" spans="1:10" s="393" customFormat="1" x14ac:dyDescent="0.25">
      <c r="A9040" s="402" t="s">
        <v>19</v>
      </c>
      <c r="B9040" s="269">
        <v>44269</v>
      </c>
      <c r="C9040" s="1">
        <v>72</v>
      </c>
      <c r="D9040" s="39">
        <f t="shared" si="776"/>
        <v>63212</v>
      </c>
      <c r="E9040" s="1"/>
      <c r="F9040" s="39">
        <f t="shared" si="775"/>
        <v>955</v>
      </c>
      <c r="G9040" s="436">
        <f>SUM(C9040,C9016,C8992,C8968,C8944,C8920,C8896,C8872,C8848,C8824,C8800,C8776,C8752,C8728)/POBLA!$B$15*100000</f>
        <v>306.60018642977934</v>
      </c>
      <c r="H9040" s="441">
        <f t="shared" si="774"/>
        <v>0.81018702745722249</v>
      </c>
      <c r="J9040" s="42"/>
    </row>
    <row r="9041" spans="1:10" s="393" customFormat="1" x14ac:dyDescent="0.25">
      <c r="A9041" s="402" t="s">
        <v>18</v>
      </c>
      <c r="B9041" s="269">
        <v>44269</v>
      </c>
      <c r="C9041" s="1">
        <v>37</v>
      </c>
      <c r="D9041" s="39">
        <f t="shared" si="776"/>
        <v>53787</v>
      </c>
      <c r="E9041" s="1"/>
      <c r="F9041" s="39">
        <f t="shared" si="775"/>
        <v>1237</v>
      </c>
      <c r="G9041" s="436">
        <f>SUM(C9041,C9017,C8993,C8969,C8945,C8921,C8897,C8873,C8849,C8825,C8801,C8777,C8753,C8729)/POBLA!$B$16*100000</f>
        <v>195.42274715426493</v>
      </c>
      <c r="H9041" s="441">
        <f t="shared" si="774"/>
        <v>0.84499710815500284</v>
      </c>
      <c r="J9041" s="42"/>
    </row>
    <row r="9042" spans="1:10" s="393" customFormat="1" x14ac:dyDescent="0.25">
      <c r="A9042" s="402" t="s">
        <v>34</v>
      </c>
      <c r="B9042" s="269">
        <v>44269</v>
      </c>
      <c r="C9042" s="1">
        <v>35</v>
      </c>
      <c r="D9042" s="39">
        <f t="shared" si="776"/>
        <v>27627</v>
      </c>
      <c r="E9042" s="1">
        <v>2</v>
      </c>
      <c r="F9042" s="39">
        <f t="shared" si="775"/>
        <v>1142</v>
      </c>
      <c r="G9042" s="436">
        <f>SUM(C9042,C9018,C8994,C8970,C8946,C8922,C8898,C8874,C8850,C8826,C8802,C8778,C8754,C8730)/POBLA!$B$17*100000</f>
        <v>104.3248476372809</v>
      </c>
      <c r="H9042" s="441">
        <f t="shared" ref="H9042:H9065" si="777">SUM(C9042,C9018,C8994,C8970,C8946,C8922,C8898,C8874,C8850,C8826,C8802,C8778,C8754,C8730)/SUM(C8706,C8682,C8658,C8634,C8610,C8586,C8562,C8538,C8514,C8490,C8466,C8442,C8418,C8394)</f>
        <v>1.1395705521472392</v>
      </c>
      <c r="J9042" s="42"/>
    </row>
    <row r="9043" spans="1:10" s="393" customFormat="1" x14ac:dyDescent="0.25">
      <c r="A9043" s="402" t="s">
        <v>35</v>
      </c>
      <c r="B9043" s="269">
        <v>44269</v>
      </c>
      <c r="C9043" s="1">
        <v>4</v>
      </c>
      <c r="D9043" s="39">
        <f t="shared" si="776"/>
        <v>15874</v>
      </c>
      <c r="E9043" s="1"/>
      <c r="F9043" s="39">
        <f t="shared" si="775"/>
        <v>217</v>
      </c>
      <c r="G9043" s="436">
        <f>SUM(C9043,C9019,C8995,C8971,C8947,C8923,C8899,C8875,C8851,C8827,C8803,C8779,C8755,C8731)/POBLA!$B$18*100000</f>
        <v>80.643406377485391</v>
      </c>
      <c r="H9043" s="441">
        <f t="shared" si="777"/>
        <v>0.99526066350710896</v>
      </c>
      <c r="J9043" s="42"/>
    </row>
    <row r="9044" spans="1:10" s="393" customFormat="1" x14ac:dyDescent="0.25">
      <c r="A9044" s="402" t="s">
        <v>36</v>
      </c>
      <c r="B9044" s="269">
        <v>44269</v>
      </c>
      <c r="C9044" s="1">
        <v>2</v>
      </c>
      <c r="D9044" s="39">
        <f t="shared" si="776"/>
        <v>21518</v>
      </c>
      <c r="E9044" s="1"/>
      <c r="F9044" s="39">
        <f t="shared" si="775"/>
        <v>361</v>
      </c>
      <c r="G9044" s="436">
        <f>SUM(C9044,C9020,C8996,C8972,C8948,C8924,C8900,C8876,C8852,C8828,C8804,C8780,C8756,C8732)/POBLA!$B$19*100000</f>
        <v>146.55891471648226</v>
      </c>
      <c r="H9044" s="441">
        <f t="shared" si="777"/>
        <v>1.0673352435530086</v>
      </c>
      <c r="J9044" s="42"/>
    </row>
    <row r="9045" spans="1:10" s="393" customFormat="1" x14ac:dyDescent="0.25">
      <c r="A9045" s="402" t="s">
        <v>37</v>
      </c>
      <c r="B9045" s="269">
        <v>44269</v>
      </c>
      <c r="C9045" s="1">
        <v>61</v>
      </c>
      <c r="D9045" s="39">
        <f t="shared" si="776"/>
        <v>37385</v>
      </c>
      <c r="E9045" s="1">
        <v>1</v>
      </c>
      <c r="F9045" s="39">
        <f t="shared" si="775"/>
        <v>611</v>
      </c>
      <c r="G9045" s="436">
        <f>SUM(C9045,C9021,C8997,C8973,C8949,C8925,C8901,C8877,C8853,C8829,C8805,C8781,C8757,C8733)/POBLA!$B$20*100000</f>
        <v>397.59583043932423</v>
      </c>
      <c r="H9045" s="441">
        <f t="shared" si="777"/>
        <v>1.043041606886657</v>
      </c>
      <c r="J9045" s="42"/>
    </row>
    <row r="9046" spans="1:10" s="393" customFormat="1" x14ac:dyDescent="0.25">
      <c r="A9046" s="402" t="s">
        <v>22</v>
      </c>
      <c r="B9046" s="269">
        <v>44269</v>
      </c>
      <c r="C9046" s="1">
        <v>190</v>
      </c>
      <c r="D9046" s="39">
        <f t="shared" si="776"/>
        <v>222314</v>
      </c>
      <c r="E9046" s="1"/>
      <c r="F9046" s="39">
        <f t="shared" si="775"/>
        <v>4105</v>
      </c>
      <c r="G9046" s="436">
        <f>SUM(C9046,C9022,C8998,C8974,C8950,C8926,C8902,C8878,C8854,C8830,C8806,C8782,C8758,C8734)/POBLA!$B$21*100000</f>
        <v>165.39334433881967</v>
      </c>
      <c r="H9046" s="441">
        <f t="shared" si="777"/>
        <v>1.2860598065083553</v>
      </c>
      <c r="J9046" s="42"/>
    </row>
    <row r="9047" spans="1:10" s="393" customFormat="1" x14ac:dyDescent="0.25">
      <c r="A9047" s="402" t="s">
        <v>38</v>
      </c>
      <c r="B9047" s="269">
        <v>44269</v>
      </c>
      <c r="C9047" s="1">
        <v>78</v>
      </c>
      <c r="D9047" s="39">
        <f t="shared" si="776"/>
        <v>23460</v>
      </c>
      <c r="E9047" s="1"/>
      <c r="F9047" s="39">
        <f t="shared" si="775"/>
        <v>276</v>
      </c>
      <c r="G9047" s="436">
        <f>SUM(C9047,C9023,C8999,C8975,C8951,C8927,C8903,C8879,C8855,C8831,C8807,C8783,C8759,C8735)/POBLA!$B$22*100000</f>
        <v>81.977853713484336</v>
      </c>
      <c r="H9047" s="441">
        <f t="shared" si="777"/>
        <v>1.0075376884422111</v>
      </c>
      <c r="J9047" s="42"/>
    </row>
    <row r="9048" spans="1:10" s="393" customFormat="1" x14ac:dyDescent="0.25">
      <c r="A9048" s="402" t="s">
        <v>39</v>
      </c>
      <c r="B9048" s="269">
        <v>44269</v>
      </c>
      <c r="C9048" s="1">
        <v>34</v>
      </c>
      <c r="D9048" s="39">
        <f t="shared" si="776"/>
        <v>23363</v>
      </c>
      <c r="E9048" s="1"/>
      <c r="F9048" s="39">
        <f t="shared" si="775"/>
        <v>358</v>
      </c>
      <c r="G9048" s="436">
        <f>SUM(C9048,C9024,C9000,C8976,C8952,C8928,C8904,C8880,C8856,C8832,C8808,C8784,C8760,C8736)/POBLA!$B$23*100000</f>
        <v>239.77831815868348</v>
      </c>
      <c r="H9048" s="441">
        <f t="shared" si="777"/>
        <v>0.87422680412371134</v>
      </c>
      <c r="J9048" s="42"/>
    </row>
    <row r="9049" spans="1:10" s="393" customFormat="1" ht="15.75" thickBot="1" x14ac:dyDescent="0.3">
      <c r="A9049" s="404" t="s">
        <v>40</v>
      </c>
      <c r="B9049" s="269">
        <v>44269</v>
      </c>
      <c r="C9049" s="1">
        <v>109</v>
      </c>
      <c r="D9049" s="177">
        <f t="shared" si="776"/>
        <v>82156</v>
      </c>
      <c r="E9049" s="1"/>
      <c r="F9049" s="177">
        <f t="shared" si="775"/>
        <v>1491</v>
      </c>
      <c r="G9049" s="439">
        <f>SUM(C9049,C9025,C9001,C8977,C8953,C8929,C8905,C8881,C8857,C8833,C8809,C8785,C8761,C8737)/POBLA!$B$24*100000</f>
        <v>139.20229238264284</v>
      </c>
      <c r="H9049" s="442">
        <f t="shared" si="777"/>
        <v>1.3868312757201646</v>
      </c>
      <c r="J9049" s="42"/>
    </row>
    <row r="9050" spans="1:10" s="393" customFormat="1" x14ac:dyDescent="0.25">
      <c r="A9050" s="397" t="s">
        <v>16</v>
      </c>
      <c r="B9050" s="269">
        <v>44270</v>
      </c>
      <c r="C9050" s="1">
        <v>2610</v>
      </c>
      <c r="D9050" s="175">
        <f t="shared" si="776"/>
        <v>919910</v>
      </c>
      <c r="E9050" s="1">
        <v>105</v>
      </c>
      <c r="F9050" s="175">
        <f t="shared" si="775"/>
        <v>27152</v>
      </c>
      <c r="G9050" s="410">
        <f>SUM(C9050,C9026,C9002,C8978,C8954,C8930,C8906,C8882,C8858,C8834,C8810,C8786,C8762,C8738)/POBLA!$B$1*100000</f>
        <v>217.19795764711088</v>
      </c>
      <c r="H9050" s="440">
        <f t="shared" si="777"/>
        <v>1.0934477513417329</v>
      </c>
      <c r="J9050" s="42"/>
    </row>
    <row r="9051" spans="1:10" s="393" customFormat="1" x14ac:dyDescent="0.25">
      <c r="A9051" s="402" t="s">
        <v>43</v>
      </c>
      <c r="B9051" s="269">
        <v>44270</v>
      </c>
      <c r="C9051" s="1">
        <v>1086</v>
      </c>
      <c r="D9051" s="39">
        <f t="shared" si="776"/>
        <v>243042</v>
      </c>
      <c r="E9051" s="1">
        <v>9</v>
      </c>
      <c r="F9051" s="39">
        <f t="shared" si="775"/>
        <v>6702</v>
      </c>
      <c r="G9051" s="436">
        <f>SUM(C9051,C9027,C9003,C8979,C8955,C8931,C8907,C8883,C8859,C8835,C8811,C8787,C8763,C8739)/POBLA!$B$2*100000</f>
        <v>348.47963647311815</v>
      </c>
      <c r="H9051" s="441">
        <f t="shared" si="777"/>
        <v>1.1414270500532482</v>
      </c>
      <c r="J9051" s="42"/>
    </row>
    <row r="9052" spans="1:10" s="393" customFormat="1" x14ac:dyDescent="0.25">
      <c r="A9052" s="402" t="s">
        <v>28</v>
      </c>
      <c r="B9052" s="269">
        <v>44270</v>
      </c>
      <c r="C9052" s="1">
        <v>91</v>
      </c>
      <c r="D9052" s="39">
        <f t="shared" si="776"/>
        <v>9119</v>
      </c>
      <c r="E9052" s="1"/>
      <c r="F9052" s="39">
        <f t="shared" si="775"/>
        <v>18</v>
      </c>
      <c r="G9052" s="436">
        <f>SUM(C9052,C9028,C9004,C8980,C8956,C8932,C8908,C8884,C8860,C8836,C8812,C8788,C8764,C8740)/POBLA!$B$3*100000</f>
        <v>260.20729928412902</v>
      </c>
      <c r="H9052" s="441">
        <f t="shared" si="777"/>
        <v>0.93189655172413788</v>
      </c>
      <c r="J9052" s="42"/>
    </row>
    <row r="9053" spans="1:10" s="393" customFormat="1" x14ac:dyDescent="0.25">
      <c r="A9053" s="402" t="s">
        <v>15</v>
      </c>
      <c r="B9053" s="269">
        <v>44270</v>
      </c>
      <c r="C9053" s="1">
        <v>120</v>
      </c>
      <c r="D9053" s="39">
        <f t="shared" si="776"/>
        <v>36062</v>
      </c>
      <c r="E9053" s="1">
        <v>1</v>
      </c>
      <c r="F9053" s="39">
        <f t="shared" si="775"/>
        <v>895</v>
      </c>
      <c r="G9053" s="436">
        <f>SUM(C9053,C9029,C9005,C8981,C8957,C8933,C8909,C8885,C8861,C8837,C8813,C8789,C8765,C8741)/POBLA!$B$4*100000</f>
        <v>153.17037776215173</v>
      </c>
      <c r="H9053" s="441">
        <f t="shared" si="777"/>
        <v>1.0802107728337236</v>
      </c>
      <c r="J9053" s="42"/>
    </row>
    <row r="9054" spans="1:10" s="393" customFormat="1" x14ac:dyDescent="0.25">
      <c r="A9054" s="402" t="s">
        <v>29</v>
      </c>
      <c r="B9054" s="269">
        <v>44270</v>
      </c>
      <c r="C9054" s="1">
        <v>123</v>
      </c>
      <c r="D9054" s="39">
        <f t="shared" si="776"/>
        <v>48251</v>
      </c>
      <c r="E9054" s="1">
        <v>3</v>
      </c>
      <c r="F9054" s="39">
        <f t="shared" si="775"/>
        <v>811</v>
      </c>
      <c r="G9054" s="436">
        <f>SUM(C9054,C9030,C9006,C8982,C8958,C8934,C8910,C8886,C8862,C8838,C8814,C8790,C8766,C8742)/POBLA!$B$5*100000</f>
        <v>200.80970090178579</v>
      </c>
      <c r="H9054" s="441">
        <f t="shared" si="777"/>
        <v>0.72435897435897434</v>
      </c>
      <c r="J9054" s="42"/>
    </row>
    <row r="9055" spans="1:10" s="393" customFormat="1" x14ac:dyDescent="0.25">
      <c r="A9055" s="402" t="s">
        <v>30</v>
      </c>
      <c r="B9055" s="269">
        <v>44270</v>
      </c>
      <c r="C9055" s="1">
        <v>69</v>
      </c>
      <c r="D9055" s="39">
        <f t="shared" si="776"/>
        <v>25029</v>
      </c>
      <c r="E9055" s="1"/>
      <c r="F9055" s="39">
        <f t="shared" si="775"/>
        <v>306</v>
      </c>
      <c r="G9055" s="436">
        <f>SUM(C9055,C9031,C9007,C8983,C8959,C8935,C8911,C8887,C8863,C8839,C8815,C8791,C8767,C8743)/POBLA!$B$6*100000</f>
        <v>274.80346644944109</v>
      </c>
      <c r="H9055" s="441">
        <f t="shared" si="777"/>
        <v>1.337386018237082</v>
      </c>
      <c r="J9055" s="42"/>
    </row>
    <row r="9056" spans="1:10" s="393" customFormat="1" x14ac:dyDescent="0.25">
      <c r="A9056" s="402" t="s">
        <v>20</v>
      </c>
      <c r="B9056" s="269">
        <v>44270</v>
      </c>
      <c r="C9056" s="1">
        <v>383</v>
      </c>
      <c r="D9056" s="39">
        <f t="shared" si="776"/>
        <v>168262</v>
      </c>
      <c r="E9056" s="1">
        <v>6</v>
      </c>
      <c r="F9056" s="39">
        <f t="shared" si="775"/>
        <v>2924</v>
      </c>
      <c r="G9056" s="436">
        <f>SUM(C9056,C9032,C9008,C8984,C8960,C8936,C8912,C8888,C8864,C8840,C8816,C8792,C8768,C8744)/POBLA!$B$7*100000</f>
        <v>212.50116342459015</v>
      </c>
      <c r="H9056" s="441">
        <f t="shared" si="777"/>
        <v>0.98642142945315392</v>
      </c>
      <c r="J9056" s="42"/>
    </row>
    <row r="9057" spans="1:10" x14ac:dyDescent="0.25">
      <c r="A9057" s="402" t="s">
        <v>31</v>
      </c>
      <c r="B9057" s="269">
        <v>44270</v>
      </c>
      <c r="C9057" s="1">
        <v>121</v>
      </c>
      <c r="D9057" s="39">
        <f t="shared" si="776"/>
        <v>46993</v>
      </c>
      <c r="E9057" s="1">
        <v>7</v>
      </c>
      <c r="F9057" s="39">
        <f t="shared" ref="F9057:F9080" si="778">E9057+F9033</f>
        <v>905</v>
      </c>
      <c r="G9057" s="169">
        <f>SUM(C9057,C9033,C9009,C8985,C8961,C8937,C8913,C8889,C8865,C8841,C8817,C8793,C8769,C8745)/POBLA!$B$8*100000</f>
        <v>125.11174556859827</v>
      </c>
      <c r="H9057" s="518">
        <f t="shared" si="777"/>
        <v>1.0321428571428573</v>
      </c>
    </row>
    <row r="9058" spans="1:10" s="393" customFormat="1" x14ac:dyDescent="0.25">
      <c r="A9058" s="402" t="s">
        <v>41</v>
      </c>
      <c r="B9058" s="269">
        <v>44270</v>
      </c>
      <c r="C9058" s="1">
        <v>32</v>
      </c>
      <c r="D9058" s="39">
        <f t="shared" si="776"/>
        <v>1599</v>
      </c>
      <c r="E9058" s="1"/>
      <c r="F9058" s="39">
        <f t="shared" si="778"/>
        <v>20</v>
      </c>
      <c r="G9058" s="436">
        <f>SUM(C9058,C9034,C9010,C8986,C8962,C8938,C8914,C8890,C8866,C8842,C8818,C8794,C8770,C8746)/POBLA!$B$9*100000</f>
        <v>58.824209797535666</v>
      </c>
      <c r="H9058" s="441">
        <f t="shared" si="777"/>
        <v>1.3234200743494424</v>
      </c>
      <c r="J9058" s="42"/>
    </row>
    <row r="9059" spans="1:10" s="393" customFormat="1" x14ac:dyDescent="0.25">
      <c r="A9059" s="402" t="s">
        <v>32</v>
      </c>
      <c r="B9059" s="269">
        <v>44270</v>
      </c>
      <c r="C9059" s="1">
        <v>28</v>
      </c>
      <c r="D9059" s="39">
        <f t="shared" si="776"/>
        <v>21709</v>
      </c>
      <c r="E9059" s="1">
        <v>4</v>
      </c>
      <c r="F9059" s="39">
        <f t="shared" si="778"/>
        <v>931</v>
      </c>
      <c r="G9059" s="436">
        <f>SUM(C9059,C9035,C9011,C8987,C8963,C8939,C8915,C8891,C8867,C8843,C8819,C8795,C8771,C8747)/POBLA!$B$10*100000</f>
        <v>118.43591942206386</v>
      </c>
      <c r="H9059" s="441">
        <f t="shared" si="777"/>
        <v>0.91482965931863724</v>
      </c>
      <c r="J9059" s="42"/>
    </row>
    <row r="9060" spans="1:10" s="393" customFormat="1" x14ac:dyDescent="0.25">
      <c r="A9060" s="402" t="s">
        <v>33</v>
      </c>
      <c r="B9060" s="269">
        <v>44270</v>
      </c>
      <c r="C9060" s="1">
        <v>114</v>
      </c>
      <c r="D9060" s="39">
        <f t="shared" si="776"/>
        <v>19954</v>
      </c>
      <c r="E9060" s="1">
        <v>6</v>
      </c>
      <c r="F9060" s="39">
        <f t="shared" si="778"/>
        <v>305</v>
      </c>
      <c r="G9060" s="436">
        <f>SUM(C9060,C9036,C9012,C8988,C8964,C8940,C8916,C8892,C8868,C8844,C8820,C8796,C8772,C8748)/POBLA!$B$11*100000</f>
        <v>331.72631602441771</v>
      </c>
      <c r="H9060" s="441">
        <f t="shared" si="777"/>
        <v>1.165686274509804</v>
      </c>
      <c r="J9060" s="42"/>
    </row>
    <row r="9061" spans="1:10" s="393" customFormat="1" x14ac:dyDescent="0.25">
      <c r="A9061" s="402" t="s">
        <v>21</v>
      </c>
      <c r="B9061" s="269">
        <v>44270</v>
      </c>
      <c r="C9061" s="1">
        <v>14</v>
      </c>
      <c r="D9061" s="39">
        <f t="shared" si="776"/>
        <v>10549</v>
      </c>
      <c r="E9061" s="1"/>
      <c r="F9061" s="39">
        <f t="shared" si="778"/>
        <v>445</v>
      </c>
      <c r="G9061" s="436">
        <f>SUM(C9061,C9037,C9013,C8989,C8965,C8941,C8917,C8893,C8869,C8845,C8821,C8797,C8773,C8749)/POBLA!$B$12*100000</f>
        <v>78.26575288859074</v>
      </c>
      <c r="H9061" s="441">
        <f t="shared" si="777"/>
        <v>0.81052631578947365</v>
      </c>
      <c r="J9061" s="42"/>
    </row>
    <row r="9062" spans="1:10" s="393" customFormat="1" x14ac:dyDescent="0.25">
      <c r="A9062" s="402" t="s">
        <v>17</v>
      </c>
      <c r="B9062" s="269">
        <v>44270</v>
      </c>
      <c r="C9062" s="1">
        <v>125</v>
      </c>
      <c r="D9062" s="39">
        <f t="shared" si="776"/>
        <v>69493</v>
      </c>
      <c r="E9062" s="1">
        <v>3</v>
      </c>
      <c r="F9062" s="39">
        <f t="shared" si="778"/>
        <v>1480</v>
      </c>
      <c r="G9062" s="436">
        <f>SUM(C9062,C9038,C9014,C8990,C8966,C8942,C8918,C8894,C8870,C8846,C8822,C8798,C8774,C8750)/POBLA!$B$13*100000</f>
        <v>108.4740380779546</v>
      </c>
      <c r="H9062" s="441">
        <f t="shared" si="777"/>
        <v>1.3084848484848486</v>
      </c>
      <c r="J9062" s="42"/>
    </row>
    <row r="9063" spans="1:10" s="393" customFormat="1" x14ac:dyDescent="0.25">
      <c r="A9063" s="402" t="s">
        <v>23</v>
      </c>
      <c r="B9063" s="269">
        <v>44270</v>
      </c>
      <c r="C9063" s="1">
        <v>118</v>
      </c>
      <c r="D9063" s="39">
        <f t="shared" si="776"/>
        <v>10088</v>
      </c>
      <c r="E9063" s="1">
        <v>1</v>
      </c>
      <c r="F9063" s="39">
        <f t="shared" si="778"/>
        <v>169</v>
      </c>
      <c r="G9063" s="436">
        <f>SUM(C9063,C9039,C9015,C8991,C8967,C8943,C8919,C8895,C8871,C8847,C8823,C8799,C8775,C8751)/POBLA!$B$14*100000</f>
        <v>135.4164849749543</v>
      </c>
      <c r="H9063" s="441">
        <f t="shared" si="777"/>
        <v>1.1156107119529719</v>
      </c>
      <c r="J9063" s="42"/>
    </row>
    <row r="9064" spans="1:10" s="393" customFormat="1" x14ac:dyDescent="0.25">
      <c r="A9064" s="402" t="s">
        <v>19</v>
      </c>
      <c r="B9064" s="269">
        <v>44270</v>
      </c>
      <c r="C9064" s="1">
        <v>123</v>
      </c>
      <c r="D9064" s="39">
        <f t="shared" si="776"/>
        <v>63335</v>
      </c>
      <c r="E9064" s="1"/>
      <c r="F9064" s="39">
        <f t="shared" si="778"/>
        <v>955</v>
      </c>
      <c r="G9064" s="436">
        <f>SUM(C9064,C9040,C9016,C8992,C8968,C8944,C8920,C8896,C8872,C8848,C8824,C8800,C8776,C8752)/POBLA!$B$15*100000</f>
        <v>302.9860388490747</v>
      </c>
      <c r="H9064" s="441">
        <f t="shared" si="777"/>
        <v>0.80095541401273884</v>
      </c>
      <c r="J9064" s="42"/>
    </row>
    <row r="9065" spans="1:10" s="393" customFormat="1" x14ac:dyDescent="0.25">
      <c r="A9065" s="402" t="s">
        <v>18</v>
      </c>
      <c r="B9065" s="269">
        <v>44270</v>
      </c>
      <c r="C9065" s="1">
        <v>94</v>
      </c>
      <c r="D9065" s="39">
        <f t="shared" si="776"/>
        <v>53881</v>
      </c>
      <c r="E9065" s="1">
        <v>3</v>
      </c>
      <c r="F9065" s="39">
        <f t="shared" si="778"/>
        <v>1240</v>
      </c>
      <c r="G9065" s="436">
        <f>SUM(C9065,C9041,C9017,C8993,C8969,C8945,C8921,C8897,C8873,C8849,C8825,C8801,C8777,C8753)/POBLA!$B$16*100000</f>
        <v>193.14883428525567</v>
      </c>
      <c r="H9065" s="441">
        <f t="shared" si="777"/>
        <v>0.82373074729035933</v>
      </c>
      <c r="J9065" s="42"/>
    </row>
    <row r="9066" spans="1:10" s="393" customFormat="1" x14ac:dyDescent="0.25">
      <c r="A9066" s="402" t="s">
        <v>34</v>
      </c>
      <c r="B9066" s="269">
        <v>44270</v>
      </c>
      <c r="C9066" s="1">
        <v>63</v>
      </c>
      <c r="D9066" s="39">
        <f t="shared" si="776"/>
        <v>27690</v>
      </c>
      <c r="E9066" s="1">
        <v>3</v>
      </c>
      <c r="F9066" s="39">
        <f t="shared" si="778"/>
        <v>1145</v>
      </c>
      <c r="G9066" s="436">
        <f>SUM(C9066,C9042,C9018,C8994,C8970,C8946,C8922,C8898,C8874,C8850,C8826,C8802,C8778,C8754)/POBLA!$B$17*100000</f>
        <v>104.81628366249015</v>
      </c>
      <c r="H9066" s="441">
        <f t="shared" ref="H9066:H9089" si="779">SUM(C9066,C9042,C9018,C8994,C8970,C8946,C8922,C8898,C8874,C8850,C8826,C8802,C8778,C8754)/SUM(C8730,C8706,C8682,C8658,C8634,C8610,C8586,C8562,C8538,C8514,C8490,C8466,C8442,C8418)</f>
        <v>1.1125186289120714</v>
      </c>
      <c r="J9066" s="42"/>
    </row>
    <row r="9067" spans="1:10" s="393" customFormat="1" x14ac:dyDescent="0.25">
      <c r="A9067" s="402" t="s">
        <v>35</v>
      </c>
      <c r="B9067" s="269">
        <v>44270</v>
      </c>
      <c r="C9067" s="1">
        <v>69</v>
      </c>
      <c r="D9067" s="39">
        <f t="shared" si="776"/>
        <v>15943</v>
      </c>
      <c r="E9067" s="1"/>
      <c r="F9067" s="39">
        <f t="shared" si="778"/>
        <v>217</v>
      </c>
      <c r="G9067" s="436">
        <f>SUM(C9067,C9043,C9019,C8995,C8971,C8947,C8923,C8899,C8875,C8851,C8827,C8803,C8779,C8755)/POBLA!$B$18*100000</f>
        <v>83.331519923401558</v>
      </c>
      <c r="H9067" s="441">
        <f t="shared" si="779"/>
        <v>0.96301775147928992</v>
      </c>
      <c r="J9067" s="42"/>
    </row>
    <row r="9068" spans="1:10" s="393" customFormat="1" x14ac:dyDescent="0.25">
      <c r="A9068" s="402" t="s">
        <v>36</v>
      </c>
      <c r="B9068" s="269">
        <v>44270</v>
      </c>
      <c r="C9068" s="1">
        <v>1</v>
      </c>
      <c r="D9068" s="39">
        <f t="shared" si="776"/>
        <v>21519</v>
      </c>
      <c r="E9068" s="1"/>
      <c r="F9068" s="39">
        <f t="shared" si="778"/>
        <v>361</v>
      </c>
      <c r="G9068" s="436">
        <f>SUM(C9068,C9044,C9020,C8996,C8972,C8948,C8924,C8900,C8876,C8852,C8828,C8804,C8780,C8756)/POBLA!$B$19*100000</f>
        <v>146.16546796556554</v>
      </c>
      <c r="H9068" s="441">
        <f t="shared" si="779"/>
        <v>1.0721500721500721</v>
      </c>
      <c r="J9068" s="42"/>
    </row>
    <row r="9069" spans="1:10" s="393" customFormat="1" x14ac:dyDescent="0.25">
      <c r="A9069" s="402" t="s">
        <v>37</v>
      </c>
      <c r="B9069" s="269">
        <v>44270</v>
      </c>
      <c r="C9069" s="1">
        <v>84</v>
      </c>
      <c r="D9069" s="39">
        <f t="shared" si="776"/>
        <v>37469</v>
      </c>
      <c r="E9069" s="1">
        <v>1</v>
      </c>
      <c r="F9069" s="39">
        <f t="shared" si="778"/>
        <v>612</v>
      </c>
      <c r="G9069" s="436">
        <f>SUM(C9069,C9045,C9021,C8997,C8973,C8949,C8925,C8901,C8877,C8853,C8829,C8805,C8781,C8757)/POBLA!$B$20*100000</f>
        <v>403.3382736574988</v>
      </c>
      <c r="H9069" s="441">
        <f t="shared" si="779"/>
        <v>1.0438782731776362</v>
      </c>
      <c r="J9069" s="42"/>
    </row>
    <row r="9070" spans="1:10" s="393" customFormat="1" x14ac:dyDescent="0.25">
      <c r="A9070" s="402" t="s">
        <v>22</v>
      </c>
      <c r="B9070" s="269">
        <v>44270</v>
      </c>
      <c r="C9070" s="1">
        <v>333</v>
      </c>
      <c r="D9070" s="39">
        <f t="shared" si="776"/>
        <v>222647</v>
      </c>
      <c r="E9070" s="1">
        <v>14</v>
      </c>
      <c r="F9070" s="39">
        <f t="shared" si="778"/>
        <v>4119</v>
      </c>
      <c r="G9070" s="436">
        <f>SUM(C9070,C9046,C9022,C8998,C8974,C8950,C8926,C8902,C8878,C8854,C8830,C8806,C8782,C8758)/POBLA!$B$21*100000</f>
        <v>165.93061114381842</v>
      </c>
      <c r="H9070" s="441">
        <f t="shared" si="779"/>
        <v>1.2453310696095077</v>
      </c>
      <c r="J9070" s="42"/>
    </row>
    <row r="9071" spans="1:10" s="393" customFormat="1" x14ac:dyDescent="0.25">
      <c r="A9071" s="402" t="s">
        <v>38</v>
      </c>
      <c r="B9071" s="269">
        <v>44270</v>
      </c>
      <c r="C9071" s="1">
        <v>71</v>
      </c>
      <c r="D9071" s="39">
        <f t="shared" si="776"/>
        <v>23531</v>
      </c>
      <c r="E9071" s="1"/>
      <c r="F9071" s="39">
        <f t="shared" si="778"/>
        <v>276</v>
      </c>
      <c r="G9071" s="436">
        <f>SUM(C9071,C9047,C9023,C8999,C8975,C8951,C8927,C8903,C8879,C8855,C8831,C8807,C8783,C8759)/POBLA!$B$22*100000</f>
        <v>85.759874396026632</v>
      </c>
      <c r="H9071" s="441">
        <f t="shared" si="779"/>
        <v>1.0396530359355638</v>
      </c>
      <c r="J9071" s="42"/>
    </row>
    <row r="9072" spans="1:10" s="393" customFormat="1" x14ac:dyDescent="0.25">
      <c r="A9072" s="402" t="s">
        <v>39</v>
      </c>
      <c r="B9072" s="269">
        <v>44270</v>
      </c>
      <c r="C9072" s="1">
        <v>35</v>
      </c>
      <c r="D9072" s="39">
        <f t="shared" si="776"/>
        <v>23398</v>
      </c>
      <c r="E9072" s="1"/>
      <c r="F9072" s="39">
        <f t="shared" si="778"/>
        <v>358</v>
      </c>
      <c r="G9072" s="436">
        <f>SUM(C9072,C9048,C9024,C9000,C8976,C8952,C8928,C8904,C8880,C8856,C8832,C8808,C8784,C8760)/POBLA!$B$23*100000</f>
        <v>241.47486286263646</v>
      </c>
      <c r="H9072" s="441">
        <f t="shared" si="779"/>
        <v>0.83725490196078434</v>
      </c>
      <c r="J9072" s="42"/>
    </row>
    <row r="9073" spans="1:10" s="393" customFormat="1" ht="15.75" thickBot="1" x14ac:dyDescent="0.3">
      <c r="A9073" s="404" t="s">
        <v>40</v>
      </c>
      <c r="B9073" s="269">
        <v>44270</v>
      </c>
      <c r="C9073" s="1">
        <v>257</v>
      </c>
      <c r="D9073" s="177">
        <f t="shared" si="776"/>
        <v>82413</v>
      </c>
      <c r="E9073" s="1"/>
      <c r="F9073" s="177">
        <f t="shared" si="778"/>
        <v>1491</v>
      </c>
      <c r="G9073" s="439">
        <f>SUM(C9073,C9049,C9025,C9001,C8977,C8953,C8929,C8905,C8881,C8857,C8833,C8809,C8785,C8761)/POBLA!$B$24*100000</f>
        <v>146.75544771328222</v>
      </c>
      <c r="H9073" s="442">
        <f t="shared" si="779"/>
        <v>1.3824346859366314</v>
      </c>
      <c r="J9073" s="42"/>
    </row>
    <row r="9074" spans="1:10" s="393" customFormat="1" x14ac:dyDescent="0.25">
      <c r="A9074" s="397" t="s">
        <v>16</v>
      </c>
      <c r="B9074" s="269">
        <v>44271</v>
      </c>
      <c r="C9074" s="1">
        <v>3762</v>
      </c>
      <c r="D9074" s="175">
        <f t="shared" si="776"/>
        <v>923672</v>
      </c>
      <c r="E9074" s="1">
        <v>139</v>
      </c>
      <c r="F9074" s="175">
        <f t="shared" si="778"/>
        <v>27291</v>
      </c>
      <c r="G9074" s="410">
        <f>SUM(C9074,C9050,C9026,C9002,C8978,C8954,C8930,C8906,C8882,C8858,C8834,C8810,C8786,C8762)/POBLA!$B$1*100000</f>
        <v>221.96389619124551</v>
      </c>
      <c r="H9074" s="440">
        <f t="shared" si="779"/>
        <v>1.0730920816911502</v>
      </c>
      <c r="J9074" s="42"/>
    </row>
    <row r="9075" spans="1:10" s="393" customFormat="1" x14ac:dyDescent="0.25">
      <c r="A9075" s="402" t="s">
        <v>43</v>
      </c>
      <c r="B9075" s="269">
        <v>44271</v>
      </c>
      <c r="C9075" s="1">
        <v>967</v>
      </c>
      <c r="D9075" s="39">
        <f t="shared" si="776"/>
        <v>244009</v>
      </c>
      <c r="E9075" s="1">
        <v>7</v>
      </c>
      <c r="F9075" s="39">
        <f t="shared" si="778"/>
        <v>6709</v>
      </c>
      <c r="G9075" s="436">
        <f>SUM(C9075,C9051,C9027,C9003,C8979,C8955,C8931,C8907,C8883,C8859,C8835,C8811,C8787,C8763)/POBLA!$B$2*100000</f>
        <v>358.72138731180377</v>
      </c>
      <c r="H9075" s="441">
        <f t="shared" si="779"/>
        <v>1.1489117983963344</v>
      </c>
      <c r="J9075" s="42"/>
    </row>
    <row r="9076" spans="1:10" s="393" customFormat="1" x14ac:dyDescent="0.25">
      <c r="A9076" s="402" t="s">
        <v>28</v>
      </c>
      <c r="B9076" s="269">
        <v>44271</v>
      </c>
      <c r="C9076" s="1">
        <v>127</v>
      </c>
      <c r="D9076" s="39">
        <f t="shared" si="776"/>
        <v>9246</v>
      </c>
      <c r="E9076" s="1"/>
      <c r="F9076" s="39">
        <f t="shared" si="778"/>
        <v>18</v>
      </c>
      <c r="G9076" s="436">
        <f>SUM(C9076,C9052,C9028,C9004,C8980,C8956,C8932,C8908,C8884,C8860,C8836,C8812,C8788,C8764)/POBLA!$B$3*100000</f>
        <v>268.39143265661784</v>
      </c>
      <c r="H9076" s="441">
        <f t="shared" si="779"/>
        <v>0.89271417133706965</v>
      </c>
      <c r="J9076" s="42"/>
    </row>
    <row r="9077" spans="1:10" s="393" customFormat="1" x14ac:dyDescent="0.25">
      <c r="A9077" s="402" t="s">
        <v>15</v>
      </c>
      <c r="B9077" s="269">
        <v>44271</v>
      </c>
      <c r="C9077" s="1">
        <v>124</v>
      </c>
      <c r="D9077" s="39">
        <f t="shared" si="776"/>
        <v>36186</v>
      </c>
      <c r="E9077" s="1">
        <v>1</v>
      </c>
      <c r="F9077" s="39">
        <f t="shared" si="778"/>
        <v>896</v>
      </c>
      <c r="G9077" s="436">
        <f>SUM(C9077,C9053,C9029,C9005,C8981,C8957,C8933,C8909,C8885,C8861,C8837,C8813,C8789,C8765)/POBLA!$B$4*100000</f>
        <v>154.08358868647892</v>
      </c>
      <c r="H9077" s="441">
        <f t="shared" si="779"/>
        <v>1.0605714285714285</v>
      </c>
      <c r="J9077" s="42"/>
    </row>
    <row r="9078" spans="1:10" s="393" customFormat="1" x14ac:dyDescent="0.25">
      <c r="A9078" s="402" t="s">
        <v>29</v>
      </c>
      <c r="B9078" s="269">
        <v>44271</v>
      </c>
      <c r="C9078" s="1">
        <v>100</v>
      </c>
      <c r="D9078" s="39">
        <f t="shared" si="776"/>
        <v>48351</v>
      </c>
      <c r="E9078" s="1">
        <v>1</v>
      </c>
      <c r="F9078" s="39">
        <f t="shared" si="778"/>
        <v>812</v>
      </c>
      <c r="G9078" s="436">
        <f>SUM(C9078,C9054,C9030,C9006,C8982,C8958,C8934,C8910,C8886,C8862,C8838,C8814,C8790,C8766)/POBLA!$B$5*100000</f>
        <v>195.80157481332614</v>
      </c>
      <c r="H9078" s="441">
        <f t="shared" si="779"/>
        <v>0.67109634551495012</v>
      </c>
      <c r="J9078" s="42"/>
    </row>
    <row r="9079" spans="1:10" s="393" customFormat="1" x14ac:dyDescent="0.25">
      <c r="A9079" s="402" t="s">
        <v>30</v>
      </c>
      <c r="B9079" s="269">
        <v>44271</v>
      </c>
      <c r="C9079" s="1">
        <v>168</v>
      </c>
      <c r="D9079" s="39">
        <f t="shared" si="776"/>
        <v>25197</v>
      </c>
      <c r="E9079" s="1"/>
      <c r="F9079" s="39">
        <f t="shared" si="778"/>
        <v>306</v>
      </c>
      <c r="G9079" s="436">
        <f>SUM(C9079,C9055,C9031,C9007,C8983,C8959,C8935,C8911,C8887,C8863,C8839,C8815,C8791,C8767)/POBLA!$B$6*100000</f>
        <v>279.88911501684959</v>
      </c>
      <c r="H9079" s="441">
        <f t="shared" si="779"/>
        <v>1.6270746887966805</v>
      </c>
      <c r="J9079" s="42"/>
    </row>
    <row r="9080" spans="1:10" s="393" customFormat="1" x14ac:dyDescent="0.25">
      <c r="A9080" s="402" t="s">
        <v>20</v>
      </c>
      <c r="B9080" s="269">
        <v>44271</v>
      </c>
      <c r="C9080" s="1">
        <v>809</v>
      </c>
      <c r="D9080" s="39">
        <f t="shared" si="776"/>
        <v>169071</v>
      </c>
      <c r="E9080" s="1">
        <v>16</v>
      </c>
      <c r="F9080" s="39">
        <f t="shared" si="778"/>
        <v>2940</v>
      </c>
      <c r="G9080" s="436">
        <f>SUM(C9080,C9056,C9032,C9008,C8984,C8960,C8936,C8912,C8888,C8864,C8840,C8816,C8792,C8768)/POBLA!$B$7*100000</f>
        <v>213.3255328484623</v>
      </c>
      <c r="H9080" s="441">
        <f>SUM(C9080,C9056,C9032,C9008,C8984,C8960,C8936,C8912,C8888,C8864,C8840,C8816,C8792,C8768)/SUM(C8744,C8720,C8696,C8672,C8648,C8624,C8600,C8576,C8552,C8528,C8504,C8480,C8456,C8432)</f>
        <v>0.93540111940298509</v>
      </c>
      <c r="J9080" s="42"/>
    </row>
    <row r="9081" spans="1:10" x14ac:dyDescent="0.25">
      <c r="A9081" s="402" t="s">
        <v>31</v>
      </c>
      <c r="B9081" s="269">
        <v>44271</v>
      </c>
      <c r="C9081" s="1">
        <v>200</v>
      </c>
      <c r="D9081" s="39">
        <f t="shared" si="776"/>
        <v>47193</v>
      </c>
      <c r="E9081" s="1">
        <v>3</v>
      </c>
      <c r="F9081" s="39">
        <f t="shared" ref="F9081:F9104" si="780">E9081+F9057</f>
        <v>908</v>
      </c>
      <c r="G9081" s="169">
        <f>SUM(C9081,C9057,C9033,C9009,C8985,C8961,C8937,C8913,C8889,C8865,C8841,C8817,C8793,C8769)/POBLA!$B$8*100000</f>
        <v>132.39910791140588</v>
      </c>
      <c r="H9081" s="518">
        <f t="shared" si="779"/>
        <v>1.0948687350835322</v>
      </c>
    </row>
    <row r="9082" spans="1:10" s="393" customFormat="1" x14ac:dyDescent="0.25">
      <c r="A9082" s="402" t="s">
        <v>41</v>
      </c>
      <c r="B9082" s="269">
        <v>44271</v>
      </c>
      <c r="C9082" s="1">
        <v>27</v>
      </c>
      <c r="D9082" s="39">
        <f t="shared" si="776"/>
        <v>1626</v>
      </c>
      <c r="E9082" s="1"/>
      <c r="F9082" s="39">
        <f t="shared" si="780"/>
        <v>20</v>
      </c>
      <c r="G9082" s="436">
        <f>SUM(C9082,C9058,C9034,C9010,C8986,C8962,C8938,C8914,C8890,C8866,C8842,C8818,C8794,C8770)/POBLA!$B$9*100000</f>
        <v>60.972284874411962</v>
      </c>
      <c r="H9082" s="441">
        <f t="shared" si="779"/>
        <v>1.3225806451612903</v>
      </c>
      <c r="J9082" s="42"/>
    </row>
    <row r="9083" spans="1:10" s="393" customFormat="1" x14ac:dyDescent="0.25">
      <c r="A9083" s="402" t="s">
        <v>32</v>
      </c>
      <c r="B9083" s="269">
        <v>44271</v>
      </c>
      <c r="C9083" s="1">
        <v>54</v>
      </c>
      <c r="D9083" s="39">
        <f t="shared" si="776"/>
        <v>21763</v>
      </c>
      <c r="E9083" s="1">
        <v>1</v>
      </c>
      <c r="F9083" s="39">
        <f t="shared" si="780"/>
        <v>932</v>
      </c>
      <c r="G9083" s="436">
        <f>SUM(C9083,C9059,C9035,C9011,C8987,C8963,C8939,C8915,C8891,C8867,C8843,C8819,C8795,C8771)/POBLA!$B$10*100000</f>
        <v>113.50649451731202</v>
      </c>
      <c r="H9083" s="441">
        <f t="shared" si="779"/>
        <v>0.82469368520263897</v>
      </c>
      <c r="J9083" s="42"/>
    </row>
    <row r="9084" spans="1:10" s="393" customFormat="1" x14ac:dyDescent="0.25">
      <c r="A9084" s="402" t="s">
        <v>33</v>
      </c>
      <c r="B9084" s="269">
        <v>44271</v>
      </c>
      <c r="C9084" s="1">
        <v>114</v>
      </c>
      <c r="D9084" s="39">
        <f t="shared" si="776"/>
        <v>20068</v>
      </c>
      <c r="E9084" s="1"/>
      <c r="F9084" s="39">
        <f t="shared" si="780"/>
        <v>305</v>
      </c>
      <c r="G9084" s="436">
        <f>SUM(C9084,C9060,C9036,C9012,C8988,C8964,C8940,C8916,C8892,C8868,C8844,C8820,C8796,C8772)/POBLA!$B$11*100000</f>
        <v>340.09619784168643</v>
      </c>
      <c r="H9084" s="441">
        <f t="shared" si="779"/>
        <v>1.159847764034253</v>
      </c>
      <c r="J9084" s="42"/>
    </row>
    <row r="9085" spans="1:10" s="393" customFormat="1" x14ac:dyDescent="0.25">
      <c r="A9085" s="402" t="s">
        <v>21</v>
      </c>
      <c r="B9085" s="269">
        <v>44271</v>
      </c>
      <c r="C9085" s="1">
        <v>17</v>
      </c>
      <c r="D9085" s="39">
        <f t="shared" si="776"/>
        <v>10566</v>
      </c>
      <c r="E9085" s="1">
        <v>2</v>
      </c>
      <c r="F9085" s="39">
        <f t="shared" si="780"/>
        <v>447</v>
      </c>
      <c r="G9085" s="436">
        <f>SUM(C9085,C9061,C9037,C9013,C8989,C8965,C8941,C8917,C8893,C8869,C8845,C8821,C8797,C8773)/POBLA!$B$12*100000</f>
        <v>76.741095364787014</v>
      </c>
      <c r="H9085" s="441">
        <f t="shared" si="779"/>
        <v>0.78851174934725854</v>
      </c>
      <c r="J9085" s="42"/>
    </row>
    <row r="9086" spans="1:10" s="393" customFormat="1" x14ac:dyDescent="0.25">
      <c r="A9086" s="402" t="s">
        <v>17</v>
      </c>
      <c r="B9086" s="269">
        <v>44271</v>
      </c>
      <c r="C9086" s="1">
        <v>165</v>
      </c>
      <c r="D9086" s="39">
        <f t="shared" si="776"/>
        <v>69658</v>
      </c>
      <c r="E9086" s="1">
        <v>2</v>
      </c>
      <c r="F9086" s="39">
        <f t="shared" si="780"/>
        <v>1482</v>
      </c>
      <c r="G9086" s="436">
        <f>SUM(C9086,C9062,C9038,C9014,C8990,C8966,C8942,C8918,C8894,C8870,C8846,C8822,C8798,C8774)/POBLA!$B$13*100000</f>
        <v>109.42864980721866</v>
      </c>
      <c r="H9086" s="441">
        <f t="shared" si="779"/>
        <v>1.2445714285714287</v>
      </c>
      <c r="J9086" s="42"/>
    </row>
    <row r="9087" spans="1:10" s="393" customFormat="1" x14ac:dyDescent="0.25">
      <c r="A9087" s="402" t="s">
        <v>23</v>
      </c>
      <c r="B9087" s="269">
        <v>44271</v>
      </c>
      <c r="C9087" s="1">
        <v>101</v>
      </c>
      <c r="D9087" s="39">
        <f t="shared" si="776"/>
        <v>10189</v>
      </c>
      <c r="E9087" s="1">
        <v>3</v>
      </c>
      <c r="F9087" s="39">
        <f t="shared" si="780"/>
        <v>172</v>
      </c>
      <c r="G9087" s="436">
        <f>SUM(C9087,C9063,C9039,C9015,C8991,C8967,C8943,C8919,C8895,C8871,C8847,C8823,C8799,C8775)/POBLA!$B$14*100000</f>
        <v>131.21445119060266</v>
      </c>
      <c r="H9087" s="441">
        <f t="shared" si="779"/>
        <v>1.0541401273885351</v>
      </c>
      <c r="J9087" s="42"/>
    </row>
    <row r="9088" spans="1:10" s="393" customFormat="1" x14ac:dyDescent="0.25">
      <c r="A9088" s="402" t="s">
        <v>19</v>
      </c>
      <c r="B9088" s="269">
        <v>44271</v>
      </c>
      <c r="C9088" s="1">
        <v>127</v>
      </c>
      <c r="D9088" s="39">
        <f t="shared" si="776"/>
        <v>63462</v>
      </c>
      <c r="E9088" s="1"/>
      <c r="F9088" s="39">
        <f t="shared" si="780"/>
        <v>955</v>
      </c>
      <c r="G9088" s="436">
        <f>SUM(C9088,C9064,C9040,C9016,C8992,C8968,C8944,C8920,C8896,C8872,C8848,C8824,C8800,C8776)/POBLA!$B$15*100000</f>
        <v>295.607154205136</v>
      </c>
      <c r="H9088" s="441">
        <f t="shared" si="779"/>
        <v>0.76203416149068326</v>
      </c>
      <c r="J9088" s="42"/>
    </row>
    <row r="9089" spans="1:10" s="393" customFormat="1" x14ac:dyDescent="0.25">
      <c r="A9089" s="402" t="s">
        <v>18</v>
      </c>
      <c r="B9089" s="269">
        <v>44271</v>
      </c>
      <c r="C9089" s="1">
        <v>115</v>
      </c>
      <c r="D9089" s="39">
        <f t="shared" si="776"/>
        <v>53996</v>
      </c>
      <c r="E9089" s="1">
        <v>3</v>
      </c>
      <c r="F9089" s="39">
        <f t="shared" si="780"/>
        <v>1243</v>
      </c>
      <c r="G9089" s="436">
        <f>SUM(C9089,C9065,C9041,C9017,C8993,C8969,C8945,C8921,C8897,C8873,C8849,C8825,C8801,C8777)/POBLA!$B$16*100000</f>
        <v>192.4800363826059</v>
      </c>
      <c r="H9089" s="441">
        <f t="shared" si="779"/>
        <v>0.81761363636363638</v>
      </c>
      <c r="J9089" s="42"/>
    </row>
    <row r="9090" spans="1:10" s="393" customFormat="1" x14ac:dyDescent="0.25">
      <c r="A9090" s="402" t="s">
        <v>34</v>
      </c>
      <c r="B9090" s="269">
        <v>44271</v>
      </c>
      <c r="C9090" s="1">
        <v>131</v>
      </c>
      <c r="D9090" s="39">
        <f t="shared" si="776"/>
        <v>27821</v>
      </c>
      <c r="E9090" s="1">
        <v>5</v>
      </c>
      <c r="F9090" s="39">
        <f t="shared" si="780"/>
        <v>1150</v>
      </c>
      <c r="G9090" s="436">
        <f>SUM(C9090,C9066,C9042,C9018,C8994,C8970,C8946,C8922,C8898,C8874,C8850,C8826,C8802,C8778)/POBLA!$B$17*100000</f>
        <v>106.78202776332722</v>
      </c>
      <c r="H9090" s="441">
        <f t="shared" ref="H9090:H9103" si="781">SUM(C9090,C9066,C9042,C9018,C8994,C8970,C8946,C8922,C8898,C8874,C8850,C8826,C8802,C8778)/SUM(C8754,C8730,C8706,C8682,C8658,C8634,C8610,C8586,C8562,C8538,C8514,C8490,C8466,C8442)</f>
        <v>1.087205146533238</v>
      </c>
      <c r="J9090" s="42"/>
    </row>
    <row r="9091" spans="1:10" s="393" customFormat="1" x14ac:dyDescent="0.25">
      <c r="A9091" s="402" t="s">
        <v>35</v>
      </c>
      <c r="B9091" s="269">
        <v>44271</v>
      </c>
      <c r="C9091" s="1">
        <v>74</v>
      </c>
      <c r="D9091" s="39">
        <f t="shared" si="776"/>
        <v>16017</v>
      </c>
      <c r="E9091" s="1">
        <v>1</v>
      </c>
      <c r="F9091" s="39">
        <f t="shared" si="780"/>
        <v>218</v>
      </c>
      <c r="G9091" s="436">
        <f>SUM(C9091,C9067,C9043,C9019,C8995,C8971,C8947,C8923,C8899,C8875,C8851,C8827,C8803,C8779)/POBLA!$B$18*100000</f>
        <v>86.275644283214518</v>
      </c>
      <c r="H9091" s="441">
        <f t="shared" si="781"/>
        <v>0.98682284040995605</v>
      </c>
      <c r="J9091" s="42"/>
    </row>
    <row r="9092" spans="1:10" s="393" customFormat="1" x14ac:dyDescent="0.25">
      <c r="A9092" s="402" t="s">
        <v>36</v>
      </c>
      <c r="B9092" s="269">
        <v>44271</v>
      </c>
      <c r="C9092" s="1">
        <v>1</v>
      </c>
      <c r="D9092" s="39">
        <f t="shared" si="776"/>
        <v>21520</v>
      </c>
      <c r="E9092" s="1"/>
      <c r="F9092" s="39">
        <f t="shared" si="780"/>
        <v>361</v>
      </c>
      <c r="G9092" s="436">
        <f>SUM(C9092,C9068,C9044,C9020,C8996,C8972,C8948,C8924,C8900,C8876,C8852,C8828,C8804,C8780)/POBLA!$B$19*100000</f>
        <v>145.1818510882737</v>
      </c>
      <c r="H9092" s="441">
        <f t="shared" si="781"/>
        <v>1.3155080213903743</v>
      </c>
      <c r="J9092" s="42"/>
    </row>
    <row r="9093" spans="1:10" s="393" customFormat="1" x14ac:dyDescent="0.25">
      <c r="A9093" s="402" t="s">
        <v>37</v>
      </c>
      <c r="B9093" s="269">
        <v>44271</v>
      </c>
      <c r="C9093" s="1">
        <v>105</v>
      </c>
      <c r="D9093" s="39">
        <f t="shared" si="776"/>
        <v>37574</v>
      </c>
      <c r="E9093" s="1">
        <v>1</v>
      </c>
      <c r="F9093" s="39">
        <f t="shared" si="780"/>
        <v>613</v>
      </c>
      <c r="G9093" s="436">
        <f>SUM(C9093,C9069,C9045,C9021,C8997,C8973,C8949,C8925,C8901,C8877,C8853,C8829,C8805,C8781)/POBLA!$B$20*100000</f>
        <v>403.61172333455477</v>
      </c>
      <c r="H9093" s="441">
        <f t="shared" si="781"/>
        <v>1.0075085324232083</v>
      </c>
      <c r="J9093" s="42"/>
    </row>
    <row r="9094" spans="1:10" s="393" customFormat="1" x14ac:dyDescent="0.25">
      <c r="A9094" s="402" t="s">
        <v>22</v>
      </c>
      <c r="B9094" s="269">
        <v>44271</v>
      </c>
      <c r="C9094" s="1">
        <v>583</v>
      </c>
      <c r="D9094" s="39">
        <f t="shared" si="776"/>
        <v>223230</v>
      </c>
      <c r="E9094" s="1">
        <v>17</v>
      </c>
      <c r="F9094" s="39">
        <f t="shared" si="780"/>
        <v>4136</v>
      </c>
      <c r="G9094" s="436">
        <f>SUM(C9094,C9070,C9046,C9022,C8998,C8974,C8950,C8926,C8902,C8878,C8854,C8830,C8806,C8782)/POBLA!$B$21*100000</f>
        <v>170.85084398959626</v>
      </c>
      <c r="H9094" s="441">
        <f t="shared" si="781"/>
        <v>1.2228293867638129</v>
      </c>
      <c r="J9094" s="42"/>
    </row>
    <row r="9095" spans="1:10" s="393" customFormat="1" x14ac:dyDescent="0.25">
      <c r="A9095" s="402" t="s">
        <v>38</v>
      </c>
      <c r="B9095" s="269">
        <v>44271</v>
      </c>
      <c r="C9095" s="1">
        <v>76</v>
      </c>
      <c r="D9095" s="39">
        <f t="shared" si="776"/>
        <v>23607</v>
      </c>
      <c r="E9095" s="1"/>
      <c r="F9095" s="39">
        <f t="shared" si="780"/>
        <v>276</v>
      </c>
      <c r="G9095" s="436">
        <f>SUM(C9095,C9071,C9047,C9023,C8999,C8975,C8951,C8927,C8903,C8879,C8855,C8831,C8807,C8783)/POBLA!$B$22*100000</f>
        <v>89.439678303365085</v>
      </c>
      <c r="H9095" s="441">
        <f t="shared" si="781"/>
        <v>1.0696821515892421</v>
      </c>
      <c r="J9095" s="42"/>
    </row>
    <row r="9096" spans="1:10" s="393" customFormat="1" x14ac:dyDescent="0.25">
      <c r="A9096" s="402" t="s">
        <v>39</v>
      </c>
      <c r="B9096" s="269">
        <v>44271</v>
      </c>
      <c r="C9096" s="1">
        <v>18</v>
      </c>
      <c r="D9096" s="39">
        <f t="shared" si="776"/>
        <v>23416</v>
      </c>
      <c r="E9096" s="1"/>
      <c r="F9096" s="39">
        <f t="shared" si="780"/>
        <v>358</v>
      </c>
      <c r="G9096" s="436">
        <f>SUM(C9096,C9072,C9048,C9024,C9000,C8976,C8952,C8928,C8904,C8880,C8856,C8832,C8808,C8784)/POBLA!$B$23*100000</f>
        <v>220.55081151388339</v>
      </c>
      <c r="H9096" s="441">
        <f t="shared" si="781"/>
        <v>0.71823204419889508</v>
      </c>
      <c r="J9096" s="42"/>
    </row>
    <row r="9097" spans="1:10" s="393" customFormat="1" ht="15.75" thickBot="1" x14ac:dyDescent="0.3">
      <c r="A9097" s="404" t="s">
        <v>40</v>
      </c>
      <c r="B9097" s="269">
        <v>44271</v>
      </c>
      <c r="C9097" s="1">
        <v>270</v>
      </c>
      <c r="D9097" s="177">
        <f t="shared" si="776"/>
        <v>82683</v>
      </c>
      <c r="E9097" s="1"/>
      <c r="F9097" s="177">
        <f t="shared" si="780"/>
        <v>1491</v>
      </c>
      <c r="G9097" s="439">
        <f>SUM(C9097,C9073,C9049,C9025,C9001,C8977,C8953,C8929,C8905,C8881,C8857,C8833,C8809,C8785)/POBLA!$B$24*100000</f>
        <v>152.47932323728236</v>
      </c>
      <c r="H9097" s="442">
        <f t="shared" si="781"/>
        <v>1.3564304461942258</v>
      </c>
      <c r="J9097" s="42"/>
    </row>
    <row r="9098" spans="1:10" s="393" customFormat="1" x14ac:dyDescent="0.25">
      <c r="A9098" s="397" t="s">
        <v>16</v>
      </c>
      <c r="B9098" s="269">
        <v>44272</v>
      </c>
      <c r="C9098" s="1">
        <v>3596</v>
      </c>
      <c r="D9098" s="175">
        <f t="shared" si="776"/>
        <v>927268</v>
      </c>
      <c r="E9098" s="1">
        <v>75</v>
      </c>
      <c r="F9098" s="175">
        <f t="shared" si="780"/>
        <v>27366</v>
      </c>
      <c r="G9098" s="410">
        <f>SUM(C9098,C9074,C9050,C9026,C9002,C8978,C8954,C8930,C8906,C8882,C8858,C8834,C8810,C8786)/POBLA!$B$1*100000</f>
        <v>222.73921633718126</v>
      </c>
      <c r="H9098" s="440">
        <f t="shared" si="781"/>
        <v>1.0519641366683719</v>
      </c>
      <c r="J9098" s="42"/>
    </row>
    <row r="9099" spans="1:10" s="393" customFormat="1" x14ac:dyDescent="0.25">
      <c r="A9099" s="402" t="s">
        <v>43</v>
      </c>
      <c r="B9099" s="269">
        <v>44272</v>
      </c>
      <c r="C9099" s="1">
        <v>929</v>
      </c>
      <c r="D9099" s="39">
        <f t="shared" ref="D9099:D9162" si="782">C9099+D9075</f>
        <v>244938</v>
      </c>
      <c r="E9099" s="1">
        <v>12</v>
      </c>
      <c r="F9099" s="39">
        <f t="shared" si="780"/>
        <v>6721</v>
      </c>
      <c r="G9099" s="436">
        <f>SUM(C9099,C9075,C9051,C9027,C9003,C8979,C8955,C8931,C8907,C8883,C8859,C8835,C8811,C8787)/POBLA!$B$2*100000</f>
        <v>360.99733194262279</v>
      </c>
      <c r="H9099" s="441">
        <f t="shared" si="781"/>
        <v>1.1448752320065994</v>
      </c>
      <c r="J9099" s="42"/>
    </row>
    <row r="9100" spans="1:10" s="393" customFormat="1" x14ac:dyDescent="0.25">
      <c r="A9100" s="402" t="s">
        <v>28</v>
      </c>
      <c r="B9100" s="269">
        <v>44272</v>
      </c>
      <c r="C9100" s="1">
        <v>112</v>
      </c>
      <c r="D9100" s="39">
        <f t="shared" si="782"/>
        <v>9358</v>
      </c>
      <c r="E9100" s="1"/>
      <c r="F9100" s="39">
        <f t="shared" si="780"/>
        <v>18</v>
      </c>
      <c r="G9100" s="436">
        <f>SUM(C9100,C9076,C9052,C9028,C9004,C8980,C8956,C8932,C8908,C8884,C8860,C8836,C8812,C8788)/POBLA!$B$3*100000</f>
        <v>282.59331115593665</v>
      </c>
      <c r="H9100" s="441">
        <f t="shared" si="781"/>
        <v>0.96150696150696147</v>
      </c>
      <c r="J9100" s="42"/>
    </row>
    <row r="9101" spans="1:10" s="393" customFormat="1" x14ac:dyDescent="0.25">
      <c r="A9101" s="402" t="s">
        <v>15</v>
      </c>
      <c r="B9101" s="269">
        <v>44272</v>
      </c>
      <c r="C9101" s="1">
        <v>139</v>
      </c>
      <c r="D9101" s="39">
        <f t="shared" si="782"/>
        <v>36325</v>
      </c>
      <c r="E9101" s="1">
        <v>4</v>
      </c>
      <c r="F9101" s="39">
        <f t="shared" si="780"/>
        <v>900</v>
      </c>
      <c r="G9101" s="436">
        <f>SUM(C9101,C9077,C9053,C9029,C9005,C8981,C8957,C8933,C8909,C8885,C8861,C8837,C8813,C8789)/POBLA!$B$4*100000</f>
        <v>151.17791756361967</v>
      </c>
      <c r="H9101" s="441">
        <f t="shared" si="781"/>
        <v>1.0005494505494505</v>
      </c>
      <c r="J9101" s="42"/>
    </row>
    <row r="9102" spans="1:10" s="393" customFormat="1" x14ac:dyDescent="0.25">
      <c r="A9102" s="402" t="s">
        <v>29</v>
      </c>
      <c r="B9102" s="269">
        <v>44272</v>
      </c>
      <c r="C9102" s="1">
        <v>126</v>
      </c>
      <c r="D9102" s="39">
        <f t="shared" si="782"/>
        <v>48477</v>
      </c>
      <c r="E9102" s="1"/>
      <c r="F9102" s="39">
        <f t="shared" si="780"/>
        <v>812</v>
      </c>
      <c r="G9102" s="436">
        <f>SUM(C9102,C9078,C9054,C9030,C9006,C8982,C8958,C8934,C8910,C8886,C8862,C8838,C8814,C8790)/POBLA!$B$5*100000</f>
        <v>194.99381254099393</v>
      </c>
      <c r="H9102" s="441">
        <f t="shared" si="781"/>
        <v>0.6850170261066969</v>
      </c>
      <c r="J9102" s="42"/>
    </row>
    <row r="9103" spans="1:10" s="393" customFormat="1" x14ac:dyDescent="0.25">
      <c r="A9103" s="402" t="s">
        <v>30</v>
      </c>
      <c r="B9103" s="269">
        <v>44272</v>
      </c>
      <c r="C9103" s="1">
        <v>264</v>
      </c>
      <c r="D9103" s="39">
        <f t="shared" si="782"/>
        <v>25461</v>
      </c>
      <c r="E9103" s="1"/>
      <c r="F9103" s="39">
        <f t="shared" si="780"/>
        <v>306</v>
      </c>
      <c r="G9103" s="436">
        <f>SUM(C9103,C9079,C9055,C9031,C9007,C8983,C8959,C8935,C8911,C8887,C8863,C8839,C8815,C8791)/POBLA!$B$6*100000</f>
        <v>280.87055596845471</v>
      </c>
      <c r="H9103" s="441">
        <f t="shared" si="781"/>
        <v>1.6638477801268499</v>
      </c>
      <c r="J9103" s="42"/>
    </row>
    <row r="9104" spans="1:10" s="393" customFormat="1" x14ac:dyDescent="0.25">
      <c r="A9104" s="402" t="s">
        <v>20</v>
      </c>
      <c r="B9104" s="269">
        <v>44272</v>
      </c>
      <c r="C9104" s="1">
        <v>781</v>
      </c>
      <c r="D9104" s="39">
        <f t="shared" si="782"/>
        <v>169852</v>
      </c>
      <c r="E9104" s="1">
        <v>12</v>
      </c>
      <c r="F9104" s="39">
        <f t="shared" si="780"/>
        <v>2952</v>
      </c>
      <c r="G9104" s="436">
        <f>SUM(C9104,C9080,C9056,C9032,C9008,C8984,C8960,C8936,C8912,C8888,C8864,C8840,C8816,C8792)/POBLA!$B$7*100000</f>
        <v>215.5061229374144</v>
      </c>
      <c r="H9104" s="441">
        <f>SUM(C9104,C9080,C9056,C9032,C9008,C8984,C8960,C8936,C8912,C8888,C8864,C8840,C8816,C8792)/SUM(C8768,C8744,C8720,C8696,C8672,C8648,C8624,C8600,C8576,C8552,C8528,C8504,C8480,C8456)</f>
        <v>0.91705329863075702</v>
      </c>
      <c r="J9104" s="42"/>
    </row>
    <row r="9105" spans="1:10" x14ac:dyDescent="0.25">
      <c r="A9105" s="402" t="s">
        <v>31</v>
      </c>
      <c r="B9105" s="269">
        <v>44272</v>
      </c>
      <c r="C9105" s="1">
        <v>203</v>
      </c>
      <c r="D9105" s="39">
        <f t="shared" si="782"/>
        <v>47396</v>
      </c>
      <c r="E9105" s="1">
        <v>10</v>
      </c>
      <c r="F9105" s="39">
        <f t="shared" ref="F9105:F9128" si="783">E9105+F9081</f>
        <v>918</v>
      </c>
      <c r="G9105" s="169">
        <f>SUM(C9105,C9081,C9057,C9033,C9009,C8985,C8961,C8937,C8913,C8889,C8865,C8841,C8817,C8793)/POBLA!$B$8*100000</f>
        <v>135.42949621237537</v>
      </c>
      <c r="H9105" s="518">
        <f t="shared" ref="H9105:H9127" si="784">SUM(C9105,C9081,C9057,C9033,C9009,C8985,C8961,C8937,C8913,C8889,C8865,C8841,C8817,C8793)/SUM(C8769,C8745,C8721,C8697,C8673,C8649,C8625,C8601,C8577,C8553,C8529,C8505,C8481,C8457)</f>
        <v>1.0713470319634704</v>
      </c>
    </row>
    <row r="9106" spans="1:10" s="393" customFormat="1" x14ac:dyDescent="0.25">
      <c r="A9106" s="402" t="s">
        <v>41</v>
      </c>
      <c r="B9106" s="269">
        <v>44272</v>
      </c>
      <c r="C9106" s="1">
        <v>21</v>
      </c>
      <c r="D9106" s="39">
        <f t="shared" si="782"/>
        <v>1647</v>
      </c>
      <c r="E9106" s="1">
        <v>3</v>
      </c>
      <c r="F9106" s="39">
        <f t="shared" si="783"/>
        <v>23</v>
      </c>
      <c r="G9106" s="436">
        <f>SUM(C9106,C9082,C9058,C9034,C9010,C8986,C8962,C8938,C8914,C8890,C8866,C8842,C8818,C8794)/POBLA!$B$9*100000</f>
        <v>59.650392519411163</v>
      </c>
      <c r="H9106" s="441">
        <f t="shared" si="784"/>
        <v>1.2114093959731544</v>
      </c>
      <c r="J9106" s="42"/>
    </row>
    <row r="9107" spans="1:10" s="393" customFormat="1" x14ac:dyDescent="0.25">
      <c r="A9107" s="402" t="s">
        <v>32</v>
      </c>
      <c r="B9107" s="269">
        <v>44272</v>
      </c>
      <c r="C9107" s="1">
        <v>75</v>
      </c>
      <c r="D9107" s="39">
        <f t="shared" si="782"/>
        <v>21838</v>
      </c>
      <c r="E9107" s="1">
        <v>5</v>
      </c>
      <c r="F9107" s="39">
        <f t="shared" si="783"/>
        <v>937</v>
      </c>
      <c r="G9107" s="436">
        <f>SUM(C9107,C9083,C9059,C9035,C9011,C8987,C8963,C8939,C8915,C8891,C8867,C8843,C8819,C8795)/POBLA!$B$10*100000</f>
        <v>111.0417820649361</v>
      </c>
      <c r="H9107" s="441">
        <f t="shared" si="784"/>
        <v>0.77536231884057971</v>
      </c>
      <c r="J9107" s="42"/>
    </row>
    <row r="9108" spans="1:10" s="393" customFormat="1" x14ac:dyDescent="0.25">
      <c r="A9108" s="402" t="s">
        <v>33</v>
      </c>
      <c r="B9108" s="269">
        <v>44272</v>
      </c>
      <c r="C9108" s="1">
        <v>160</v>
      </c>
      <c r="D9108" s="39">
        <f t="shared" si="782"/>
        <v>20228</v>
      </c>
      <c r="E9108" s="1">
        <v>3</v>
      </c>
      <c r="F9108" s="39">
        <f t="shared" si="783"/>
        <v>308</v>
      </c>
      <c r="G9108" s="436">
        <f>SUM(C9108,C9084,C9060,C9036,C9012,C8988,C8964,C8940,C8916,C8892,C8868,C8844,C8820,C8796)/POBLA!$B$11*100000</f>
        <v>355.7199772339215</v>
      </c>
      <c r="H9108" s="441">
        <f t="shared" si="784"/>
        <v>1.1465827338129497</v>
      </c>
      <c r="J9108" s="42"/>
    </row>
    <row r="9109" spans="1:10" s="393" customFormat="1" x14ac:dyDescent="0.25">
      <c r="A9109" s="402" t="s">
        <v>21</v>
      </c>
      <c r="B9109" s="269">
        <v>44272</v>
      </c>
      <c r="C9109" s="1">
        <v>1</v>
      </c>
      <c r="D9109" s="39">
        <f t="shared" si="782"/>
        <v>10567</v>
      </c>
      <c r="E9109" s="1"/>
      <c r="F9109" s="39">
        <f t="shared" si="783"/>
        <v>447</v>
      </c>
      <c r="G9109" s="436">
        <f>SUM(C9109,C9085,C9061,C9037,C9013,C8989,C8965,C8941,C8917,C8893,C8869,C8845,C8821,C8797)/POBLA!$B$12*100000</f>
        <v>71.150684444173393</v>
      </c>
      <c r="H9109" s="441">
        <f t="shared" si="784"/>
        <v>0.75471698113207553</v>
      </c>
      <c r="J9109" s="42"/>
    </row>
    <row r="9110" spans="1:10" s="393" customFormat="1" x14ac:dyDescent="0.25">
      <c r="A9110" s="402" t="s">
        <v>17</v>
      </c>
      <c r="B9110" s="269">
        <v>44272</v>
      </c>
      <c r="C9110" s="1">
        <v>149</v>
      </c>
      <c r="D9110" s="39">
        <f t="shared" si="782"/>
        <v>69807</v>
      </c>
      <c r="E9110" s="1">
        <v>2</v>
      </c>
      <c r="F9110" s="39">
        <f t="shared" si="783"/>
        <v>1484</v>
      </c>
      <c r="G9110" s="436">
        <f>SUM(C9110,C9086,C9062,C9038,C9014,C8990,C8966,C8942,C8918,C8894,C8870,C8846,C8822,C8798)/POBLA!$B$13*100000</f>
        <v>106.5145718968336</v>
      </c>
      <c r="H9110" s="441">
        <f t="shared" si="784"/>
        <v>1.1629182665935272</v>
      </c>
      <c r="J9110" s="42"/>
    </row>
    <row r="9111" spans="1:10" s="393" customFormat="1" x14ac:dyDescent="0.25">
      <c r="A9111" s="402" t="s">
        <v>23</v>
      </c>
      <c r="B9111" s="269">
        <v>44272</v>
      </c>
      <c r="C9111" s="1">
        <v>141</v>
      </c>
      <c r="D9111" s="39">
        <f t="shared" si="782"/>
        <v>10330</v>
      </c>
      <c r="E9111" s="1">
        <v>4</v>
      </c>
      <c r="F9111" s="39">
        <f t="shared" si="783"/>
        <v>176</v>
      </c>
      <c r="G9111" s="436">
        <f>SUM(C9111,C9087,C9063,C9039,C9015,C8991,C8967,C8943,C8919,C8895,C8871,C8847,C8823,C8799)/POBLA!$B$14*100000</f>
        <v>133.19654259831569</v>
      </c>
      <c r="H9111" s="441">
        <f t="shared" si="784"/>
        <v>1.0559396605908233</v>
      </c>
      <c r="J9111" s="42"/>
    </row>
    <row r="9112" spans="1:10" s="393" customFormat="1" x14ac:dyDescent="0.25">
      <c r="A9112" s="402" t="s">
        <v>19</v>
      </c>
      <c r="B9112" s="269">
        <v>44272</v>
      </c>
      <c r="C9112" s="1">
        <v>131</v>
      </c>
      <c r="D9112" s="39">
        <f t="shared" si="782"/>
        <v>63593</v>
      </c>
      <c r="E9112" s="1">
        <v>11</v>
      </c>
      <c r="F9112" s="39">
        <f t="shared" si="783"/>
        <v>966</v>
      </c>
      <c r="G9112" s="436">
        <f>SUM(C9112,C9088,C9064,C9040,C9016,C8992,C8968,C8944,C8920,C8896,C8872,C8848,C8824,C8800)/POBLA!$B$15*100000</f>
        <v>288.83062749131477</v>
      </c>
      <c r="H9112" s="441">
        <f t="shared" si="784"/>
        <v>0.75900277008310246</v>
      </c>
      <c r="J9112" s="42"/>
    </row>
    <row r="9113" spans="1:10" s="393" customFormat="1" x14ac:dyDescent="0.25">
      <c r="A9113" s="402" t="s">
        <v>18</v>
      </c>
      <c r="B9113" s="269">
        <v>44272</v>
      </c>
      <c r="C9113" s="1">
        <v>110</v>
      </c>
      <c r="D9113" s="39">
        <f t="shared" si="782"/>
        <v>54106</v>
      </c>
      <c r="E9113" s="1">
        <v>6</v>
      </c>
      <c r="F9113" s="39">
        <f t="shared" si="783"/>
        <v>1249</v>
      </c>
      <c r="G9113" s="436">
        <f>SUM(C9113,C9089,C9065,C9041,C9017,C8993,C8969,C8945,C8921,C8897,C8873,C8849,C8825,C8801)/POBLA!$B$16*100000</f>
        <v>182.44806784285925</v>
      </c>
      <c r="H9113" s="441">
        <f t="shared" si="784"/>
        <v>0.76031215161649945</v>
      </c>
      <c r="J9113" s="42"/>
    </row>
    <row r="9114" spans="1:10" s="393" customFormat="1" x14ac:dyDescent="0.25">
      <c r="A9114" s="402" t="s">
        <v>34</v>
      </c>
      <c r="B9114" s="269">
        <v>44272</v>
      </c>
      <c r="C9114" s="1">
        <v>123</v>
      </c>
      <c r="D9114" s="39">
        <f t="shared" si="782"/>
        <v>27944</v>
      </c>
      <c r="E9114" s="1">
        <v>2</v>
      </c>
      <c r="F9114" s="39">
        <f t="shared" si="783"/>
        <v>1152</v>
      </c>
      <c r="G9114" s="436">
        <f>SUM(C9114,C9090,C9066,C9042,C9018,C8994,C8970,C8946,C8922,C8898,C8874,C8850,C8826,C8802)/POBLA!$B$17*100000</f>
        <v>105.58854027353328</v>
      </c>
      <c r="H9114" s="441">
        <f t="shared" si="784"/>
        <v>0.99933554817275749</v>
      </c>
      <c r="J9114" s="42"/>
    </row>
    <row r="9115" spans="1:10" s="393" customFormat="1" x14ac:dyDescent="0.25">
      <c r="A9115" s="402" t="s">
        <v>35</v>
      </c>
      <c r="B9115" s="269">
        <v>44272</v>
      </c>
      <c r="C9115" s="1">
        <v>74</v>
      </c>
      <c r="D9115" s="39">
        <f t="shared" si="782"/>
        <v>16091</v>
      </c>
      <c r="E9115" s="1">
        <v>1</v>
      </c>
      <c r="F9115" s="39">
        <f t="shared" si="783"/>
        <v>219</v>
      </c>
      <c r="G9115" s="436">
        <f>SUM(C9115,C9091,C9067,C9043,C9019,C8995,C8971,C8947,C8923,C8899,C8875,C8851,C8827,C8803)/POBLA!$B$18*100000</f>
        <v>87.939714573543583</v>
      </c>
      <c r="H9115" s="441">
        <f t="shared" si="784"/>
        <v>1.0377643504531722</v>
      </c>
      <c r="J9115" s="42"/>
    </row>
    <row r="9116" spans="1:10" s="393" customFormat="1" x14ac:dyDescent="0.25">
      <c r="A9116" s="402" t="s">
        <v>36</v>
      </c>
      <c r="B9116" s="269">
        <v>44272</v>
      </c>
      <c r="C9116" s="1">
        <v>4</v>
      </c>
      <c r="D9116" s="39">
        <f t="shared" si="782"/>
        <v>21524</v>
      </c>
      <c r="E9116" s="1">
        <v>1</v>
      </c>
      <c r="F9116" s="39">
        <f t="shared" si="783"/>
        <v>362</v>
      </c>
      <c r="G9116" s="436">
        <f>SUM(C9116,C9092,C9068,C9044,C9020,C8996,C8972,C8948,C8924,C8900,C8876,C8852,C8828,C8804)/POBLA!$B$19*100000</f>
        <v>144.78840433735698</v>
      </c>
      <c r="H9116" s="441">
        <f t="shared" si="784"/>
        <v>1.3119429590017826</v>
      </c>
      <c r="J9116" s="42"/>
    </row>
    <row r="9117" spans="1:10" s="393" customFormat="1" x14ac:dyDescent="0.25">
      <c r="A9117" s="402" t="s">
        <v>37</v>
      </c>
      <c r="B9117" s="269">
        <v>44272</v>
      </c>
      <c r="C9117" s="1">
        <v>142</v>
      </c>
      <c r="D9117" s="39">
        <f t="shared" si="782"/>
        <v>37716</v>
      </c>
      <c r="E9117" s="1"/>
      <c r="F9117" s="39">
        <f t="shared" si="783"/>
        <v>613</v>
      </c>
      <c r="G9117" s="436">
        <f>SUM(C9117,C9093,C9069,C9045,C9021,C8997,C8973,C8949,C8925,C8901,C8877,C8853,C8829,C8805)/POBLA!$B$20*100000</f>
        <v>404.43207236572249</v>
      </c>
      <c r="H9117" s="441">
        <f t="shared" si="784"/>
        <v>0.99462004034969742</v>
      </c>
      <c r="J9117" s="42"/>
    </row>
    <row r="9118" spans="1:10" s="393" customFormat="1" x14ac:dyDescent="0.25">
      <c r="A9118" s="402" t="s">
        <v>22</v>
      </c>
      <c r="B9118" s="269">
        <v>44272</v>
      </c>
      <c r="C9118" s="1">
        <v>596</v>
      </c>
      <c r="D9118" s="39">
        <f t="shared" si="782"/>
        <v>223826</v>
      </c>
      <c r="E9118" s="1">
        <v>43</v>
      </c>
      <c r="F9118" s="39">
        <f t="shared" si="783"/>
        <v>4179</v>
      </c>
      <c r="G9118" s="436">
        <f>SUM(C9118,C9094,C9070,C9046,C9022,C8998,C8974,C8950,C8926,C8902,C8878,C8854,C8830,C8806)/POBLA!$B$21*100000</f>
        <v>173.48062361406372</v>
      </c>
      <c r="H9118" s="441">
        <f t="shared" si="784"/>
        <v>1.1973067915690867</v>
      </c>
      <c r="J9118" s="42"/>
    </row>
    <row r="9119" spans="1:10" s="393" customFormat="1" x14ac:dyDescent="0.25">
      <c r="A9119" s="402" t="s">
        <v>38</v>
      </c>
      <c r="B9119" s="269">
        <v>44272</v>
      </c>
      <c r="C9119" s="1">
        <v>108</v>
      </c>
      <c r="D9119" s="39">
        <f t="shared" si="782"/>
        <v>23715</v>
      </c>
      <c r="E9119" s="1"/>
      <c r="F9119" s="39">
        <f t="shared" si="783"/>
        <v>276</v>
      </c>
      <c r="G9119" s="436">
        <f>SUM(C9119,C9095,C9071,C9047,C9023,C8999,C8975,C8951,C8927,C8903,C8879,C8855,C8831,C8807)/POBLA!$B$22*100000</f>
        <v>94.857167389168907</v>
      </c>
      <c r="H9119" s="441">
        <f t="shared" si="784"/>
        <v>1.1248484848484848</v>
      </c>
      <c r="J9119" s="42"/>
    </row>
    <row r="9120" spans="1:10" s="393" customFormat="1" x14ac:dyDescent="0.25">
      <c r="A9120" s="402" t="s">
        <v>39</v>
      </c>
      <c r="B9120" s="269">
        <v>44272</v>
      </c>
      <c r="C9120" s="1">
        <v>33</v>
      </c>
      <c r="D9120" s="39">
        <f t="shared" si="782"/>
        <v>23449</v>
      </c>
      <c r="E9120" s="1"/>
      <c r="F9120" s="39">
        <f t="shared" si="783"/>
        <v>358</v>
      </c>
      <c r="G9120" s="436">
        <f>SUM(C9120,C9096,C9072,C9048,C9024,C9000,C8976,C8952,C8928,C8904,C8880,C8856,C8832,C8808)/POBLA!$B$23*100000</f>
        <v>226.77147542837753</v>
      </c>
      <c r="H9120" s="441">
        <f t="shared" si="784"/>
        <v>0.77263969171483626</v>
      </c>
      <c r="J9120" s="42"/>
    </row>
    <row r="9121" spans="1:10" s="393" customFormat="1" ht="15.75" thickBot="1" x14ac:dyDescent="0.3">
      <c r="A9121" s="404" t="s">
        <v>40</v>
      </c>
      <c r="B9121" s="269">
        <v>44272</v>
      </c>
      <c r="C9121" s="1">
        <v>286</v>
      </c>
      <c r="D9121" s="177">
        <f t="shared" si="782"/>
        <v>82969</v>
      </c>
      <c r="E9121" s="1">
        <v>1</v>
      </c>
      <c r="F9121" s="177">
        <f t="shared" si="783"/>
        <v>1492</v>
      </c>
      <c r="G9121" s="439">
        <f>SUM(C9121,C9097,C9073,C9049,C9025,C9001,C8977,C8953,C8929,C8905,C8881,C8857,C8833,C8809)/POBLA!$B$24*100000</f>
        <v>157.2590543449526</v>
      </c>
      <c r="H9121" s="442">
        <f t="shared" si="784"/>
        <v>1.3452801615345784</v>
      </c>
      <c r="J9121" s="42"/>
    </row>
    <row r="9122" spans="1:10" s="393" customFormat="1" x14ac:dyDescent="0.25">
      <c r="A9122" s="397" t="s">
        <v>16</v>
      </c>
      <c r="B9122" s="269">
        <v>44273</v>
      </c>
      <c r="C9122" s="1">
        <v>3583</v>
      </c>
      <c r="D9122" s="175">
        <f t="shared" si="782"/>
        <v>930851</v>
      </c>
      <c r="E9122" s="1">
        <v>75</v>
      </c>
      <c r="F9122" s="175">
        <f t="shared" si="783"/>
        <v>27441</v>
      </c>
      <c r="G9122" s="410">
        <f>SUM(C9122,C9098,C9074,C9050,C9026,C9002,C8978,C8954,C8930,C8906,C8882,C8858,C8834,C8810)/POBLA!$B$1*100000</f>
        <v>225.68657306842238</v>
      </c>
      <c r="H9122" s="440">
        <f t="shared" si="784"/>
        <v>1.071306795118123</v>
      </c>
      <c r="J9122" s="42"/>
    </row>
    <row r="9123" spans="1:10" s="393" customFormat="1" x14ac:dyDescent="0.25">
      <c r="A9123" s="402" t="s">
        <v>43</v>
      </c>
      <c r="B9123" s="269">
        <v>44273</v>
      </c>
      <c r="C9123" s="1">
        <v>916</v>
      </c>
      <c r="D9123" s="39">
        <f t="shared" si="782"/>
        <v>245854</v>
      </c>
      <c r="E9123" s="1">
        <v>32</v>
      </c>
      <c r="F9123" s="39">
        <f t="shared" si="783"/>
        <v>6753</v>
      </c>
      <c r="G9123" s="436">
        <f>SUM(C9123,C9099,C9075,C9051,C9027,C9003,C8979,C8955,C8931,C8907,C8883,C8859,C8835,C8811)/POBLA!$B$2*100000</f>
        <v>369.06067863466728</v>
      </c>
      <c r="H9123" s="441">
        <f t="shared" si="784"/>
        <v>1.1858545758462182</v>
      </c>
      <c r="J9123" s="42"/>
    </row>
    <row r="9124" spans="1:10" s="393" customFormat="1" x14ac:dyDescent="0.25">
      <c r="A9124" s="402" t="s">
        <v>28</v>
      </c>
      <c r="B9124" s="269">
        <v>44273</v>
      </c>
      <c r="C9124" s="1">
        <v>101</v>
      </c>
      <c r="D9124" s="39">
        <f t="shared" si="782"/>
        <v>9459</v>
      </c>
      <c r="E9124" s="1"/>
      <c r="F9124" s="39">
        <f t="shared" si="783"/>
        <v>18</v>
      </c>
      <c r="G9124" s="436">
        <f>SUM(C9124,C9100,C9076,C9052,C9028,C9004,C8980,C8956,C8932,C8908,C8884,C8860,C8836,C8812)/POBLA!$B$3*100000</f>
        <v>292.70312296901102</v>
      </c>
      <c r="H9124" s="441">
        <f t="shared" si="784"/>
        <v>1.0033003300330032</v>
      </c>
      <c r="J9124" s="42"/>
    </row>
    <row r="9125" spans="1:10" s="393" customFormat="1" x14ac:dyDescent="0.25">
      <c r="A9125" s="402" t="s">
        <v>15</v>
      </c>
      <c r="B9125" s="269">
        <v>44273</v>
      </c>
      <c r="C9125" s="1">
        <v>181</v>
      </c>
      <c r="D9125" s="39">
        <f t="shared" si="782"/>
        <v>36506</v>
      </c>
      <c r="E9125" s="1">
        <v>3</v>
      </c>
      <c r="F9125" s="39">
        <f t="shared" si="783"/>
        <v>903</v>
      </c>
      <c r="G9125" s="436">
        <f>SUM(C9125,C9101,C9077,C9053,C9029,C9005,C8981,C8957,C8933,C8909,C8885,C8861,C8837,C8813)/POBLA!$B$4*100000</f>
        <v>151.17791756361967</v>
      </c>
      <c r="H9125" s="441">
        <f t="shared" si="784"/>
        <v>0.95791688584955281</v>
      </c>
      <c r="J9125" s="42"/>
    </row>
    <row r="9126" spans="1:10" s="393" customFormat="1" x14ac:dyDescent="0.25">
      <c r="A9126" s="402" t="s">
        <v>29</v>
      </c>
      <c r="B9126" s="269">
        <v>44273</v>
      </c>
      <c r="C9126" s="1">
        <v>91</v>
      </c>
      <c r="D9126" s="39">
        <f t="shared" si="782"/>
        <v>48568</v>
      </c>
      <c r="E9126" s="1">
        <v>1</v>
      </c>
      <c r="F9126" s="39">
        <f t="shared" si="783"/>
        <v>813</v>
      </c>
      <c r="G9126" s="436">
        <f>SUM(C9126,C9102,C9078,C9054,C9030,C9006,C8982,C8958,C8934,C8910,C8886,C8862,C8838,C8814)/POBLA!$B$5*100000</f>
        <v>196.28623217672543</v>
      </c>
      <c r="H9126" s="441">
        <f t="shared" si="784"/>
        <v>0.79359895493141741</v>
      </c>
      <c r="J9126" s="42"/>
    </row>
    <row r="9127" spans="1:10" s="393" customFormat="1" x14ac:dyDescent="0.25">
      <c r="A9127" s="402" t="s">
        <v>30</v>
      </c>
      <c r="B9127" s="269">
        <v>44273</v>
      </c>
      <c r="C9127" s="1">
        <v>318</v>
      </c>
      <c r="D9127" s="39">
        <f t="shared" si="782"/>
        <v>25779</v>
      </c>
      <c r="E9127" s="1">
        <v>6</v>
      </c>
      <c r="F9127" s="39">
        <f t="shared" si="783"/>
        <v>312</v>
      </c>
      <c r="G9127" s="436">
        <f>SUM(C9127,C9103,C9079,C9055,C9031,C9007,C8983,C8959,C8935,C8911,C8887,C8863,C8839,C8815)/POBLA!$B$6*100000</f>
        <v>273.91124740252729</v>
      </c>
      <c r="H9127" s="441">
        <f t="shared" si="784"/>
        <v>1.4339093881363849</v>
      </c>
      <c r="J9127" s="42"/>
    </row>
    <row r="9128" spans="1:10" s="393" customFormat="1" x14ac:dyDescent="0.25">
      <c r="A9128" s="402" t="s">
        <v>20</v>
      </c>
      <c r="B9128" s="269">
        <v>44273</v>
      </c>
      <c r="C9128" s="1">
        <v>709</v>
      </c>
      <c r="D9128" s="39">
        <f t="shared" si="782"/>
        <v>170561</v>
      </c>
      <c r="E9128" s="1">
        <v>5</v>
      </c>
      <c r="F9128" s="39">
        <f t="shared" si="783"/>
        <v>2957</v>
      </c>
      <c r="G9128" s="436">
        <f>SUM(C9128,C9104,C9080,C9056,C9032,C9008,C8984,C8960,C8936,C8912,C8888,C8864,C8840,C8816)/POBLA!$B$7*100000</f>
        <v>215.85182624419951</v>
      </c>
      <c r="H9128" s="441">
        <f>SUM(C9128,C9104,C9080,C9056,C9032,C9008,C8984,C8960,C8936,C8912,C8888,C8864,C8840,C8816)/SUM(C8792,C8768,C8744,C8720,C8696,C8672,C8648,C8624,C8600,C8576,C8552,C8528,C8504,C8480)</f>
        <v>0.93459988485895218</v>
      </c>
      <c r="J9128" s="42"/>
    </row>
    <row r="9129" spans="1:10" x14ac:dyDescent="0.25">
      <c r="A9129" s="402" t="s">
        <v>31</v>
      </c>
      <c r="B9129" s="269">
        <v>44273</v>
      </c>
      <c r="C9129" s="1">
        <v>211</v>
      </c>
      <c r="D9129" s="39">
        <f t="shared" si="782"/>
        <v>47607</v>
      </c>
      <c r="E9129" s="1">
        <v>2</v>
      </c>
      <c r="F9129" s="39">
        <f t="shared" ref="F9129:F9152" si="785">E9129+F9105</f>
        <v>920</v>
      </c>
      <c r="G9129" s="169">
        <f>SUM(C9129,C9105,C9081,C9057,C9033,C9009,C8985,C8961,C8937,C8913,C8889,C8865,C8841,C8817)/POBLA!$B$8*100000</f>
        <v>136.43962564603189</v>
      </c>
      <c r="H9129" s="518">
        <f t="shared" ref="H9129:H9151" si="786">SUM(C9129,C9105,C9081,C9057,C9033,C9009,C8985,C8961,C8937,C8913,C8889,C8865,C8841,C8817)/SUM(C8793,C8769,C8745,C8721,C8697,C8673,C8649,C8625,C8601,C8577,C8553,C8529,C8505,C8481)</f>
        <v>1.076879271070615</v>
      </c>
    </row>
    <row r="9130" spans="1:10" s="393" customFormat="1" x14ac:dyDescent="0.25">
      <c r="A9130" s="402" t="s">
        <v>41</v>
      </c>
      <c r="B9130" s="269">
        <v>44273</v>
      </c>
      <c r="C9130" s="1">
        <v>13</v>
      </c>
      <c r="D9130" s="39">
        <f t="shared" si="782"/>
        <v>1660</v>
      </c>
      <c r="E9130" s="1"/>
      <c r="F9130" s="39">
        <f t="shared" si="785"/>
        <v>23</v>
      </c>
      <c r="G9130" s="436">
        <f>SUM(C9130,C9106,C9082,C9058,C9034,C9010,C8986,C8962,C8938,C8914,C8890,C8866,C8842,C8818)/POBLA!$B$9*100000</f>
        <v>57.998027075660161</v>
      </c>
      <c r="H9130" s="441">
        <f t="shared" si="786"/>
        <v>1.3048327137546469</v>
      </c>
      <c r="J9130" s="42"/>
    </row>
    <row r="9131" spans="1:10" s="393" customFormat="1" x14ac:dyDescent="0.25">
      <c r="A9131" s="402" t="s">
        <v>32</v>
      </c>
      <c r="B9131" s="269">
        <v>44273</v>
      </c>
      <c r="C9131" s="1">
        <v>52</v>
      </c>
      <c r="D9131" s="39">
        <f t="shared" si="782"/>
        <v>21890</v>
      </c>
      <c r="E9131" s="1"/>
      <c r="F9131" s="39">
        <f t="shared" si="785"/>
        <v>937</v>
      </c>
      <c r="G9131" s="436">
        <f>SUM(C9131,C9107,C9083,C9059,C9035,C9011,C8987,C8963,C8939,C8915,C8891,C8867,C8843,C8819)/POBLA!$B$10*100000</f>
        <v>106.50152228424362</v>
      </c>
      <c r="H9131" s="441">
        <f t="shared" si="786"/>
        <v>0.71640488656195467</v>
      </c>
      <c r="J9131" s="42"/>
    </row>
    <row r="9132" spans="1:10" s="393" customFormat="1" x14ac:dyDescent="0.25">
      <c r="A9132" s="402" t="s">
        <v>33</v>
      </c>
      <c r="B9132" s="269">
        <v>44273</v>
      </c>
      <c r="C9132" s="1">
        <v>83</v>
      </c>
      <c r="D9132" s="39">
        <f t="shared" si="782"/>
        <v>20311</v>
      </c>
      <c r="E9132" s="1"/>
      <c r="F9132" s="39">
        <f t="shared" si="785"/>
        <v>308</v>
      </c>
      <c r="G9132" s="436">
        <f>SUM(C9132,C9108,C9084,C9060,C9036,C9012,C8988,C8964,C8940,C8916,C8892,C8868,C8844,C8820)/POBLA!$B$11*100000</f>
        <v>350.69804814356019</v>
      </c>
      <c r="H9132" s="441">
        <f t="shared" si="786"/>
        <v>1.1293800539083558</v>
      </c>
      <c r="J9132" s="42"/>
    </row>
    <row r="9133" spans="1:10" s="393" customFormat="1" x14ac:dyDescent="0.25">
      <c r="A9133" s="402" t="s">
        <v>21</v>
      </c>
      <c r="B9133" s="269">
        <v>44273</v>
      </c>
      <c r="C9133" s="1">
        <v>53</v>
      </c>
      <c r="D9133" s="39">
        <f t="shared" si="782"/>
        <v>10620</v>
      </c>
      <c r="E9133" s="1"/>
      <c r="F9133" s="39">
        <f t="shared" si="785"/>
        <v>447</v>
      </c>
      <c r="G9133" s="436">
        <f>SUM(C9133,C9109,C9085,C9061,C9037,C9013,C8989,C8965,C8941,C8917,C8893,C8869,C8845,C8821)/POBLA!$B$12*100000</f>
        <v>79.790410412394451</v>
      </c>
      <c r="H9133" s="441">
        <f t="shared" si="786"/>
        <v>0.86980609418282551</v>
      </c>
      <c r="J9133" s="42"/>
    </row>
    <row r="9134" spans="1:10" s="393" customFormat="1" x14ac:dyDescent="0.25">
      <c r="A9134" s="402" t="s">
        <v>17</v>
      </c>
      <c r="B9134" s="269">
        <v>44273</v>
      </c>
      <c r="C9134" s="1">
        <v>218</v>
      </c>
      <c r="D9134" s="39">
        <f t="shared" si="782"/>
        <v>70025</v>
      </c>
      <c r="E9134" s="1">
        <v>2</v>
      </c>
      <c r="F9134" s="39">
        <f t="shared" si="785"/>
        <v>1486</v>
      </c>
      <c r="G9134" s="436">
        <f>SUM(C9134,C9110,C9086,C9062,C9038,C9014,C8990,C8966,C8942,C8918,C8894,C8870,C8846,C8822)/POBLA!$B$13*100000</f>
        <v>107.46918362609767</v>
      </c>
      <c r="H9134" s="441">
        <f t="shared" si="786"/>
        <v>1.1512378902045211</v>
      </c>
      <c r="J9134" s="42"/>
    </row>
    <row r="9135" spans="1:10" s="393" customFormat="1" x14ac:dyDescent="0.25">
      <c r="A9135" s="402" t="s">
        <v>23</v>
      </c>
      <c r="B9135" s="269">
        <v>44273</v>
      </c>
      <c r="C9135" s="1">
        <v>132</v>
      </c>
      <c r="D9135" s="39">
        <f t="shared" si="782"/>
        <v>10462</v>
      </c>
      <c r="E9135" s="1">
        <v>2</v>
      </c>
      <c r="F9135" s="39">
        <f t="shared" si="785"/>
        <v>178</v>
      </c>
      <c r="G9135" s="436">
        <f>SUM(C9135,C9111,C9087,C9063,C9039,C9015,C8991,C8967,C8943,C8919,C8895,C8871,C8847,C8823)/POBLA!$B$14*100000</f>
        <v>132.16585506630494</v>
      </c>
      <c r="H9135" s="441">
        <f t="shared" si="786"/>
        <v>1.0201958384332925</v>
      </c>
      <c r="J9135" s="42"/>
    </row>
    <row r="9136" spans="1:10" s="393" customFormat="1" x14ac:dyDescent="0.25">
      <c r="A9136" s="402" t="s">
        <v>19</v>
      </c>
      <c r="B9136" s="269">
        <v>44273</v>
      </c>
      <c r="C9136" s="1">
        <v>157</v>
      </c>
      <c r="D9136" s="39">
        <f t="shared" si="782"/>
        <v>63750</v>
      </c>
      <c r="E9136" s="1">
        <v>1</v>
      </c>
      <c r="F9136" s="39">
        <f t="shared" si="785"/>
        <v>967</v>
      </c>
      <c r="G9136" s="436">
        <f>SUM(C9136,C9112,C9088,C9064,C9040,C9016,C8992,C8968,C8944,C8920,C8896,C8872,C8848,C8824)/POBLA!$B$15*100000</f>
        <v>280.24702698714117</v>
      </c>
      <c r="H9136" s="441">
        <f t="shared" si="786"/>
        <v>0.76052308949734371</v>
      </c>
      <c r="J9136" s="42"/>
    </row>
    <row r="9137" spans="1:10" s="393" customFormat="1" x14ac:dyDescent="0.25">
      <c r="A9137" s="402" t="s">
        <v>18</v>
      </c>
      <c r="B9137" s="269">
        <v>44273</v>
      </c>
      <c r="C9137" s="1">
        <v>119</v>
      </c>
      <c r="D9137" s="39">
        <f t="shared" si="782"/>
        <v>54225</v>
      </c>
      <c r="E9137" s="1">
        <v>1</v>
      </c>
      <c r="F9137" s="39">
        <f t="shared" si="785"/>
        <v>1250</v>
      </c>
      <c r="G9137" s="436">
        <f>SUM(C9137,C9113,C9089,C9065,C9041,C9017,C8993,C8969,C8945,C8921,C8897,C8873,C8849,C8825)/POBLA!$B$16*100000</f>
        <v>180.70919329596981</v>
      </c>
      <c r="H9137" s="441">
        <f t="shared" si="786"/>
        <v>0.79237536656891494</v>
      </c>
      <c r="J9137" s="42"/>
    </row>
    <row r="9138" spans="1:10" s="393" customFormat="1" x14ac:dyDescent="0.25">
      <c r="A9138" s="402" t="s">
        <v>34</v>
      </c>
      <c r="B9138" s="269">
        <v>44273</v>
      </c>
      <c r="C9138" s="1">
        <v>145</v>
      </c>
      <c r="D9138" s="39">
        <f t="shared" si="782"/>
        <v>28089</v>
      </c>
      <c r="E9138" s="1">
        <v>1</v>
      </c>
      <c r="F9138" s="39">
        <f t="shared" si="785"/>
        <v>1153</v>
      </c>
      <c r="G9138" s="436">
        <f>SUM(C9138,C9114,C9090,C9066,C9042,C9018,C8994,C8970,C8946,C8922,C8898,C8874,C8850,C8826)/POBLA!$B$17*100000</f>
        <v>103.90361675853011</v>
      </c>
      <c r="H9138" s="441">
        <f t="shared" si="786"/>
        <v>0.93375394321766558</v>
      </c>
      <c r="J9138" s="42"/>
    </row>
    <row r="9139" spans="1:10" s="393" customFormat="1" x14ac:dyDescent="0.25">
      <c r="A9139" s="402" t="s">
        <v>35</v>
      </c>
      <c r="B9139" s="269">
        <v>44273</v>
      </c>
      <c r="C9139" s="1">
        <v>87</v>
      </c>
      <c r="D9139" s="39">
        <f t="shared" si="782"/>
        <v>16178</v>
      </c>
      <c r="E9139" s="1"/>
      <c r="F9139" s="39">
        <f t="shared" si="785"/>
        <v>219</v>
      </c>
      <c r="G9139" s="436">
        <f>SUM(C9139,C9115,C9091,C9067,C9043,C9019,C8995,C8971,C8947,C8923,C8899,C8875,C8851,C8827)/POBLA!$B$18*100000</f>
        <v>92.291898409788828</v>
      </c>
      <c r="H9139" s="441">
        <f t="shared" si="786"/>
        <v>1.1336477987421383</v>
      </c>
      <c r="J9139" s="42"/>
    </row>
    <row r="9140" spans="1:10" s="393" customFormat="1" x14ac:dyDescent="0.25">
      <c r="A9140" s="402" t="s">
        <v>36</v>
      </c>
      <c r="B9140" s="269">
        <v>44273</v>
      </c>
      <c r="C9140" s="1">
        <v>12</v>
      </c>
      <c r="D9140" s="39">
        <f t="shared" si="782"/>
        <v>21536</v>
      </c>
      <c r="E9140" s="1">
        <v>4</v>
      </c>
      <c r="F9140" s="39">
        <f t="shared" si="785"/>
        <v>366</v>
      </c>
      <c r="G9140" s="436">
        <f>SUM(C9140,C9116,C9092,C9068,C9044,C9020,C8996,C8972,C8948,C8924,C8900,C8876,C8852,C8828)/POBLA!$B$19*100000</f>
        <v>145.57529783919045</v>
      </c>
      <c r="H9140" s="441">
        <f t="shared" si="786"/>
        <v>1.3405797101449275</v>
      </c>
      <c r="J9140" s="42"/>
    </row>
    <row r="9141" spans="1:10" s="393" customFormat="1" x14ac:dyDescent="0.25">
      <c r="A9141" s="402" t="s">
        <v>37</v>
      </c>
      <c r="B9141" s="269">
        <v>44273</v>
      </c>
      <c r="C9141" s="1">
        <v>145</v>
      </c>
      <c r="D9141" s="39">
        <f t="shared" si="782"/>
        <v>37861</v>
      </c>
      <c r="E9141" s="1">
        <v>5</v>
      </c>
      <c r="F9141" s="39">
        <f t="shared" si="785"/>
        <v>618</v>
      </c>
      <c r="G9141" s="436">
        <f>SUM(C9141,C9117,C9093,C9069,C9045,C9021,C8997,C8973,C8949,C8925,C8901,C8877,C8853,C8829)/POBLA!$B$20*100000</f>
        <v>391.03303818998194</v>
      </c>
      <c r="H9141" s="441">
        <f t="shared" si="786"/>
        <v>0.91257179323548177</v>
      </c>
      <c r="J9141" s="42"/>
    </row>
    <row r="9142" spans="1:10" s="393" customFormat="1" x14ac:dyDescent="0.25">
      <c r="A9142" s="402" t="s">
        <v>22</v>
      </c>
      <c r="B9142" s="269">
        <v>44273</v>
      </c>
      <c r="C9142" s="1">
        <v>486</v>
      </c>
      <c r="D9142" s="39">
        <f t="shared" si="782"/>
        <v>224312</v>
      </c>
      <c r="E9142" s="1">
        <v>15</v>
      </c>
      <c r="F9142" s="39">
        <f t="shared" si="785"/>
        <v>4194</v>
      </c>
      <c r="G9142" s="436">
        <f>SUM(C9142,C9118,C9094,C9070,C9046,C9022,C8998,C8974,C8950,C8926,C8902,C8878,C8854,C8830)/POBLA!$B$21*100000</f>
        <v>173.67856401590535</v>
      </c>
      <c r="H9142" s="441">
        <f t="shared" si="786"/>
        <v>1.1809267448567584</v>
      </c>
      <c r="J9142" s="42"/>
    </row>
    <row r="9143" spans="1:10" s="393" customFormat="1" x14ac:dyDescent="0.25">
      <c r="A9143" s="402" t="s">
        <v>38</v>
      </c>
      <c r="B9143" s="269">
        <v>44273</v>
      </c>
      <c r="C9143" s="1">
        <v>110</v>
      </c>
      <c r="D9143" s="39">
        <f t="shared" si="782"/>
        <v>23825</v>
      </c>
      <c r="E9143" s="1"/>
      <c r="F9143" s="39">
        <f t="shared" si="785"/>
        <v>276</v>
      </c>
      <c r="G9143" s="436">
        <f>SUM(C9143,C9119,C9095,C9071,C9047,C9023,C8999,C8975,C8951,C8927,C8903,C8879,C8855,C8831)/POBLA!$B$22*100000</f>
        <v>97.923670645284275</v>
      </c>
      <c r="H9143" s="441">
        <f t="shared" si="786"/>
        <v>1.1473053892215568</v>
      </c>
      <c r="J9143" s="42"/>
    </row>
    <row r="9144" spans="1:10" s="393" customFormat="1" x14ac:dyDescent="0.25">
      <c r="A9144" s="402" t="s">
        <v>39</v>
      </c>
      <c r="B9144" s="269">
        <v>44273</v>
      </c>
      <c r="C9144" s="1">
        <v>50</v>
      </c>
      <c r="D9144" s="39">
        <f t="shared" si="782"/>
        <v>23499</v>
      </c>
      <c r="E9144" s="1"/>
      <c r="F9144" s="39">
        <f t="shared" si="785"/>
        <v>358</v>
      </c>
      <c r="G9144" s="436">
        <f>SUM(C9144,C9120,C9096,C9072,C9048,C9024,C9000,C8976,C8952,C8928,C8904,C8880,C8856,C8832)/POBLA!$B$23*100000</f>
        <v>236.3852287507776</v>
      </c>
      <c r="H9144" s="441">
        <f t="shared" si="786"/>
        <v>0.84104627766599593</v>
      </c>
      <c r="J9144" s="42"/>
    </row>
    <row r="9145" spans="1:10" s="393" customFormat="1" ht="15.75" thickBot="1" x14ac:dyDescent="0.3">
      <c r="A9145" s="404" t="s">
        <v>40</v>
      </c>
      <c r="B9145" s="269">
        <v>44273</v>
      </c>
      <c r="C9145" s="1">
        <v>356</v>
      </c>
      <c r="D9145" s="177">
        <f t="shared" si="782"/>
        <v>83325</v>
      </c>
      <c r="E9145" s="1"/>
      <c r="F9145" s="177">
        <f t="shared" si="785"/>
        <v>1492</v>
      </c>
      <c r="G9145" s="439">
        <f>SUM(C9145,C9121,C9097,C9073,C9049,C9025,C9001,C8977,C8953,C8929,C8905,C8881,C8857,C8833)/POBLA!$B$24*100000</f>
        <v>169.41491370520035</v>
      </c>
      <c r="H9145" s="442">
        <f t="shared" si="786"/>
        <v>1.4276479363500747</v>
      </c>
      <c r="J9145" s="42"/>
    </row>
    <row r="9146" spans="1:10" s="393" customFormat="1" x14ac:dyDescent="0.25">
      <c r="A9146" s="397" t="s">
        <v>16</v>
      </c>
      <c r="B9146" s="269">
        <v>44274</v>
      </c>
      <c r="C9146" s="1">
        <v>3542</v>
      </c>
      <c r="D9146" s="175">
        <f t="shared" si="782"/>
        <v>934393</v>
      </c>
      <c r="E9146" s="1">
        <v>32</v>
      </c>
      <c r="F9146" s="175">
        <f t="shared" si="785"/>
        <v>27473</v>
      </c>
      <c r="G9146" s="410">
        <f>SUM(C9146,C9122,C9098,C9074,C9050,C9026,C9002,C8978,C8954,C8930,C8906,C8882,C8858,C8834)/POBLA!$B$1*100000</f>
        <v>225.96021547287032</v>
      </c>
      <c r="H9146" s="440">
        <f t="shared" si="786"/>
        <v>1.0742045639330045</v>
      </c>
      <c r="J9146" s="42"/>
    </row>
    <row r="9147" spans="1:10" s="393" customFormat="1" x14ac:dyDescent="0.25">
      <c r="A9147" s="402" t="s">
        <v>43</v>
      </c>
      <c r="B9147" s="269">
        <v>44274</v>
      </c>
      <c r="C9147" s="1">
        <v>884</v>
      </c>
      <c r="D9147" s="39">
        <f t="shared" si="782"/>
        <v>246738</v>
      </c>
      <c r="E9147" s="1">
        <v>8</v>
      </c>
      <c r="F9147" s="39">
        <f t="shared" si="785"/>
        <v>6761</v>
      </c>
      <c r="G9147" s="436">
        <f>SUM(C9147,C9123,C9099,C9075,C9051,C9027,C9003,C8979,C8955,C8931,C8907,C8883,C8859,C8835)/POBLA!$B$2*100000</f>
        <v>369.74346202391303</v>
      </c>
      <c r="H9147" s="441">
        <f t="shared" si="786"/>
        <v>1.1860659157279934</v>
      </c>
      <c r="J9147" s="42"/>
    </row>
    <row r="9148" spans="1:10" s="393" customFormat="1" x14ac:dyDescent="0.25">
      <c r="A9148" s="402" t="s">
        <v>28</v>
      </c>
      <c r="B9148" s="269">
        <v>44274</v>
      </c>
      <c r="C9148" s="1">
        <v>116</v>
      </c>
      <c r="D9148" s="39">
        <f t="shared" si="782"/>
        <v>9575</v>
      </c>
      <c r="E9148" s="1"/>
      <c r="F9148" s="39">
        <f t="shared" si="785"/>
        <v>18</v>
      </c>
      <c r="G9148" s="436">
        <f>SUM(C9148,C9124,C9100,C9076,C9052,C9028,C9004,C8980,C8956,C8932,C8908,C8884,C8860,C8836)/POBLA!$B$3*100000</f>
        <v>292.46241316393781</v>
      </c>
      <c r="H9148" s="441">
        <f t="shared" si="786"/>
        <v>0.98700243704305446</v>
      </c>
      <c r="J9148" s="42"/>
    </row>
    <row r="9149" spans="1:10" s="393" customFormat="1" x14ac:dyDescent="0.25">
      <c r="A9149" s="402" t="s">
        <v>15</v>
      </c>
      <c r="B9149" s="269">
        <v>44274</v>
      </c>
      <c r="C9149" s="1">
        <v>166</v>
      </c>
      <c r="D9149" s="39">
        <f t="shared" si="782"/>
        <v>36672</v>
      </c>
      <c r="E9149" s="1">
        <v>1</v>
      </c>
      <c r="F9149" s="39">
        <f t="shared" si="785"/>
        <v>904</v>
      </c>
      <c r="G9149" s="436">
        <f>SUM(C9149,C9125,C9101,C9077,C9053,C9029,C9005,C8981,C8957,C8933,C8909,C8885,C8861,C8837)/POBLA!$B$4*100000</f>
        <v>150.67980251398666</v>
      </c>
      <c r="H9149" s="441">
        <f t="shared" si="786"/>
        <v>0.95125786163522008</v>
      </c>
      <c r="J9149" s="42"/>
    </row>
    <row r="9150" spans="1:10" s="393" customFormat="1" x14ac:dyDescent="0.25">
      <c r="A9150" s="402" t="s">
        <v>29</v>
      </c>
      <c r="B9150" s="269">
        <v>44274</v>
      </c>
      <c r="C9150" s="1">
        <v>127</v>
      </c>
      <c r="D9150" s="39">
        <f t="shared" si="782"/>
        <v>48695</v>
      </c>
      <c r="E9150" s="1">
        <v>2</v>
      </c>
      <c r="F9150" s="39">
        <f t="shared" si="785"/>
        <v>815</v>
      </c>
      <c r="G9150" s="436">
        <f>SUM(C9150,C9126,C9102,C9078,C9054,C9030,C9006,C8982,C8958,C8934,C8910,C8886,C8862,C8838)/POBLA!$B$5*100000</f>
        <v>199.35572881158782</v>
      </c>
      <c r="H9150" s="441">
        <f t="shared" si="786"/>
        <v>0.84404924760601918</v>
      </c>
      <c r="J9150" s="42"/>
    </row>
    <row r="9151" spans="1:10" s="393" customFormat="1" x14ac:dyDescent="0.25">
      <c r="A9151" s="402" t="s">
        <v>30</v>
      </c>
      <c r="B9151" s="269">
        <v>44274</v>
      </c>
      <c r="C9151" s="1">
        <v>357</v>
      </c>
      <c r="D9151" s="39">
        <f t="shared" si="782"/>
        <v>26136</v>
      </c>
      <c r="E9151" s="1">
        <v>5</v>
      </c>
      <c r="F9151" s="39">
        <f t="shared" si="785"/>
        <v>317</v>
      </c>
      <c r="G9151" s="436">
        <f>SUM(C9151,C9127,C9103,C9079,C9055,C9031,C9007,C8983,C8959,C8935,C8911,C8887,C8863,C8839)/POBLA!$B$6*100000</f>
        <v>291.93407215018544</v>
      </c>
      <c r="H9151" s="441">
        <f t="shared" si="786"/>
        <v>1.504367816091954</v>
      </c>
      <c r="J9151" s="42"/>
    </row>
    <row r="9152" spans="1:10" s="393" customFormat="1" x14ac:dyDescent="0.25">
      <c r="A9152" s="402" t="s">
        <v>20</v>
      </c>
      <c r="B9152" s="269">
        <v>44274</v>
      </c>
      <c r="C9152" s="1">
        <v>683</v>
      </c>
      <c r="D9152" s="39">
        <f t="shared" si="782"/>
        <v>171244</v>
      </c>
      <c r="E9152" s="1">
        <v>9</v>
      </c>
      <c r="F9152" s="39">
        <f t="shared" si="785"/>
        <v>2966</v>
      </c>
      <c r="G9152" s="436">
        <f>SUM(C9152,C9128,C9104,C9080,C9056,C9032,C9008,C8984,C8960,C8936,C8912,C8888,C8864,C8840)/POBLA!$B$7*100000</f>
        <v>214.65516095148189</v>
      </c>
      <c r="H9152" s="441">
        <f>SUM(C9152,C9128,C9104,C9080,C9056,C9032,C9008,C8984,C8960,C8936,C8912,C8888,C8864,C8840)/SUM(C8816,C8792,C8768,C8744,C8720,C8696,C8672,C8648,C8624,C8600,C8576,C8552,C8528,C8504)</f>
        <v>0.93991616208663253</v>
      </c>
      <c r="J9152" s="42"/>
    </row>
    <row r="9153" spans="1:10" x14ac:dyDescent="0.25">
      <c r="A9153" s="402" t="s">
        <v>31</v>
      </c>
      <c r="B9153" s="269">
        <v>44274</v>
      </c>
      <c r="C9153" s="1">
        <v>241</v>
      </c>
      <c r="D9153" s="39">
        <f t="shared" si="782"/>
        <v>47848</v>
      </c>
      <c r="E9153" s="1">
        <v>3</v>
      </c>
      <c r="F9153" s="39">
        <f t="shared" ref="F9153:F9176" si="787">E9153+F9129</f>
        <v>923</v>
      </c>
      <c r="G9153" s="169">
        <f>SUM(C9153,C9129,C9105,C9081,C9057,C9033,C9009,C8985,C8961,C8937,C8913,C8889,C8865,C8841)/POBLA!$B$8*100000</f>
        <v>145.17003003692022</v>
      </c>
      <c r="H9153" s="518">
        <f t="shared" ref="H9153:H9175" si="788">SUM(C9153,C9129,C9105,C9081,C9057,C9033,C9009,C8985,C8961,C8937,C8913,C8889,C8865,C8841)/SUM(C8817,C8793,C8769,C8745,C8721,C8697,C8673,C8649,C8625,C8601,C8577,C8553,C8529,C8505)</f>
        <v>1.1690877396862289</v>
      </c>
    </row>
    <row r="9154" spans="1:10" s="393" customFormat="1" x14ac:dyDescent="0.25">
      <c r="A9154" s="402" t="s">
        <v>41</v>
      </c>
      <c r="B9154" s="269">
        <v>44274</v>
      </c>
      <c r="C9154" s="1">
        <v>25</v>
      </c>
      <c r="D9154" s="39">
        <f t="shared" si="782"/>
        <v>1685</v>
      </c>
      <c r="E9154" s="1">
        <v>2</v>
      </c>
      <c r="F9154" s="39">
        <f t="shared" si="787"/>
        <v>25</v>
      </c>
      <c r="G9154" s="436">
        <f>SUM(C9154,C9130,C9106,C9082,C9058,C9034,C9010,C8986,C8962,C8938,C8914,C8890,C8866,C8842)/POBLA!$B$9*100000</f>
        <v>57.502317442534867</v>
      </c>
      <c r="H9154" s="441">
        <f t="shared" si="788"/>
        <v>1.2428571428571429</v>
      </c>
      <c r="J9154" s="42"/>
    </row>
    <row r="9155" spans="1:10" s="393" customFormat="1" x14ac:dyDescent="0.25">
      <c r="A9155" s="402" t="s">
        <v>32</v>
      </c>
      <c r="B9155" s="269">
        <v>44274</v>
      </c>
      <c r="C9155" s="1">
        <v>51</v>
      </c>
      <c r="D9155" s="39">
        <f t="shared" si="782"/>
        <v>21941</v>
      </c>
      <c r="E9155" s="1">
        <v>4</v>
      </c>
      <c r="F9155" s="39">
        <f t="shared" si="787"/>
        <v>941</v>
      </c>
      <c r="G9155" s="436">
        <f>SUM(C9155,C9131,C9107,C9083,C9059,C9035,C9011,C8987,C8963,C8939,C8915,C8891,C8867,C8843)/POBLA!$B$10*100000</f>
        <v>102.73959275166983</v>
      </c>
      <c r="H9155" s="441">
        <f t="shared" si="788"/>
        <v>0.67404255319148931</v>
      </c>
      <c r="J9155" s="42"/>
    </row>
    <row r="9156" spans="1:10" s="393" customFormat="1" x14ac:dyDescent="0.25">
      <c r="A9156" s="402" t="s">
        <v>33</v>
      </c>
      <c r="B9156" s="269">
        <v>44274</v>
      </c>
      <c r="C9156" s="1">
        <v>68</v>
      </c>
      <c r="D9156" s="39">
        <f t="shared" si="782"/>
        <v>20379</v>
      </c>
      <c r="E9156" s="1">
        <v>1</v>
      </c>
      <c r="F9156" s="39">
        <f t="shared" si="787"/>
        <v>309</v>
      </c>
      <c r="G9156" s="436">
        <f>SUM(C9156,C9132,C9108,C9084,C9060,C9036,C9012,C8988,C8964,C8940,C8916,C8892,C8868,C8844)/POBLA!$B$11*100000</f>
        <v>338.980213599384</v>
      </c>
      <c r="H9156" s="441">
        <f t="shared" si="788"/>
        <v>1.0537727666955767</v>
      </c>
      <c r="J9156" s="42"/>
    </row>
    <row r="9157" spans="1:10" s="393" customFormat="1" x14ac:dyDescent="0.25">
      <c r="A9157" s="402" t="s">
        <v>21</v>
      </c>
      <c r="B9157" s="269">
        <v>44274</v>
      </c>
      <c r="C9157" s="1">
        <v>26</v>
      </c>
      <c r="D9157" s="39">
        <f t="shared" si="782"/>
        <v>10646</v>
      </c>
      <c r="E9157" s="1"/>
      <c r="F9157" s="39">
        <f t="shared" si="787"/>
        <v>447</v>
      </c>
      <c r="G9157" s="436">
        <f>SUM(C9157,C9133,C9109,C9085,C9061,C9037,C9013,C8989,C8965,C8941,C8917,C8893,C8869,C8845)/POBLA!$B$12*100000</f>
        <v>80.552739174296306</v>
      </c>
      <c r="H9157" s="441">
        <f t="shared" si="788"/>
        <v>0.90313390313390318</v>
      </c>
      <c r="J9157" s="42"/>
    </row>
    <row r="9158" spans="1:10" s="393" customFormat="1" x14ac:dyDescent="0.25">
      <c r="A9158" s="402" t="s">
        <v>17</v>
      </c>
      <c r="B9158" s="269">
        <v>44274</v>
      </c>
      <c r="C9158" s="1">
        <v>213</v>
      </c>
      <c r="D9158" s="39">
        <f t="shared" si="782"/>
        <v>70238</v>
      </c>
      <c r="E9158" s="1"/>
      <c r="F9158" s="39">
        <f t="shared" si="787"/>
        <v>1486</v>
      </c>
      <c r="G9158" s="436">
        <f>SUM(C9158,C9134,C9110,C9086,C9062,C9038,C9014,C8990,C8966,C8942,C8918,C8894,C8870,C8846)/POBLA!$B$13*100000</f>
        <v>110.08180520092566</v>
      </c>
      <c r="H9158" s="441">
        <f t="shared" si="788"/>
        <v>1.1654255319148936</v>
      </c>
      <c r="J9158" s="42"/>
    </row>
    <row r="9159" spans="1:10" s="393" customFormat="1" x14ac:dyDescent="0.25">
      <c r="A9159" s="402" t="s">
        <v>23</v>
      </c>
      <c r="B9159" s="269">
        <v>44274</v>
      </c>
      <c r="C9159" s="1">
        <v>119</v>
      </c>
      <c r="D9159" s="39">
        <f t="shared" si="782"/>
        <v>10581</v>
      </c>
      <c r="E9159" s="1">
        <v>5</v>
      </c>
      <c r="F9159" s="39">
        <f t="shared" si="787"/>
        <v>183</v>
      </c>
      <c r="G9159" s="436">
        <f>SUM(C9159,C9135,C9111,C9087,C9063,C9039,C9015,C8991,C8967,C8943,C8919,C8895,C8871,C8847)/POBLA!$B$14*100000</f>
        <v>132.87940797308161</v>
      </c>
      <c r="H9159" s="441">
        <f t="shared" si="788"/>
        <v>1.0219512195121951</v>
      </c>
      <c r="J9159" s="42"/>
    </row>
    <row r="9160" spans="1:10" s="393" customFormat="1" x14ac:dyDescent="0.25">
      <c r="A9160" s="402" t="s">
        <v>19</v>
      </c>
      <c r="B9160" s="269">
        <v>44274</v>
      </c>
      <c r="C9160" s="1">
        <v>159</v>
      </c>
      <c r="D9160" s="39">
        <f t="shared" si="782"/>
        <v>63909</v>
      </c>
      <c r="E9160" s="1">
        <v>2</v>
      </c>
      <c r="F9160" s="39">
        <f t="shared" si="787"/>
        <v>969</v>
      </c>
      <c r="G9160" s="436">
        <f>SUM(C9160,C9136,C9112,C9088,C9064,C9040,C9016,C8992,C8968,C8944,C8920,C8896,C8872,C8848)/POBLA!$B$15*100000</f>
        <v>276.78346888896584</v>
      </c>
      <c r="H9160" s="441">
        <f t="shared" si="788"/>
        <v>0.77651035065483731</v>
      </c>
      <c r="J9160" s="42"/>
    </row>
    <row r="9161" spans="1:10" s="393" customFormat="1" x14ac:dyDescent="0.25">
      <c r="A9161" s="402" t="s">
        <v>18</v>
      </c>
      <c r="B9161" s="269">
        <v>44274</v>
      </c>
      <c r="C9161" s="1">
        <v>70</v>
      </c>
      <c r="D9161" s="39">
        <f t="shared" si="782"/>
        <v>54295</v>
      </c>
      <c r="E9161" s="1">
        <v>2</v>
      </c>
      <c r="F9161" s="39">
        <f t="shared" si="787"/>
        <v>1252</v>
      </c>
      <c r="G9161" s="436">
        <f>SUM(C9161,C9137,C9113,C9089,C9065,C9041,C9017,C8993,C8969,C8945,C8921,C8897,C8873,C8849)/POBLA!$B$16*100000</f>
        <v>169.0721097898637</v>
      </c>
      <c r="H9161" s="441">
        <f t="shared" si="788"/>
        <v>0.73275362318840576</v>
      </c>
      <c r="J9161" s="42"/>
    </row>
    <row r="9162" spans="1:10" s="393" customFormat="1" x14ac:dyDescent="0.25">
      <c r="A9162" s="402" t="s">
        <v>34</v>
      </c>
      <c r="B9162" s="269">
        <v>44274</v>
      </c>
      <c r="C9162" s="1">
        <v>60</v>
      </c>
      <c r="D9162" s="39">
        <f t="shared" si="782"/>
        <v>28149</v>
      </c>
      <c r="E9162" s="1">
        <v>7</v>
      </c>
      <c r="F9162" s="39">
        <f t="shared" si="787"/>
        <v>1160</v>
      </c>
      <c r="G9162" s="436">
        <f>SUM(C9162,C9138,C9114,C9090,C9066,C9042,C9018,C8994,C8970,C8946,C8922,C8898,C8874,C8850)/POBLA!$B$17*100000</f>
        <v>95.970435208723401</v>
      </c>
      <c r="H9162" s="441">
        <f t="shared" si="788"/>
        <v>0.8511830635118306</v>
      </c>
      <c r="J9162" s="42"/>
    </row>
    <row r="9163" spans="1:10" s="393" customFormat="1" x14ac:dyDescent="0.25">
      <c r="A9163" s="402" t="s">
        <v>35</v>
      </c>
      <c r="B9163" s="269">
        <v>44274</v>
      </c>
      <c r="C9163" s="1">
        <v>92</v>
      </c>
      <c r="D9163" s="39">
        <f t="shared" ref="D9163:D9193" si="789">C9163+D9139</f>
        <v>16270</v>
      </c>
      <c r="E9163" s="1">
        <v>2</v>
      </c>
      <c r="F9163" s="39">
        <f t="shared" si="787"/>
        <v>221</v>
      </c>
      <c r="G9163" s="436">
        <f>SUM(C9163,C9139,C9115,C9091,C9067,C9043,C9019,C8995,C8971,C8947,C8923,C8899,C8875,C8851)/POBLA!$B$18*100000</f>
        <v>96.132060618240516</v>
      </c>
      <c r="H9163" s="441">
        <f t="shared" si="788"/>
        <v>1.1939586645468998</v>
      </c>
      <c r="J9163" s="42"/>
    </row>
    <row r="9164" spans="1:10" s="393" customFormat="1" x14ac:dyDescent="0.25">
      <c r="A9164" s="402" t="s">
        <v>36</v>
      </c>
      <c r="B9164" s="269">
        <v>44274</v>
      </c>
      <c r="C9164" s="1">
        <v>15</v>
      </c>
      <c r="D9164" s="39">
        <f t="shared" si="789"/>
        <v>21551</v>
      </c>
      <c r="E9164" s="1">
        <v>12</v>
      </c>
      <c r="F9164" s="39">
        <f t="shared" si="787"/>
        <v>378</v>
      </c>
      <c r="G9164" s="436">
        <f>SUM(C9164,C9140,C9116,C9092,C9068,C9044,C9020,C8996,C8972,C8948,C8924,C8900,C8876,C8852)/POBLA!$B$19*100000</f>
        <v>147.5425315937741</v>
      </c>
      <c r="H9164" s="441">
        <f t="shared" si="788"/>
        <v>1.3686131386861313</v>
      </c>
      <c r="J9164" s="42"/>
    </row>
    <row r="9165" spans="1:10" s="393" customFormat="1" x14ac:dyDescent="0.25">
      <c r="A9165" s="402" t="s">
        <v>37</v>
      </c>
      <c r="B9165" s="269">
        <v>44274</v>
      </c>
      <c r="C9165" s="1">
        <v>133</v>
      </c>
      <c r="D9165" s="39">
        <f t="shared" si="789"/>
        <v>37994</v>
      </c>
      <c r="E9165" s="1">
        <v>4</v>
      </c>
      <c r="F9165" s="39">
        <f t="shared" si="787"/>
        <v>622</v>
      </c>
      <c r="G9165" s="436">
        <f>SUM(C9165,C9141,C9117,C9093,C9069,C9045,C9021,C8997,C8973,C8949,C8925,C8901,C8877,C8853)/POBLA!$B$20*100000</f>
        <v>386.38439368003105</v>
      </c>
      <c r="H9165" s="441">
        <f t="shared" si="788"/>
        <v>0.89487017099430022</v>
      </c>
      <c r="J9165" s="42"/>
    </row>
    <row r="9166" spans="1:10" s="393" customFormat="1" x14ac:dyDescent="0.25">
      <c r="A9166" s="402" t="s">
        <v>22</v>
      </c>
      <c r="B9166" s="269">
        <v>44274</v>
      </c>
      <c r="C9166" s="1">
        <v>522</v>
      </c>
      <c r="D9166" s="39">
        <f t="shared" si="789"/>
        <v>224834</v>
      </c>
      <c r="E9166" s="1">
        <v>5</v>
      </c>
      <c r="F9166" s="39">
        <f t="shared" si="787"/>
        <v>4199</v>
      </c>
      <c r="G9166" s="436">
        <f>SUM(C9166,C9142,C9118,C9094,C9070,C9046,C9022,C8998,C8974,C8950,C8926,C8902,C8878,C8854)/POBLA!$B$21*100000</f>
        <v>173.53717801458993</v>
      </c>
      <c r="H9166" s="441">
        <f t="shared" si="788"/>
        <v>1.1754453169890826</v>
      </c>
      <c r="J9166" s="42"/>
    </row>
    <row r="9167" spans="1:10" s="393" customFormat="1" x14ac:dyDescent="0.25">
      <c r="A9167" s="402" t="s">
        <v>38</v>
      </c>
      <c r="B9167" s="269">
        <v>44274</v>
      </c>
      <c r="C9167" s="1">
        <v>114</v>
      </c>
      <c r="D9167" s="39">
        <f t="shared" si="789"/>
        <v>23939</v>
      </c>
      <c r="E9167" s="1">
        <v>1</v>
      </c>
      <c r="F9167" s="39">
        <f t="shared" si="787"/>
        <v>277</v>
      </c>
      <c r="G9167" s="436">
        <f>SUM(C9167,C9143,C9119,C9095,C9071,C9047,C9023,C8999,C8975,C8951,C8927,C8903,C8879,C8855)/POBLA!$B$22*100000</f>
        <v>100.27465647497273</v>
      </c>
      <c r="H9167" s="441">
        <f t="shared" si="788"/>
        <v>1.125</v>
      </c>
      <c r="J9167" s="42"/>
    </row>
    <row r="9168" spans="1:10" s="393" customFormat="1" x14ac:dyDescent="0.25">
      <c r="A9168" s="402" t="s">
        <v>39</v>
      </c>
      <c r="B9168" s="269">
        <v>44274</v>
      </c>
      <c r="C9168" s="1">
        <v>38</v>
      </c>
      <c r="D9168" s="39">
        <f t="shared" si="789"/>
        <v>23537</v>
      </c>
      <c r="E9168" s="1"/>
      <c r="F9168" s="39">
        <f t="shared" si="787"/>
        <v>358</v>
      </c>
      <c r="G9168" s="436">
        <f>SUM(C9168,C9144,C9120,C9096,C9072,C9048,C9024,C9000,C8976,C8952,C8928,C8904,C8880,C8856)/POBLA!$B$23*100000</f>
        <v>230.73007973760107</v>
      </c>
      <c r="H9168" s="441">
        <f t="shared" si="788"/>
        <v>0.82258064516129037</v>
      </c>
      <c r="J9168" s="42"/>
    </row>
    <row r="9169" spans="1:10" s="393" customFormat="1" ht="15.75" thickBot="1" x14ac:dyDescent="0.3">
      <c r="A9169" s="404" t="s">
        <v>40</v>
      </c>
      <c r="B9169" s="269">
        <v>44274</v>
      </c>
      <c r="C9169" s="1">
        <v>339</v>
      </c>
      <c r="D9169" s="177">
        <f t="shared" si="789"/>
        <v>83664</v>
      </c>
      <c r="E9169" s="1">
        <v>6</v>
      </c>
      <c r="F9169" s="177">
        <f t="shared" si="787"/>
        <v>1498</v>
      </c>
      <c r="G9169" s="439">
        <f>SUM(C9169,C9145,C9121,C9097,C9073,C9049,C9025,C9001,C8977,C8953,C8929,C8905,C8881,C8857)/POBLA!$B$24*100000</f>
        <v>176.02392461950978</v>
      </c>
      <c r="H9169" s="442">
        <f t="shared" si="788"/>
        <v>1.4341346153846153</v>
      </c>
      <c r="J9169" s="42"/>
    </row>
    <row r="9170" spans="1:10" s="393" customFormat="1" x14ac:dyDescent="0.25">
      <c r="A9170" s="397" t="s">
        <v>16</v>
      </c>
      <c r="B9170" s="269">
        <v>44275</v>
      </c>
      <c r="C9170" s="17">
        <v>3182</v>
      </c>
      <c r="D9170" s="175">
        <f t="shared" si="789"/>
        <v>937575</v>
      </c>
      <c r="E9170" s="1">
        <v>12</v>
      </c>
      <c r="F9170" s="175">
        <f t="shared" si="787"/>
        <v>27485</v>
      </c>
      <c r="G9170" s="410">
        <f>SUM(C9170,C9146,C9122,C9098,C9074,C9050,C9026,C9002,C8978,C8954,C8930,C8906,C8882,C8858)/POBLA!$B$1*100000</f>
        <v>231.4729697458107</v>
      </c>
      <c r="H9170" s="443">
        <f t="shared" si="788"/>
        <v>1.1092806600551868</v>
      </c>
      <c r="J9170" s="42"/>
    </row>
    <row r="9171" spans="1:10" s="393" customFormat="1" x14ac:dyDescent="0.25">
      <c r="A9171" s="402" t="s">
        <v>43</v>
      </c>
      <c r="B9171" s="269">
        <v>44275</v>
      </c>
      <c r="C9171" s="17">
        <v>842</v>
      </c>
      <c r="D9171" s="39">
        <f t="shared" si="789"/>
        <v>247580</v>
      </c>
      <c r="E9171" s="1">
        <v>1</v>
      </c>
      <c r="F9171" s="39">
        <f t="shared" si="787"/>
        <v>6762</v>
      </c>
      <c r="G9171" s="436">
        <f>SUM(C9171,C9147,C9123,C9099,C9075,C9051,C9027,C9003,C8979,C8955,C8931,C8907,C8883,C8859)/POBLA!$B$2*100000</f>
        <v>375.95353951657637</v>
      </c>
      <c r="H9171" s="444">
        <f t="shared" si="788"/>
        <v>1.1991081613605725</v>
      </c>
      <c r="J9171" s="42"/>
    </row>
    <row r="9172" spans="1:10" s="393" customFormat="1" x14ac:dyDescent="0.25">
      <c r="A9172" s="402" t="s">
        <v>28</v>
      </c>
      <c r="B9172" s="269">
        <v>44275</v>
      </c>
      <c r="C9172" s="17">
        <v>73</v>
      </c>
      <c r="D9172" s="39">
        <f t="shared" si="789"/>
        <v>9648</v>
      </c>
      <c r="E9172" s="1"/>
      <c r="F9172" s="39">
        <f t="shared" si="787"/>
        <v>18</v>
      </c>
      <c r="G9172" s="436">
        <f>SUM(C9172,C9148,C9124,C9100,C9076,C9052,C9028,C9004,C8980,C8956,C8932,C8908,C8884,C8860)/POBLA!$B$3*100000</f>
        <v>298.96157790091422</v>
      </c>
      <c r="H9172" s="444">
        <f t="shared" si="788"/>
        <v>1.0138775510204081</v>
      </c>
      <c r="J9172" s="42"/>
    </row>
    <row r="9173" spans="1:10" s="393" customFormat="1" x14ac:dyDescent="0.25">
      <c r="A9173" s="402" t="s">
        <v>15</v>
      </c>
      <c r="B9173" s="269">
        <v>44275</v>
      </c>
      <c r="C9173" s="17">
        <v>170</v>
      </c>
      <c r="D9173" s="39">
        <f t="shared" si="789"/>
        <v>36842</v>
      </c>
      <c r="E9173" s="1">
        <v>2</v>
      </c>
      <c r="F9173" s="39">
        <f t="shared" si="787"/>
        <v>906</v>
      </c>
      <c r="G9173" s="436">
        <f>SUM(C9173,C9149,C9125,C9101,C9077,C9053,C9029,C9005,C8981,C8957,C8933,C8909,C8885,C8861)/POBLA!$B$4*100000</f>
        <v>154.66472291105077</v>
      </c>
      <c r="H9173" s="444">
        <f t="shared" si="788"/>
        <v>1.0048543689320388</v>
      </c>
      <c r="J9173" s="42"/>
    </row>
    <row r="9174" spans="1:10" s="393" customFormat="1" x14ac:dyDescent="0.25">
      <c r="A9174" s="402" t="s">
        <v>29</v>
      </c>
      <c r="B9174" s="269">
        <v>44275</v>
      </c>
      <c r="C9174" s="17">
        <v>35</v>
      </c>
      <c r="D9174" s="39">
        <f t="shared" si="789"/>
        <v>48730</v>
      </c>
      <c r="E9174" s="1">
        <v>1</v>
      </c>
      <c r="F9174" s="39">
        <f t="shared" si="787"/>
        <v>816</v>
      </c>
      <c r="G9174" s="436">
        <f>SUM(C9174,C9150,C9126,C9102,C9078,C9054,C9030,C9006,C8982,C8958,C8934,C8910,C8886,C8862)/POBLA!$B$5*100000</f>
        <v>198.38641408478921</v>
      </c>
      <c r="H9174" s="444">
        <f t="shared" si="788"/>
        <v>0.84865238424326195</v>
      </c>
      <c r="J9174" s="42"/>
    </row>
    <row r="9175" spans="1:10" s="393" customFormat="1" x14ac:dyDescent="0.25">
      <c r="A9175" s="402" t="s">
        <v>30</v>
      </c>
      <c r="B9175" s="269">
        <v>44275</v>
      </c>
      <c r="C9175" s="17">
        <v>235</v>
      </c>
      <c r="D9175" s="39">
        <f t="shared" si="789"/>
        <v>26371</v>
      </c>
      <c r="E9175" s="1"/>
      <c r="F9175" s="39">
        <f t="shared" si="787"/>
        <v>317</v>
      </c>
      <c r="G9175" s="436">
        <f>SUM(C9175,C9151,C9127,C9103,C9079,C9055,C9031,C9007,C8983,C8959,C8935,C8911,C8887,C8863)/POBLA!$B$6*100000</f>
        <v>297.10894262228533</v>
      </c>
      <c r="H9175" s="444">
        <f t="shared" si="788"/>
        <v>1.4952851369555455</v>
      </c>
      <c r="J9175" s="42"/>
    </row>
    <row r="9176" spans="1:10" s="393" customFormat="1" x14ac:dyDescent="0.25">
      <c r="A9176" s="402" t="s">
        <v>20</v>
      </c>
      <c r="B9176" s="269">
        <v>44275</v>
      </c>
      <c r="C9176" s="17">
        <v>550</v>
      </c>
      <c r="D9176" s="39">
        <f t="shared" si="789"/>
        <v>171794</v>
      </c>
      <c r="E9176" s="1">
        <v>2</v>
      </c>
      <c r="F9176" s="39">
        <f t="shared" si="787"/>
        <v>2968</v>
      </c>
      <c r="G9176" s="436">
        <f>SUM(C9176,C9152,C9128,C9104,C9080,C9056,C9032,C9008,C8984,C8960,C8936,C8912,C8888,C8864)/POBLA!$B$7*100000</f>
        <v>218.32493451581593</v>
      </c>
      <c r="H9176" s="444">
        <f>SUM(C9176,C9152,C9128,C9104,C9080,C9056,C9032,C9008,C8984,C8960,C8936,C8912,C8888,C8864)/SUM(C8840,C8816,C8792,C8768,C8744,C8720,C8696,C8672,C8648,C8624,C8600,C8576,C8552,C8528)</f>
        <v>0.97633487929599239</v>
      </c>
      <c r="J9176" s="42"/>
    </row>
    <row r="9177" spans="1:10" x14ac:dyDescent="0.25">
      <c r="A9177" s="402" t="s">
        <v>31</v>
      </c>
      <c r="B9177" s="269">
        <v>44275</v>
      </c>
      <c r="C9177" s="17">
        <v>150</v>
      </c>
      <c r="D9177" s="39">
        <f t="shared" si="789"/>
        <v>47998</v>
      </c>
      <c r="F9177" s="39">
        <f t="shared" ref="F9177:F9200" si="790">E9177+F9153</f>
        <v>923</v>
      </c>
      <c r="G9177" s="169">
        <f>SUM(C9177,C9153,C9129,C9105,C9081,C9057,C9033,C9009,C8985,C8961,C8937,C8913,C8889,C8865)/POBLA!$B$8*100000</f>
        <v>148.705483054718</v>
      </c>
      <c r="H9177" s="536">
        <f t="shared" ref="H9177:H9199" si="791">SUM(C9177,C9153,C9129,C9105,C9081,C9057,C9033,C9009,C8985,C8961,C8937,C8913,C8889,C8865)/SUM(C8841,C8817,C8793,C8769,C8745,C8721,C8697,C8673,C8649,C8625,C8601,C8577,C8553,C8529)</f>
        <v>1.2080890973036342</v>
      </c>
    </row>
    <row r="9178" spans="1:10" s="393" customFormat="1" x14ac:dyDescent="0.25">
      <c r="A9178" s="402" t="s">
        <v>41</v>
      </c>
      <c r="B9178" s="269">
        <v>44275</v>
      </c>
      <c r="C9178" s="17">
        <v>4</v>
      </c>
      <c r="D9178" s="39">
        <f t="shared" si="789"/>
        <v>1689</v>
      </c>
      <c r="E9178" s="1"/>
      <c r="F9178" s="39">
        <f t="shared" si="790"/>
        <v>25</v>
      </c>
      <c r="G9178" s="436">
        <f>SUM(C9178,C9154,C9130,C9106,C9082,C9058,C9034,C9010,C8986,C8962,C8938,C8914,C8890,C8866)/POBLA!$B$9*100000</f>
        <v>57.667553986909965</v>
      </c>
      <c r="H9178" s="444">
        <f t="shared" si="791"/>
        <v>1.2925925925925925</v>
      </c>
      <c r="J9178" s="42"/>
    </row>
    <row r="9179" spans="1:10" s="393" customFormat="1" x14ac:dyDescent="0.25">
      <c r="A9179" s="402" t="s">
        <v>32</v>
      </c>
      <c r="B9179" s="269">
        <v>44275</v>
      </c>
      <c r="C9179" s="17">
        <v>32</v>
      </c>
      <c r="D9179" s="39">
        <f t="shared" si="789"/>
        <v>21973</v>
      </c>
      <c r="E9179" s="1">
        <v>5</v>
      </c>
      <c r="F9179" s="39">
        <f t="shared" si="790"/>
        <v>946</v>
      </c>
      <c r="G9179" s="436">
        <f>SUM(C9179,C9155,C9131,C9107,C9083,C9059,C9035,C9011,C8987,C8963,C8939,C8915,C8891,C8867)/POBLA!$B$10*100000</f>
        <v>99.626271759194992</v>
      </c>
      <c r="H9179" s="444">
        <f t="shared" si="791"/>
        <v>0.66036113499570082</v>
      </c>
      <c r="J9179" s="42"/>
    </row>
    <row r="9180" spans="1:10" s="393" customFormat="1" x14ac:dyDescent="0.25">
      <c r="A9180" s="402" t="s">
        <v>33</v>
      </c>
      <c r="B9180" s="269">
        <v>44275</v>
      </c>
      <c r="C9180" s="17">
        <v>64</v>
      </c>
      <c r="D9180" s="39">
        <f t="shared" si="789"/>
        <v>20443</v>
      </c>
      <c r="E9180" s="1"/>
      <c r="F9180" s="39">
        <f t="shared" si="790"/>
        <v>309</v>
      </c>
      <c r="G9180" s="436">
        <f>SUM(C9180,C9156,C9132,C9108,C9084,C9060,C9036,C9012,C8988,C8964,C8940,C8916,C8892,C8868)/POBLA!$B$11*100000</f>
        <v>347.35009541665272</v>
      </c>
      <c r="H9180" s="444">
        <f t="shared" si="791"/>
        <v>1.1047027506654836</v>
      </c>
      <c r="J9180" s="42"/>
    </row>
    <row r="9181" spans="1:10" s="393" customFormat="1" x14ac:dyDescent="0.25">
      <c r="A9181" s="402" t="s">
        <v>21</v>
      </c>
      <c r="B9181" s="269">
        <v>44275</v>
      </c>
      <c r="C9181" s="17">
        <v>27</v>
      </c>
      <c r="D9181" s="39">
        <f t="shared" si="789"/>
        <v>10673</v>
      </c>
      <c r="E9181" s="1"/>
      <c r="F9181" s="39">
        <f t="shared" si="790"/>
        <v>447</v>
      </c>
      <c r="G9181" s="436">
        <f>SUM(C9181,C9157,C9133,C9109,C9085,C9061,C9037,C9013,C8989,C8965,C8941,C8917,C8893,C8869)/POBLA!$B$12*100000</f>
        <v>81.823287110799399</v>
      </c>
      <c r="H9181" s="444">
        <f t="shared" si="791"/>
        <v>0.90196078431372551</v>
      </c>
      <c r="J9181" s="42"/>
    </row>
    <row r="9182" spans="1:10" s="393" customFormat="1" x14ac:dyDescent="0.25">
      <c r="A9182" s="402" t="s">
        <v>17</v>
      </c>
      <c r="B9182" s="269">
        <v>44275</v>
      </c>
      <c r="C9182" s="17">
        <v>140</v>
      </c>
      <c r="D9182" s="39">
        <f t="shared" si="789"/>
        <v>70378</v>
      </c>
      <c r="E9182" s="1"/>
      <c r="F9182" s="39">
        <f t="shared" si="790"/>
        <v>1486</v>
      </c>
      <c r="G9182" s="436">
        <f>SUM(C9182,C9158,C9134,C9110,C9086,C9062,C9038,C9014,C8990,C8966,C8942,C8918,C8894,C8870)/POBLA!$B$13*100000</f>
        <v>110.88568876241121</v>
      </c>
      <c r="H9182" s="444">
        <f t="shared" si="791"/>
        <v>1.1758124667021843</v>
      </c>
      <c r="J9182" s="42"/>
    </row>
    <row r="9183" spans="1:10" s="393" customFormat="1" x14ac:dyDescent="0.25">
      <c r="A9183" s="402" t="s">
        <v>23</v>
      </c>
      <c r="B9183" s="269">
        <v>44275</v>
      </c>
      <c r="C9183" s="17">
        <v>93</v>
      </c>
      <c r="D9183" s="39">
        <f t="shared" si="789"/>
        <v>10674</v>
      </c>
      <c r="E9183" s="1"/>
      <c r="F9183" s="39">
        <f t="shared" si="790"/>
        <v>183</v>
      </c>
      <c r="G9183" s="436">
        <f>SUM(C9183,C9159,C9135,C9111,C9087,C9063,C9039,C9015,C8991,C8967,C8943,C8919,C8895,C8871)/POBLA!$B$14*100000</f>
        <v>131.6901531284538</v>
      </c>
      <c r="H9183" s="444">
        <f t="shared" si="791"/>
        <v>1.0078883495145632</v>
      </c>
      <c r="J9183" s="42"/>
    </row>
    <row r="9184" spans="1:10" s="393" customFormat="1" x14ac:dyDescent="0.25">
      <c r="A9184" s="402" t="s">
        <v>19</v>
      </c>
      <c r="B9184" s="269">
        <v>44275</v>
      </c>
      <c r="C9184" s="17">
        <v>88</v>
      </c>
      <c r="D9184" s="39">
        <f t="shared" si="789"/>
        <v>63997</v>
      </c>
      <c r="E9184" s="1">
        <v>1</v>
      </c>
      <c r="F9184" s="39">
        <f t="shared" si="790"/>
        <v>970</v>
      </c>
      <c r="G9184" s="436">
        <f>SUM(C9184,C9160,C9136,C9112,C9088,C9064,C9040,C9016,C8992,C8968,C8944,C8920,C8896,C8872)/POBLA!$B$15*100000</f>
        <v>276.33170044137779</v>
      </c>
      <c r="H9184" s="444">
        <f t="shared" si="791"/>
        <v>0.79921602787456447</v>
      </c>
      <c r="J9184" s="42"/>
    </row>
    <row r="9185" spans="1:10" s="393" customFormat="1" x14ac:dyDescent="0.25">
      <c r="A9185" s="402" t="s">
        <v>18</v>
      </c>
      <c r="B9185" s="269">
        <v>44275</v>
      </c>
      <c r="C9185" s="17">
        <v>83</v>
      </c>
      <c r="D9185" s="39">
        <f t="shared" si="789"/>
        <v>54378</v>
      </c>
      <c r="E9185" s="1">
        <v>2</v>
      </c>
      <c r="F9185" s="39">
        <f t="shared" si="790"/>
        <v>1254</v>
      </c>
      <c r="G9185" s="436">
        <f>SUM(C9185,C9161,C9137,C9113,C9089,C9065,C9041,C9017,C8993,C8969,C8945,C8921,C8897,C8873)/POBLA!$B$16*100000</f>
        <v>170.67722475622315</v>
      </c>
      <c r="H9185" s="444">
        <f t="shared" si="791"/>
        <v>0.74315666860803731</v>
      </c>
      <c r="J9185" s="42"/>
    </row>
    <row r="9186" spans="1:10" s="393" customFormat="1" x14ac:dyDescent="0.25">
      <c r="A9186" s="402" t="s">
        <v>34</v>
      </c>
      <c r="B9186" s="269">
        <v>44275</v>
      </c>
      <c r="C9186" s="17">
        <v>115</v>
      </c>
      <c r="D9186" s="39">
        <f t="shared" si="789"/>
        <v>28264</v>
      </c>
      <c r="E9186" s="1">
        <v>15</v>
      </c>
      <c r="F9186" s="39">
        <f t="shared" si="790"/>
        <v>1175</v>
      </c>
      <c r="G9186" s="436">
        <f>SUM(C9186,C9162,C9138,C9114,C9090,C9066,C9042,C9018,C8994,C8970,C8946,C8922,C8898,C8874)/POBLA!$B$17*100000</f>
        <v>99.691307971022113</v>
      </c>
      <c r="H9186" s="444">
        <f t="shared" si="791"/>
        <v>0.9329829172141918</v>
      </c>
      <c r="J9186" s="42"/>
    </row>
    <row r="9187" spans="1:10" s="393" customFormat="1" x14ac:dyDescent="0.25">
      <c r="A9187" s="402" t="s">
        <v>35</v>
      </c>
      <c r="B9187" s="269">
        <v>44275</v>
      </c>
      <c r="C9187" s="17">
        <v>41</v>
      </c>
      <c r="D9187" s="39">
        <f t="shared" si="789"/>
        <v>16311</v>
      </c>
      <c r="E9187" s="1"/>
      <c r="F9187" s="39">
        <f t="shared" si="790"/>
        <v>221</v>
      </c>
      <c r="G9187" s="436">
        <f>SUM(C9187,C9163,C9139,C9115,C9091,C9067,C9043,C9019,C8995,C8971,C8947,C8923,C8899,C8875)/POBLA!$B$18*100000</f>
        <v>100.74025526838253</v>
      </c>
      <c r="H9187" s="444">
        <f t="shared" si="791"/>
        <v>1.294407894736842</v>
      </c>
      <c r="J9187" s="42"/>
    </row>
    <row r="9188" spans="1:10" s="393" customFormat="1" x14ac:dyDescent="0.25">
      <c r="A9188" s="402" t="s">
        <v>36</v>
      </c>
      <c r="B9188" s="269">
        <v>44275</v>
      </c>
      <c r="C9188" s="17">
        <v>1</v>
      </c>
      <c r="D9188" s="39">
        <f t="shared" si="789"/>
        <v>21552</v>
      </c>
      <c r="E9188" s="1"/>
      <c r="F9188" s="39">
        <f t="shared" si="790"/>
        <v>378</v>
      </c>
      <c r="G9188" s="436">
        <f>SUM(C9188,C9164,C9140,C9116,C9092,C9068,C9044,C9020,C8996,C8972,C8948,C8924,C8900,C8876)/POBLA!$B$19*100000</f>
        <v>147.5425315937741</v>
      </c>
      <c r="H9188" s="444">
        <f t="shared" si="791"/>
        <v>2.6315789473684212</v>
      </c>
      <c r="J9188" s="42"/>
    </row>
    <row r="9189" spans="1:10" s="393" customFormat="1" x14ac:dyDescent="0.25">
      <c r="A9189" s="402" t="s">
        <v>37</v>
      </c>
      <c r="B9189" s="269">
        <v>44275</v>
      </c>
      <c r="C9189" s="17">
        <v>150</v>
      </c>
      <c r="D9189" s="39">
        <f t="shared" si="789"/>
        <v>38144</v>
      </c>
      <c r="E9189" s="1">
        <v>1</v>
      </c>
      <c r="F9189" s="39">
        <f t="shared" si="790"/>
        <v>623</v>
      </c>
      <c r="G9189" s="436">
        <f>SUM(C9189,C9165,C9141,C9117,C9093,C9069,C9045,C9021,C8997,C8973,C8949,C8925,C8901,C8877)/POBLA!$B$20*100000</f>
        <v>418.9249052496869</v>
      </c>
      <c r="H9189" s="444">
        <f t="shared" si="791"/>
        <v>1.0186170212765957</v>
      </c>
      <c r="J9189" s="42"/>
    </row>
    <row r="9190" spans="1:10" s="393" customFormat="1" x14ac:dyDescent="0.25">
      <c r="A9190" s="402" t="s">
        <v>22</v>
      </c>
      <c r="B9190" s="269">
        <v>44275</v>
      </c>
      <c r="C9190" s="17">
        <v>402</v>
      </c>
      <c r="D9190" s="39">
        <f t="shared" si="789"/>
        <v>225236</v>
      </c>
      <c r="E9190" s="1"/>
      <c r="F9190" s="39">
        <f t="shared" si="790"/>
        <v>4199</v>
      </c>
      <c r="G9190" s="436">
        <f>SUM(C9190,C9166,C9142,C9118,C9094,C9070,C9046,C9022,C8998,C8974,C8950,C8926,C8902,C8878)/POBLA!$B$21*100000</f>
        <v>175.37519603169082</v>
      </c>
      <c r="H9190" s="444">
        <f t="shared" si="791"/>
        <v>1.1968351987649557</v>
      </c>
      <c r="J9190" s="42"/>
    </row>
    <row r="9191" spans="1:10" s="393" customFormat="1" x14ac:dyDescent="0.25">
      <c r="A9191" s="402" t="s">
        <v>38</v>
      </c>
      <c r="B9191" s="269">
        <v>44275</v>
      </c>
      <c r="C9191" s="17">
        <v>95</v>
      </c>
      <c r="D9191" s="39">
        <f t="shared" si="789"/>
        <v>24034</v>
      </c>
      <c r="E9191" s="1"/>
      <c r="F9191" s="39">
        <f t="shared" si="790"/>
        <v>277</v>
      </c>
      <c r="G9191" s="436">
        <f>SUM(C9191,C9167,C9143,C9119,C9095,C9071,C9047,C9023,C8999,C8975,C8951,C8927,C8903,C8879)/POBLA!$B$22*100000</f>
        <v>104.4655442583304</v>
      </c>
      <c r="H9191" s="444">
        <f t="shared" si="791"/>
        <v>1.1720183486238531</v>
      </c>
      <c r="J9191" s="42"/>
    </row>
    <row r="9192" spans="1:10" s="393" customFormat="1" x14ac:dyDescent="0.25">
      <c r="A9192" s="402" t="s">
        <v>39</v>
      </c>
      <c r="B9192" s="269">
        <v>44275</v>
      </c>
      <c r="C9192" s="17">
        <v>26</v>
      </c>
      <c r="D9192" s="39">
        <f t="shared" si="789"/>
        <v>23563</v>
      </c>
      <c r="E9192" s="1"/>
      <c r="F9192" s="39">
        <f t="shared" si="790"/>
        <v>358</v>
      </c>
      <c r="G9192" s="436">
        <f>SUM(C9192,C9168,C9144,C9120,C9096,C9072,C9048,C9024,C9000,C8976,C8952,C8928,C8904,C8880)/POBLA!$B$23*100000</f>
        <v>239.77831815868348</v>
      </c>
      <c r="H9192" s="444">
        <f t="shared" si="791"/>
        <v>0.89640591966173366</v>
      </c>
      <c r="J9192" s="42"/>
    </row>
    <row r="9193" spans="1:10" s="393" customFormat="1" ht="15.75" thickBot="1" x14ac:dyDescent="0.3">
      <c r="A9193" s="404" t="s">
        <v>40</v>
      </c>
      <c r="B9193" s="269">
        <v>44275</v>
      </c>
      <c r="C9193" s="17">
        <v>228</v>
      </c>
      <c r="D9193" s="177">
        <f t="shared" si="789"/>
        <v>83892</v>
      </c>
      <c r="E9193" s="1"/>
      <c r="F9193" s="177">
        <f t="shared" si="790"/>
        <v>1498</v>
      </c>
      <c r="G9193" s="439">
        <f>SUM(C9193,C9169,C9145,C9121,C9097,C9073,C9049,C9025,C9001,C8977,C8953,C8929,C8905,C8881)/POBLA!$B$24*100000</f>
        <v>184.40320631443785</v>
      </c>
      <c r="H9193" s="442">
        <f t="shared" si="791"/>
        <v>1.5067502410800386</v>
      </c>
      <c r="J9193" s="42"/>
    </row>
    <row r="9194" spans="1:10" s="393" customFormat="1" x14ac:dyDescent="0.25">
      <c r="A9194" s="397" t="s">
        <v>16</v>
      </c>
      <c r="B9194" s="269">
        <v>44276</v>
      </c>
      <c r="C9194" s="17">
        <v>1657</v>
      </c>
      <c r="D9194" s="175">
        <f t="shared" ref="D9194:D9257" si="792">C9194+D9170</f>
        <v>939232</v>
      </c>
      <c r="E9194" s="1">
        <v>12</v>
      </c>
      <c r="F9194" s="175">
        <f t="shared" si="790"/>
        <v>27497</v>
      </c>
      <c r="G9194" s="410">
        <f>SUM(C9194,C9170,C9146,C9122,C9098,C9074,C9050,C9026,C9002,C8978,C8954,C8930,C8906,C8882)/POBLA!$B$1*100000</f>
        <v>235.27545899095162</v>
      </c>
      <c r="H9194" s="440">
        <f t="shared" si="791"/>
        <v>1.1435300637295649</v>
      </c>
      <c r="J9194" s="42"/>
    </row>
    <row r="9195" spans="1:10" s="393" customFormat="1" x14ac:dyDescent="0.25">
      <c r="A9195" s="402" t="s">
        <v>43</v>
      </c>
      <c r="B9195" s="269">
        <v>44276</v>
      </c>
      <c r="C9195" s="17">
        <v>623</v>
      </c>
      <c r="D9195" s="39">
        <f t="shared" si="792"/>
        <v>248203</v>
      </c>
      <c r="E9195" s="1">
        <v>3</v>
      </c>
      <c r="F9195" s="39">
        <f t="shared" si="790"/>
        <v>6765</v>
      </c>
      <c r="G9195" s="436">
        <f>SUM(C9195,C9171,C9147,C9123,C9099,C9075,C9051,C9027,C9003,C8979,C8955,C8931,C8907,C8883)/POBLA!$B$2*100000</f>
        <v>382.26115749341761</v>
      </c>
      <c r="H9195" s="441">
        <f t="shared" si="791"/>
        <v>1.2094434728937351</v>
      </c>
      <c r="J9195" s="42"/>
    </row>
    <row r="9196" spans="1:10" s="393" customFormat="1" x14ac:dyDescent="0.25">
      <c r="A9196" s="402" t="s">
        <v>28</v>
      </c>
      <c r="B9196" s="269">
        <v>44276</v>
      </c>
      <c r="C9196" s="17">
        <v>52</v>
      </c>
      <c r="D9196" s="39">
        <f t="shared" si="792"/>
        <v>9700</v>
      </c>
      <c r="E9196" s="1"/>
      <c r="F9196" s="39">
        <f t="shared" si="790"/>
        <v>18</v>
      </c>
      <c r="G9196" s="436">
        <f>SUM(C9196,C9172,C9148,C9124,C9100,C9076,C9052,C9028,C9004,C8980,C8956,C8932,C8908,C8884)/POBLA!$B$3*100000</f>
        <v>300.40583673135342</v>
      </c>
      <c r="H9196" s="441">
        <f t="shared" si="791"/>
        <v>1.0749354005167959</v>
      </c>
      <c r="J9196" s="42"/>
    </row>
    <row r="9197" spans="1:10" s="393" customFormat="1" x14ac:dyDescent="0.25">
      <c r="A9197" s="402" t="s">
        <v>15</v>
      </c>
      <c r="B9197" s="269">
        <v>44276</v>
      </c>
      <c r="C9197" s="17">
        <v>120</v>
      </c>
      <c r="D9197" s="39">
        <f t="shared" si="792"/>
        <v>36962</v>
      </c>
      <c r="E9197" s="1">
        <v>1</v>
      </c>
      <c r="F9197" s="39">
        <f t="shared" si="790"/>
        <v>907</v>
      </c>
      <c r="G9197" s="436">
        <f>SUM(C9197,C9173,C9149,C9125,C9101,C9077,C9053,C9029,C9005,C8981,C8957,C8933,C8909,C8885)/POBLA!$B$4*100000</f>
        <v>157.65341320884886</v>
      </c>
      <c r="H9197" s="441">
        <f t="shared" si="791"/>
        <v>1.0226171243941842</v>
      </c>
      <c r="J9197" s="42"/>
    </row>
    <row r="9198" spans="1:10" s="393" customFormat="1" x14ac:dyDescent="0.25">
      <c r="A9198" s="402" t="s">
        <v>29</v>
      </c>
      <c r="B9198" s="269">
        <v>44276</v>
      </c>
      <c r="C9198" s="17">
        <v>17</v>
      </c>
      <c r="D9198" s="39">
        <f t="shared" si="792"/>
        <v>48747</v>
      </c>
      <c r="E9198" s="1"/>
      <c r="F9198" s="39">
        <f t="shared" si="790"/>
        <v>816</v>
      </c>
      <c r="G9198" s="436">
        <f>SUM(C9198,C9174,C9150,C9126,C9102,C9078,C9054,C9030,C9006,C8982,C8958,C8934,C8910,C8886)/POBLA!$B$5*100000</f>
        <v>194.34760272312818</v>
      </c>
      <c r="H9198" s="441">
        <f t="shared" si="791"/>
        <v>0.82794218857536128</v>
      </c>
      <c r="J9198" s="42"/>
    </row>
    <row r="9199" spans="1:10" s="393" customFormat="1" x14ac:dyDescent="0.25">
      <c r="A9199" s="402" t="s">
        <v>30</v>
      </c>
      <c r="B9199" s="269">
        <v>44276</v>
      </c>
      <c r="C9199" s="17">
        <v>96</v>
      </c>
      <c r="D9199" s="39">
        <f t="shared" si="792"/>
        <v>26467</v>
      </c>
      <c r="E9199" s="1"/>
      <c r="F9199" s="39">
        <f t="shared" si="790"/>
        <v>317</v>
      </c>
      <c r="G9199" s="436">
        <f>SUM(C9199,C9175,C9151,C9127,C9103,C9079,C9055,C9031,C9007,C8983,C8959,C8935,C8911,C8887)/POBLA!$B$6*100000</f>
        <v>293.27240072055611</v>
      </c>
      <c r="H9199" s="441">
        <f t="shared" si="791"/>
        <v>1.4806306306306307</v>
      </c>
      <c r="J9199" s="42"/>
    </row>
    <row r="9200" spans="1:10" s="393" customFormat="1" x14ac:dyDescent="0.25">
      <c r="A9200" s="402" t="s">
        <v>20</v>
      </c>
      <c r="B9200" s="269">
        <v>44276</v>
      </c>
      <c r="C9200" s="17">
        <v>405</v>
      </c>
      <c r="D9200" s="39">
        <f t="shared" si="792"/>
        <v>172199</v>
      </c>
      <c r="E9200" s="1">
        <v>1</v>
      </c>
      <c r="F9200" s="39">
        <f t="shared" si="790"/>
        <v>2969</v>
      </c>
      <c r="G9200" s="436">
        <f>SUM(C9200,C9176,C9152,C9128,C9104,C9080,C9056,C9032,C9008,C8984,C8960,C8936,C8912,C8888)/POBLA!$B$7*100000</f>
        <v>222.2872262628143</v>
      </c>
      <c r="H9200" s="441">
        <f>SUM(C9200,C9176,C9152,C9128,C9104,C9080,C9056,C9032,C9008,C8984,C8960,C8936,C8912,C8888)/SUM(C8864,C8840,C8816,C8792,C8768,C8744,C8720,C8696,C8672,C8648,C8624,C8600,C8576,C8552)</f>
        <v>1.0112509073312363</v>
      </c>
      <c r="J9200" s="42"/>
    </row>
    <row r="9201" spans="1:10" x14ac:dyDescent="0.25">
      <c r="A9201" s="402" t="s">
        <v>31</v>
      </c>
      <c r="B9201" s="269">
        <v>44276</v>
      </c>
      <c r="C9201" s="17">
        <v>127</v>
      </c>
      <c r="D9201" s="39">
        <f t="shared" si="792"/>
        <v>48125</v>
      </c>
      <c r="E9201" s="1">
        <v>3</v>
      </c>
      <c r="F9201" s="39">
        <f t="shared" ref="F9201:F9224" si="793">E9201+F9177</f>
        <v>926</v>
      </c>
      <c r="G9201" s="169">
        <f>SUM(C9201,C9177,C9153,C9129,C9105,C9081,C9057,C9033,C9009,C8985,C8961,C8937,C8913,C8889)/POBLA!$B$8*100000</f>
        <v>153.82828232540453</v>
      </c>
      <c r="H9201" s="518">
        <f t="shared" ref="H9201:H9223" si="794">SUM(C9201,C9177,C9153,C9129,C9105,C9081,C9057,C9033,C9009,C8985,C8961,C8937,C8913,C8889)/SUM(C8865,C8841,C8817,C8793,C8769,C8745,C8721,C8697,C8673,C8649,C8625,C8601,C8577,C8553)</f>
        <v>1.2728358208955224</v>
      </c>
    </row>
    <row r="9202" spans="1:10" s="393" customFormat="1" x14ac:dyDescent="0.25">
      <c r="A9202" s="402" t="s">
        <v>41</v>
      </c>
      <c r="B9202" s="269">
        <v>44276</v>
      </c>
      <c r="C9202" s="17">
        <v>6</v>
      </c>
      <c r="D9202" s="39">
        <f t="shared" si="792"/>
        <v>1695</v>
      </c>
      <c r="E9202" s="1"/>
      <c r="F9202" s="39">
        <f t="shared" si="793"/>
        <v>25</v>
      </c>
      <c r="G9202" s="436">
        <f>SUM(C9202,C9178,C9154,C9130,C9106,C9082,C9058,C9034,C9010,C8986,C8962,C8938,C8914,C8890)/POBLA!$B$9*100000</f>
        <v>54.032350010657758</v>
      </c>
      <c r="H9202" s="441">
        <f t="shared" si="794"/>
        <v>1.1314878892733564</v>
      </c>
      <c r="J9202" s="42"/>
    </row>
    <row r="9203" spans="1:10" s="393" customFormat="1" x14ac:dyDescent="0.25">
      <c r="A9203" s="402" t="s">
        <v>32</v>
      </c>
      <c r="B9203" s="269">
        <v>44276</v>
      </c>
      <c r="C9203" s="17">
        <v>51</v>
      </c>
      <c r="D9203" s="39">
        <f t="shared" si="792"/>
        <v>22024</v>
      </c>
      <c r="E9203" s="1"/>
      <c r="F9203" s="39">
        <f t="shared" si="793"/>
        <v>946</v>
      </c>
      <c r="G9203" s="436">
        <f>SUM(C9203,C9179,C9155,C9131,C9107,C9083,C9059,C9035,C9011,C8987,C8963,C8939,C8915,C8891)/POBLA!$B$10*100000</f>
        <v>98.977663219096073</v>
      </c>
      <c r="H9203" s="441">
        <f t="shared" si="794"/>
        <v>0.6657940663176265</v>
      </c>
      <c r="J9203" s="42"/>
    </row>
    <row r="9204" spans="1:10" s="393" customFormat="1" x14ac:dyDescent="0.25">
      <c r="A9204" s="402" t="s">
        <v>33</v>
      </c>
      <c r="B9204" s="269">
        <v>44276</v>
      </c>
      <c r="C9204" s="17">
        <v>46</v>
      </c>
      <c r="D9204" s="39">
        <f t="shared" si="792"/>
        <v>20489</v>
      </c>
      <c r="E9204" s="1"/>
      <c r="F9204" s="39">
        <f t="shared" si="793"/>
        <v>309</v>
      </c>
      <c r="G9204" s="436">
        <f>SUM(C9204,C9180,C9156,C9132,C9108,C9084,C9060,C9036,C9012,C8988,C8964,C8940,C8916,C8892)/POBLA!$B$11*100000</f>
        <v>348.18708359837956</v>
      </c>
      <c r="H9204" s="441">
        <f t="shared" si="794"/>
        <v>1.0842745438748913</v>
      </c>
      <c r="J9204" s="42"/>
    </row>
    <row r="9205" spans="1:10" s="393" customFormat="1" x14ac:dyDescent="0.25">
      <c r="A9205" s="402" t="s">
        <v>21</v>
      </c>
      <c r="B9205" s="269">
        <v>44276</v>
      </c>
      <c r="C9205" s="17">
        <v>21</v>
      </c>
      <c r="D9205" s="39">
        <f t="shared" si="792"/>
        <v>10694</v>
      </c>
      <c r="E9205" s="1"/>
      <c r="F9205" s="39">
        <f t="shared" si="793"/>
        <v>447</v>
      </c>
      <c r="G9205" s="436">
        <f>SUM(C9205,C9181,C9157,C9133,C9109,C9085,C9061,C9037,C9013,C8989,C8965,C8941,C8917,C8893)/POBLA!$B$12*100000</f>
        <v>84.110273396504979</v>
      </c>
      <c r="H9205" s="441">
        <f t="shared" si="794"/>
        <v>0.96220930232558144</v>
      </c>
      <c r="J9205" s="42"/>
    </row>
    <row r="9206" spans="1:10" s="393" customFormat="1" x14ac:dyDescent="0.25">
      <c r="A9206" s="402" t="s">
        <v>17</v>
      </c>
      <c r="B9206" s="269">
        <v>44276</v>
      </c>
      <c r="C9206" s="17">
        <v>73</v>
      </c>
      <c r="D9206" s="39">
        <f t="shared" si="792"/>
        <v>70451</v>
      </c>
      <c r="E9206" s="1"/>
      <c r="F9206" s="39">
        <f t="shared" si="793"/>
        <v>1486</v>
      </c>
      <c r="G9206" s="436">
        <f>SUM(C9206,C9182,C9158,C9134,C9110,C9086,C9062,C9038,C9014,C8990,C8966,C8942,C8918,C8894)/POBLA!$B$13*100000</f>
        <v>111.73981504648958</v>
      </c>
      <c r="H9206" s="441">
        <f t="shared" si="794"/>
        <v>1.174234424498416</v>
      </c>
      <c r="J9206" s="42"/>
    </row>
    <row r="9207" spans="1:10" s="393" customFormat="1" x14ac:dyDescent="0.25">
      <c r="A9207" s="402" t="s">
        <v>23</v>
      </c>
      <c r="B9207" s="269">
        <v>44276</v>
      </c>
      <c r="C9207" s="17">
        <v>121</v>
      </c>
      <c r="D9207" s="39">
        <f t="shared" si="792"/>
        <v>10795</v>
      </c>
      <c r="E9207" s="1"/>
      <c r="F9207" s="39">
        <f t="shared" si="793"/>
        <v>183</v>
      </c>
      <c r="G9207" s="436">
        <f>SUM(C9207,C9183,C9159,C9135,C9111,C9087,C9063,C9039,C9015,C8991,C8967,C8943,C8919,C8895)/POBLA!$B$14*100000</f>
        <v>132.64155700415606</v>
      </c>
      <c r="H9207" s="441">
        <f t="shared" si="794"/>
        <v>1.0201219512195121</v>
      </c>
      <c r="J9207" s="42"/>
    </row>
    <row r="9208" spans="1:10" s="393" customFormat="1" x14ac:dyDescent="0.25">
      <c r="A9208" s="402" t="s">
        <v>19</v>
      </c>
      <c r="B9208" s="269">
        <v>44276</v>
      </c>
      <c r="C9208" s="17">
        <v>60</v>
      </c>
      <c r="D9208" s="39">
        <f t="shared" si="792"/>
        <v>64057</v>
      </c>
      <c r="E9208" s="1">
        <v>6</v>
      </c>
      <c r="F9208" s="39">
        <f t="shared" si="793"/>
        <v>976</v>
      </c>
      <c r="G9208" s="436">
        <f>SUM(C9208,C9184,C9160,C9136,C9112,C9088,C9064,C9040,C9016,C8992,C8968,C8944,C8920,C8896)/POBLA!$B$15*100000</f>
        <v>265.33866821673439</v>
      </c>
      <c r="H9208" s="441">
        <f t="shared" si="794"/>
        <v>0.76178123648940765</v>
      </c>
      <c r="J9208" s="42"/>
    </row>
    <row r="9209" spans="1:10" s="393" customFormat="1" x14ac:dyDescent="0.25">
      <c r="A9209" s="402" t="s">
        <v>18</v>
      </c>
      <c r="B9209" s="269">
        <v>44276</v>
      </c>
      <c r="C9209" s="17">
        <v>23</v>
      </c>
      <c r="D9209" s="39">
        <f t="shared" si="792"/>
        <v>54401</v>
      </c>
      <c r="E9209" s="1">
        <v>1</v>
      </c>
      <c r="F9209" s="39">
        <f t="shared" si="793"/>
        <v>1255</v>
      </c>
      <c r="G9209" s="436">
        <f>SUM(C9209,C9185,C9161,C9137,C9113,C9089,C9065,C9041,C9017,C8993,C8969,C8945,C8921,C8897)/POBLA!$B$16*100000</f>
        <v>171.88106098099277</v>
      </c>
      <c r="H9209" s="441">
        <f t="shared" si="794"/>
        <v>0.77316486161251508</v>
      </c>
      <c r="J9209" s="42"/>
    </row>
    <row r="9210" spans="1:10" s="393" customFormat="1" x14ac:dyDescent="0.25">
      <c r="A9210" s="402" t="s">
        <v>34</v>
      </c>
      <c r="B9210" s="269">
        <v>44276</v>
      </c>
      <c r="C9210" s="17">
        <v>42</v>
      </c>
      <c r="D9210" s="39">
        <f t="shared" si="792"/>
        <v>28306</v>
      </c>
      <c r="E9210" s="1"/>
      <c r="F9210" s="39">
        <f t="shared" si="793"/>
        <v>1175</v>
      </c>
      <c r="G9210" s="436">
        <f>SUM(C9210,C9186,C9162,C9138,C9114,C9090,C9066,C9042,C9018,C8994,C8970,C8946,C8922,C8898)/POBLA!$B$17*100000</f>
        <v>101.44643663248377</v>
      </c>
      <c r="H9210" s="441">
        <f t="shared" si="794"/>
        <v>0.99244505494505497</v>
      </c>
      <c r="J9210" s="42"/>
    </row>
    <row r="9211" spans="1:10" s="393" customFormat="1" x14ac:dyDescent="0.25">
      <c r="A9211" s="402" t="s">
        <v>35</v>
      </c>
      <c r="B9211" s="269">
        <v>44276</v>
      </c>
      <c r="C9211" s="17">
        <v>4</v>
      </c>
      <c r="D9211" s="39">
        <f t="shared" si="792"/>
        <v>16315</v>
      </c>
      <c r="E9211" s="1"/>
      <c r="F9211" s="39">
        <f t="shared" si="793"/>
        <v>221</v>
      </c>
      <c r="G9211" s="436">
        <f>SUM(C9211,C9187,C9163,C9139,C9115,C9091,C9067,C9043,C9019,C8995,C8971,C8947,C8923,C8899)/POBLA!$B$18*100000</f>
        <v>99.972222826692203</v>
      </c>
      <c r="H9211" s="441">
        <f t="shared" si="794"/>
        <v>1.269918699186992</v>
      </c>
      <c r="J9211" s="42"/>
    </row>
    <row r="9212" spans="1:10" s="393" customFormat="1" x14ac:dyDescent="0.25">
      <c r="A9212" s="402" t="s">
        <v>36</v>
      </c>
      <c r="B9212" s="269">
        <v>44276</v>
      </c>
      <c r="C9212" s="17">
        <v>0</v>
      </c>
      <c r="D9212" s="39">
        <f t="shared" si="792"/>
        <v>21552</v>
      </c>
      <c r="E9212" s="1"/>
      <c r="F9212" s="39">
        <f t="shared" si="793"/>
        <v>378</v>
      </c>
      <c r="G9212" s="436">
        <f>SUM(C9212,C9188,C9164,C9140,C9116,C9092,C9068,C9044,C9020,C8996,C8972,C8948,C8924,C8900)/POBLA!$B$19*100000</f>
        <v>147.5425315937741</v>
      </c>
      <c r="H9212" s="441">
        <f t="shared" si="794"/>
        <v>2.6501766784452299</v>
      </c>
      <c r="J9212" s="42"/>
    </row>
    <row r="9213" spans="1:10" s="393" customFormat="1" x14ac:dyDescent="0.25">
      <c r="A9213" s="402" t="s">
        <v>37</v>
      </c>
      <c r="B9213" s="269">
        <v>44276</v>
      </c>
      <c r="C9213" s="17">
        <v>46</v>
      </c>
      <c r="D9213" s="39">
        <f t="shared" si="792"/>
        <v>38190</v>
      </c>
      <c r="E9213" s="1"/>
      <c r="F9213" s="39">
        <f t="shared" si="793"/>
        <v>623</v>
      </c>
      <c r="G9213" s="436">
        <f>SUM(C9213,C9189,C9165,C9141,C9117,C9093,C9069,C9045,C9021,C8997,C8973,C8949,C8925,C8901)/POBLA!$B$20*100000</f>
        <v>417.55765686440725</v>
      </c>
      <c r="H9213" s="441">
        <f t="shared" si="794"/>
        <v>1.0359565807327</v>
      </c>
      <c r="J9213" s="42"/>
    </row>
    <row r="9214" spans="1:10" s="393" customFormat="1" x14ac:dyDescent="0.25">
      <c r="A9214" s="402" t="s">
        <v>22</v>
      </c>
      <c r="B9214" s="269">
        <v>44276</v>
      </c>
      <c r="C9214" s="17">
        <v>243</v>
      </c>
      <c r="D9214" s="39">
        <f t="shared" si="792"/>
        <v>225479</v>
      </c>
      <c r="E9214" s="1">
        <v>1</v>
      </c>
      <c r="F9214" s="39">
        <f t="shared" si="793"/>
        <v>4200</v>
      </c>
      <c r="G9214" s="436">
        <f>SUM(C9214,C9190,C9166,C9142,C9118,C9094,C9070,C9046,C9022,C8998,C8974,C8950,C8926,C8902)/POBLA!$B$21*100000</f>
        <v>175.77107683537412</v>
      </c>
      <c r="H9214" s="441">
        <f t="shared" si="794"/>
        <v>1.1942363112391932</v>
      </c>
      <c r="J9214" s="42"/>
    </row>
    <row r="9215" spans="1:10" s="393" customFormat="1" x14ac:dyDescent="0.25">
      <c r="A9215" s="402" t="s">
        <v>38</v>
      </c>
      <c r="B9215" s="269">
        <v>44276</v>
      </c>
      <c r="C9215" s="17">
        <v>70</v>
      </c>
      <c r="D9215" s="39">
        <f t="shared" si="792"/>
        <v>24104</v>
      </c>
      <c r="E9215" s="1"/>
      <c r="F9215" s="39">
        <f t="shared" si="793"/>
        <v>277</v>
      </c>
      <c r="G9215" s="436">
        <f>SUM(C9215,C9191,C9167,C9143,C9119,C9095,C9071,C9047,C9023,C8999,C8975,C8951,C8927,C8903)/POBLA!$B$22*100000</f>
        <v>108.86086559209578</v>
      </c>
      <c r="H9215" s="441">
        <f t="shared" si="794"/>
        <v>1.2412587412587412</v>
      </c>
      <c r="J9215" s="42"/>
    </row>
    <row r="9216" spans="1:10" s="393" customFormat="1" x14ac:dyDescent="0.25">
      <c r="A9216" s="402" t="s">
        <v>39</v>
      </c>
      <c r="B9216" s="269">
        <v>44276</v>
      </c>
      <c r="C9216" s="17">
        <v>23</v>
      </c>
      <c r="D9216" s="39">
        <f t="shared" si="792"/>
        <v>23586</v>
      </c>
      <c r="E9216" s="1"/>
      <c r="F9216" s="39">
        <f t="shared" si="793"/>
        <v>358</v>
      </c>
      <c r="G9216" s="436">
        <f>SUM(C9216,C9192,C9168,C9144,C9120,C9096,C9072,C9048,C9024,C9000,C8976,C8952,C8928,C8904)/POBLA!$B$23*100000</f>
        <v>231.86110954023638</v>
      </c>
      <c r="H9216" s="441">
        <f t="shared" si="794"/>
        <v>0.87234042553191493</v>
      </c>
      <c r="J9216" s="42"/>
    </row>
    <row r="9217" spans="1:10" s="393" customFormat="1" ht="15.75" thickBot="1" x14ac:dyDescent="0.3">
      <c r="A9217" s="404" t="s">
        <v>40</v>
      </c>
      <c r="B9217" s="269">
        <v>44276</v>
      </c>
      <c r="C9217" s="17">
        <v>106</v>
      </c>
      <c r="D9217" s="177">
        <f t="shared" si="792"/>
        <v>83998</v>
      </c>
      <c r="E9217" s="1"/>
      <c r="F9217" s="177">
        <f t="shared" si="793"/>
        <v>1498</v>
      </c>
      <c r="G9217" s="439">
        <f>SUM(C9217,C9193,C9169,C9145,C9121,C9097,C9073,C9049,C9025,C9001,C8977,C8953,C8929,C8905)/POBLA!$B$24*100000</f>
        <v>187.23563956342761</v>
      </c>
      <c r="H9217" s="442">
        <f t="shared" si="794"/>
        <v>1.5410393394851869</v>
      </c>
      <c r="J9217" s="42"/>
    </row>
    <row r="9218" spans="1:10" s="393" customFormat="1" x14ac:dyDescent="0.25">
      <c r="A9218" s="397" t="s">
        <v>16</v>
      </c>
      <c r="B9218" s="269">
        <v>44277</v>
      </c>
      <c r="C9218" s="17">
        <v>2627</v>
      </c>
      <c r="D9218" s="175">
        <f t="shared" si="792"/>
        <v>941859</v>
      </c>
      <c r="E9218" s="1">
        <v>35</v>
      </c>
      <c r="F9218" s="175">
        <f t="shared" si="793"/>
        <v>27532</v>
      </c>
      <c r="G9218" s="410">
        <f>SUM(C9218,C9194,C9170,C9146,C9122,C9098,C9074,C9050,C9026,C9002,C8978,C8954,C8930,C8906)/POBLA!$B$1*100000</f>
        <v>238.90122084988656</v>
      </c>
      <c r="H9218" s="440">
        <f t="shared" si="794"/>
        <v>1.1614101213901669</v>
      </c>
      <c r="J9218" s="42"/>
    </row>
    <row r="9219" spans="1:10" s="393" customFormat="1" x14ac:dyDescent="0.25">
      <c r="A9219" s="402" t="s">
        <v>43</v>
      </c>
      <c r="B9219" s="269">
        <v>44277</v>
      </c>
      <c r="C9219" s="17">
        <v>895</v>
      </c>
      <c r="D9219" s="39">
        <f t="shared" si="792"/>
        <v>249098</v>
      </c>
      <c r="E9219" s="1">
        <v>30</v>
      </c>
      <c r="F9219" s="39">
        <f t="shared" si="793"/>
        <v>6795</v>
      </c>
      <c r="G9219" s="436">
        <f>SUM(C9219,C9195,C9171,C9147,C9123,C9099,C9075,C9051,C9027,C9003,C8979,C8955,C8931,C8907)/POBLA!$B$2*100000</f>
        <v>388.82888342806683</v>
      </c>
      <c r="H9219" s="441">
        <f t="shared" si="794"/>
        <v>1.2471582021065803</v>
      </c>
      <c r="J9219" s="42"/>
    </row>
    <row r="9220" spans="1:10" s="393" customFormat="1" x14ac:dyDescent="0.25">
      <c r="A9220" s="402" t="s">
        <v>28</v>
      </c>
      <c r="B9220" s="269">
        <v>44277</v>
      </c>
      <c r="C9220" s="17">
        <v>61</v>
      </c>
      <c r="D9220" s="39">
        <f t="shared" si="792"/>
        <v>9761</v>
      </c>
      <c r="E9220" s="1"/>
      <c r="F9220" s="39">
        <f t="shared" si="793"/>
        <v>18</v>
      </c>
      <c r="G9220" s="436">
        <f>SUM(C9220,C9196,C9172,C9148,C9124,C9100,C9076,C9052,C9028,C9004,C8980,C8956,C8932,C8908)/POBLA!$B$3*100000</f>
        <v>297.03589946032861</v>
      </c>
      <c r="H9220" s="441">
        <f t="shared" si="794"/>
        <v>1.0721112076455257</v>
      </c>
      <c r="J9220" s="42"/>
    </row>
    <row r="9221" spans="1:10" s="393" customFormat="1" x14ac:dyDescent="0.25">
      <c r="A9221" s="402" t="s">
        <v>15</v>
      </c>
      <c r="B9221" s="269">
        <v>44277</v>
      </c>
      <c r="C9221" s="17">
        <v>98</v>
      </c>
      <c r="D9221" s="39">
        <f t="shared" si="792"/>
        <v>37060</v>
      </c>
      <c r="E9221" s="1">
        <v>3</v>
      </c>
      <c r="F9221" s="39">
        <f t="shared" si="793"/>
        <v>910</v>
      </c>
      <c r="G9221" s="436">
        <f>SUM(C9221,C9197,C9173,C9149,C9125,C9101,C9077,C9053,C9029,C9005,C8981,C8957,C8933,C8909)/POBLA!$B$4*100000</f>
        <v>155.9100105351333</v>
      </c>
      <c r="H9221" s="441">
        <f t="shared" si="794"/>
        <v>1.0140388768898487</v>
      </c>
      <c r="J9221" s="42"/>
    </row>
    <row r="9222" spans="1:10" s="393" customFormat="1" x14ac:dyDescent="0.25">
      <c r="A9222" s="402" t="s">
        <v>29</v>
      </c>
      <c r="B9222" s="269">
        <v>44277</v>
      </c>
      <c r="C9222" s="17">
        <v>115</v>
      </c>
      <c r="D9222" s="39">
        <f t="shared" si="792"/>
        <v>48862</v>
      </c>
      <c r="E9222" s="1"/>
      <c r="F9222" s="39">
        <f t="shared" si="793"/>
        <v>816</v>
      </c>
      <c r="G9222" s="436">
        <f>SUM(C9222,C9198,C9174,C9150,C9126,C9102,C9078,C9054,C9030,C9006,C8982,C8958,C8934,C8910)/POBLA!$B$5*100000</f>
        <v>201.77901562858443</v>
      </c>
      <c r="H9222" s="441">
        <f t="shared" si="794"/>
        <v>0.90441708906589424</v>
      </c>
      <c r="J9222" s="42"/>
    </row>
    <row r="9223" spans="1:10" s="393" customFormat="1" x14ac:dyDescent="0.25">
      <c r="A9223" s="402" t="s">
        <v>30</v>
      </c>
      <c r="B9223" s="269">
        <v>44277</v>
      </c>
      <c r="C9223" s="17">
        <v>179</v>
      </c>
      <c r="D9223" s="39">
        <f t="shared" si="792"/>
        <v>26646</v>
      </c>
      <c r="E9223" s="1"/>
      <c r="F9223" s="39">
        <f t="shared" si="793"/>
        <v>317</v>
      </c>
      <c r="G9223" s="436">
        <f>SUM(C9223,C9199,C9175,C9151,C9127,C9103,C9079,C9055,C9031,C9007,C8983,C8959,C8935,C8911)/POBLA!$B$6*100000</f>
        <v>291.57718453141996</v>
      </c>
      <c r="H9223" s="441">
        <f t="shared" si="794"/>
        <v>1.4358523725834798</v>
      </c>
      <c r="J9223" s="42"/>
    </row>
    <row r="9224" spans="1:10" s="393" customFormat="1" x14ac:dyDescent="0.25">
      <c r="A9224" s="402" t="s">
        <v>20</v>
      </c>
      <c r="B9224" s="269">
        <v>44277</v>
      </c>
      <c r="C9224" s="17">
        <v>612</v>
      </c>
      <c r="D9224" s="39">
        <f t="shared" si="792"/>
        <v>172811</v>
      </c>
      <c r="E9224" s="1">
        <v>7</v>
      </c>
      <c r="F9224" s="39">
        <f t="shared" si="793"/>
        <v>2976</v>
      </c>
      <c r="G9224" s="436">
        <f>SUM(C9224,C9200,C9176,C9152,C9128,C9104,C9080,C9056,C9032,C9008,C8984,C8960,C8936,C8912)/POBLA!$B$7*100000</f>
        <v>225.47833371006129</v>
      </c>
      <c r="H9224" s="441">
        <f>SUM(C9224,C9200,C9176,C9152,C9128,C9104,C9080,C9056,C9032,C9008,C8984,C8960,C8936,C8912)/SUM(C8888,C8864,C8840,C8816,C8792,C8768,C8744,C8720,C8696,C8672,C8648,C8624,C8600,C8576)</f>
        <v>1.0147199617041647</v>
      </c>
      <c r="J9224" s="42"/>
    </row>
    <row r="9225" spans="1:10" x14ac:dyDescent="0.25">
      <c r="A9225" s="402" t="s">
        <v>31</v>
      </c>
      <c r="B9225" s="269">
        <v>44277</v>
      </c>
      <c r="C9225" s="17">
        <v>173</v>
      </c>
      <c r="D9225" s="39">
        <f t="shared" si="792"/>
        <v>48298</v>
      </c>
      <c r="E9225" s="1">
        <v>9</v>
      </c>
      <c r="F9225" s="39">
        <f t="shared" ref="F9225:F9248" si="795">E9225+F9201</f>
        <v>935</v>
      </c>
      <c r="G9225" s="169">
        <f>SUM(C9225,C9201,C9177,C9153,C9129,C9105,C9081,C9057,C9033,C9009,C8985,C8961,C8937,C8913)/POBLA!$B$8*100000</f>
        <v>160.1776673369597</v>
      </c>
      <c r="H9225" s="518">
        <f t="shared" ref="H9225:H9247" si="796">SUM(C9225,C9201,C9177,C9153,C9129,C9105,C9081,C9057,C9033,C9009,C8985,C8961,C8937,C8913)/SUM(C8889,C8865,C8841,C8817,C8793,C8769,C8745,C8721,C8697,C8673,C8649,C8625,C8601,C8577)</f>
        <v>1.3454545454545455</v>
      </c>
    </row>
    <row r="9226" spans="1:10" s="393" customFormat="1" x14ac:dyDescent="0.25">
      <c r="A9226" s="402" t="s">
        <v>41</v>
      </c>
      <c r="B9226" s="269">
        <v>44277</v>
      </c>
      <c r="C9226" s="17">
        <v>22</v>
      </c>
      <c r="D9226" s="39">
        <f t="shared" si="792"/>
        <v>1717</v>
      </c>
      <c r="E9226" s="1">
        <v>1</v>
      </c>
      <c r="F9226" s="39">
        <f t="shared" si="795"/>
        <v>26</v>
      </c>
      <c r="G9226" s="436">
        <f>SUM(C9226,C9202,C9178,C9154,C9130,C9106,C9082,C9058,C9034,C9010,C8986,C8962,C8938,C8914)/POBLA!$B$9*100000</f>
        <v>53.701876921907562</v>
      </c>
      <c r="H9226" s="441">
        <f t="shared" si="796"/>
        <v>1.26953125</v>
      </c>
      <c r="J9226" s="42"/>
    </row>
    <row r="9227" spans="1:10" s="393" customFormat="1" x14ac:dyDescent="0.25">
      <c r="A9227" s="402" t="s">
        <v>32</v>
      </c>
      <c r="B9227" s="269">
        <v>44277</v>
      </c>
      <c r="C9227" s="17">
        <v>17</v>
      </c>
      <c r="D9227" s="39">
        <f t="shared" si="792"/>
        <v>22041</v>
      </c>
      <c r="E9227" s="1">
        <v>2</v>
      </c>
      <c r="F9227" s="39">
        <f t="shared" si="795"/>
        <v>948</v>
      </c>
      <c r="G9227" s="436">
        <f>SUM(C9227,C9203,C9179,C9155,C9131,C9107,C9083,C9059,C9035,C9011,C8987,C8963,C8939,C8915)/POBLA!$B$10*100000</f>
        <v>96.642672474739939</v>
      </c>
      <c r="H9227" s="441">
        <f t="shared" si="796"/>
        <v>0.6575463371579876</v>
      </c>
      <c r="J9227" s="42"/>
    </row>
    <row r="9228" spans="1:10" s="393" customFormat="1" x14ac:dyDescent="0.25">
      <c r="A9228" s="402" t="s">
        <v>33</v>
      </c>
      <c r="B9228" s="269">
        <v>44277</v>
      </c>
      <c r="C9228" s="17">
        <v>67</v>
      </c>
      <c r="D9228" s="39">
        <f t="shared" si="792"/>
        <v>20556</v>
      </c>
      <c r="E9228" s="1">
        <v>1</v>
      </c>
      <c r="F9228" s="39">
        <f t="shared" si="795"/>
        <v>310</v>
      </c>
      <c r="G9228" s="436">
        <f>SUM(C9228,C9204,C9180,C9156,C9132,C9108,C9084,C9060,C9036,C9012,C8988,C8964,C8940,C8916)/POBLA!$B$11*100000</f>
        <v>347.62909147722837</v>
      </c>
      <c r="H9228" s="441">
        <f t="shared" si="796"/>
        <v>1.0844212358572671</v>
      </c>
      <c r="J9228" s="42"/>
    </row>
    <row r="9229" spans="1:10" s="393" customFormat="1" x14ac:dyDescent="0.25">
      <c r="A9229" s="402" t="s">
        <v>21</v>
      </c>
      <c r="B9229" s="269">
        <v>44277</v>
      </c>
      <c r="C9229" s="17">
        <v>16</v>
      </c>
      <c r="D9229" s="39">
        <f t="shared" si="792"/>
        <v>10710</v>
      </c>
      <c r="E9229" s="1">
        <v>1</v>
      </c>
      <c r="F9229" s="39">
        <f t="shared" si="795"/>
        <v>448</v>
      </c>
      <c r="G9229" s="436">
        <f>SUM(C9229,C9205,C9181,C9157,C9133,C9109,C9085,C9061,C9037,C9013,C8989,C8965,C8941,C8917)/POBLA!$B$12*100000</f>
        <v>83.856163809204361</v>
      </c>
      <c r="H9229" s="441">
        <f t="shared" si="796"/>
        <v>0.99099099099099097</v>
      </c>
      <c r="J9229" s="42"/>
    </row>
    <row r="9230" spans="1:10" s="393" customFormat="1" x14ac:dyDescent="0.25">
      <c r="A9230" s="402" t="s">
        <v>17</v>
      </c>
      <c r="B9230" s="269">
        <v>44277</v>
      </c>
      <c r="C9230" s="17">
        <v>123</v>
      </c>
      <c r="D9230" s="39">
        <f t="shared" si="792"/>
        <v>70574</v>
      </c>
      <c r="E9230" s="1">
        <v>2</v>
      </c>
      <c r="F9230" s="39">
        <f t="shared" si="795"/>
        <v>1488</v>
      </c>
      <c r="G9230" s="436">
        <f>SUM(C9230,C9206,C9182,C9158,C9134,C9110,C9086,C9062,C9038,C9014,C8990,C8966,C8942,C8918)/POBLA!$B$13*100000</f>
        <v>111.48860143352535</v>
      </c>
      <c r="H9230" s="441">
        <f t="shared" si="796"/>
        <v>1.1414609053497942</v>
      </c>
      <c r="J9230" s="42"/>
    </row>
    <row r="9231" spans="1:10" s="393" customFormat="1" x14ac:dyDescent="0.25">
      <c r="A9231" s="402" t="s">
        <v>23</v>
      </c>
      <c r="B9231" s="269">
        <v>44277</v>
      </c>
      <c r="C9231" s="17">
        <v>107</v>
      </c>
      <c r="D9231" s="39">
        <f t="shared" si="792"/>
        <v>10902</v>
      </c>
      <c r="E9231" s="1">
        <v>5</v>
      </c>
      <c r="F9231" s="39">
        <f t="shared" si="795"/>
        <v>188</v>
      </c>
      <c r="G9231" s="436">
        <f>SUM(C9231,C9207,C9183,C9159,C9135,C9111,C9087,C9063,C9039,C9015,C8991,C8967,C8943,C8919)/POBLA!$B$14*100000</f>
        <v>132.48298969153902</v>
      </c>
      <c r="H9231" s="441">
        <f t="shared" si="796"/>
        <v>1.0302096177558571</v>
      </c>
      <c r="J9231" s="42"/>
    </row>
    <row r="9232" spans="1:10" s="393" customFormat="1" x14ac:dyDescent="0.25">
      <c r="A9232" s="402" t="s">
        <v>19</v>
      </c>
      <c r="B9232" s="269">
        <v>44277</v>
      </c>
      <c r="C9232" s="17">
        <v>138</v>
      </c>
      <c r="D9232" s="39">
        <f t="shared" si="792"/>
        <v>64195</v>
      </c>
      <c r="E9232" s="1">
        <v>3</v>
      </c>
      <c r="F9232" s="39">
        <f t="shared" si="795"/>
        <v>979</v>
      </c>
      <c r="G9232" s="436">
        <f>SUM(C9232,C9208,C9184,C9160,C9136,C9112,C9088,C9064,C9040,C9016,C8992,C8968,C8944,C8920)/POBLA!$B$15*100000</f>
        <v>266.84456304202797</v>
      </c>
      <c r="H9232" s="441">
        <f t="shared" si="796"/>
        <v>0.79426266248319144</v>
      </c>
      <c r="J9232" s="42"/>
    </row>
    <row r="9233" spans="1:10" s="393" customFormat="1" x14ac:dyDescent="0.25">
      <c r="A9233" s="402" t="s">
        <v>18</v>
      </c>
      <c r="B9233" s="269">
        <v>44277</v>
      </c>
      <c r="C9233" s="17">
        <v>100</v>
      </c>
      <c r="D9233" s="39">
        <f t="shared" si="792"/>
        <v>54501</v>
      </c>
      <c r="E9233" s="1">
        <v>2</v>
      </c>
      <c r="F9233" s="39">
        <f t="shared" si="795"/>
        <v>1257</v>
      </c>
      <c r="G9233" s="436">
        <f>SUM(C9233,C9209,C9185,C9161,C9137,C9113,C9089,C9065,C9041,C9017,C8993,C8969,C8945,C8921)/POBLA!$B$16*100000</f>
        <v>170.40970559516325</v>
      </c>
      <c r="H9233" s="441">
        <f t="shared" si="796"/>
        <v>0.77025392986698915</v>
      </c>
      <c r="J9233" s="42"/>
    </row>
    <row r="9234" spans="1:10" s="393" customFormat="1" x14ac:dyDescent="0.25">
      <c r="A9234" s="402" t="s">
        <v>34</v>
      </c>
      <c r="B9234" s="269">
        <v>44277</v>
      </c>
      <c r="C9234" s="17">
        <v>89</v>
      </c>
      <c r="D9234" s="39">
        <f t="shared" si="792"/>
        <v>28395</v>
      </c>
      <c r="E9234" s="1">
        <v>11</v>
      </c>
      <c r="F9234" s="39">
        <f t="shared" si="795"/>
        <v>1186</v>
      </c>
      <c r="G9234" s="436">
        <f>SUM(C9234,C9210,C9186,C9162,C9138,C9114,C9090,C9066,C9042,C9018,C8994,C8970,C8946,C8922)/POBLA!$B$17*100000</f>
        <v>104.67587336957322</v>
      </c>
      <c r="H9234" s="441">
        <f t="shared" si="796"/>
        <v>1.0463157894736843</v>
      </c>
      <c r="J9234" s="42"/>
    </row>
    <row r="9235" spans="1:10" s="393" customFormat="1" x14ac:dyDescent="0.25">
      <c r="A9235" s="402" t="s">
        <v>35</v>
      </c>
      <c r="B9235" s="269">
        <v>44277</v>
      </c>
      <c r="C9235" s="17">
        <v>76</v>
      </c>
      <c r="D9235" s="39">
        <f t="shared" si="792"/>
        <v>16391</v>
      </c>
      <c r="E9235" s="1">
        <v>1</v>
      </c>
      <c r="F9235" s="39">
        <f t="shared" si="795"/>
        <v>222</v>
      </c>
      <c r="G9235" s="436">
        <f>SUM(C9235,C9211,C9187,C9163,C9139,C9115,C9091,C9067,C9043,C9019,C8995,C8971,C8947,C8923)/POBLA!$B$18*100000</f>
        <v>99.716212012795424</v>
      </c>
      <c r="H9235" s="441">
        <f t="shared" si="796"/>
        <v>1.252411575562701</v>
      </c>
      <c r="J9235" s="42"/>
    </row>
    <row r="9236" spans="1:10" s="393" customFormat="1" x14ac:dyDescent="0.25">
      <c r="A9236" s="402" t="s">
        <v>36</v>
      </c>
      <c r="B9236" s="269">
        <v>44277</v>
      </c>
      <c r="C9236" s="17">
        <v>1</v>
      </c>
      <c r="D9236" s="39">
        <f t="shared" si="792"/>
        <v>21553</v>
      </c>
      <c r="E9236" s="1">
        <v>4</v>
      </c>
      <c r="F9236" s="39">
        <f t="shared" si="795"/>
        <v>382</v>
      </c>
      <c r="G9236" s="436">
        <f>SUM(C9236,C9212,C9188,C9164,C9140,C9116,C9092,C9068,C9044,C9020,C8996,C8972,C8948,C8924)/POBLA!$B$19*100000</f>
        <v>147.14908484285738</v>
      </c>
      <c r="H9236" s="441">
        <f t="shared" si="796"/>
        <v>2.8441064638783269</v>
      </c>
      <c r="J9236" s="42"/>
    </row>
    <row r="9237" spans="1:10" s="393" customFormat="1" x14ac:dyDescent="0.25">
      <c r="A9237" s="402" t="s">
        <v>37</v>
      </c>
      <c r="B9237" s="269">
        <v>44277</v>
      </c>
      <c r="C9237" s="17">
        <v>98</v>
      </c>
      <c r="D9237" s="39">
        <f t="shared" si="792"/>
        <v>38288</v>
      </c>
      <c r="E9237" s="1">
        <v>1</v>
      </c>
      <c r="F9237" s="39">
        <f t="shared" si="795"/>
        <v>624</v>
      </c>
      <c r="G9237" s="436">
        <f>SUM(C9237,C9213,C9189,C9165,C9141,C9117,C9093,C9069,C9045,C9021,C8997,C8973,C8949,C8925)/POBLA!$B$20*100000</f>
        <v>418.65145557263094</v>
      </c>
      <c r="H9237" s="441">
        <f t="shared" si="796"/>
        <v>1.0602493074792243</v>
      </c>
      <c r="J9237" s="42"/>
    </row>
    <row r="9238" spans="1:10" s="393" customFormat="1" x14ac:dyDescent="0.25">
      <c r="A9238" s="402" t="s">
        <v>22</v>
      </c>
      <c r="B9238" s="269">
        <v>44277</v>
      </c>
      <c r="C9238" s="17">
        <v>436</v>
      </c>
      <c r="D9238" s="39">
        <f t="shared" si="792"/>
        <v>225915</v>
      </c>
      <c r="E9238" s="1">
        <v>5</v>
      </c>
      <c r="F9238" s="39">
        <f t="shared" si="795"/>
        <v>4205</v>
      </c>
      <c r="G9238" s="436">
        <f>SUM(C9238,C9214,C9190,C9166,C9142,C9118,C9094,C9070,C9046,C9022,C8998,C8974,C8950,C8926)/POBLA!$B$21*100000</f>
        <v>179.92782527404847</v>
      </c>
      <c r="H9238" s="441">
        <f t="shared" si="796"/>
        <v>1.2321843532145624</v>
      </c>
      <c r="J9238" s="42"/>
    </row>
    <row r="9239" spans="1:10" s="393" customFormat="1" x14ac:dyDescent="0.25">
      <c r="A9239" s="402" t="s">
        <v>38</v>
      </c>
      <c r="B9239" s="269">
        <v>44277</v>
      </c>
      <c r="C9239" s="17">
        <v>78</v>
      </c>
      <c r="D9239" s="39">
        <f t="shared" si="792"/>
        <v>24182</v>
      </c>
      <c r="E9239" s="1">
        <v>1</v>
      </c>
      <c r="F9239" s="39">
        <f t="shared" si="795"/>
        <v>278</v>
      </c>
      <c r="G9239" s="436">
        <f>SUM(C9239,C9215,C9191,C9167,C9143,C9119,C9095,C9071,C9047,C9023,C8999,C8975,C8951,C8927)/POBLA!$B$22*100000</f>
        <v>112.33623594902654</v>
      </c>
      <c r="H9239" s="441">
        <f t="shared" si="796"/>
        <v>1.2690531177829099</v>
      </c>
      <c r="J9239" s="42"/>
    </row>
    <row r="9240" spans="1:10" s="393" customFormat="1" x14ac:dyDescent="0.25">
      <c r="A9240" s="402" t="s">
        <v>39</v>
      </c>
      <c r="B9240" s="269">
        <v>44277</v>
      </c>
      <c r="C9240" s="17">
        <v>34</v>
      </c>
      <c r="D9240" s="39">
        <f t="shared" si="792"/>
        <v>23620</v>
      </c>
      <c r="E9240" s="1"/>
      <c r="F9240" s="39">
        <f t="shared" si="795"/>
        <v>358</v>
      </c>
      <c r="G9240" s="436">
        <f>SUM(C9240,C9216,C9192,C9168,C9144,C9120,C9096,C9072,C9048,C9024,C9000,C8976,C8952,C8928)/POBLA!$B$23*100000</f>
        <v>231.86110954023638</v>
      </c>
      <c r="H9240" s="441">
        <f t="shared" si="796"/>
        <v>0.88744588744588748</v>
      </c>
      <c r="J9240" s="42"/>
    </row>
    <row r="9241" spans="1:10" s="393" customFormat="1" ht="15.75" thickBot="1" x14ac:dyDescent="0.3">
      <c r="A9241" s="404" t="s">
        <v>40</v>
      </c>
      <c r="B9241" s="269">
        <v>44277</v>
      </c>
      <c r="C9241" s="17">
        <v>239</v>
      </c>
      <c r="D9241" s="177">
        <f t="shared" si="792"/>
        <v>84237</v>
      </c>
      <c r="E9241" s="1"/>
      <c r="F9241" s="177">
        <f t="shared" si="795"/>
        <v>1498</v>
      </c>
      <c r="G9241" s="439">
        <f>SUM(C9241,C9217,C9193,C9169,C9145,C9121,C9097,C9073,C9049,C9025,C9001,C8977,C8953,C8929)/POBLA!$B$24*100000</f>
        <v>193.66762339967522</v>
      </c>
      <c r="H9241" s="442">
        <f t="shared" si="796"/>
        <v>1.6104023552502453</v>
      </c>
      <c r="J9241" s="42"/>
    </row>
    <row r="9242" spans="1:10" s="393" customFormat="1" x14ac:dyDescent="0.25">
      <c r="A9242" s="397" t="s">
        <v>16</v>
      </c>
      <c r="B9242" s="269">
        <v>44278</v>
      </c>
      <c r="C9242" s="17">
        <v>4377</v>
      </c>
      <c r="D9242" s="175">
        <f t="shared" si="792"/>
        <v>946236</v>
      </c>
      <c r="E9242" s="1">
        <v>60</v>
      </c>
      <c r="F9242" s="175">
        <f t="shared" si="795"/>
        <v>27592</v>
      </c>
      <c r="G9242" s="410">
        <f>SUM(C9242,C9218,C9194,C9170,C9146,C9122,C9098,C9074,C9050,C9026,C9002,C8978,C8954,C8930)/POBLA!$B$1*100000</f>
        <v>245.91900834729051</v>
      </c>
      <c r="H9242" s="440">
        <f t="shared" si="796"/>
        <v>1.2041032798325191</v>
      </c>
      <c r="J9242" s="42"/>
    </row>
    <row r="9243" spans="1:10" s="393" customFormat="1" x14ac:dyDescent="0.25">
      <c r="A9243" s="402" t="s">
        <v>43</v>
      </c>
      <c r="B9243" s="269">
        <v>44278</v>
      </c>
      <c r="C9243" s="17">
        <v>1180</v>
      </c>
      <c r="D9243" s="39">
        <f t="shared" si="792"/>
        <v>250278</v>
      </c>
      <c r="E9243" s="1">
        <v>11</v>
      </c>
      <c r="F9243" s="39">
        <f t="shared" si="795"/>
        <v>6806</v>
      </c>
      <c r="G9243" s="436">
        <f>SUM(C9243,C9219,C9195,C9171,C9147,C9123,C9099,C9075,C9051,C9027,C9003,C8979,C8955,C8931)/POBLA!$B$2*100000</f>
        <v>398.68047233004057</v>
      </c>
      <c r="H9243" s="441">
        <f t="shared" si="796"/>
        <v>1.2722556547001453</v>
      </c>
      <c r="J9243" s="42"/>
    </row>
    <row r="9244" spans="1:10" s="393" customFormat="1" x14ac:dyDescent="0.25">
      <c r="A9244" s="402" t="s">
        <v>28</v>
      </c>
      <c r="B9244" s="269">
        <v>44278</v>
      </c>
      <c r="C9244" s="17">
        <v>83</v>
      </c>
      <c r="D9244" s="39">
        <f t="shared" si="792"/>
        <v>9844</v>
      </c>
      <c r="E9244" s="1"/>
      <c r="F9244" s="39">
        <f t="shared" si="795"/>
        <v>18</v>
      </c>
      <c r="G9244" s="436">
        <f>SUM(C9244,C9220,C9196,C9172,C9148,C9124,C9100,C9076,C9052,C9028,C9004,C8980,C8956,C8932)/POBLA!$B$3*100000</f>
        <v>294.86951121466979</v>
      </c>
      <c r="H9244" s="441">
        <f t="shared" si="796"/>
        <v>1.0372565622353938</v>
      </c>
      <c r="J9244" s="42"/>
    </row>
    <row r="9245" spans="1:10" s="393" customFormat="1" x14ac:dyDescent="0.25">
      <c r="A9245" s="402" t="s">
        <v>15</v>
      </c>
      <c r="B9245" s="269">
        <v>44278</v>
      </c>
      <c r="C9245" s="17">
        <v>135</v>
      </c>
      <c r="D9245" s="39">
        <f t="shared" si="792"/>
        <v>37195</v>
      </c>
      <c r="E9245" s="1">
        <v>2</v>
      </c>
      <c r="F9245" s="39">
        <f t="shared" si="795"/>
        <v>912</v>
      </c>
      <c r="G9245" s="436">
        <f>SUM(C9245,C9221,C9197,C9173,C9149,C9125,C9101,C9077,C9053,C9029,C9005,C8981,C8957,C8933)/POBLA!$B$4*100000</f>
        <v>158.98172000787022</v>
      </c>
      <c r="H9245" s="441">
        <f t="shared" si="796"/>
        <v>1.0886867538374077</v>
      </c>
      <c r="J9245" s="42"/>
    </row>
    <row r="9246" spans="1:10" s="393" customFormat="1" x14ac:dyDescent="0.25">
      <c r="A9246" s="402" t="s">
        <v>29</v>
      </c>
      <c r="B9246" s="269">
        <v>44278</v>
      </c>
      <c r="C9246" s="17">
        <v>156</v>
      </c>
      <c r="D9246" s="39">
        <f t="shared" si="792"/>
        <v>49018</v>
      </c>
      <c r="E9246" s="1">
        <v>29</v>
      </c>
      <c r="F9246" s="39">
        <f t="shared" si="795"/>
        <v>845</v>
      </c>
      <c r="G9246" s="436">
        <f>SUM(C9246,C9222,C9198,C9174,C9150,C9126,C9102,C9078,C9054,C9030,C9006,C8982,C8958,C8934)/POBLA!$B$5*100000</f>
        <v>210.98750553317154</v>
      </c>
      <c r="H9246" s="441">
        <f t="shared" si="796"/>
        <v>1</v>
      </c>
      <c r="J9246" s="42"/>
    </row>
    <row r="9247" spans="1:10" s="393" customFormat="1" x14ac:dyDescent="0.25">
      <c r="A9247" s="402" t="s">
        <v>30</v>
      </c>
      <c r="B9247" s="269">
        <v>44278</v>
      </c>
      <c r="C9247" s="17">
        <v>104</v>
      </c>
      <c r="D9247" s="39">
        <f t="shared" si="792"/>
        <v>26750</v>
      </c>
      <c r="E9247" s="1">
        <v>1</v>
      </c>
      <c r="F9247" s="39">
        <f t="shared" si="795"/>
        <v>318</v>
      </c>
      <c r="G9247" s="436">
        <f>SUM(C9247,C9223,C9199,C9175,C9151,C9127,C9103,C9079,C9055,C9031,C9007,C8983,C8959,C8935)/POBLA!$B$6*100000</f>
        <v>278.90767406524441</v>
      </c>
      <c r="H9247" s="441">
        <f t="shared" si="796"/>
        <v>1.2795742939009416</v>
      </c>
      <c r="J9247" s="42"/>
    </row>
    <row r="9248" spans="1:10" s="393" customFormat="1" x14ac:dyDescent="0.25">
      <c r="A9248" s="402" t="s">
        <v>20</v>
      </c>
      <c r="B9248" s="269">
        <v>44278</v>
      </c>
      <c r="C9248" s="17">
        <v>817</v>
      </c>
      <c r="D9248" s="39">
        <f t="shared" si="792"/>
        <v>173628</v>
      </c>
      <c r="E9248" s="1">
        <v>8</v>
      </c>
      <c r="F9248" s="39">
        <f t="shared" si="795"/>
        <v>2984</v>
      </c>
      <c r="G9248" s="436">
        <f>SUM(C9248,C9224,C9200,C9176,C9152,C9128,C9104,C9080,C9056,C9032,C9008,C8984,C8960,C8936)/POBLA!$B$7*100000</f>
        <v>228.61625603318751</v>
      </c>
      <c r="H9248" s="441">
        <f>SUM(C9248,C9224,C9200,C9176,C9152,C9128,C9104,C9080,C9056,C9032,C9008,C8984,C8960,C8936)/SUM(C8912,C8888,C8864,C8840,C8816,C8792,C8768,C8744,C8720,C8696,C8672,C8648,C8624,C8600)</f>
        <v>1.0448468643655811</v>
      </c>
      <c r="J9248" s="42"/>
    </row>
    <row r="9249" spans="1:10" x14ac:dyDescent="0.25">
      <c r="A9249" s="402" t="s">
        <v>31</v>
      </c>
      <c r="B9249" s="269">
        <v>44278</v>
      </c>
      <c r="C9249" s="17">
        <v>179</v>
      </c>
      <c r="D9249" s="39">
        <f t="shared" si="792"/>
        <v>48477</v>
      </c>
      <c r="E9249" s="1">
        <v>2</v>
      </c>
      <c r="F9249" s="39">
        <f t="shared" ref="F9249:F9265" si="797">E9249+F9225</f>
        <v>937</v>
      </c>
      <c r="G9249" s="169">
        <f>SUM(C9249,C9225,C9201,C9177,C9153,C9129,C9105,C9081,C9057,C9033,C9009,C8985,C8961,C8937)/POBLA!$B$8*100000</f>
        <v>161.62070938504041</v>
      </c>
      <c r="H9249" s="518">
        <f t="shared" ref="H9249:H9265" si="798">SUM(C9249,C9225,C9201,C9177,C9153,C9129,C9105,C9081,C9057,C9033,C9009,C8985,C8961,C8937)/SUM(C8913,C8889,C8865,C8841,C8817,C8793,C8769,C8745,C8721,C8697,C8673,C8649,C8625,C8601)</f>
        <v>1.3453453453453454</v>
      </c>
    </row>
    <row r="9250" spans="1:10" s="393" customFormat="1" x14ac:dyDescent="0.25">
      <c r="A9250" s="402" t="s">
        <v>41</v>
      </c>
      <c r="B9250" s="269">
        <v>44278</v>
      </c>
      <c r="C9250" s="17">
        <v>32</v>
      </c>
      <c r="D9250" s="39">
        <f t="shared" si="792"/>
        <v>1749</v>
      </c>
      <c r="E9250" s="1">
        <v>1</v>
      </c>
      <c r="F9250" s="39">
        <f t="shared" si="797"/>
        <v>27</v>
      </c>
      <c r="G9250" s="436">
        <f>SUM(C9250,C9226,C9202,C9178,C9154,C9130,C9106,C9082,C9058,C9034,C9010,C8986,C8962,C8938)/POBLA!$B$9*100000</f>
        <v>54.362823099407954</v>
      </c>
      <c r="H9250" s="441">
        <f t="shared" si="798"/>
        <v>1.3055555555555556</v>
      </c>
      <c r="J9250" s="42"/>
    </row>
    <row r="9251" spans="1:10" s="393" customFormat="1" x14ac:dyDescent="0.25">
      <c r="A9251" s="402" t="s">
        <v>32</v>
      </c>
      <c r="B9251" s="269">
        <v>44278</v>
      </c>
      <c r="C9251" s="17">
        <v>50</v>
      </c>
      <c r="D9251" s="39">
        <f t="shared" si="792"/>
        <v>22091</v>
      </c>
      <c r="E9251" s="1">
        <v>4</v>
      </c>
      <c r="F9251" s="39">
        <f t="shared" si="797"/>
        <v>952</v>
      </c>
      <c r="G9251" s="436">
        <f>SUM(C9251,C9227,C9203,C9179,C9155,C9131,C9107,C9083,C9059,C9035,C9011,C8987,C8963,C8939)/POBLA!$B$10*100000</f>
        <v>94.307681730383806</v>
      </c>
      <c r="H9251" s="441">
        <f t="shared" si="798"/>
        <v>0.67190388170055448</v>
      </c>
      <c r="J9251" s="42"/>
    </row>
    <row r="9252" spans="1:10" s="393" customFormat="1" x14ac:dyDescent="0.25">
      <c r="A9252" s="402" t="s">
        <v>33</v>
      </c>
      <c r="B9252" s="269">
        <v>44278</v>
      </c>
      <c r="C9252" s="17">
        <v>94</v>
      </c>
      <c r="D9252" s="39">
        <f t="shared" si="792"/>
        <v>20650</v>
      </c>
      <c r="E9252" s="1">
        <v>2</v>
      </c>
      <c r="F9252" s="39">
        <f t="shared" si="797"/>
        <v>312</v>
      </c>
      <c r="G9252" s="436">
        <f>SUM(C9252,C9228,C9204,C9180,C9156,C9132,C9108,C9084,C9060,C9036,C9012,C8988,C8964,C8940)/POBLA!$B$11*100000</f>
        <v>343.16515450801836</v>
      </c>
      <c r="H9252" s="441">
        <f t="shared" si="798"/>
        <v>1.028428093645485</v>
      </c>
      <c r="J9252" s="42"/>
    </row>
    <row r="9253" spans="1:10" s="393" customFormat="1" x14ac:dyDescent="0.25">
      <c r="A9253" s="402" t="s">
        <v>21</v>
      </c>
      <c r="B9253" s="269">
        <v>44278</v>
      </c>
      <c r="C9253" s="17">
        <v>25</v>
      </c>
      <c r="D9253" s="39">
        <f t="shared" si="792"/>
        <v>10735</v>
      </c>
      <c r="E9253" s="1"/>
      <c r="F9253" s="39">
        <f t="shared" si="797"/>
        <v>448</v>
      </c>
      <c r="G9253" s="436">
        <f>SUM(C9253,C9229,C9205,C9181,C9157,C9133,C9109,C9085,C9061,C9037,C9013,C8989,C8965,C8941)/POBLA!$B$12*100000</f>
        <v>86.651369269511179</v>
      </c>
      <c r="H9253" s="441">
        <f t="shared" si="798"/>
        <v>1.0524691358024691</v>
      </c>
      <c r="J9253" s="42"/>
    </row>
    <row r="9254" spans="1:10" s="393" customFormat="1" x14ac:dyDescent="0.25">
      <c r="A9254" s="402" t="s">
        <v>17</v>
      </c>
      <c r="B9254" s="269">
        <v>44278</v>
      </c>
      <c r="C9254" s="17">
        <v>252</v>
      </c>
      <c r="D9254" s="39">
        <f t="shared" si="792"/>
        <v>70826</v>
      </c>
      <c r="E9254" s="1">
        <v>3</v>
      </c>
      <c r="F9254" s="39">
        <f t="shared" si="797"/>
        <v>1491</v>
      </c>
      <c r="G9254" s="436">
        <f>SUM(C9254,C9230,C9206,C9182,C9158,C9134,C9110,C9086,C9062,C9038,C9014,C8990,C8966,C8942)/POBLA!$B$13*100000</f>
        <v>113.90025211798196</v>
      </c>
      <c r="H9254" s="441">
        <f t="shared" si="798"/>
        <v>1.1239464551313831</v>
      </c>
      <c r="J9254" s="42"/>
    </row>
    <row r="9255" spans="1:10" s="393" customFormat="1" x14ac:dyDescent="0.25">
      <c r="A9255" s="402" t="s">
        <v>23</v>
      </c>
      <c r="B9255" s="269">
        <v>44278</v>
      </c>
      <c r="C9255" s="17">
        <v>124</v>
      </c>
      <c r="D9255" s="39">
        <f t="shared" si="792"/>
        <v>11026</v>
      </c>
      <c r="E9255" s="1">
        <v>2</v>
      </c>
      <c r="F9255" s="39">
        <f t="shared" si="797"/>
        <v>190</v>
      </c>
      <c r="G9255" s="436">
        <f>SUM(C9255,C9231,C9207,C9183,C9159,C9135,C9111,C9087,C9063,C9039,C9015,C8991,C8967,C8943)/POBLA!$B$14*100000</f>
        <v>132.56227334784754</v>
      </c>
      <c r="H9255" s="441">
        <f t="shared" si="798"/>
        <v>1.0226299694189602</v>
      </c>
      <c r="J9255" s="42"/>
    </row>
    <row r="9256" spans="1:10" s="393" customFormat="1" x14ac:dyDescent="0.25">
      <c r="A9256" s="402" t="s">
        <v>19</v>
      </c>
      <c r="B9256" s="269">
        <v>44278</v>
      </c>
      <c r="C9256" s="17">
        <v>143</v>
      </c>
      <c r="D9256" s="39">
        <f t="shared" si="792"/>
        <v>64338</v>
      </c>
      <c r="E9256" s="1">
        <v>3</v>
      </c>
      <c r="F9256" s="39">
        <f t="shared" si="797"/>
        <v>982</v>
      </c>
      <c r="G9256" s="436">
        <f>SUM(C9256,C9232,C9208,C9184,C9160,C9136,C9112,C9088,C9064,C9040,C9016,C8992,C8968,C8944)/POBLA!$B$15*100000</f>
        <v>264.88689976914634</v>
      </c>
      <c r="H9256" s="441">
        <f t="shared" si="798"/>
        <v>0.79954545454545456</v>
      </c>
      <c r="J9256" s="42"/>
    </row>
    <row r="9257" spans="1:10" s="393" customFormat="1" x14ac:dyDescent="0.25">
      <c r="A9257" s="402" t="s">
        <v>18</v>
      </c>
      <c r="B9257" s="269">
        <v>44278</v>
      </c>
      <c r="C9257" s="17">
        <v>116</v>
      </c>
      <c r="D9257" s="39">
        <f t="shared" si="792"/>
        <v>54617</v>
      </c>
      <c r="E9257" s="1">
        <v>7</v>
      </c>
      <c r="F9257" s="39">
        <f t="shared" si="797"/>
        <v>1264</v>
      </c>
      <c r="G9257" s="436">
        <f>SUM(C9257,C9233,C9209,C9185,C9161,C9137,C9113,C9089,C9065,C9041,C9017,C8993,C8969,C8945)/POBLA!$B$16*100000</f>
        <v>167.19947566244431</v>
      </c>
      <c r="H9257" s="441">
        <f t="shared" si="798"/>
        <v>0.76970443349753692</v>
      </c>
      <c r="J9257" s="42"/>
    </row>
    <row r="9258" spans="1:10" s="393" customFormat="1" x14ac:dyDescent="0.25">
      <c r="A9258" s="402" t="s">
        <v>34</v>
      </c>
      <c r="B9258" s="269">
        <v>44278</v>
      </c>
      <c r="C9258" s="17">
        <v>132</v>
      </c>
      <c r="D9258" s="39">
        <f t="shared" ref="D9258:D9265" si="799">C9258+D9234</f>
        <v>28527</v>
      </c>
      <c r="E9258" s="1">
        <v>8</v>
      </c>
      <c r="F9258" s="39">
        <f t="shared" si="797"/>
        <v>1194</v>
      </c>
      <c r="G9258" s="436">
        <f>SUM(C9258,C9234,C9210,C9186,C9162,C9138,C9114,C9090,C9066,C9042,C9018,C8994,C8970,C8946)/POBLA!$B$17*100000</f>
        <v>104.7460785160317</v>
      </c>
      <c r="H9258" s="441">
        <f t="shared" si="798"/>
        <v>1.0233196159122084</v>
      </c>
      <c r="J9258" s="42"/>
    </row>
    <row r="9259" spans="1:10" s="393" customFormat="1" x14ac:dyDescent="0.25">
      <c r="A9259" s="402" t="s">
        <v>35</v>
      </c>
      <c r="B9259" s="269">
        <v>44278</v>
      </c>
      <c r="C9259" s="17">
        <v>92</v>
      </c>
      <c r="D9259" s="39">
        <f t="shared" si="799"/>
        <v>16483</v>
      </c>
      <c r="E9259" s="1"/>
      <c r="F9259" s="39">
        <f t="shared" si="797"/>
        <v>222</v>
      </c>
      <c r="G9259" s="436">
        <f>SUM(C9259,C9235,C9211,C9187,C9163,C9139,C9115,C9091,C9067,C9043,C9019,C8995,C8971,C8947)/POBLA!$B$18*100000</f>
        <v>103.30036340735033</v>
      </c>
      <c r="H9259" s="441">
        <f t="shared" si="798"/>
        <v>1.3121951219512196</v>
      </c>
      <c r="J9259" s="42"/>
    </row>
    <row r="9260" spans="1:10" s="393" customFormat="1" x14ac:dyDescent="0.25">
      <c r="A9260" s="402" t="s">
        <v>36</v>
      </c>
      <c r="B9260" s="269">
        <v>44278</v>
      </c>
      <c r="C9260" s="17">
        <v>1</v>
      </c>
      <c r="D9260" s="39">
        <f t="shared" si="799"/>
        <v>21554</v>
      </c>
      <c r="E9260" s="1">
        <v>1</v>
      </c>
      <c r="F9260" s="39">
        <f t="shared" si="797"/>
        <v>383</v>
      </c>
      <c r="G9260" s="436">
        <f>SUM(C9260,C9236,C9212,C9188,C9164,C9140,C9116,C9092,C9068,C9044,C9020,C8996,C8972,C8948)/POBLA!$B$19*100000</f>
        <v>146.16546796556554</v>
      </c>
      <c r="H9260" s="441">
        <f t="shared" si="798"/>
        <v>2.8798449612403099</v>
      </c>
      <c r="J9260" s="42"/>
    </row>
    <row r="9261" spans="1:10" s="393" customFormat="1" x14ac:dyDescent="0.25">
      <c r="A9261" s="402" t="s">
        <v>37</v>
      </c>
      <c r="B9261" s="269">
        <v>44278</v>
      </c>
      <c r="C9261" s="17">
        <v>120</v>
      </c>
      <c r="D9261" s="39">
        <f t="shared" si="799"/>
        <v>38408</v>
      </c>
      <c r="E9261" s="1"/>
      <c r="F9261" s="39">
        <f t="shared" si="797"/>
        <v>624</v>
      </c>
      <c r="G9261" s="436">
        <f>SUM(C9261,C9237,C9213,C9189,C9165,C9141,C9117,C9093,C9069,C9045,C9021,C8997,C8973,C8949)/POBLA!$B$20*100000</f>
        <v>432.87083877953944</v>
      </c>
      <c r="H9261" s="441">
        <f t="shared" si="798"/>
        <v>1.1347670250896058</v>
      </c>
      <c r="J9261" s="42"/>
    </row>
    <row r="9262" spans="1:10" s="393" customFormat="1" x14ac:dyDescent="0.25">
      <c r="A9262" s="402" t="s">
        <v>22</v>
      </c>
      <c r="B9262" s="269">
        <v>44278</v>
      </c>
      <c r="C9262" s="17">
        <v>656</v>
      </c>
      <c r="D9262" s="39">
        <f t="shared" si="799"/>
        <v>226571</v>
      </c>
      <c r="E9262" s="1">
        <v>2</v>
      </c>
      <c r="F9262" s="39">
        <f t="shared" si="797"/>
        <v>4207</v>
      </c>
      <c r="G9262" s="436">
        <f>SUM(C9262,C9238,C9214,C9190,C9166,C9142,C9118,C9094,C9070,C9046,C9022,C8998,C8974,C8950)/POBLA!$B$21*100000</f>
        <v>183.9431877114074</v>
      </c>
      <c r="H9262" s="441">
        <f t="shared" si="798"/>
        <v>1.2310749432248296</v>
      </c>
      <c r="J9262" s="42"/>
    </row>
    <row r="9263" spans="1:10" s="393" customFormat="1" x14ac:dyDescent="0.25">
      <c r="A9263" s="402" t="s">
        <v>38</v>
      </c>
      <c r="B9263" s="269">
        <v>44278</v>
      </c>
      <c r="C9263" s="17">
        <v>54</v>
      </c>
      <c r="D9263" s="39">
        <f t="shared" si="799"/>
        <v>24236</v>
      </c>
      <c r="E9263" s="1">
        <v>4</v>
      </c>
      <c r="F9263" s="39">
        <f t="shared" si="797"/>
        <v>282</v>
      </c>
      <c r="G9263" s="436">
        <f>SUM(C9263,C9239,C9215,C9191,C9167,C9143,C9119,C9095,C9071,C9047,C9023,C8999,C8975,C8951)/POBLA!$B$22*100000</f>
        <v>113.56283725147269</v>
      </c>
      <c r="H9263" s="441">
        <f t="shared" si="798"/>
        <v>1.3070588235294118</v>
      </c>
      <c r="J9263" s="42"/>
    </row>
    <row r="9264" spans="1:10" s="393" customFormat="1" x14ac:dyDescent="0.25">
      <c r="A9264" s="402" t="s">
        <v>39</v>
      </c>
      <c r="B9264" s="269">
        <v>44278</v>
      </c>
      <c r="C9264" s="17">
        <v>42</v>
      </c>
      <c r="D9264" s="39">
        <f t="shared" si="799"/>
        <v>23662</v>
      </c>
      <c r="E9264" s="1">
        <v>3</v>
      </c>
      <c r="F9264" s="39">
        <f t="shared" si="797"/>
        <v>361</v>
      </c>
      <c r="G9264" s="436">
        <f>SUM(C9264,C9240,C9216,C9192,C9168,C9144,C9120,C9096,C9072,C9048,C9024,C9000,C8976,C8952)/POBLA!$B$23*100000</f>
        <v>238.08177345473052</v>
      </c>
      <c r="H9264" s="441">
        <f t="shared" si="798"/>
        <v>0.94394618834080712</v>
      </c>
      <c r="J9264" s="42"/>
    </row>
    <row r="9265" spans="1:10" s="393" customFormat="1" ht="15.75" thickBot="1" x14ac:dyDescent="0.3">
      <c r="A9265" s="404" t="s">
        <v>40</v>
      </c>
      <c r="B9265" s="269">
        <v>44278</v>
      </c>
      <c r="C9265" s="17">
        <v>441</v>
      </c>
      <c r="D9265" s="177">
        <f t="shared" si="799"/>
        <v>84678</v>
      </c>
      <c r="E9265" s="1"/>
      <c r="F9265" s="177">
        <f t="shared" si="797"/>
        <v>1498</v>
      </c>
      <c r="G9265" s="439">
        <f>SUM(C9265,C9241,C9217,C9193,C9169,C9145,C9121,C9097,C9073,C9049,C9025,C9001,C8977,C8953)/POBLA!$B$24*100000</f>
        <v>208.36087087880961</v>
      </c>
      <c r="H9265" s="442">
        <f t="shared" si="798"/>
        <v>1.6878585086042066</v>
      </c>
      <c r="J9265" s="42"/>
    </row>
    <row r="9266" spans="1:10" s="393" customFormat="1" x14ac:dyDescent="0.25">
      <c r="A9266" s="397" t="s">
        <v>16</v>
      </c>
      <c r="B9266" s="269">
        <v>44279</v>
      </c>
      <c r="C9266" s="17">
        <v>3902</v>
      </c>
      <c r="D9266" s="175">
        <f t="shared" ref="D9266:D9329" si="800">C9266+D9242</f>
        <v>950138</v>
      </c>
      <c r="E9266" s="1">
        <v>102</v>
      </c>
      <c r="F9266" s="175">
        <f t="shared" ref="F9266:F9329" si="801">E9266+F9242</f>
        <v>27694</v>
      </c>
      <c r="G9266" s="410">
        <f>SUM(C9266,C9242,C9218,C9194,C9170,C9146,C9122,C9098,C9074,C9050,C9026,C9002,C8978,C8954)/POBLA!$B$1*100000</f>
        <v>249.56187285650344</v>
      </c>
      <c r="H9266" s="440">
        <f t="shared" ref="H9266:H9329" si="802">SUM(C9266,C9242,C9218,C9194,C9170,C9146,C9122,C9098,C9074,C9050,C9026,C9002,C8978,C8954)/SUM(C8930,C8906,C8882,C8858,C8834,C8810,C8786,C8762,C8738,C8714,C8690,C8666,C8642,C8618)</f>
        <v>1.2300775542317635</v>
      </c>
      <c r="J9266" s="42"/>
    </row>
    <row r="9267" spans="1:10" s="393" customFormat="1" x14ac:dyDescent="0.25">
      <c r="A9267" s="402" t="s">
        <v>43</v>
      </c>
      <c r="B9267" s="269">
        <v>44279</v>
      </c>
      <c r="C9267" s="17">
        <v>904</v>
      </c>
      <c r="D9267" s="39">
        <f t="shared" si="800"/>
        <v>251182</v>
      </c>
      <c r="E9267" s="1">
        <v>3</v>
      </c>
      <c r="F9267" s="39">
        <f t="shared" si="801"/>
        <v>6809</v>
      </c>
      <c r="G9267" s="436">
        <f>SUM(C9267,C9243,C9219,C9195,C9171,C9147,C9123,C9099,C9075,C9051,C9027,C9003,C8979,C8955)/POBLA!$B$2*100000</f>
        <v>397.70506748826102</v>
      </c>
      <c r="H9267" s="441">
        <f t="shared" si="802"/>
        <v>1.2782944926324591</v>
      </c>
      <c r="J9267" s="42"/>
    </row>
    <row r="9268" spans="1:10" s="393" customFormat="1" x14ac:dyDescent="0.25">
      <c r="A9268" s="402" t="s">
        <v>28</v>
      </c>
      <c r="B9268" s="269">
        <v>44279</v>
      </c>
      <c r="C9268" s="17">
        <v>70</v>
      </c>
      <c r="D9268" s="39">
        <f t="shared" si="800"/>
        <v>9914</v>
      </c>
      <c r="E9268" s="1"/>
      <c r="F9268" s="39">
        <f t="shared" si="801"/>
        <v>18</v>
      </c>
      <c r="G9268" s="436">
        <f>SUM(C9268,C9244,C9220,C9196,C9172,C9148,C9124,C9100,C9076,C9052,C9028,C9004,C8980,C8956)/POBLA!$B$3*100000</f>
        <v>294.62880140959663</v>
      </c>
      <c r="H9268" s="441">
        <f t="shared" si="802"/>
        <v>1.0390492359932089</v>
      </c>
      <c r="J9268" s="42"/>
    </row>
    <row r="9269" spans="1:10" s="393" customFormat="1" x14ac:dyDescent="0.25">
      <c r="A9269" s="402" t="s">
        <v>15</v>
      </c>
      <c r="B9269" s="269">
        <v>44279</v>
      </c>
      <c r="C9269" s="17">
        <v>180</v>
      </c>
      <c r="D9269" s="39">
        <f t="shared" si="800"/>
        <v>37375</v>
      </c>
      <c r="E9269" s="1">
        <v>2</v>
      </c>
      <c r="F9269" s="39">
        <f t="shared" si="801"/>
        <v>914</v>
      </c>
      <c r="G9269" s="436">
        <f>SUM(C9269,C9245,C9221,C9197,C9173,C9149,C9125,C9101,C9077,C9053,C9029,C9005,C8981,C8957)/POBLA!$B$4*100000</f>
        <v>162.38550618036248</v>
      </c>
      <c r="H9269" s="441">
        <f t="shared" si="802"/>
        <v>1.1228473019517795</v>
      </c>
      <c r="J9269" s="42"/>
    </row>
    <row r="9270" spans="1:10" s="393" customFormat="1" x14ac:dyDescent="0.25">
      <c r="A9270" s="402" t="s">
        <v>29</v>
      </c>
      <c r="B9270" s="269">
        <v>44279</v>
      </c>
      <c r="C9270" s="17">
        <v>101</v>
      </c>
      <c r="D9270" s="39">
        <f t="shared" si="800"/>
        <v>49119</v>
      </c>
      <c r="E9270" s="1"/>
      <c r="F9270" s="39">
        <f t="shared" si="801"/>
        <v>845</v>
      </c>
      <c r="G9270" s="436">
        <f>SUM(C9270,C9246,C9222,C9198,C9174,C9150,C9126,C9102,C9078,C9054,C9030,C9006,C8982,C8958)/POBLA!$B$5*100000</f>
        <v>211.95682025997021</v>
      </c>
      <c r="H9270" s="441">
        <f t="shared" si="802"/>
        <v>1.0798353909465022</v>
      </c>
      <c r="J9270" s="42"/>
    </row>
    <row r="9271" spans="1:10" s="393" customFormat="1" x14ac:dyDescent="0.25">
      <c r="A9271" s="402" t="s">
        <v>30</v>
      </c>
      <c r="B9271" s="269">
        <v>44279</v>
      </c>
      <c r="C9271" s="17">
        <v>344</v>
      </c>
      <c r="D9271" s="39">
        <f t="shared" si="800"/>
        <v>27094</v>
      </c>
      <c r="E9271" s="1">
        <v>1</v>
      </c>
      <c r="F9271" s="39">
        <f t="shared" si="801"/>
        <v>319</v>
      </c>
      <c r="G9271" s="436">
        <f>SUM(C9271,C9247,C9223,C9199,C9175,C9151,C9127,C9103,C9079,C9055,C9031,C9007,C8983,C8959)/POBLA!$B$6*100000</f>
        <v>279.79989311215814</v>
      </c>
      <c r="H9271" s="441">
        <f t="shared" si="802"/>
        <v>1.1833962264150943</v>
      </c>
      <c r="J9271" s="42"/>
    </row>
    <row r="9272" spans="1:10" s="393" customFormat="1" x14ac:dyDescent="0.25">
      <c r="A9272" s="402" t="s">
        <v>20</v>
      </c>
      <c r="B9272" s="269">
        <v>44279</v>
      </c>
      <c r="C9272" s="17">
        <v>769</v>
      </c>
      <c r="D9272" s="39">
        <f t="shared" si="800"/>
        <v>174397</v>
      </c>
      <c r="E9272" s="1">
        <v>6</v>
      </c>
      <c r="F9272" s="39">
        <f t="shared" si="801"/>
        <v>2990</v>
      </c>
      <c r="G9272" s="436">
        <f>SUM(C9272,C9248,C9224,C9200,C9176,C9152,C9128,C9104,C9080,C9056,C9032,C9008,C8984,C8960)/POBLA!$B$7*100000</f>
        <v>231.80736348043453</v>
      </c>
      <c r="H9272" s="441">
        <f t="shared" si="802"/>
        <v>1.0681289057713514</v>
      </c>
      <c r="J9272" s="42"/>
    </row>
    <row r="9273" spans="1:10" x14ac:dyDescent="0.25">
      <c r="A9273" s="402" t="s">
        <v>31</v>
      </c>
      <c r="B9273" s="269">
        <v>44279</v>
      </c>
      <c r="C9273" s="17">
        <v>127</v>
      </c>
      <c r="D9273" s="39">
        <f t="shared" si="800"/>
        <v>48604</v>
      </c>
      <c r="F9273" s="39">
        <f t="shared" si="801"/>
        <v>937</v>
      </c>
      <c r="G9273" s="169">
        <f>SUM(C9273,C9249,C9225,C9201,C9177,C9153,C9129,C9105,C9081,C9057,C9033,C9009,C8985,C8961)/POBLA!$B$8*100000</f>
        <v>158.30171267445476</v>
      </c>
      <c r="H9273" s="518">
        <f t="shared" si="802"/>
        <v>1.3224834237492464</v>
      </c>
    </row>
    <row r="9274" spans="1:10" s="393" customFormat="1" x14ac:dyDescent="0.25">
      <c r="A9274" s="402" t="s">
        <v>41</v>
      </c>
      <c r="B9274" s="269">
        <v>44279</v>
      </c>
      <c r="C9274" s="17">
        <v>20</v>
      </c>
      <c r="D9274" s="39">
        <f t="shared" si="800"/>
        <v>1769</v>
      </c>
      <c r="E9274" s="1"/>
      <c r="F9274" s="39">
        <f t="shared" si="801"/>
        <v>27</v>
      </c>
      <c r="G9274" s="436">
        <f>SUM(C9274,C9250,C9226,C9202,C9178,C9154,C9130,C9106,C9082,C9058,C9034,C9010,C8986,C8962)/POBLA!$B$9*100000</f>
        <v>56.345661631909159</v>
      </c>
      <c r="H9274" s="441">
        <f t="shared" si="802"/>
        <v>1.3478260869565217</v>
      </c>
      <c r="J9274" s="42"/>
    </row>
    <row r="9275" spans="1:10" s="393" customFormat="1" x14ac:dyDescent="0.25">
      <c r="A9275" s="402" t="s">
        <v>32</v>
      </c>
      <c r="B9275" s="269">
        <v>44279</v>
      </c>
      <c r="C9275" s="17">
        <v>23</v>
      </c>
      <c r="D9275" s="39">
        <f t="shared" si="800"/>
        <v>22114</v>
      </c>
      <c r="E9275" s="1">
        <v>2</v>
      </c>
      <c r="F9275" s="39">
        <f t="shared" si="801"/>
        <v>954</v>
      </c>
      <c r="G9275" s="436">
        <f>SUM(C9275,C9251,C9227,C9203,C9179,C9155,C9131,C9107,C9083,C9059,C9035,C9011,C8987,C8963)/POBLA!$B$10*100000</f>
        <v>86.783822665236272</v>
      </c>
      <c r="H9275" s="441">
        <f t="shared" si="802"/>
        <v>0.63113207547169814</v>
      </c>
      <c r="J9275" s="42"/>
    </row>
    <row r="9276" spans="1:10" s="393" customFormat="1" x14ac:dyDescent="0.25">
      <c r="A9276" s="402" t="s">
        <v>33</v>
      </c>
      <c r="B9276" s="269">
        <v>44279</v>
      </c>
      <c r="C9276" s="17">
        <v>67</v>
      </c>
      <c r="D9276" s="39">
        <f t="shared" si="800"/>
        <v>20717</v>
      </c>
      <c r="E9276" s="1"/>
      <c r="F9276" s="39">
        <f t="shared" si="801"/>
        <v>312</v>
      </c>
      <c r="G9276" s="436">
        <f>SUM(C9276,C9252,C9228,C9204,C9180,C9156,C9132,C9108,C9084,C9060,C9036,C9012,C8988,C8964)/POBLA!$B$11*100000</f>
        <v>337.58523329650586</v>
      </c>
      <c r="H9276" s="441">
        <f t="shared" si="802"/>
        <v>1.0151006711409396</v>
      </c>
      <c r="J9276" s="42"/>
    </row>
    <row r="9277" spans="1:10" s="393" customFormat="1" x14ac:dyDescent="0.25">
      <c r="A9277" s="402" t="s">
        <v>21</v>
      </c>
      <c r="B9277" s="269">
        <v>44279</v>
      </c>
      <c r="C9277" s="17">
        <v>25</v>
      </c>
      <c r="D9277" s="39">
        <f t="shared" si="800"/>
        <v>10760</v>
      </c>
      <c r="E9277" s="1"/>
      <c r="F9277" s="39">
        <f t="shared" si="801"/>
        <v>448</v>
      </c>
      <c r="G9277" s="436">
        <f>SUM(C9277,C9253,C9229,C9205,C9181,C9157,C9133,C9109,C9085,C9061,C9037,C9013,C8989,C8965)/POBLA!$B$12*100000</f>
        <v>86.143150094909927</v>
      </c>
      <c r="H9277" s="441">
        <f t="shared" si="802"/>
        <v>1.1452702702702702</v>
      </c>
      <c r="J9277" s="42"/>
    </row>
    <row r="9278" spans="1:10" s="393" customFormat="1" x14ac:dyDescent="0.25">
      <c r="A9278" s="402" t="s">
        <v>17</v>
      </c>
      <c r="B9278" s="269">
        <v>44279</v>
      </c>
      <c r="C9278" s="17">
        <v>169</v>
      </c>
      <c r="D9278" s="39">
        <f t="shared" si="800"/>
        <v>70995</v>
      </c>
      <c r="E9278" s="1">
        <v>1</v>
      </c>
      <c r="F9278" s="39">
        <f t="shared" si="801"/>
        <v>1492</v>
      </c>
      <c r="G9278" s="436">
        <f>SUM(C9278,C9254,C9230,C9206,C9182,C9158,C9134,C9110,C9086,C9062,C9038,C9014,C8990,C8966)/POBLA!$B$13*100000</f>
        <v>109.93107703314713</v>
      </c>
      <c r="H9278" s="441">
        <f t="shared" si="802"/>
        <v>1.0419047619047619</v>
      </c>
      <c r="J9278" s="42"/>
    </row>
    <row r="9279" spans="1:10" s="393" customFormat="1" x14ac:dyDescent="0.25">
      <c r="A9279" s="402" t="s">
        <v>23</v>
      </c>
      <c r="B9279" s="269">
        <v>44279</v>
      </c>
      <c r="C9279" s="17">
        <v>138</v>
      </c>
      <c r="D9279" s="39">
        <f t="shared" si="800"/>
        <v>11164</v>
      </c>
      <c r="E9279" s="1"/>
      <c r="F9279" s="39">
        <f t="shared" si="801"/>
        <v>190</v>
      </c>
      <c r="G9279" s="436">
        <f>SUM(C9279,C9255,C9231,C9207,C9183,C9159,C9135,C9111,C9087,C9063,C9039,C9015,C8991,C8967)/POBLA!$B$14*100000</f>
        <v>134.54436475556057</v>
      </c>
      <c r="H9279" s="441">
        <f t="shared" si="802"/>
        <v>1.0385556915544676</v>
      </c>
      <c r="J9279" s="42"/>
    </row>
    <row r="9280" spans="1:10" s="393" customFormat="1" x14ac:dyDescent="0.25">
      <c r="A9280" s="402" t="s">
        <v>19</v>
      </c>
      <c r="B9280" s="269">
        <v>44279</v>
      </c>
      <c r="C9280" s="17">
        <v>132</v>
      </c>
      <c r="D9280" s="39">
        <f t="shared" si="800"/>
        <v>64470</v>
      </c>
      <c r="E9280" s="1"/>
      <c r="F9280" s="39">
        <f t="shared" si="801"/>
        <v>982</v>
      </c>
      <c r="G9280" s="436">
        <f>SUM(C9280,C9256,C9232,C9208,C9184,C9160,C9136,C9112,C9088,C9064,C9040,C9016,C8992,C8968)/POBLA!$B$15*100000</f>
        <v>261.12216270591227</v>
      </c>
      <c r="H9280" s="441">
        <f t="shared" si="802"/>
        <v>0.82729007633587781</v>
      </c>
      <c r="J9280" s="42"/>
    </row>
    <row r="9281" spans="1:10" s="393" customFormat="1" x14ac:dyDescent="0.25">
      <c r="A9281" s="402" t="s">
        <v>18</v>
      </c>
      <c r="B9281" s="269">
        <v>44279</v>
      </c>
      <c r="C9281" s="17">
        <v>85</v>
      </c>
      <c r="D9281" s="39">
        <f t="shared" si="800"/>
        <v>54702</v>
      </c>
      <c r="E9281" s="1">
        <v>1</v>
      </c>
      <c r="F9281" s="39">
        <f t="shared" si="801"/>
        <v>1265</v>
      </c>
      <c r="G9281" s="436">
        <f>SUM(C9281,C9257,C9233,C9209,C9185,C9161,C9137,C9113,C9089,C9065,C9041,C9017,C8993,C8969)/POBLA!$B$16*100000</f>
        <v>159.04014125011705</v>
      </c>
      <c r="H9281" s="441">
        <f t="shared" si="802"/>
        <v>0.74127182044887785</v>
      </c>
      <c r="J9281" s="42"/>
    </row>
    <row r="9282" spans="1:10" s="393" customFormat="1" x14ac:dyDescent="0.25">
      <c r="A9282" s="402" t="s">
        <v>34</v>
      </c>
      <c r="B9282" s="269">
        <v>44279</v>
      </c>
      <c r="C9282" s="17">
        <v>89</v>
      </c>
      <c r="D9282" s="39">
        <f t="shared" si="800"/>
        <v>28616</v>
      </c>
      <c r="E9282" s="1"/>
      <c r="F9282" s="39">
        <f t="shared" si="801"/>
        <v>1194</v>
      </c>
      <c r="G9282" s="436">
        <f>SUM(C9282,C9258,C9234,C9210,C9186,C9162,C9138,C9114,C9090,C9066,C9042,C9018,C8994,C8970)/POBLA!$B$17*100000</f>
        <v>98.638230774145129</v>
      </c>
      <c r="H9282" s="441">
        <f t="shared" si="802"/>
        <v>0.9551325628823929</v>
      </c>
      <c r="J9282" s="42"/>
    </row>
    <row r="9283" spans="1:10" s="393" customFormat="1" x14ac:dyDescent="0.25">
      <c r="A9283" s="402" t="s">
        <v>35</v>
      </c>
      <c r="B9283" s="269">
        <v>44279</v>
      </c>
      <c r="C9283" s="17">
        <v>39</v>
      </c>
      <c r="D9283" s="39">
        <f t="shared" si="800"/>
        <v>16522</v>
      </c>
      <c r="E9283" s="1"/>
      <c r="F9283" s="39">
        <f t="shared" si="801"/>
        <v>222</v>
      </c>
      <c r="G9283" s="436">
        <f>SUM(C9283,C9259,C9235,C9211,C9187,C9163,C9139,C9115,C9091,C9067,C9043,C9019,C8995,C8971)/POBLA!$B$18*100000</f>
        <v>99.076184978053476</v>
      </c>
      <c r="H9283" s="441">
        <f t="shared" si="802"/>
        <v>1.2751235584843492</v>
      </c>
      <c r="J9283" s="42"/>
    </row>
    <row r="9284" spans="1:10" s="393" customFormat="1" x14ac:dyDescent="0.25">
      <c r="A9284" s="402" t="s">
        <v>36</v>
      </c>
      <c r="B9284" s="269">
        <v>44279</v>
      </c>
      <c r="C9284" s="17">
        <v>1</v>
      </c>
      <c r="D9284" s="39">
        <f t="shared" si="800"/>
        <v>21555</v>
      </c>
      <c r="E9284" s="1"/>
      <c r="F9284" s="39">
        <f t="shared" si="801"/>
        <v>383</v>
      </c>
      <c r="G9284" s="436">
        <f>SUM(C9284,C9260,C9236,C9212,C9188,C9164,C9140,C9116,C9092,C9068,C9044,C9020,C8996,C8972)/POBLA!$B$19*100000</f>
        <v>145.96874459010718</v>
      </c>
      <c r="H9284" s="441">
        <f t="shared" si="802"/>
        <v>3.2543859649122808</v>
      </c>
      <c r="J9284" s="42"/>
    </row>
    <row r="9285" spans="1:10" s="393" customFormat="1" x14ac:dyDescent="0.25">
      <c r="A9285" s="402" t="s">
        <v>37</v>
      </c>
      <c r="B9285" s="269">
        <v>44279</v>
      </c>
      <c r="C9285" s="17">
        <v>117</v>
      </c>
      <c r="D9285" s="39">
        <f t="shared" si="800"/>
        <v>38525</v>
      </c>
      <c r="E9285" s="1">
        <v>1</v>
      </c>
      <c r="F9285" s="39">
        <f t="shared" si="801"/>
        <v>625</v>
      </c>
      <c r="G9285" s="436">
        <f>SUM(C9285,C9261,C9237,C9213,C9189,C9165,C9141,C9117,C9093,C9069,C9045,C9021,C8997,C8973)/POBLA!$B$20*100000</f>
        <v>427.12839556136487</v>
      </c>
      <c r="H9285" s="441">
        <f t="shared" si="802"/>
        <v>1.1726726726726726</v>
      </c>
      <c r="J9285" s="42"/>
    </row>
    <row r="9286" spans="1:10" s="393" customFormat="1" x14ac:dyDescent="0.25">
      <c r="A9286" s="402" t="s">
        <v>22</v>
      </c>
      <c r="B9286" s="269">
        <v>44279</v>
      </c>
      <c r="C9286" s="17">
        <v>570</v>
      </c>
      <c r="D9286" s="39">
        <f t="shared" si="800"/>
        <v>227141</v>
      </c>
      <c r="E9286" s="1">
        <v>2</v>
      </c>
      <c r="F9286" s="39">
        <f t="shared" si="801"/>
        <v>4209</v>
      </c>
      <c r="G9286" s="436">
        <f>SUM(C9286,C9262,C9238,C9214,C9190,C9166,C9142,C9118,C9094,C9070,C9046,C9022,C8998,C8974)/POBLA!$B$21*100000</f>
        <v>185.66809692745599</v>
      </c>
      <c r="H9286" s="441">
        <f t="shared" si="802"/>
        <v>1.2363020146864998</v>
      </c>
      <c r="J9286" s="42"/>
    </row>
    <row r="9287" spans="1:10" s="393" customFormat="1" x14ac:dyDescent="0.25">
      <c r="A9287" s="402" t="s">
        <v>38</v>
      </c>
      <c r="B9287" s="269">
        <v>44279</v>
      </c>
      <c r="C9287" s="17">
        <v>98</v>
      </c>
      <c r="D9287" s="39">
        <f t="shared" si="800"/>
        <v>24334</v>
      </c>
      <c r="E9287" s="1">
        <v>1</v>
      </c>
      <c r="F9287" s="39">
        <f t="shared" si="801"/>
        <v>283</v>
      </c>
      <c r="G9287" s="436">
        <f>SUM(C9287,C9263,C9239,C9215,C9191,C9167,C9143,C9119,C9095,C9071,C9047,C9023,C8999,C8975)/POBLA!$B$22*100000</f>
        <v>118.36702568605344</v>
      </c>
      <c r="H9287" s="441">
        <f t="shared" si="802"/>
        <v>1.3851674641148326</v>
      </c>
      <c r="J9287" s="42"/>
    </row>
    <row r="9288" spans="1:10" s="393" customFormat="1" x14ac:dyDescent="0.25">
      <c r="A9288" s="402" t="s">
        <v>39</v>
      </c>
      <c r="B9288" s="269">
        <v>44279</v>
      </c>
      <c r="C9288" s="17">
        <v>62</v>
      </c>
      <c r="D9288" s="39">
        <f t="shared" si="800"/>
        <v>23724</v>
      </c>
      <c r="E9288" s="1">
        <v>1</v>
      </c>
      <c r="F9288" s="39">
        <f t="shared" si="801"/>
        <v>362</v>
      </c>
      <c r="G9288" s="436">
        <f>SUM(C9288,C9264,C9240,C9216,C9192,C9168,C9144,C9120,C9096,C9072,C9048,C9024,C9000,C8976)/POBLA!$B$23*100000</f>
        <v>264.66097381666009</v>
      </c>
      <c r="H9288" s="441">
        <f t="shared" si="802"/>
        <v>1.1063829787234043</v>
      </c>
      <c r="J9288" s="42"/>
    </row>
    <row r="9289" spans="1:10" s="393" customFormat="1" ht="15.75" thickBot="1" x14ac:dyDescent="0.3">
      <c r="A9289" s="404" t="s">
        <v>40</v>
      </c>
      <c r="B9289" s="269">
        <v>44279</v>
      </c>
      <c r="C9289" s="17">
        <v>268</v>
      </c>
      <c r="D9289" s="177">
        <f t="shared" si="800"/>
        <v>84946</v>
      </c>
      <c r="E9289" s="1"/>
      <c r="F9289" s="177">
        <f t="shared" si="801"/>
        <v>1498</v>
      </c>
      <c r="G9289" s="439">
        <f>SUM(C9289,C9265,C9241,C9217,C9193,C9169,C9145,C9121,C9097,C9073,C9049,C9025,C9001,C8977)/POBLA!$B$24*100000</f>
        <v>212.07843951810867</v>
      </c>
      <c r="H9289" s="442">
        <f t="shared" si="802"/>
        <v>1.7295476419634264</v>
      </c>
      <c r="J9289" s="42"/>
    </row>
    <row r="9290" spans="1:10" s="393" customFormat="1" x14ac:dyDescent="0.25">
      <c r="A9290" s="397" t="s">
        <v>16</v>
      </c>
      <c r="B9290" s="269">
        <v>44280</v>
      </c>
      <c r="C9290" s="17">
        <v>3702</v>
      </c>
      <c r="D9290" s="175">
        <f t="shared" si="800"/>
        <v>953840</v>
      </c>
      <c r="E9290" s="1">
        <v>64</v>
      </c>
      <c r="F9290" s="175">
        <f t="shared" si="801"/>
        <v>27758</v>
      </c>
      <c r="G9290" s="410">
        <f>SUM(C9290,C9266,C9242,C9218,C9194,C9170,C9146,C9122,C9098,C9074,C9050,C9026,C9002,C8978)/POBLA!$B$1*100000</f>
        <v>250.99849547985505</v>
      </c>
      <c r="H9290" s="440">
        <f t="shared" si="802"/>
        <v>1.2303822937625755</v>
      </c>
      <c r="J9290" s="42"/>
    </row>
    <row r="9291" spans="1:10" s="393" customFormat="1" x14ac:dyDescent="0.25">
      <c r="A9291" s="402" t="s">
        <v>43</v>
      </c>
      <c r="B9291" s="269">
        <v>44280</v>
      </c>
      <c r="C9291" s="17">
        <v>1398</v>
      </c>
      <c r="D9291" s="39">
        <f t="shared" si="800"/>
        <v>252580</v>
      </c>
      <c r="E9291" s="1">
        <v>4</v>
      </c>
      <c r="F9291" s="39">
        <f t="shared" si="801"/>
        <v>6813</v>
      </c>
      <c r="G9291" s="436">
        <f>SUM(C9291,C9267,C9243,C9219,C9195,C9171,C9147,C9123,C9099,C9075,C9051,C9027,C9003,C8979)/POBLA!$B$2*100000</f>
        <v>416.335299966251</v>
      </c>
      <c r="H9291" s="441">
        <f t="shared" si="802"/>
        <v>1.3464773922187172</v>
      </c>
      <c r="J9291" s="42"/>
    </row>
    <row r="9292" spans="1:10" s="393" customFormat="1" x14ac:dyDescent="0.25">
      <c r="A9292" s="402" t="s">
        <v>28</v>
      </c>
      <c r="B9292" s="269">
        <v>44280</v>
      </c>
      <c r="C9292" s="17">
        <v>83</v>
      </c>
      <c r="D9292" s="39">
        <f t="shared" si="800"/>
        <v>9997</v>
      </c>
      <c r="E9292" s="1"/>
      <c r="F9292" s="39">
        <f t="shared" si="801"/>
        <v>18</v>
      </c>
      <c r="G9292" s="436">
        <f>SUM(C9292,C9268,C9244,C9220,C9196,C9172,C9148,C9124,C9100,C9076,C9052,C9028,C9004,C8980)/POBLA!$B$3*100000</f>
        <v>295.3509308248162</v>
      </c>
      <c r="H9292" s="441">
        <f t="shared" si="802"/>
        <v>1.0848806366047745</v>
      </c>
      <c r="J9292" s="42"/>
    </row>
    <row r="9293" spans="1:10" s="393" customFormat="1" x14ac:dyDescent="0.25">
      <c r="A9293" s="402" t="s">
        <v>15</v>
      </c>
      <c r="B9293" s="269">
        <v>44280</v>
      </c>
      <c r="C9293" s="17">
        <v>125</v>
      </c>
      <c r="D9293" s="39">
        <f t="shared" si="800"/>
        <v>37500</v>
      </c>
      <c r="E9293" s="1">
        <v>1</v>
      </c>
      <c r="F9293" s="39">
        <f t="shared" si="801"/>
        <v>915</v>
      </c>
      <c r="G9293" s="436">
        <f>SUM(C9293,C9269,C9245,C9221,C9197,C9173,C9149,C9125,C9101,C9077,C9053,C9029,C9005,C8981)/POBLA!$B$4*100000</f>
        <v>161.14021855627993</v>
      </c>
      <c r="H9293" s="441">
        <f t="shared" si="802"/>
        <v>1.1364168618266979</v>
      </c>
      <c r="J9293" s="42"/>
    </row>
    <row r="9294" spans="1:10" s="393" customFormat="1" x14ac:dyDescent="0.25">
      <c r="A9294" s="402" t="s">
        <v>29</v>
      </c>
      <c r="B9294" s="269">
        <v>44280</v>
      </c>
      <c r="C9294" s="17">
        <v>129</v>
      </c>
      <c r="D9294" s="39">
        <f t="shared" si="800"/>
        <v>49248</v>
      </c>
      <c r="E9294" s="1">
        <v>9</v>
      </c>
      <c r="F9294" s="39">
        <f t="shared" si="801"/>
        <v>854</v>
      </c>
      <c r="G9294" s="436">
        <f>SUM(C9294,C9270,C9246,C9222,C9198,C9174,C9150,C9126,C9102,C9078,C9054,C9030,C9006,C8982)/POBLA!$B$5*100000</f>
        <v>215.83407916716479</v>
      </c>
      <c r="H9294" s="441">
        <f t="shared" si="802"/>
        <v>1.134125636672326</v>
      </c>
      <c r="J9294" s="42"/>
    </row>
    <row r="9295" spans="1:10" s="393" customFormat="1" x14ac:dyDescent="0.25">
      <c r="A9295" s="402" t="s">
        <v>30</v>
      </c>
      <c r="B9295" s="269">
        <v>44280</v>
      </c>
      <c r="C9295" s="17">
        <v>28</v>
      </c>
      <c r="D9295" s="39">
        <f t="shared" si="800"/>
        <v>27122</v>
      </c>
      <c r="E9295" s="1">
        <v>4</v>
      </c>
      <c r="F9295" s="39">
        <f t="shared" si="801"/>
        <v>323</v>
      </c>
      <c r="G9295" s="436">
        <f>SUM(C9295,C9271,C9247,C9223,C9199,C9175,C9151,C9127,C9103,C9079,C9055,C9031,C9007,C8983)/POBLA!$B$6*100000</f>
        <v>275.96335121042898</v>
      </c>
      <c r="H9295" s="441">
        <f t="shared" si="802"/>
        <v>1.1778370144706778</v>
      </c>
      <c r="J9295" s="42"/>
    </row>
    <row r="9296" spans="1:10" s="393" customFormat="1" x14ac:dyDescent="0.25">
      <c r="A9296" s="402" t="s">
        <v>20</v>
      </c>
      <c r="B9296" s="269">
        <v>44280</v>
      </c>
      <c r="C9296" s="17">
        <v>723</v>
      </c>
      <c r="D9296" s="39">
        <f t="shared" si="800"/>
        <v>175120</v>
      </c>
      <c r="E9296" s="1">
        <v>1</v>
      </c>
      <c r="F9296" s="39">
        <f t="shared" si="801"/>
        <v>2991</v>
      </c>
      <c r="G9296" s="436">
        <f>SUM(C9296,C9272,C9248,C9224,C9200,C9176,C9152,C9128,C9104,C9080,C9056,C9032,C9008,C8984)/POBLA!$B$7*100000</f>
        <v>232.47217753194434</v>
      </c>
      <c r="H9296" s="441">
        <f t="shared" si="802"/>
        <v>1.1232172684054991</v>
      </c>
      <c r="J9296" s="42"/>
    </row>
    <row r="9297" spans="1:10" x14ac:dyDescent="0.25">
      <c r="A9297" s="402" t="s">
        <v>31</v>
      </c>
      <c r="B9297" s="269">
        <v>44280</v>
      </c>
      <c r="C9297" s="17">
        <v>136</v>
      </c>
      <c r="D9297" s="39">
        <f t="shared" si="800"/>
        <v>48740</v>
      </c>
      <c r="E9297" s="1">
        <v>1</v>
      </c>
      <c r="F9297" s="39">
        <f t="shared" si="801"/>
        <v>938</v>
      </c>
      <c r="G9297" s="169">
        <f>SUM(C9297,C9273,C9249,C9225,C9201,C9177,C9153,C9129,C9105,C9081,C9057,C9033,C9009,C8985)/POBLA!$B$8*100000</f>
        <v>157.9409521624346</v>
      </c>
      <c r="H9297" s="518">
        <f t="shared" si="802"/>
        <v>1.3347560975609756</v>
      </c>
    </row>
    <row r="9298" spans="1:10" s="393" customFormat="1" x14ac:dyDescent="0.25">
      <c r="A9298" s="402" t="s">
        <v>41</v>
      </c>
      <c r="B9298" s="269">
        <v>44280</v>
      </c>
      <c r="C9298" s="17">
        <v>57</v>
      </c>
      <c r="D9298" s="39">
        <f t="shared" si="800"/>
        <v>1826</v>
      </c>
      <c r="E9298" s="1"/>
      <c r="F9298" s="39">
        <f t="shared" si="801"/>
        <v>27</v>
      </c>
      <c r="G9298" s="436">
        <f>SUM(C9298,C9274,C9250,C9226,C9202,C9178,C9154,C9130,C9106,C9082,C9058,C9034,C9010,C8986)/POBLA!$B$9*100000</f>
        <v>57.667553986909965</v>
      </c>
      <c r="H9298" s="441">
        <f t="shared" si="802"/>
        <v>1.1952054794520548</v>
      </c>
      <c r="J9298" s="42"/>
    </row>
    <row r="9299" spans="1:10" s="393" customFormat="1" x14ac:dyDescent="0.25">
      <c r="A9299" s="402" t="s">
        <v>32</v>
      </c>
      <c r="B9299" s="269">
        <v>44280</v>
      </c>
      <c r="C9299" s="17">
        <v>38</v>
      </c>
      <c r="D9299" s="39">
        <f t="shared" si="800"/>
        <v>22152</v>
      </c>
      <c r="E9299" s="1">
        <v>1</v>
      </c>
      <c r="F9299" s="39">
        <f t="shared" si="801"/>
        <v>955</v>
      </c>
      <c r="G9299" s="436">
        <f>SUM(C9299,C9275,C9251,C9227,C9203,C9179,C9155,C9131,C9107,C9083,C9059,C9035,C9011,C8987)/POBLA!$B$10*100000</f>
        <v>83.021893132662498</v>
      </c>
      <c r="H9299" s="441">
        <f t="shared" si="802"/>
        <v>0.62683643486777674</v>
      </c>
      <c r="J9299" s="42"/>
    </row>
    <row r="9300" spans="1:10" s="393" customFormat="1" x14ac:dyDescent="0.25">
      <c r="A9300" s="402" t="s">
        <v>33</v>
      </c>
      <c r="B9300" s="269">
        <v>44280</v>
      </c>
      <c r="C9300" s="17">
        <v>87</v>
      </c>
      <c r="D9300" s="39">
        <f t="shared" si="800"/>
        <v>20804</v>
      </c>
      <c r="E9300" s="1">
        <v>2</v>
      </c>
      <c r="F9300" s="39">
        <f t="shared" si="801"/>
        <v>314</v>
      </c>
      <c r="G9300" s="436">
        <f>SUM(C9300,C9276,C9252,C9228,C9204,C9180,C9156,C9132,C9108,C9084,C9060,C9036,C9012,C8988)/POBLA!$B$11*100000</f>
        <v>333.6792884484471</v>
      </c>
      <c r="H9300" s="441">
        <f t="shared" si="802"/>
        <v>1.1167133520074697</v>
      </c>
      <c r="J9300" s="42"/>
    </row>
    <row r="9301" spans="1:10" s="393" customFormat="1" x14ac:dyDescent="0.25">
      <c r="A9301" s="402" t="s">
        <v>21</v>
      </c>
      <c r="B9301" s="269">
        <v>44280</v>
      </c>
      <c r="C9301" s="17">
        <v>38</v>
      </c>
      <c r="D9301" s="39">
        <f t="shared" si="800"/>
        <v>10798</v>
      </c>
      <c r="E9301" s="1"/>
      <c r="F9301" s="39">
        <f t="shared" si="801"/>
        <v>448</v>
      </c>
      <c r="G9301" s="436">
        <f>SUM(C9301,C9277,C9253,C9229,C9205,C9181,C9157,C9133,C9109,C9085,C9061,C9037,C9013,C8989)/POBLA!$B$12*100000</f>
        <v>87.921917206014271</v>
      </c>
      <c r="H9301" s="441">
        <f t="shared" si="802"/>
        <v>1.138157894736842</v>
      </c>
      <c r="J9301" s="42"/>
    </row>
    <row r="9302" spans="1:10" s="393" customFormat="1" x14ac:dyDescent="0.25">
      <c r="A9302" s="402" t="s">
        <v>17</v>
      </c>
      <c r="B9302" s="269">
        <v>44280</v>
      </c>
      <c r="C9302" s="17">
        <v>187</v>
      </c>
      <c r="D9302" s="39">
        <f t="shared" si="800"/>
        <v>71182</v>
      </c>
      <c r="E9302" s="1">
        <v>4</v>
      </c>
      <c r="F9302" s="39">
        <f t="shared" si="801"/>
        <v>1496</v>
      </c>
      <c r="G9302" s="436">
        <f>SUM(C9302,C9278,C9254,C9230,C9206,C9182,C9158,C9134,C9110,C9086,C9062,C9038,C9014,C8990)/POBLA!$B$13*100000</f>
        <v>109.37840708462583</v>
      </c>
      <c r="H9302" s="441">
        <f t="shared" si="802"/>
        <v>1.0476419634263716</v>
      </c>
      <c r="J9302" s="42"/>
    </row>
    <row r="9303" spans="1:10" s="393" customFormat="1" x14ac:dyDescent="0.25">
      <c r="A9303" s="402" t="s">
        <v>23</v>
      </c>
      <c r="B9303" s="269">
        <v>44280</v>
      </c>
      <c r="C9303" s="17">
        <v>123</v>
      </c>
      <c r="D9303" s="39">
        <f t="shared" si="800"/>
        <v>11287</v>
      </c>
      <c r="E9303" s="1">
        <v>3</v>
      </c>
      <c r="F9303" s="39">
        <f t="shared" si="801"/>
        <v>193</v>
      </c>
      <c r="G9303" s="436">
        <f>SUM(C9303,C9279,C9255,C9231,C9207,C9183,C9159,C9135,C9111,C9087,C9063,C9039,C9015,C8991)/POBLA!$B$14*100000</f>
        <v>134.22723013032646</v>
      </c>
      <c r="H9303" s="441">
        <f t="shared" si="802"/>
        <v>1.0361077111383108</v>
      </c>
      <c r="J9303" s="42"/>
    </row>
    <row r="9304" spans="1:10" s="393" customFormat="1" x14ac:dyDescent="0.25">
      <c r="A9304" s="402" t="s">
        <v>19</v>
      </c>
      <c r="B9304" s="269">
        <v>44280</v>
      </c>
      <c r="C9304" s="17">
        <v>80</v>
      </c>
      <c r="D9304" s="39">
        <f t="shared" si="800"/>
        <v>64550</v>
      </c>
      <c r="E9304" s="1">
        <v>15</v>
      </c>
      <c r="F9304" s="39">
        <f t="shared" si="801"/>
        <v>997</v>
      </c>
      <c r="G9304" s="436">
        <f>SUM(C9304,C9280,C9256,C9232,C9208,C9184,C9160,C9136,C9112,C9088,C9064,C9040,C9016,C8992)/POBLA!$B$15*100000</f>
        <v>248.17146720838724</v>
      </c>
      <c r="H9304" s="441">
        <f t="shared" si="802"/>
        <v>0.79961183891314891</v>
      </c>
      <c r="J9304" s="42"/>
    </row>
    <row r="9305" spans="1:10" s="393" customFormat="1" x14ac:dyDescent="0.25">
      <c r="A9305" s="402" t="s">
        <v>18</v>
      </c>
      <c r="B9305" s="269">
        <v>44280</v>
      </c>
      <c r="C9305" s="17">
        <v>84</v>
      </c>
      <c r="D9305" s="39">
        <f t="shared" si="800"/>
        <v>54786</v>
      </c>
      <c r="E9305" s="1">
        <v>4</v>
      </c>
      <c r="F9305" s="39">
        <f t="shared" si="801"/>
        <v>1269</v>
      </c>
      <c r="G9305" s="436">
        <f>SUM(C9305,C9281,C9257,C9233,C9209,C9185,C9161,C9137,C9113,C9089,C9065,C9041,C9017,C8993)/POBLA!$B$16*100000</f>
        <v>158.37134334746727</v>
      </c>
      <c r="H9305" s="441">
        <f t="shared" si="802"/>
        <v>0.75751759436980171</v>
      </c>
      <c r="J9305" s="42"/>
    </row>
    <row r="9306" spans="1:10" s="393" customFormat="1" x14ac:dyDescent="0.25">
      <c r="A9306" s="402" t="s">
        <v>34</v>
      </c>
      <c r="B9306" s="269">
        <v>44280</v>
      </c>
      <c r="C9306" s="17">
        <v>70</v>
      </c>
      <c r="D9306" s="39">
        <f t="shared" si="800"/>
        <v>28686</v>
      </c>
      <c r="E9306" s="1">
        <v>2</v>
      </c>
      <c r="F9306" s="39">
        <f t="shared" si="801"/>
        <v>1196</v>
      </c>
      <c r="G9306" s="436">
        <f>SUM(C9306,C9282,C9258,C9234,C9210,C9186,C9162,C9138,C9114,C9090,C9066,C9042,C9018,C8994)/POBLA!$B$17*100000</f>
        <v>93.653665375594016</v>
      </c>
      <c r="H9306" s="441">
        <f t="shared" si="802"/>
        <v>0.90563475899524781</v>
      </c>
      <c r="J9306" s="42"/>
    </row>
    <row r="9307" spans="1:10" s="393" customFormat="1" x14ac:dyDescent="0.25">
      <c r="A9307" s="402" t="s">
        <v>35</v>
      </c>
      <c r="B9307" s="269">
        <v>44280</v>
      </c>
      <c r="C9307" s="17">
        <v>92</v>
      </c>
      <c r="D9307" s="39">
        <f t="shared" si="800"/>
        <v>16614</v>
      </c>
      <c r="E9307" s="1">
        <v>1</v>
      </c>
      <c r="F9307" s="39">
        <f t="shared" si="801"/>
        <v>223</v>
      </c>
      <c r="G9307" s="436">
        <f>SUM(C9307,C9283,C9259,C9235,C9211,C9187,C9163,C9139,C9115,C9091,C9067,C9043,C9019,C8995)/POBLA!$B$18*100000</f>
        <v>103.17235800040194</v>
      </c>
      <c r="H9307" s="441">
        <f t="shared" si="802"/>
        <v>1.3084415584415585</v>
      </c>
      <c r="J9307" s="42"/>
    </row>
    <row r="9308" spans="1:10" s="393" customFormat="1" x14ac:dyDescent="0.25">
      <c r="A9308" s="402" t="s">
        <v>36</v>
      </c>
      <c r="B9308" s="269">
        <v>44280</v>
      </c>
      <c r="C9308" s="17">
        <v>90</v>
      </c>
      <c r="D9308" s="39">
        <f t="shared" si="800"/>
        <v>21645</v>
      </c>
      <c r="E9308" s="1">
        <v>2</v>
      </c>
      <c r="F9308" s="39">
        <f t="shared" si="801"/>
        <v>385</v>
      </c>
      <c r="G9308" s="436">
        <f>SUM(C9308,C9284,C9260,C9236,C9212,C9188,C9164,C9140,C9116,C9092,C9068,C9044,C9020,C8996)/POBLA!$B$19*100000</f>
        <v>52.91858799830031</v>
      </c>
      <c r="H9308" s="441">
        <f t="shared" si="802"/>
        <v>0.4317817014446228</v>
      </c>
      <c r="J9308" s="42"/>
    </row>
    <row r="9309" spans="1:10" s="393" customFormat="1" x14ac:dyDescent="0.25">
      <c r="A9309" s="402" t="s">
        <v>37</v>
      </c>
      <c r="B9309" s="269">
        <v>44280</v>
      </c>
      <c r="C9309" s="17">
        <v>81</v>
      </c>
      <c r="D9309" s="39">
        <f t="shared" si="800"/>
        <v>38606</v>
      </c>
      <c r="E9309" s="1">
        <v>1</v>
      </c>
      <c r="F9309" s="39">
        <f t="shared" si="801"/>
        <v>626</v>
      </c>
      <c r="G9309" s="436">
        <f>SUM(C9309,C9285,C9261,C9237,C9213,C9189,C9165,C9141,C9117,C9093,C9069,C9045,C9021,C8997)/POBLA!$B$20*100000</f>
        <v>417.83110654146316</v>
      </c>
      <c r="H9309" s="441">
        <f t="shared" si="802"/>
        <v>1.1655225019069413</v>
      </c>
      <c r="J9309" s="42"/>
    </row>
    <row r="9310" spans="1:10" s="393" customFormat="1" x14ac:dyDescent="0.25">
      <c r="A9310" s="402" t="s">
        <v>22</v>
      </c>
      <c r="B9310" s="269">
        <v>44280</v>
      </c>
      <c r="C9310" s="17">
        <v>444</v>
      </c>
      <c r="D9310" s="39">
        <f t="shared" si="800"/>
        <v>227585</v>
      </c>
      <c r="E9310" s="1">
        <v>20</v>
      </c>
      <c r="F9310" s="39">
        <f t="shared" si="801"/>
        <v>4229</v>
      </c>
      <c r="G9310" s="436">
        <f>SUM(C9310,C9286,C9262,C9238,C9214,C9190,C9166,C9142,C9118,C9094,C9070,C9046,C9022,C8998)/POBLA!$B$21*100000</f>
        <v>180.86097288273049</v>
      </c>
      <c r="H9310" s="441">
        <f t="shared" si="802"/>
        <v>1.1656642974302898</v>
      </c>
      <c r="J9310" s="42"/>
    </row>
    <row r="9311" spans="1:10" s="393" customFormat="1" x14ac:dyDescent="0.25">
      <c r="A9311" s="402" t="s">
        <v>38</v>
      </c>
      <c r="B9311" s="269">
        <v>44280</v>
      </c>
      <c r="C9311" s="17">
        <v>134</v>
      </c>
      <c r="D9311" s="39">
        <f t="shared" si="800"/>
        <v>24468</v>
      </c>
      <c r="E9311" s="1">
        <v>5</v>
      </c>
      <c r="F9311" s="39">
        <f t="shared" si="801"/>
        <v>288</v>
      </c>
      <c r="G9311" s="436">
        <f>SUM(C9311,C9287,C9263,C9239,C9215,C9191,C9167,C9143,C9119,C9095,C9071,C9047,C9023,C8999)/POBLA!$B$22*100000</f>
        <v>125.21554962471112</v>
      </c>
      <c r="H9311" s="441">
        <f t="shared" si="802"/>
        <v>1.4848484848484849</v>
      </c>
      <c r="J9311" s="42"/>
    </row>
    <row r="9312" spans="1:10" s="393" customFormat="1" x14ac:dyDescent="0.25">
      <c r="A9312" s="402" t="s">
        <v>39</v>
      </c>
      <c r="B9312" s="269">
        <v>44280</v>
      </c>
      <c r="C9312" s="17">
        <v>45</v>
      </c>
      <c r="D9312" s="39">
        <f t="shared" si="800"/>
        <v>23769</v>
      </c>
      <c r="E9312" s="1">
        <v>2</v>
      </c>
      <c r="F9312" s="39">
        <f t="shared" si="801"/>
        <v>364</v>
      </c>
      <c r="G9312" s="436">
        <f>SUM(C9312,C9288,C9264,C9240,C9216,C9192,C9168,C9144,C9120,C9096,C9072,C9048,C9024,C9000)/POBLA!$B$23*100000</f>
        <v>269.75060792851895</v>
      </c>
      <c r="H9312" s="441">
        <f t="shared" si="802"/>
        <v>1.1223529411764706</v>
      </c>
      <c r="J9312" s="42"/>
    </row>
    <row r="9313" spans="1:10" s="393" customFormat="1" ht="15.75" thickBot="1" x14ac:dyDescent="0.3">
      <c r="A9313" s="404" t="s">
        <v>40</v>
      </c>
      <c r="B9313" s="269">
        <v>44280</v>
      </c>
      <c r="C9313" s="17">
        <v>264</v>
      </c>
      <c r="D9313" s="177">
        <f t="shared" si="800"/>
        <v>85210</v>
      </c>
      <c r="E9313" s="1"/>
      <c r="F9313" s="177">
        <f t="shared" si="801"/>
        <v>1498</v>
      </c>
      <c r="G9313" s="439">
        <f>SUM(C9313,C9289,C9265,C9241,C9217,C9193,C9169,C9145,C9121,C9097,C9073,C9049,C9025,C9001)/POBLA!$B$24*100000</f>
        <v>211.72438536198496</v>
      </c>
      <c r="H9313" s="442">
        <f t="shared" si="802"/>
        <v>1.701280227596017</v>
      </c>
      <c r="J9313" s="42"/>
    </row>
    <row r="9314" spans="1:10" s="393" customFormat="1" x14ac:dyDescent="0.25">
      <c r="A9314" s="397" t="s">
        <v>16</v>
      </c>
      <c r="B9314" s="269">
        <v>44281</v>
      </c>
      <c r="C9314" s="17">
        <v>5686</v>
      </c>
      <c r="D9314" s="175">
        <f t="shared" si="800"/>
        <v>959526</v>
      </c>
      <c r="E9314" s="1">
        <v>66</v>
      </c>
      <c r="F9314" s="175">
        <f t="shared" si="801"/>
        <v>27824</v>
      </c>
      <c r="G9314" s="410">
        <f>SUM(C9314,C9290,C9266,C9242,C9218,C9194,C9170,C9146,C9122,C9098,C9074,C9050,C9026,C9002)/POBLA!$B$1*100000</f>
        <v>264.84594132160498</v>
      </c>
      <c r="H9314" s="440">
        <f t="shared" si="802"/>
        <v>1.2571915676670364</v>
      </c>
      <c r="J9314" s="42"/>
    </row>
    <row r="9315" spans="1:10" s="393" customFormat="1" x14ac:dyDescent="0.25">
      <c r="A9315" s="402" t="s">
        <v>43</v>
      </c>
      <c r="B9315" s="269">
        <v>44281</v>
      </c>
      <c r="C9315" s="17">
        <v>1405</v>
      </c>
      <c r="D9315" s="39">
        <f t="shared" si="800"/>
        <v>253985</v>
      </c>
      <c r="E9315" s="1">
        <v>8</v>
      </c>
      <c r="F9315" s="39">
        <f t="shared" si="801"/>
        <v>6821</v>
      </c>
      <c r="G9315" s="436">
        <f>SUM(C9315,C9291,C9267,C9243,C9219,C9195,C9171,C9147,C9123,C9099,C9075,C9051,C9027,C9003)/POBLA!$B$2*100000</f>
        <v>435.06307292841899</v>
      </c>
      <c r="H9315" s="441">
        <f t="shared" si="802"/>
        <v>1.3749486230990546</v>
      </c>
      <c r="J9315" s="42"/>
    </row>
    <row r="9316" spans="1:10" s="393" customFormat="1" x14ac:dyDescent="0.25">
      <c r="A9316" s="402" t="s">
        <v>28</v>
      </c>
      <c r="B9316" s="269">
        <v>44281</v>
      </c>
      <c r="C9316" s="17">
        <v>98</v>
      </c>
      <c r="D9316" s="39">
        <f t="shared" si="800"/>
        <v>10095</v>
      </c>
      <c r="E9316" s="1"/>
      <c r="F9316" s="39">
        <f t="shared" si="801"/>
        <v>18</v>
      </c>
      <c r="G9316" s="436">
        <f>SUM(C9316,C9292,C9268,C9244,C9220,C9196,C9172,C9148,C9124,C9100,C9076,C9052,C9028,C9004)/POBLA!$B$3*100000</f>
        <v>294.62880140959663</v>
      </c>
      <c r="H9316" s="441">
        <f t="shared" si="802"/>
        <v>1.0652741514360313</v>
      </c>
      <c r="J9316" s="42"/>
    </row>
    <row r="9317" spans="1:10" s="393" customFormat="1" x14ac:dyDescent="0.25">
      <c r="A9317" s="402" t="s">
        <v>15</v>
      </c>
      <c r="B9317" s="269">
        <v>44281</v>
      </c>
      <c r="C9317" s="17">
        <v>159</v>
      </c>
      <c r="D9317" s="39">
        <f t="shared" si="800"/>
        <v>37659</v>
      </c>
      <c r="E9317" s="1">
        <v>2</v>
      </c>
      <c r="F9317" s="39">
        <f t="shared" si="801"/>
        <v>917</v>
      </c>
      <c r="G9317" s="436">
        <f>SUM(C9317,C9293,C9269,C9245,C9221,C9197,C9173,C9149,C9125,C9101,C9077,C9053,C9029,C9005)/POBLA!$B$4*100000</f>
        <v>161.38927608109645</v>
      </c>
      <c r="H9317" s="441">
        <f t="shared" si="802"/>
        <v>1.1039182282793867</v>
      </c>
      <c r="J9317" s="42"/>
    </row>
    <row r="9318" spans="1:10" s="393" customFormat="1" x14ac:dyDescent="0.25">
      <c r="A9318" s="402" t="s">
        <v>29</v>
      </c>
      <c r="B9318" s="269">
        <v>44281</v>
      </c>
      <c r="C9318" s="17">
        <v>155</v>
      </c>
      <c r="D9318" s="39">
        <f t="shared" si="800"/>
        <v>49403</v>
      </c>
      <c r="E9318" s="1"/>
      <c r="F9318" s="39">
        <f t="shared" si="801"/>
        <v>854</v>
      </c>
      <c r="G9318" s="436">
        <f>SUM(C9318,C9294,C9270,C9246,C9222,C9198,C9174,C9150,C9126,C9102,C9078,C9054,C9030,C9006)/POBLA!$B$5*100000</f>
        <v>223.42704452708747</v>
      </c>
      <c r="H9318" s="441">
        <f t="shared" si="802"/>
        <v>1.1382716049382715</v>
      </c>
      <c r="J9318" s="42"/>
    </row>
    <row r="9319" spans="1:10" s="393" customFormat="1" x14ac:dyDescent="0.25">
      <c r="A9319" s="402" t="s">
        <v>30</v>
      </c>
      <c r="B9319" s="269">
        <v>44281</v>
      </c>
      <c r="C9319" s="17">
        <v>771</v>
      </c>
      <c r="D9319" s="39">
        <f t="shared" si="800"/>
        <v>27893</v>
      </c>
      <c r="E9319" s="1">
        <v>2</v>
      </c>
      <c r="F9319" s="39">
        <f t="shared" si="801"/>
        <v>325</v>
      </c>
      <c r="G9319" s="436">
        <f>SUM(C9319,C9295,C9271,C9247,C9223,C9199,C9175,C9151,C9127,C9103,C9079,C9055,C9031,C9007)/POBLA!$B$6*100000</f>
        <v>299.07182452549557</v>
      </c>
      <c r="H9319" s="441">
        <f t="shared" si="802"/>
        <v>1.1499142367066895</v>
      </c>
      <c r="J9319" s="42"/>
    </row>
    <row r="9320" spans="1:10" s="393" customFormat="1" x14ac:dyDescent="0.25">
      <c r="A9320" s="402" t="s">
        <v>20</v>
      </c>
      <c r="B9320" s="269">
        <v>44281</v>
      </c>
      <c r="C9320" s="17">
        <v>1105</v>
      </c>
      <c r="D9320" s="39">
        <f t="shared" si="800"/>
        <v>176225</v>
      </c>
      <c r="E9320" s="1">
        <v>13</v>
      </c>
      <c r="F9320" s="39">
        <f t="shared" si="801"/>
        <v>3004</v>
      </c>
      <c r="G9320" s="436">
        <f>SUM(C9320,C9296,C9272,C9248,C9224,C9200,C9176,C9152,C9128,C9104,C9080,C9056,C9032,C9008)/POBLA!$B$7*100000</f>
        <v>245.18342219681156</v>
      </c>
      <c r="H9320" s="441">
        <f t="shared" si="802"/>
        <v>1.1533650237678259</v>
      </c>
      <c r="J9320" s="42"/>
    </row>
    <row r="9321" spans="1:10" x14ac:dyDescent="0.25">
      <c r="A9321" s="402" t="s">
        <v>31</v>
      </c>
      <c r="B9321" s="269">
        <v>44281</v>
      </c>
      <c r="C9321" s="17">
        <v>228</v>
      </c>
      <c r="D9321" s="39">
        <f t="shared" si="800"/>
        <v>48968</v>
      </c>
      <c r="E9321" s="1">
        <v>3</v>
      </c>
      <c r="F9321" s="39">
        <f t="shared" si="801"/>
        <v>941</v>
      </c>
      <c r="G9321" s="169">
        <f>SUM(C9321,C9297,C9273,C9249,C9225,C9201,C9177,C9153,C9129,C9105,C9081,C9057,C9033,C9009)/POBLA!$B$8*100000</f>
        <v>163.49666404754535</v>
      </c>
      <c r="H9321" s="518">
        <f t="shared" si="802"/>
        <v>1.3337257210123603</v>
      </c>
    </row>
    <row r="9322" spans="1:10" s="393" customFormat="1" x14ac:dyDescent="0.25">
      <c r="A9322" s="402" t="s">
        <v>41</v>
      </c>
      <c r="B9322" s="269">
        <v>44281</v>
      </c>
      <c r="C9322" s="17">
        <v>89</v>
      </c>
      <c r="D9322" s="39">
        <f t="shared" si="800"/>
        <v>1915</v>
      </c>
      <c r="E9322" s="1">
        <v>1</v>
      </c>
      <c r="F9322" s="39">
        <f t="shared" si="801"/>
        <v>28</v>
      </c>
      <c r="G9322" s="436">
        <f>SUM(C9322,C9298,C9274,C9250,C9226,C9202,C9178,C9154,C9130,C9106,C9082,C9058,C9034,C9010)/POBLA!$B$9*100000</f>
        <v>68.077456282541263</v>
      </c>
      <c r="H9322" s="441">
        <f t="shared" si="802"/>
        <v>1.3966101694915254</v>
      </c>
      <c r="J9322" s="42"/>
    </row>
    <row r="9323" spans="1:10" s="393" customFormat="1" x14ac:dyDescent="0.25">
      <c r="A9323" s="402" t="s">
        <v>32</v>
      </c>
      <c r="B9323" s="269">
        <v>44281</v>
      </c>
      <c r="C9323" s="17">
        <v>56</v>
      </c>
      <c r="D9323" s="39">
        <f t="shared" si="800"/>
        <v>22208</v>
      </c>
      <c r="E9323" s="1"/>
      <c r="F9323" s="39">
        <f t="shared" si="801"/>
        <v>955</v>
      </c>
      <c r="G9323" s="436">
        <f>SUM(C9323,C9299,C9275,C9251,C9227,C9203,C9179,C9155,C9131,C9107,C9083,C9059,C9035,C9011)/POBLA!$B$10*100000</f>
        <v>80.816624096326152</v>
      </c>
      <c r="H9323" s="441">
        <f t="shared" si="802"/>
        <v>0.6162215628090999</v>
      </c>
      <c r="J9323" s="42"/>
    </row>
    <row r="9324" spans="1:10" s="393" customFormat="1" x14ac:dyDescent="0.25">
      <c r="A9324" s="402" t="s">
        <v>33</v>
      </c>
      <c r="B9324" s="269">
        <v>44281</v>
      </c>
      <c r="C9324" s="17">
        <v>100</v>
      </c>
      <c r="D9324" s="39">
        <f t="shared" si="800"/>
        <v>20904</v>
      </c>
      <c r="E9324" s="1">
        <v>1</v>
      </c>
      <c r="F9324" s="39">
        <f t="shared" si="801"/>
        <v>315</v>
      </c>
      <c r="G9324" s="436">
        <f>SUM(C9324,C9300,C9276,C9252,C9228,C9204,C9180,C9156,C9132,C9108,C9084,C9060,C9036,C9012)/POBLA!$B$11*100000</f>
        <v>330.88932784269088</v>
      </c>
      <c r="H9324" s="441">
        <f t="shared" si="802"/>
        <v>1.051418439716312</v>
      </c>
      <c r="J9324" s="42"/>
    </row>
    <row r="9325" spans="1:10" s="393" customFormat="1" x14ac:dyDescent="0.25">
      <c r="A9325" s="402" t="s">
        <v>21</v>
      </c>
      <c r="B9325" s="269">
        <v>44281</v>
      </c>
      <c r="C9325" s="17">
        <v>27</v>
      </c>
      <c r="D9325" s="39">
        <f t="shared" si="800"/>
        <v>10825</v>
      </c>
      <c r="E9325" s="1"/>
      <c r="F9325" s="39">
        <f t="shared" si="801"/>
        <v>448</v>
      </c>
      <c r="G9325" s="436">
        <f>SUM(C9325,C9301,C9277,C9253,C9229,C9205,C9181,C9157,C9133,C9109,C9085,C9061,C9037,C9013)/POBLA!$B$12*100000</f>
        <v>86.143150094909927</v>
      </c>
      <c r="H9325" s="441">
        <f t="shared" si="802"/>
        <v>1.0694006309148265</v>
      </c>
      <c r="J9325" s="42"/>
    </row>
    <row r="9326" spans="1:10" s="393" customFormat="1" x14ac:dyDescent="0.25">
      <c r="A9326" s="402" t="s">
        <v>17</v>
      </c>
      <c r="B9326" s="269">
        <v>44281</v>
      </c>
      <c r="C9326" s="17">
        <v>336</v>
      </c>
      <c r="D9326" s="39">
        <f t="shared" si="800"/>
        <v>71518</v>
      </c>
      <c r="E9326" s="1">
        <v>2</v>
      </c>
      <c r="F9326" s="39">
        <f t="shared" si="801"/>
        <v>1498</v>
      </c>
      <c r="G9326" s="436">
        <f>SUM(C9326,C9302,C9278,C9254,C9230,C9206,C9182,C9158,C9134,C9110,C9086,C9062,C9038,C9014)/POBLA!$B$13*100000</f>
        <v>117.81918448022395</v>
      </c>
      <c r="H9326" s="441">
        <f t="shared" si="802"/>
        <v>1.1119013750592699</v>
      </c>
      <c r="J9326" s="42"/>
    </row>
    <row r="9327" spans="1:10" s="393" customFormat="1" x14ac:dyDescent="0.25">
      <c r="A9327" s="402" t="s">
        <v>23</v>
      </c>
      <c r="B9327" s="269">
        <v>44281</v>
      </c>
      <c r="C9327" s="17">
        <v>150</v>
      </c>
      <c r="D9327" s="39">
        <f t="shared" si="800"/>
        <v>11437</v>
      </c>
      <c r="E9327" s="1">
        <v>1</v>
      </c>
      <c r="F9327" s="39">
        <f t="shared" si="801"/>
        <v>194</v>
      </c>
      <c r="G9327" s="436">
        <f>SUM(C9327,C9303,C9279,C9255,C9231,C9207,C9183,C9159,C9135,C9111,C9087,C9063,C9039,C9015)/POBLA!$B$14*100000</f>
        <v>135.4164849749543</v>
      </c>
      <c r="H9327" s="441">
        <f t="shared" si="802"/>
        <v>1.0332728372655777</v>
      </c>
      <c r="J9327" s="42"/>
    </row>
    <row r="9328" spans="1:10" s="393" customFormat="1" x14ac:dyDescent="0.25">
      <c r="A9328" s="402" t="s">
        <v>19</v>
      </c>
      <c r="B9328" s="269">
        <v>44281</v>
      </c>
      <c r="C9328" s="17">
        <v>148</v>
      </c>
      <c r="D9328" s="39">
        <f t="shared" si="800"/>
        <v>64698</v>
      </c>
      <c r="E9328" s="1">
        <v>6</v>
      </c>
      <c r="F9328" s="39">
        <f t="shared" si="801"/>
        <v>1003</v>
      </c>
      <c r="G9328" s="436">
        <f>SUM(C9328,C9304,C9280,C9256,C9232,C9208,C9184,C9160,C9136,C9112,C9088,C9064,C9040,C9016)/POBLA!$B$15*100000</f>
        <v>247.11734083068168</v>
      </c>
      <c r="H9328" s="441">
        <f t="shared" si="802"/>
        <v>0.80323054331864907</v>
      </c>
      <c r="J9328" s="42"/>
    </row>
    <row r="9329" spans="1:11" s="393" customFormat="1" x14ac:dyDescent="0.25">
      <c r="A9329" s="402" t="s">
        <v>18</v>
      </c>
      <c r="B9329" s="269">
        <v>44281</v>
      </c>
      <c r="C9329" s="17">
        <v>123</v>
      </c>
      <c r="D9329" s="39">
        <f t="shared" si="800"/>
        <v>54909</v>
      </c>
      <c r="E9329" s="1"/>
      <c r="F9329" s="39">
        <f t="shared" si="801"/>
        <v>1269</v>
      </c>
      <c r="G9329" s="436">
        <f>SUM(C9329,C9305,C9281,C9257,C9233,C9209,C9185,C9161,C9137,C9113,C9089,C9065,C9041,C9017)/POBLA!$B$16*100000</f>
        <v>159.84269873329677</v>
      </c>
      <c r="H9329" s="441">
        <f t="shared" si="802"/>
        <v>0.78155657292347935</v>
      </c>
      <c r="J9329" s="42"/>
    </row>
    <row r="9330" spans="1:11" s="393" customFormat="1" x14ac:dyDescent="0.25">
      <c r="A9330" s="402" t="s">
        <v>34</v>
      </c>
      <c r="B9330" s="269">
        <v>44281</v>
      </c>
      <c r="C9330" s="17">
        <v>136</v>
      </c>
      <c r="D9330" s="39">
        <f t="shared" ref="D9330:D9393" si="803">C9330+D9306</f>
        <v>28822</v>
      </c>
      <c r="E9330" s="1">
        <v>1</v>
      </c>
      <c r="F9330" s="39">
        <f t="shared" ref="F9330:F9393" si="804">E9330+F9306</f>
        <v>1197</v>
      </c>
      <c r="G9330" s="436">
        <f>SUM(C9330,C9306,C9282,C9258,C9234,C9210,C9186,C9162,C9138,C9114,C9090,C9066,C9042,C9018)/POBLA!$B$17*100000</f>
        <v>96.181050648098818</v>
      </c>
      <c r="H9330" s="441">
        <f t="shared" ref="H9330:H9393" si="805">SUM(C9330,C9306,C9282,C9258,C9234,C9210,C9186,C9162,C9138,C9114,C9090,C9066,C9042,C9018)/SUM(C8994,C8970,C8946,C8922,C8898,C8874,C8850,C8826,C8802,C8778,C8754,C8730,C8706,C8682)</f>
        <v>0.9102990033222591</v>
      </c>
      <c r="J9330" s="42"/>
    </row>
    <row r="9331" spans="1:11" s="393" customFormat="1" x14ac:dyDescent="0.25">
      <c r="A9331" s="402" t="s">
        <v>35</v>
      </c>
      <c r="B9331" s="269">
        <v>44281</v>
      </c>
      <c r="C9331" s="17">
        <v>158</v>
      </c>
      <c r="D9331" s="39">
        <f t="shared" si="803"/>
        <v>16772</v>
      </c>
      <c r="E9331" s="1"/>
      <c r="F9331" s="39">
        <f t="shared" si="804"/>
        <v>223</v>
      </c>
      <c r="G9331" s="436">
        <f>SUM(C9331,C9307,C9283,C9259,C9235,C9211,C9187,C9163,C9139,C9115,C9091,C9067,C9043,C9019)/POBLA!$B$18*100000</f>
        <v>116.86893654387961</v>
      </c>
      <c r="H9331" s="441">
        <f t="shared" si="805"/>
        <v>1.4446202531645569</v>
      </c>
      <c r="J9331" s="42"/>
    </row>
    <row r="9332" spans="1:11" s="393" customFormat="1" x14ac:dyDescent="0.25">
      <c r="A9332" s="402" t="s">
        <v>36</v>
      </c>
      <c r="B9332" s="269">
        <v>44281</v>
      </c>
      <c r="C9332" s="17">
        <v>417</v>
      </c>
      <c r="D9332" s="39">
        <f t="shared" si="803"/>
        <v>22062</v>
      </c>
      <c r="E9332" s="1">
        <v>17</v>
      </c>
      <c r="F9332" s="39">
        <f t="shared" si="804"/>
        <v>402</v>
      </c>
      <c r="G9332" s="436">
        <f>SUM(C9332,C9308,C9284,C9260,C9236,C9212,C9188,C9164,C9140,C9116,C9092,C9068,C9044,C9020)/POBLA!$B$19*100000</f>
        <v>107.6076863757259</v>
      </c>
      <c r="H9332" s="441">
        <f t="shared" si="805"/>
        <v>0.72068511198945984</v>
      </c>
      <c r="J9332" s="42"/>
    </row>
    <row r="9333" spans="1:11" s="393" customFormat="1" x14ac:dyDescent="0.25">
      <c r="A9333" s="402" t="s">
        <v>37</v>
      </c>
      <c r="B9333" s="269">
        <v>44281</v>
      </c>
      <c r="C9333" s="17">
        <v>104</v>
      </c>
      <c r="D9333" s="39">
        <f t="shared" si="803"/>
        <v>38710</v>
      </c>
      <c r="E9333" s="1">
        <v>10</v>
      </c>
      <c r="F9333" s="39">
        <f t="shared" si="804"/>
        <v>636</v>
      </c>
      <c r="G9333" s="436">
        <f>SUM(C9333,C9309,C9285,C9261,C9237,C9213,C9189,C9165,C9141,C9117,C9093,C9069,C9045,C9021)/POBLA!$B$20*100000</f>
        <v>406.07277042805811</v>
      </c>
      <c r="H9333" s="441">
        <f t="shared" si="805"/>
        <v>1.0622317596566524</v>
      </c>
      <c r="J9333" s="42"/>
    </row>
    <row r="9334" spans="1:11" s="393" customFormat="1" x14ac:dyDescent="0.25">
      <c r="A9334" s="402" t="s">
        <v>22</v>
      </c>
      <c r="B9334" s="269">
        <v>44281</v>
      </c>
      <c r="C9334" s="17">
        <v>652</v>
      </c>
      <c r="D9334" s="39">
        <f t="shared" si="803"/>
        <v>228237</v>
      </c>
      <c r="E9334" s="1">
        <v>8</v>
      </c>
      <c r="F9334" s="39">
        <f t="shared" si="804"/>
        <v>4237</v>
      </c>
      <c r="G9334" s="436">
        <f>SUM(C9334,C9310,C9286,C9262,C9238,C9214,C9190,C9166,C9142,C9118,C9094,C9070,C9046,C9022)/POBLA!$B$21*100000</f>
        <v>186.17708653219162</v>
      </c>
      <c r="H9334" s="441">
        <f t="shared" si="805"/>
        <v>1.1571177504393673</v>
      </c>
      <c r="J9334" s="42"/>
    </row>
    <row r="9335" spans="1:11" s="393" customFormat="1" x14ac:dyDescent="0.25">
      <c r="A9335" s="402" t="s">
        <v>38</v>
      </c>
      <c r="B9335" s="269">
        <v>44281</v>
      </c>
      <c r="C9335" s="17">
        <v>104</v>
      </c>
      <c r="D9335" s="39">
        <f t="shared" si="803"/>
        <v>24572</v>
      </c>
      <c r="E9335" s="1"/>
      <c r="F9335" s="39">
        <f t="shared" si="804"/>
        <v>288</v>
      </c>
      <c r="G9335" s="436">
        <f>SUM(C9335,C9311,C9287,C9263,C9239,C9215,C9191,C9167,C9143,C9119,C9095,C9071,C9047,C9023)/POBLA!$B$22*100000</f>
        <v>128.89535353204957</v>
      </c>
      <c r="H9335" s="441">
        <f t="shared" si="805"/>
        <v>1.526634382566586</v>
      </c>
      <c r="J9335" s="42"/>
    </row>
    <row r="9336" spans="1:11" s="393" customFormat="1" x14ac:dyDescent="0.25">
      <c r="A9336" s="402" t="s">
        <v>39</v>
      </c>
      <c r="B9336" s="269">
        <v>44281</v>
      </c>
      <c r="C9336" s="17">
        <v>49</v>
      </c>
      <c r="D9336" s="39">
        <f t="shared" si="803"/>
        <v>23818</v>
      </c>
      <c r="E9336" s="1"/>
      <c r="F9336" s="39">
        <f t="shared" si="804"/>
        <v>364</v>
      </c>
      <c r="G9336" s="436">
        <f>SUM(C9336,C9312,C9288,C9264,C9240,C9216,C9192,C9168,C9144,C9120,C9096,C9072,C9048,C9024)/POBLA!$B$23*100000</f>
        <v>283.32296556014251</v>
      </c>
      <c r="H9336" s="441">
        <f t="shared" si="805"/>
        <v>1.1843971631205674</v>
      </c>
      <c r="J9336" s="42"/>
    </row>
    <row r="9337" spans="1:11" s="393" customFormat="1" ht="15.75" thickBot="1" x14ac:dyDescent="0.3">
      <c r="A9337" s="404" t="s">
        <v>40</v>
      </c>
      <c r="B9337" s="269">
        <v>44281</v>
      </c>
      <c r="C9337" s="17">
        <v>680</v>
      </c>
      <c r="D9337" s="177">
        <f t="shared" si="803"/>
        <v>85890</v>
      </c>
      <c r="E9337" s="1">
        <v>2</v>
      </c>
      <c r="F9337" s="177">
        <f t="shared" si="804"/>
        <v>1500</v>
      </c>
      <c r="G9337" s="439">
        <f>SUM(C9337,C9313,C9289,C9265,C9241,C9217,C9193,C9169,C9145,C9121,C9097,C9073,C9049,C9025)/POBLA!$B$24*100000</f>
        <v>234.08880622380002</v>
      </c>
      <c r="H9337" s="442">
        <f t="shared" si="805"/>
        <v>1.7376259307928166</v>
      </c>
      <c r="J9337" s="42"/>
    </row>
    <row r="9338" spans="1:11" s="393" customFormat="1" x14ac:dyDescent="0.25">
      <c r="A9338" s="397" t="s">
        <v>16</v>
      </c>
      <c r="B9338" s="269">
        <v>44282</v>
      </c>
      <c r="C9338" s="17">
        <v>5325</v>
      </c>
      <c r="D9338" s="175">
        <f t="shared" si="803"/>
        <v>964851</v>
      </c>
      <c r="E9338" s="1">
        <v>83</v>
      </c>
      <c r="F9338" s="175">
        <f t="shared" si="804"/>
        <v>27907</v>
      </c>
      <c r="G9338" s="410">
        <f>SUM(C9338,C9314,C9290,C9266,C9242,C9218,C9194,C9170,C9146,C9122,C9098,C9074,C9050,C9026)/POBLA!$B$1*100000</f>
        <v>279.85636738225867</v>
      </c>
      <c r="H9338" s="440">
        <f t="shared" si="805"/>
        <v>1.3183478354280804</v>
      </c>
      <c r="I9338" s="445">
        <f>G9338*H9338</f>
        <v>368.94803616916636</v>
      </c>
      <c r="J9338" s="310">
        <f>AVERAGE(C9338,C9314,C9290,C9266,C9242,C9218,C9194)</f>
        <v>3896.5714285714284</v>
      </c>
      <c r="K9338" s="445">
        <f>J9338/POBLA!$B$1*100000</f>
        <v>22.213899475361544</v>
      </c>
    </row>
    <row r="9339" spans="1:11" s="393" customFormat="1" x14ac:dyDescent="0.25">
      <c r="A9339" s="402" t="s">
        <v>43</v>
      </c>
      <c r="B9339" s="269">
        <v>44282</v>
      </c>
      <c r="C9339" s="17">
        <v>1476</v>
      </c>
      <c r="D9339" s="39">
        <f t="shared" si="803"/>
        <v>255461</v>
      </c>
      <c r="E9339" s="1">
        <v>23</v>
      </c>
      <c r="F9339" s="39">
        <f t="shared" si="804"/>
        <v>6844</v>
      </c>
      <c r="G9339" s="436">
        <f>SUM(C9339,C9315,C9291,C9267,C9243,C9219,C9195,C9171,C9147,C9123,C9099,C9075,C9051,C9027)/POBLA!$B$2*100000</f>
        <v>457.17224934208946</v>
      </c>
      <c r="H9339" s="441">
        <f t="shared" si="805"/>
        <v>1.4138763197586728</v>
      </c>
      <c r="I9339" s="445">
        <f t="shared" ref="I9339:I9361" si="806">G9339*H9339</f>
        <v>646.38501739558774</v>
      </c>
      <c r="J9339" s="310">
        <f t="shared" ref="J9339:J9361" si="807">AVERAGE(C9339,C9315,C9291,C9267,C9243,C9219,C9195)</f>
        <v>1125.8571428571429</v>
      </c>
      <c r="K9339" s="445">
        <f>J9339/POBLA!$B$2*100000</f>
        <v>36.6055502764994</v>
      </c>
    </row>
    <row r="9340" spans="1:11" s="393" customFormat="1" x14ac:dyDescent="0.25">
      <c r="A9340" s="402" t="s">
        <v>28</v>
      </c>
      <c r="B9340" s="269">
        <v>44282</v>
      </c>
      <c r="C9340" s="17">
        <v>51</v>
      </c>
      <c r="D9340" s="39">
        <f t="shared" si="803"/>
        <v>10146</v>
      </c>
      <c r="E9340" s="1"/>
      <c r="F9340" s="39">
        <f t="shared" si="804"/>
        <v>18</v>
      </c>
      <c r="G9340" s="436">
        <f>SUM(C9340,C9316,C9292,C9268,C9244,C9220,C9196,C9172,C9148,C9124,C9100,C9076,C9052,C9028)/POBLA!$B$3*100000</f>
        <v>281.87118174071702</v>
      </c>
      <c r="H9340" s="441">
        <f t="shared" si="805"/>
        <v>1.0317180616740087</v>
      </c>
      <c r="I9340" s="445">
        <f t="shared" si="806"/>
        <v>290.81158926729478</v>
      </c>
      <c r="J9340" s="310">
        <f t="shared" si="807"/>
        <v>71.142857142857139</v>
      </c>
      <c r="K9340" s="445">
        <f>J9340/POBLA!$B$3*100000</f>
        <v>17.124783275207648</v>
      </c>
    </row>
    <row r="9341" spans="1:11" s="393" customFormat="1" x14ac:dyDescent="0.25">
      <c r="A9341" s="402" t="s">
        <v>15</v>
      </c>
      <c r="B9341" s="269">
        <v>44282</v>
      </c>
      <c r="C9341" s="17">
        <v>229</v>
      </c>
      <c r="D9341" s="39">
        <f t="shared" si="803"/>
        <v>37888</v>
      </c>
      <c r="E9341" s="1"/>
      <c r="F9341" s="39">
        <f t="shared" si="804"/>
        <v>917</v>
      </c>
      <c r="G9341" s="436">
        <f>SUM(C9341,C9317,C9293,C9269,C9245,C9221,C9197,C9173,C9149,C9125,C9101,C9077,C9053,C9029)/POBLA!$B$4*100000</f>
        <v>168.77798265065283</v>
      </c>
      <c r="H9341" s="441">
        <f t="shared" si="805"/>
        <v>1.1319599109131404</v>
      </c>
      <c r="I9341" s="445">
        <f t="shared" si="806"/>
        <v>191.04991020533254</v>
      </c>
      <c r="J9341" s="310">
        <f t="shared" si="807"/>
        <v>149.42857142857142</v>
      </c>
      <c r="K9341" s="445">
        <f>J9341/POBLA!$B$4*100000</f>
        <v>12.405436712288864</v>
      </c>
    </row>
    <row r="9342" spans="1:11" s="393" customFormat="1" x14ac:dyDescent="0.25">
      <c r="A9342" s="402" t="s">
        <v>29</v>
      </c>
      <c r="B9342" s="269">
        <v>44282</v>
      </c>
      <c r="C9342" s="17">
        <v>89</v>
      </c>
      <c r="D9342" s="39">
        <f t="shared" si="803"/>
        <v>49492</v>
      </c>
      <c r="E9342" s="1"/>
      <c r="F9342" s="39">
        <f t="shared" si="804"/>
        <v>854</v>
      </c>
      <c r="G9342" s="436">
        <f>SUM(C9342,C9318,C9294,C9270,C9246,C9222,C9198,C9174,C9150,C9126,C9102,C9078,C9054,C9030)/POBLA!$B$5*100000</f>
        <v>224.07325434495328</v>
      </c>
      <c r="H9342" s="441">
        <f t="shared" si="805"/>
        <v>1.1340964840556009</v>
      </c>
      <c r="I9342" s="445">
        <f t="shared" si="806"/>
        <v>254.12068992350791</v>
      </c>
      <c r="J9342" s="310">
        <f t="shared" si="807"/>
        <v>108.85714285714286</v>
      </c>
      <c r="K9342" s="445">
        <f>J9342/POBLA!$B$5*100000</f>
        <v>17.586138614775404</v>
      </c>
    </row>
    <row r="9343" spans="1:11" s="393" customFormat="1" x14ac:dyDescent="0.25">
      <c r="A9343" s="402" t="s">
        <v>30</v>
      </c>
      <c r="B9343" s="269">
        <v>44282</v>
      </c>
      <c r="C9343" s="17">
        <v>18</v>
      </c>
      <c r="D9343" s="39">
        <f t="shared" si="803"/>
        <v>27911</v>
      </c>
      <c r="E9343" s="1"/>
      <c r="F9343" s="39">
        <f t="shared" si="804"/>
        <v>325</v>
      </c>
      <c r="G9343" s="436">
        <f>SUM(C9343,C9319,C9295,C9271,C9247,C9223,C9199,C9175,C9151,C9127,C9103,C9079,C9055,C9031)/POBLA!$B$6*100000</f>
        <v>274.08969121191001</v>
      </c>
      <c r="H9343" s="441">
        <f t="shared" si="805"/>
        <v>1.0101940151266031</v>
      </c>
      <c r="I9343" s="445">
        <f t="shared" si="806"/>
        <v>276.88376567017019</v>
      </c>
      <c r="J9343" s="310">
        <f t="shared" si="807"/>
        <v>220</v>
      </c>
      <c r="K9343" s="445">
        <f>J9343/POBLA!$B$6*100000</f>
        <v>19.628819032102935</v>
      </c>
    </row>
    <row r="9344" spans="1:11" s="393" customFormat="1" x14ac:dyDescent="0.25">
      <c r="A9344" s="402" t="s">
        <v>20</v>
      </c>
      <c r="B9344" s="269">
        <v>44282</v>
      </c>
      <c r="C9344" s="17">
        <v>803</v>
      </c>
      <c r="D9344" s="39">
        <f t="shared" si="803"/>
        <v>177028</v>
      </c>
      <c r="E9344" s="1">
        <v>4</v>
      </c>
      <c r="F9344" s="39">
        <f t="shared" si="804"/>
        <v>3008</v>
      </c>
      <c r="G9344" s="436">
        <f>SUM(C9344,C9320,C9296,C9272,C9248,C9224,C9200,C9176,C9152,C9128,C9104,C9080,C9056,C9032)/POBLA!$B$7*100000</f>
        <v>250.76786022949381</v>
      </c>
      <c r="H9344" s="441">
        <f t="shared" si="805"/>
        <v>1.1708467842066055</v>
      </c>
      <c r="I9344" s="445">
        <f t="shared" si="806"/>
        <v>293.61074273207436</v>
      </c>
      <c r="J9344" s="310">
        <f t="shared" si="807"/>
        <v>747.71428571428567</v>
      </c>
      <c r="K9344" s="445">
        <f>J9344/POBLA!$B$7*100000</f>
        <v>19.883638546298599</v>
      </c>
    </row>
    <row r="9345" spans="1:11" x14ac:dyDescent="0.25">
      <c r="A9345" s="402" t="s">
        <v>31</v>
      </c>
      <c r="B9345" s="269">
        <v>44282</v>
      </c>
      <c r="C9345" s="17">
        <v>169</v>
      </c>
      <c r="D9345" s="39">
        <f t="shared" si="803"/>
        <v>49137</v>
      </c>
      <c r="F9345" s="39">
        <f t="shared" si="804"/>
        <v>941</v>
      </c>
      <c r="G9345" s="169">
        <f>SUM(C9345,C9321,C9297,C9273,C9249,C9225,C9201,C9177,C9153,C9129,C9105,C9081,C9057,C9033)/POBLA!$B$8*100000</f>
        <v>167.89794229419152</v>
      </c>
      <c r="H9345" s="518">
        <f t="shared" si="805"/>
        <v>1.3728613569321535</v>
      </c>
      <c r="I9345" s="310">
        <f t="shared" si="806"/>
        <v>230.50059688412017</v>
      </c>
      <c r="J9345" s="310">
        <f t="shared" si="807"/>
        <v>162.71428571428572</v>
      </c>
      <c r="K9345" s="310">
        <f>J9345/POBLA!$B$8*100000</f>
        <v>11.7401778054567</v>
      </c>
    </row>
    <row r="9346" spans="1:11" s="393" customFormat="1" x14ac:dyDescent="0.25">
      <c r="A9346" s="402" t="s">
        <v>41</v>
      </c>
      <c r="B9346" s="269">
        <v>44282</v>
      </c>
      <c r="C9346" s="17">
        <v>32</v>
      </c>
      <c r="D9346" s="39">
        <f t="shared" si="803"/>
        <v>1947</v>
      </c>
      <c r="E9346" s="1">
        <v>2</v>
      </c>
      <c r="F9346" s="39">
        <f t="shared" si="804"/>
        <v>30</v>
      </c>
      <c r="G9346" s="436">
        <f>SUM(C9346,C9322,C9298,C9274,C9250,C9226,C9202,C9178,C9154,C9130,C9106,C9082,C9058,C9034)/POBLA!$B$9*100000</f>
        <v>70.225531359417573</v>
      </c>
      <c r="H9346" s="441">
        <f t="shared" si="805"/>
        <v>1.4072847682119205</v>
      </c>
      <c r="I9346" s="445">
        <f t="shared" si="806"/>
        <v>98.827320621696913</v>
      </c>
      <c r="J9346" s="310">
        <f t="shared" si="807"/>
        <v>36.857142857142854</v>
      </c>
      <c r="K9346" s="445">
        <f>J9346/POBLA!$B$9*100000</f>
        <v>6.0901469212536918</v>
      </c>
    </row>
    <row r="9347" spans="1:11" s="393" customFormat="1" x14ac:dyDescent="0.25">
      <c r="A9347" s="402" t="s">
        <v>32</v>
      </c>
      <c r="B9347" s="269">
        <v>44282</v>
      </c>
      <c r="C9347" s="17">
        <v>41</v>
      </c>
      <c r="D9347" s="39">
        <f t="shared" si="803"/>
        <v>22249</v>
      </c>
      <c r="E9347" s="1">
        <v>3</v>
      </c>
      <c r="F9347" s="39">
        <f t="shared" si="804"/>
        <v>958</v>
      </c>
      <c r="G9347" s="436">
        <f>SUM(C9347,C9323,C9299,C9275,C9251,C9227,C9203,C9179,C9155,C9131,C9107,C9083,C9059,C9035)/POBLA!$B$10*100000</f>
        <v>82.632728008603152</v>
      </c>
      <c r="H9347" s="441">
        <f t="shared" si="805"/>
        <v>0.67407407407407405</v>
      </c>
      <c r="I9347" s="445">
        <f t="shared" si="806"/>
        <v>55.700579620613972</v>
      </c>
      <c r="J9347" s="310">
        <f t="shared" si="807"/>
        <v>39.428571428571431</v>
      </c>
      <c r="K9347" s="445">
        <f>J9347/POBLA!$B$10*100000</f>
        <v>5.114741630494386</v>
      </c>
    </row>
    <row r="9348" spans="1:11" s="393" customFormat="1" x14ac:dyDescent="0.25">
      <c r="A9348" s="402" t="s">
        <v>33</v>
      </c>
      <c r="B9348" s="269">
        <v>44282</v>
      </c>
      <c r="C9348" s="17">
        <v>106</v>
      </c>
      <c r="D9348" s="39">
        <f t="shared" si="803"/>
        <v>21010</v>
      </c>
      <c r="E9348" s="1"/>
      <c r="F9348" s="39">
        <f t="shared" si="804"/>
        <v>315</v>
      </c>
      <c r="G9348" s="436">
        <f>SUM(C9348,C9324,C9300,C9276,C9252,C9228,C9204,C9180,C9156,C9132,C9108,C9084,C9060,C9036)/POBLA!$B$11*100000</f>
        <v>333.95828450902275</v>
      </c>
      <c r="H9348" s="441">
        <f t="shared" si="805"/>
        <v>1.023076923076923</v>
      </c>
      <c r="I9348" s="445">
        <f t="shared" si="806"/>
        <v>341.66501415153863</v>
      </c>
      <c r="J9348" s="310">
        <f t="shared" si="807"/>
        <v>81</v>
      </c>
      <c r="K9348" s="445">
        <f>J9348/POBLA!$B$11*100000</f>
        <v>22.598680906625599</v>
      </c>
    </row>
    <row r="9349" spans="1:11" s="393" customFormat="1" x14ac:dyDescent="0.25">
      <c r="A9349" s="402" t="s">
        <v>21</v>
      </c>
      <c r="B9349" s="269">
        <v>44282</v>
      </c>
      <c r="C9349" s="17">
        <v>30</v>
      </c>
      <c r="D9349" s="39">
        <f t="shared" si="803"/>
        <v>10855</v>
      </c>
      <c r="E9349" s="1"/>
      <c r="F9349" s="39">
        <f t="shared" si="804"/>
        <v>448</v>
      </c>
      <c r="G9349" s="436">
        <f>SUM(C9349,C9325,C9301,C9277,C9253,C9229,C9205,C9181,C9157,C9133,C9109,C9085,C9061,C9037)/POBLA!$B$12*100000</f>
        <v>88.938355555216745</v>
      </c>
      <c r="H9349" s="441">
        <f t="shared" si="805"/>
        <v>1.0574018126888218</v>
      </c>
      <c r="I9349" s="445">
        <f t="shared" si="806"/>
        <v>94.043578381649127</v>
      </c>
      <c r="J9349" s="310">
        <f t="shared" si="807"/>
        <v>26</v>
      </c>
      <c r="K9349" s="445">
        <f>J9349/POBLA!$B$12*100000</f>
        <v>6.6068492698161005</v>
      </c>
    </row>
    <row r="9350" spans="1:11" s="393" customFormat="1" x14ac:dyDescent="0.25">
      <c r="A9350" s="402" t="s">
        <v>17</v>
      </c>
      <c r="B9350" s="269">
        <v>44282</v>
      </c>
      <c r="C9350" s="17">
        <v>208</v>
      </c>
      <c r="D9350" s="39">
        <f t="shared" si="803"/>
        <v>71726</v>
      </c>
      <c r="E9350" s="1"/>
      <c r="F9350" s="39">
        <f t="shared" si="804"/>
        <v>1498</v>
      </c>
      <c r="G9350" s="436">
        <f>SUM(C9350,C9326,C9302,C9278,C9254,C9230,C9206,C9182,C9158,C9134,C9110,C9086,C9062,C9038)/POBLA!$B$13*100000</f>
        <v>121.48690322950173</v>
      </c>
      <c r="H9350" s="441">
        <f t="shared" si="805"/>
        <v>1.138954309938766</v>
      </c>
      <c r="I9350" s="445">
        <f t="shared" si="806"/>
        <v>138.3680320343548</v>
      </c>
      <c r="J9350" s="310">
        <f t="shared" si="807"/>
        <v>192.57142857142858</v>
      </c>
      <c r="K9350" s="445">
        <f>J9350/POBLA!$B$13*100000</f>
        <v>9.6753128650223523</v>
      </c>
    </row>
    <row r="9351" spans="1:11" s="393" customFormat="1" x14ac:dyDescent="0.25">
      <c r="A9351" s="402" t="s">
        <v>23</v>
      </c>
      <c r="B9351" s="269">
        <v>44282</v>
      </c>
      <c r="C9351" s="17">
        <v>119</v>
      </c>
      <c r="D9351" s="39">
        <f t="shared" si="803"/>
        <v>11556</v>
      </c>
      <c r="E9351" s="1">
        <v>2</v>
      </c>
      <c r="F9351" s="39">
        <f t="shared" si="804"/>
        <v>196</v>
      </c>
      <c r="G9351" s="436">
        <f>SUM(C9351,C9327,C9303,C9279,C9255,C9231,C9207,C9183,C9159,C9135,C9111,C9087,C9063,C9039)/POBLA!$B$14*100000</f>
        <v>135.4164849749543</v>
      </c>
      <c r="H9351" s="441">
        <f t="shared" si="805"/>
        <v>1.037037037037037</v>
      </c>
      <c r="I9351" s="445">
        <f t="shared" si="806"/>
        <v>140.43191034439704</v>
      </c>
      <c r="J9351" s="310">
        <f t="shared" si="807"/>
        <v>126</v>
      </c>
      <c r="K9351" s="445">
        <f>J9351/POBLA!$B$14*100000</f>
        <v>9.989740694873678</v>
      </c>
    </row>
    <row r="9352" spans="1:11" s="393" customFormat="1" x14ac:dyDescent="0.25">
      <c r="A9352" s="402" t="s">
        <v>19</v>
      </c>
      <c r="B9352" s="269">
        <v>44282</v>
      </c>
      <c r="C9352" s="17">
        <v>101</v>
      </c>
      <c r="D9352" s="39">
        <f t="shared" si="803"/>
        <v>64799</v>
      </c>
      <c r="E9352" s="1"/>
      <c r="F9352" s="39">
        <f t="shared" si="804"/>
        <v>1003</v>
      </c>
      <c r="G9352" s="436">
        <f>SUM(C9352,C9328,C9304,C9280,C9256,C9232,C9208,C9184,C9160,C9136,C9112,C9088,C9064,C9040)/POBLA!$B$15*100000</f>
        <v>249.82795151621022</v>
      </c>
      <c r="H9352" s="441">
        <f t="shared" si="805"/>
        <v>0.8120411160058737</v>
      </c>
      <c r="I9352" s="445">
        <f t="shared" si="806"/>
        <v>202.87056855868465</v>
      </c>
      <c r="J9352" s="310">
        <f t="shared" si="807"/>
        <v>114.57142857142857</v>
      </c>
      <c r="K9352" s="445">
        <f>J9352/POBLA!$B$15*100000</f>
        <v>17.253252141221093</v>
      </c>
    </row>
    <row r="9353" spans="1:11" s="393" customFormat="1" x14ac:dyDescent="0.25">
      <c r="A9353" s="402" t="s">
        <v>18</v>
      </c>
      <c r="B9353" s="269">
        <v>44282</v>
      </c>
      <c r="C9353" s="17">
        <v>76</v>
      </c>
      <c r="D9353" s="39">
        <f t="shared" si="803"/>
        <v>54985</v>
      </c>
      <c r="E9353" s="1">
        <v>3</v>
      </c>
      <c r="F9353" s="39">
        <f t="shared" si="804"/>
        <v>1272</v>
      </c>
      <c r="G9353" s="436">
        <f>SUM(C9353,C9329,C9305,C9281,C9257,C9233,C9209,C9185,C9161,C9137,C9113,C9089,C9065,C9041)/POBLA!$B$16*100000</f>
        <v>165.193081954495</v>
      </c>
      <c r="H9353" s="441">
        <f t="shared" si="805"/>
        <v>0.83445945945945943</v>
      </c>
      <c r="I9353" s="445">
        <f t="shared" si="806"/>
        <v>137.84692987419007</v>
      </c>
      <c r="J9353" s="310">
        <f t="shared" si="807"/>
        <v>86.714285714285708</v>
      </c>
      <c r="K9353" s="445">
        <f>J9353/POBLA!$B$16*100000</f>
        <v>11.598866483097565</v>
      </c>
    </row>
    <row r="9354" spans="1:11" s="393" customFormat="1" x14ac:dyDescent="0.25">
      <c r="A9354" s="402" t="s">
        <v>34</v>
      </c>
      <c r="B9354" s="269">
        <v>44282</v>
      </c>
      <c r="C9354" s="17">
        <v>102</v>
      </c>
      <c r="D9354" s="39">
        <f t="shared" si="803"/>
        <v>28924</v>
      </c>
      <c r="E9354" s="1">
        <v>1</v>
      </c>
      <c r="F9354" s="39">
        <f t="shared" si="804"/>
        <v>1198</v>
      </c>
      <c r="G9354" s="436">
        <f>SUM(C9354,C9330,C9306,C9282,C9258,C9234,C9210,C9186,C9162,C9138,C9114,C9090,C9066,C9042)/POBLA!$B$17*100000</f>
        <v>93.513255082677091</v>
      </c>
      <c r="H9354" s="441">
        <f t="shared" si="805"/>
        <v>0.86888454011741678</v>
      </c>
      <c r="I9354" s="445">
        <f t="shared" si="806"/>
        <v>81.25222163739457</v>
      </c>
      <c r="J9354" s="310">
        <f t="shared" si="807"/>
        <v>94.285714285714292</v>
      </c>
      <c r="K9354" s="445">
        <f>J9354/POBLA!$B$17*100000</f>
        <v>6.6193423803696785</v>
      </c>
    </row>
    <row r="9355" spans="1:11" s="393" customFormat="1" x14ac:dyDescent="0.25">
      <c r="A9355" s="402" t="s">
        <v>35</v>
      </c>
      <c r="B9355" s="269">
        <v>44282</v>
      </c>
      <c r="C9355" s="17">
        <v>32</v>
      </c>
      <c r="D9355" s="39">
        <f t="shared" si="803"/>
        <v>16804</v>
      </c>
      <c r="E9355" s="1"/>
      <c r="F9355" s="39">
        <f t="shared" si="804"/>
        <v>223</v>
      </c>
      <c r="G9355" s="436">
        <f>SUM(C9355,C9331,C9307,C9283,C9259,C9235,C9211,C9187,C9163,C9139,C9115,C9091,C9067,C9043)/POBLA!$B$18*100000</f>
        <v>119.55705008979578</v>
      </c>
      <c r="H9355" s="441">
        <f t="shared" si="805"/>
        <v>1.4801901743264658</v>
      </c>
      <c r="I9355" s="445">
        <f t="shared" si="806"/>
        <v>176.96717081437282</v>
      </c>
      <c r="J9355" s="310">
        <f t="shared" si="807"/>
        <v>70.428571428571431</v>
      </c>
      <c r="K9355" s="445">
        <f>J9355/POBLA!$B$18*100000</f>
        <v>9.0152379465080035</v>
      </c>
    </row>
    <row r="9356" spans="1:11" s="393" customFormat="1" x14ac:dyDescent="0.25">
      <c r="A9356" s="402" t="s">
        <v>36</v>
      </c>
      <c r="B9356" s="269">
        <v>44282</v>
      </c>
      <c r="C9356" s="17">
        <v>84</v>
      </c>
      <c r="D9356" s="39">
        <f t="shared" si="803"/>
        <v>22146</v>
      </c>
      <c r="E9356" s="1"/>
      <c r="F9356" s="39">
        <f t="shared" si="804"/>
        <v>402</v>
      </c>
      <c r="G9356" s="436">
        <f>SUM(C9356,C9332,C9308,C9284,C9260,C9236,C9212,C9188,C9164,C9140,C9116,C9092,C9068,C9044)/POBLA!$B$19*100000</f>
        <v>123.93572653877024</v>
      </c>
      <c r="H9356" s="441">
        <f t="shared" si="805"/>
        <v>0.84677419354838712</v>
      </c>
      <c r="I9356" s="445">
        <f t="shared" si="806"/>
        <v>104.94557489170062</v>
      </c>
      <c r="J9356" s="310">
        <f t="shared" si="807"/>
        <v>84.857142857142861</v>
      </c>
      <c r="K9356" s="445">
        <f>J9356/POBLA!$B$19*100000</f>
        <v>16.693383574609872</v>
      </c>
    </row>
    <row r="9357" spans="1:11" s="393" customFormat="1" x14ac:dyDescent="0.25">
      <c r="A9357" s="402" t="s">
        <v>37</v>
      </c>
      <c r="B9357" s="269">
        <v>44282</v>
      </c>
      <c r="C9357" s="17">
        <v>144</v>
      </c>
      <c r="D9357" s="39">
        <f t="shared" si="803"/>
        <v>38854</v>
      </c>
      <c r="E9357" s="1">
        <v>1</v>
      </c>
      <c r="F9357" s="39">
        <f t="shared" si="804"/>
        <v>637</v>
      </c>
      <c r="G9357" s="436">
        <f>SUM(C9357,C9333,C9309,C9285,C9261,C9237,C9213,C9189,C9165,C9141,C9117,C9093,C9069,C9045)/POBLA!$B$20*100000</f>
        <v>418.37800589557509</v>
      </c>
      <c r="H9357" s="441">
        <f t="shared" si="805"/>
        <v>1.0714285714285714</v>
      </c>
      <c r="I9357" s="445">
        <f t="shared" si="806"/>
        <v>448.26214917383044</v>
      </c>
      <c r="J9357" s="310">
        <f t="shared" si="807"/>
        <v>101.42857142857143</v>
      </c>
      <c r="K9357" s="445">
        <f>J9357/POBLA!$B$20*100000</f>
        <v>27.73561010138733</v>
      </c>
    </row>
    <row r="9358" spans="1:11" s="393" customFormat="1" x14ac:dyDescent="0.25">
      <c r="A9358" s="402" t="s">
        <v>22</v>
      </c>
      <c r="B9358" s="269">
        <v>44282</v>
      </c>
      <c r="C9358" s="17">
        <v>686</v>
      </c>
      <c r="D9358" s="39">
        <f t="shared" si="803"/>
        <v>228923</v>
      </c>
      <c r="E9358" s="1">
        <v>8</v>
      </c>
      <c r="F9358" s="39">
        <f t="shared" si="804"/>
        <v>4245</v>
      </c>
      <c r="G9358" s="436">
        <f>SUM(C9358,C9334,C9310,C9286,C9262,C9238,C9214,C9190,C9166,C9142,C9118,C9094,C9070,C9046)/POBLA!$B$21*100000</f>
        <v>192.2566845887562</v>
      </c>
      <c r="H9358" s="441">
        <f t="shared" si="805"/>
        <v>1.1758906952611554</v>
      </c>
      <c r="I9358" s="445">
        <f t="shared" si="806"/>
        <v>226.07284650967719</v>
      </c>
      <c r="J9358" s="310">
        <f t="shared" si="807"/>
        <v>526.71428571428567</v>
      </c>
      <c r="K9358" s="445">
        <f>J9358/POBLA!$B$21*100000</f>
        <v>14.894005338573823</v>
      </c>
    </row>
    <row r="9359" spans="1:11" s="393" customFormat="1" x14ac:dyDescent="0.25">
      <c r="A9359" s="402" t="s">
        <v>38</v>
      </c>
      <c r="B9359" s="269">
        <v>44282</v>
      </c>
      <c r="C9359" s="17">
        <v>130</v>
      </c>
      <c r="D9359" s="39">
        <f t="shared" si="803"/>
        <v>24702</v>
      </c>
      <c r="E9359" s="1">
        <v>1</v>
      </c>
      <c r="F9359" s="39">
        <f t="shared" si="804"/>
        <v>289</v>
      </c>
      <c r="G9359" s="436">
        <f>SUM(C9359,C9335,C9311,C9287,C9263,C9239,C9215,C9191,C9167,C9143,C9119,C9095,C9071,C9047)/POBLA!$B$22*100000</f>
        <v>134.92614326907645</v>
      </c>
      <c r="H9359" s="441">
        <f t="shared" si="805"/>
        <v>1.6216216216216217</v>
      </c>
      <c r="I9359" s="445">
        <f t="shared" si="806"/>
        <v>218.799151247151</v>
      </c>
      <c r="J9359" s="310">
        <f t="shared" si="807"/>
        <v>95.428571428571431</v>
      </c>
      <c r="K9359" s="445">
        <f>J9359/POBLA!$B$22*100000</f>
        <v>9.7544008337384298</v>
      </c>
    </row>
    <row r="9360" spans="1:11" s="393" customFormat="1" x14ac:dyDescent="0.25">
      <c r="A9360" s="402" t="s">
        <v>39</v>
      </c>
      <c r="B9360" s="269">
        <v>44282</v>
      </c>
      <c r="C9360" s="17">
        <v>42</v>
      </c>
      <c r="D9360" s="39">
        <f t="shared" si="803"/>
        <v>23860</v>
      </c>
      <c r="E9360" s="1">
        <v>1</v>
      </c>
      <c r="F9360" s="39">
        <f t="shared" si="804"/>
        <v>365</v>
      </c>
      <c r="G9360" s="436">
        <f>SUM(C9360,C9336,C9312,C9288,C9264,C9240,C9216,C9192,C9168,C9144,C9120,C9096,C9072,C9048)/POBLA!$B$23*100000</f>
        <v>300.28841259967197</v>
      </c>
      <c r="H9360" s="441">
        <f t="shared" si="805"/>
        <v>1.3409090909090908</v>
      </c>
      <c r="I9360" s="445">
        <f t="shared" si="806"/>
        <v>402.6594623495601</v>
      </c>
      <c r="J9360" s="310">
        <f t="shared" si="807"/>
        <v>42.428571428571431</v>
      </c>
      <c r="K9360" s="445">
        <f>J9360/POBLA!$B$23*100000</f>
        <v>23.993989384477427</v>
      </c>
    </row>
    <row r="9361" spans="1:11" s="393" customFormat="1" ht="15.75" thickBot="1" x14ac:dyDescent="0.3">
      <c r="A9361" s="404" t="s">
        <v>40</v>
      </c>
      <c r="B9361" s="269">
        <v>44282</v>
      </c>
      <c r="C9361" s="17">
        <v>245</v>
      </c>
      <c r="D9361" s="177">
        <f t="shared" si="803"/>
        <v>86135</v>
      </c>
      <c r="E9361" s="1">
        <v>1</v>
      </c>
      <c r="F9361" s="177">
        <f t="shared" si="804"/>
        <v>1501</v>
      </c>
      <c r="G9361" s="439">
        <f>SUM(C9361,C9337,C9313,C9289,C9265,C9241,C9217,C9193,C9169,C9145,C9121,C9097,C9073,C9049)/POBLA!$B$24*100000</f>
        <v>241.22889837229502</v>
      </c>
      <c r="H9361" s="442">
        <f t="shared" si="805"/>
        <v>1.7514995715509853</v>
      </c>
      <c r="I9361" s="445">
        <f t="shared" si="806"/>
        <v>422.51231214479094</v>
      </c>
      <c r="J9361" s="310">
        <f t="shared" si="807"/>
        <v>320.42857142857144</v>
      </c>
      <c r="K9361" s="445">
        <f>J9361/POBLA!$B$24*100000</f>
        <v>18.908177909178704</v>
      </c>
    </row>
    <row r="9362" spans="1:11" s="393" customFormat="1" x14ac:dyDescent="0.25">
      <c r="A9362" s="397" t="s">
        <v>16</v>
      </c>
      <c r="B9362" s="269">
        <v>44283</v>
      </c>
      <c r="C9362" s="17">
        <v>3257</v>
      </c>
      <c r="D9362" s="175">
        <f t="shared" si="803"/>
        <v>968108</v>
      </c>
      <c r="E9362" s="1">
        <v>72</v>
      </c>
      <c r="F9362" s="175">
        <f t="shared" si="804"/>
        <v>27979</v>
      </c>
      <c r="G9362" s="410">
        <f>SUM(C9362,C9338,C9314,C9290,C9266,C9242,C9218,C9194,C9170,C9146,C9122,C9098,C9074,C9050)/POBLA!$B$1*100000</f>
        <v>289.6504851081238</v>
      </c>
      <c r="H9362" s="440">
        <f t="shared" si="805"/>
        <v>1.3551329581521885</v>
      </c>
      <c r="I9362" s="445">
        <f>G9362*H9362</f>
        <v>392.51491871478822</v>
      </c>
      <c r="J9362" s="310">
        <f>AVERAGE(C9362,C9338,C9314,C9290,C9266,C9242,C9218)</f>
        <v>4125.1428571428569</v>
      </c>
      <c r="K9362" s="445">
        <f>J9362/POBLA!$B$1*100000</f>
        <v>23.516958544161163</v>
      </c>
    </row>
    <row r="9363" spans="1:11" s="393" customFormat="1" x14ac:dyDescent="0.25">
      <c r="A9363" s="402" t="s">
        <v>43</v>
      </c>
      <c r="B9363" s="269">
        <v>44283</v>
      </c>
      <c r="C9363" s="17">
        <v>1044</v>
      </c>
      <c r="D9363" s="39">
        <f t="shared" si="803"/>
        <v>256505</v>
      </c>
      <c r="E9363" s="1"/>
      <c r="F9363" s="39">
        <f t="shared" si="804"/>
        <v>6844</v>
      </c>
      <c r="G9363" s="436">
        <f>SUM(C9363,C9339,C9315,C9291,C9267,C9243,C9219,C9195,C9171,C9147,C9123,C9099,C9075,C9051)/POBLA!$B$2*100000</f>
        <v>473.03883476837058</v>
      </c>
      <c r="H9363" s="441">
        <f t="shared" si="805"/>
        <v>1.4456478537360891</v>
      </c>
      <c r="I9363" s="445">
        <f t="shared" ref="I9363:I9385" si="808">G9363*H9363</f>
        <v>683.84757621671542</v>
      </c>
      <c r="J9363" s="310">
        <f t="shared" ref="J9363:J9385" si="809">AVERAGE(C9363,C9339,C9315,C9291,C9267,C9243,C9219)</f>
        <v>1186</v>
      </c>
      <c r="K9363" s="445">
        <f>J9363/POBLA!$B$2*100000</f>
        <v>38.561004745019417</v>
      </c>
    </row>
    <row r="9364" spans="1:11" s="393" customFormat="1" x14ac:dyDescent="0.25">
      <c r="A9364" s="402" t="s">
        <v>28</v>
      </c>
      <c r="B9364" s="269">
        <v>44283</v>
      </c>
      <c r="C9364" s="17">
        <v>80</v>
      </c>
      <c r="D9364" s="39">
        <f t="shared" si="803"/>
        <v>10226</v>
      </c>
      <c r="E9364" s="1"/>
      <c r="F9364" s="39">
        <f t="shared" si="804"/>
        <v>18</v>
      </c>
      <c r="G9364" s="436">
        <f>SUM(C9364,C9340,C9316,C9292,C9268,C9244,C9220,C9196,C9172,C9148,C9124,C9100,C9076,C9052)/POBLA!$B$3*100000</f>
        <v>288.37034647769343</v>
      </c>
      <c r="H9364" s="441">
        <f t="shared" si="805"/>
        <v>1.0472027972027973</v>
      </c>
      <c r="I9364" s="445">
        <f t="shared" si="808"/>
        <v>301.98223346178037</v>
      </c>
      <c r="J9364" s="310">
        <f t="shared" si="809"/>
        <v>75.142857142857139</v>
      </c>
      <c r="K9364" s="445">
        <f>J9364/POBLA!$B$3*100000</f>
        <v>18.087622495500444</v>
      </c>
    </row>
    <row r="9365" spans="1:11" s="393" customFormat="1" x14ac:dyDescent="0.25">
      <c r="A9365" s="402" t="s">
        <v>15</v>
      </c>
      <c r="B9365" s="269">
        <v>44283</v>
      </c>
      <c r="C9365" s="17">
        <v>95</v>
      </c>
      <c r="D9365" s="39">
        <f t="shared" si="803"/>
        <v>37983</v>
      </c>
      <c r="E9365" s="1">
        <v>1</v>
      </c>
      <c r="F9365" s="39">
        <f t="shared" si="804"/>
        <v>918</v>
      </c>
      <c r="G9365" s="436">
        <f>SUM(C9365,C9341,C9317,C9293,C9269,C9245,C9221,C9197,C9173,C9149,C9125,C9101,C9077,C9053)/POBLA!$B$4*100000</f>
        <v>169.4421360501635</v>
      </c>
      <c r="H9365" s="441">
        <f t="shared" si="805"/>
        <v>1.1345191773207337</v>
      </c>
      <c r="I9365" s="445">
        <f t="shared" si="808"/>
        <v>192.23535279509932</v>
      </c>
      <c r="J9365" s="310">
        <f t="shared" si="809"/>
        <v>145.85714285714286</v>
      </c>
      <c r="K9365" s="445">
        <f>J9365/POBLA!$B$4*100000</f>
        <v>12.108939658935883</v>
      </c>
    </row>
    <row r="9366" spans="1:11" s="393" customFormat="1" x14ac:dyDescent="0.25">
      <c r="A9366" s="402" t="s">
        <v>29</v>
      </c>
      <c r="B9366" s="269">
        <v>44283</v>
      </c>
      <c r="C9366" s="17">
        <v>70</v>
      </c>
      <c r="D9366" s="39">
        <f t="shared" si="803"/>
        <v>49562</v>
      </c>
      <c r="E9366" s="1"/>
      <c r="F9366" s="39">
        <f t="shared" si="804"/>
        <v>854</v>
      </c>
      <c r="G9366" s="436">
        <f>SUM(C9366,C9342,C9318,C9294,C9270,C9246,C9222,C9198,C9174,C9150,C9126,C9102,C9078,C9054)/POBLA!$B$5*100000</f>
        <v>231.66621970487597</v>
      </c>
      <c r="H9366" s="441">
        <f t="shared" si="805"/>
        <v>1.1592562651576395</v>
      </c>
      <c r="I9366" s="445">
        <f t="shared" si="808"/>
        <v>268.56051661826365</v>
      </c>
      <c r="J9366" s="310">
        <f t="shared" si="809"/>
        <v>116.42857142857143</v>
      </c>
      <c r="K9366" s="445">
        <f>J9366/POBLA!$B$5*100000</f>
        <v>18.809321484307024</v>
      </c>
    </row>
    <row r="9367" spans="1:11" s="393" customFormat="1" x14ac:dyDescent="0.25">
      <c r="A9367" s="402" t="s">
        <v>30</v>
      </c>
      <c r="B9367" s="269">
        <v>44283</v>
      </c>
      <c r="C9367" s="17">
        <v>476</v>
      </c>
      <c r="D9367" s="39">
        <f t="shared" si="803"/>
        <v>28387</v>
      </c>
      <c r="E9367" s="1"/>
      <c r="F9367" s="39">
        <f t="shared" si="804"/>
        <v>325</v>
      </c>
      <c r="G9367" s="436">
        <f>SUM(C9367,C9343,C9319,C9295,C9271,C9247,C9223,C9199,C9175,C9151,C9127,C9103,C9079,C9055)/POBLA!$B$6*100000</f>
        <v>305.76346737734889</v>
      </c>
      <c r="H9367" s="441">
        <f t="shared" si="805"/>
        <v>1.1040592783505154</v>
      </c>
      <c r="I9367" s="445">
        <f t="shared" si="808"/>
        <v>337.58099313858719</v>
      </c>
      <c r="J9367" s="310">
        <f t="shared" si="809"/>
        <v>274.28571428571428</v>
      </c>
      <c r="K9367" s="445">
        <f>J9367/POBLA!$B$6*100000</f>
        <v>24.472293858206257</v>
      </c>
    </row>
    <row r="9368" spans="1:11" s="393" customFormat="1" x14ac:dyDescent="0.25">
      <c r="A9368" s="402" t="s">
        <v>20</v>
      </c>
      <c r="B9368" s="269">
        <v>44283</v>
      </c>
      <c r="C9368" s="17">
        <v>443</v>
      </c>
      <c r="D9368" s="39">
        <f t="shared" si="803"/>
        <v>177471</v>
      </c>
      <c r="E9368" s="1">
        <v>1</v>
      </c>
      <c r="F9368" s="39">
        <f t="shared" si="804"/>
        <v>3009</v>
      </c>
      <c r="G9368" s="436">
        <f>SUM(C9368,C9344,C9320,C9296,C9272,C9248,C9224,C9200,C9176,C9152,C9128,C9104,C9080,C9056)/POBLA!$B$7*100000</f>
        <v>255.07585528327729</v>
      </c>
      <c r="H9368" s="444">
        <f t="shared" si="805"/>
        <v>1.1988501437320336</v>
      </c>
      <c r="I9368" s="445">
        <f t="shared" si="808"/>
        <v>305.79772576892839</v>
      </c>
      <c r="J9368" s="310">
        <f t="shared" si="809"/>
        <v>753.14285714285711</v>
      </c>
      <c r="K9368" s="445">
        <f>J9368/POBLA!$B$7*100000</f>
        <v>20.027998168912156</v>
      </c>
    </row>
    <row r="9369" spans="1:11" x14ac:dyDescent="0.25">
      <c r="A9369" s="402" t="s">
        <v>31</v>
      </c>
      <c r="B9369" s="269">
        <v>44283</v>
      </c>
      <c r="C9369" s="17">
        <v>83</v>
      </c>
      <c r="D9369" s="39">
        <f t="shared" si="803"/>
        <v>49220</v>
      </c>
      <c r="F9369" s="39">
        <f t="shared" si="804"/>
        <v>941</v>
      </c>
      <c r="G9369" s="169">
        <f>SUM(C9369,C9345,C9321,C9297,C9273,C9249,C9225,C9201,C9177,C9153,C9129,C9105,C9081,C9057)/POBLA!$B$8*100000</f>
        <v>169.4131364446763</v>
      </c>
      <c r="H9369" s="518">
        <f t="shared" si="805"/>
        <v>1.3771260997067449</v>
      </c>
      <c r="I9369" s="310">
        <f t="shared" si="808"/>
        <v>233.30325183114368</v>
      </c>
      <c r="J9369" s="310">
        <f t="shared" si="809"/>
        <v>156.42857142857142</v>
      </c>
      <c r="K9369" s="310">
        <f>J9369/POBLA!$B$8*100000</f>
        <v>11.28665030463133</v>
      </c>
    </row>
    <row r="9370" spans="1:11" s="393" customFormat="1" x14ac:dyDescent="0.25">
      <c r="A9370" s="402" t="s">
        <v>41</v>
      </c>
      <c r="B9370" s="269">
        <v>44283</v>
      </c>
      <c r="C9370" s="17">
        <v>32</v>
      </c>
      <c r="D9370" s="39">
        <f t="shared" si="803"/>
        <v>1979</v>
      </c>
      <c r="E9370" s="1"/>
      <c r="F9370" s="39">
        <f t="shared" si="804"/>
        <v>30</v>
      </c>
      <c r="G9370" s="436">
        <f>SUM(C9370,C9346,C9322,C9298,C9274,C9250,C9226,C9202,C9178,C9154,C9130,C9106,C9082,C9058)/POBLA!$B$9*100000</f>
        <v>68.077456282541263</v>
      </c>
      <c r="H9370" s="441">
        <f t="shared" si="805"/>
        <v>1.1907514450867052</v>
      </c>
      <c r="I9370" s="445">
        <f t="shared" si="808"/>
        <v>81.063329446262998</v>
      </c>
      <c r="J9370" s="310">
        <f t="shared" si="809"/>
        <v>40.571428571428569</v>
      </c>
      <c r="K9370" s="445">
        <f>J9370/POBLA!$B$9*100000</f>
        <v>6.7038826575040638</v>
      </c>
    </row>
    <row r="9371" spans="1:11" s="393" customFormat="1" x14ac:dyDescent="0.25">
      <c r="A9371" s="402" t="s">
        <v>32</v>
      </c>
      <c r="B9371" s="269">
        <v>44283</v>
      </c>
      <c r="C9371" s="17">
        <v>47</v>
      </c>
      <c r="D9371" s="39">
        <f t="shared" si="803"/>
        <v>22296</v>
      </c>
      <c r="E9371" s="1">
        <v>4</v>
      </c>
      <c r="F9371" s="39">
        <f t="shared" si="804"/>
        <v>962</v>
      </c>
      <c r="G9371" s="436">
        <f>SUM(C9371,C9347,C9323,C9299,C9275,C9251,C9227,C9203,C9179,C9155,C9131,C9107,C9083,C9059)/POBLA!$B$10*100000</f>
        <v>79.778850432167872</v>
      </c>
      <c r="H9371" s="441">
        <f t="shared" si="805"/>
        <v>0.66200215285252961</v>
      </c>
      <c r="I9371" s="445">
        <f t="shared" si="808"/>
        <v>52.813770738195096</v>
      </c>
      <c r="J9371" s="310">
        <f t="shared" si="809"/>
        <v>38.857142857142854</v>
      </c>
      <c r="K9371" s="445">
        <f>J9371/POBLA!$B$10*100000</f>
        <v>5.040614940197365</v>
      </c>
    </row>
    <row r="9372" spans="1:11" s="393" customFormat="1" x14ac:dyDescent="0.25">
      <c r="A9372" s="402" t="s">
        <v>33</v>
      </c>
      <c r="B9372" s="269">
        <v>44283</v>
      </c>
      <c r="C9372" s="17">
        <v>46</v>
      </c>
      <c r="D9372" s="39">
        <f t="shared" si="803"/>
        <v>21056</v>
      </c>
      <c r="E9372" s="1"/>
      <c r="F9372" s="39">
        <f t="shared" si="804"/>
        <v>315</v>
      </c>
      <c r="G9372" s="436">
        <f>SUM(C9372,C9348,C9324,C9300,C9276,C9252,C9228,C9204,C9180,C9156,C9132,C9108,C9084,C9060)/POBLA!$B$11*100000</f>
        <v>339.25920965995959</v>
      </c>
      <c r="H9372" s="441">
        <f t="shared" si="805"/>
        <v>1.057391304347826</v>
      </c>
      <c r="I9372" s="445">
        <f t="shared" si="808"/>
        <v>358.72973821435727</v>
      </c>
      <c r="J9372" s="310">
        <f t="shared" si="809"/>
        <v>81</v>
      </c>
      <c r="K9372" s="445">
        <f>J9372/POBLA!$B$11*100000</f>
        <v>22.598680906625599</v>
      </c>
    </row>
    <row r="9373" spans="1:11" s="393" customFormat="1" x14ac:dyDescent="0.25">
      <c r="A9373" s="402" t="s">
        <v>21</v>
      </c>
      <c r="B9373" s="269">
        <v>44283</v>
      </c>
      <c r="C9373" s="17">
        <v>47</v>
      </c>
      <c r="D9373" s="39">
        <f t="shared" si="803"/>
        <v>10902</v>
      </c>
      <c r="E9373" s="1"/>
      <c r="F9373" s="39">
        <f t="shared" si="804"/>
        <v>448</v>
      </c>
      <c r="G9373" s="436">
        <f>SUM(C9373,C9349,C9325,C9301,C9277,C9253,C9229,C9205,C9181,C9157,C9133,C9109,C9085,C9061)/POBLA!$B$12*100000</f>
        <v>93.258218539327274</v>
      </c>
      <c r="H9373" s="441">
        <f t="shared" si="805"/>
        <v>1.180064308681672</v>
      </c>
      <c r="I9373" s="445">
        <f t="shared" si="808"/>
        <v>110.05069518949553</v>
      </c>
      <c r="J9373" s="310">
        <f t="shared" si="809"/>
        <v>29.714285714285715</v>
      </c>
      <c r="K9373" s="445">
        <f>J9373/POBLA!$B$12*100000</f>
        <v>7.5506848797898289</v>
      </c>
    </row>
    <row r="9374" spans="1:11" s="393" customFormat="1" x14ac:dyDescent="0.25">
      <c r="A9374" s="402" t="s">
        <v>17</v>
      </c>
      <c r="B9374" s="269">
        <v>44283</v>
      </c>
      <c r="C9374" s="17">
        <v>116</v>
      </c>
      <c r="D9374" s="39">
        <f t="shared" si="803"/>
        <v>71842</v>
      </c>
      <c r="E9374" s="1"/>
      <c r="F9374" s="39">
        <f t="shared" si="804"/>
        <v>1498</v>
      </c>
      <c r="G9374" s="436">
        <f>SUM(C9374,C9350,C9326,C9302,C9278,C9254,C9230,C9206,C9182,C9158,C9134,C9110,C9086,C9062)/POBLA!$B$13*100000</f>
        <v>124.3004956947011</v>
      </c>
      <c r="H9374" s="441">
        <f t="shared" si="805"/>
        <v>1.1604127579737336</v>
      </c>
      <c r="I9374" s="445">
        <f t="shared" si="808"/>
        <v>144.2398810265903</v>
      </c>
      <c r="J9374" s="310">
        <f t="shared" si="809"/>
        <v>198.71428571428572</v>
      </c>
      <c r="K9374" s="445">
        <f>J9374/POBLA!$B$13*100000</f>
        <v>9.9839467323784064</v>
      </c>
    </row>
    <row r="9375" spans="1:11" s="393" customFormat="1" x14ac:dyDescent="0.25">
      <c r="A9375" s="402" t="s">
        <v>23</v>
      </c>
      <c r="B9375" s="269">
        <v>44283</v>
      </c>
      <c r="C9375" s="17">
        <v>142</v>
      </c>
      <c r="D9375" s="39">
        <f t="shared" si="803"/>
        <v>11698</v>
      </c>
      <c r="E9375" s="1"/>
      <c r="F9375" s="39">
        <f t="shared" si="804"/>
        <v>196</v>
      </c>
      <c r="G9375" s="436">
        <f>SUM(C9375,C9351,C9327,C9303,C9279,C9255,C9231,C9207,C9183,C9159,C9135,C9111,C9087,C9063)/POBLA!$B$14*100000</f>
        <v>137.00215810112473</v>
      </c>
      <c r="H9375" s="441">
        <f t="shared" si="805"/>
        <v>1.0188679245283019</v>
      </c>
      <c r="I9375" s="445">
        <f t="shared" si="808"/>
        <v>139.58710448039125</v>
      </c>
      <c r="J9375" s="310">
        <f t="shared" si="809"/>
        <v>129</v>
      </c>
      <c r="K9375" s="445">
        <f>J9375/POBLA!$B$14*100000</f>
        <v>10.227591663799242</v>
      </c>
    </row>
    <row r="9376" spans="1:11" s="393" customFormat="1" x14ac:dyDescent="0.25">
      <c r="A9376" s="402" t="s">
        <v>19</v>
      </c>
      <c r="B9376" s="269">
        <v>44283</v>
      </c>
      <c r="C9376" s="17">
        <v>72</v>
      </c>
      <c r="D9376" s="39">
        <f t="shared" si="803"/>
        <v>64871</v>
      </c>
      <c r="E9376" s="1">
        <v>1</v>
      </c>
      <c r="F9376" s="39">
        <f t="shared" si="804"/>
        <v>1004</v>
      </c>
      <c r="G9376" s="436">
        <f>SUM(C9376,C9352,C9328,C9304,C9280,C9256,C9232,C9208,C9184,C9160,C9136,C9112,C9088,C9064)/POBLA!$B$15*100000</f>
        <v>249.82795151621022</v>
      </c>
      <c r="H9376" s="441">
        <f t="shared" si="805"/>
        <v>0.81483300589390961</v>
      </c>
      <c r="I9376" s="445">
        <f t="shared" si="808"/>
        <v>203.56806069027149</v>
      </c>
      <c r="J9376" s="310">
        <f t="shared" si="809"/>
        <v>116.28571428571429</v>
      </c>
      <c r="K9376" s="445">
        <f>J9376/POBLA!$B$15*100000</f>
        <v>17.511405539842858</v>
      </c>
    </row>
    <row r="9377" spans="1:11" s="393" customFormat="1" x14ac:dyDescent="0.25">
      <c r="A9377" s="402" t="s">
        <v>18</v>
      </c>
      <c r="B9377" s="269">
        <v>44283</v>
      </c>
      <c r="C9377" s="17">
        <v>45</v>
      </c>
      <c r="D9377" s="39">
        <f t="shared" si="803"/>
        <v>55030</v>
      </c>
      <c r="E9377" s="1">
        <v>2</v>
      </c>
      <c r="F9377" s="39">
        <f t="shared" si="804"/>
        <v>1274</v>
      </c>
      <c r="G9377" s="436">
        <f>SUM(C9377,C9353,C9329,C9305,C9281,C9257,C9233,C9209,C9185,C9161,C9137,C9113,C9089,C9065)/POBLA!$B$16*100000</f>
        <v>166.26315859873463</v>
      </c>
      <c r="H9377" s="441">
        <f t="shared" si="805"/>
        <v>0.85078713210130053</v>
      </c>
      <c r="I9377" s="445">
        <f t="shared" si="808"/>
        <v>141.45455587832112</v>
      </c>
      <c r="J9377" s="310">
        <f t="shared" si="809"/>
        <v>89.857142857142861</v>
      </c>
      <c r="K9377" s="445">
        <f>J9377/POBLA!$B$16*100000</f>
        <v>12.019253736191713</v>
      </c>
    </row>
    <row r="9378" spans="1:11" s="393" customFormat="1" x14ac:dyDescent="0.25">
      <c r="A9378" s="402" t="s">
        <v>34</v>
      </c>
      <c r="B9378" s="269">
        <v>44283</v>
      </c>
      <c r="C9378" s="17">
        <v>54</v>
      </c>
      <c r="D9378" s="39">
        <f t="shared" si="803"/>
        <v>28978</v>
      </c>
      <c r="E9378" s="1"/>
      <c r="F9378" s="39">
        <f t="shared" si="804"/>
        <v>1198</v>
      </c>
      <c r="G9378" s="436">
        <f>SUM(C9378,C9354,C9330,C9306,C9282,C9258,C9234,C9210,C9186,C9162,C9138,C9114,C9090,C9066)/POBLA!$B$17*100000</f>
        <v>94.84715286538794</v>
      </c>
      <c r="H9378" s="441">
        <f t="shared" si="805"/>
        <v>0.90915208613728127</v>
      </c>
      <c r="I9378" s="445">
        <f t="shared" si="808"/>
        <v>86.230486891749067</v>
      </c>
      <c r="J9378" s="310">
        <f t="shared" si="809"/>
        <v>96</v>
      </c>
      <c r="K9378" s="445">
        <f>J9378/POBLA!$B$17*100000</f>
        <v>6.7396940600127628</v>
      </c>
    </row>
    <row r="9379" spans="1:11" s="393" customFormat="1" x14ac:dyDescent="0.25">
      <c r="A9379" s="402" t="s">
        <v>35</v>
      </c>
      <c r="B9379" s="269">
        <v>44283</v>
      </c>
      <c r="C9379" s="17">
        <v>22</v>
      </c>
      <c r="D9379" s="39">
        <f t="shared" si="803"/>
        <v>16826</v>
      </c>
      <c r="E9379" s="1"/>
      <c r="F9379" s="39">
        <f t="shared" si="804"/>
        <v>223</v>
      </c>
      <c r="G9379" s="436">
        <f>SUM(C9379,C9355,C9331,C9307,C9283,C9259,C9235,C9211,C9187,C9163,C9139,C9115,C9091,C9067)/POBLA!$B$18*100000</f>
        <v>121.86114741486681</v>
      </c>
      <c r="H9379" s="441">
        <f t="shared" si="805"/>
        <v>1.5111111111111111</v>
      </c>
      <c r="I9379" s="445">
        <f t="shared" si="808"/>
        <v>184.14573387135428</v>
      </c>
      <c r="J9379" s="310">
        <f t="shared" si="809"/>
        <v>73</v>
      </c>
      <c r="K9379" s="445">
        <f>J9379/POBLA!$B$18*100000</f>
        <v>9.3443947072324338</v>
      </c>
    </row>
    <row r="9380" spans="1:11" s="393" customFormat="1" x14ac:dyDescent="0.25">
      <c r="A9380" s="402" t="s">
        <v>36</v>
      </c>
      <c r="B9380" s="269">
        <v>44283</v>
      </c>
      <c r="C9380" s="17">
        <v>203</v>
      </c>
      <c r="D9380" s="39">
        <f t="shared" si="803"/>
        <v>22349</v>
      </c>
      <c r="E9380" s="1"/>
      <c r="F9380" s="39">
        <f t="shared" si="804"/>
        <v>402</v>
      </c>
      <c r="G9380" s="436">
        <f>SUM(C9380,C9356,C9332,C9308,C9284,C9260,C9236,C9212,C9188,C9164,C9140,C9116,C9092,C9068)/POBLA!$B$19*100000</f>
        <v>163.47712500590171</v>
      </c>
      <c r="H9380" s="441">
        <f t="shared" si="805"/>
        <v>1.1154362416107382</v>
      </c>
      <c r="I9380" s="445">
        <f t="shared" si="808"/>
        <v>182.34830990591183</v>
      </c>
      <c r="J9380" s="310">
        <f t="shared" si="809"/>
        <v>113.85714285714286</v>
      </c>
      <c r="K9380" s="445">
        <f>J9380/POBLA!$B$19*100000</f>
        <v>22.398361462902468</v>
      </c>
    </row>
    <row r="9381" spans="1:11" s="393" customFormat="1" x14ac:dyDescent="0.25">
      <c r="A9381" s="402" t="s">
        <v>37</v>
      </c>
      <c r="B9381" s="269">
        <v>44283</v>
      </c>
      <c r="C9381" s="17">
        <v>100</v>
      </c>
      <c r="D9381" s="39">
        <f t="shared" si="803"/>
        <v>38954</v>
      </c>
      <c r="E9381" s="1"/>
      <c r="F9381" s="39">
        <f t="shared" si="804"/>
        <v>637</v>
      </c>
      <c r="G9381" s="436">
        <f>SUM(C9381,C9357,C9333,C9309,C9285,C9261,C9237,C9213,C9189,C9165,C9141,C9117,C9093,C9069)/POBLA!$B$20*100000</f>
        <v>429.04254330075634</v>
      </c>
      <c r="H9381" s="441">
        <f t="shared" si="805"/>
        <v>1.0790921595598348</v>
      </c>
      <c r="I9381" s="445">
        <f t="shared" si="808"/>
        <v>462.97644459345713</v>
      </c>
      <c r="J9381" s="310">
        <f t="shared" si="809"/>
        <v>109.14285714285714</v>
      </c>
      <c r="K9381" s="445">
        <f>J9381/POBLA!$B$20*100000</f>
        <v>29.845079038675941</v>
      </c>
    </row>
    <row r="9382" spans="1:11" s="393" customFormat="1" x14ac:dyDescent="0.25">
      <c r="A9382" s="402" t="s">
        <v>22</v>
      </c>
      <c r="B9382" s="269">
        <v>44283</v>
      </c>
      <c r="C9382" s="17">
        <v>234</v>
      </c>
      <c r="D9382" s="39">
        <f t="shared" si="803"/>
        <v>229157</v>
      </c>
      <c r="E9382" s="1"/>
      <c r="F9382" s="39">
        <f t="shared" si="804"/>
        <v>4245</v>
      </c>
      <c r="G9382" s="436">
        <f>SUM(C9382,C9358,C9334,C9310,C9286,C9262,C9238,C9214,C9190,C9166,C9142,C9118,C9094,C9070)/POBLA!$B$21*100000</f>
        <v>193.50088140033219</v>
      </c>
      <c r="H9382" s="441">
        <f t="shared" si="805"/>
        <v>1.1699435800991622</v>
      </c>
      <c r="I9382" s="445">
        <f t="shared" si="808"/>
        <v>226.38511393784802</v>
      </c>
      <c r="J9382" s="310">
        <f t="shared" si="809"/>
        <v>525.42857142857144</v>
      </c>
      <c r="K9382" s="445">
        <f>J9382/POBLA!$B$21*100000</f>
        <v>14.857648938235567</v>
      </c>
    </row>
    <row r="9383" spans="1:11" s="393" customFormat="1" x14ac:dyDescent="0.25">
      <c r="A9383" s="402" t="s">
        <v>38</v>
      </c>
      <c r="B9383" s="269">
        <v>44283</v>
      </c>
      <c r="C9383" s="17">
        <v>136</v>
      </c>
      <c r="D9383" s="39">
        <f t="shared" si="803"/>
        <v>24838</v>
      </c>
      <c r="E9383" s="1"/>
      <c r="F9383" s="39">
        <f t="shared" si="804"/>
        <v>289</v>
      </c>
      <c r="G9383" s="436">
        <f>SUM(C9383,C9359,C9335,C9311,C9287,C9263,C9239,C9215,C9191,C9167,C9143,C9119,C9095,C9071)/POBLA!$B$22*100000</f>
        <v>140.85471623089953</v>
      </c>
      <c r="H9383" s="441">
        <f t="shared" si="805"/>
        <v>1.7182044887780548</v>
      </c>
      <c r="I9383" s="445">
        <f t="shared" si="808"/>
        <v>242.01720569349069</v>
      </c>
      <c r="J9383" s="310">
        <f t="shared" si="809"/>
        <v>104.85714285714286</v>
      </c>
      <c r="K9383" s="445">
        <f>J9383/POBLA!$B$22*100000</f>
        <v>10.718158999946118</v>
      </c>
    </row>
    <row r="9384" spans="1:11" s="393" customFormat="1" x14ac:dyDescent="0.25">
      <c r="A9384" s="402" t="s">
        <v>39</v>
      </c>
      <c r="B9384" s="269">
        <v>44283</v>
      </c>
      <c r="C9384" s="17">
        <v>71</v>
      </c>
      <c r="D9384" s="39">
        <f t="shared" si="803"/>
        <v>23931</v>
      </c>
      <c r="E9384" s="1"/>
      <c r="F9384" s="39">
        <f t="shared" si="804"/>
        <v>365</v>
      </c>
      <c r="G9384" s="436">
        <f>SUM(C9384,C9360,C9336,C9312,C9288,C9264,C9240,C9216,C9192,C9168,C9144,C9120,C9096,C9072)/POBLA!$B$23*100000</f>
        <v>321.21246394842507</v>
      </c>
      <c r="H9384" s="441">
        <f t="shared" si="805"/>
        <v>1.3396226415094339</v>
      </c>
      <c r="I9384" s="445">
        <f t="shared" si="808"/>
        <v>430.30348944034301</v>
      </c>
      <c r="J9384" s="310">
        <f t="shared" si="809"/>
        <v>49.285714285714285</v>
      </c>
      <c r="K9384" s="445">
        <f>J9384/POBLA!$B$23*100000</f>
        <v>27.871805850655594</v>
      </c>
    </row>
    <row r="9385" spans="1:11" s="393" customFormat="1" ht="15.75" thickBot="1" x14ac:dyDescent="0.3">
      <c r="A9385" s="403" t="s">
        <v>40</v>
      </c>
      <c r="B9385" s="270">
        <v>44283</v>
      </c>
      <c r="C9385" s="17">
        <v>293</v>
      </c>
      <c r="D9385" s="67">
        <f t="shared" si="803"/>
        <v>86428</v>
      </c>
      <c r="E9385" s="234"/>
      <c r="F9385" s="67">
        <f t="shared" si="804"/>
        <v>1501</v>
      </c>
      <c r="G9385" s="446">
        <f>SUM(C9385,C9361,C9337,C9313,C9289,C9265,C9241,C9217,C9193,C9169,C9145,C9121,C9097,C9073)/POBLA!$B$24*100000</f>
        <v>252.08655916008914</v>
      </c>
      <c r="H9385" s="447">
        <f t="shared" si="805"/>
        <v>1.810936837643069</v>
      </c>
      <c r="I9385" s="445">
        <f t="shared" si="808"/>
        <v>456.51283625769423</v>
      </c>
      <c r="J9385" s="310">
        <f t="shared" si="809"/>
        <v>347.14285714285717</v>
      </c>
      <c r="K9385" s="445">
        <f>J9385/POBLA!$B$24*100000</f>
        <v>20.484561890015268</v>
      </c>
    </row>
    <row r="9386" spans="1:11" s="393" customFormat="1" x14ac:dyDescent="0.25">
      <c r="A9386" s="397" t="s">
        <v>16</v>
      </c>
      <c r="B9386" s="267">
        <v>44284</v>
      </c>
      <c r="C9386" s="287">
        <v>6456</v>
      </c>
      <c r="D9386" s="175">
        <f t="shared" si="803"/>
        <v>974564</v>
      </c>
      <c r="E9386" s="43">
        <v>77</v>
      </c>
      <c r="F9386" s="175">
        <f t="shared" si="804"/>
        <v>28056</v>
      </c>
      <c r="G9386" s="410">
        <f>SUM(C9386,C9362,C9338,C9314,C9290,C9266,C9242,C9218,C9194,C9170,C9146,C9122,C9098,C9074)/POBLA!$B$1*100000</f>
        <v>311.57608276451344</v>
      </c>
      <c r="H9386" s="440">
        <f t="shared" si="805"/>
        <v>1.4345258405732433</v>
      </c>
      <c r="I9386" s="445">
        <f>G9386*H9386</f>
        <v>446.96394203028206</v>
      </c>
      <c r="J9386" s="310">
        <f>AVERAGE(C9386,C9362,C9338,C9314,C9290,C9266,C9242)</f>
        <v>4672.1428571428569</v>
      </c>
      <c r="K9386" s="445">
        <f>J9386/POBLA!$B$1*100000</f>
        <v>26.635341778182259</v>
      </c>
    </row>
    <row r="9387" spans="1:11" s="393" customFormat="1" x14ac:dyDescent="0.25">
      <c r="A9387" s="402" t="s">
        <v>43</v>
      </c>
      <c r="B9387" s="269">
        <v>44284</v>
      </c>
      <c r="C9387" s="252">
        <v>2109</v>
      </c>
      <c r="D9387" s="39">
        <f t="shared" si="803"/>
        <v>258614</v>
      </c>
      <c r="E9387" s="1">
        <v>9</v>
      </c>
      <c r="F9387" s="39">
        <f t="shared" si="804"/>
        <v>6853</v>
      </c>
      <c r="G9387" s="436">
        <f>SUM(C9387,C9363,C9339,C9315,C9291,C9267,C9243,C9219,C9195,C9171,C9147,C9123,C9099,C9075)/POBLA!$B$2*100000</f>
        <v>506.30013987305438</v>
      </c>
      <c r="H9387" s="441">
        <f t="shared" si="805"/>
        <v>1.4528830005598059</v>
      </c>
      <c r="I9387" s="445">
        <f t="shared" ref="I9387:I9409" si="810">G9387*H9387</f>
        <v>735.59486640261264</v>
      </c>
      <c r="J9387" s="310">
        <f t="shared" ref="J9387:J9409" si="811">AVERAGE(C9387,C9363,C9339,C9315,C9291,C9267,C9243)</f>
        <v>1359.4285714285713</v>
      </c>
      <c r="K9387" s="445">
        <f>J9387/POBLA!$B$2*100000</f>
        <v>44.199773687497569</v>
      </c>
    </row>
    <row r="9388" spans="1:11" s="393" customFormat="1" x14ac:dyDescent="0.25">
      <c r="A9388" s="402" t="s">
        <v>28</v>
      </c>
      <c r="B9388" s="269">
        <v>44284</v>
      </c>
      <c r="C9388" s="252">
        <v>84</v>
      </c>
      <c r="D9388" s="39">
        <f t="shared" si="803"/>
        <v>10310</v>
      </c>
      <c r="E9388" s="1"/>
      <c r="F9388" s="39">
        <f t="shared" si="804"/>
        <v>18</v>
      </c>
      <c r="G9388" s="436">
        <f>SUM(C9388,C9364,C9340,C9316,C9292,C9268,C9244,C9220,C9196,C9172,C9148,C9124,C9100,C9076)/POBLA!$B$3*100000</f>
        <v>286.68537784218103</v>
      </c>
      <c r="H9388" s="441">
        <f t="shared" si="805"/>
        <v>1.1017576318223867</v>
      </c>
      <c r="I9388" s="445">
        <f t="shared" si="810"/>
        <v>315.85780296950753</v>
      </c>
      <c r="J9388" s="310">
        <f t="shared" si="811"/>
        <v>78.428571428571431</v>
      </c>
      <c r="K9388" s="445">
        <f>J9388/POBLA!$B$3*100000</f>
        <v>18.878526140740959</v>
      </c>
    </row>
    <row r="9389" spans="1:11" s="393" customFormat="1" x14ac:dyDescent="0.25">
      <c r="A9389" s="402" t="s">
        <v>15</v>
      </c>
      <c r="B9389" s="269">
        <v>44284</v>
      </c>
      <c r="C9389" s="252">
        <v>238</v>
      </c>
      <c r="D9389" s="39">
        <f t="shared" si="803"/>
        <v>38221</v>
      </c>
      <c r="E9389" s="1">
        <v>5</v>
      </c>
      <c r="F9389" s="39">
        <f t="shared" si="804"/>
        <v>923</v>
      </c>
      <c r="G9389" s="436">
        <f>SUM(C9389,C9365,C9341,C9317,C9293,C9269,C9245,C9221,C9197,C9173,C9149,C9125,C9101,C9077)/POBLA!$B$4*100000</f>
        <v>179.23839869294611</v>
      </c>
      <c r="H9389" s="441">
        <f t="shared" si="805"/>
        <v>1.1701897018970189</v>
      </c>
      <c r="I9389" s="445">
        <f t="shared" si="810"/>
        <v>209.74292833499763</v>
      </c>
      <c r="J9389" s="310">
        <f t="shared" si="811"/>
        <v>165.85714285714286</v>
      </c>
      <c r="K9389" s="445">
        <f>J9389/POBLA!$B$4*100000</f>
        <v>13.769323157712595</v>
      </c>
    </row>
    <row r="9390" spans="1:11" s="393" customFormat="1" x14ac:dyDescent="0.25">
      <c r="A9390" s="402" t="s">
        <v>29</v>
      </c>
      <c r="B9390" s="269">
        <v>44284</v>
      </c>
      <c r="C9390" s="252">
        <v>204</v>
      </c>
      <c r="D9390" s="39">
        <f t="shared" si="803"/>
        <v>49766</v>
      </c>
      <c r="E9390" s="1">
        <v>10</v>
      </c>
      <c r="F9390" s="39">
        <f t="shared" si="804"/>
        <v>864</v>
      </c>
      <c r="G9390" s="436">
        <f>SUM(C9390,C9366,C9342,C9318,C9294,C9270,C9246,C9222,C9198,C9174,C9150,C9126,C9102,C9078)/POBLA!$B$5*100000</f>
        <v>244.75196851665766</v>
      </c>
      <c r="H9390" s="441">
        <f t="shared" si="805"/>
        <v>1.2188254223652453</v>
      </c>
      <c r="I9390" s="445">
        <f t="shared" si="810"/>
        <v>298.30992140204046</v>
      </c>
      <c r="J9390" s="310">
        <f t="shared" si="811"/>
        <v>129.14285714285714</v>
      </c>
      <c r="K9390" s="445">
        <f>J9390/POBLA!$B$5*100000</f>
        <v>20.863345548237486</v>
      </c>
    </row>
    <row r="9391" spans="1:11" s="393" customFormat="1" x14ac:dyDescent="0.25">
      <c r="A9391" s="402" t="s">
        <v>30</v>
      </c>
      <c r="B9391" s="269">
        <v>44284</v>
      </c>
      <c r="C9391" s="252">
        <v>492</v>
      </c>
      <c r="D9391" s="39">
        <f t="shared" si="803"/>
        <v>28879</v>
      </c>
      <c r="E9391" s="1"/>
      <c r="F9391" s="39">
        <f t="shared" si="804"/>
        <v>325</v>
      </c>
      <c r="G9391" s="436">
        <f>SUM(C9391,C9367,C9343,C9319,C9295,C9271,C9247,C9223,C9199,C9175,C9151,C9127,C9103,C9079)/POBLA!$B$6*100000</f>
        <v>343.50433306180133</v>
      </c>
      <c r="H9391" s="441">
        <f t="shared" si="805"/>
        <v>1.25</v>
      </c>
      <c r="I9391" s="445">
        <f t="shared" si="810"/>
        <v>429.38041632725168</v>
      </c>
      <c r="J9391" s="310">
        <f t="shared" si="811"/>
        <v>319</v>
      </c>
      <c r="K9391" s="445">
        <f>J9391/POBLA!$B$6*100000</f>
        <v>28.461787596549254</v>
      </c>
    </row>
    <row r="9392" spans="1:11" s="393" customFormat="1" x14ac:dyDescent="0.25">
      <c r="A9392" s="402" t="s">
        <v>20</v>
      </c>
      <c r="B9392" s="269">
        <v>44284</v>
      </c>
      <c r="C9392" s="252">
        <v>1076</v>
      </c>
      <c r="D9392" s="39">
        <f t="shared" si="803"/>
        <v>178547</v>
      </c>
      <c r="E9392" s="1">
        <v>7</v>
      </c>
      <c r="F9392" s="39">
        <f t="shared" si="804"/>
        <v>3016</v>
      </c>
      <c r="G9392" s="436">
        <f>SUM(C9392,C9368,C9344,C9320,C9296,C9272,C9248,C9224,C9200,C9176,C9152,C9128,C9104,C9080)/POBLA!$B$7*100000</f>
        <v>273.50450079112875</v>
      </c>
      <c r="H9392" s="441">
        <f t="shared" si="805"/>
        <v>1.2870729570767112</v>
      </c>
      <c r="I9392" s="445">
        <f t="shared" si="810"/>
        <v>352.02024660702779</v>
      </c>
      <c r="J9392" s="310">
        <f t="shared" si="811"/>
        <v>819.42857142857144</v>
      </c>
      <c r="K9392" s="445">
        <f>J9392/POBLA!$B$7*100000</f>
        <v>21.790705139772406</v>
      </c>
    </row>
    <row r="9393" spans="1:11" x14ac:dyDescent="0.25">
      <c r="A9393" s="402" t="s">
        <v>31</v>
      </c>
      <c r="B9393" s="269">
        <v>44284</v>
      </c>
      <c r="C9393" s="252">
        <v>215</v>
      </c>
      <c r="D9393" s="39">
        <f t="shared" si="803"/>
        <v>49435</v>
      </c>
      <c r="E9393" s="1">
        <v>3</v>
      </c>
      <c r="F9393" s="39">
        <f t="shared" si="804"/>
        <v>944</v>
      </c>
      <c r="G9393" s="169">
        <f>SUM(C9393,C9369,C9345,C9321,C9297,C9273,C9249,C9225,C9201,C9177,C9153,C9129,C9105,C9081)/POBLA!$B$8*100000</f>
        <v>176.19543407065566</v>
      </c>
      <c r="H9393" s="518">
        <f t="shared" si="805"/>
        <v>1.4083044982698962</v>
      </c>
      <c r="I9393" s="310">
        <f t="shared" si="810"/>
        <v>248.13682237632131</v>
      </c>
      <c r="J9393" s="310">
        <f t="shared" si="811"/>
        <v>162.42857142857142</v>
      </c>
      <c r="K9393" s="310">
        <f>J9393/POBLA!$B$8*100000</f>
        <v>11.719562919055544</v>
      </c>
    </row>
    <row r="9394" spans="1:11" s="393" customFormat="1" x14ac:dyDescent="0.25">
      <c r="A9394" s="402" t="s">
        <v>41</v>
      </c>
      <c r="B9394" s="269">
        <v>44284</v>
      </c>
      <c r="C9394" s="252">
        <v>75</v>
      </c>
      <c r="D9394" s="39">
        <f t="shared" ref="D9394:D9457" si="812">C9394+D9370</f>
        <v>2054</v>
      </c>
      <c r="E9394" s="1"/>
      <c r="F9394" s="39">
        <f t="shared" ref="F9394:F9457" si="813">E9394+F9370</f>
        <v>30</v>
      </c>
      <c r="G9394" s="436">
        <f>SUM(C9394,C9370,C9346,C9322,C9298,C9274,C9250,C9226,C9202,C9178,C9154,C9130,C9106,C9082)/POBLA!$B$9*100000</f>
        <v>75.182627690670586</v>
      </c>
      <c r="H9394" s="441">
        <f t="shared" ref="H9394:H9457" si="814">SUM(C9394,C9370,C9346,C9322,C9298,C9274,C9250,C9226,C9202,C9178,C9154,C9130,C9106,C9082)/SUM(C9058,C9034,C9010,C8986,C8962,C8938,C8914,C8890,C8866,C8842,C8818,C8794,C8770,C8746)</f>
        <v>1.2780898876404494</v>
      </c>
      <c r="I9394" s="445">
        <f t="shared" si="810"/>
        <v>96.090156177682914</v>
      </c>
      <c r="J9394" s="310">
        <f t="shared" si="811"/>
        <v>48.142857142857146</v>
      </c>
      <c r="K9394" s="445">
        <f>J9394/POBLA!$B$9*100000</f>
        <v>7.9549593506298235</v>
      </c>
    </row>
    <row r="9395" spans="1:11" s="393" customFormat="1" x14ac:dyDescent="0.25">
      <c r="A9395" s="402" t="s">
        <v>32</v>
      </c>
      <c r="B9395" s="269">
        <v>44284</v>
      </c>
      <c r="C9395" s="252">
        <v>28</v>
      </c>
      <c r="D9395" s="39">
        <f t="shared" si="812"/>
        <v>22324</v>
      </c>
      <c r="E9395" s="1">
        <v>2</v>
      </c>
      <c r="F9395" s="39">
        <f t="shared" si="813"/>
        <v>964</v>
      </c>
      <c r="G9395" s="436">
        <f>SUM(C9395,C9371,C9347,C9323,C9299,C9275,C9251,C9227,C9203,C9179,C9155,C9131,C9107,C9083)/POBLA!$B$10*100000</f>
        <v>79.778850432167872</v>
      </c>
      <c r="H9395" s="441">
        <f t="shared" si="814"/>
        <v>0.67360350492880616</v>
      </c>
      <c r="I9395" s="445">
        <f t="shared" si="810"/>
        <v>53.739313270299277</v>
      </c>
      <c r="J9395" s="310">
        <f t="shared" si="811"/>
        <v>40.428571428571431</v>
      </c>
      <c r="K9395" s="445">
        <f>J9395/POBLA!$B$10*100000</f>
        <v>5.244463338514171</v>
      </c>
    </row>
    <row r="9396" spans="1:11" s="393" customFormat="1" x14ac:dyDescent="0.25">
      <c r="A9396" s="402" t="s">
        <v>33</v>
      </c>
      <c r="B9396" s="269">
        <v>44284</v>
      </c>
      <c r="C9396" s="252">
        <v>102</v>
      </c>
      <c r="D9396" s="39">
        <f t="shared" si="812"/>
        <v>21158</v>
      </c>
      <c r="E9396" s="1">
        <v>3</v>
      </c>
      <c r="F9396" s="39">
        <f t="shared" si="813"/>
        <v>318</v>
      </c>
      <c r="G9396" s="436">
        <f>SUM(C9396,C9372,C9348,C9324,C9300,C9276,C9252,C9228,C9204,C9180,C9156,C9132,C9108,C9084)/POBLA!$B$11*100000</f>
        <v>335.91125693305213</v>
      </c>
      <c r="H9396" s="441">
        <f t="shared" si="814"/>
        <v>1.0126156433978133</v>
      </c>
      <c r="I9396" s="445">
        <f t="shared" si="810"/>
        <v>340.14899356383074</v>
      </c>
      <c r="J9396" s="310">
        <f t="shared" si="811"/>
        <v>86</v>
      </c>
      <c r="K9396" s="445">
        <f>J9396/POBLA!$B$11*100000</f>
        <v>23.993661209503724</v>
      </c>
    </row>
    <row r="9397" spans="1:11" s="393" customFormat="1" x14ac:dyDescent="0.25">
      <c r="A9397" s="402" t="s">
        <v>21</v>
      </c>
      <c r="B9397" s="269">
        <v>44284</v>
      </c>
      <c r="C9397" s="252">
        <v>106</v>
      </c>
      <c r="D9397" s="39">
        <f t="shared" si="812"/>
        <v>11008</v>
      </c>
      <c r="E9397" s="1">
        <v>1</v>
      </c>
      <c r="F9397" s="39">
        <f t="shared" si="813"/>
        <v>449</v>
      </c>
      <c r="G9397" s="436">
        <f>SUM(C9397,C9373,C9349,C9325,C9301,C9277,C9253,C9229,C9205,C9181,C9157,C9133,C9109,C9085)/POBLA!$B$12*100000</f>
        <v>116.63630057098425</v>
      </c>
      <c r="H9397" s="441">
        <f t="shared" si="814"/>
        <v>1.4902597402597402</v>
      </c>
      <c r="I9397" s="445">
        <f t="shared" si="810"/>
        <v>173.81838299377196</v>
      </c>
      <c r="J9397" s="310">
        <f t="shared" si="811"/>
        <v>42.571428571428569</v>
      </c>
      <c r="K9397" s="445">
        <f>J9397/POBLA!$B$12*100000</f>
        <v>10.817808145083506</v>
      </c>
    </row>
    <row r="9398" spans="1:11" s="393" customFormat="1" x14ac:dyDescent="0.25">
      <c r="A9398" s="402" t="s">
        <v>17</v>
      </c>
      <c r="B9398" s="269">
        <v>44284</v>
      </c>
      <c r="C9398" s="252">
        <v>373</v>
      </c>
      <c r="D9398" s="39">
        <f t="shared" si="812"/>
        <v>72215</v>
      </c>
      <c r="E9398" s="1">
        <v>8</v>
      </c>
      <c r="F9398" s="39">
        <f t="shared" si="813"/>
        <v>1506</v>
      </c>
      <c r="G9398" s="436">
        <f>SUM(C9398,C9374,C9350,C9326,C9302,C9278,C9254,C9230,C9206,C9182,C9158,C9134,C9110,C9086)/POBLA!$B$13*100000</f>
        <v>136.76069089772693</v>
      </c>
      <c r="H9398" s="441">
        <f t="shared" si="814"/>
        <v>1.2607688744789254</v>
      </c>
      <c r="I9398" s="445">
        <f t="shared" si="810"/>
        <v>172.42362233608739</v>
      </c>
      <c r="J9398" s="310">
        <f t="shared" si="811"/>
        <v>234.42857142857142</v>
      </c>
      <c r="K9398" s="445">
        <f>J9398/POBLA!$B$13*100000</f>
        <v>11.778329682122907</v>
      </c>
    </row>
    <row r="9399" spans="1:11" s="393" customFormat="1" x14ac:dyDescent="0.25">
      <c r="A9399" s="402" t="s">
        <v>23</v>
      </c>
      <c r="B9399" s="269">
        <v>44284</v>
      </c>
      <c r="C9399" s="252">
        <v>126</v>
      </c>
      <c r="D9399" s="39">
        <f t="shared" si="812"/>
        <v>11824</v>
      </c>
      <c r="E9399" s="1">
        <v>4</v>
      </c>
      <c r="F9399" s="39">
        <f t="shared" si="813"/>
        <v>200</v>
      </c>
      <c r="G9399" s="436">
        <f>SUM(C9399,C9375,C9351,C9327,C9303,C9279,C9255,C9231,C9207,C9183,C9159,C9135,C9111,C9087)/POBLA!$B$14*100000</f>
        <v>137.63642735159289</v>
      </c>
      <c r="H9399" s="441">
        <f t="shared" si="814"/>
        <v>1.0163934426229508</v>
      </c>
      <c r="I9399" s="445">
        <f t="shared" si="810"/>
        <v>139.89276222620916</v>
      </c>
      <c r="J9399" s="310">
        <f t="shared" si="811"/>
        <v>131.71428571428572</v>
      </c>
      <c r="K9399" s="445">
        <f>J9399/POBLA!$B$14*100000</f>
        <v>10.4427901594938</v>
      </c>
    </row>
    <row r="9400" spans="1:11" s="393" customFormat="1" x14ac:dyDescent="0.25">
      <c r="A9400" s="402" t="s">
        <v>19</v>
      </c>
      <c r="B9400" s="269">
        <v>44284</v>
      </c>
      <c r="C9400" s="252">
        <v>121</v>
      </c>
      <c r="D9400" s="39">
        <f t="shared" si="812"/>
        <v>64992</v>
      </c>
      <c r="E9400" s="1">
        <v>2</v>
      </c>
      <c r="F9400" s="39">
        <f t="shared" si="813"/>
        <v>1006</v>
      </c>
      <c r="G9400" s="436">
        <f>SUM(C9400,C9376,C9352,C9328,C9304,C9280,C9256,C9232,C9208,C9184,C9160,C9136,C9112,C9088)/POBLA!$B$15*100000</f>
        <v>249.52677255115148</v>
      </c>
      <c r="H9400" s="441">
        <f t="shared" si="814"/>
        <v>0.82355864811133206</v>
      </c>
      <c r="I9400" s="445">
        <f t="shared" si="810"/>
        <v>205.49993146981015</v>
      </c>
      <c r="J9400" s="310">
        <f t="shared" si="811"/>
        <v>113.85714285714286</v>
      </c>
      <c r="K9400" s="445">
        <f>J9400/POBLA!$B$15*100000</f>
        <v>17.145688225128694</v>
      </c>
    </row>
    <row r="9401" spans="1:11" s="393" customFormat="1" x14ac:dyDescent="0.25">
      <c r="A9401" s="402" t="s">
        <v>18</v>
      </c>
      <c r="B9401" s="269">
        <v>44284</v>
      </c>
      <c r="C9401" s="252">
        <v>162</v>
      </c>
      <c r="D9401" s="39">
        <f t="shared" si="812"/>
        <v>55192</v>
      </c>
      <c r="E9401" s="1">
        <v>1</v>
      </c>
      <c r="F9401" s="39">
        <f t="shared" si="813"/>
        <v>1275</v>
      </c>
      <c r="G9401" s="436">
        <f>SUM(C9401,C9377,C9353,C9329,C9305,C9281,C9257,C9233,C9209,C9185,C9161,C9137,C9113,C9089)/POBLA!$B$16*100000</f>
        <v>175.35881007477161</v>
      </c>
      <c r="H9401" s="441">
        <f t="shared" si="814"/>
        <v>0.90789473684210531</v>
      </c>
      <c r="I9401" s="445">
        <f t="shared" si="810"/>
        <v>159.20734072577949</v>
      </c>
      <c r="J9401" s="310">
        <f t="shared" si="811"/>
        <v>98.714285714285708</v>
      </c>
      <c r="K9401" s="445">
        <f>J9401/POBLA!$B$16*100000</f>
        <v>13.203981449457032</v>
      </c>
    </row>
    <row r="9402" spans="1:11" s="393" customFormat="1" x14ac:dyDescent="0.25">
      <c r="A9402" s="402" t="s">
        <v>34</v>
      </c>
      <c r="B9402" s="269">
        <v>44284</v>
      </c>
      <c r="C9402" s="252">
        <v>147</v>
      </c>
      <c r="D9402" s="39">
        <f t="shared" si="812"/>
        <v>29125</v>
      </c>
      <c r="E9402" s="1">
        <v>5</v>
      </c>
      <c r="F9402" s="39">
        <f t="shared" si="813"/>
        <v>1203</v>
      </c>
      <c r="G9402" s="436">
        <f>SUM(C9402,C9378,C9354,C9330,C9306,C9282,C9258,C9234,C9210,C9186,C9162,C9138,C9114,C9090)/POBLA!$B$17*100000</f>
        <v>100.74438516789913</v>
      </c>
      <c r="H9402" s="441">
        <f t="shared" si="814"/>
        <v>0.9611520428667113</v>
      </c>
      <c r="I9402" s="445">
        <f t="shared" si="810"/>
        <v>96.830671611477058</v>
      </c>
      <c r="J9402" s="310">
        <f t="shared" si="811"/>
        <v>104.28571428571429</v>
      </c>
      <c r="K9402" s="445">
        <f>J9402/POBLA!$B$17*100000</f>
        <v>7.3213938449543408</v>
      </c>
    </row>
    <row r="9403" spans="1:11" s="393" customFormat="1" x14ac:dyDescent="0.25">
      <c r="A9403" s="402" t="s">
        <v>35</v>
      </c>
      <c r="B9403" s="269">
        <v>44284</v>
      </c>
      <c r="C9403" s="252">
        <v>158</v>
      </c>
      <c r="D9403" s="39">
        <f t="shared" si="812"/>
        <v>16984</v>
      </c>
      <c r="E9403" s="1"/>
      <c r="F9403" s="39">
        <f t="shared" si="813"/>
        <v>223</v>
      </c>
      <c r="G9403" s="436">
        <f>SUM(C9403,C9379,C9355,C9331,C9307,C9283,C9259,C9235,C9211,C9187,C9163,C9139,C9115,C9091)/POBLA!$B$18*100000</f>
        <v>133.25362863327348</v>
      </c>
      <c r="H9403" s="441">
        <f t="shared" si="814"/>
        <v>1.599078341013825</v>
      </c>
      <c r="I9403" s="445">
        <f t="shared" si="810"/>
        <v>213.08299140896727</v>
      </c>
      <c r="J9403" s="310">
        <f t="shared" si="811"/>
        <v>84.714285714285708</v>
      </c>
      <c r="K9403" s="445">
        <f>J9403/POBLA!$B$18*100000</f>
        <v>10.843886617199281</v>
      </c>
    </row>
    <row r="9404" spans="1:11" s="393" customFormat="1" x14ac:dyDescent="0.25">
      <c r="A9404" s="402" t="s">
        <v>36</v>
      </c>
      <c r="B9404" s="269">
        <v>44284</v>
      </c>
      <c r="C9404" s="252">
        <v>191</v>
      </c>
      <c r="D9404" s="39">
        <f t="shared" si="812"/>
        <v>22540</v>
      </c>
      <c r="E9404" s="1">
        <v>6</v>
      </c>
      <c r="F9404" s="39">
        <f t="shared" si="813"/>
        <v>408</v>
      </c>
      <c r="G9404" s="436">
        <f>SUM(C9404,C9380,C9356,C9332,C9308,C9284,C9260,C9236,C9212,C9188,C9164,C9140,C9116,C9092)/POBLA!$B$19*100000</f>
        <v>200.85456634299112</v>
      </c>
      <c r="H9404" s="441">
        <f t="shared" si="814"/>
        <v>1.3741588156123823</v>
      </c>
      <c r="I9404" s="445">
        <f t="shared" si="810"/>
        <v>276.00607299622334</v>
      </c>
      <c r="J9404" s="310">
        <f t="shared" si="811"/>
        <v>141</v>
      </c>
      <c r="K9404" s="445">
        <f>J9404/POBLA!$B$19*100000</f>
        <v>27.737995939629528</v>
      </c>
    </row>
    <row r="9405" spans="1:11" s="393" customFormat="1" x14ac:dyDescent="0.25">
      <c r="A9405" s="402" t="s">
        <v>37</v>
      </c>
      <c r="B9405" s="269">
        <v>44284</v>
      </c>
      <c r="C9405" s="252">
        <v>174</v>
      </c>
      <c r="D9405" s="39">
        <f t="shared" si="812"/>
        <v>39128</v>
      </c>
      <c r="E9405" s="1">
        <v>2</v>
      </c>
      <c r="F9405" s="39">
        <f t="shared" si="813"/>
        <v>639</v>
      </c>
      <c r="G9405" s="436">
        <f>SUM(C9405,C9381,C9357,C9333,C9309,C9285,C9261,C9237,C9213,C9189,C9165,C9141,C9117,C9093)/POBLA!$B$20*100000</f>
        <v>453.65301423579018</v>
      </c>
      <c r="H9405" s="441">
        <f t="shared" si="814"/>
        <v>1.1247457627118644</v>
      </c>
      <c r="I9405" s="445">
        <f t="shared" si="810"/>
        <v>510.2443055031701</v>
      </c>
      <c r="J9405" s="310">
        <f t="shared" si="811"/>
        <v>120</v>
      </c>
      <c r="K9405" s="445">
        <f>J9405/POBLA!$B$20*100000</f>
        <v>32.81396124671177</v>
      </c>
    </row>
    <row r="9406" spans="1:11" s="393" customFormat="1" x14ac:dyDescent="0.25">
      <c r="A9406" s="402" t="s">
        <v>22</v>
      </c>
      <c r="B9406" s="269">
        <v>44284</v>
      </c>
      <c r="C9406" s="252">
        <v>869</v>
      </c>
      <c r="D9406" s="39">
        <f t="shared" si="812"/>
        <v>230026</v>
      </c>
      <c r="E9406" s="1">
        <v>13</v>
      </c>
      <c r="F9406" s="39">
        <f t="shared" si="813"/>
        <v>4258</v>
      </c>
      <c r="G9406" s="436">
        <f>SUM(C9406,C9382,C9358,C9334,C9310,C9286,C9262,C9238,C9214,C9190,C9166,C9142,C9118,C9094)/POBLA!$B$21*100000</f>
        <v>208.65746074134901</v>
      </c>
      <c r="H9406" s="441">
        <f t="shared" si="814"/>
        <v>1.2574982958418541</v>
      </c>
      <c r="I9406" s="445">
        <f t="shared" si="810"/>
        <v>262.38640129693499</v>
      </c>
      <c r="J9406" s="310">
        <f t="shared" si="811"/>
        <v>587.28571428571433</v>
      </c>
      <c r="K9406" s="445">
        <f>J9406/POBLA!$B$21*100000</f>
        <v>16.60679575450963</v>
      </c>
    </row>
    <row r="9407" spans="1:11" s="393" customFormat="1" x14ac:dyDescent="0.25">
      <c r="A9407" s="402" t="s">
        <v>38</v>
      </c>
      <c r="B9407" s="269">
        <v>44284</v>
      </c>
      <c r="C9407" s="252">
        <v>93</v>
      </c>
      <c r="D9407" s="39">
        <f t="shared" si="812"/>
        <v>24931</v>
      </c>
      <c r="E9407" s="1">
        <v>3</v>
      </c>
      <c r="F9407" s="39">
        <f t="shared" si="813"/>
        <v>292</v>
      </c>
      <c r="G9407" s="436">
        <f>SUM(C9407,C9383,C9359,C9335,C9311,C9287,C9263,C9239,C9215,C9191,C9167,C9143,C9119,C9095)/POBLA!$B$22*100000</f>
        <v>143.10348528538412</v>
      </c>
      <c r="H9407" s="441">
        <f t="shared" si="814"/>
        <v>1.6686531585220501</v>
      </c>
      <c r="I9407" s="445">
        <f t="shared" si="810"/>
        <v>238.79008271696995</v>
      </c>
      <c r="J9407" s="310">
        <f t="shared" si="811"/>
        <v>107</v>
      </c>
      <c r="K9407" s="445">
        <f>J9407/POBLA!$B$22*100000</f>
        <v>10.9371949468115</v>
      </c>
    </row>
    <row r="9408" spans="1:11" s="393" customFormat="1" x14ac:dyDescent="0.25">
      <c r="A9408" s="402" t="s">
        <v>39</v>
      </c>
      <c r="B9408" s="269">
        <v>44284</v>
      </c>
      <c r="C9408" s="252">
        <v>54</v>
      </c>
      <c r="D9408" s="39">
        <f t="shared" si="812"/>
        <v>23985</v>
      </c>
      <c r="E9408" s="1">
        <v>2</v>
      </c>
      <c r="F9408" s="39">
        <f t="shared" si="813"/>
        <v>367</v>
      </c>
      <c r="G9408" s="436">
        <f>SUM(C9408,C9384,C9360,C9336,C9312,C9288,C9264,C9240,C9216,C9192,C9168,C9144,C9120,C9096)/POBLA!$B$23*100000</f>
        <v>331.95724707346039</v>
      </c>
      <c r="H9408" s="441">
        <f t="shared" si="814"/>
        <v>1.3747072599531616</v>
      </c>
      <c r="I9408" s="445">
        <f t="shared" si="810"/>
        <v>456.34403754595138</v>
      </c>
      <c r="J9408" s="310">
        <f t="shared" si="811"/>
        <v>52.142857142857146</v>
      </c>
      <c r="K9408" s="445">
        <f>J9408/POBLA!$B$23*100000</f>
        <v>29.487562711563168</v>
      </c>
    </row>
    <row r="9409" spans="1:11" s="393" customFormat="1" ht="15.75" thickBot="1" x14ac:dyDescent="0.3">
      <c r="A9409" s="404" t="s">
        <v>40</v>
      </c>
      <c r="B9409" s="271">
        <v>44284</v>
      </c>
      <c r="C9409" s="288">
        <v>361</v>
      </c>
      <c r="D9409" s="177">
        <f t="shared" si="812"/>
        <v>86789</v>
      </c>
      <c r="E9409" s="44"/>
      <c r="F9409" s="177">
        <f t="shared" si="813"/>
        <v>1501</v>
      </c>
      <c r="G9409" s="439">
        <f>SUM(C9409,C9385,C9361,C9337,C9313,C9289,C9265,C9241,C9217,C9193,C9169,C9145,C9121,C9097)/POBLA!$B$24*100000</f>
        <v>258.22349786623363</v>
      </c>
      <c r="H9409" s="442">
        <f t="shared" si="814"/>
        <v>1.7595496582227583</v>
      </c>
      <c r="I9409" s="445">
        <f t="shared" si="810"/>
        <v>454.35706741561654</v>
      </c>
      <c r="J9409" s="310">
        <f t="shared" si="811"/>
        <v>364.57142857142856</v>
      </c>
      <c r="K9409" s="445">
        <f>J9409/POBLA!$B$24*100000</f>
        <v>21.513004914946073</v>
      </c>
    </row>
    <row r="9410" spans="1:11" s="393" customFormat="1" ht="15.75" thickBot="1" x14ac:dyDescent="0.3">
      <c r="A9410" s="397" t="s">
        <v>16</v>
      </c>
      <c r="B9410" s="271">
        <v>44285</v>
      </c>
      <c r="C9410" s="17">
        <v>4940</v>
      </c>
      <c r="D9410" s="175">
        <f t="shared" si="812"/>
        <v>979504</v>
      </c>
      <c r="E9410" s="227">
        <v>78</v>
      </c>
      <c r="F9410" s="175">
        <f t="shared" si="813"/>
        <v>28134</v>
      </c>
      <c r="G9410" s="410">
        <f>SUM(C9410,C9386,C9362,C9338,C9314,C9290,C9266,C9242,C9218,C9194,C9170,C9146,C9122,C9098)/POBLA!$B$1*100000</f>
        <v>318.29172344033947</v>
      </c>
      <c r="H9410" s="440">
        <f t="shared" si="814"/>
        <v>1.4339797097726981</v>
      </c>
      <c r="I9410" s="445">
        <f>G9410*H9410</f>
        <v>456.42387320202988</v>
      </c>
      <c r="J9410" s="310">
        <f>AVERAGE(C9410,C9386,C9362,C9338,C9314,C9290,C9266)</f>
        <v>4752.5714285714284</v>
      </c>
      <c r="K9410" s="445">
        <f>J9410/POBLA!$B$1*100000</f>
        <v>27.093855688016127</v>
      </c>
    </row>
    <row r="9411" spans="1:11" s="393" customFormat="1" ht="15.75" thickBot="1" x14ac:dyDescent="0.3">
      <c r="A9411" s="402" t="s">
        <v>43</v>
      </c>
      <c r="B9411" s="271">
        <v>44285</v>
      </c>
      <c r="C9411" s="17">
        <v>1012</v>
      </c>
      <c r="D9411" s="39">
        <f t="shared" si="812"/>
        <v>259626</v>
      </c>
      <c r="E9411" s="1">
        <v>5</v>
      </c>
      <c r="F9411" s="39">
        <f t="shared" si="813"/>
        <v>6858</v>
      </c>
      <c r="G9411" s="436">
        <f>SUM(C9411,C9387,C9363,C9339,C9315,C9291,C9267,C9243,C9219,C9195,C9171,C9147,C9123,C9099)/POBLA!$B$2*100000</f>
        <v>507.76324713572365</v>
      </c>
      <c r="H9411" s="441">
        <f t="shared" si="814"/>
        <v>1.4154808302365631</v>
      </c>
      <c r="I9411" s="445">
        <f t="shared" ref="I9411:I9433" si="815">G9411*H9411</f>
        <v>718.72914261928724</v>
      </c>
      <c r="J9411" s="310">
        <f t="shared" ref="J9411:J9433" si="816">AVERAGE(C9411,C9387,C9363,C9339,C9315,C9291,C9267)</f>
        <v>1335.4285714285713</v>
      </c>
      <c r="K9411" s="445">
        <f>J9411/POBLA!$B$2*100000</f>
        <v>43.4194498140739</v>
      </c>
    </row>
    <row r="9412" spans="1:11" s="393" customFormat="1" ht="15.75" thickBot="1" x14ac:dyDescent="0.3">
      <c r="A9412" s="402" t="s">
        <v>28</v>
      </c>
      <c r="B9412" s="271">
        <v>44285</v>
      </c>
      <c r="C9412" s="17">
        <v>71</v>
      </c>
      <c r="D9412" s="39">
        <f t="shared" si="812"/>
        <v>10381</v>
      </c>
      <c r="E9412" s="1"/>
      <c r="F9412" s="39">
        <f t="shared" si="813"/>
        <v>18</v>
      </c>
      <c r="G9412" s="436">
        <f>SUM(C9412,C9388,C9364,C9340,C9316,C9292,C9268,C9244,C9220,C9196,C9172,C9148,C9124,C9100)/POBLA!$B$3*100000</f>
        <v>273.20562875808184</v>
      </c>
      <c r="H9412" s="441">
        <f t="shared" si="814"/>
        <v>1.0179372197309418</v>
      </c>
      <c r="I9412" s="445">
        <f t="shared" si="815"/>
        <v>278.10617815284564</v>
      </c>
      <c r="J9412" s="310">
        <f t="shared" si="816"/>
        <v>76.714285714285708</v>
      </c>
      <c r="K9412" s="445">
        <f>J9412/POBLA!$B$3*100000</f>
        <v>18.465880760615473</v>
      </c>
    </row>
    <row r="9413" spans="1:11" s="393" customFormat="1" ht="15.75" thickBot="1" x14ac:dyDescent="0.3">
      <c r="A9413" s="402" t="s">
        <v>15</v>
      </c>
      <c r="B9413" s="271">
        <v>44285</v>
      </c>
      <c r="C9413" s="17">
        <v>96</v>
      </c>
      <c r="D9413" s="39">
        <f t="shared" si="812"/>
        <v>38317</v>
      </c>
      <c r="E9413" s="1"/>
      <c r="F9413" s="39">
        <f t="shared" si="813"/>
        <v>923</v>
      </c>
      <c r="G9413" s="436">
        <f>SUM(C9413,C9389,C9365,C9341,C9317,C9293,C9269,C9245,C9221,C9197,C9173,C9149,C9125,C9101)/POBLA!$B$4*100000</f>
        <v>176.91386179465871</v>
      </c>
      <c r="H9413" s="441">
        <f t="shared" si="814"/>
        <v>1.1481681034482758</v>
      </c>
      <c r="I9413" s="445">
        <f t="shared" si="815"/>
        <v>203.12685317048368</v>
      </c>
      <c r="J9413" s="310">
        <f t="shared" si="816"/>
        <v>160.28571428571428</v>
      </c>
      <c r="K9413" s="445">
        <f>J9413/POBLA!$B$4*100000</f>
        <v>13.306787754481936</v>
      </c>
    </row>
    <row r="9414" spans="1:11" s="393" customFormat="1" ht="15.75" thickBot="1" x14ac:dyDescent="0.3">
      <c r="A9414" s="402" t="s">
        <v>29</v>
      </c>
      <c r="B9414" s="271">
        <v>44285</v>
      </c>
      <c r="C9414" s="17">
        <v>132</v>
      </c>
      <c r="D9414" s="39">
        <f t="shared" si="812"/>
        <v>49898</v>
      </c>
      <c r="E9414" s="1"/>
      <c r="F9414" s="39">
        <f t="shared" si="813"/>
        <v>864</v>
      </c>
      <c r="G9414" s="436">
        <f>SUM(C9414,C9390,C9366,C9342,C9318,C9294,C9270,C9246,C9222,C9198,C9174,C9150,C9126,C9102)/POBLA!$B$5*100000</f>
        <v>249.92164705958376</v>
      </c>
      <c r="H9414" s="441">
        <f t="shared" si="814"/>
        <v>1.2764026402640265</v>
      </c>
      <c r="I9414" s="445">
        <f t="shared" si="815"/>
        <v>319.00065016598688</v>
      </c>
      <c r="J9414" s="310">
        <f t="shared" si="816"/>
        <v>125.71428571428571</v>
      </c>
      <c r="K9414" s="445">
        <f>J9414/POBLA!$B$5*100000</f>
        <v>20.309451418638258</v>
      </c>
    </row>
    <row r="9415" spans="1:11" s="393" customFormat="1" ht="15.75" thickBot="1" x14ac:dyDescent="0.3">
      <c r="A9415" s="402" t="s">
        <v>30</v>
      </c>
      <c r="B9415" s="271">
        <v>44285</v>
      </c>
      <c r="C9415" s="17">
        <v>886</v>
      </c>
      <c r="D9415" s="39">
        <f t="shared" si="812"/>
        <v>29765</v>
      </c>
      <c r="E9415" s="1">
        <v>3</v>
      </c>
      <c r="F9415" s="39">
        <f t="shared" si="813"/>
        <v>328</v>
      </c>
      <c r="G9415" s="436">
        <f>SUM(C9415,C9391,C9367,C9343,C9319,C9295,C9271,C9247,C9223,C9199,C9175,C9151,C9127,C9103)/POBLA!$B$6*100000</f>
        <v>407.56566063021</v>
      </c>
      <c r="H9415" s="441">
        <f t="shared" si="814"/>
        <v>1.4561683136754862</v>
      </c>
      <c r="I9415" s="445">
        <f t="shared" si="815"/>
        <v>593.48420075192837</v>
      </c>
      <c r="J9415" s="310">
        <f t="shared" si="816"/>
        <v>430.71428571428572</v>
      </c>
      <c r="K9415" s="445">
        <f>J9415/POBLA!$B$6*100000</f>
        <v>38.429148949214508</v>
      </c>
    </row>
    <row r="9416" spans="1:11" s="393" customFormat="1" ht="15.75" thickBot="1" x14ac:dyDescent="0.3">
      <c r="A9416" s="402" t="s">
        <v>20</v>
      </c>
      <c r="B9416" s="271">
        <v>44285</v>
      </c>
      <c r="C9416" s="17">
        <v>826</v>
      </c>
      <c r="D9416" s="39">
        <f t="shared" si="812"/>
        <v>179373</v>
      </c>
      <c r="E9416" s="1">
        <v>8</v>
      </c>
      <c r="F9416" s="39">
        <f t="shared" si="813"/>
        <v>3024</v>
      </c>
      <c r="G9416" s="436">
        <f>SUM(C9416,C9392,C9368,C9344,C9320,C9296,C9272,C9248,C9224,C9200,C9176,C9152,C9128,C9104)/POBLA!$B$7*100000</f>
        <v>273.95657434615538</v>
      </c>
      <c r="H9416" s="441">
        <f t="shared" si="814"/>
        <v>1.2842183994016454</v>
      </c>
      <c r="I9416" s="445">
        <f t="shared" si="815"/>
        <v>351.82007341237755</v>
      </c>
      <c r="J9416" s="310">
        <f t="shared" si="816"/>
        <v>820.71428571428567</v>
      </c>
      <c r="K9416" s="445">
        <f>J9416/POBLA!$B$7*100000</f>
        <v>21.824895576707195</v>
      </c>
    </row>
    <row r="9417" spans="1:11" ht="15.75" thickBot="1" x14ac:dyDescent="0.3">
      <c r="A9417" s="402" t="s">
        <v>31</v>
      </c>
      <c r="B9417" s="271">
        <v>44285</v>
      </c>
      <c r="C9417" s="17">
        <v>205</v>
      </c>
      <c r="D9417" s="39">
        <f t="shared" si="812"/>
        <v>49640</v>
      </c>
      <c r="E9417" s="1">
        <v>2</v>
      </c>
      <c r="F9417" s="39">
        <f t="shared" si="813"/>
        <v>946</v>
      </c>
      <c r="G9417" s="169">
        <f>SUM(C9417,C9393,C9369,C9345,C9321,C9297,C9273,C9249,C9225,C9201,C9177,C9153,C9129,C9105)/POBLA!$B$8*100000</f>
        <v>176.55619458267583</v>
      </c>
      <c r="H9417" s="518">
        <f t="shared" si="814"/>
        <v>1.3335149863760218</v>
      </c>
      <c r="I9417" s="310">
        <f t="shared" si="815"/>
        <v>235.44033141351923</v>
      </c>
      <c r="J9417" s="310">
        <f t="shared" si="816"/>
        <v>166.14285714285714</v>
      </c>
      <c r="K9417" s="310">
        <f>J9417/POBLA!$B$8*100000</f>
        <v>11.987556442270535</v>
      </c>
    </row>
    <row r="9418" spans="1:11" s="393" customFormat="1" ht="15.75" thickBot="1" x14ac:dyDescent="0.3">
      <c r="A9418" s="402" t="s">
        <v>41</v>
      </c>
      <c r="B9418" s="271">
        <v>44285</v>
      </c>
      <c r="C9418" s="17">
        <v>28</v>
      </c>
      <c r="D9418" s="39">
        <f t="shared" si="812"/>
        <v>2082</v>
      </c>
      <c r="E9418" s="1"/>
      <c r="F9418" s="39">
        <f t="shared" si="813"/>
        <v>30</v>
      </c>
      <c r="G9418" s="436">
        <f>SUM(C9418,C9394,C9370,C9346,C9322,C9298,C9274,C9250,C9226,C9202,C9178,C9154,C9130,C9106)/POBLA!$B$9*100000</f>
        <v>75.347864235045677</v>
      </c>
      <c r="H9418" s="441">
        <f t="shared" si="814"/>
        <v>1.2357723577235773</v>
      </c>
      <c r="I9418" s="445">
        <f t="shared" si="815"/>
        <v>93.112807835178401</v>
      </c>
      <c r="J9418" s="310">
        <f t="shared" si="816"/>
        <v>47.571428571428569</v>
      </c>
      <c r="K9418" s="445">
        <f>J9418/POBLA!$B$9*100000</f>
        <v>7.8605384681297652</v>
      </c>
    </row>
    <row r="9419" spans="1:11" s="393" customFormat="1" ht="15.75" thickBot="1" x14ac:dyDescent="0.3">
      <c r="A9419" s="402" t="s">
        <v>32</v>
      </c>
      <c r="B9419" s="271">
        <v>44285</v>
      </c>
      <c r="C9419" s="17">
        <v>49</v>
      </c>
      <c r="D9419" s="39">
        <f t="shared" si="812"/>
        <v>22373</v>
      </c>
      <c r="E9419" s="1"/>
      <c r="F9419" s="39">
        <f t="shared" si="813"/>
        <v>964</v>
      </c>
      <c r="G9419" s="436">
        <f>SUM(C9419,C9395,C9371,C9347,C9323,C9299,C9275,C9251,C9227,C9203,C9179,C9155,C9131,C9107)/POBLA!$B$10*100000</f>
        <v>79.130241892068938</v>
      </c>
      <c r="H9419" s="441">
        <f t="shared" si="814"/>
        <v>0.69714285714285718</v>
      </c>
      <c r="I9419" s="445">
        <f t="shared" si="815"/>
        <v>55.165082919042348</v>
      </c>
      <c r="J9419" s="310">
        <f t="shared" si="816"/>
        <v>40.285714285714285</v>
      </c>
      <c r="K9419" s="445">
        <f>J9419/POBLA!$B$10*100000</f>
        <v>5.2259316659399166</v>
      </c>
    </row>
    <row r="9420" spans="1:11" s="393" customFormat="1" ht="15.75" thickBot="1" x14ac:dyDescent="0.3">
      <c r="A9420" s="402" t="s">
        <v>33</v>
      </c>
      <c r="B9420" s="271">
        <v>44285</v>
      </c>
      <c r="C9420" s="17">
        <v>43</v>
      </c>
      <c r="D9420" s="39">
        <f t="shared" si="812"/>
        <v>21201</v>
      </c>
      <c r="E9420" s="1">
        <v>2</v>
      </c>
      <c r="F9420" s="39">
        <f t="shared" si="813"/>
        <v>320</v>
      </c>
      <c r="G9420" s="436">
        <f>SUM(C9420,C9396,C9372,C9348,C9324,C9300,C9276,C9252,C9228,C9204,C9180,C9156,C9132,C9108)/POBLA!$B$11*100000</f>
        <v>316.10253663218276</v>
      </c>
      <c r="H9420" s="441">
        <f t="shared" si="814"/>
        <v>0.92945036915504509</v>
      </c>
      <c r="I9420" s="445">
        <f t="shared" si="815"/>
        <v>293.80161936362845</v>
      </c>
      <c r="J9420" s="310">
        <f t="shared" si="816"/>
        <v>78.714285714285708</v>
      </c>
      <c r="K9420" s="445">
        <f>J9420/POBLA!$B$11*100000</f>
        <v>21.960975625309882</v>
      </c>
    </row>
    <row r="9421" spans="1:11" s="393" customFormat="1" ht="15.75" thickBot="1" x14ac:dyDescent="0.3">
      <c r="A9421" s="402" t="s">
        <v>21</v>
      </c>
      <c r="B9421" s="271">
        <v>44285</v>
      </c>
      <c r="C9421" s="17">
        <v>18</v>
      </c>
      <c r="D9421" s="39">
        <f t="shared" si="812"/>
        <v>11026</v>
      </c>
      <c r="E9421" s="1"/>
      <c r="F9421" s="39">
        <f t="shared" si="813"/>
        <v>449</v>
      </c>
      <c r="G9421" s="436">
        <f>SUM(C9421,C9397,C9373,C9349,C9325,C9301,C9277,C9253,C9229,C9205,C9181,C9157,C9133,C9109)/POBLA!$B$12*100000</f>
        <v>116.89041015828487</v>
      </c>
      <c r="H9421" s="441">
        <f t="shared" si="814"/>
        <v>1.5231788079470199</v>
      </c>
      <c r="I9421" s="445">
        <f t="shared" si="815"/>
        <v>178.04499560533458</v>
      </c>
      <c r="J9421" s="310">
        <f t="shared" si="816"/>
        <v>41.571428571428569</v>
      </c>
      <c r="K9421" s="445">
        <f>J9421/POBLA!$B$12*100000</f>
        <v>10.563698557782887</v>
      </c>
    </row>
    <row r="9422" spans="1:11" s="393" customFormat="1" ht="15.75" thickBot="1" x14ac:dyDescent="0.3">
      <c r="A9422" s="402" t="s">
        <v>17</v>
      </c>
      <c r="B9422" s="271">
        <v>44285</v>
      </c>
      <c r="C9422" s="17">
        <v>271</v>
      </c>
      <c r="D9422" s="39">
        <f t="shared" si="812"/>
        <v>72486</v>
      </c>
      <c r="E9422" s="1">
        <v>1</v>
      </c>
      <c r="F9422" s="39">
        <f t="shared" si="813"/>
        <v>1507</v>
      </c>
      <c r="G9422" s="436">
        <f>SUM(C9422,C9398,C9374,C9350,C9326,C9302,C9278,C9254,C9230,C9206,C9182,C9158,C9134,C9110)/POBLA!$B$13*100000</f>
        <v>142.08641949256861</v>
      </c>
      <c r="H9422" s="441">
        <f t="shared" si="814"/>
        <v>1.2984389348025711</v>
      </c>
      <c r="I9422" s="445">
        <f t="shared" si="815"/>
        <v>184.49053917584206</v>
      </c>
      <c r="J9422" s="310">
        <f t="shared" si="816"/>
        <v>237.14285714285714</v>
      </c>
      <c r="K9422" s="445">
        <f>J9422/POBLA!$B$13*100000</f>
        <v>11.91470278630349</v>
      </c>
    </row>
    <row r="9423" spans="1:11" s="393" customFormat="1" ht="15.75" thickBot="1" x14ac:dyDescent="0.3">
      <c r="A9423" s="402" t="s">
        <v>23</v>
      </c>
      <c r="B9423" s="271">
        <v>44285</v>
      </c>
      <c r="C9423" s="17">
        <v>114</v>
      </c>
      <c r="D9423" s="39">
        <f t="shared" si="812"/>
        <v>11938</v>
      </c>
      <c r="E9423" s="1">
        <v>3</v>
      </c>
      <c r="F9423" s="39">
        <f t="shared" si="813"/>
        <v>203</v>
      </c>
      <c r="G9423" s="436">
        <f>SUM(C9423,C9399,C9375,C9351,C9327,C9303,C9279,C9255,C9231,C9207,C9183,C9159,C9135,C9111)/POBLA!$B$14*100000</f>
        <v>138.66711488360366</v>
      </c>
      <c r="H9423" s="441">
        <f t="shared" si="814"/>
        <v>1.056797583081571</v>
      </c>
      <c r="I9423" s="445">
        <f t="shared" si="815"/>
        <v>146.54307186188689</v>
      </c>
      <c r="J9423" s="310">
        <f t="shared" si="816"/>
        <v>130.28571428571428</v>
      </c>
      <c r="K9423" s="445">
        <f>J9423/POBLA!$B$14*100000</f>
        <v>10.329527793338768</v>
      </c>
    </row>
    <row r="9424" spans="1:11" s="393" customFormat="1" ht="15.75" thickBot="1" x14ac:dyDescent="0.3">
      <c r="A9424" s="402" t="s">
        <v>19</v>
      </c>
      <c r="B9424" s="271">
        <v>44285</v>
      </c>
      <c r="C9424" s="17">
        <v>82</v>
      </c>
      <c r="D9424" s="39">
        <f t="shared" si="812"/>
        <v>65074</v>
      </c>
      <c r="E9424" s="1">
        <v>3</v>
      </c>
      <c r="F9424" s="39">
        <f t="shared" si="813"/>
        <v>1009</v>
      </c>
      <c r="G9424" s="436">
        <f>SUM(C9424,C9400,C9376,C9352,C9328,C9304,C9280,C9256,C9232,C9208,C9184,C9160,C9136,C9112)/POBLA!$B$15*100000</f>
        <v>242.75024583733023</v>
      </c>
      <c r="H9424" s="441">
        <f t="shared" si="814"/>
        <v>0.82119205298013243</v>
      </c>
      <c r="I9424" s="445">
        <f t="shared" si="815"/>
        <v>199.34457274058906</v>
      </c>
      <c r="J9424" s="310">
        <f t="shared" si="816"/>
        <v>105.14285714285714</v>
      </c>
      <c r="K9424" s="445">
        <f>J9424/POBLA!$B$15*100000</f>
        <v>15.833408448801404</v>
      </c>
    </row>
    <row r="9425" spans="1:11" s="393" customFormat="1" ht="15.75" thickBot="1" x14ac:dyDescent="0.3">
      <c r="A9425" s="402" t="s">
        <v>18</v>
      </c>
      <c r="B9425" s="271">
        <v>44285</v>
      </c>
      <c r="C9425" s="17">
        <v>83</v>
      </c>
      <c r="D9425" s="39">
        <f t="shared" si="812"/>
        <v>55275</v>
      </c>
      <c r="E9425" s="1">
        <v>5</v>
      </c>
      <c r="F9425" s="39">
        <f t="shared" si="813"/>
        <v>1280</v>
      </c>
      <c r="G9425" s="436">
        <f>SUM(C9425,C9401,C9377,C9353,C9329,C9305,C9281,C9257,C9233,C9209,C9185,C9161,C9137,C9113)/POBLA!$B$16*100000</f>
        <v>171.07850349781302</v>
      </c>
      <c r="H9425" s="441">
        <f t="shared" si="814"/>
        <v>0.88881167477414869</v>
      </c>
      <c r="I9425" s="445">
        <f t="shared" si="815"/>
        <v>152.05657121174625</v>
      </c>
      <c r="J9425" s="310">
        <f t="shared" si="816"/>
        <v>94</v>
      </c>
      <c r="K9425" s="445">
        <f>J9425/POBLA!$B$16*100000</f>
        <v>12.573400569815814</v>
      </c>
    </row>
    <row r="9426" spans="1:11" s="393" customFormat="1" ht="15.75" thickBot="1" x14ac:dyDescent="0.3">
      <c r="A9426" s="402" t="s">
        <v>34</v>
      </c>
      <c r="B9426" s="271">
        <v>44285</v>
      </c>
      <c r="C9426" s="17">
        <v>84</v>
      </c>
      <c r="D9426" s="39">
        <f t="shared" si="812"/>
        <v>29209</v>
      </c>
      <c r="E9426" s="1">
        <v>1</v>
      </c>
      <c r="F9426" s="39">
        <f t="shared" si="813"/>
        <v>1204</v>
      </c>
      <c r="G9426" s="436">
        <f>SUM(C9426,C9402,C9378,C9354,C9330,C9306,C9282,C9258,C9234,C9210,C9186,C9162,C9138,C9114)/POBLA!$B$17*100000</f>
        <v>97.444743284351205</v>
      </c>
      <c r="H9426" s="441">
        <f t="shared" si="814"/>
        <v>0.91255752794214329</v>
      </c>
      <c r="I9426" s="445">
        <f t="shared" si="815"/>
        <v>88.923934042524309</v>
      </c>
      <c r="J9426" s="310">
        <f t="shared" si="816"/>
        <v>97.428571428571431</v>
      </c>
      <c r="K9426" s="445">
        <f>J9426/POBLA!$B$17*100000</f>
        <v>6.8399871263820007</v>
      </c>
    </row>
    <row r="9427" spans="1:11" s="393" customFormat="1" ht="15.75" thickBot="1" x14ac:dyDescent="0.3">
      <c r="A9427" s="402" t="s">
        <v>35</v>
      </c>
      <c r="B9427" s="271">
        <v>44285</v>
      </c>
      <c r="C9427" s="17">
        <v>139</v>
      </c>
      <c r="D9427" s="39">
        <f t="shared" si="812"/>
        <v>17123</v>
      </c>
      <c r="E9427" s="1">
        <v>1</v>
      </c>
      <c r="F9427" s="39">
        <f t="shared" si="813"/>
        <v>224</v>
      </c>
      <c r="G9427" s="436">
        <f>SUM(C9427,C9403,C9379,C9355,C9331,C9307,C9283,C9259,C9235,C9211,C9187,C9163,C9139,C9115)/POBLA!$B$18*100000</f>
        <v>141.57398008491879</v>
      </c>
      <c r="H9427" s="441">
        <f t="shared" si="814"/>
        <v>1.6409495548961424</v>
      </c>
      <c r="I9427" s="445">
        <f t="shared" si="815"/>
        <v>232.31575960522281</v>
      </c>
      <c r="J9427" s="310">
        <f t="shared" si="816"/>
        <v>91.428571428571431</v>
      </c>
      <c r="K9427" s="445">
        <f>J9427/POBLA!$B$18*100000</f>
        <v>11.703351492424183</v>
      </c>
    </row>
    <row r="9428" spans="1:11" s="393" customFormat="1" ht="15.75" thickBot="1" x14ac:dyDescent="0.3">
      <c r="A9428" s="402" t="s">
        <v>36</v>
      </c>
      <c r="B9428" s="271">
        <v>44285</v>
      </c>
      <c r="C9428" s="17">
        <v>60</v>
      </c>
      <c r="D9428" s="39">
        <f t="shared" si="812"/>
        <v>22600</v>
      </c>
      <c r="E9428" s="1">
        <v>3</v>
      </c>
      <c r="F9428" s="39">
        <f t="shared" si="813"/>
        <v>411</v>
      </c>
      <c r="G9428" s="436">
        <f>SUM(C9428,C9404,C9380,C9356,C9332,C9308,C9284,C9260,C9236,C9212,C9188,C9164,C9140,C9116)/POBLA!$B$19*100000</f>
        <v>212.46124549503472</v>
      </c>
      <c r="H9428" s="441">
        <f t="shared" si="814"/>
        <v>1.4634146341463414</v>
      </c>
      <c r="I9428" s="445">
        <f t="shared" si="815"/>
        <v>310.91889584639227</v>
      </c>
      <c r="J9428" s="310">
        <f t="shared" si="816"/>
        <v>149.42857142857142</v>
      </c>
      <c r="K9428" s="445">
        <f>J9428/POBLA!$B$19*100000</f>
        <v>29.396092961350039</v>
      </c>
    </row>
    <row r="9429" spans="1:11" s="393" customFormat="1" ht="15.75" thickBot="1" x14ac:dyDescent="0.3">
      <c r="A9429" s="402" t="s">
        <v>37</v>
      </c>
      <c r="B9429" s="271">
        <v>44285</v>
      </c>
      <c r="C9429" s="17">
        <v>82</v>
      </c>
      <c r="D9429" s="39">
        <f t="shared" si="812"/>
        <v>39210</v>
      </c>
      <c r="E9429" s="1">
        <v>1</v>
      </c>
      <c r="F9429" s="39">
        <f t="shared" si="813"/>
        <v>640</v>
      </c>
      <c r="G9429" s="436">
        <f>SUM(C9429,C9405,C9381,C9357,C9333,C9309,C9285,C9261,C9237,C9213,C9189,C9165,C9141,C9117)/POBLA!$B$20*100000</f>
        <v>447.36367166350374</v>
      </c>
      <c r="H9429" s="441">
        <f t="shared" si="814"/>
        <v>1.10840108401084</v>
      </c>
      <c r="I9429" s="445">
        <f t="shared" si="815"/>
        <v>495.85837861889706</v>
      </c>
      <c r="J9429" s="310">
        <f t="shared" si="816"/>
        <v>114.57142857142857</v>
      </c>
      <c r="K9429" s="445">
        <f>J9429/POBLA!$B$20*100000</f>
        <v>31.329520142693855</v>
      </c>
    </row>
    <row r="9430" spans="1:11" s="393" customFormat="1" ht="15.75" thickBot="1" x14ac:dyDescent="0.3">
      <c r="A9430" s="402" t="s">
        <v>22</v>
      </c>
      <c r="B9430" s="271">
        <v>44285</v>
      </c>
      <c r="C9430" s="17">
        <v>548</v>
      </c>
      <c r="D9430" s="39">
        <f t="shared" si="812"/>
        <v>230574</v>
      </c>
      <c r="E9430" s="1">
        <v>6</v>
      </c>
      <c r="F9430" s="39">
        <f t="shared" si="813"/>
        <v>4264</v>
      </c>
      <c r="G9430" s="436">
        <f>SUM(C9430,C9406,C9382,C9358,C9334,C9310,C9286,C9262,C9238,C9214,C9190,C9166,C9142,C9118)/POBLA!$B$21*100000</f>
        <v>207.66775873214084</v>
      </c>
      <c r="H9430" s="441">
        <f t="shared" si="814"/>
        <v>1.2154915590863953</v>
      </c>
      <c r="I9430" s="445">
        <f t="shared" si="815"/>
        <v>252.41840783330724</v>
      </c>
      <c r="J9430" s="310">
        <f t="shared" si="816"/>
        <v>571.85714285714289</v>
      </c>
      <c r="K9430" s="445">
        <f>J9430/POBLA!$B$21*100000</f>
        <v>16.170518950450511</v>
      </c>
    </row>
    <row r="9431" spans="1:11" s="393" customFormat="1" ht="15.75" thickBot="1" x14ac:dyDescent="0.3">
      <c r="A9431" s="402" t="s">
        <v>38</v>
      </c>
      <c r="B9431" s="271">
        <v>44285</v>
      </c>
      <c r="C9431" s="17">
        <v>51</v>
      </c>
      <c r="D9431" s="39">
        <f t="shared" si="812"/>
        <v>24982</v>
      </c>
      <c r="E9431" s="1">
        <v>2</v>
      </c>
      <c r="F9431" s="39">
        <f t="shared" si="813"/>
        <v>294</v>
      </c>
      <c r="G9431" s="436">
        <f>SUM(C9431,C9407,C9383,C9359,C9335,C9311,C9287,C9263,C9239,C9215,C9191,C9167,C9143,C9119)/POBLA!$B$22*100000</f>
        <v>140.54806590528798</v>
      </c>
      <c r="H9431" s="441">
        <f t="shared" si="814"/>
        <v>1.5714285714285714</v>
      </c>
      <c r="I9431" s="445">
        <f t="shared" si="815"/>
        <v>220.8612464225954</v>
      </c>
      <c r="J9431" s="310">
        <f t="shared" si="816"/>
        <v>106.57142857142857</v>
      </c>
      <c r="K9431" s="445">
        <f>J9431/POBLA!$B$22*100000</f>
        <v>10.893387757438424</v>
      </c>
    </row>
    <row r="9432" spans="1:11" s="393" customFormat="1" ht="15.75" thickBot="1" x14ac:dyDescent="0.3">
      <c r="A9432" s="402" t="s">
        <v>39</v>
      </c>
      <c r="B9432" s="271">
        <v>44285</v>
      </c>
      <c r="C9432" s="17">
        <v>19</v>
      </c>
      <c r="D9432" s="39">
        <f t="shared" si="812"/>
        <v>24004</v>
      </c>
      <c r="E9432" s="1"/>
      <c r="F9432" s="39">
        <f t="shared" si="813"/>
        <v>367</v>
      </c>
      <c r="G9432" s="436">
        <f>SUM(C9432,C9408,C9384,C9360,C9336,C9312,C9288,C9264,C9240,C9216,C9192,C9168,C9144,C9120)/POBLA!$B$23*100000</f>
        <v>332.52276197477806</v>
      </c>
      <c r="H9432" s="441">
        <f t="shared" si="814"/>
        <v>1.5076923076923077</v>
      </c>
      <c r="I9432" s="445">
        <f t="shared" si="815"/>
        <v>501.34201036197305</v>
      </c>
      <c r="J9432" s="310">
        <f t="shared" si="816"/>
        <v>48.857142857142854</v>
      </c>
      <c r="K9432" s="445">
        <f>J9432/POBLA!$B$23*100000</f>
        <v>27.629442321519456</v>
      </c>
    </row>
    <row r="9433" spans="1:11" s="393" customFormat="1" ht="15.75" thickBot="1" x14ac:dyDescent="0.3">
      <c r="A9433" s="403" t="s">
        <v>40</v>
      </c>
      <c r="B9433" s="270">
        <v>44285</v>
      </c>
      <c r="C9433" s="17">
        <v>315</v>
      </c>
      <c r="D9433" s="67">
        <f t="shared" si="812"/>
        <v>87104</v>
      </c>
      <c r="E9433" s="234">
        <v>1</v>
      </c>
      <c r="F9433" s="67">
        <f t="shared" si="813"/>
        <v>1502</v>
      </c>
      <c r="G9433" s="446">
        <f>SUM(C9433,C9409,C9385,C9361,C9337,C9313,C9289,C9265,C9241,C9217,C9193,C9169,C9145,C9121)/POBLA!$B$24*100000</f>
        <v>260.87890403716153</v>
      </c>
      <c r="H9433" s="447">
        <f t="shared" si="814"/>
        <v>1.7109133126934986</v>
      </c>
      <c r="I9433" s="445">
        <f t="shared" si="815"/>
        <v>446.34118991806935</v>
      </c>
      <c r="J9433" s="310">
        <f t="shared" si="816"/>
        <v>346.57142857142856</v>
      </c>
      <c r="K9433" s="445">
        <f>J9433/POBLA!$B$24*100000</f>
        <v>20.45084244657491</v>
      </c>
    </row>
    <row r="9434" spans="1:11" s="393" customFormat="1" x14ac:dyDescent="0.25">
      <c r="A9434" s="397" t="s">
        <v>16</v>
      </c>
      <c r="B9434" s="267">
        <v>44286</v>
      </c>
      <c r="C9434" s="43">
        <v>8063</v>
      </c>
      <c r="D9434" s="175">
        <f t="shared" si="812"/>
        <v>987567</v>
      </c>
      <c r="E9434" s="43">
        <v>69</v>
      </c>
      <c r="F9434" s="175">
        <f t="shared" si="813"/>
        <v>28203</v>
      </c>
      <c r="G9434" s="410">
        <f>SUM(C9434,C9410,C9386,C9362,C9338,C9314,C9290,C9266,C9242,C9218,C9194,C9170,C9146,C9122)/POBLA!$B$1*100000</f>
        <v>343.75756970427409</v>
      </c>
      <c r="H9434" s="440">
        <f t="shared" si="814"/>
        <v>1.5433185738783242</v>
      </c>
      <c r="I9434" s="445">
        <f>G9434*H9434</f>
        <v>530.52744223587888</v>
      </c>
      <c r="J9434" s="310">
        <f>AVERAGE(C9434,C9410,C9386,C9362,C9338,C9314,C9290)</f>
        <v>5347</v>
      </c>
      <c r="K9434" s="445">
        <f>J9434/POBLA!$B$1*100000</f>
        <v>30.482623678813138</v>
      </c>
    </row>
    <row r="9435" spans="1:11" s="393" customFormat="1" x14ac:dyDescent="0.25">
      <c r="A9435" s="402" t="s">
        <v>43</v>
      </c>
      <c r="B9435" s="2">
        <v>44286</v>
      </c>
      <c r="C9435" s="1">
        <v>1707</v>
      </c>
      <c r="D9435" s="39">
        <f t="shared" si="812"/>
        <v>261333</v>
      </c>
      <c r="E9435" s="1">
        <v>16</v>
      </c>
      <c r="F9435" s="39">
        <f t="shared" si="813"/>
        <v>6874</v>
      </c>
      <c r="G9435" s="436">
        <f>SUM(C9435,C9411,C9387,C9363,C9339,C9315,C9291,C9267,C9243,C9219,C9195,C9171,C9147,C9123)/POBLA!$B$2*100000</f>
        <v>533.05874603254085</v>
      </c>
      <c r="H9435" s="441">
        <f t="shared" si="814"/>
        <v>1.4766279383950283</v>
      </c>
      <c r="I9435" s="445">
        <f t="shared" ref="I9435:I9457" si="817">G9435*H9435</f>
        <v>787.12943719746977</v>
      </c>
      <c r="J9435" s="310">
        <f t="shared" ref="J9435:J9457" si="818">AVERAGE(C9435,C9411,C9387,C9363,C9339,C9315,C9291)</f>
        <v>1450.1428571428571</v>
      </c>
      <c r="K9435" s="445">
        <f>J9435/POBLA!$B$2*100000</f>
        <v>47.149212137640582</v>
      </c>
    </row>
    <row r="9436" spans="1:11" s="393" customFormat="1" x14ac:dyDescent="0.25">
      <c r="A9436" s="402" t="s">
        <v>28</v>
      </c>
      <c r="B9436" s="2">
        <v>44286</v>
      </c>
      <c r="C9436" s="1">
        <v>79</v>
      </c>
      <c r="D9436" s="39">
        <f t="shared" si="812"/>
        <v>10460</v>
      </c>
      <c r="E9436" s="1"/>
      <c r="F9436" s="39">
        <f t="shared" si="813"/>
        <v>18</v>
      </c>
      <c r="G9436" s="436">
        <f>SUM(C9436,C9412,C9388,C9364,C9340,C9316,C9292,C9268,C9244,C9220,C9196,C9172,C9148,C9124)/POBLA!$B$3*100000</f>
        <v>265.26220519066624</v>
      </c>
      <c r="H9436" s="441">
        <f t="shared" si="814"/>
        <v>0.93867120954003402</v>
      </c>
      <c r="I9436" s="445">
        <f t="shared" si="817"/>
        <v>248.99399499157937</v>
      </c>
      <c r="J9436" s="310">
        <f t="shared" si="818"/>
        <v>78</v>
      </c>
      <c r="K9436" s="445">
        <f>J9436/POBLA!$B$3*100000</f>
        <v>18.775364795709589</v>
      </c>
    </row>
    <row r="9437" spans="1:11" s="393" customFormat="1" x14ac:dyDescent="0.25">
      <c r="A9437" s="402" t="s">
        <v>15</v>
      </c>
      <c r="B9437" s="2">
        <v>44286</v>
      </c>
      <c r="C9437" s="1">
        <v>175</v>
      </c>
      <c r="D9437" s="39">
        <f t="shared" si="812"/>
        <v>38492</v>
      </c>
      <c r="E9437" s="1">
        <v>1</v>
      </c>
      <c r="F9437" s="39">
        <f t="shared" si="813"/>
        <v>924</v>
      </c>
      <c r="G9437" s="436">
        <f>SUM(C9437,C9413,C9389,C9365,C9341,C9317,C9293,C9269,C9245,C9221,C9197,C9173,C9149,C9125)/POBLA!$B$4*100000</f>
        <v>179.9025520924568</v>
      </c>
      <c r="H9437" s="441">
        <f t="shared" si="814"/>
        <v>1.1900054914881932</v>
      </c>
      <c r="I9437" s="445">
        <f t="shared" si="817"/>
        <v>214.08502492276435</v>
      </c>
      <c r="J9437" s="310">
        <f t="shared" si="818"/>
        <v>159.57142857142858</v>
      </c>
      <c r="K9437" s="445">
        <f>J9437/POBLA!$B$4*100000</f>
        <v>13.247488343811343</v>
      </c>
    </row>
    <row r="9438" spans="1:11" s="393" customFormat="1" x14ac:dyDescent="0.25">
      <c r="A9438" s="402" t="s">
        <v>29</v>
      </c>
      <c r="B9438" s="2">
        <v>44286</v>
      </c>
      <c r="C9438" s="1">
        <v>215</v>
      </c>
      <c r="D9438" s="39">
        <f t="shared" si="812"/>
        <v>50113</v>
      </c>
      <c r="E9438" s="1"/>
      <c r="F9438" s="39">
        <f t="shared" si="813"/>
        <v>864</v>
      </c>
      <c r="G9438" s="436">
        <f>SUM(C9438,C9414,C9390,C9366,C9342,C9318,C9294,C9270,C9246,C9222,C9198,C9174,C9150,C9126)/POBLA!$B$5*100000</f>
        <v>264.29981550709704</v>
      </c>
      <c r="H9438" s="441">
        <f t="shared" si="814"/>
        <v>1.3554266777133388</v>
      </c>
      <c r="I9438" s="445">
        <f t="shared" si="817"/>
        <v>358.23902085303291</v>
      </c>
      <c r="J9438" s="310">
        <f t="shared" si="818"/>
        <v>142</v>
      </c>
      <c r="K9438" s="445">
        <f>J9438/POBLA!$B$5*100000</f>
        <v>22.94044853423458</v>
      </c>
    </row>
    <row r="9439" spans="1:11" s="393" customFormat="1" x14ac:dyDescent="0.25">
      <c r="A9439" s="402" t="s">
        <v>30</v>
      </c>
      <c r="B9439" s="2">
        <v>44286</v>
      </c>
      <c r="C9439" s="1">
        <v>291</v>
      </c>
      <c r="D9439" s="39">
        <f t="shared" si="812"/>
        <v>30056</v>
      </c>
      <c r="E9439" s="1"/>
      <c r="F9439" s="39">
        <f t="shared" si="813"/>
        <v>328</v>
      </c>
      <c r="G9439" s="436">
        <f>SUM(C9439,C9415,C9391,C9367,C9343,C9319,C9295,C9271,C9247,C9223,C9199,C9175,C9151,C9127)/POBLA!$B$6*100000</f>
        <v>409.97465205687718</v>
      </c>
      <c r="H9439" s="441">
        <f t="shared" si="814"/>
        <v>1.4596569250317661</v>
      </c>
      <c r="I9439" s="445">
        <f t="shared" si="817"/>
        <v>598.42233996230959</v>
      </c>
      <c r="J9439" s="310">
        <f t="shared" si="818"/>
        <v>423.14285714285717</v>
      </c>
      <c r="K9439" s="445">
        <f>J9439/POBLA!$B$6*100000</f>
        <v>37.753611670836939</v>
      </c>
    </row>
    <row r="9440" spans="1:11" s="393" customFormat="1" x14ac:dyDescent="0.25">
      <c r="A9440" s="402" t="s">
        <v>20</v>
      </c>
      <c r="B9440" s="2">
        <v>44286</v>
      </c>
      <c r="C9440" s="1">
        <v>1260</v>
      </c>
      <c r="D9440" s="39">
        <f t="shared" si="812"/>
        <v>180633</v>
      </c>
      <c r="E9440" s="1">
        <v>6</v>
      </c>
      <c r="F9440" s="39">
        <f t="shared" si="813"/>
        <v>3030</v>
      </c>
      <c r="G9440" s="436">
        <f>SUM(C9440,C9416,C9392,C9368,C9344,C9320,C9296,C9272,C9248,C9224,C9200,C9176,C9152,C9128)/POBLA!$B$7*100000</f>
        <v>286.69441157308302</v>
      </c>
      <c r="H9440" s="441">
        <f t="shared" si="814"/>
        <v>1.3303307008884502</v>
      </c>
      <c r="I9440" s="445">
        <f t="shared" si="817"/>
        <v>381.39837748882132</v>
      </c>
      <c r="J9440" s="310">
        <f t="shared" si="818"/>
        <v>890.85714285714289</v>
      </c>
      <c r="K9440" s="445">
        <f>J9440/POBLA!$B$7*100000</f>
        <v>23.690173858371814</v>
      </c>
    </row>
    <row r="9441" spans="1:11" x14ac:dyDescent="0.25">
      <c r="A9441" s="402" t="s">
        <v>31</v>
      </c>
      <c r="B9441" s="2">
        <v>44286</v>
      </c>
      <c r="C9441" s="1">
        <v>299</v>
      </c>
      <c r="D9441" s="39">
        <f t="shared" si="812"/>
        <v>49939</v>
      </c>
      <c r="F9441" s="39">
        <f t="shared" si="813"/>
        <v>946</v>
      </c>
      <c r="G9441" s="169">
        <f>SUM(C9441,C9417,C9393,C9369,C9345,C9321,C9297,C9273,C9249,C9225,C9201,C9177,C9153,C9129)/POBLA!$B$8*100000</f>
        <v>183.48279641346329</v>
      </c>
      <c r="H9441" s="518">
        <f t="shared" si="814"/>
        <v>1.3548215237080448</v>
      </c>
      <c r="I9441" s="310">
        <f t="shared" si="817"/>
        <v>248.58644181110131</v>
      </c>
      <c r="J9441" s="310">
        <f t="shared" si="818"/>
        <v>190.71428571428572</v>
      </c>
      <c r="K9441" s="310">
        <f>J9441/POBLA!$B$8*100000</f>
        <v>13.760436672769703</v>
      </c>
    </row>
    <row r="9442" spans="1:11" s="393" customFormat="1" x14ac:dyDescent="0.25">
      <c r="A9442" s="402" t="s">
        <v>41</v>
      </c>
      <c r="B9442" s="2">
        <v>44286</v>
      </c>
      <c r="C9442" s="1">
        <v>175</v>
      </c>
      <c r="D9442" s="39">
        <f t="shared" si="812"/>
        <v>2257</v>
      </c>
      <c r="E9442" s="1"/>
      <c r="F9442" s="39">
        <f t="shared" si="813"/>
        <v>30</v>
      </c>
      <c r="G9442" s="436">
        <f>SUM(C9442,C9418,C9394,C9370,C9346,C9322,C9298,C9274,C9250,C9226,C9202,C9178,C9154,C9130)/POBLA!$B$9*100000</f>
        <v>100.7942920688111</v>
      </c>
      <c r="H9442" s="441">
        <f t="shared" si="814"/>
        <v>1.6897506925207757</v>
      </c>
      <c r="I9442" s="445">
        <f t="shared" si="817"/>
        <v>170.31722482541488</v>
      </c>
      <c r="J9442" s="310">
        <f t="shared" si="818"/>
        <v>69.714285714285708</v>
      </c>
      <c r="K9442" s="445">
        <f>J9442/POBLA!$B$9*100000</f>
        <v>11.519347665006983</v>
      </c>
    </row>
    <row r="9443" spans="1:11" s="393" customFormat="1" x14ac:dyDescent="0.25">
      <c r="A9443" s="402" t="s">
        <v>32</v>
      </c>
      <c r="B9443" s="2">
        <v>44286</v>
      </c>
      <c r="C9443" s="1">
        <v>76</v>
      </c>
      <c r="D9443" s="39">
        <f t="shared" si="812"/>
        <v>22449</v>
      </c>
      <c r="E9443" s="1">
        <v>2</v>
      </c>
      <c r="F9443" s="39">
        <f t="shared" si="813"/>
        <v>966</v>
      </c>
      <c r="G9443" s="436">
        <f>SUM(C9443,C9419,C9395,C9371,C9347,C9323,C9299,C9275,C9251,C9227,C9203,C9179,C9155,C9131)/POBLA!$B$10*100000</f>
        <v>79.259963600088739</v>
      </c>
      <c r="H9443" s="441">
        <f t="shared" si="814"/>
        <v>0.71378504672897192</v>
      </c>
      <c r="I9443" s="445">
        <f t="shared" si="817"/>
        <v>56.574576822025954</v>
      </c>
      <c r="J9443" s="310">
        <f t="shared" si="818"/>
        <v>47.857142857142854</v>
      </c>
      <c r="K9443" s="445">
        <f>J9443/POBLA!$B$10*100000</f>
        <v>6.2081103123754318</v>
      </c>
    </row>
    <row r="9444" spans="1:11" s="393" customFormat="1" x14ac:dyDescent="0.25">
      <c r="A9444" s="402" t="s">
        <v>33</v>
      </c>
      <c r="B9444" s="2">
        <v>44286</v>
      </c>
      <c r="C9444" s="1">
        <v>89</v>
      </c>
      <c r="D9444" s="39">
        <f t="shared" si="812"/>
        <v>21290</v>
      </c>
      <c r="E9444" s="1">
        <v>1</v>
      </c>
      <c r="F9444" s="39">
        <f t="shared" si="813"/>
        <v>321</v>
      </c>
      <c r="G9444" s="436">
        <f>SUM(C9444,C9420,C9396,C9372,C9348,C9324,C9300,C9276,C9252,C9228,C9204,C9180,C9156,C9132)/POBLA!$B$11*100000</f>
        <v>296.29381633131339</v>
      </c>
      <c r="H9444" s="441">
        <f t="shared" si="814"/>
        <v>0.83294117647058818</v>
      </c>
      <c r="I9444" s="445">
        <f t="shared" si="817"/>
        <v>246.79531995596454</v>
      </c>
      <c r="J9444" s="310">
        <f t="shared" si="818"/>
        <v>81.857142857142861</v>
      </c>
      <c r="K9444" s="445">
        <f>J9444/POBLA!$B$11*100000</f>
        <v>22.837820387118992</v>
      </c>
    </row>
    <row r="9445" spans="1:11" s="393" customFormat="1" x14ac:dyDescent="0.25">
      <c r="A9445" s="402" t="s">
        <v>21</v>
      </c>
      <c r="B9445" s="2">
        <v>44286</v>
      </c>
      <c r="C9445" s="1">
        <v>72</v>
      </c>
      <c r="D9445" s="39">
        <f t="shared" si="812"/>
        <v>11098</v>
      </c>
      <c r="E9445" s="1"/>
      <c r="F9445" s="39">
        <f t="shared" si="813"/>
        <v>449</v>
      </c>
      <c r="G9445" s="436">
        <f>SUM(C9445,C9421,C9397,C9373,C9349,C9325,C9301,C9277,C9253,C9229,C9205,C9181,C9157,C9133)/POBLA!$B$12*100000</f>
        <v>134.93219085662884</v>
      </c>
      <c r="H9445" s="441">
        <f t="shared" si="814"/>
        <v>1.8964285714285714</v>
      </c>
      <c r="I9445" s="445">
        <f t="shared" si="817"/>
        <v>255.88926194596397</v>
      </c>
      <c r="J9445" s="310">
        <f t="shared" si="818"/>
        <v>48.285714285714285</v>
      </c>
      <c r="K9445" s="445">
        <f>J9445/POBLA!$B$12*100000</f>
        <v>12.269862929658473</v>
      </c>
    </row>
    <row r="9446" spans="1:11" s="393" customFormat="1" x14ac:dyDescent="0.25">
      <c r="A9446" s="402" t="s">
        <v>17</v>
      </c>
      <c r="B9446" s="2">
        <v>44286</v>
      </c>
      <c r="C9446" s="1">
        <v>521</v>
      </c>
      <c r="D9446" s="39">
        <f t="shared" si="812"/>
        <v>73007</v>
      </c>
      <c r="E9446" s="1">
        <v>4</v>
      </c>
      <c r="F9446" s="39">
        <f t="shared" si="813"/>
        <v>1511</v>
      </c>
      <c r="G9446" s="436">
        <f>SUM(C9446,C9422,C9398,C9374,C9350,C9326,C9302,C9278,C9254,C9230,C9206,C9182,C9158,C9134)/POBLA!$B$13*100000</f>
        <v>160.77671229710731</v>
      </c>
      <c r="H9446" s="441">
        <f t="shared" si="814"/>
        <v>1.5094339622641511</v>
      </c>
      <c r="I9446" s="445">
        <f t="shared" si="817"/>
        <v>242.68182988242614</v>
      </c>
      <c r="J9446" s="310">
        <f t="shared" si="818"/>
        <v>287.42857142857144</v>
      </c>
      <c r="K9446" s="445">
        <f>J9446/POBLA!$B$13*100000</f>
        <v>14.441193979543749</v>
      </c>
    </row>
    <row r="9447" spans="1:11" s="393" customFormat="1" x14ac:dyDescent="0.25">
      <c r="A9447" s="402" t="s">
        <v>23</v>
      </c>
      <c r="B9447" s="2">
        <v>44286</v>
      </c>
      <c r="C9447" s="1">
        <v>134</v>
      </c>
      <c r="D9447" s="39">
        <f t="shared" si="812"/>
        <v>12072</v>
      </c>
      <c r="E9447" s="1">
        <v>4</v>
      </c>
      <c r="F9447" s="39">
        <f t="shared" si="813"/>
        <v>207</v>
      </c>
      <c r="G9447" s="436">
        <f>SUM(C9447,C9423,C9399,C9375,C9351,C9327,C9303,C9279,C9255,C9231,C9207,C9183,C9159,C9135)/POBLA!$B$14*100000</f>
        <v>138.11212928944403</v>
      </c>
      <c r="H9447" s="441">
        <f t="shared" si="814"/>
        <v>1.036904761904762</v>
      </c>
      <c r="I9447" s="445">
        <f t="shared" si="817"/>
        <v>143.20912453703068</v>
      </c>
      <c r="J9447" s="310">
        <f t="shared" si="818"/>
        <v>129.71428571428572</v>
      </c>
      <c r="K9447" s="445">
        <f>J9447/POBLA!$B$14*100000</f>
        <v>10.284222846876757</v>
      </c>
    </row>
    <row r="9448" spans="1:11" s="393" customFormat="1" x14ac:dyDescent="0.25">
      <c r="A9448" s="402" t="s">
        <v>19</v>
      </c>
      <c r="B9448" s="2">
        <v>44286</v>
      </c>
      <c r="C9448" s="1">
        <v>140</v>
      </c>
      <c r="D9448" s="39">
        <f t="shared" si="812"/>
        <v>65214</v>
      </c>
      <c r="E9448" s="1"/>
      <c r="F9448" s="39">
        <f t="shared" si="813"/>
        <v>1009</v>
      </c>
      <c r="G9448" s="436">
        <f>SUM(C9448,C9424,C9400,C9376,C9352,C9328,C9304,C9280,C9256,C9232,C9208,C9184,C9160,C9136)/POBLA!$B$15*100000</f>
        <v>244.10555118009447</v>
      </c>
      <c r="H9448" s="441">
        <f t="shared" si="814"/>
        <v>0.84515119916579773</v>
      </c>
      <c r="I9448" s="445">
        <f t="shared" si="817"/>
        <v>206.30609930288486</v>
      </c>
      <c r="J9448" s="310">
        <f t="shared" si="818"/>
        <v>106.28571428571429</v>
      </c>
      <c r="K9448" s="445">
        <f>J9448/POBLA!$B$15*100000</f>
        <v>16.005510714549246</v>
      </c>
    </row>
    <row r="9449" spans="1:11" s="393" customFormat="1" x14ac:dyDescent="0.25">
      <c r="A9449" s="402" t="s">
        <v>18</v>
      </c>
      <c r="B9449" s="2">
        <v>44286</v>
      </c>
      <c r="C9449" s="1">
        <v>150</v>
      </c>
      <c r="D9449" s="39">
        <f t="shared" si="812"/>
        <v>55425</v>
      </c>
      <c r="E9449" s="1">
        <v>1</v>
      </c>
      <c r="F9449" s="39">
        <f t="shared" si="813"/>
        <v>1281</v>
      </c>
      <c r="G9449" s="436">
        <f>SUM(C9449,C9425,C9401,C9377,C9353,C9329,C9305,C9281,C9257,C9233,C9209,C9185,C9161,C9137)/POBLA!$B$16*100000</f>
        <v>176.42888671901125</v>
      </c>
      <c r="H9449" s="441">
        <f t="shared" si="814"/>
        <v>0.96700879765395897</v>
      </c>
      <c r="I9449" s="445">
        <f t="shared" si="817"/>
        <v>170.60828561757759</v>
      </c>
      <c r="J9449" s="310">
        <f t="shared" si="818"/>
        <v>103.28571428571429</v>
      </c>
      <c r="K9449" s="445">
        <f>J9449/POBLA!$B$16*100000</f>
        <v>13.815453817593971</v>
      </c>
    </row>
    <row r="9450" spans="1:11" s="393" customFormat="1" x14ac:dyDescent="0.25">
      <c r="A9450" s="402" t="s">
        <v>34</v>
      </c>
      <c r="B9450" s="2">
        <v>44286</v>
      </c>
      <c r="C9450" s="1">
        <v>153</v>
      </c>
      <c r="D9450" s="39">
        <f t="shared" si="812"/>
        <v>29362</v>
      </c>
      <c r="E9450" s="1">
        <v>1</v>
      </c>
      <c r="F9450" s="39">
        <f t="shared" si="813"/>
        <v>1205</v>
      </c>
      <c r="G9450" s="436">
        <f>SUM(C9450,C9426,C9402,C9378,C9354,C9330,C9306,C9282,C9258,C9234,C9210,C9186,C9162,C9138)/POBLA!$B$17*100000</f>
        <v>99.550897678105187</v>
      </c>
      <c r="H9450" s="441">
        <f t="shared" si="814"/>
        <v>0.94281914893617025</v>
      </c>
      <c r="I9450" s="445">
        <f t="shared" si="817"/>
        <v>93.858492624702905</v>
      </c>
      <c r="J9450" s="310">
        <f t="shared" si="818"/>
        <v>106.57142857142857</v>
      </c>
      <c r="K9450" s="445">
        <f>J9450/POBLA!$B$17*100000</f>
        <v>7.4818627511451208</v>
      </c>
    </row>
    <row r="9451" spans="1:11" s="393" customFormat="1" x14ac:dyDescent="0.25">
      <c r="A9451" s="402" t="s">
        <v>35</v>
      </c>
      <c r="B9451" s="2">
        <v>44286</v>
      </c>
      <c r="C9451" s="1">
        <v>179</v>
      </c>
      <c r="D9451" s="39">
        <f t="shared" si="812"/>
        <v>17302</v>
      </c>
      <c r="E9451" s="1"/>
      <c r="F9451" s="39">
        <f t="shared" si="813"/>
        <v>224</v>
      </c>
      <c r="G9451" s="436">
        <f>SUM(C9451,C9427,C9403,C9379,C9355,C9331,C9307,C9283,C9259,C9235,C9211,C9187,C9163,C9139)/POBLA!$B$18*100000</f>
        <v>155.01454781449968</v>
      </c>
      <c r="H9451" s="441">
        <f t="shared" si="814"/>
        <v>1.7627365356622999</v>
      </c>
      <c r="I9451" s="445">
        <f t="shared" si="817"/>
        <v>273.24980699178911</v>
      </c>
      <c r="J9451" s="310">
        <f t="shared" si="818"/>
        <v>111.42857142857143</v>
      </c>
      <c r="K9451" s="445">
        <f>J9451/POBLA!$B$18*100000</f>
        <v>14.263459631391973</v>
      </c>
    </row>
    <row r="9452" spans="1:11" s="393" customFormat="1" x14ac:dyDescent="0.25">
      <c r="A9452" s="402" t="s">
        <v>36</v>
      </c>
      <c r="B9452" s="2">
        <v>44286</v>
      </c>
      <c r="C9452" s="1">
        <v>203</v>
      </c>
      <c r="D9452" s="39">
        <f t="shared" si="812"/>
        <v>22803</v>
      </c>
      <c r="E9452" s="1">
        <v>5</v>
      </c>
      <c r="F9452" s="39">
        <f t="shared" si="813"/>
        <v>416</v>
      </c>
      <c r="G9452" s="436">
        <f>SUM(C9452,C9428,C9404,C9380,C9356,C9332,C9308,C9284,C9260,C9236,C9212,C9188,C9164,C9140)/POBLA!$B$19*100000</f>
        <v>251.60919721124944</v>
      </c>
      <c r="H9452" s="441">
        <f t="shared" si="814"/>
        <v>1.7377717391304348</v>
      </c>
      <c r="I9452" s="445">
        <f t="shared" si="817"/>
        <v>437.23935221900547</v>
      </c>
      <c r="J9452" s="310">
        <f t="shared" si="818"/>
        <v>178.28571428571428</v>
      </c>
      <c r="K9452" s="445">
        <f>J9452/POBLA!$B$19*100000</f>
        <v>35.072967510291441</v>
      </c>
    </row>
    <row r="9453" spans="1:11" s="393" customFormat="1" x14ac:dyDescent="0.25">
      <c r="A9453" s="402" t="s">
        <v>37</v>
      </c>
      <c r="B9453" s="2">
        <v>44286</v>
      </c>
      <c r="C9453" s="1">
        <v>195</v>
      </c>
      <c r="D9453" s="39">
        <f t="shared" si="812"/>
        <v>39405</v>
      </c>
      <c r="E9453" s="1">
        <v>2</v>
      </c>
      <c r="F9453" s="39">
        <f t="shared" si="813"/>
        <v>642</v>
      </c>
      <c r="G9453" s="436">
        <f>SUM(C9453,C9429,C9405,C9381,C9357,C9333,C9309,C9285,C9261,C9237,C9213,C9189,C9165,C9141)/POBLA!$B$20*100000</f>
        <v>461.85650454746809</v>
      </c>
      <c r="H9453" s="441">
        <f t="shared" si="814"/>
        <v>1.1419878296146044</v>
      </c>
      <c r="I9453" s="445">
        <f t="shared" si="817"/>
        <v>527.4345072215508</v>
      </c>
      <c r="J9453" s="310">
        <f t="shared" si="818"/>
        <v>125.71428571428571</v>
      </c>
      <c r="K9453" s="445">
        <f>J9453/POBLA!$B$20*100000</f>
        <v>34.376530829888516</v>
      </c>
    </row>
    <row r="9454" spans="1:11" s="393" customFormat="1" x14ac:dyDescent="0.25">
      <c r="A9454" s="402" t="s">
        <v>22</v>
      </c>
      <c r="B9454" s="2">
        <v>44286</v>
      </c>
      <c r="C9454" s="1">
        <v>920</v>
      </c>
      <c r="D9454" s="39">
        <f t="shared" si="812"/>
        <v>231494</v>
      </c>
      <c r="E9454" s="1">
        <v>9</v>
      </c>
      <c r="F9454" s="39">
        <f t="shared" si="813"/>
        <v>4273</v>
      </c>
      <c r="G9454" s="436">
        <f>SUM(C9454,C9430,C9406,C9382,C9358,C9334,C9310,C9286,C9262,C9238,C9214,C9190,C9166,C9142)/POBLA!$B$21*100000</f>
        <v>216.82957161738233</v>
      </c>
      <c r="H9454" s="441">
        <f t="shared" si="814"/>
        <v>1.2498777506112468</v>
      </c>
      <c r="I9454" s="445">
        <f t="shared" si="817"/>
        <v>271.0104572391341</v>
      </c>
      <c r="J9454" s="310">
        <f t="shared" si="818"/>
        <v>621.85714285714289</v>
      </c>
      <c r="K9454" s="445">
        <f>J9454/POBLA!$B$21*100000</f>
        <v>17.584378963605062</v>
      </c>
    </row>
    <row r="9455" spans="1:11" s="393" customFormat="1" x14ac:dyDescent="0.25">
      <c r="A9455" s="402" t="s">
        <v>38</v>
      </c>
      <c r="B9455" s="2">
        <v>44286</v>
      </c>
      <c r="C9455" s="1">
        <v>128</v>
      </c>
      <c r="D9455" s="39">
        <f t="shared" si="812"/>
        <v>25110</v>
      </c>
      <c r="E9455" s="1">
        <v>3</v>
      </c>
      <c r="F9455" s="39">
        <f t="shared" si="813"/>
        <v>297</v>
      </c>
      <c r="G9455" s="436">
        <f>SUM(C9455,C9431,C9407,C9383,C9359,C9335,C9311,C9287,C9263,C9239,C9215,C9191,C9167,C9143)/POBLA!$B$22*100000</f>
        <v>142.5924014093649</v>
      </c>
      <c r="H9455" s="441">
        <f t="shared" si="814"/>
        <v>1.5032327586206897</v>
      </c>
      <c r="I9455" s="445">
        <f t="shared" si="817"/>
        <v>214.34956892894832</v>
      </c>
      <c r="J9455" s="310">
        <f t="shared" si="818"/>
        <v>110.85714285714286</v>
      </c>
      <c r="K9455" s="445">
        <f>J9455/POBLA!$B$22*100000</f>
        <v>11.331459651169192</v>
      </c>
    </row>
    <row r="9456" spans="1:11" s="393" customFormat="1" x14ac:dyDescent="0.25">
      <c r="A9456" s="402" t="s">
        <v>39</v>
      </c>
      <c r="B9456" s="2">
        <v>44286</v>
      </c>
      <c r="C9456" s="1">
        <v>84</v>
      </c>
      <c r="D9456" s="39">
        <f t="shared" si="812"/>
        <v>24088</v>
      </c>
      <c r="E9456" s="1"/>
      <c r="F9456" s="39">
        <f t="shared" si="813"/>
        <v>367</v>
      </c>
      <c r="G9456" s="436">
        <f>SUM(C9456,C9432,C9408,C9384,C9360,C9336,C9312,C9288,C9264,C9240,C9216,C9192,C9168,C9144)/POBLA!$B$23*100000</f>
        <v>361.36402194197819</v>
      </c>
      <c r="H9456" s="441">
        <f t="shared" si="814"/>
        <v>1.5935162094763091</v>
      </c>
      <c r="I9456" s="445">
        <f t="shared" si="817"/>
        <v>575.83942648609491</v>
      </c>
      <c r="J9456" s="310">
        <f t="shared" si="818"/>
        <v>52</v>
      </c>
      <c r="K9456" s="445">
        <f>J9456/POBLA!$B$23*100000</f>
        <v>29.406774868517783</v>
      </c>
    </row>
    <row r="9457" spans="1:12" s="393" customFormat="1" ht="15.75" thickBot="1" x14ac:dyDescent="0.3">
      <c r="A9457" s="404" t="s">
        <v>40</v>
      </c>
      <c r="B9457" s="268">
        <v>44286</v>
      </c>
      <c r="C9457" s="44">
        <v>748</v>
      </c>
      <c r="D9457" s="177">
        <f t="shared" si="812"/>
        <v>87852</v>
      </c>
      <c r="E9457" s="44"/>
      <c r="F9457" s="177">
        <f t="shared" si="813"/>
        <v>1502</v>
      </c>
      <c r="G9457" s="439">
        <f>SUM(C9457,C9433,C9409,C9385,C9361,C9337,C9313,C9289,C9265,C9241,C9217,C9193,C9169,C9145)/POBLA!$B$24*100000</f>
        <v>288.14107405868799</v>
      </c>
      <c r="H9457" s="442">
        <f t="shared" si="814"/>
        <v>1.8322701688555347</v>
      </c>
      <c r="I9457" s="445">
        <f t="shared" si="817"/>
        <v>527.95229441972742</v>
      </c>
      <c r="J9457" s="310">
        <f t="shared" si="818"/>
        <v>415.14285714285717</v>
      </c>
      <c r="K9457" s="445">
        <f>J9457/POBLA!$B$24*100000</f>
        <v>24.497175659417437</v>
      </c>
    </row>
    <row r="9458" spans="1:12" s="393" customFormat="1" ht="15.75" thickBot="1" x14ac:dyDescent="0.3">
      <c r="A9458" s="397" t="s">
        <v>16</v>
      </c>
      <c r="B9458" s="268">
        <v>44287</v>
      </c>
      <c r="C9458" s="227">
        <v>7087</v>
      </c>
      <c r="D9458" s="175">
        <f t="shared" ref="D9458:D9521" si="819">C9458+D9434</f>
        <v>994654</v>
      </c>
      <c r="E9458" s="227">
        <v>35</v>
      </c>
      <c r="F9458" s="175">
        <f t="shared" ref="F9458:F9521" si="820">E9458+F9434</f>
        <v>28238</v>
      </c>
      <c r="G9458" s="410">
        <f>SUM(C9458,C9434,C9410,C9386,C9362,C9338,C9314,C9290,C9266,C9242,C9218,C9194,C9170,C9146)/POBLA!$B$1*100000</f>
        <v>363.73346522897231</v>
      </c>
      <c r="H9458" s="440">
        <f t="shared" ref="H9458:H9521" si="821">SUM(C9458,C9434,C9410,C9386,C9362,C9338,C9314,C9290,C9266,C9242,C9218,C9194,C9170,C9146)/SUM(C9122,C9098,C9074,C9050,C9026,C9002,C8978,C8954,C8930,C8906,C8882,C8858,C8834,C8810)</f>
        <v>1.6116752551278166</v>
      </c>
      <c r="I9458" s="445">
        <f>G9458*H9458</f>
        <v>586.2202253714288</v>
      </c>
      <c r="J9458" s="310">
        <f>AVERAGE(C9458,C9434,C9410,C9386,C9362,C9338,C9314)</f>
        <v>5830.5714285714284</v>
      </c>
      <c r="K9458" s="445">
        <f>J9458/POBLA!$B$1*100000</f>
        <v>33.239408021242333</v>
      </c>
      <c r="L9458" s="448"/>
    </row>
    <row r="9459" spans="1:12" s="393" customFormat="1" ht="15.75" thickBot="1" x14ac:dyDescent="0.3">
      <c r="A9459" s="402" t="s">
        <v>43</v>
      </c>
      <c r="B9459" s="268">
        <v>44287</v>
      </c>
      <c r="C9459" s="1">
        <v>1576</v>
      </c>
      <c r="D9459" s="39">
        <f t="shared" si="819"/>
        <v>262909</v>
      </c>
      <c r="E9459" s="1">
        <v>10</v>
      </c>
      <c r="F9459" s="39">
        <f t="shared" si="820"/>
        <v>6884</v>
      </c>
      <c r="G9459" s="436">
        <f>SUM(C9459,C9435,C9411,C9387,C9363,C9339,C9315,C9291,C9267,C9243,C9219,C9195,C9171,C9147)/POBLA!$B$2*100000</f>
        <v>554.51765255169164</v>
      </c>
      <c r="H9459" s="441">
        <f t="shared" si="821"/>
        <v>1.5025107920007048</v>
      </c>
      <c r="I9459" s="445">
        <f t="shared" ref="I9459:I9481" si="822">G9459*H9459</f>
        <v>833.1687573138139</v>
      </c>
      <c r="J9459" s="310">
        <f t="shared" ref="J9459:J9481" si="823">AVERAGE(C9459,C9435,C9411,C9387,C9363,C9339,C9315)</f>
        <v>1475.5714285714287</v>
      </c>
      <c r="K9459" s="445">
        <f>J9459/POBLA!$B$2*100000</f>
        <v>47.975983860672798</v>
      </c>
      <c r="L9459" s="449"/>
    </row>
    <row r="9460" spans="1:12" s="393" customFormat="1" ht="15.75" thickBot="1" x14ac:dyDescent="0.3">
      <c r="A9460" s="402" t="s">
        <v>28</v>
      </c>
      <c r="B9460" s="268">
        <v>44287</v>
      </c>
      <c r="C9460" s="1">
        <v>70</v>
      </c>
      <c r="D9460" s="39">
        <f t="shared" si="819"/>
        <v>10530</v>
      </c>
      <c r="E9460" s="1"/>
      <c r="F9460" s="39">
        <f t="shared" si="820"/>
        <v>18</v>
      </c>
      <c r="G9460" s="436">
        <f>SUM(C9460,C9436,C9412,C9388,C9364,C9340,C9316,C9292,C9268,C9244,C9220,C9196,C9172,C9148)/POBLA!$B$3*100000</f>
        <v>257.80020123339705</v>
      </c>
      <c r="H9460" s="441">
        <f t="shared" si="821"/>
        <v>0.88075657894736847</v>
      </c>
      <c r="I9460" s="445">
        <f t="shared" si="822"/>
        <v>227.05922329026995</v>
      </c>
      <c r="J9460" s="310">
        <f t="shared" si="823"/>
        <v>76.142857142857139</v>
      </c>
      <c r="K9460" s="445">
        <f>J9460/POBLA!$B$3*100000</f>
        <v>18.328332300573646</v>
      </c>
      <c r="L9460" s="449"/>
    </row>
    <row r="9461" spans="1:12" s="393" customFormat="1" ht="15.75" thickBot="1" x14ac:dyDescent="0.3">
      <c r="A9461" s="402" t="s">
        <v>15</v>
      </c>
      <c r="B9461" s="268">
        <v>44287</v>
      </c>
      <c r="C9461" s="1">
        <v>180</v>
      </c>
      <c r="D9461" s="39">
        <f t="shared" si="819"/>
        <v>38672</v>
      </c>
      <c r="E9461" s="1"/>
      <c r="F9461" s="39">
        <f t="shared" si="820"/>
        <v>924</v>
      </c>
      <c r="G9461" s="436">
        <f>SUM(C9461,C9437,C9413,C9389,C9365,C9341,C9317,C9293,C9269,C9245,C9221,C9197,C9173,C9149)/POBLA!$B$4*100000</f>
        <v>179.81953291751796</v>
      </c>
      <c r="H9461" s="441">
        <f t="shared" si="821"/>
        <v>1.1894563426688634</v>
      </c>
      <c r="I9461" s="445">
        <f t="shared" si="822"/>
        <v>213.88748396449421</v>
      </c>
      <c r="J9461" s="310">
        <f t="shared" si="823"/>
        <v>167.42857142857142</v>
      </c>
      <c r="K9461" s="445">
        <f>J9461/POBLA!$B$4*100000</f>
        <v>13.899781861187908</v>
      </c>
      <c r="L9461" s="450"/>
    </row>
    <row r="9462" spans="1:12" s="393" customFormat="1" ht="15.75" thickBot="1" x14ac:dyDescent="0.3">
      <c r="A9462" s="402" t="s">
        <v>29</v>
      </c>
      <c r="B9462" s="268">
        <v>44287</v>
      </c>
      <c r="C9462" s="1">
        <v>111</v>
      </c>
      <c r="D9462" s="39">
        <f t="shared" si="819"/>
        <v>50224</v>
      </c>
      <c r="E9462" s="1"/>
      <c r="F9462" s="39">
        <f t="shared" si="820"/>
        <v>864</v>
      </c>
      <c r="G9462" s="436">
        <f>SUM(C9462,C9438,C9414,C9390,C9366,C9342,C9318,C9294,C9270,C9246,C9222,C9198,C9174,C9150)/POBLA!$B$5*100000</f>
        <v>267.53086459642583</v>
      </c>
      <c r="H9462" s="441">
        <f t="shared" si="821"/>
        <v>1.3629629629629629</v>
      </c>
      <c r="I9462" s="445">
        <f t="shared" si="822"/>
        <v>364.63465989438777</v>
      </c>
      <c r="J9462" s="310">
        <f t="shared" si="823"/>
        <v>139.42857142857142</v>
      </c>
      <c r="K9462" s="445">
        <f>J9462/POBLA!$B$5*100000</f>
        <v>22.525027937035158</v>
      </c>
      <c r="L9462" s="450"/>
    </row>
    <row r="9463" spans="1:12" s="393" customFormat="1" ht="15.75" thickBot="1" x14ac:dyDescent="0.3">
      <c r="A9463" s="402" t="s">
        <v>30</v>
      </c>
      <c r="B9463" s="268">
        <v>44287</v>
      </c>
      <c r="C9463" s="1">
        <v>422</v>
      </c>
      <c r="D9463" s="39">
        <f t="shared" si="819"/>
        <v>30478</v>
      </c>
      <c r="E9463" s="1"/>
      <c r="F9463" s="39">
        <f t="shared" si="820"/>
        <v>328</v>
      </c>
      <c r="G9463" s="436">
        <f>SUM(C9463,C9439,C9415,C9391,C9367,C9343,C9319,C9295,C9271,C9247,C9223,C9199,C9175,C9151)/POBLA!$B$6*100000</f>
        <v>419.25373014478038</v>
      </c>
      <c r="H9463" s="441">
        <f t="shared" si="821"/>
        <v>1.5306188925081434</v>
      </c>
      <c r="I9463" s="445">
        <f t="shared" si="822"/>
        <v>641.71768011411177</v>
      </c>
      <c r="J9463" s="310">
        <f t="shared" si="823"/>
        <v>479.42857142857144</v>
      </c>
      <c r="K9463" s="445">
        <f>J9463/POBLA!$B$6*100000</f>
        <v>42.775530306323013</v>
      </c>
      <c r="L9463" s="449"/>
    </row>
    <row r="9464" spans="1:12" s="393" customFormat="1" ht="15.75" thickBot="1" x14ac:dyDescent="0.3">
      <c r="A9464" s="402" t="s">
        <v>20</v>
      </c>
      <c r="B9464" s="268">
        <v>44287</v>
      </c>
      <c r="C9464" s="1">
        <v>1194</v>
      </c>
      <c r="D9464" s="39">
        <f t="shared" si="819"/>
        <v>181827</v>
      </c>
      <c r="E9464" s="1">
        <v>8</v>
      </c>
      <c r="F9464" s="39">
        <f t="shared" si="820"/>
        <v>3038</v>
      </c>
      <c r="G9464" s="436">
        <f>SUM(C9464,C9440,C9416,C9392,C9368,C9344,C9320,C9296,C9272,C9248,C9224,C9200,C9176,C9152)/POBLA!$B$7*100000</f>
        <v>299.59180417237297</v>
      </c>
      <c r="H9464" s="441">
        <f t="shared" si="821"/>
        <v>1.3879512135025256</v>
      </c>
      <c r="I9464" s="445">
        <f t="shared" si="822"/>
        <v>415.8188081564561</v>
      </c>
      <c r="J9464" s="310">
        <f t="shared" si="823"/>
        <v>958.14285714285711</v>
      </c>
      <c r="K9464" s="445">
        <f>J9464/POBLA!$B$7*100000</f>
        <v>25.479473391292455</v>
      </c>
      <c r="L9464" s="450"/>
    </row>
    <row r="9465" spans="1:12" ht="15.75" thickBot="1" x14ac:dyDescent="0.3">
      <c r="A9465" s="402" t="s">
        <v>31</v>
      </c>
      <c r="B9465" s="268">
        <v>44287</v>
      </c>
      <c r="C9465" s="1">
        <v>236</v>
      </c>
      <c r="D9465" s="39">
        <f t="shared" si="819"/>
        <v>50175</v>
      </c>
      <c r="E9465" s="1">
        <v>2</v>
      </c>
      <c r="F9465" s="39">
        <f t="shared" si="820"/>
        <v>948</v>
      </c>
      <c r="G9465" s="169">
        <f>SUM(C9465,C9441,C9417,C9393,C9369,C9345,C9321,C9297,C9273,C9249,C9225,C9201,C9177,C9153)/POBLA!$B$8*100000</f>
        <v>185.2865989735642</v>
      </c>
      <c r="H9465" s="518">
        <f t="shared" si="821"/>
        <v>1.3580116340560551</v>
      </c>
      <c r="I9465" s="310">
        <f t="shared" si="822"/>
        <v>251.62135704077889</v>
      </c>
      <c r="J9465" s="310">
        <f t="shared" si="823"/>
        <v>205</v>
      </c>
      <c r="K9465" s="310">
        <f>J9465/POBLA!$B$8*100000</f>
        <v>14.791180992827359</v>
      </c>
      <c r="L9465" s="537"/>
    </row>
    <row r="9466" spans="1:12" s="393" customFormat="1" ht="15.75" thickBot="1" x14ac:dyDescent="0.3">
      <c r="A9466" s="402" t="s">
        <v>41</v>
      </c>
      <c r="B9466" s="268">
        <v>44287</v>
      </c>
      <c r="C9466" s="1">
        <v>37</v>
      </c>
      <c r="D9466" s="39">
        <f t="shared" si="819"/>
        <v>2294</v>
      </c>
      <c r="E9466" s="1">
        <v>6</v>
      </c>
      <c r="F9466" s="39">
        <f t="shared" si="820"/>
        <v>36</v>
      </c>
      <c r="G9466" s="436">
        <f>SUM(C9466,C9442,C9418,C9394,C9370,C9346,C9322,C9298,C9274,C9250,C9226,C9202,C9178,C9154)/POBLA!$B$9*100000</f>
        <v>104.75996913381351</v>
      </c>
      <c r="H9466" s="441">
        <f t="shared" si="821"/>
        <v>1.8062678062678064</v>
      </c>
      <c r="I9466" s="445">
        <f t="shared" si="822"/>
        <v>189.22455963201645</v>
      </c>
      <c r="J9466" s="310">
        <f t="shared" si="823"/>
        <v>66.857142857142861</v>
      </c>
      <c r="K9466" s="445">
        <f>J9466/POBLA!$B$9*100000</f>
        <v>11.047243252506698</v>
      </c>
      <c r="L9466" s="449"/>
    </row>
    <row r="9467" spans="1:12" s="393" customFormat="1" ht="15.75" thickBot="1" x14ac:dyDescent="0.3">
      <c r="A9467" s="402" t="s">
        <v>32</v>
      </c>
      <c r="B9467" s="268">
        <v>44287</v>
      </c>
      <c r="C9467" s="1">
        <v>84</v>
      </c>
      <c r="D9467" s="39">
        <f t="shared" si="819"/>
        <v>22533</v>
      </c>
      <c r="E9467" s="1">
        <v>5</v>
      </c>
      <c r="F9467" s="39">
        <f t="shared" si="820"/>
        <v>971</v>
      </c>
      <c r="G9467" s="436">
        <f>SUM(C9467,C9443,C9419,C9395,C9371,C9347,C9323,C9299,C9275,C9251,C9227,C9203,C9179,C9155)/POBLA!$B$10*100000</f>
        <v>83.411058256721859</v>
      </c>
      <c r="H9467" s="441">
        <f t="shared" si="821"/>
        <v>0.7831912302070646</v>
      </c>
      <c r="I9467" s="445">
        <f t="shared" si="822"/>
        <v>65.326809328955122</v>
      </c>
      <c r="J9467" s="310">
        <f t="shared" si="823"/>
        <v>54.428571428571431</v>
      </c>
      <c r="K9467" s="445">
        <f>J9467/POBLA!$B$10*100000</f>
        <v>7.0605672507911645</v>
      </c>
      <c r="L9467" s="451"/>
    </row>
    <row r="9468" spans="1:12" s="393" customFormat="1" ht="15.75" thickBot="1" x14ac:dyDescent="0.3">
      <c r="A9468" s="402" t="s">
        <v>33</v>
      </c>
      <c r="B9468" s="268">
        <v>44287</v>
      </c>
      <c r="C9468" s="1">
        <v>95</v>
      </c>
      <c r="D9468" s="39">
        <f t="shared" si="819"/>
        <v>21385</v>
      </c>
      <c r="E9468" s="1"/>
      <c r="F9468" s="39">
        <f t="shared" si="820"/>
        <v>321</v>
      </c>
      <c r="G9468" s="436">
        <f>SUM(C9468,C9444,C9420,C9396,C9372,C9348,C9324,C9300,C9276,C9252,C9228,C9204,C9180,C9156)/POBLA!$B$11*100000</f>
        <v>299.64176905822092</v>
      </c>
      <c r="H9468" s="441">
        <f t="shared" si="821"/>
        <v>0.85441527446300713</v>
      </c>
      <c r="I9468" s="445">
        <f t="shared" si="822"/>
        <v>256.01850435046083</v>
      </c>
      <c r="J9468" s="310">
        <f t="shared" si="823"/>
        <v>83</v>
      </c>
      <c r="K9468" s="445">
        <f>J9468/POBLA!$B$11*100000</f>
        <v>23.156673027776847</v>
      </c>
      <c r="L9468" s="450"/>
    </row>
    <row r="9469" spans="1:12" s="393" customFormat="1" ht="15.75" thickBot="1" x14ac:dyDescent="0.3">
      <c r="A9469" s="402" t="s">
        <v>21</v>
      </c>
      <c r="B9469" s="268">
        <v>44287</v>
      </c>
      <c r="C9469" s="1">
        <v>55</v>
      </c>
      <c r="D9469" s="39">
        <f t="shared" si="819"/>
        <v>11153</v>
      </c>
      <c r="E9469" s="1"/>
      <c r="F9469" s="39">
        <f t="shared" si="820"/>
        <v>449</v>
      </c>
      <c r="G9469" s="436">
        <f>SUM(C9469,C9445,C9421,C9397,C9373,C9349,C9325,C9301,C9277,C9253,C9229,C9205,C9181,C9157)/POBLA!$B$12*100000</f>
        <v>135.44041003123007</v>
      </c>
      <c r="H9469" s="441">
        <f t="shared" si="821"/>
        <v>1.697452229299363</v>
      </c>
      <c r="I9469" s="445">
        <f t="shared" si="822"/>
        <v>229.90362594473129</v>
      </c>
      <c r="J9469" s="310">
        <f t="shared" si="823"/>
        <v>50.714285714285715</v>
      </c>
      <c r="K9469" s="445">
        <f>J9469/POBLA!$B$12*100000</f>
        <v>12.886986213102833</v>
      </c>
      <c r="L9469" s="450"/>
    </row>
    <row r="9470" spans="1:12" s="393" customFormat="1" ht="15.75" thickBot="1" x14ac:dyDescent="0.3">
      <c r="A9470" s="402" t="s">
        <v>17</v>
      </c>
      <c r="B9470" s="268">
        <v>44287</v>
      </c>
      <c r="C9470" s="1">
        <v>488</v>
      </c>
      <c r="D9470" s="39">
        <f t="shared" si="819"/>
        <v>73495</v>
      </c>
      <c r="E9470" s="1">
        <v>2</v>
      </c>
      <c r="F9470" s="39">
        <f t="shared" si="820"/>
        <v>1513</v>
      </c>
      <c r="G9470" s="436">
        <f>SUM(C9470,C9446,C9422,C9398,C9374,C9350,C9326,C9302,C9278,C9254,C9230,C9206,C9182,C9158)/POBLA!$B$13*100000</f>
        <v>174.34224739717575</v>
      </c>
      <c r="H9470" s="441">
        <f t="shared" si="821"/>
        <v>1.6222533894343152</v>
      </c>
      <c r="I9470" s="445">
        <f t="shared" si="822"/>
        <v>282.82730176166427</v>
      </c>
      <c r="J9470" s="310">
        <f t="shared" si="823"/>
        <v>330.42857142857144</v>
      </c>
      <c r="K9470" s="445">
        <f>J9470/POBLA!$B$13*100000</f>
        <v>16.601631051036126</v>
      </c>
      <c r="L9470" s="450"/>
    </row>
    <row r="9471" spans="1:12" s="393" customFormat="1" ht="15.75" thickBot="1" x14ac:dyDescent="0.3">
      <c r="A9471" s="402" t="s">
        <v>23</v>
      </c>
      <c r="B9471" s="268">
        <v>44287</v>
      </c>
      <c r="C9471" s="1">
        <v>82</v>
      </c>
      <c r="D9471" s="39">
        <f t="shared" si="819"/>
        <v>12154</v>
      </c>
      <c r="E9471" s="1"/>
      <c r="F9471" s="39">
        <f t="shared" si="820"/>
        <v>207</v>
      </c>
      <c r="G9471" s="436">
        <f>SUM(C9471,C9447,C9423,C9399,C9375,C9351,C9327,C9303,C9279,C9255,C9231,C9207,C9183,C9159)/POBLA!$B$14*100000</f>
        <v>134.14794647401794</v>
      </c>
      <c r="H9471" s="441">
        <f t="shared" si="821"/>
        <v>1.0149970005998801</v>
      </c>
      <c r="I9471" s="445">
        <f t="shared" si="822"/>
        <v>136.15976330776147</v>
      </c>
      <c r="J9471" s="310">
        <f t="shared" si="823"/>
        <v>123.85714285714286</v>
      </c>
      <c r="K9471" s="445">
        <f>J9471/POBLA!$B$14*100000</f>
        <v>9.8198471456411323</v>
      </c>
      <c r="L9471" s="449"/>
    </row>
    <row r="9472" spans="1:12" s="393" customFormat="1" ht="15.75" thickBot="1" x14ac:dyDescent="0.3">
      <c r="A9472" s="402" t="s">
        <v>19</v>
      </c>
      <c r="B9472" s="268">
        <v>44287</v>
      </c>
      <c r="C9472" s="1">
        <v>97</v>
      </c>
      <c r="D9472" s="39">
        <f t="shared" si="819"/>
        <v>65311</v>
      </c>
      <c r="E9472" s="1"/>
      <c r="F9472" s="39">
        <f t="shared" si="820"/>
        <v>1009</v>
      </c>
      <c r="G9472" s="436">
        <f>SUM(C9472,C9448,C9424,C9400,C9376,C9352,C9328,C9304,C9280,C9256,C9232,C9208,C9184,C9160)/POBLA!$B$15*100000</f>
        <v>235.07018222833281</v>
      </c>
      <c r="H9472" s="441">
        <f t="shared" si="821"/>
        <v>0.83879634605051046</v>
      </c>
      <c r="I9472" s="445">
        <f t="shared" si="822"/>
        <v>197.17600991855321</v>
      </c>
      <c r="J9472" s="310">
        <f t="shared" si="823"/>
        <v>108.71428571428571</v>
      </c>
      <c r="K9472" s="445">
        <f>J9472/POBLA!$B$15*100000</f>
        <v>16.371228029263406</v>
      </c>
      <c r="L9472" s="450"/>
    </row>
    <row r="9473" spans="1:12" s="393" customFormat="1" ht="15.75" thickBot="1" x14ac:dyDescent="0.3">
      <c r="A9473" s="402" t="s">
        <v>18</v>
      </c>
      <c r="B9473" s="268">
        <v>44287</v>
      </c>
      <c r="C9473" s="1">
        <v>128</v>
      </c>
      <c r="D9473" s="39">
        <f t="shared" si="819"/>
        <v>55553</v>
      </c>
      <c r="E9473" s="1">
        <v>1</v>
      </c>
      <c r="F9473" s="39">
        <f t="shared" si="820"/>
        <v>1282</v>
      </c>
      <c r="G9473" s="436">
        <f>SUM(C9473,C9449,C9425,C9401,C9377,C9353,C9329,C9305,C9281,C9257,C9233,C9209,C9185,C9161)/POBLA!$B$16*100000</f>
        <v>177.63272294378083</v>
      </c>
      <c r="H9473" s="441">
        <f t="shared" si="821"/>
        <v>0.98297557364914878</v>
      </c>
      <c r="I9473" s="445">
        <f t="shared" si="822"/>
        <v>174.60862773452328</v>
      </c>
      <c r="J9473" s="310">
        <f t="shared" si="823"/>
        <v>109.57142857142857</v>
      </c>
      <c r="K9473" s="445">
        <f>J9473/POBLA!$B$16*100000</f>
        <v>14.656228323782262</v>
      </c>
      <c r="L9473" s="449"/>
    </row>
    <row r="9474" spans="1:12" s="393" customFormat="1" ht="15.75" thickBot="1" x14ac:dyDescent="0.3">
      <c r="A9474" s="402" t="s">
        <v>34</v>
      </c>
      <c r="B9474" s="268">
        <v>44287</v>
      </c>
      <c r="C9474" s="1">
        <v>163</v>
      </c>
      <c r="D9474" s="39">
        <f t="shared" si="819"/>
        <v>29525</v>
      </c>
      <c r="E9474" s="1"/>
      <c r="F9474" s="39">
        <f t="shared" si="820"/>
        <v>1205</v>
      </c>
      <c r="G9474" s="436">
        <f>SUM(C9474,C9450,C9426,C9402,C9378,C9354,C9330,C9306,C9282,C9258,C9234,C9210,C9186,C9162)/POBLA!$B$17*100000</f>
        <v>100.81459031435757</v>
      </c>
      <c r="H9474" s="441">
        <f t="shared" si="821"/>
        <v>0.97027027027027024</v>
      </c>
      <c r="I9474" s="445">
        <f t="shared" si="822"/>
        <v>97.817399791498289</v>
      </c>
      <c r="J9474" s="310">
        <f t="shared" si="823"/>
        <v>119.85714285714286</v>
      </c>
      <c r="K9474" s="445">
        <f>J9474/POBLA!$B$17*100000</f>
        <v>8.4145882683790312</v>
      </c>
      <c r="L9474" s="449"/>
    </row>
    <row r="9475" spans="1:12" s="393" customFormat="1" ht="15.75" thickBot="1" x14ac:dyDescent="0.3">
      <c r="A9475" s="402" t="s">
        <v>35</v>
      </c>
      <c r="B9475" s="268">
        <v>44287</v>
      </c>
      <c r="C9475" s="1">
        <v>91</v>
      </c>
      <c r="D9475" s="39">
        <f t="shared" si="819"/>
        <v>17393</v>
      </c>
      <c r="E9475" s="1"/>
      <c r="F9475" s="39">
        <f t="shared" si="820"/>
        <v>224</v>
      </c>
      <c r="G9475" s="436">
        <f>SUM(C9475,C9451,C9427,C9403,C9379,C9355,C9331,C9307,C9283,C9259,C9235,C9211,C9187,C9163)/POBLA!$B$18*100000</f>
        <v>155.52656944229324</v>
      </c>
      <c r="H9475" s="441">
        <f t="shared" si="821"/>
        <v>1.6851595006934812</v>
      </c>
      <c r="I9475" s="445">
        <f t="shared" si="822"/>
        <v>262.0870761059449</v>
      </c>
      <c r="J9475" s="310">
        <f t="shared" si="823"/>
        <v>111.28571428571429</v>
      </c>
      <c r="K9475" s="445">
        <f>J9475/POBLA!$B$18*100000</f>
        <v>14.24517314468506</v>
      </c>
      <c r="L9475" s="450"/>
    </row>
    <row r="9476" spans="1:12" s="393" customFormat="1" ht="15.75" thickBot="1" x14ac:dyDescent="0.3">
      <c r="A9476" s="402" t="s">
        <v>36</v>
      </c>
      <c r="B9476" s="268">
        <v>44287</v>
      </c>
      <c r="C9476" s="1">
        <v>246</v>
      </c>
      <c r="D9476" s="39">
        <f t="shared" si="819"/>
        <v>23049</v>
      </c>
      <c r="E9476" s="1">
        <v>14</v>
      </c>
      <c r="F9476" s="39">
        <f t="shared" si="820"/>
        <v>430</v>
      </c>
      <c r="G9476" s="436">
        <f>SUM(C9476,C9452,C9428,C9404,C9380,C9356,C9332,C9308,C9284,C9260,C9236,C9212,C9188,C9164)/POBLA!$B$19*100000</f>
        <v>297.64246706850696</v>
      </c>
      <c r="H9476" s="441">
        <f t="shared" si="821"/>
        <v>2.0445945945945945</v>
      </c>
      <c r="I9476" s="445">
        <f t="shared" si="822"/>
        <v>608.55817929006889</v>
      </c>
      <c r="J9476" s="310">
        <f t="shared" si="823"/>
        <v>200.57142857142858</v>
      </c>
      <c r="K9476" s="445">
        <f>J9476/POBLA!$B$19*100000</f>
        <v>39.457088449077872</v>
      </c>
      <c r="L9476" s="450"/>
    </row>
    <row r="9477" spans="1:12" s="393" customFormat="1" ht="15.75" thickBot="1" x14ac:dyDescent="0.3">
      <c r="A9477" s="402" t="s">
        <v>37</v>
      </c>
      <c r="B9477" s="268">
        <v>44287</v>
      </c>
      <c r="C9477" s="1">
        <v>178</v>
      </c>
      <c r="D9477" s="39">
        <f t="shared" si="819"/>
        <v>39583</v>
      </c>
      <c r="E9477" s="1"/>
      <c r="F9477" s="39">
        <f t="shared" si="820"/>
        <v>642</v>
      </c>
      <c r="G9477" s="436">
        <f>SUM(C9477,C9453,C9429,C9405,C9381,C9357,C9333,C9309,C9285,C9261,C9237,C9213,C9189,C9165)/POBLA!$B$20*100000</f>
        <v>470.8803438903139</v>
      </c>
      <c r="H9477" s="441">
        <f t="shared" si="821"/>
        <v>1.2041958041958043</v>
      </c>
      <c r="I9477" s="445">
        <f t="shared" si="822"/>
        <v>567.03213439099341</v>
      </c>
      <c r="J9477" s="310">
        <f t="shared" si="823"/>
        <v>139.57142857142858</v>
      </c>
      <c r="K9477" s="445">
        <f>J9477/POBLA!$B$20*100000</f>
        <v>38.165762069092146</v>
      </c>
      <c r="L9477" s="450"/>
    </row>
    <row r="9478" spans="1:12" s="393" customFormat="1" ht="15.75" thickBot="1" x14ac:dyDescent="0.3">
      <c r="A9478" s="402" t="s">
        <v>22</v>
      </c>
      <c r="B9478" s="268">
        <v>44287</v>
      </c>
      <c r="C9478" s="1">
        <v>1022</v>
      </c>
      <c r="D9478" s="39">
        <f t="shared" si="819"/>
        <v>232516</v>
      </c>
      <c r="E9478" s="1"/>
      <c r="F9478" s="39">
        <f t="shared" si="820"/>
        <v>4273</v>
      </c>
      <c r="G9478" s="436">
        <f>SUM(C9478,C9454,C9430,C9406,C9382,C9358,C9334,C9310,C9286,C9262,C9238,C9214,C9190,C9166)/POBLA!$B$21*100000</f>
        <v>231.98615095839915</v>
      </c>
      <c r="H9478" s="441">
        <f t="shared" si="821"/>
        <v>1.3357212634321067</v>
      </c>
      <c r="I9478" s="445">
        <f t="shared" si="822"/>
        <v>309.86883465690437</v>
      </c>
      <c r="J9478" s="310">
        <f t="shared" si="823"/>
        <v>704.42857142857144</v>
      </c>
      <c r="K9478" s="445">
        <f>J9478/POBLA!$B$21*100000</f>
        <v>19.91926778532887</v>
      </c>
      <c r="L9478" s="450"/>
    </row>
    <row r="9479" spans="1:12" s="393" customFormat="1" ht="15.75" thickBot="1" x14ac:dyDescent="0.3">
      <c r="A9479" s="402" t="s">
        <v>38</v>
      </c>
      <c r="B9479" s="268">
        <v>44287</v>
      </c>
      <c r="C9479" s="1">
        <v>191</v>
      </c>
      <c r="D9479" s="39">
        <f t="shared" si="819"/>
        <v>25301</v>
      </c>
      <c r="E9479" s="1"/>
      <c r="F9479" s="39">
        <f t="shared" si="820"/>
        <v>297</v>
      </c>
      <c r="G9479" s="436">
        <f>SUM(C9479,C9455,C9431,C9407,C9383,C9359,C9335,C9311,C9287,C9263,C9239,C9215,C9191,C9167)/POBLA!$B$22*100000</f>
        <v>150.8719602008764</v>
      </c>
      <c r="H9479" s="441">
        <f t="shared" si="821"/>
        <v>1.5407098121085594</v>
      </c>
      <c r="I9479" s="445">
        <f t="shared" si="822"/>
        <v>232.44990945354232</v>
      </c>
      <c r="J9479" s="310">
        <f t="shared" si="823"/>
        <v>119</v>
      </c>
      <c r="K9479" s="445">
        <f>J9479/POBLA!$B$22*100000</f>
        <v>12.163796249257651</v>
      </c>
      <c r="L9479" s="449"/>
    </row>
    <row r="9480" spans="1:12" s="393" customFormat="1" ht="15.75" thickBot="1" x14ac:dyDescent="0.3">
      <c r="A9480" s="402" t="s">
        <v>39</v>
      </c>
      <c r="B9480" s="268">
        <v>44287</v>
      </c>
      <c r="C9480" s="1">
        <v>57</v>
      </c>
      <c r="D9480" s="39">
        <f t="shared" si="819"/>
        <v>24145</v>
      </c>
      <c r="E9480" s="1"/>
      <c r="F9480" s="39">
        <f t="shared" si="820"/>
        <v>367</v>
      </c>
      <c r="G9480" s="436">
        <f>SUM(C9480,C9456,C9432,C9408,C9384,C9360,C9336,C9312,C9288,C9264,C9240,C9216,C9192,C9168)/POBLA!$B$23*100000</f>
        <v>365.32262625120171</v>
      </c>
      <c r="H9480" s="441">
        <f t="shared" si="821"/>
        <v>1.5454545454545454</v>
      </c>
      <c r="I9480" s="445">
        <f t="shared" si="822"/>
        <v>564.58951329731167</v>
      </c>
      <c r="J9480" s="310">
        <f t="shared" si="823"/>
        <v>53.714285714285715</v>
      </c>
      <c r="K9480" s="445">
        <f>J9480/POBLA!$B$23*100000</f>
        <v>30.376228985062326</v>
      </c>
      <c r="L9480" s="450"/>
    </row>
    <row r="9481" spans="1:12" s="393" customFormat="1" ht="15.75" thickBot="1" x14ac:dyDescent="0.3">
      <c r="A9481" s="404" t="s">
        <v>40</v>
      </c>
      <c r="B9481" s="268">
        <v>44287</v>
      </c>
      <c r="C9481" s="1">
        <v>540</v>
      </c>
      <c r="D9481" s="177">
        <f t="shared" si="819"/>
        <v>88392</v>
      </c>
      <c r="E9481" s="1"/>
      <c r="F9481" s="177">
        <f t="shared" si="820"/>
        <v>1502</v>
      </c>
      <c r="G9481" s="439">
        <f>SUM(C9481,C9457,C9433,C9409,C9385,C9361,C9337,C9313,C9289,C9265,C9241,C9217,C9193,C9169)/POBLA!$B$24*100000</f>
        <v>298.99873484648214</v>
      </c>
      <c r="H9481" s="442">
        <f t="shared" si="821"/>
        <v>1.7648902821316614</v>
      </c>
      <c r="I9481" s="445">
        <f t="shared" si="822"/>
        <v>527.69996150021768</v>
      </c>
      <c r="J9481" s="310">
        <f t="shared" si="823"/>
        <v>454.57142857142856</v>
      </c>
      <c r="K9481" s="445">
        <f>J9481/POBLA!$B$24*100000</f>
        <v>26.823817256801885</v>
      </c>
      <c r="L9481" s="450"/>
    </row>
    <row r="9482" spans="1:12" s="393" customFormat="1" ht="15.75" thickBot="1" x14ac:dyDescent="0.3">
      <c r="A9482" s="397" t="s">
        <v>16</v>
      </c>
      <c r="B9482" s="268">
        <v>44288</v>
      </c>
      <c r="C9482" s="1">
        <v>5016</v>
      </c>
      <c r="D9482" s="175">
        <f t="shared" si="819"/>
        <v>999670</v>
      </c>
      <c r="E9482" s="1">
        <v>56</v>
      </c>
      <c r="F9482" s="175">
        <f t="shared" si="820"/>
        <v>28294</v>
      </c>
      <c r="G9482" s="410">
        <f>SUM(C9482,C9458,C9434,C9410,C9386,C9362,C9338,C9314,C9290,C9266,C9242,C9218,C9194,C9170)/POBLA!$B$1*100000</f>
        <v>372.13656739889382</v>
      </c>
      <c r="H9482" s="440">
        <f t="shared" si="821"/>
        <v>1.6469118982742961</v>
      </c>
      <c r="I9482" s="445">
        <f>G9482*H9482</f>
        <v>612.87614063219269</v>
      </c>
      <c r="J9482" s="310">
        <f>AVERAGE(C9482,C9458,C9434,C9410,C9386,C9362,C9338)</f>
        <v>5734.8571428571431</v>
      </c>
      <c r="K9482" s="445">
        <f>J9482/POBLA!$B$1*100000</f>
        <v>32.693752036182502</v>
      </c>
      <c r="L9482" s="449"/>
    </row>
    <row r="9483" spans="1:12" s="393" customFormat="1" ht="15.75" thickBot="1" x14ac:dyDescent="0.3">
      <c r="A9483" s="402" t="s">
        <v>43</v>
      </c>
      <c r="B9483" s="268">
        <v>44288</v>
      </c>
      <c r="C9483" s="1">
        <v>1699</v>
      </c>
      <c r="D9483" s="39">
        <f t="shared" si="819"/>
        <v>264608</v>
      </c>
      <c r="E9483" s="1">
        <v>4</v>
      </c>
      <c r="F9483" s="39">
        <f t="shared" si="820"/>
        <v>6888</v>
      </c>
      <c r="G9483" s="436">
        <f>SUM(C9483,C9459,C9435,C9411,C9387,C9363,C9339,C9315,C9291,C9267,C9243,C9219,C9195,C9171)/POBLA!$B$2*100000</f>
        <v>581.0161507533702</v>
      </c>
      <c r="H9483" s="441">
        <f t="shared" si="821"/>
        <v>1.5714034470629616</v>
      </c>
      <c r="I9483" s="445">
        <f t="shared" ref="I9483:I9505" si="824">G9483*H9483</f>
        <v>913.01078209309935</v>
      </c>
      <c r="J9483" s="310">
        <f t="shared" ref="J9483:J9505" si="825">AVERAGE(C9483,C9459,C9435,C9411,C9387,C9363,C9339)</f>
        <v>1517.5714285714287</v>
      </c>
      <c r="K9483" s="445">
        <f>J9483/POBLA!$B$2*100000</f>
        <v>49.341550639164211</v>
      </c>
    </row>
    <row r="9484" spans="1:12" s="393" customFormat="1" ht="15.75" thickBot="1" x14ac:dyDescent="0.3">
      <c r="A9484" s="402" t="s">
        <v>28</v>
      </c>
      <c r="B9484" s="268">
        <v>44288</v>
      </c>
      <c r="C9484" s="1">
        <v>94</v>
      </c>
      <c r="D9484" s="39">
        <f t="shared" si="819"/>
        <v>10624</v>
      </c>
      <c r="E9484" s="1"/>
      <c r="F9484" s="39">
        <f t="shared" si="820"/>
        <v>18</v>
      </c>
      <c r="G9484" s="436">
        <f>SUM(C9484,C9460,C9436,C9412,C9388,C9364,C9340,C9316,C9292,C9268,C9244,C9220,C9196,C9172)/POBLA!$B$3*100000</f>
        <v>252.50458552178665</v>
      </c>
      <c r="H9484" s="441">
        <f t="shared" si="821"/>
        <v>0.86337448559670782</v>
      </c>
      <c r="I9484" s="445">
        <f t="shared" si="824"/>
        <v>218.00601663568247</v>
      </c>
      <c r="J9484" s="310">
        <f t="shared" si="825"/>
        <v>75.571428571428569</v>
      </c>
      <c r="K9484" s="445">
        <f>J9484/POBLA!$B$3*100000</f>
        <v>18.190783840531815</v>
      </c>
    </row>
    <row r="9485" spans="1:12" s="393" customFormat="1" ht="15.75" thickBot="1" x14ac:dyDescent="0.3">
      <c r="A9485" s="402" t="s">
        <v>15</v>
      </c>
      <c r="B9485" s="268">
        <v>44288</v>
      </c>
      <c r="C9485" s="1">
        <v>189</v>
      </c>
      <c r="D9485" s="39">
        <f t="shared" si="819"/>
        <v>38861</v>
      </c>
      <c r="E9485" s="1">
        <v>3</v>
      </c>
      <c r="F9485" s="39">
        <f t="shared" si="820"/>
        <v>927</v>
      </c>
      <c r="G9485" s="436">
        <f>SUM(C9485,C9461,C9437,C9413,C9389,C9365,C9341,C9317,C9293,C9269,C9245,C9221,C9197,C9173)/POBLA!$B$4*100000</f>
        <v>181.72897394111118</v>
      </c>
      <c r="H9485" s="441">
        <f t="shared" si="821"/>
        <v>1.2060606060606061</v>
      </c>
      <c r="I9485" s="445">
        <f t="shared" si="824"/>
        <v>219.17615645018864</v>
      </c>
      <c r="J9485" s="310">
        <f t="shared" si="825"/>
        <v>171.71428571428572</v>
      </c>
      <c r="K9485" s="445">
        <f>J9485/POBLA!$B$4*100000</f>
        <v>14.255578325211488</v>
      </c>
    </row>
    <row r="9486" spans="1:12" s="393" customFormat="1" ht="15.75" thickBot="1" x14ac:dyDescent="0.3">
      <c r="A9486" s="402" t="s">
        <v>29</v>
      </c>
      <c r="B9486" s="268">
        <v>44288</v>
      </c>
      <c r="C9486" s="1">
        <v>48</v>
      </c>
      <c r="D9486" s="39">
        <f t="shared" si="819"/>
        <v>50272</v>
      </c>
      <c r="E9486" s="1">
        <v>6</v>
      </c>
      <c r="F9486" s="39">
        <f t="shared" si="820"/>
        <v>870</v>
      </c>
      <c r="G9486" s="436">
        <f>SUM(C9486,C9462,C9438,C9414,C9390,C9366,C9342,C9318,C9294,C9270,C9246,C9222,C9198,C9174)/POBLA!$B$5*100000</f>
        <v>254.76822069357701</v>
      </c>
      <c r="H9486" s="441">
        <f t="shared" si="821"/>
        <v>1.2779578606158832</v>
      </c>
      <c r="I9486" s="445">
        <f t="shared" si="824"/>
        <v>325.58305027047885</v>
      </c>
      <c r="J9486" s="310">
        <f t="shared" si="825"/>
        <v>124.14285714285714</v>
      </c>
      <c r="K9486" s="445">
        <f>J9486/POBLA!$B$5*100000</f>
        <v>20.055583275905281</v>
      </c>
    </row>
    <row r="9487" spans="1:12" s="393" customFormat="1" ht="15.75" thickBot="1" x14ac:dyDescent="0.3">
      <c r="A9487" s="402" t="s">
        <v>30</v>
      </c>
      <c r="B9487" s="268">
        <v>44288</v>
      </c>
      <c r="C9487" s="1">
        <v>194</v>
      </c>
      <c r="D9487" s="39">
        <f t="shared" si="819"/>
        <v>30672</v>
      </c>
      <c r="E9487" s="1"/>
      <c r="F9487" s="39">
        <f t="shared" si="820"/>
        <v>328</v>
      </c>
      <c r="G9487" s="436">
        <f>SUM(C9487,C9463,C9439,C9415,C9391,C9367,C9343,C9319,C9295,C9271,C9247,C9223,C9199,C9175)/POBLA!$B$6*100000</f>
        <v>404.71055968008591</v>
      </c>
      <c r="H9487" s="441">
        <f t="shared" si="821"/>
        <v>1.3863080684596576</v>
      </c>
      <c r="I9487" s="445">
        <f t="shared" si="824"/>
        <v>561.05351427532685</v>
      </c>
      <c r="J9487" s="310">
        <f t="shared" si="825"/>
        <v>397</v>
      </c>
      <c r="K9487" s="445">
        <f>J9487/POBLA!$B$6*100000</f>
        <v>35.421096162476658</v>
      </c>
    </row>
    <row r="9488" spans="1:12" s="393" customFormat="1" ht="15.75" thickBot="1" x14ac:dyDescent="0.3">
      <c r="A9488" s="402" t="s">
        <v>20</v>
      </c>
      <c r="B9488" s="268">
        <v>44288</v>
      </c>
      <c r="C9488" s="1">
        <v>697</v>
      </c>
      <c r="D9488" s="39">
        <f t="shared" si="819"/>
        <v>182524</v>
      </c>
      <c r="E9488" s="1">
        <v>7</v>
      </c>
      <c r="F9488" s="39">
        <f t="shared" si="820"/>
        <v>3045</v>
      </c>
      <c r="G9488" s="436">
        <f>SUM(C9488,C9464,C9440,C9416,C9392,C9368,C9344,C9320,C9296,C9272,C9248,C9224,C9200,C9176)/POBLA!$B$7*100000</f>
        <v>299.96410004121844</v>
      </c>
      <c r="H9488" s="441">
        <f t="shared" si="821"/>
        <v>1.3974231912784936</v>
      </c>
      <c r="I9488" s="445">
        <f t="shared" si="824"/>
        <v>419.17678994858079</v>
      </c>
      <c r="J9488" s="310">
        <f t="shared" si="825"/>
        <v>899.85714285714289</v>
      </c>
      <c r="K9488" s="445">
        <f>J9488/POBLA!$B$7*100000</f>
        <v>23.92950691691534</v>
      </c>
    </row>
    <row r="9489" spans="1:11" ht="15.75" thickBot="1" x14ac:dyDescent="0.3">
      <c r="A9489" s="402" t="s">
        <v>31</v>
      </c>
      <c r="B9489" s="268">
        <v>44288</v>
      </c>
      <c r="C9489" s="1">
        <v>160</v>
      </c>
      <c r="D9489" s="39">
        <f t="shared" si="819"/>
        <v>50335</v>
      </c>
      <c r="E9489" s="1">
        <v>1</v>
      </c>
      <c r="F9489" s="39">
        <f t="shared" si="820"/>
        <v>949</v>
      </c>
      <c r="G9489" s="169">
        <f>SUM(C9489,C9465,C9441,C9417,C9393,C9369,C9345,C9321,C9297,C9273,C9249,C9225,C9201,C9177)/POBLA!$B$8*100000</f>
        <v>179.44227867883728</v>
      </c>
      <c r="H9489" s="518">
        <f t="shared" si="821"/>
        <v>1.2360834990059641</v>
      </c>
      <c r="I9489" s="310">
        <f t="shared" si="824"/>
        <v>221.8056396989405</v>
      </c>
      <c r="J9489" s="310">
        <f t="shared" si="825"/>
        <v>195.28571428571428</v>
      </c>
      <c r="K9489" s="310">
        <f>J9489/POBLA!$B$8*100000</f>
        <v>14.090274855188152</v>
      </c>
    </row>
    <row r="9490" spans="1:11" s="393" customFormat="1" ht="15.75" thickBot="1" x14ac:dyDescent="0.3">
      <c r="A9490" s="402" t="s">
        <v>41</v>
      </c>
      <c r="B9490" s="268">
        <v>44288</v>
      </c>
      <c r="C9490" s="1">
        <v>0</v>
      </c>
      <c r="D9490" s="39">
        <f t="shared" si="819"/>
        <v>2294</v>
      </c>
      <c r="E9490" s="1"/>
      <c r="F9490" s="39">
        <f t="shared" si="820"/>
        <v>36</v>
      </c>
      <c r="G9490" s="436">
        <f>SUM(C9490,C9466,C9442,C9418,C9394,C9370,C9346,C9322,C9298,C9274,C9250,C9226,C9202,C9178)/POBLA!$B$9*100000</f>
        <v>100.629055524436</v>
      </c>
      <c r="H9490" s="441">
        <f t="shared" si="821"/>
        <v>1.75</v>
      </c>
      <c r="I9490" s="445">
        <f t="shared" si="824"/>
        <v>176.10084716776299</v>
      </c>
      <c r="J9490" s="310">
        <f t="shared" si="825"/>
        <v>54.142857142857146</v>
      </c>
      <c r="K9490" s="445">
        <f>J9490/POBLA!$B$9*100000</f>
        <v>8.9463786168804251</v>
      </c>
    </row>
    <row r="9491" spans="1:11" s="393" customFormat="1" ht="15.75" thickBot="1" x14ac:dyDescent="0.3">
      <c r="A9491" s="402" t="s">
        <v>32</v>
      </c>
      <c r="B9491" s="268">
        <v>44288</v>
      </c>
      <c r="C9491" s="1">
        <v>52</v>
      </c>
      <c r="D9491" s="39">
        <f t="shared" si="819"/>
        <v>22585</v>
      </c>
      <c r="E9491" s="1">
        <v>3</v>
      </c>
      <c r="F9491" s="39">
        <f t="shared" si="820"/>
        <v>974</v>
      </c>
      <c r="G9491" s="436">
        <f>SUM(C9491,C9467,C9443,C9419,C9395,C9371,C9347,C9323,C9299,C9275,C9251,C9227,C9203,C9179)/POBLA!$B$10*100000</f>
        <v>83.540779964741631</v>
      </c>
      <c r="H9491" s="441">
        <f t="shared" si="821"/>
        <v>0.81313131313131315</v>
      </c>
      <c r="I9491" s="445">
        <f t="shared" si="824"/>
        <v>67.929624112744463</v>
      </c>
      <c r="J9491" s="310">
        <f t="shared" si="825"/>
        <v>53.857142857142854</v>
      </c>
      <c r="K9491" s="445">
        <f>J9491/POBLA!$B$10*100000</f>
        <v>6.9864405604941435</v>
      </c>
    </row>
    <row r="9492" spans="1:11" s="393" customFormat="1" ht="15.75" thickBot="1" x14ac:dyDescent="0.3">
      <c r="A9492" s="402" t="s">
        <v>33</v>
      </c>
      <c r="B9492" s="268">
        <v>44288</v>
      </c>
      <c r="C9492" s="1">
        <v>67</v>
      </c>
      <c r="D9492" s="39">
        <f t="shared" si="819"/>
        <v>21452</v>
      </c>
      <c r="E9492" s="1"/>
      <c r="F9492" s="39">
        <f t="shared" si="820"/>
        <v>321</v>
      </c>
      <c r="G9492" s="436">
        <f>SUM(C9492,C9468,C9444,C9420,C9396,C9372,C9348,C9324,C9300,C9276,C9252,C9228,C9204,C9180)/POBLA!$B$11*100000</f>
        <v>299.36277299764527</v>
      </c>
      <c r="H9492" s="441">
        <f t="shared" si="821"/>
        <v>0.88312757201646086</v>
      </c>
      <c r="I9492" s="445">
        <f t="shared" si="824"/>
        <v>264.37551886952542</v>
      </c>
      <c r="J9492" s="310">
        <f t="shared" si="825"/>
        <v>78.285714285714292</v>
      </c>
      <c r="K9492" s="445">
        <f>J9492/POBLA!$B$11*100000</f>
        <v>21.841405885063192</v>
      </c>
    </row>
    <row r="9493" spans="1:11" s="393" customFormat="1" ht="15.75" thickBot="1" x14ac:dyDescent="0.3">
      <c r="A9493" s="402" t="s">
        <v>21</v>
      </c>
      <c r="B9493" s="268">
        <v>44288</v>
      </c>
      <c r="C9493" s="1">
        <v>51</v>
      </c>
      <c r="D9493" s="39">
        <f t="shared" si="819"/>
        <v>11204</v>
      </c>
      <c r="E9493" s="1"/>
      <c r="F9493" s="39">
        <f t="shared" si="820"/>
        <v>449</v>
      </c>
      <c r="G9493" s="436">
        <f>SUM(C9493,C9469,C9445,C9421,C9397,C9373,C9349,C9325,C9301,C9277,C9253,C9229,C9205,C9181)/POBLA!$B$12*100000</f>
        <v>141.79314971374555</v>
      </c>
      <c r="H9493" s="441">
        <f t="shared" si="821"/>
        <v>1.7602523659305993</v>
      </c>
      <c r="I9493" s="445">
        <f t="shared" si="824"/>
        <v>249.59172725637228</v>
      </c>
      <c r="J9493" s="310">
        <f t="shared" si="825"/>
        <v>54.142857142857146</v>
      </c>
      <c r="K9493" s="445">
        <f>J9493/POBLA!$B$12*100000</f>
        <v>13.758219083847816</v>
      </c>
    </row>
    <row r="9494" spans="1:11" s="393" customFormat="1" ht="15.75" thickBot="1" x14ac:dyDescent="0.3">
      <c r="A9494" s="402" t="s">
        <v>17</v>
      </c>
      <c r="B9494" s="268">
        <v>44288</v>
      </c>
      <c r="C9494" s="1">
        <v>235</v>
      </c>
      <c r="D9494" s="39">
        <f t="shared" si="819"/>
        <v>73730</v>
      </c>
      <c r="E9494" s="1"/>
      <c r="F9494" s="39">
        <f t="shared" si="820"/>
        <v>1513</v>
      </c>
      <c r="G9494" s="436">
        <f>SUM(C9494,C9470,C9446,C9422,C9398,C9374,C9350,C9326,C9302,C9278,C9254,C9230,C9206,C9182)/POBLA!$B$13*100000</f>
        <v>175.44758729421838</v>
      </c>
      <c r="H9494" s="441">
        <f t="shared" si="821"/>
        <v>1.5937927886809675</v>
      </c>
      <c r="I9494" s="445">
        <f t="shared" si="824"/>
        <v>279.6270994209998</v>
      </c>
      <c r="J9494" s="310">
        <f t="shared" si="825"/>
        <v>316</v>
      </c>
      <c r="K9494" s="445">
        <f>J9494/POBLA!$B$13*100000</f>
        <v>15.876700339339349</v>
      </c>
    </row>
    <row r="9495" spans="1:11" s="393" customFormat="1" ht="15.75" thickBot="1" x14ac:dyDescent="0.3">
      <c r="A9495" s="402" t="s">
        <v>23</v>
      </c>
      <c r="B9495" s="268">
        <v>44288</v>
      </c>
      <c r="C9495" s="1">
        <v>89</v>
      </c>
      <c r="D9495" s="39">
        <f t="shared" si="819"/>
        <v>12243</v>
      </c>
      <c r="E9495" s="1"/>
      <c r="F9495" s="39">
        <f t="shared" si="820"/>
        <v>207</v>
      </c>
      <c r="G9495" s="436">
        <f>SUM(C9495,C9471,C9447,C9423,C9399,C9375,C9351,C9327,C9303,C9279,C9255,C9231,C9207,C9183)/POBLA!$B$14*100000</f>
        <v>131.76943678476232</v>
      </c>
      <c r="H9495" s="441">
        <f t="shared" si="821"/>
        <v>0.99164677804295942</v>
      </c>
      <c r="I9495" s="445">
        <f t="shared" si="824"/>
        <v>130.66873743214498</v>
      </c>
      <c r="J9495" s="310">
        <f t="shared" si="825"/>
        <v>115.14285714285714</v>
      </c>
      <c r="K9495" s="445">
        <f>J9495/POBLA!$B$14*100000</f>
        <v>9.1289467120954466</v>
      </c>
    </row>
    <row r="9496" spans="1:11" s="393" customFormat="1" ht="15.75" thickBot="1" x14ac:dyDescent="0.3">
      <c r="A9496" s="402" t="s">
        <v>19</v>
      </c>
      <c r="B9496" s="268">
        <v>44288</v>
      </c>
      <c r="C9496" s="1">
        <v>60</v>
      </c>
      <c r="D9496" s="39">
        <f t="shared" si="819"/>
        <v>65371</v>
      </c>
      <c r="E9496" s="1"/>
      <c r="F9496" s="39">
        <f t="shared" si="820"/>
        <v>1009</v>
      </c>
      <c r="G9496" s="436">
        <f>SUM(C9496,C9472,C9448,C9424,C9400,C9376,C9352,C9328,C9304,C9280,C9256,C9232,C9208,C9184)/POBLA!$B$15*100000</f>
        <v>220.16182345792603</v>
      </c>
      <c r="H9496" s="441">
        <f t="shared" si="821"/>
        <v>0.79542981501632204</v>
      </c>
      <c r="I9496" s="445">
        <f t="shared" si="824"/>
        <v>175.12327850679426</v>
      </c>
      <c r="J9496" s="310">
        <f t="shared" si="825"/>
        <v>96.142857142857139</v>
      </c>
      <c r="K9496" s="445">
        <f>J9496/POBLA!$B$15*100000</f>
        <v>14.478103106037153</v>
      </c>
    </row>
    <row r="9497" spans="1:11" s="393" customFormat="1" ht="15.75" thickBot="1" x14ac:dyDescent="0.3">
      <c r="A9497" s="402" t="s">
        <v>18</v>
      </c>
      <c r="B9497" s="268">
        <v>44288</v>
      </c>
      <c r="C9497" s="1">
        <v>36</v>
      </c>
      <c r="D9497" s="39">
        <f t="shared" si="819"/>
        <v>55589</v>
      </c>
      <c r="E9497" s="1">
        <v>2</v>
      </c>
      <c r="F9497" s="39">
        <f t="shared" si="820"/>
        <v>1284</v>
      </c>
      <c r="G9497" s="436">
        <f>SUM(C9497,C9473,C9449,C9425,C9401,C9377,C9353,C9329,C9305,C9281,C9257,C9233,C9209,C9185)/POBLA!$B$16*100000</f>
        <v>173.08489720576236</v>
      </c>
      <c r="H9497" s="441">
        <f t="shared" si="821"/>
        <v>1.0237341772151898</v>
      </c>
      <c r="I9497" s="445">
        <f t="shared" si="824"/>
        <v>177.19292482931684</v>
      </c>
      <c r="J9497" s="310">
        <f t="shared" si="825"/>
        <v>97.142857142857139</v>
      </c>
      <c r="K9497" s="445">
        <f>J9497/POBLA!$B$16*100000</f>
        <v>12.993787822909958</v>
      </c>
    </row>
    <row r="9498" spans="1:11" s="393" customFormat="1" ht="15.75" thickBot="1" x14ac:dyDescent="0.3">
      <c r="A9498" s="402" t="s">
        <v>34</v>
      </c>
      <c r="B9498" s="268">
        <v>44288</v>
      </c>
      <c r="C9498" s="1">
        <v>67</v>
      </c>
      <c r="D9498" s="39">
        <f t="shared" si="819"/>
        <v>29592</v>
      </c>
      <c r="E9498" s="1"/>
      <c r="F9498" s="39">
        <f t="shared" si="820"/>
        <v>1205</v>
      </c>
      <c r="G9498" s="436">
        <f>SUM(C9498,C9474,C9450,C9426,C9402,C9378,C9354,C9330,C9306,C9282,C9258,C9234,C9210,C9186)/POBLA!$B$17*100000</f>
        <v>101.30602633956684</v>
      </c>
      <c r="H9498" s="441">
        <f t="shared" si="821"/>
        <v>1.055596196049744</v>
      </c>
      <c r="I9498" s="445">
        <f t="shared" si="824"/>
        <v>106.93825604096193</v>
      </c>
      <c r="J9498" s="310">
        <f t="shared" si="825"/>
        <v>110</v>
      </c>
      <c r="K9498" s="445">
        <f>J9498/POBLA!$B$17*100000</f>
        <v>7.7225661104312913</v>
      </c>
    </row>
    <row r="9499" spans="1:11" s="393" customFormat="1" ht="15.75" thickBot="1" x14ac:dyDescent="0.3">
      <c r="A9499" s="402" t="s">
        <v>35</v>
      </c>
      <c r="B9499" s="268">
        <v>44288</v>
      </c>
      <c r="C9499" s="1">
        <v>43</v>
      </c>
      <c r="D9499" s="39">
        <f t="shared" si="819"/>
        <v>17436</v>
      </c>
      <c r="E9499" s="1"/>
      <c r="F9499" s="39">
        <f t="shared" si="820"/>
        <v>224</v>
      </c>
      <c r="G9499" s="436">
        <f>SUM(C9499,C9475,C9451,C9427,C9403,C9379,C9355,C9331,C9307,C9283,C9259,C9235,C9211,C9187)/POBLA!$B$18*100000</f>
        <v>149.25430450182216</v>
      </c>
      <c r="H9499" s="441">
        <f t="shared" si="821"/>
        <v>1.5525965379494009</v>
      </c>
      <c r="I9499" s="445">
        <f t="shared" si="824"/>
        <v>231.73171644357475</v>
      </c>
      <c r="J9499" s="310">
        <f t="shared" si="825"/>
        <v>94.857142857142861</v>
      </c>
      <c r="K9499" s="445">
        <f>J9499/POBLA!$B$18*100000</f>
        <v>12.14222717339009</v>
      </c>
    </row>
    <row r="9500" spans="1:11" s="393" customFormat="1" ht="15.75" thickBot="1" x14ac:dyDescent="0.3">
      <c r="A9500" s="402" t="s">
        <v>36</v>
      </c>
      <c r="B9500" s="268">
        <v>44288</v>
      </c>
      <c r="C9500" s="1">
        <v>141</v>
      </c>
      <c r="D9500" s="39">
        <f t="shared" si="819"/>
        <v>23190</v>
      </c>
      <c r="E9500" s="1"/>
      <c r="F9500" s="39">
        <f t="shared" si="820"/>
        <v>430</v>
      </c>
      <c r="G9500" s="436">
        <f>SUM(C9500,C9476,C9452,C9428,C9404,C9380,C9356,C9332,C9308,C9284,C9260,C9236,C9212,C9188)/POBLA!$B$19*100000</f>
        <v>322.42961237626099</v>
      </c>
      <c r="H9500" s="441">
        <f t="shared" si="821"/>
        <v>2.1853333333333333</v>
      </c>
      <c r="I9500" s="445">
        <f t="shared" si="824"/>
        <v>704.61617957958902</v>
      </c>
      <c r="J9500" s="310">
        <f t="shared" si="825"/>
        <v>161.14285714285714</v>
      </c>
      <c r="K9500" s="445">
        <f>J9500/POBLA!$B$19*100000</f>
        <v>31.700566788148034</v>
      </c>
    </row>
    <row r="9501" spans="1:11" s="393" customFormat="1" ht="15.75" thickBot="1" x14ac:dyDescent="0.3">
      <c r="A9501" s="402" t="s">
        <v>37</v>
      </c>
      <c r="B9501" s="268">
        <v>44288</v>
      </c>
      <c r="C9501" s="1">
        <v>58</v>
      </c>
      <c r="D9501" s="39">
        <f t="shared" si="819"/>
        <v>39641</v>
      </c>
      <c r="E9501" s="1"/>
      <c r="F9501" s="39">
        <f t="shared" si="820"/>
        <v>642</v>
      </c>
      <c r="G9501" s="436">
        <f>SUM(C9501,C9477,C9453,C9429,C9405,C9381,C9357,C9333,C9309,C9285,C9261,C9237,C9213,C9189)/POBLA!$B$20*100000</f>
        <v>450.37161811111901</v>
      </c>
      <c r="H9501" s="441">
        <f t="shared" si="821"/>
        <v>1.1656050955414012</v>
      </c>
      <c r="I9501" s="445">
        <f t="shared" si="824"/>
        <v>524.9554529575463</v>
      </c>
      <c r="J9501" s="310">
        <f t="shared" si="825"/>
        <v>133</v>
      </c>
      <c r="K9501" s="445">
        <f>J9501/POBLA!$B$20*100000</f>
        <v>36.368807048438875</v>
      </c>
    </row>
    <row r="9502" spans="1:11" s="393" customFormat="1" ht="15.75" thickBot="1" x14ac:dyDescent="0.3">
      <c r="A9502" s="402" t="s">
        <v>22</v>
      </c>
      <c r="B9502" s="268">
        <v>44288</v>
      </c>
      <c r="C9502" s="1">
        <v>469</v>
      </c>
      <c r="D9502" s="39">
        <f t="shared" si="819"/>
        <v>232985</v>
      </c>
      <c r="E9502" s="1"/>
      <c r="F9502" s="39">
        <f t="shared" si="820"/>
        <v>4273</v>
      </c>
      <c r="G9502" s="436">
        <f>SUM(C9502,C9478,C9454,C9430,C9406,C9382,C9358,C9334,C9310,C9286,C9262,C9238,C9214,C9190)/POBLA!$B$21*100000</f>
        <v>230.48745934445532</v>
      </c>
      <c r="H9502" s="441">
        <f t="shared" si="821"/>
        <v>1.3281733746130031</v>
      </c>
      <c r="I9502" s="445">
        <f t="shared" si="824"/>
        <v>306.12730668350258</v>
      </c>
      <c r="J9502" s="310">
        <f t="shared" si="825"/>
        <v>678.28571428571433</v>
      </c>
      <c r="K9502" s="445">
        <f>J9502/POBLA!$B$21*100000</f>
        <v>19.180020978450916</v>
      </c>
    </row>
    <row r="9503" spans="1:11" s="393" customFormat="1" ht="15.75" thickBot="1" x14ac:dyDescent="0.3">
      <c r="A9503" s="402" t="s">
        <v>38</v>
      </c>
      <c r="B9503" s="268">
        <v>44288</v>
      </c>
      <c r="C9503" s="1">
        <v>104</v>
      </c>
      <c r="D9503" s="39">
        <f t="shared" si="819"/>
        <v>25405</v>
      </c>
      <c r="E9503" s="1"/>
      <c r="F9503" s="39">
        <f t="shared" si="820"/>
        <v>297</v>
      </c>
      <c r="G9503" s="436">
        <f>SUM(C9503,C9479,C9455,C9431,C9407,C9383,C9359,C9335,C9311,C9287,C9263,C9239,C9215,C9191)/POBLA!$B$22*100000</f>
        <v>149.84979244883795</v>
      </c>
      <c r="H9503" s="441">
        <f t="shared" si="821"/>
        <v>1.4943934760448523</v>
      </c>
      <c r="I9503" s="445">
        <f t="shared" si="824"/>
        <v>223.9345522222186</v>
      </c>
      <c r="J9503" s="310">
        <f t="shared" si="825"/>
        <v>119</v>
      </c>
      <c r="K9503" s="445">
        <f>J9503/POBLA!$B$22*100000</f>
        <v>12.163796249257651</v>
      </c>
    </row>
    <row r="9504" spans="1:11" s="393" customFormat="1" ht="15.75" thickBot="1" x14ac:dyDescent="0.3">
      <c r="A9504" s="402" t="s">
        <v>39</v>
      </c>
      <c r="B9504" s="268">
        <v>44288</v>
      </c>
      <c r="C9504" s="1">
        <v>68</v>
      </c>
      <c r="D9504" s="39">
        <f t="shared" si="819"/>
        <v>24213</v>
      </c>
      <c r="E9504" s="1"/>
      <c r="F9504" s="39">
        <f t="shared" si="820"/>
        <v>367</v>
      </c>
      <c r="G9504" s="436">
        <f>SUM(C9504,C9480,C9456,C9432,C9408,C9384,C9360,C9336,C9312,C9288,C9264,C9240,C9216,C9192)/POBLA!$B$23*100000</f>
        <v>382.28807329073118</v>
      </c>
      <c r="H9504" s="441">
        <f t="shared" si="821"/>
        <v>1.6568627450980393</v>
      </c>
      <c r="I9504" s="445">
        <f t="shared" si="824"/>
        <v>633.39886653072131</v>
      </c>
      <c r="J9504" s="310">
        <f t="shared" si="825"/>
        <v>56.428571428571431</v>
      </c>
      <c r="K9504" s="445">
        <f>J9504/POBLA!$B$23*100000</f>
        <v>31.911198002924522</v>
      </c>
    </row>
    <row r="9505" spans="1:11" s="393" customFormat="1" ht="15.75" thickBot="1" x14ac:dyDescent="0.3">
      <c r="A9505" s="404" t="s">
        <v>40</v>
      </c>
      <c r="B9505" s="268">
        <v>44288</v>
      </c>
      <c r="C9505" s="1">
        <v>265</v>
      </c>
      <c r="D9505" s="177">
        <f t="shared" si="819"/>
        <v>88657</v>
      </c>
      <c r="E9505" s="1"/>
      <c r="F9505" s="177">
        <f t="shared" si="820"/>
        <v>1502</v>
      </c>
      <c r="G9505" s="439">
        <f>SUM(C9505,C9481,C9457,C9433,C9409,C9385,C9361,C9337,C9313,C9289,C9265,C9241,C9217,C9193)/POBLA!$B$24*100000</f>
        <v>294.63206692095622</v>
      </c>
      <c r="H9505" s="442">
        <f t="shared" si="821"/>
        <v>1.6738183037210861</v>
      </c>
      <c r="I9505" s="445">
        <f t="shared" si="824"/>
        <v>493.16054647547247</v>
      </c>
      <c r="J9505" s="310">
        <f t="shared" si="825"/>
        <v>395.28571428571428</v>
      </c>
      <c r="K9505" s="445">
        <f>J9505/POBLA!$B$24*100000</f>
        <v>23.32542499986512</v>
      </c>
    </row>
    <row r="9506" spans="1:11" s="393" customFormat="1" ht="15.75" thickBot="1" x14ac:dyDescent="0.3">
      <c r="A9506" s="397" t="s">
        <v>16</v>
      </c>
      <c r="B9506" s="268">
        <v>44289</v>
      </c>
      <c r="C9506" s="17">
        <v>5306</v>
      </c>
      <c r="D9506" s="175">
        <f t="shared" si="819"/>
        <v>1004976</v>
      </c>
      <c r="E9506" s="1">
        <v>53</v>
      </c>
      <c r="F9506" s="175">
        <f t="shared" si="820"/>
        <v>28347</v>
      </c>
      <c r="G9506" s="410">
        <f>SUM(C9506,C9482,C9458,C9434,C9410,C9386,C9362,C9338,C9314,C9290,C9266,C9242,C9218,C9194)/POBLA!$B$1*100000</f>
        <v>384.24524379571432</v>
      </c>
      <c r="H9506" s="440">
        <f t="shared" si="821"/>
        <v>1.6600004925744403</v>
      </c>
      <c r="I9506" s="445">
        <f>G9506*H9506</f>
        <v>637.84729397027161</v>
      </c>
      <c r="J9506" s="310">
        <f>AVERAGE(C9506,C9482,C9458,C9434,C9410,C9386,C9362)</f>
        <v>5732.1428571428569</v>
      </c>
      <c r="K9506" s="445">
        <f>J9506/POBLA!$B$1*100000</f>
        <v>32.678278209740498</v>
      </c>
    </row>
    <row r="9507" spans="1:11" s="393" customFormat="1" ht="15.75" thickBot="1" x14ac:dyDescent="0.3">
      <c r="A9507" s="402" t="s">
        <v>43</v>
      </c>
      <c r="B9507" s="268">
        <v>44289</v>
      </c>
      <c r="C9507" s="17">
        <v>1888</v>
      </c>
      <c r="D9507" s="39">
        <f t="shared" si="819"/>
        <v>266496</v>
      </c>
      <c r="E9507" s="1">
        <v>8</v>
      </c>
      <c r="F9507" s="39">
        <f t="shared" si="820"/>
        <v>6896</v>
      </c>
      <c r="G9507" s="436">
        <f>SUM(C9507,C9483,C9459,C9435,C9411,C9387,C9363,C9339,C9315,C9291,C9267,C9243,C9219,C9195)/POBLA!$B$2*100000</f>
        <v>615.02526623675158</v>
      </c>
      <c r="H9507" s="441">
        <f t="shared" si="821"/>
        <v>1.6359076364265328</v>
      </c>
      <c r="I9507" s="445">
        <f t="shared" ref="I9507:I9529" si="826">G9507*H9507</f>
        <v>1006.1245296319634</v>
      </c>
      <c r="J9507" s="310">
        <f t="shared" ref="J9507:J9529" si="827">AVERAGE(C9507,C9483,C9459,C9435,C9411,C9387,C9363)</f>
        <v>1576.4285714285713</v>
      </c>
      <c r="K9507" s="445">
        <f>J9507/POBLA!$B$2*100000</f>
        <v>51.255202043036526</v>
      </c>
    </row>
    <row r="9508" spans="1:11" s="393" customFormat="1" ht="15.75" thickBot="1" x14ac:dyDescent="0.3">
      <c r="A9508" s="402" t="s">
        <v>28</v>
      </c>
      <c r="B9508" s="268">
        <v>44289</v>
      </c>
      <c r="C9508" s="17">
        <v>83</v>
      </c>
      <c r="D9508" s="39">
        <f t="shared" si="819"/>
        <v>10707</v>
      </c>
      <c r="E9508" s="1"/>
      <c r="F9508" s="39">
        <f t="shared" si="820"/>
        <v>18</v>
      </c>
      <c r="G9508" s="436">
        <f>SUM(C9508,C9484,C9460,C9436,C9412,C9388,C9364,C9340,C9316,C9292,C9268,C9244,C9220,C9196)/POBLA!$B$3*100000</f>
        <v>254.91168357251863</v>
      </c>
      <c r="H9508" s="441">
        <f t="shared" si="821"/>
        <v>0.85265700483091789</v>
      </c>
      <c r="I9508" s="445">
        <f t="shared" si="826"/>
        <v>217.35223261135042</v>
      </c>
      <c r="J9508" s="310">
        <f t="shared" si="827"/>
        <v>80.142857142857139</v>
      </c>
      <c r="K9508" s="445">
        <f>J9508/POBLA!$B$3*100000</f>
        <v>19.291171520866445</v>
      </c>
    </row>
    <row r="9509" spans="1:11" s="393" customFormat="1" ht="15.75" thickBot="1" x14ac:dyDescent="0.3">
      <c r="A9509" s="402" t="s">
        <v>15</v>
      </c>
      <c r="B9509" s="268">
        <v>44289</v>
      </c>
      <c r="C9509" s="17">
        <v>84</v>
      </c>
      <c r="D9509" s="39">
        <f t="shared" si="819"/>
        <v>38945</v>
      </c>
      <c r="E9509" s="1">
        <v>3</v>
      </c>
      <c r="F9509" s="39">
        <f t="shared" si="820"/>
        <v>930</v>
      </c>
      <c r="G9509" s="436">
        <f>SUM(C9509,C9485,C9461,C9437,C9413,C9389,C9365,C9341,C9317,C9293,C9269,C9245,C9221,C9197)/POBLA!$B$4*100000</f>
        <v>174.58932489637132</v>
      </c>
      <c r="H9509" s="441">
        <f t="shared" si="821"/>
        <v>1.1288244766505635</v>
      </c>
      <c r="I9509" s="445">
        <f t="shared" si="826"/>
        <v>197.08070330492157</v>
      </c>
      <c r="J9509" s="310">
        <f t="shared" si="827"/>
        <v>151</v>
      </c>
      <c r="K9509" s="445">
        <f>J9509/POBLA!$B$4*100000</f>
        <v>12.535895415764179</v>
      </c>
    </row>
    <row r="9510" spans="1:11" s="393" customFormat="1" ht="15.75" thickBot="1" x14ac:dyDescent="0.3">
      <c r="A9510" s="402" t="s">
        <v>29</v>
      </c>
      <c r="B9510" s="268">
        <v>44289</v>
      </c>
      <c r="C9510" s="17">
        <v>41</v>
      </c>
      <c r="D9510" s="39">
        <f t="shared" si="819"/>
        <v>50313</v>
      </c>
      <c r="E9510" s="1"/>
      <c r="F9510" s="39">
        <f t="shared" si="820"/>
        <v>870</v>
      </c>
      <c r="G9510" s="436">
        <f>SUM(C9510,C9486,C9462,C9438,C9414,C9390,C9366,C9342,C9318,C9294,C9270,C9246,C9222,C9198)/POBLA!$B$5*100000</f>
        <v>255.73753542037562</v>
      </c>
      <c r="H9510" s="441">
        <f t="shared" si="821"/>
        <v>1.2890879478827362</v>
      </c>
      <c r="I9510" s="445">
        <f t="shared" si="826"/>
        <v>329.66817473164059</v>
      </c>
      <c r="J9510" s="310">
        <f t="shared" si="827"/>
        <v>117.28571428571429</v>
      </c>
      <c r="K9510" s="445">
        <f>J9510/POBLA!$B$5*100000</f>
        <v>18.947795016706834</v>
      </c>
    </row>
    <row r="9511" spans="1:11" s="393" customFormat="1" ht="15.75" thickBot="1" x14ac:dyDescent="0.3">
      <c r="A9511" s="402" t="s">
        <v>30</v>
      </c>
      <c r="B9511" s="268">
        <v>44289</v>
      </c>
      <c r="C9511" s="17">
        <v>193</v>
      </c>
      <c r="D9511" s="39">
        <f t="shared" si="819"/>
        <v>30865</v>
      </c>
      <c r="E9511" s="1"/>
      <c r="F9511" s="39">
        <f t="shared" si="820"/>
        <v>328</v>
      </c>
      <c r="G9511" s="436">
        <f>SUM(C9511,C9487,C9463,C9439,C9415,C9391,C9367,C9343,C9319,C9295,C9271,C9247,C9223,C9199)/POBLA!$B$6*100000</f>
        <v>400.96323968304807</v>
      </c>
      <c r="H9511" s="441">
        <f t="shared" si="821"/>
        <v>1.3495495495495495</v>
      </c>
      <c r="I9511" s="445">
        <f t="shared" si="826"/>
        <v>541.11975950018564</v>
      </c>
      <c r="J9511" s="310">
        <f t="shared" si="827"/>
        <v>422</v>
      </c>
      <c r="K9511" s="445">
        <f>J9511/POBLA!$B$6*100000</f>
        <v>37.651643779761081</v>
      </c>
    </row>
    <row r="9512" spans="1:11" s="393" customFormat="1" ht="15.75" thickBot="1" x14ac:dyDescent="0.3">
      <c r="A9512" s="402" t="s">
        <v>20</v>
      </c>
      <c r="B9512" s="268">
        <v>44289</v>
      </c>
      <c r="C9512" s="17">
        <v>585</v>
      </c>
      <c r="D9512" s="39">
        <f t="shared" si="819"/>
        <v>183109</v>
      </c>
      <c r="E9512" s="1">
        <v>3</v>
      </c>
      <c r="F9512" s="39">
        <f t="shared" si="820"/>
        <v>3048</v>
      </c>
      <c r="G9512" s="436">
        <f>SUM(C9512,C9488,C9464,C9440,C9416,C9392,C9368,C9344,C9320,C9296,C9272,C9248,C9224,C9200)/POBLA!$B$7*100000</f>
        <v>300.8948397133322</v>
      </c>
      <c r="H9512" s="441">
        <f t="shared" si="821"/>
        <v>1.3781973203410476</v>
      </c>
      <c r="I9512" s="445">
        <f t="shared" si="826"/>
        <v>414.69246179736348</v>
      </c>
      <c r="J9512" s="310">
        <f t="shared" si="827"/>
        <v>868.71428571428567</v>
      </c>
      <c r="K9512" s="445">
        <f>J9512/POBLA!$B$7*100000</f>
        <v>23.101338555605995</v>
      </c>
    </row>
    <row r="9513" spans="1:11" ht="15.75" thickBot="1" x14ac:dyDescent="0.3">
      <c r="A9513" s="402" t="s">
        <v>31</v>
      </c>
      <c r="B9513" s="268">
        <v>44289</v>
      </c>
      <c r="C9513" s="17">
        <v>109</v>
      </c>
      <c r="D9513" s="39">
        <f t="shared" si="819"/>
        <v>50444</v>
      </c>
      <c r="E9513" s="1">
        <v>1</v>
      </c>
      <c r="F9513" s="39">
        <f t="shared" si="820"/>
        <v>950</v>
      </c>
      <c r="G9513" s="169">
        <f>SUM(C9513,C9489,C9465,C9441,C9417,C9393,C9369,C9345,C9321,C9297,C9273,C9249,C9225,C9201)/POBLA!$B$8*100000</f>
        <v>176.48404248027182</v>
      </c>
      <c r="H9513" s="518">
        <f t="shared" si="821"/>
        <v>1.1868025230470645</v>
      </c>
      <c r="I9513" s="310">
        <f t="shared" si="826"/>
        <v>209.4517068931319</v>
      </c>
      <c r="J9513" s="310">
        <f t="shared" si="827"/>
        <v>186.71428571428572</v>
      </c>
      <c r="K9513" s="310">
        <f>J9513/POBLA!$B$8*100000</f>
        <v>13.471828263153562</v>
      </c>
    </row>
    <row r="9514" spans="1:11" s="393" customFormat="1" ht="15.75" thickBot="1" x14ac:dyDescent="0.3">
      <c r="A9514" s="402" t="s">
        <v>41</v>
      </c>
      <c r="B9514" s="268">
        <v>44289</v>
      </c>
      <c r="C9514" s="17">
        <v>4</v>
      </c>
      <c r="D9514" s="39">
        <f t="shared" si="819"/>
        <v>2298</v>
      </c>
      <c r="E9514" s="1">
        <v>5</v>
      </c>
      <c r="F9514" s="39">
        <f t="shared" si="820"/>
        <v>41</v>
      </c>
      <c r="G9514" s="436">
        <f>SUM(C9514,C9490,C9466,C9442,C9418,C9394,C9370,C9346,C9322,C9298,C9274,C9250,C9226,C9202)/POBLA!$B$9*100000</f>
        <v>100.629055524436</v>
      </c>
      <c r="H9514" s="441">
        <f t="shared" si="821"/>
        <v>1.7449856733524356</v>
      </c>
      <c r="I9514" s="445">
        <f t="shared" si="826"/>
        <v>175.59626021312758</v>
      </c>
      <c r="J9514" s="310">
        <f t="shared" si="827"/>
        <v>50.142857142857146</v>
      </c>
      <c r="K9514" s="445">
        <f>J9514/POBLA!$B$9*100000</f>
        <v>8.2854324393800241</v>
      </c>
    </row>
    <row r="9515" spans="1:11" s="393" customFormat="1" ht="15.75" thickBot="1" x14ac:dyDescent="0.3">
      <c r="A9515" s="402" t="s">
        <v>32</v>
      </c>
      <c r="B9515" s="268">
        <v>44289</v>
      </c>
      <c r="C9515" s="17">
        <v>27</v>
      </c>
      <c r="D9515" s="39">
        <f t="shared" si="819"/>
        <v>22612</v>
      </c>
      <c r="E9515" s="1">
        <v>2</v>
      </c>
      <c r="F9515" s="39">
        <f t="shared" si="820"/>
        <v>976</v>
      </c>
      <c r="G9515" s="436">
        <f>SUM(C9515,C9491,C9467,C9443,C9419,C9395,C9371,C9347,C9323,C9299,C9275,C9251,C9227,C9203)/POBLA!$B$10*100000</f>
        <v>82.892171424642711</v>
      </c>
      <c r="H9515" s="441">
        <f t="shared" si="821"/>
        <v>0.83203125</v>
      </c>
      <c r="I9515" s="445">
        <f t="shared" si="826"/>
        <v>68.968877005659749</v>
      </c>
      <c r="J9515" s="310">
        <f t="shared" si="827"/>
        <v>51.857142857142854</v>
      </c>
      <c r="K9515" s="445">
        <f>J9515/POBLA!$B$10*100000</f>
        <v>6.7269971444545735</v>
      </c>
    </row>
    <row r="9516" spans="1:11" s="393" customFormat="1" ht="15.75" thickBot="1" x14ac:dyDescent="0.3">
      <c r="A9516" s="402" t="s">
        <v>33</v>
      </c>
      <c r="B9516" s="268">
        <v>44289</v>
      </c>
      <c r="C9516" s="17">
        <v>64</v>
      </c>
      <c r="D9516" s="39">
        <f t="shared" si="819"/>
        <v>21516</v>
      </c>
      <c r="E9516" s="1"/>
      <c r="F9516" s="39">
        <f t="shared" si="820"/>
        <v>321</v>
      </c>
      <c r="G9516" s="436">
        <f>SUM(C9516,C9492,C9468,C9444,C9420,C9396,C9372,C9348,C9324,C9300,C9276,C9252,C9228,C9204)/POBLA!$B$11*100000</f>
        <v>299.36277299764527</v>
      </c>
      <c r="H9516" s="441">
        <f t="shared" si="821"/>
        <v>0.86184738955823292</v>
      </c>
      <c r="I9516" s="445">
        <f t="shared" si="826"/>
        <v>258.00502443893441</v>
      </c>
      <c r="J9516" s="310">
        <f t="shared" si="827"/>
        <v>72.285714285714292</v>
      </c>
      <c r="K9516" s="445">
        <f>J9516/POBLA!$B$11*100000</f>
        <v>20.167429521609442</v>
      </c>
    </row>
    <row r="9517" spans="1:11" s="393" customFormat="1" ht="15.75" thickBot="1" x14ac:dyDescent="0.3">
      <c r="A9517" s="402" t="s">
        <v>21</v>
      </c>
      <c r="B9517" s="268">
        <v>44289</v>
      </c>
      <c r="C9517" s="17">
        <v>97</v>
      </c>
      <c r="D9517" s="39">
        <f t="shared" si="819"/>
        <v>11301</v>
      </c>
      <c r="E9517" s="1"/>
      <c r="F9517" s="39">
        <f t="shared" si="820"/>
        <v>449</v>
      </c>
      <c r="G9517" s="436">
        <f>SUM(C9517,C9493,C9469,C9445,C9421,C9397,C9373,C9349,C9325,C9301,C9277,C9253,C9229,C9205)/POBLA!$B$12*100000</f>
        <v>159.5808208247889</v>
      </c>
      <c r="H9517" s="441">
        <f t="shared" si="821"/>
        <v>1.9503105590062111</v>
      </c>
      <c r="I9517" s="445">
        <f t="shared" si="826"/>
        <v>311.23215986946406</v>
      </c>
      <c r="J9517" s="310">
        <f t="shared" si="827"/>
        <v>63.714285714285715</v>
      </c>
      <c r="K9517" s="445">
        <f>J9517/POBLA!$B$12*100000</f>
        <v>16.190410848010885</v>
      </c>
    </row>
    <row r="9518" spans="1:11" s="393" customFormat="1" ht="15.75" thickBot="1" x14ac:dyDescent="0.3">
      <c r="A9518" s="402" t="s">
        <v>17</v>
      </c>
      <c r="B9518" s="268">
        <v>44289</v>
      </c>
      <c r="C9518" s="17">
        <v>271</v>
      </c>
      <c r="D9518" s="39">
        <f t="shared" si="819"/>
        <v>74001</v>
      </c>
      <c r="E9518" s="1"/>
      <c r="F9518" s="39">
        <f t="shared" si="820"/>
        <v>1513</v>
      </c>
      <c r="G9518" s="436">
        <f>SUM(C9518,C9494,C9470,C9446,C9422,C9398,C9374,C9350,C9326,C9302,C9278,C9254,C9230,C9206)/POBLA!$B$13*100000</f>
        <v>182.02938395388119</v>
      </c>
      <c r="H9518" s="441">
        <f t="shared" si="821"/>
        <v>1.6415949252378794</v>
      </c>
      <c r="I9518" s="445">
        <f t="shared" si="826"/>
        <v>298.81851294286884</v>
      </c>
      <c r="J9518" s="310">
        <f t="shared" si="827"/>
        <v>325</v>
      </c>
      <c r="K9518" s="445">
        <f>J9518/POBLA!$B$13*100000</f>
        <v>16.328884842674963</v>
      </c>
    </row>
    <row r="9519" spans="1:11" s="393" customFormat="1" ht="15.75" thickBot="1" x14ac:dyDescent="0.3">
      <c r="A9519" s="402" t="s">
        <v>23</v>
      </c>
      <c r="B9519" s="268">
        <v>44289</v>
      </c>
      <c r="C9519" s="17">
        <v>63</v>
      </c>
      <c r="D9519" s="39">
        <f t="shared" si="819"/>
        <v>12306</v>
      </c>
      <c r="E9519" s="1">
        <v>3</v>
      </c>
      <c r="F9519" s="39">
        <f t="shared" si="820"/>
        <v>210</v>
      </c>
      <c r="G9519" s="436">
        <f>SUM(C9519,C9495,C9471,C9447,C9423,C9399,C9375,C9351,C9327,C9303,C9279,C9255,C9231,C9207)/POBLA!$B$14*100000</f>
        <v>129.39092709550667</v>
      </c>
      <c r="H9519" s="441">
        <f t="shared" si="821"/>
        <v>0.98254063816977721</v>
      </c>
      <c r="I9519" s="445">
        <f t="shared" si="826"/>
        <v>127.13184408179823</v>
      </c>
      <c r="J9519" s="310">
        <f t="shared" si="827"/>
        <v>107.14285714285714</v>
      </c>
      <c r="K9519" s="445">
        <f>J9519/POBLA!$B$14*100000</f>
        <v>8.4946774616272762</v>
      </c>
    </row>
    <row r="9520" spans="1:11" s="393" customFormat="1" ht="15.75" thickBot="1" x14ac:dyDescent="0.3">
      <c r="A9520" s="402" t="s">
        <v>19</v>
      </c>
      <c r="B9520" s="268">
        <v>44289</v>
      </c>
      <c r="C9520" s="17">
        <v>63</v>
      </c>
      <c r="D9520" s="39">
        <f t="shared" si="819"/>
        <v>65434</v>
      </c>
      <c r="E9520" s="1">
        <v>4</v>
      </c>
      <c r="F9520" s="39">
        <f t="shared" si="820"/>
        <v>1013</v>
      </c>
      <c r="G9520" s="436">
        <f>SUM(C9520,C9496,C9472,C9448,C9424,C9400,C9376,C9352,C9328,C9304,C9280,C9256,C9232,C9208)/POBLA!$B$15*100000</f>
        <v>216.39708639469202</v>
      </c>
      <c r="H9520" s="441">
        <f t="shared" si="821"/>
        <v>0.78310626702997277</v>
      </c>
      <c r="I9520" s="445">
        <f t="shared" si="826"/>
        <v>169.46191452270978</v>
      </c>
      <c r="J9520" s="310">
        <f t="shared" si="827"/>
        <v>90.714285714285708</v>
      </c>
      <c r="K9520" s="445">
        <f>J9520/POBLA!$B$15*100000</f>
        <v>13.660617343734906</v>
      </c>
    </row>
    <row r="9521" spans="1:11" s="393" customFormat="1" ht="15.75" thickBot="1" x14ac:dyDescent="0.3">
      <c r="A9521" s="402" t="s">
        <v>18</v>
      </c>
      <c r="B9521" s="268">
        <v>44289</v>
      </c>
      <c r="C9521" s="17">
        <v>111</v>
      </c>
      <c r="D9521" s="39">
        <f t="shared" si="819"/>
        <v>55700</v>
      </c>
      <c r="E9521" s="1"/>
      <c r="F9521" s="39">
        <f t="shared" si="820"/>
        <v>1284</v>
      </c>
      <c r="G9521" s="436">
        <f>SUM(C9521,C9497,C9473,C9449,C9425,C9401,C9377,C9353,C9329,C9305,C9281,C9257,C9233,C9209)/POBLA!$B$16*100000</f>
        <v>176.83016546060111</v>
      </c>
      <c r="H9521" s="441">
        <f t="shared" si="821"/>
        <v>1.0360501567398119</v>
      </c>
      <c r="I9521" s="445">
        <f t="shared" si="826"/>
        <v>183.20492064178265</v>
      </c>
      <c r="J9521" s="310">
        <f t="shared" si="827"/>
        <v>102.14285714285714</v>
      </c>
      <c r="K9521" s="445">
        <f>J9521/POBLA!$B$16*100000</f>
        <v>13.662585725559735</v>
      </c>
    </row>
    <row r="9522" spans="1:11" s="393" customFormat="1" ht="15.75" thickBot="1" x14ac:dyDescent="0.3">
      <c r="A9522" s="402" t="s">
        <v>34</v>
      </c>
      <c r="B9522" s="268">
        <v>44289</v>
      </c>
      <c r="C9522" s="17">
        <v>74</v>
      </c>
      <c r="D9522" s="39">
        <f t="shared" ref="D9522:D9585" si="828">C9522+D9498</f>
        <v>29666</v>
      </c>
      <c r="E9522" s="1"/>
      <c r="F9522" s="39">
        <f t="shared" ref="F9522:F9585" si="829">E9522+F9498</f>
        <v>1205</v>
      </c>
      <c r="G9522" s="436">
        <f>SUM(C9522,C9498,C9474,C9450,C9426,C9402,C9378,C9354,C9330,C9306,C9282,C9258,C9234,C9210)/POBLA!$B$17*100000</f>
        <v>98.427615334769726</v>
      </c>
      <c r="H9522" s="441">
        <f t="shared" ref="H9522:H9545" si="830">SUM(C9522,C9498,C9474,C9450,C9426,C9402,C9378,C9354,C9330,C9306,C9282,C9258,C9234,C9210)/SUM(C9186,C9162,C9138,C9114,C9090,C9066,C9042,C9018,C8994,C8970,C8946,C8922,C8898,C8874)</f>
        <v>0.98732394366197185</v>
      </c>
      <c r="I9522" s="445">
        <f t="shared" si="826"/>
        <v>97.179941337568422</v>
      </c>
      <c r="J9522" s="310">
        <f t="shared" si="827"/>
        <v>106</v>
      </c>
      <c r="K9522" s="445">
        <f>J9522/POBLA!$B$17*100000</f>
        <v>7.441745524597426</v>
      </c>
    </row>
    <row r="9523" spans="1:11" s="393" customFormat="1" ht="15.75" thickBot="1" x14ac:dyDescent="0.3">
      <c r="A9523" s="402" t="s">
        <v>35</v>
      </c>
      <c r="B9523" s="268">
        <v>44289</v>
      </c>
      <c r="C9523" s="17">
        <v>14</v>
      </c>
      <c r="D9523" s="39">
        <f t="shared" si="828"/>
        <v>17450</v>
      </c>
      <c r="E9523" s="1"/>
      <c r="F9523" s="39">
        <f t="shared" si="829"/>
        <v>224</v>
      </c>
      <c r="G9523" s="436">
        <f>SUM(C9523,C9499,C9475,C9451,C9427,C9403,C9379,C9355,C9331,C9307,C9283,C9259,C9235,C9211)/POBLA!$B$18*100000</f>
        <v>145.79815851421563</v>
      </c>
      <c r="H9523" s="441">
        <f t="shared" si="830"/>
        <v>1.4472681067344346</v>
      </c>
      <c r="I9523" s="445">
        <f t="shared" si="826"/>
        <v>211.00902483823583</v>
      </c>
      <c r="J9523" s="310">
        <f t="shared" si="827"/>
        <v>92.285714285714292</v>
      </c>
      <c r="K9523" s="445">
        <f>J9523/POBLA!$B$18*100000</f>
        <v>11.813070412665661</v>
      </c>
    </row>
    <row r="9524" spans="1:11" s="393" customFormat="1" ht="15.75" thickBot="1" x14ac:dyDescent="0.3">
      <c r="A9524" s="402" t="s">
        <v>36</v>
      </c>
      <c r="B9524" s="268">
        <v>44289</v>
      </c>
      <c r="C9524" s="17">
        <v>243</v>
      </c>
      <c r="D9524" s="39">
        <f t="shared" si="828"/>
        <v>23433</v>
      </c>
      <c r="E9524" s="1"/>
      <c r="F9524" s="39">
        <f t="shared" si="829"/>
        <v>430</v>
      </c>
      <c r="G9524" s="436">
        <f>SUM(C9524,C9500,C9476,C9452,C9428,C9404,C9380,C9356,C9332,C9308,C9284,C9260,C9236,C9212)/POBLA!$B$19*100000</f>
        <v>370.03666923718544</v>
      </c>
      <c r="H9524" s="441">
        <f t="shared" si="830"/>
        <v>2.508</v>
      </c>
      <c r="I9524" s="445">
        <f t="shared" si="826"/>
        <v>928.05196644686112</v>
      </c>
      <c r="J9524" s="310">
        <f t="shared" si="827"/>
        <v>183.85714285714286</v>
      </c>
      <c r="K9524" s="445">
        <f>J9524/POBLA!$B$19*100000</f>
        <v>36.168997744988054</v>
      </c>
    </row>
    <row r="9525" spans="1:11" s="393" customFormat="1" ht="15.75" thickBot="1" x14ac:dyDescent="0.3">
      <c r="A9525" s="402" t="s">
        <v>37</v>
      </c>
      <c r="B9525" s="268">
        <v>44289</v>
      </c>
      <c r="C9525" s="17">
        <v>70</v>
      </c>
      <c r="D9525" s="39">
        <f t="shared" si="828"/>
        <v>39711</v>
      </c>
      <c r="E9525" s="1"/>
      <c r="F9525" s="39">
        <f t="shared" si="829"/>
        <v>642</v>
      </c>
      <c r="G9525" s="436">
        <f>SUM(C9525,C9501,C9477,C9453,C9429,C9405,C9381,C9357,C9333,C9309,C9285,C9261,C9237,C9213)/POBLA!$B$20*100000</f>
        <v>428.49564394664452</v>
      </c>
      <c r="H9525" s="441">
        <f t="shared" si="830"/>
        <v>1.0228459530026111</v>
      </c>
      <c r="I9525" s="445">
        <f t="shared" si="826"/>
        <v>438.2850352900731</v>
      </c>
      <c r="J9525" s="310">
        <f t="shared" si="827"/>
        <v>122.42857142857143</v>
      </c>
      <c r="K9525" s="445">
        <f>J9525/POBLA!$B$20*100000</f>
        <v>33.478053319561887</v>
      </c>
    </row>
    <row r="9526" spans="1:11" s="393" customFormat="1" ht="15.75" thickBot="1" x14ac:dyDescent="0.3">
      <c r="A9526" s="402" t="s">
        <v>22</v>
      </c>
      <c r="B9526" s="268">
        <v>44289</v>
      </c>
      <c r="C9526" s="17">
        <v>495</v>
      </c>
      <c r="D9526" s="39">
        <f t="shared" si="828"/>
        <v>233480</v>
      </c>
      <c r="E9526" s="1">
        <v>1</v>
      </c>
      <c r="F9526" s="39">
        <f t="shared" si="829"/>
        <v>4274</v>
      </c>
      <c r="G9526" s="436">
        <f>SUM(C9526,C9502,C9478,C9454,C9430,C9406,C9382,C9358,C9334,C9310,C9286,C9262,C9238,C9214)/POBLA!$B$21*100000</f>
        <v>233.11723896892278</v>
      </c>
      <c r="H9526" s="441">
        <f t="shared" si="830"/>
        <v>1.3292486294743631</v>
      </c>
      <c r="I9526" s="445">
        <f t="shared" si="826"/>
        <v>309.87077040628816</v>
      </c>
      <c r="J9526" s="310">
        <f t="shared" si="827"/>
        <v>651</v>
      </c>
      <c r="K9526" s="445">
        <f>J9526/POBLA!$B$21*100000</f>
        <v>18.408457371272288</v>
      </c>
    </row>
    <row r="9527" spans="1:11" s="393" customFormat="1" ht="15.75" thickBot="1" x14ac:dyDescent="0.3">
      <c r="A9527" s="402" t="s">
        <v>38</v>
      </c>
      <c r="B9527" s="268">
        <v>44289</v>
      </c>
      <c r="C9527" s="17">
        <v>142</v>
      </c>
      <c r="D9527" s="39">
        <f t="shared" si="828"/>
        <v>25547</v>
      </c>
      <c r="E9527" s="1"/>
      <c r="F9527" s="39">
        <f t="shared" si="829"/>
        <v>297</v>
      </c>
      <c r="G9527" s="436">
        <f>SUM(C9527,C9503,C9479,C9455,C9431,C9407,C9383,C9359,C9335,C9311,C9287,C9263,C9239,C9215)/POBLA!$B$22*100000</f>
        <v>154.65398088341871</v>
      </c>
      <c r="H9527" s="441">
        <f t="shared" si="830"/>
        <v>1.4804305283757337</v>
      </c>
      <c r="I9527" s="445">
        <f t="shared" si="826"/>
        <v>228.95447463465018</v>
      </c>
      <c r="J9527" s="310">
        <f t="shared" si="827"/>
        <v>120.71428571428571</v>
      </c>
      <c r="K9527" s="445">
        <f>J9527/POBLA!$B$22*100000</f>
        <v>12.339025006749958</v>
      </c>
    </row>
    <row r="9528" spans="1:11" s="393" customFormat="1" ht="15.75" thickBot="1" x14ac:dyDescent="0.3">
      <c r="A9528" s="402" t="s">
        <v>39</v>
      </c>
      <c r="B9528" s="268">
        <v>44289</v>
      </c>
      <c r="C9528" s="17">
        <v>18</v>
      </c>
      <c r="D9528" s="39">
        <f t="shared" si="828"/>
        <v>24231</v>
      </c>
      <c r="E9528" s="1"/>
      <c r="F9528" s="39">
        <f t="shared" si="829"/>
        <v>367</v>
      </c>
      <c r="G9528" s="436">
        <f>SUM(C9528,C9504,C9480,C9456,C9432,C9408,C9384,C9360,C9336,C9312,C9288,C9264,C9240,C9216)/POBLA!$B$23*100000</f>
        <v>377.76395408018999</v>
      </c>
      <c r="H9528" s="441">
        <f t="shared" si="830"/>
        <v>1.5754716981132075</v>
      </c>
      <c r="I9528" s="445">
        <f t="shared" si="826"/>
        <v>595.15641822067664</v>
      </c>
      <c r="J9528" s="310">
        <f t="shared" si="827"/>
        <v>53</v>
      </c>
      <c r="K9528" s="445">
        <f>J9528/POBLA!$B$23*100000</f>
        <v>29.972289769835434</v>
      </c>
    </row>
    <row r="9529" spans="1:11" s="393" customFormat="1" ht="15.75" thickBot="1" x14ac:dyDescent="0.3">
      <c r="A9529" s="404" t="s">
        <v>40</v>
      </c>
      <c r="B9529" s="268">
        <v>44289</v>
      </c>
      <c r="C9529" s="17">
        <v>339</v>
      </c>
      <c r="D9529" s="177">
        <f t="shared" si="828"/>
        <v>88996</v>
      </c>
      <c r="E9529" s="1"/>
      <c r="F9529" s="177">
        <f t="shared" si="829"/>
        <v>1502</v>
      </c>
      <c r="G9529" s="439">
        <f>SUM(C9529,C9505,C9481,C9457,C9433,C9409,C9385,C9361,C9337,C9313,C9289,C9265,C9241,C9217)/POBLA!$B$24*100000</f>
        <v>301.1820688092451</v>
      </c>
      <c r="H9529" s="442">
        <f t="shared" si="830"/>
        <v>1.6332800000000001</v>
      </c>
      <c r="I9529" s="445">
        <f t="shared" si="826"/>
        <v>491.91464934476386</v>
      </c>
      <c r="J9529" s="310">
        <f t="shared" si="827"/>
        <v>408.71428571428572</v>
      </c>
      <c r="K9529" s="445">
        <f>J9529/POBLA!$B$24*100000</f>
        <v>24.117831920713449</v>
      </c>
    </row>
    <row r="9530" spans="1:11" s="393" customFormat="1" ht="15.75" thickBot="1" x14ac:dyDescent="0.3">
      <c r="A9530" s="397" t="s">
        <v>16</v>
      </c>
      <c r="B9530" s="268">
        <v>44290</v>
      </c>
      <c r="C9530" s="17">
        <v>5274</v>
      </c>
      <c r="D9530" s="175">
        <f t="shared" si="828"/>
        <v>1010250</v>
      </c>
      <c r="E9530" s="1">
        <v>76</v>
      </c>
      <c r="F9530" s="175">
        <f t="shared" si="829"/>
        <v>28423</v>
      </c>
      <c r="G9530" s="410">
        <f>SUM(C9530,C9506,C9482,C9458,C9434,C9410,C9386,C9362,C9338,C9314,C9290,C9266,C9242,C9218)/POBLA!$B$1*100000</f>
        <v>404.86533914755034</v>
      </c>
      <c r="H9530" s="440">
        <f t="shared" si="830"/>
        <v>1.7208141507148049</v>
      </c>
      <c r="I9530" s="445">
        <f>G9530*H9530</f>
        <v>696.69800473905332</v>
      </c>
      <c r="J9530" s="310">
        <f>AVERAGE(C9530,C9506,C9482,C9458,C9434,C9410,C9386)</f>
        <v>6020.2857142857147</v>
      </c>
      <c r="K9530" s="445">
        <f>J9530/POBLA!$B$1*100000</f>
        <v>34.320947048346028</v>
      </c>
    </row>
    <row r="9531" spans="1:11" s="393" customFormat="1" ht="15.75" thickBot="1" x14ac:dyDescent="0.3">
      <c r="A9531" s="402" t="s">
        <v>43</v>
      </c>
      <c r="B9531" s="268">
        <v>44290</v>
      </c>
      <c r="C9531" s="17">
        <v>1944</v>
      </c>
      <c r="D9531" s="39">
        <f t="shared" si="828"/>
        <v>268440</v>
      </c>
      <c r="E9531" s="1">
        <v>9</v>
      </c>
      <c r="F9531" s="39">
        <f t="shared" si="829"/>
        <v>6905</v>
      </c>
      <c r="G9531" s="436">
        <f>SUM(C9531,C9507,C9483,C9459,C9435,C9411,C9387,C9363,C9339,C9315,C9291,C9267,C9243,C9219)/POBLA!$B$2*100000</f>
        <v>657.97559276977904</v>
      </c>
      <c r="H9531" s="441">
        <f t="shared" si="830"/>
        <v>1.7212724334439058</v>
      </c>
      <c r="I9531" s="445">
        <f t="shared" ref="I9531:I9553" si="831">G9531*H9531</f>
        <v>1132.5552497135341</v>
      </c>
      <c r="J9531" s="310">
        <f t="shared" ref="J9531:J9553" si="832">AVERAGE(C9531,C9507,C9483,C9459,C9435,C9411,C9387)</f>
        <v>1705</v>
      </c>
      <c r="K9531" s="445">
        <f>J9531/POBLA!$B$2*100000</f>
        <v>55.435508507806162</v>
      </c>
    </row>
    <row r="9532" spans="1:11" s="393" customFormat="1" ht="15.75" thickBot="1" x14ac:dyDescent="0.3">
      <c r="A9532" s="402" t="s">
        <v>28</v>
      </c>
      <c r="B9532" s="268">
        <v>44290</v>
      </c>
      <c r="C9532" s="17">
        <v>52</v>
      </c>
      <c r="D9532" s="39">
        <f t="shared" si="828"/>
        <v>10759</v>
      </c>
      <c r="E9532" s="1"/>
      <c r="F9532" s="39">
        <f t="shared" si="829"/>
        <v>18</v>
      </c>
      <c r="G9532" s="436">
        <f>SUM(C9532,C9508,C9484,C9460,C9436,C9412,C9388,C9364,C9340,C9316,C9292,C9268,C9244,C9220)/POBLA!$B$3*100000</f>
        <v>254.91168357251863</v>
      </c>
      <c r="H9532" s="441">
        <f t="shared" si="830"/>
        <v>0.84855769230769229</v>
      </c>
      <c r="I9532" s="445">
        <f t="shared" si="831"/>
        <v>216.30726995456507</v>
      </c>
      <c r="J9532" s="310">
        <f t="shared" si="832"/>
        <v>76.142857142857139</v>
      </c>
      <c r="K9532" s="445">
        <f>J9532/POBLA!$B$3*100000</f>
        <v>18.328332300573646</v>
      </c>
    </row>
    <row r="9533" spans="1:11" s="393" customFormat="1" ht="15.75" thickBot="1" x14ac:dyDescent="0.3">
      <c r="A9533" s="402" t="s">
        <v>15</v>
      </c>
      <c r="B9533" s="268">
        <v>44290</v>
      </c>
      <c r="C9533" s="17">
        <v>75</v>
      </c>
      <c r="D9533" s="39">
        <f t="shared" si="828"/>
        <v>39020</v>
      </c>
      <c r="E9533" s="1">
        <v>1</v>
      </c>
      <c r="F9533" s="39">
        <f t="shared" si="829"/>
        <v>931</v>
      </c>
      <c r="G9533" s="436">
        <f>SUM(C9533,C9509,C9485,C9461,C9437,C9413,C9389,C9365,C9341,C9317,C9293,C9269,C9245,C9221)/POBLA!$B$4*100000</f>
        <v>170.8534620241237</v>
      </c>
      <c r="H9533" s="441">
        <f t="shared" si="830"/>
        <v>1.0837282780410742</v>
      </c>
      <c r="I9533" s="445">
        <f t="shared" si="831"/>
        <v>185.15872819675965</v>
      </c>
      <c r="J9533" s="310">
        <f t="shared" si="832"/>
        <v>148.14285714285714</v>
      </c>
      <c r="K9533" s="445">
        <f>J9533/POBLA!$B$4*100000</f>
        <v>12.298697773081791</v>
      </c>
    </row>
    <row r="9534" spans="1:11" s="393" customFormat="1" ht="15.75" thickBot="1" x14ac:dyDescent="0.3">
      <c r="A9534" s="402" t="s">
        <v>29</v>
      </c>
      <c r="B9534" s="268">
        <v>44290</v>
      </c>
      <c r="C9534" s="17">
        <v>22</v>
      </c>
      <c r="D9534" s="39">
        <f t="shared" si="828"/>
        <v>50335</v>
      </c>
      <c r="E9534" s="1"/>
      <c r="F9534" s="39">
        <f t="shared" si="829"/>
        <v>870</v>
      </c>
      <c r="G9534" s="436">
        <f>SUM(C9534,C9510,C9486,C9462,C9438,C9414,C9390,C9366,C9342,C9318,C9294,C9270,C9246,C9222)/POBLA!$B$5*100000</f>
        <v>256.54529769270783</v>
      </c>
      <c r="H9534" s="441">
        <f t="shared" si="830"/>
        <v>1.3200332502078138</v>
      </c>
      <c r="I9534" s="445">
        <f t="shared" si="831"/>
        <v>338.6483231388363</v>
      </c>
      <c r="J9534" s="310">
        <f t="shared" si="832"/>
        <v>110.42857142857143</v>
      </c>
      <c r="K9534" s="445">
        <f>J9534/POBLA!$B$5*100000</f>
        <v>17.84000675750838</v>
      </c>
    </row>
    <row r="9535" spans="1:11" s="393" customFormat="1" ht="15.75" thickBot="1" x14ac:dyDescent="0.3">
      <c r="A9535" s="402" t="s">
        <v>30</v>
      </c>
      <c r="B9535" s="268">
        <v>44290</v>
      </c>
      <c r="C9535" s="17">
        <v>7</v>
      </c>
      <c r="D9535" s="39">
        <f t="shared" si="828"/>
        <v>30872</v>
      </c>
      <c r="E9535" s="1"/>
      <c r="F9535" s="39">
        <f t="shared" si="829"/>
        <v>328</v>
      </c>
      <c r="G9535" s="436">
        <f>SUM(C9535,C9511,C9487,C9463,C9439,C9415,C9391,C9367,C9343,C9319,C9295,C9271,C9247,C9223)/POBLA!$B$6*100000</f>
        <v>393.02249016551553</v>
      </c>
      <c r="H9535" s="441">
        <f t="shared" si="830"/>
        <v>1.3401277760876178</v>
      </c>
      <c r="I9535" s="445">
        <f t="shared" si="831"/>
        <v>526.70035569792992</v>
      </c>
      <c r="J9535" s="310">
        <f t="shared" si="832"/>
        <v>355</v>
      </c>
      <c r="K9535" s="445">
        <f>J9535/POBLA!$B$6*100000</f>
        <v>31.673776165438824</v>
      </c>
    </row>
    <row r="9536" spans="1:11" s="393" customFormat="1" ht="15.75" thickBot="1" x14ac:dyDescent="0.3">
      <c r="A9536" s="402" t="s">
        <v>20</v>
      </c>
      <c r="B9536" s="268">
        <v>44290</v>
      </c>
      <c r="C9536" s="17">
        <v>755</v>
      </c>
      <c r="D9536" s="39">
        <f t="shared" si="828"/>
        <v>183864</v>
      </c>
      <c r="E9536" s="1">
        <v>5</v>
      </c>
      <c r="F9536" s="39">
        <f t="shared" si="829"/>
        <v>3053</v>
      </c>
      <c r="G9536" s="436">
        <f>SUM(C9536,C9512,C9488,C9464,C9440,C9416,C9392,C9368,C9344,C9320,C9296,C9272,C9248,C9224)/POBLA!$B$7*100000</f>
        <v>310.20223643446928</v>
      </c>
      <c r="H9536" s="441">
        <f t="shared" si="830"/>
        <v>1.3955018542887905</v>
      </c>
      <c r="I9536" s="445">
        <f t="shared" si="831"/>
        <v>432.88779614883168</v>
      </c>
      <c r="J9536" s="310">
        <f t="shared" si="832"/>
        <v>913.28571428571433</v>
      </c>
      <c r="K9536" s="445">
        <f>J9536/POBLA!$B$7*100000</f>
        <v>24.286607036012029</v>
      </c>
    </row>
    <row r="9537" spans="1:11" ht="15.75" thickBot="1" x14ac:dyDescent="0.3">
      <c r="A9537" s="402" t="s">
        <v>31</v>
      </c>
      <c r="B9537" s="268">
        <v>44290</v>
      </c>
      <c r="C9537" s="17">
        <v>156</v>
      </c>
      <c r="D9537" s="39">
        <f t="shared" si="828"/>
        <v>50600</v>
      </c>
      <c r="F9537" s="39">
        <f t="shared" si="829"/>
        <v>950</v>
      </c>
      <c r="G9537" s="169">
        <f>SUM(C9537,C9513,C9489,C9465,C9441,C9417,C9393,C9369,C9345,C9321,C9297,C9273,C9249,C9225)/POBLA!$B$8*100000</f>
        <v>178.57645344998886</v>
      </c>
      <c r="H9537" s="518">
        <f t="shared" si="830"/>
        <v>1.1608818011257036</v>
      </c>
      <c r="I9537" s="310">
        <f t="shared" si="831"/>
        <v>207.30615491966344</v>
      </c>
      <c r="J9537" s="310">
        <f t="shared" si="832"/>
        <v>197.14285714285714</v>
      </c>
      <c r="K9537" s="310">
        <f>J9537/POBLA!$B$8*100000</f>
        <v>14.224271616795647</v>
      </c>
    </row>
    <row r="9538" spans="1:11" s="393" customFormat="1" ht="15.75" thickBot="1" x14ac:dyDescent="0.3">
      <c r="A9538" s="402" t="s">
        <v>41</v>
      </c>
      <c r="B9538" s="268">
        <v>44290</v>
      </c>
      <c r="C9538" s="17">
        <v>21</v>
      </c>
      <c r="D9538" s="39">
        <f t="shared" si="828"/>
        <v>2319</v>
      </c>
      <c r="E9538" s="1"/>
      <c r="F9538" s="39">
        <f t="shared" si="829"/>
        <v>41</v>
      </c>
      <c r="G9538" s="436">
        <f>SUM(C9538,C9514,C9490,C9466,C9442,C9418,C9394,C9370,C9346,C9322,C9298,C9274,C9250,C9226)/POBLA!$B$9*100000</f>
        <v>103.1076036900625</v>
      </c>
      <c r="H9538" s="441">
        <f t="shared" si="830"/>
        <v>1.9082568807339451</v>
      </c>
      <c r="I9538" s="445">
        <f t="shared" si="831"/>
        <v>196.75579419755047</v>
      </c>
      <c r="J9538" s="310">
        <f t="shared" si="832"/>
        <v>48.571428571428569</v>
      </c>
      <c r="K9538" s="445">
        <f>J9538/POBLA!$B$9*100000</f>
        <v>8.0257750125048659</v>
      </c>
    </row>
    <row r="9539" spans="1:11" s="393" customFormat="1" ht="15.75" thickBot="1" x14ac:dyDescent="0.3">
      <c r="A9539" s="402" t="s">
        <v>32</v>
      </c>
      <c r="B9539" s="268">
        <v>44290</v>
      </c>
      <c r="C9539" s="17">
        <v>35</v>
      </c>
      <c r="D9539" s="39">
        <f t="shared" si="828"/>
        <v>22647</v>
      </c>
      <c r="E9539" s="1"/>
      <c r="F9539" s="39">
        <f t="shared" si="829"/>
        <v>976</v>
      </c>
      <c r="G9539" s="436">
        <f>SUM(C9539,C9515,C9491,C9467,C9443,C9419,C9395,C9371,C9347,C9323,C9299,C9275,C9251,C9227)/POBLA!$B$10*100000</f>
        <v>80.816624096326152</v>
      </c>
      <c r="H9539" s="441">
        <f t="shared" si="830"/>
        <v>0.8165137614678899</v>
      </c>
      <c r="I9539" s="445">
        <f t="shared" si="831"/>
        <v>65.98788573002777</v>
      </c>
      <c r="J9539" s="310">
        <f t="shared" si="832"/>
        <v>50.142857142857146</v>
      </c>
      <c r="K9539" s="445">
        <f>J9539/POBLA!$B$10*100000</f>
        <v>6.5046170735635132</v>
      </c>
    </row>
    <row r="9540" spans="1:11" s="393" customFormat="1" ht="15.75" thickBot="1" x14ac:dyDescent="0.3">
      <c r="A9540" s="402" t="s">
        <v>33</v>
      </c>
      <c r="B9540" s="268">
        <v>44290</v>
      </c>
      <c r="C9540" s="17">
        <v>86</v>
      </c>
      <c r="D9540" s="39">
        <f t="shared" si="828"/>
        <v>21602</v>
      </c>
      <c r="E9540" s="1"/>
      <c r="F9540" s="39">
        <f t="shared" si="829"/>
        <v>321</v>
      </c>
      <c r="G9540" s="436">
        <f>SUM(C9540,C9516,C9492,C9468,C9444,C9420,C9396,C9372,C9348,C9324,C9300,C9276,C9252,C9228)/POBLA!$B$11*100000</f>
        <v>310.52261542067026</v>
      </c>
      <c r="H9540" s="441">
        <f t="shared" si="830"/>
        <v>0.89182692307692313</v>
      </c>
      <c r="I9540" s="445">
        <f t="shared" si="831"/>
        <v>276.93242865641508</v>
      </c>
      <c r="J9540" s="310">
        <f t="shared" si="832"/>
        <v>78</v>
      </c>
      <c r="K9540" s="445">
        <f>J9540/POBLA!$B$11*100000</f>
        <v>21.761692724898722</v>
      </c>
    </row>
    <row r="9541" spans="1:11" s="393" customFormat="1" ht="15.75" thickBot="1" x14ac:dyDescent="0.3">
      <c r="A9541" s="402" t="s">
        <v>21</v>
      </c>
      <c r="B9541" s="268">
        <v>44290</v>
      </c>
      <c r="C9541" s="17">
        <v>60</v>
      </c>
      <c r="D9541" s="39">
        <f t="shared" si="828"/>
        <v>11361</v>
      </c>
      <c r="E9541" s="1"/>
      <c r="F9541" s="39">
        <f t="shared" si="829"/>
        <v>449</v>
      </c>
      <c r="G9541" s="436">
        <f>SUM(C9541,C9517,C9493,C9469,C9445,C9421,C9397,C9373,C9349,C9325,C9301,C9277,C9253,C9229)/POBLA!$B$12*100000</f>
        <v>169.49109472951307</v>
      </c>
      <c r="H9541" s="441">
        <f t="shared" si="830"/>
        <v>2.0151057401812689</v>
      </c>
      <c r="I9541" s="445">
        <f t="shared" si="831"/>
        <v>341.542477899049</v>
      </c>
      <c r="J9541" s="310">
        <f t="shared" si="832"/>
        <v>65.571428571428569</v>
      </c>
      <c r="K9541" s="445">
        <f>J9541/POBLA!$B$12*100000</f>
        <v>16.662328652997747</v>
      </c>
    </row>
    <row r="9542" spans="1:11" s="393" customFormat="1" ht="15.75" thickBot="1" x14ac:dyDescent="0.3">
      <c r="A9542" s="402" t="s">
        <v>17</v>
      </c>
      <c r="B9542" s="268">
        <v>44290</v>
      </c>
      <c r="C9542" s="17">
        <v>356</v>
      </c>
      <c r="D9542" s="39">
        <f t="shared" si="828"/>
        <v>74357</v>
      </c>
      <c r="E9542" s="1"/>
      <c r="F9542" s="39">
        <f t="shared" si="829"/>
        <v>1513</v>
      </c>
      <c r="G9542" s="436">
        <f>SUM(C9542,C9518,C9494,C9470,C9446,C9422,C9398,C9374,C9350,C9326,C9302,C9278,C9254,C9230)/POBLA!$B$13*100000</f>
        <v>196.24807444765662</v>
      </c>
      <c r="H9542" s="441">
        <f t="shared" si="830"/>
        <v>1.7562949640287771</v>
      </c>
      <c r="I9542" s="445">
        <f t="shared" si="831"/>
        <v>344.66950485276385</v>
      </c>
      <c r="J9542" s="310">
        <f t="shared" si="832"/>
        <v>359.28571428571428</v>
      </c>
      <c r="K9542" s="445">
        <f>J9542/POBLA!$B$13*100000</f>
        <v>18.051492474429683</v>
      </c>
    </row>
    <row r="9543" spans="1:11" s="393" customFormat="1" ht="15.75" thickBot="1" x14ac:dyDescent="0.3">
      <c r="A9543" s="402" t="s">
        <v>23</v>
      </c>
      <c r="B9543" s="268">
        <v>44290</v>
      </c>
      <c r="C9543" s="17">
        <v>3</v>
      </c>
      <c r="D9543" s="39">
        <f t="shared" si="828"/>
        <v>12309</v>
      </c>
      <c r="E9543" s="1"/>
      <c r="F9543" s="39">
        <f t="shared" si="829"/>
        <v>210</v>
      </c>
      <c r="G9543" s="436">
        <f>SUM(C9543,C9519,C9495,C9471,C9447,C9423,C9399,C9375,C9351,C9327,C9303,C9279,C9255,C9231)/POBLA!$B$14*100000</f>
        <v>120.03545565110117</v>
      </c>
      <c r="H9543" s="441">
        <f t="shared" si="830"/>
        <v>0.90496114763897195</v>
      </c>
      <c r="I9543" s="445">
        <f t="shared" si="831"/>
        <v>108.62742370338744</v>
      </c>
      <c r="J9543" s="310">
        <f t="shared" si="832"/>
        <v>87.285714285714292</v>
      </c>
      <c r="K9543" s="445">
        <f>J9543/POBLA!$B$14*100000</f>
        <v>6.9203305720723556</v>
      </c>
    </row>
    <row r="9544" spans="1:11" s="393" customFormat="1" ht="15.75" thickBot="1" x14ac:dyDescent="0.3">
      <c r="A9544" s="402" t="s">
        <v>19</v>
      </c>
      <c r="B9544" s="268">
        <v>44290</v>
      </c>
      <c r="C9544" s="17">
        <v>64</v>
      </c>
      <c r="D9544" s="39">
        <f t="shared" si="828"/>
        <v>65498</v>
      </c>
      <c r="E9544" s="1"/>
      <c r="F9544" s="39">
        <f t="shared" si="829"/>
        <v>1013</v>
      </c>
      <c r="G9544" s="436">
        <f>SUM(C9544,C9520,C9496,C9472,C9448,C9424,C9400,C9376,C9352,C9328,C9304,C9280,C9256,C9232)/POBLA!$B$15*100000</f>
        <v>216.99944432480947</v>
      </c>
      <c r="H9544" s="441">
        <f t="shared" si="830"/>
        <v>0.81782065834279227</v>
      </c>
      <c r="I9544" s="445">
        <f t="shared" si="831"/>
        <v>177.46662841773579</v>
      </c>
      <c r="J9544" s="310">
        <f t="shared" si="832"/>
        <v>89.571428571428569</v>
      </c>
      <c r="K9544" s="445">
        <f>J9544/POBLA!$B$15*100000</f>
        <v>13.488515077987067</v>
      </c>
    </row>
    <row r="9545" spans="1:11" s="393" customFormat="1" ht="15.75" thickBot="1" x14ac:dyDescent="0.3">
      <c r="A9545" s="402" t="s">
        <v>18</v>
      </c>
      <c r="B9545" s="268">
        <v>44290</v>
      </c>
      <c r="C9545" s="17">
        <v>31</v>
      </c>
      <c r="D9545" s="39">
        <f t="shared" si="828"/>
        <v>55731</v>
      </c>
      <c r="E9545" s="1"/>
      <c r="F9545" s="39">
        <f t="shared" si="829"/>
        <v>1284</v>
      </c>
      <c r="G9545" s="436">
        <f>SUM(C9545,C9521,C9497,C9473,C9449,C9425,C9401,C9377,C9353,C9329,C9305,C9281,C9257,C9233)/POBLA!$B$16*100000</f>
        <v>177.90024210484074</v>
      </c>
      <c r="H9545" s="441">
        <f t="shared" si="830"/>
        <v>1.0350194552529184</v>
      </c>
      <c r="I9545" s="445">
        <f t="shared" si="831"/>
        <v>184.13021167271455</v>
      </c>
      <c r="J9545" s="310">
        <f t="shared" si="832"/>
        <v>100.14285714285714</v>
      </c>
      <c r="K9545" s="445">
        <f>J9545/POBLA!$B$16*100000</f>
        <v>13.395066564499825</v>
      </c>
    </row>
    <row r="9546" spans="1:11" s="393" customFormat="1" ht="15.75" thickBot="1" x14ac:dyDescent="0.3">
      <c r="A9546" s="402" t="s">
        <v>34</v>
      </c>
      <c r="B9546" s="268">
        <v>44290</v>
      </c>
      <c r="C9546" s="17">
        <v>76</v>
      </c>
      <c r="D9546" s="39">
        <f t="shared" si="828"/>
        <v>29742</v>
      </c>
      <c r="E9546" s="1">
        <v>1</v>
      </c>
      <c r="F9546" s="39">
        <f t="shared" si="829"/>
        <v>1206</v>
      </c>
      <c r="G9546" s="436">
        <f>SUM(C9546,C9522,C9498,C9474,C9450,C9426,C9402,C9378,C9354,C9330,C9306,C9282,C9258,C9234)/POBLA!$B$17*100000</f>
        <v>100.81459031435757</v>
      </c>
      <c r="H9546" s="441">
        <f t="shared" ref="H9546:H9569" si="833">SUM(C9546,C9522,C9498,C9474,C9450,C9426,C9402,C9378,C9354,C9330,C9306,C9282,C9258,C9234)/SUM(C9210,C9186,C9162,C9138,C9114,C9090,C9066,C9042,C9018,C8994,C8970,C8946,C8922,C8898)</f>
        <v>0.99377162629757787</v>
      </c>
      <c r="I9546" s="445">
        <f t="shared" si="831"/>
        <v>100.18667937122316</v>
      </c>
      <c r="J9546" s="310">
        <f t="shared" si="832"/>
        <v>109.14285714285714</v>
      </c>
      <c r="K9546" s="445">
        <f>J9546/POBLA!$B$17*100000</f>
        <v>7.6623902706097482</v>
      </c>
    </row>
    <row r="9547" spans="1:11" s="393" customFormat="1" ht="15.75" thickBot="1" x14ac:dyDescent="0.3">
      <c r="A9547" s="402" t="s">
        <v>35</v>
      </c>
      <c r="B9547" s="268">
        <v>44290</v>
      </c>
      <c r="C9547" s="17">
        <v>27</v>
      </c>
      <c r="D9547" s="39">
        <f t="shared" si="828"/>
        <v>17477</v>
      </c>
      <c r="E9547" s="1"/>
      <c r="F9547" s="39">
        <f t="shared" si="829"/>
        <v>224</v>
      </c>
      <c r="G9547" s="436">
        <f>SUM(C9547,C9523,C9499,C9475,C9451,C9427,C9403,C9379,C9355,C9331,C9307,C9283,C9259,C9235)/POBLA!$B$18*100000</f>
        <v>148.7422828740286</v>
      </c>
      <c r="H9547" s="441">
        <f t="shared" si="833"/>
        <v>1.4878361075544173</v>
      </c>
      <c r="I9547" s="445">
        <f t="shared" si="831"/>
        <v>221.30413918005277</v>
      </c>
      <c r="J9547" s="310">
        <f t="shared" si="832"/>
        <v>93</v>
      </c>
      <c r="K9547" s="445">
        <f>J9547/POBLA!$B$18*100000</f>
        <v>11.904502846200224</v>
      </c>
    </row>
    <row r="9548" spans="1:11" s="393" customFormat="1" ht="15.75" thickBot="1" x14ac:dyDescent="0.3">
      <c r="A9548" s="402" t="s">
        <v>36</v>
      </c>
      <c r="B9548" s="268">
        <v>44290</v>
      </c>
      <c r="C9548" s="17">
        <v>185</v>
      </c>
      <c r="D9548" s="39">
        <f t="shared" si="828"/>
        <v>23618</v>
      </c>
      <c r="E9548" s="1"/>
      <c r="F9548" s="39">
        <f t="shared" si="829"/>
        <v>430</v>
      </c>
      <c r="G9548" s="436">
        <f>SUM(C9548,C9524,C9500,C9476,C9452,C9428,C9404,C9380,C9356,C9332,C9308,C9284,C9260,C9236)/POBLA!$B$19*100000</f>
        <v>406.43049369698304</v>
      </c>
      <c r="H9548" s="441">
        <f t="shared" si="833"/>
        <v>2.7546666666666666</v>
      </c>
      <c r="I9548" s="445">
        <f t="shared" si="831"/>
        <v>1119.5805333039559</v>
      </c>
      <c r="J9548" s="310">
        <f t="shared" si="832"/>
        <v>181.28571428571428</v>
      </c>
      <c r="K9548" s="445">
        <f>J9548/POBLA!$B$19*100000</f>
        <v>35.663137636666534</v>
      </c>
    </row>
    <row r="9549" spans="1:11" s="393" customFormat="1" ht="15.75" thickBot="1" x14ac:dyDescent="0.3">
      <c r="A9549" s="402" t="s">
        <v>37</v>
      </c>
      <c r="B9549" s="268">
        <v>44290</v>
      </c>
      <c r="C9549" s="17">
        <v>77</v>
      </c>
      <c r="D9549" s="39">
        <f t="shared" si="828"/>
        <v>39788</v>
      </c>
      <c r="E9549" s="1">
        <v>1</v>
      </c>
      <c r="F9549" s="39">
        <f t="shared" si="829"/>
        <v>643</v>
      </c>
      <c r="G9549" s="436">
        <f>SUM(C9549,C9525,C9501,C9477,C9453,C9429,C9405,C9381,C9357,C9333,C9309,C9285,C9261,C9237)/POBLA!$B$20*100000</f>
        <v>436.9725839353784</v>
      </c>
      <c r="H9549" s="441">
        <f t="shared" si="833"/>
        <v>1.0464963981663393</v>
      </c>
      <c r="I9549" s="445">
        <f t="shared" si="831"/>
        <v>457.29023518581187</v>
      </c>
      <c r="J9549" s="310">
        <f t="shared" si="832"/>
        <v>119.14285714285714</v>
      </c>
      <c r="K9549" s="445">
        <f>J9549/POBLA!$B$20*100000</f>
        <v>32.579575809235251</v>
      </c>
    </row>
    <row r="9550" spans="1:11" s="393" customFormat="1" ht="15.75" thickBot="1" x14ac:dyDescent="0.3">
      <c r="A9550" s="402" t="s">
        <v>22</v>
      </c>
      <c r="B9550" s="268">
        <v>44290</v>
      </c>
      <c r="C9550" s="17">
        <v>318</v>
      </c>
      <c r="D9550" s="39">
        <f t="shared" si="828"/>
        <v>233798</v>
      </c>
      <c r="E9550" s="1"/>
      <c r="F9550" s="39">
        <f t="shared" si="829"/>
        <v>4274</v>
      </c>
      <c r="G9550" s="436">
        <f>SUM(C9550,C9526,C9502,C9478,C9454,C9430,C9406,C9382,C9358,C9334,C9310,C9286,C9262,C9238)/POBLA!$B$21*100000</f>
        <v>235.23802898865461</v>
      </c>
      <c r="H9550" s="441">
        <f t="shared" si="833"/>
        <v>1.3383204633204633</v>
      </c>
      <c r="I9550" s="445">
        <f t="shared" si="831"/>
        <v>314.82386794668878</v>
      </c>
      <c r="J9550" s="310">
        <f t="shared" si="832"/>
        <v>663</v>
      </c>
      <c r="K9550" s="445">
        <f>J9550/POBLA!$B$21*100000</f>
        <v>18.747783774429379</v>
      </c>
    </row>
    <row r="9551" spans="1:11" s="393" customFormat="1" ht="15.75" thickBot="1" x14ac:dyDescent="0.3">
      <c r="A9551" s="402" t="s">
        <v>38</v>
      </c>
      <c r="B9551" s="268">
        <v>44290</v>
      </c>
      <c r="C9551" s="17">
        <v>89</v>
      </c>
      <c r="D9551" s="39">
        <f t="shared" si="828"/>
        <v>25636</v>
      </c>
      <c r="E9551" s="1"/>
      <c r="F9551" s="39">
        <f t="shared" si="829"/>
        <v>297</v>
      </c>
      <c r="G9551" s="436">
        <f>SUM(C9551,C9527,C9503,C9479,C9455,C9431,C9407,C9383,C9359,C9335,C9311,C9287,C9263,C9239)/POBLA!$B$22*100000</f>
        <v>156.59609961229177</v>
      </c>
      <c r="H9551" s="441">
        <f t="shared" si="833"/>
        <v>1.4384976525821596</v>
      </c>
      <c r="I9551" s="445">
        <f t="shared" si="831"/>
        <v>225.26312169580373</v>
      </c>
      <c r="J9551" s="310">
        <f t="shared" si="832"/>
        <v>114</v>
      </c>
      <c r="K9551" s="445">
        <f>J9551/POBLA!$B$22*100000</f>
        <v>11.652712373238423</v>
      </c>
    </row>
    <row r="9552" spans="1:11" s="393" customFormat="1" ht="15.75" thickBot="1" x14ac:dyDescent="0.3">
      <c r="A9552" s="402" t="s">
        <v>39</v>
      </c>
      <c r="B9552" s="268">
        <v>44290</v>
      </c>
      <c r="C9552" s="17">
        <v>74</v>
      </c>
      <c r="D9552" s="39">
        <f t="shared" si="828"/>
        <v>24305</v>
      </c>
      <c r="E9552" s="1"/>
      <c r="F9552" s="39">
        <f t="shared" si="829"/>
        <v>367</v>
      </c>
      <c r="G9552" s="436">
        <f>SUM(C9552,C9528,C9504,C9480,C9456,C9432,C9408,C9384,C9360,C9336,C9312,C9288,C9264,C9240)/POBLA!$B$23*100000</f>
        <v>406.60521404739012</v>
      </c>
      <c r="H9552" s="441">
        <f t="shared" si="833"/>
        <v>1.7536585365853659</v>
      </c>
      <c r="I9552" s="445">
        <f t="shared" si="831"/>
        <v>713.04670463432558</v>
      </c>
      <c r="J9552" s="310">
        <f t="shared" si="832"/>
        <v>53.428571428571431</v>
      </c>
      <c r="K9552" s="445">
        <f>J9552/POBLA!$B$23*100000</f>
        <v>30.214653298971573</v>
      </c>
    </row>
    <row r="9553" spans="1:11" s="393" customFormat="1" x14ac:dyDescent="0.25">
      <c r="A9553" s="403" t="s">
        <v>40</v>
      </c>
      <c r="B9553" s="34">
        <v>44290</v>
      </c>
      <c r="C9553" s="17">
        <v>168</v>
      </c>
      <c r="D9553" s="67">
        <f t="shared" si="828"/>
        <v>89164</v>
      </c>
      <c r="E9553" s="234"/>
      <c r="F9553" s="67">
        <f t="shared" si="829"/>
        <v>1502</v>
      </c>
      <c r="G9553" s="446">
        <f>SUM(C9553,C9529,C9505,C9481,C9457,C9433,C9409,C9385,C9361,C9337,C9313,C9289,C9265,C9241)/POBLA!$B$24*100000</f>
        <v>304.84062842252348</v>
      </c>
      <c r="H9553" s="447">
        <f t="shared" si="833"/>
        <v>1.6281121966593131</v>
      </c>
      <c r="I9553" s="445">
        <f t="shared" si="831"/>
        <v>496.31474517200013</v>
      </c>
      <c r="J9553" s="310">
        <f t="shared" si="832"/>
        <v>390.85714285714283</v>
      </c>
      <c r="K9553" s="445">
        <f>J9553/POBLA!$B$24*100000</f>
        <v>23.064099313202377</v>
      </c>
    </row>
    <row r="9554" spans="1:11" s="393" customFormat="1" x14ac:dyDescent="0.25">
      <c r="A9554" s="394" t="s">
        <v>16</v>
      </c>
      <c r="B9554" s="2">
        <v>44291</v>
      </c>
      <c r="C9554" s="1">
        <v>6243</v>
      </c>
      <c r="D9554" s="39">
        <f t="shared" si="828"/>
        <v>1016493</v>
      </c>
      <c r="E9554" s="1">
        <v>163</v>
      </c>
      <c r="F9554" s="39">
        <f t="shared" si="829"/>
        <v>28586</v>
      </c>
      <c r="G9554" s="436">
        <f>SUM(C9554,C9530,C9506,C9482,C9458,C9434,C9410,C9386,C9362,C9338,C9314,C9290,C9266,C9242)/POBLA!$B$1*100000</f>
        <v>425.4797336159603</v>
      </c>
      <c r="H9554" s="452">
        <f t="shared" si="833"/>
        <v>1.7809860163222451</v>
      </c>
      <c r="I9554" s="445">
        <f>G9554*H9554</f>
        <v>757.7734557985392</v>
      </c>
      <c r="J9554" s="310">
        <f>AVERAGE(C9554,C9530,C9506,C9482,C9458,C9434,C9410)</f>
        <v>5989.8571428571431</v>
      </c>
      <c r="K9554" s="445">
        <f>J9554/POBLA!$B$1*100000</f>
        <v>34.147477309812075</v>
      </c>
    </row>
    <row r="9555" spans="1:11" s="393" customFormat="1" x14ac:dyDescent="0.25">
      <c r="A9555" s="394" t="s">
        <v>43</v>
      </c>
      <c r="B9555" s="2">
        <v>44291</v>
      </c>
      <c r="C9555" s="1">
        <v>2428</v>
      </c>
      <c r="D9555" s="39">
        <f t="shared" si="828"/>
        <v>270868</v>
      </c>
      <c r="E9555" s="1">
        <v>41</v>
      </c>
      <c r="F9555" s="39">
        <f t="shared" si="829"/>
        <v>6946</v>
      </c>
      <c r="G9555" s="436">
        <f>SUM(C9555,C9531,C9507,C9483,C9459,C9435,C9411,C9387,C9363,C9339,C9315,C9291,C9267,C9243)/POBLA!$B$2*100000</f>
        <v>707.81878018471571</v>
      </c>
      <c r="H9555" s="452">
        <f t="shared" si="833"/>
        <v>1.8203863199264152</v>
      </c>
      <c r="I9555" s="445">
        <f t="shared" ref="I9555:I9577" si="834">G9555*H9555</f>
        <v>1288.5036244352589</v>
      </c>
      <c r="J9555" s="310">
        <f t="shared" ref="J9555:J9577" si="835">AVERAGE(C9555,C9531,C9507,C9483,C9459,C9435,C9411)</f>
        <v>1750.5714285714287</v>
      </c>
      <c r="K9555" s="445">
        <f>J9555/POBLA!$B$2*100000</f>
        <v>56.917194910318962</v>
      </c>
    </row>
    <row r="9556" spans="1:11" s="393" customFormat="1" x14ac:dyDescent="0.25">
      <c r="A9556" s="394" t="s">
        <v>28</v>
      </c>
      <c r="B9556" s="2">
        <v>44291</v>
      </c>
      <c r="C9556" s="1">
        <v>110</v>
      </c>
      <c r="D9556" s="39">
        <f t="shared" si="828"/>
        <v>10869</v>
      </c>
      <c r="E9556" s="1"/>
      <c r="F9556" s="39">
        <f t="shared" si="829"/>
        <v>18</v>
      </c>
      <c r="G9556" s="436">
        <f>SUM(C9556,C9532,C9508,C9484,C9460,C9436,C9412,C9388,C9364,C9340,C9316,C9292,C9268,C9244)/POBLA!$B$3*100000</f>
        <v>266.70646402110543</v>
      </c>
      <c r="H9556" s="452">
        <f t="shared" si="833"/>
        <v>0.89789303079416527</v>
      </c>
      <c r="I9556" s="445">
        <f t="shared" si="834"/>
        <v>239.47387531230535</v>
      </c>
      <c r="J9556" s="310">
        <f t="shared" si="835"/>
        <v>79.857142857142861</v>
      </c>
      <c r="K9556" s="445">
        <f>J9556/POBLA!$B$3*100000</f>
        <v>19.222397290845532</v>
      </c>
    </row>
    <row r="9557" spans="1:11" s="393" customFormat="1" x14ac:dyDescent="0.25">
      <c r="A9557" s="394" t="s">
        <v>15</v>
      </c>
      <c r="B9557" s="2">
        <v>44291</v>
      </c>
      <c r="C9557" s="1">
        <v>90</v>
      </c>
      <c r="D9557" s="39">
        <f t="shared" si="828"/>
        <v>39110</v>
      </c>
      <c r="E9557" s="1">
        <v>12</v>
      </c>
      <c r="F9557" s="39">
        <f t="shared" si="829"/>
        <v>943</v>
      </c>
      <c r="G9557" s="436">
        <f>SUM(C9557,C9533,C9509,C9485,C9461,C9437,C9413,C9389,C9365,C9341,C9317,C9293,C9269,C9245)/POBLA!$B$4*100000</f>
        <v>170.18930862461303</v>
      </c>
      <c r="H9557" s="452">
        <f t="shared" si="833"/>
        <v>1.0915867944621938</v>
      </c>
      <c r="I9557" s="445">
        <f t="shared" si="834"/>
        <v>185.77640185327832</v>
      </c>
      <c r="J9557" s="310">
        <f t="shared" si="835"/>
        <v>127</v>
      </c>
      <c r="K9557" s="445">
        <f>J9557/POBLA!$B$4*100000</f>
        <v>10.543435217232124</v>
      </c>
    </row>
    <row r="9558" spans="1:11" s="393" customFormat="1" x14ac:dyDescent="0.25">
      <c r="A9558" s="394" t="s">
        <v>29</v>
      </c>
      <c r="B9558" s="2">
        <v>44291</v>
      </c>
      <c r="C9558" s="1">
        <v>154</v>
      </c>
      <c r="D9558" s="39">
        <f t="shared" si="828"/>
        <v>50489</v>
      </c>
      <c r="E9558" s="1"/>
      <c r="F9558" s="39">
        <f t="shared" si="829"/>
        <v>870</v>
      </c>
      <c r="G9558" s="436">
        <f>SUM(C9558,C9534,C9510,C9486,C9462,C9438,C9414,C9390,C9366,C9342,C9318,C9294,C9270,C9246)/POBLA!$B$5*100000</f>
        <v>262.84584341689907</v>
      </c>
      <c r="H9558" s="452">
        <f t="shared" si="833"/>
        <v>1.3026421136909527</v>
      </c>
      <c r="I9558" s="445">
        <f t="shared" si="834"/>
        <v>342.39406504347062</v>
      </c>
      <c r="J9558" s="310">
        <f t="shared" si="835"/>
        <v>103.28571428571429</v>
      </c>
      <c r="K9558" s="445">
        <f>J9558/POBLA!$B$5*100000</f>
        <v>16.686060654176664</v>
      </c>
    </row>
    <row r="9559" spans="1:11" s="393" customFormat="1" x14ac:dyDescent="0.25">
      <c r="A9559" s="394" t="s">
        <v>30</v>
      </c>
      <c r="B9559" s="2">
        <v>44291</v>
      </c>
      <c r="C9559" s="1">
        <v>60</v>
      </c>
      <c r="D9559" s="39">
        <f t="shared" si="828"/>
        <v>30932</v>
      </c>
      <c r="E9559" s="1">
        <v>3</v>
      </c>
      <c r="F9559" s="39">
        <f t="shared" si="829"/>
        <v>331</v>
      </c>
      <c r="G9559" s="436">
        <f>SUM(C9559,C9535,C9511,C9487,C9463,C9439,C9415,C9391,C9367,C9343,C9319,C9295,C9271,C9247)/POBLA!$B$6*100000</f>
        <v>382.40508350724167</v>
      </c>
      <c r="H9559" s="452">
        <f t="shared" si="833"/>
        <v>1.3115055079559363</v>
      </c>
      <c r="I9559" s="445">
        <f t="shared" si="834"/>
        <v>501.52637329009724</v>
      </c>
      <c r="J9559" s="310">
        <f t="shared" si="835"/>
        <v>293.28571428571428</v>
      </c>
      <c r="K9559" s="445">
        <f>J9559/POBLA!$B$6*100000</f>
        <v>26.167510047342418</v>
      </c>
    </row>
    <row r="9560" spans="1:11" s="393" customFormat="1" x14ac:dyDescent="0.25">
      <c r="A9560" s="394" t="s">
        <v>20</v>
      </c>
      <c r="B9560" s="2">
        <v>44291</v>
      </c>
      <c r="C9560" s="1">
        <v>1048</v>
      </c>
      <c r="D9560" s="39">
        <f t="shared" si="828"/>
        <v>184912</v>
      </c>
      <c r="E9560" s="1">
        <v>7</v>
      </c>
      <c r="F9560" s="39">
        <f t="shared" si="829"/>
        <v>3060</v>
      </c>
      <c r="G9560" s="436">
        <f>SUM(C9560,C9536,C9512,C9488,C9464,C9440,C9416,C9392,C9368,C9344,C9320,C9296,C9272,C9248)/POBLA!$B$7*100000</f>
        <v>321.79659349280007</v>
      </c>
      <c r="H9560" s="452">
        <f t="shared" si="833"/>
        <v>1.427173015685812</v>
      </c>
      <c r="I9560" s="445">
        <f t="shared" si="834"/>
        <v>459.25941477254082</v>
      </c>
      <c r="J9560" s="310">
        <f t="shared" si="835"/>
        <v>909.28571428571433</v>
      </c>
      <c r="K9560" s="445">
        <f>J9560/POBLA!$B$7*100000</f>
        <v>24.180236787770461</v>
      </c>
    </row>
    <row r="9561" spans="1:11" x14ac:dyDescent="0.25">
      <c r="A9561" s="394" t="s">
        <v>31</v>
      </c>
      <c r="B9561" s="2">
        <v>44291</v>
      </c>
      <c r="C9561" s="1">
        <v>107</v>
      </c>
      <c r="D9561" s="39">
        <f t="shared" si="828"/>
        <v>50707</v>
      </c>
      <c r="F9561" s="39">
        <f t="shared" si="829"/>
        <v>950</v>
      </c>
      <c r="G9561" s="169">
        <f>SUM(C9561,C9537,C9513,C9489,C9465,C9441,C9417,C9393,C9369,C9345,C9321,C9297,C9273,C9249)/POBLA!$B$8*100000</f>
        <v>173.8144146913225</v>
      </c>
      <c r="H9561" s="258">
        <f t="shared" si="833"/>
        <v>1.085135135135135</v>
      </c>
      <c r="I9561" s="310">
        <f t="shared" si="834"/>
        <v>188.61212837450265</v>
      </c>
      <c r="J9561" s="310">
        <f t="shared" si="835"/>
        <v>181.71428571428572</v>
      </c>
      <c r="K9561" s="310">
        <f>J9561/POBLA!$B$8*100000</f>
        <v>13.11106775113338</v>
      </c>
    </row>
    <row r="9562" spans="1:11" s="393" customFormat="1" x14ac:dyDescent="0.25">
      <c r="A9562" s="394" t="s">
        <v>41</v>
      </c>
      <c r="B9562" s="2">
        <v>44291</v>
      </c>
      <c r="C9562" s="1">
        <v>30</v>
      </c>
      <c r="D9562" s="39">
        <f t="shared" si="828"/>
        <v>2349</v>
      </c>
      <c r="E9562" s="1"/>
      <c r="F9562" s="39">
        <f t="shared" si="829"/>
        <v>41</v>
      </c>
      <c r="G9562" s="436">
        <f>SUM(C9562,C9538,C9514,C9490,C9466,C9442,C9418,C9394,C9370,C9346,C9322,C9298,C9274,C9250)/POBLA!$B$9*100000</f>
        <v>104.42949604506332</v>
      </c>
      <c r="H9562" s="452">
        <f t="shared" si="833"/>
        <v>1.9446153846153846</v>
      </c>
      <c r="I9562" s="445">
        <f t="shared" si="834"/>
        <v>203.07520461686158</v>
      </c>
      <c r="J9562" s="310">
        <f t="shared" si="835"/>
        <v>42.142857142857146</v>
      </c>
      <c r="K9562" s="445">
        <f>J9562/POBLA!$B$9*100000</f>
        <v>6.9635400843792219</v>
      </c>
    </row>
    <row r="9563" spans="1:11" s="393" customFormat="1" x14ac:dyDescent="0.25">
      <c r="A9563" s="394" t="s">
        <v>32</v>
      </c>
      <c r="B9563" s="2">
        <v>44291</v>
      </c>
      <c r="C9563" s="1">
        <v>46</v>
      </c>
      <c r="D9563" s="39">
        <f t="shared" si="828"/>
        <v>22693</v>
      </c>
      <c r="E9563" s="1">
        <v>1</v>
      </c>
      <c r="F9563" s="39">
        <f t="shared" si="829"/>
        <v>977</v>
      </c>
      <c r="G9563" s="436">
        <f>SUM(C9563,C9539,C9515,C9491,C9467,C9443,C9419,C9395,C9371,C9347,C9323,C9299,C9275,C9251)/POBLA!$B$10*100000</f>
        <v>84.578553628899925</v>
      </c>
      <c r="H9563" s="452">
        <f t="shared" si="833"/>
        <v>0.87516778523489935</v>
      </c>
      <c r="I9563" s="445">
        <f t="shared" si="834"/>
        <v>74.020425457775502</v>
      </c>
      <c r="J9563" s="310">
        <f t="shared" si="835"/>
        <v>52.714285714285715</v>
      </c>
      <c r="K9563" s="445">
        <f>J9563/POBLA!$B$10*100000</f>
        <v>6.8381871799001024</v>
      </c>
    </row>
    <row r="9564" spans="1:11" s="393" customFormat="1" x14ac:dyDescent="0.25">
      <c r="A9564" s="394" t="s">
        <v>33</v>
      </c>
      <c r="B9564" s="2">
        <v>44291</v>
      </c>
      <c r="C9564" s="1">
        <v>138</v>
      </c>
      <c r="D9564" s="39">
        <f t="shared" si="828"/>
        <v>21740</v>
      </c>
      <c r="E9564" s="1"/>
      <c r="F9564" s="39">
        <f t="shared" si="829"/>
        <v>321</v>
      </c>
      <c r="G9564" s="436">
        <f>SUM(C9564,C9540,C9516,C9492,C9468,C9444,C9420,C9396,C9372,C9348,C9324,C9300,C9276,C9252)/POBLA!$B$11*100000</f>
        <v>330.33133572153963</v>
      </c>
      <c r="H9564" s="452">
        <f t="shared" si="833"/>
        <v>0.9502407704654896</v>
      </c>
      <c r="I9564" s="445">
        <f t="shared" si="834"/>
        <v>313.89430296493015</v>
      </c>
      <c r="J9564" s="310">
        <f t="shared" si="835"/>
        <v>83.142857142857139</v>
      </c>
      <c r="K9564" s="445">
        <f>J9564/POBLA!$B$11*100000</f>
        <v>23.196529607859077</v>
      </c>
    </row>
    <row r="9565" spans="1:11" s="393" customFormat="1" x14ac:dyDescent="0.25">
      <c r="A9565" s="394" t="s">
        <v>21</v>
      </c>
      <c r="B9565" s="2">
        <v>44291</v>
      </c>
      <c r="C9565" s="1">
        <v>43</v>
      </c>
      <c r="D9565" s="39">
        <f t="shared" si="828"/>
        <v>11404</v>
      </c>
      <c r="E9565" s="1"/>
      <c r="F9565" s="39">
        <f t="shared" si="829"/>
        <v>449</v>
      </c>
      <c r="G9565" s="436">
        <f>SUM(C9565,C9541,C9517,C9493,C9469,C9445,C9421,C9397,C9373,C9349,C9325,C9301,C9277,C9253)/POBLA!$B$12*100000</f>
        <v>176.35205358662978</v>
      </c>
      <c r="H9565" s="452">
        <f t="shared" si="833"/>
        <v>2.103030303030303</v>
      </c>
      <c r="I9565" s="445">
        <f t="shared" si="834"/>
        <v>370.87371269430628</v>
      </c>
      <c r="J9565" s="310">
        <f t="shared" si="835"/>
        <v>56.571428571428569</v>
      </c>
      <c r="K9565" s="445">
        <f>J9565/POBLA!$B$12*100000</f>
        <v>14.375342367292173</v>
      </c>
    </row>
    <row r="9566" spans="1:11" s="393" customFormat="1" x14ac:dyDescent="0.25">
      <c r="A9566" s="394" t="s">
        <v>17</v>
      </c>
      <c r="B9566" s="2">
        <v>44291</v>
      </c>
      <c r="C9566" s="1">
        <v>597</v>
      </c>
      <c r="D9566" s="39">
        <f t="shared" si="828"/>
        <v>74954</v>
      </c>
      <c r="E9566" s="1">
        <v>6</v>
      </c>
      <c r="F9566" s="39">
        <f t="shared" si="829"/>
        <v>1519</v>
      </c>
      <c r="G9566" s="436">
        <f>SUM(C9566,C9542,C9518,C9494,C9470,C9446,C9422,C9398,C9374,C9350,C9326,C9302,C9278,C9254)/POBLA!$B$13*100000</f>
        <v>220.06312495666566</v>
      </c>
      <c r="H9566" s="452">
        <f t="shared" si="833"/>
        <v>1.9738621000450653</v>
      </c>
      <c r="I9566" s="445">
        <f t="shared" si="834"/>
        <v>434.37426196944369</v>
      </c>
      <c r="J9566" s="310">
        <f t="shared" si="835"/>
        <v>391.28571428571428</v>
      </c>
      <c r="K9566" s="445">
        <f>J9566/POBLA!$B$13*100000</f>
        <v>19.659259597400759</v>
      </c>
    </row>
    <row r="9567" spans="1:11" s="393" customFormat="1" x14ac:dyDescent="0.25">
      <c r="A9567" s="394" t="s">
        <v>23</v>
      </c>
      <c r="B9567" s="2">
        <v>44291</v>
      </c>
      <c r="C9567" s="1">
        <v>87</v>
      </c>
      <c r="D9567" s="39">
        <f t="shared" si="828"/>
        <v>12396</v>
      </c>
      <c r="E9567" s="1">
        <v>1</v>
      </c>
      <c r="F9567" s="39">
        <f t="shared" si="829"/>
        <v>211</v>
      </c>
      <c r="G9567" s="436">
        <f>SUM(C9567,C9543,C9519,C9495,C9471,C9447,C9423,C9399,C9375,C9351,C9327,C9303,C9279,C9255)/POBLA!$B$14*100000</f>
        <v>118.44978252493075</v>
      </c>
      <c r="H9567" s="452">
        <f t="shared" si="833"/>
        <v>0.89407540394973073</v>
      </c>
      <c r="I9567" s="445">
        <f t="shared" si="834"/>
        <v>105.90303715873522</v>
      </c>
      <c r="J9567" s="310">
        <f t="shared" si="835"/>
        <v>81.714285714285708</v>
      </c>
      <c r="K9567" s="445">
        <f>J9567/POBLA!$B$14*100000</f>
        <v>6.4786073440677354</v>
      </c>
    </row>
    <row r="9568" spans="1:11" s="393" customFormat="1" x14ac:dyDescent="0.25">
      <c r="A9568" s="394" t="s">
        <v>19</v>
      </c>
      <c r="B9568" s="2">
        <v>44291</v>
      </c>
      <c r="C9568" s="1">
        <v>192</v>
      </c>
      <c r="D9568" s="39">
        <f t="shared" si="828"/>
        <v>65690</v>
      </c>
      <c r="E9568" s="1"/>
      <c r="F9568" s="39">
        <f t="shared" si="829"/>
        <v>1013</v>
      </c>
      <c r="G9568" s="436">
        <f>SUM(C9568,C9544,C9520,C9496,C9472,C9448,C9424,C9400,C9376,C9352,C9328,C9304,C9280,C9256)/POBLA!$B$15*100000</f>
        <v>225.13127638139497</v>
      </c>
      <c r="H9568" s="452">
        <f t="shared" si="833"/>
        <v>0.8436794582392777</v>
      </c>
      <c r="I9568" s="445">
        <f t="shared" si="834"/>
        <v>189.93863329017239</v>
      </c>
      <c r="J9568" s="310">
        <f t="shared" si="835"/>
        <v>99.714285714285708</v>
      </c>
      <c r="K9568" s="445">
        <f>J9568/POBLA!$B$15*100000</f>
        <v>15.015922686499158</v>
      </c>
    </row>
    <row r="9569" spans="1:11" s="393" customFormat="1" x14ac:dyDescent="0.25">
      <c r="A9569" s="394" t="s">
        <v>18</v>
      </c>
      <c r="B9569" s="2">
        <v>44291</v>
      </c>
      <c r="C9569" s="1">
        <v>147</v>
      </c>
      <c r="D9569" s="39">
        <f t="shared" si="828"/>
        <v>55878</v>
      </c>
      <c r="E9569" s="1">
        <v>3</v>
      </c>
      <c r="F9569" s="39">
        <f t="shared" si="829"/>
        <v>1287</v>
      </c>
      <c r="G9569" s="436">
        <f>SUM(C9569,C9545,C9521,C9497,C9473,C9449,C9425,C9401,C9377,C9353,C9329,C9305,C9281,C9257)/POBLA!$B$16*100000</f>
        <v>184.18694238974868</v>
      </c>
      <c r="H9569" s="452">
        <f t="shared" si="833"/>
        <v>1.0808477237048666</v>
      </c>
      <c r="I9569" s="445">
        <f t="shared" si="834"/>
        <v>199.07803741811927</v>
      </c>
      <c r="J9569" s="310">
        <f t="shared" si="835"/>
        <v>98</v>
      </c>
      <c r="K9569" s="445">
        <f>J9569/POBLA!$B$16*100000</f>
        <v>13.108438891935634</v>
      </c>
    </row>
    <row r="9570" spans="1:11" s="393" customFormat="1" x14ac:dyDescent="0.25">
      <c r="A9570" s="394" t="s">
        <v>34</v>
      </c>
      <c r="B9570" s="2">
        <v>44291</v>
      </c>
      <c r="C9570" s="1">
        <v>82</v>
      </c>
      <c r="D9570" s="39">
        <f t="shared" si="828"/>
        <v>29824</v>
      </c>
      <c r="E9570" s="1">
        <v>8</v>
      </c>
      <c r="F9570" s="39">
        <f t="shared" si="829"/>
        <v>1214</v>
      </c>
      <c r="G9570" s="436">
        <f>SUM(C9570,C9546,C9522,C9498,C9474,C9450,C9426,C9402,C9378,C9354,C9330,C9306,C9282,C9258)/POBLA!$B$17*100000</f>
        <v>100.32315428914831</v>
      </c>
      <c r="H9570" s="452">
        <f t="shared" ref="H9570:H9593" si="836">SUM(C9570,C9546,C9522,C9498,C9474,C9450,C9426,C9402,C9378,C9354,C9330,C9306,C9282,C9258)/SUM(C9234,C9210,C9186,C9162,C9138,C9114,C9090,C9066,C9042,C9018,C8994,C8970,C8946,C8922)</f>
        <v>0.95841716968477531</v>
      </c>
      <c r="I9570" s="445">
        <f t="shared" si="834"/>
        <v>96.151433587654552</v>
      </c>
      <c r="J9570" s="310">
        <f t="shared" si="835"/>
        <v>99.857142857142861</v>
      </c>
      <c r="K9570" s="445">
        <f>J9570/POBLA!$B$17*100000</f>
        <v>7.0104853392097048</v>
      </c>
    </row>
    <row r="9571" spans="1:11" s="393" customFormat="1" x14ac:dyDescent="0.25">
      <c r="A9571" s="394" t="s">
        <v>35</v>
      </c>
      <c r="B9571" s="2">
        <v>44291</v>
      </c>
      <c r="C9571" s="1">
        <v>144</v>
      </c>
      <c r="D9571" s="39">
        <f t="shared" si="828"/>
        <v>17621</v>
      </c>
      <c r="E9571" s="1"/>
      <c r="F9571" s="39">
        <f t="shared" si="829"/>
        <v>224</v>
      </c>
      <c r="G9571" s="436">
        <f>SUM(C9571,C9547,C9523,C9499,C9475,C9451,C9427,C9403,C9379,C9355,C9331,C9307,C9283,C9259)/POBLA!$B$18*100000</f>
        <v>157.44665054651909</v>
      </c>
      <c r="H9571" s="452">
        <f t="shared" si="836"/>
        <v>1.5789473684210527</v>
      </c>
      <c r="I9571" s="445">
        <f t="shared" si="834"/>
        <v>248.59997454713542</v>
      </c>
      <c r="J9571" s="310">
        <f t="shared" si="835"/>
        <v>91</v>
      </c>
      <c r="K9571" s="445">
        <f>J9571/POBLA!$B$18*100000</f>
        <v>11.648492032303444</v>
      </c>
    </row>
    <row r="9572" spans="1:11" s="393" customFormat="1" x14ac:dyDescent="0.25">
      <c r="A9572" s="394" t="s">
        <v>36</v>
      </c>
      <c r="B9572" s="2">
        <v>44291</v>
      </c>
      <c r="C9572" s="1">
        <v>270</v>
      </c>
      <c r="D9572" s="39">
        <f t="shared" si="828"/>
        <v>23888</v>
      </c>
      <c r="E9572" s="1">
        <v>8</v>
      </c>
      <c r="F9572" s="39">
        <f t="shared" si="829"/>
        <v>438</v>
      </c>
      <c r="G9572" s="436">
        <f>SUM(C9572,C9548,C9524,C9500,C9476,C9452,C9428,C9404,C9380,C9356,C9332,C9308,C9284,C9260)/POBLA!$B$19*100000</f>
        <v>459.34908169528342</v>
      </c>
      <c r="H9572" s="452">
        <f t="shared" si="836"/>
        <v>3.1216577540106951</v>
      </c>
      <c r="I9572" s="445">
        <f t="shared" si="834"/>
        <v>1433.9306226717738</v>
      </c>
      <c r="J9572" s="310">
        <f t="shared" si="835"/>
        <v>192.57142857142858</v>
      </c>
      <c r="K9572" s="445">
        <f>J9572/POBLA!$B$19*100000</f>
        <v>37.88330144541095</v>
      </c>
    </row>
    <row r="9573" spans="1:11" s="393" customFormat="1" x14ac:dyDescent="0.25">
      <c r="A9573" s="394" t="s">
        <v>37</v>
      </c>
      <c r="B9573" s="2">
        <v>44291</v>
      </c>
      <c r="C9573" s="1">
        <v>187</v>
      </c>
      <c r="D9573" s="39">
        <f t="shared" si="828"/>
        <v>39975</v>
      </c>
      <c r="E9573" s="1">
        <v>3</v>
      </c>
      <c r="F9573" s="39">
        <f t="shared" si="829"/>
        <v>646</v>
      </c>
      <c r="G9573" s="436">
        <f>SUM(C9573,C9549,C9525,C9501,C9477,C9453,C9429,C9405,C9381,C9357,C9333,C9309,C9285,C9261)/POBLA!$B$20*100000</f>
        <v>461.30960519335628</v>
      </c>
      <c r="H9573" s="452">
        <f t="shared" si="836"/>
        <v>1.101894186806009</v>
      </c>
      <c r="I9573" s="445">
        <f t="shared" si="834"/>
        <v>508.3143722803344</v>
      </c>
      <c r="J9573" s="310">
        <f t="shared" si="835"/>
        <v>121</v>
      </c>
      <c r="K9573" s="445">
        <f>J9573/POBLA!$B$20*100000</f>
        <v>33.087410923767699</v>
      </c>
    </row>
    <row r="9574" spans="1:11" s="393" customFormat="1" x14ac:dyDescent="0.25">
      <c r="A9574" s="394" t="s">
        <v>22</v>
      </c>
      <c r="B9574" s="2">
        <v>44291</v>
      </c>
      <c r="C9574" s="1">
        <v>843</v>
      </c>
      <c r="D9574" s="39">
        <f t="shared" si="828"/>
        <v>234641</v>
      </c>
      <c r="E9574" s="1">
        <v>11</v>
      </c>
      <c r="F9574" s="39">
        <f t="shared" si="829"/>
        <v>4285</v>
      </c>
      <c r="G9574" s="436">
        <f>SUM(C9574,C9550,C9526,C9502,C9478,C9454,C9430,C9406,C9382,C9358,C9334,C9310,C9286,C9262)/POBLA!$B$21*100000</f>
        <v>246.74684949573268</v>
      </c>
      <c r="H9574" s="452">
        <f t="shared" si="836"/>
        <v>1.3713657079993713</v>
      </c>
      <c r="I9574" s="445">
        <f t="shared" si="834"/>
        <v>338.38016795532974</v>
      </c>
      <c r="J9574" s="310">
        <f t="shared" si="835"/>
        <v>659.28571428571433</v>
      </c>
      <c r="K9574" s="445">
        <f>J9574/POBLA!$B$21*100000</f>
        <v>18.642754173452186</v>
      </c>
    </row>
    <row r="9575" spans="1:11" s="393" customFormat="1" x14ac:dyDescent="0.25">
      <c r="A9575" s="394" t="s">
        <v>38</v>
      </c>
      <c r="B9575" s="2">
        <v>44291</v>
      </c>
      <c r="C9575" s="1">
        <v>122</v>
      </c>
      <c r="D9575" s="39">
        <f t="shared" si="828"/>
        <v>25758</v>
      </c>
      <c r="E9575" s="1">
        <v>5</v>
      </c>
      <c r="F9575" s="39">
        <f t="shared" si="829"/>
        <v>302</v>
      </c>
      <c r="G9575" s="436">
        <f>SUM(C9575,C9551,C9527,C9503,C9479,C9455,C9431,C9407,C9383,C9359,C9335,C9311,C9287,C9263)/POBLA!$B$22*100000</f>
        <v>161.09363772126099</v>
      </c>
      <c r="H9575" s="452">
        <f t="shared" si="836"/>
        <v>1.4340309372156506</v>
      </c>
      <c r="I9575" s="445">
        <f t="shared" si="834"/>
        <v>231.01326028089838</v>
      </c>
      <c r="J9575" s="310">
        <f t="shared" si="835"/>
        <v>118.14285714285714</v>
      </c>
      <c r="K9575" s="445">
        <f>J9575/POBLA!$B$22*100000</f>
        <v>12.076181870511496</v>
      </c>
    </row>
    <row r="9576" spans="1:11" s="393" customFormat="1" x14ac:dyDescent="0.25">
      <c r="A9576" s="394" t="s">
        <v>39</v>
      </c>
      <c r="B9576" s="2">
        <v>44291</v>
      </c>
      <c r="C9576" s="1">
        <v>59</v>
      </c>
      <c r="D9576" s="39">
        <f t="shared" si="828"/>
        <v>24364</v>
      </c>
      <c r="E9576" s="1"/>
      <c r="F9576" s="39">
        <f t="shared" si="829"/>
        <v>367</v>
      </c>
      <c r="G9576" s="436">
        <f>SUM(C9576,C9552,C9528,C9504,C9480,C9456,C9432,C9408,C9384,C9360,C9336,C9312,C9288,C9264)/POBLA!$B$23*100000</f>
        <v>420.74308658033141</v>
      </c>
      <c r="H9576" s="452">
        <f t="shared" si="836"/>
        <v>1.8146341463414635</v>
      </c>
      <c r="I9576" s="445">
        <f t="shared" si="834"/>
        <v>763.49477174577214</v>
      </c>
      <c r="J9576" s="310">
        <f t="shared" si="835"/>
        <v>54.142857142857146</v>
      </c>
      <c r="K9576" s="445">
        <f>J9576/POBLA!$B$23*100000</f>
        <v>30.618592514198465</v>
      </c>
    </row>
    <row r="9577" spans="1:11" s="393" customFormat="1" ht="15.75" thickBot="1" x14ac:dyDescent="0.3">
      <c r="A9577" s="392" t="s">
        <v>40</v>
      </c>
      <c r="B9577" s="34">
        <v>44291</v>
      </c>
      <c r="C9577" s="234">
        <v>440</v>
      </c>
      <c r="D9577" s="67">
        <f t="shared" si="828"/>
        <v>89604</v>
      </c>
      <c r="E9577" s="234"/>
      <c r="F9577" s="67">
        <f t="shared" si="829"/>
        <v>1502</v>
      </c>
      <c r="G9577" s="446">
        <f>SUM(C9577,C9553,C9529,C9505,C9481,C9457,C9433,C9409,C9385,C9361,C9337,C9313,C9289,C9265)/POBLA!$B$24*100000</f>
        <v>316.70144265266816</v>
      </c>
      <c r="H9577" s="453">
        <f t="shared" si="836"/>
        <v>1.6352833638025595</v>
      </c>
      <c r="I9577" s="445">
        <f t="shared" si="834"/>
        <v>517.89660046217853</v>
      </c>
      <c r="J9577" s="310">
        <f t="shared" si="835"/>
        <v>402.14285714285717</v>
      </c>
      <c r="K9577" s="445">
        <f>J9577/POBLA!$B$24*100000</f>
        <v>23.730058321149375</v>
      </c>
    </row>
    <row r="9578" spans="1:11" s="393" customFormat="1" x14ac:dyDescent="0.25">
      <c r="A9578" s="397" t="s">
        <v>16</v>
      </c>
      <c r="B9578" s="267">
        <v>44292</v>
      </c>
      <c r="C9578" s="43">
        <v>10402</v>
      </c>
      <c r="D9578" s="175">
        <f t="shared" si="828"/>
        <v>1026895</v>
      </c>
      <c r="E9578" s="43">
        <v>82</v>
      </c>
      <c r="F9578" s="175">
        <f t="shared" si="829"/>
        <v>28668</v>
      </c>
      <c r="G9578" s="410">
        <f>SUM(C9578,C9554,C9530,C9506,C9482,C9458,C9434,C9410,C9386,C9362,C9338,C9314,C9290,C9266)/POBLA!$B$1*100000</f>
        <v>459.82755625760035</v>
      </c>
      <c r="H9578" s="440">
        <f t="shared" si="836"/>
        <v>1.8698333217423557</v>
      </c>
      <c r="I9578" s="445">
        <f>G9578*H9578</f>
        <v>859.80088694581877</v>
      </c>
      <c r="J9578" s="310">
        <f>AVERAGE(C9578,C9554,C9530,C9506,C9482,C9458,C9434)</f>
        <v>6770.1428571428569</v>
      </c>
      <c r="K9578" s="445">
        <f>J9578/POBLA!$B$1*100000</f>
        <v>38.595795205926784</v>
      </c>
    </row>
    <row r="9579" spans="1:11" s="393" customFormat="1" x14ac:dyDescent="0.25">
      <c r="A9579" s="402" t="s">
        <v>43</v>
      </c>
      <c r="B9579" s="2">
        <v>44292</v>
      </c>
      <c r="C9579" s="1">
        <v>2281</v>
      </c>
      <c r="D9579" s="39">
        <f t="shared" si="828"/>
        <v>273149</v>
      </c>
      <c r="E9579" s="1">
        <v>12</v>
      </c>
      <c r="F9579" s="39">
        <f t="shared" si="829"/>
        <v>6958</v>
      </c>
      <c r="G9579" s="436">
        <f>SUM(C9579,C9555,C9531,C9507,C9483,C9459,C9435,C9411,C9387,C9363,C9339,C9315,C9291,C9267)/POBLA!$B$2*100000</f>
        <v>743.61613787802628</v>
      </c>
      <c r="H9579" s="441">
        <f t="shared" si="836"/>
        <v>1.8651932800521938</v>
      </c>
      <c r="I9579" s="445">
        <f t="shared" ref="I9579:I9601" si="837">G9579*H9579</f>
        <v>1386.9878233084603</v>
      </c>
      <c r="J9579" s="310">
        <f t="shared" ref="J9579:J9601" si="838">AVERAGE(C9579,C9555,C9531,C9507,C9483,C9459,C9435)</f>
        <v>1931.8571428571429</v>
      </c>
      <c r="K9579" s="445">
        <f>J9579/POBLA!$B$2*100000</f>
        <v>62.811427025644143</v>
      </c>
    </row>
    <row r="9580" spans="1:11" s="393" customFormat="1" x14ac:dyDescent="0.25">
      <c r="A9580" s="402" t="s">
        <v>28</v>
      </c>
      <c r="B9580" s="2">
        <v>44292</v>
      </c>
      <c r="C9580" s="1">
        <v>124</v>
      </c>
      <c r="D9580" s="39">
        <f t="shared" si="828"/>
        <v>10993</v>
      </c>
      <c r="E9580" s="1"/>
      <c r="F9580" s="39">
        <f t="shared" si="829"/>
        <v>18</v>
      </c>
      <c r="G9580" s="436">
        <f>SUM(C9580,C9556,C9532,C9508,C9484,C9460,C9436,C9412,C9388,C9364,C9340,C9316,C9292,C9268)/POBLA!$B$3*100000</f>
        <v>276.5755660291066</v>
      </c>
      <c r="H9580" s="441">
        <f t="shared" si="836"/>
        <v>0.93795918367346942</v>
      </c>
      <c r="I9580" s="445">
        <f t="shared" si="837"/>
        <v>259.41659213668856</v>
      </c>
      <c r="J9580" s="310">
        <f t="shared" si="838"/>
        <v>87.428571428571431</v>
      </c>
      <c r="K9580" s="445">
        <f>J9580/POBLA!$B$3*100000</f>
        <v>21.044914386399761</v>
      </c>
    </row>
    <row r="9581" spans="1:11" s="393" customFormat="1" x14ac:dyDescent="0.25">
      <c r="A9581" s="402" t="s">
        <v>15</v>
      </c>
      <c r="B9581" s="2">
        <v>44292</v>
      </c>
      <c r="C9581" s="1">
        <v>229</v>
      </c>
      <c r="D9581" s="39">
        <f t="shared" si="828"/>
        <v>39339</v>
      </c>
      <c r="E9581" s="1">
        <v>4</v>
      </c>
      <c r="F9581" s="39">
        <f t="shared" si="829"/>
        <v>947</v>
      </c>
      <c r="G9581" s="436">
        <f>SUM(C9581,C9557,C9533,C9509,C9485,C9461,C9437,C9413,C9389,C9365,C9341,C9317,C9293,C9269)/POBLA!$B$4*100000</f>
        <v>177.99311106886358</v>
      </c>
      <c r="H9581" s="441">
        <f t="shared" si="836"/>
        <v>1.1195822454308093</v>
      </c>
      <c r="I9581" s="445">
        <f t="shared" si="837"/>
        <v>199.27792696169374</v>
      </c>
      <c r="J9581" s="310">
        <f t="shared" si="838"/>
        <v>146</v>
      </c>
      <c r="K9581" s="445">
        <f>J9581/POBLA!$B$4*100000</f>
        <v>12.120799541070001</v>
      </c>
    </row>
    <row r="9582" spans="1:11" s="393" customFormat="1" x14ac:dyDescent="0.25">
      <c r="A9582" s="402" t="s">
        <v>29</v>
      </c>
      <c r="B9582" s="2">
        <v>44292</v>
      </c>
      <c r="C9582" s="1">
        <v>154</v>
      </c>
      <c r="D9582" s="39">
        <f t="shared" si="828"/>
        <v>50643</v>
      </c>
      <c r="E9582" s="1"/>
      <c r="F9582" s="39">
        <f t="shared" si="829"/>
        <v>870</v>
      </c>
      <c r="G9582" s="436">
        <f>SUM(C9582,C9558,C9534,C9510,C9486,C9462,C9438,C9414,C9390,C9366,C9342,C9318,C9294,C9270)/POBLA!$B$5*100000</f>
        <v>262.52273850796615</v>
      </c>
      <c r="H9582" s="441">
        <f t="shared" si="836"/>
        <v>1.2442572741194486</v>
      </c>
      <c r="I9582" s="445">
        <f t="shared" si="837"/>
        <v>326.64582701029479</v>
      </c>
      <c r="J9582" s="310">
        <f t="shared" si="838"/>
        <v>106.42857142857143</v>
      </c>
      <c r="K9582" s="445">
        <f>J9582/POBLA!$B$5*100000</f>
        <v>17.193796939642617</v>
      </c>
    </row>
    <row r="9583" spans="1:11" s="393" customFormat="1" x14ac:dyDescent="0.25">
      <c r="A9583" s="402" t="s">
        <v>30</v>
      </c>
      <c r="B9583" s="2">
        <v>44292</v>
      </c>
      <c r="C9583" s="1">
        <v>467</v>
      </c>
      <c r="D9583" s="39">
        <f t="shared" si="828"/>
        <v>31399</v>
      </c>
      <c r="E9583" s="1">
        <v>4</v>
      </c>
      <c r="F9583" s="39">
        <f t="shared" si="829"/>
        <v>335</v>
      </c>
      <c r="G9583" s="436">
        <f>SUM(C9583,C9559,C9535,C9511,C9487,C9463,C9439,C9415,C9391,C9367,C9343,C9319,C9295,C9271)/POBLA!$B$6*100000</f>
        <v>414.79263491021152</v>
      </c>
      <c r="H9583" s="441">
        <f t="shared" si="836"/>
        <v>1.4872040946896994</v>
      </c>
      <c r="I9583" s="445">
        <f t="shared" si="837"/>
        <v>616.88130508559607</v>
      </c>
      <c r="J9583" s="310">
        <f t="shared" si="838"/>
        <v>233.42857142857142</v>
      </c>
      <c r="K9583" s="445">
        <f>J9583/POBLA!$B$6*100000</f>
        <v>20.826941752244281</v>
      </c>
    </row>
    <row r="9584" spans="1:11" s="393" customFormat="1" x14ac:dyDescent="0.25">
      <c r="A9584" s="402" t="s">
        <v>20</v>
      </c>
      <c r="B9584" s="2">
        <v>44292</v>
      </c>
      <c r="C9584" s="1">
        <v>1843</v>
      </c>
      <c r="D9584" s="39">
        <f t="shared" si="828"/>
        <v>186755</v>
      </c>
      <c r="E9584" s="1">
        <v>13</v>
      </c>
      <c r="F9584" s="39">
        <f t="shared" si="829"/>
        <v>3073</v>
      </c>
      <c r="G9584" s="436">
        <f>SUM(C9584,C9560,C9536,C9512,C9488,C9464,C9440,C9416,C9392,C9368,C9344,C9320,C9296,C9272)/POBLA!$B$7*100000</f>
        <v>349.08056216676198</v>
      </c>
      <c r="H9584" s="441">
        <f t="shared" si="836"/>
        <v>1.5269279981388857</v>
      </c>
      <c r="I9584" s="445">
        <f t="shared" si="837"/>
        <v>533.0208839784907</v>
      </c>
      <c r="J9584" s="310">
        <f t="shared" si="838"/>
        <v>1054.5714285714287</v>
      </c>
      <c r="K9584" s="445">
        <f>J9584/POBLA!$B$7*100000</f>
        <v>28.04375616140166</v>
      </c>
    </row>
    <row r="9585" spans="1:11" x14ac:dyDescent="0.25">
      <c r="A9585" s="402" t="s">
        <v>31</v>
      </c>
      <c r="B9585" s="2">
        <v>44292</v>
      </c>
      <c r="C9585" s="1">
        <v>415</v>
      </c>
      <c r="D9585" s="39">
        <f t="shared" si="828"/>
        <v>51122</v>
      </c>
      <c r="E9585" s="1">
        <v>3</v>
      </c>
      <c r="F9585" s="39">
        <f t="shared" si="829"/>
        <v>953</v>
      </c>
      <c r="G9585" s="169">
        <f>SUM(C9585,C9561,C9537,C9513,C9489,C9465,C9441,C9417,C9393,C9369,C9345,C9321,C9297,C9273)/POBLA!$B$8*100000</f>
        <v>190.84231085867498</v>
      </c>
      <c r="H9585" s="518">
        <f t="shared" si="836"/>
        <v>1.1808035714285714</v>
      </c>
      <c r="I9585" s="310">
        <f t="shared" si="837"/>
        <v>225.34728224160506</v>
      </c>
      <c r="J9585" s="310">
        <f t="shared" si="838"/>
        <v>211.71428571428572</v>
      </c>
      <c r="K9585" s="310">
        <f>J9585/POBLA!$B$8*100000</f>
        <v>15.27563082325446</v>
      </c>
    </row>
    <row r="9586" spans="1:11" s="393" customFormat="1" x14ac:dyDescent="0.25">
      <c r="A9586" s="402" t="s">
        <v>41</v>
      </c>
      <c r="B9586" s="2">
        <v>44292</v>
      </c>
      <c r="C9586" s="1">
        <v>89</v>
      </c>
      <c r="D9586" s="39">
        <f t="shared" ref="D9586:D9650" si="839">C9586+D9562</f>
        <v>2438</v>
      </c>
      <c r="E9586" s="1"/>
      <c r="F9586" s="39">
        <f t="shared" ref="F9586:F9649" si="840">E9586+F9562</f>
        <v>41</v>
      </c>
      <c r="G9586" s="436">
        <f>SUM(C9586,C9562,C9538,C9514,C9490,C9466,C9442,C9418,C9394,C9370,C9346,C9322,C9298,C9274)/POBLA!$B$9*100000</f>
        <v>113.84797907444401</v>
      </c>
      <c r="H9586" s="441">
        <f t="shared" si="836"/>
        <v>2.094224924012158</v>
      </c>
      <c r="I9586" s="445">
        <f t="shared" si="837"/>
        <v>238.42327532611526</v>
      </c>
      <c r="J9586" s="310">
        <f t="shared" si="838"/>
        <v>50.857142857142854</v>
      </c>
      <c r="K9586" s="445">
        <f>J9586/POBLA!$B$9*100000</f>
        <v>8.4034585425050938</v>
      </c>
    </row>
    <row r="9587" spans="1:11" s="393" customFormat="1" x14ac:dyDescent="0.25">
      <c r="A9587" s="402" t="s">
        <v>32</v>
      </c>
      <c r="B9587" s="2">
        <v>44292</v>
      </c>
      <c r="C9587" s="1">
        <v>81</v>
      </c>
      <c r="D9587" s="39">
        <f t="shared" si="839"/>
        <v>22774</v>
      </c>
      <c r="E9587" s="1"/>
      <c r="F9587" s="39">
        <f t="shared" si="840"/>
        <v>977</v>
      </c>
      <c r="G9587" s="436">
        <f>SUM(C9587,C9563,C9539,C9515,C9491,C9467,C9443,C9419,C9395,C9371,C9347,C9323,C9299,C9275)/POBLA!$B$10*100000</f>
        <v>88.599926577513259</v>
      </c>
      <c r="H9587" s="441">
        <f t="shared" si="836"/>
        <v>0.93947730398899587</v>
      </c>
      <c r="I9587" s="445">
        <f t="shared" si="837"/>
        <v>83.237620154665137</v>
      </c>
      <c r="J9587" s="310">
        <f t="shared" si="838"/>
        <v>57.285714285714285</v>
      </c>
      <c r="K9587" s="445">
        <f>J9587/POBLA!$B$10*100000</f>
        <v>7.4312007022762634</v>
      </c>
    </row>
    <row r="9588" spans="1:11" s="393" customFormat="1" x14ac:dyDescent="0.25">
      <c r="A9588" s="402" t="s">
        <v>33</v>
      </c>
      <c r="B9588" s="2">
        <v>44292</v>
      </c>
      <c r="C9588" s="1">
        <v>165</v>
      </c>
      <c r="D9588" s="39">
        <f t="shared" si="839"/>
        <v>21905</v>
      </c>
      <c r="E9588" s="1">
        <v>5</v>
      </c>
      <c r="F9588" s="39">
        <f t="shared" si="840"/>
        <v>326</v>
      </c>
      <c r="G9588" s="436">
        <f>SUM(C9588,C9564,C9540,C9516,C9492,C9468,C9444,C9420,C9396,C9372,C9348,C9324,C9300,C9276)/POBLA!$B$11*100000</f>
        <v>350.140056022409</v>
      </c>
      <c r="H9588" s="441">
        <f t="shared" si="836"/>
        <v>1.0203252032520325</v>
      </c>
      <c r="I9588" s="445">
        <f t="shared" si="837"/>
        <v>357.25672382774252</v>
      </c>
      <c r="J9588" s="310">
        <f t="shared" si="838"/>
        <v>100.57142857142857</v>
      </c>
      <c r="K9588" s="445">
        <f>J9588/POBLA!$B$11*100000</f>
        <v>28.059032377891395</v>
      </c>
    </row>
    <row r="9589" spans="1:11" s="393" customFormat="1" x14ac:dyDescent="0.25">
      <c r="A9589" s="402" t="s">
        <v>21</v>
      </c>
      <c r="B9589" s="2">
        <v>44292</v>
      </c>
      <c r="C9589" s="1">
        <v>75</v>
      </c>
      <c r="D9589" s="39">
        <f t="shared" si="839"/>
        <v>11479</v>
      </c>
      <c r="E9589" s="1"/>
      <c r="F9589" s="39">
        <f t="shared" si="840"/>
        <v>449</v>
      </c>
      <c r="G9589" s="436">
        <f>SUM(C9589,C9565,C9541,C9517,C9493,C9469,C9445,C9421,C9397,C9373,C9349,C9325,C9301,C9277)/POBLA!$B$12*100000</f>
        <v>189.05753295166073</v>
      </c>
      <c r="H9589" s="441">
        <f t="shared" si="836"/>
        <v>2.1818181818181817</v>
      </c>
      <c r="I9589" s="445">
        <f t="shared" si="837"/>
        <v>412.4891628036234</v>
      </c>
      <c r="J9589" s="310">
        <f t="shared" si="838"/>
        <v>64.714285714285708</v>
      </c>
      <c r="K9589" s="445">
        <f>J9589/POBLA!$B$12*100000</f>
        <v>16.4445204353115</v>
      </c>
    </row>
    <row r="9590" spans="1:11" s="393" customFormat="1" x14ac:dyDescent="0.25">
      <c r="A9590" s="402" t="s">
        <v>17</v>
      </c>
      <c r="B9590" s="2">
        <v>44292</v>
      </c>
      <c r="C9590" s="1">
        <v>785</v>
      </c>
      <c r="D9590" s="39">
        <f t="shared" si="839"/>
        <v>75739</v>
      </c>
      <c r="E9590" s="1">
        <v>4</v>
      </c>
      <c r="F9590" s="39">
        <f t="shared" si="840"/>
        <v>1523</v>
      </c>
      <c r="G9590" s="436">
        <f>SUM(C9590,C9566,C9542,C9518,C9494,C9470,C9446,C9422,C9398,C9374,C9350,C9326,C9302,C9278)/POBLA!$B$13*100000</f>
        <v>246.84249609865259</v>
      </c>
      <c r="H9590" s="441">
        <f t="shared" si="836"/>
        <v>2.1671812968681077</v>
      </c>
      <c r="I9590" s="445">
        <f t="shared" si="837"/>
        <v>534.95244081723877</v>
      </c>
      <c r="J9590" s="310">
        <f t="shared" si="838"/>
        <v>464.71428571428572</v>
      </c>
      <c r="K9590" s="445">
        <f>J9590/POBLA!$B$13*100000</f>
        <v>23.348510942075453</v>
      </c>
    </row>
    <row r="9591" spans="1:11" s="393" customFormat="1" x14ac:dyDescent="0.25">
      <c r="A9591" s="402" t="s">
        <v>23</v>
      </c>
      <c r="B9591" s="2">
        <v>44292</v>
      </c>
      <c r="C9591" s="1">
        <v>218</v>
      </c>
      <c r="D9591" s="39">
        <f t="shared" si="839"/>
        <v>12614</v>
      </c>
      <c r="E9591" s="1">
        <v>3</v>
      </c>
      <c r="F9591" s="39">
        <f t="shared" si="840"/>
        <v>214</v>
      </c>
      <c r="G9591" s="436">
        <f>SUM(C9591,C9567,C9543,C9519,C9495,C9471,C9447,C9423,C9399,C9375,C9351,C9327,C9303,C9279)/POBLA!$B$14*100000</f>
        <v>125.90244621793175</v>
      </c>
      <c r="H9591" s="441">
        <f t="shared" si="836"/>
        <v>0.94976076555023925</v>
      </c>
      <c r="I9591" s="445">
        <f t="shared" si="837"/>
        <v>119.57720370459069</v>
      </c>
      <c r="J9591" s="310">
        <f t="shared" si="838"/>
        <v>96.571428571428569</v>
      </c>
      <c r="K9591" s="445">
        <f>J9591/POBLA!$B$14*100000</f>
        <v>7.656535952080052</v>
      </c>
    </row>
    <row r="9592" spans="1:11" s="393" customFormat="1" x14ac:dyDescent="0.25">
      <c r="A9592" s="402" t="s">
        <v>19</v>
      </c>
      <c r="B9592" s="2">
        <v>44292</v>
      </c>
      <c r="C9592" s="1">
        <v>169</v>
      </c>
      <c r="D9592" s="39">
        <f t="shared" si="839"/>
        <v>65859</v>
      </c>
      <c r="E9592" s="1"/>
      <c r="F9592" s="39">
        <f t="shared" si="840"/>
        <v>1013</v>
      </c>
      <c r="G9592" s="436">
        <f>SUM(C9592,C9568,C9544,C9520,C9496,C9472,C9448,C9424,C9400,C9376,C9352,C9328,C9304,C9280)/POBLA!$B$15*100000</f>
        <v>229.04660292715835</v>
      </c>
      <c r="H9592" s="441">
        <f t="shared" si="836"/>
        <v>0.86469584991472426</v>
      </c>
      <c r="I9592" s="445">
        <f t="shared" si="837"/>
        <v>198.05564698817955</v>
      </c>
      <c r="J9592" s="310">
        <f t="shared" si="838"/>
        <v>112.14285714285714</v>
      </c>
      <c r="K9592" s="445">
        <f>J9592/POBLA!$B$15*100000</f>
        <v>16.887534826506933</v>
      </c>
    </row>
    <row r="9593" spans="1:11" s="393" customFormat="1" x14ac:dyDescent="0.25">
      <c r="A9593" s="402" t="s">
        <v>18</v>
      </c>
      <c r="B9593" s="2">
        <v>44292</v>
      </c>
      <c r="C9593" s="1">
        <v>214</v>
      </c>
      <c r="D9593" s="39">
        <f t="shared" si="839"/>
        <v>56092</v>
      </c>
      <c r="E9593" s="1">
        <v>5</v>
      </c>
      <c r="F9593" s="39">
        <f t="shared" si="840"/>
        <v>1292</v>
      </c>
      <c r="G9593" s="436">
        <f>SUM(C9593,C9569,C9545,C9521,C9497,C9473,C9449,C9425,C9401,C9377,C9353,C9329,C9305,C9281)/POBLA!$B$16*100000</f>
        <v>197.29538128168429</v>
      </c>
      <c r="H9593" s="441">
        <f t="shared" si="836"/>
        <v>1.18</v>
      </c>
      <c r="I9593" s="445">
        <f t="shared" si="837"/>
        <v>232.80854991238743</v>
      </c>
      <c r="J9593" s="310">
        <f t="shared" si="838"/>
        <v>116.71428571428571</v>
      </c>
      <c r="K9593" s="445">
        <f>J9593/POBLA!$B$16*100000</f>
        <v>15.611653898996229</v>
      </c>
    </row>
    <row r="9594" spans="1:11" s="393" customFormat="1" x14ac:dyDescent="0.25">
      <c r="A9594" s="402" t="s">
        <v>34</v>
      </c>
      <c r="B9594" s="2">
        <v>44292</v>
      </c>
      <c r="C9594" s="1">
        <v>246</v>
      </c>
      <c r="D9594" s="39">
        <f t="shared" si="839"/>
        <v>30070</v>
      </c>
      <c r="E9594" s="1">
        <v>6</v>
      </c>
      <c r="F9594" s="39">
        <f t="shared" si="840"/>
        <v>1220</v>
      </c>
      <c r="G9594" s="436">
        <f>SUM(C9594,C9570,C9546,C9522,C9498,C9474,C9450,C9426,C9402,C9378,C9354,C9330,C9306,C9282)/POBLA!$B$17*100000</f>
        <v>108.32654098541347</v>
      </c>
      <c r="H9594" s="441">
        <f t="shared" ref="H9594:H9617" si="841">SUM(C9594,C9570,C9546,C9522,C9498,C9474,C9450,C9426,C9402,C9378,C9354,C9330,C9306,C9282)/SUM(C9258,C9234,C9210,C9186,C9162,C9138,C9114,C9090,C9066,C9042,C9018,C8994,C8970,C8946)</f>
        <v>1.0341823056300268</v>
      </c>
      <c r="I9594" s="445">
        <f t="shared" si="837"/>
        <v>112.02939191722049</v>
      </c>
      <c r="J9594" s="310">
        <f t="shared" si="838"/>
        <v>123</v>
      </c>
      <c r="K9594" s="445">
        <f>J9594/POBLA!$B$17*100000</f>
        <v>8.6352330143913534</v>
      </c>
    </row>
    <row r="9595" spans="1:11" s="393" customFormat="1" x14ac:dyDescent="0.25">
      <c r="A9595" s="402" t="s">
        <v>35</v>
      </c>
      <c r="B9595" s="2">
        <v>44292</v>
      </c>
      <c r="C9595" s="1">
        <v>251</v>
      </c>
      <c r="D9595" s="39">
        <f t="shared" si="839"/>
        <v>17872</v>
      </c>
      <c r="E9595" s="1">
        <v>3</v>
      </c>
      <c r="F9595" s="39">
        <f t="shared" si="840"/>
        <v>227</v>
      </c>
      <c r="G9595" s="436">
        <f>SUM(C9595,C9571,C9547,C9523,C9499,C9475,C9451,C9427,C9403,C9379,C9355,C9331,C9307,C9283)/POBLA!$B$18*100000</f>
        <v>177.79951025131302</v>
      </c>
      <c r="H9595" s="441">
        <f t="shared" si="841"/>
        <v>1.721189591078067</v>
      </c>
      <c r="I9595" s="445">
        <f t="shared" si="837"/>
        <v>306.02666634333804</v>
      </c>
      <c r="J9595" s="310">
        <f t="shared" si="838"/>
        <v>107</v>
      </c>
      <c r="K9595" s="445">
        <f>J9595/POBLA!$B$18*100000</f>
        <v>13.696578543477678</v>
      </c>
    </row>
    <row r="9596" spans="1:11" s="393" customFormat="1" x14ac:dyDescent="0.25">
      <c r="A9596" s="402" t="s">
        <v>36</v>
      </c>
      <c r="B9596" s="2">
        <v>44292</v>
      </c>
      <c r="C9596" s="1">
        <v>402</v>
      </c>
      <c r="D9596" s="39">
        <f t="shared" si="839"/>
        <v>24290</v>
      </c>
      <c r="E9596" s="1">
        <v>2</v>
      </c>
      <c r="F9596" s="39">
        <f t="shared" si="840"/>
        <v>440</v>
      </c>
      <c r="G9596" s="436">
        <f>SUM(C9596,C9572,C9548,C9524,C9500,C9476,C9452,C9428,C9404,C9380,C9356,C9332,C9308,C9284)/POBLA!$B$19*100000</f>
        <v>538.23515525408789</v>
      </c>
      <c r="H9596" s="441">
        <f t="shared" si="841"/>
        <v>3.6823687752355316</v>
      </c>
      <c r="I9596" s="445">
        <f t="shared" si="837"/>
        <v>1981.9803294417018</v>
      </c>
      <c r="J9596" s="310">
        <f t="shared" si="838"/>
        <v>241.42857142857142</v>
      </c>
      <c r="K9596" s="445">
        <f>J9596/POBLA!$B$19*100000</f>
        <v>47.494643503519654</v>
      </c>
    </row>
    <row r="9597" spans="1:11" s="393" customFormat="1" x14ac:dyDescent="0.25">
      <c r="A9597" s="402" t="s">
        <v>37</v>
      </c>
      <c r="B9597" s="2">
        <v>44292</v>
      </c>
      <c r="C9597" s="1">
        <v>162</v>
      </c>
      <c r="D9597" s="39">
        <f t="shared" si="839"/>
        <v>40137</v>
      </c>
      <c r="E9597" s="1">
        <v>7</v>
      </c>
      <c r="F9597" s="39">
        <f t="shared" si="840"/>
        <v>653</v>
      </c>
      <c r="G9597" s="436">
        <f>SUM(C9597,C9573,C9549,C9525,C9501,C9477,C9453,C9429,C9405,C9381,C9357,C9333,C9309,C9285)/POBLA!$B$20*100000</f>
        <v>472.79449162970542</v>
      </c>
      <c r="H9597" s="441">
        <f t="shared" si="841"/>
        <v>1.0922299431459255</v>
      </c>
      <c r="I9597" s="445">
        <f t="shared" si="837"/>
        <v>516.40030071241983</v>
      </c>
      <c r="J9597" s="310">
        <f t="shared" si="838"/>
        <v>132.42857142857142</v>
      </c>
      <c r="K9597" s="445">
        <f>J9597/POBLA!$B$20*100000</f>
        <v>36.212550090121198</v>
      </c>
    </row>
    <row r="9598" spans="1:11" s="393" customFormat="1" x14ac:dyDescent="0.25">
      <c r="A9598" s="402" t="s">
        <v>22</v>
      </c>
      <c r="B9598" s="2">
        <v>44292</v>
      </c>
      <c r="C9598" s="1">
        <v>1296</v>
      </c>
      <c r="D9598" s="39">
        <f t="shared" si="839"/>
        <v>235937</v>
      </c>
      <c r="E9598" s="1">
        <v>10</v>
      </c>
      <c r="F9598" s="39">
        <f t="shared" si="840"/>
        <v>4295</v>
      </c>
      <c r="G9598" s="436">
        <f>SUM(C9598,C9574,C9550,C9526,C9502,C9478,C9454,C9430,C9406,C9382,C9358,C9334,C9310,C9286)/POBLA!$B$21*100000</f>
        <v>264.84425766411101</v>
      </c>
      <c r="H9598" s="441">
        <f t="shared" si="841"/>
        <v>1.439815526518063</v>
      </c>
      <c r="I9598" s="445">
        <f t="shared" si="837"/>
        <v>381.32687429393752</v>
      </c>
      <c r="J9598" s="310">
        <f t="shared" si="838"/>
        <v>766.14285714285711</v>
      </c>
      <c r="K9598" s="445">
        <f>J9598/POBLA!$B$21*100000</f>
        <v>21.664375001565343</v>
      </c>
    </row>
    <row r="9599" spans="1:11" s="393" customFormat="1" x14ac:dyDescent="0.25">
      <c r="A9599" s="402" t="s">
        <v>38</v>
      </c>
      <c r="B9599" s="2">
        <v>44292</v>
      </c>
      <c r="C9599" s="1">
        <v>104</v>
      </c>
      <c r="D9599" s="39">
        <f t="shared" si="839"/>
        <v>25862</v>
      </c>
      <c r="E9599" s="1"/>
      <c r="F9599" s="39">
        <f t="shared" si="840"/>
        <v>302</v>
      </c>
      <c r="G9599" s="436">
        <f>SUM(C9599,C9575,C9551,C9527,C9503,C9479,C9455,C9431,C9407,C9383,C9359,C9335,C9311,C9287)/POBLA!$B$22*100000</f>
        <v>166.20447648145327</v>
      </c>
      <c r="H9599" s="441">
        <f t="shared" si="841"/>
        <v>1.4635463546354635</v>
      </c>
      <c r="I9599" s="445">
        <f t="shared" si="837"/>
        <v>243.24795567852655</v>
      </c>
      <c r="J9599" s="310">
        <f t="shared" si="838"/>
        <v>125.71428571428571</v>
      </c>
      <c r="K9599" s="445">
        <f>J9599/POBLA!$B$22*100000</f>
        <v>12.850108882769186</v>
      </c>
    </row>
    <row r="9600" spans="1:11" s="393" customFormat="1" x14ac:dyDescent="0.25">
      <c r="A9600" s="402" t="s">
        <v>39</v>
      </c>
      <c r="B9600" s="2">
        <v>44292</v>
      </c>
      <c r="C9600" s="1">
        <v>75</v>
      </c>
      <c r="D9600" s="39">
        <f t="shared" si="839"/>
        <v>24439</v>
      </c>
      <c r="E9600" s="1"/>
      <c r="F9600" s="39">
        <f t="shared" si="840"/>
        <v>367</v>
      </c>
      <c r="G9600" s="436">
        <f>SUM(C9600,C9576,C9552,C9528,C9504,C9480,C9456,C9432,C9408,C9384,C9360,C9336,C9312,C9288)/POBLA!$B$23*100000</f>
        <v>439.40507832381383</v>
      </c>
      <c r="H9600" s="441">
        <f t="shared" si="841"/>
        <v>1.845605700712589</v>
      </c>
      <c r="I9600" s="445">
        <f t="shared" si="837"/>
        <v>810.96851747649248</v>
      </c>
      <c r="J9600" s="310">
        <f t="shared" si="838"/>
        <v>62.142857142857146</v>
      </c>
      <c r="K9600" s="445">
        <f>J9600/POBLA!$B$23*100000</f>
        <v>35.142711724739662</v>
      </c>
    </row>
    <row r="9601" spans="1:12" s="393" customFormat="1" ht="15.75" thickBot="1" x14ac:dyDescent="0.3">
      <c r="A9601" s="404" t="s">
        <v>40</v>
      </c>
      <c r="B9601" s="268">
        <v>44292</v>
      </c>
      <c r="C9601" s="44">
        <v>623</v>
      </c>
      <c r="D9601" s="177">
        <f t="shared" si="839"/>
        <v>90227</v>
      </c>
      <c r="E9601" s="44"/>
      <c r="F9601" s="177">
        <f t="shared" si="840"/>
        <v>1502</v>
      </c>
      <c r="G9601" s="439">
        <f>SUM(C9601,C9577,C9553,C9529,C9505,C9481,C9457,C9433,C9409,C9385,C9361,C9337,C9313,C9289)/POBLA!$B$24*100000</f>
        <v>327.44108538842102</v>
      </c>
      <c r="H9601" s="442">
        <f t="shared" si="841"/>
        <v>1.5715094873973379</v>
      </c>
      <c r="I9601" s="445">
        <f t="shared" si="837"/>
        <v>514.57677225158545</v>
      </c>
      <c r="J9601" s="310">
        <f t="shared" si="838"/>
        <v>446.14285714285717</v>
      </c>
      <c r="K9601" s="445">
        <f>J9601/POBLA!$B$24*100000</f>
        <v>26.326455466056657</v>
      </c>
    </row>
    <row r="9602" spans="1:12" s="393" customFormat="1" ht="15.75" thickBot="1" x14ac:dyDescent="0.3">
      <c r="A9602" s="397" t="s">
        <v>16</v>
      </c>
      <c r="B9602" s="268">
        <v>44293</v>
      </c>
      <c r="C9602" s="227">
        <v>11059</v>
      </c>
      <c r="D9602" s="175">
        <f t="shared" si="839"/>
        <v>1037954</v>
      </c>
      <c r="E9602" s="227">
        <v>116</v>
      </c>
      <c r="F9602" s="175">
        <f t="shared" si="840"/>
        <v>28784</v>
      </c>
      <c r="G9602" s="410">
        <f>SUM(C9602,C9578,C9554,C9530,C9506,C9482,C9458,C9434,C9410,C9386,C9362,C9338,C9314,C9290)/POBLA!$B$1*100000</f>
        <v>500.62877893747054</v>
      </c>
      <c r="H9602" s="440">
        <f t="shared" si="841"/>
        <v>2.0060307017543861</v>
      </c>
      <c r="I9602" s="445">
        <f>G9602*H9602</f>
        <v>1004.2767007303755</v>
      </c>
      <c r="J9602" s="310">
        <f>AVERAGE(C9602,C9578,C9554,C9530,C9506,C9482,C9458)</f>
        <v>7198.1428571428569</v>
      </c>
      <c r="K9602" s="445">
        <f>J9602/POBLA!$B$1*100000</f>
        <v>41.035773312254072</v>
      </c>
      <c r="L9602" s="424"/>
    </row>
    <row r="9603" spans="1:12" s="393" customFormat="1" ht="15.75" thickBot="1" x14ac:dyDescent="0.3">
      <c r="A9603" s="402" t="s">
        <v>43</v>
      </c>
      <c r="B9603" s="268">
        <v>44293</v>
      </c>
      <c r="C9603" s="1">
        <v>2480</v>
      </c>
      <c r="D9603" s="39">
        <f t="shared" si="839"/>
        <v>275629</v>
      </c>
      <c r="E9603" s="1">
        <v>38</v>
      </c>
      <c r="F9603" s="39">
        <f t="shared" si="840"/>
        <v>6996</v>
      </c>
      <c r="G9603" s="436">
        <f>SUM(C9603,C9579,C9555,C9531,C9507,C9483,C9459,C9435,C9411,C9387,C9363,C9339,C9315,C9291)/POBLA!$B$2*100000</f>
        <v>794.85740556618032</v>
      </c>
      <c r="H9603" s="441">
        <f t="shared" si="841"/>
        <v>1.9986102027468935</v>
      </c>
      <c r="I9603" s="445">
        <f t="shared" ref="I9603:I9625" si="842">G9603*H9603</f>
        <v>1588.6101204934935</v>
      </c>
      <c r="J9603" s="310">
        <f t="shared" ref="J9603:J9625" si="843">AVERAGE(C9603,C9579,C9555,C9531,C9507,C9483,C9459)</f>
        <v>2042.2857142857142</v>
      </c>
      <c r="K9603" s="445">
        <f>J9603/POBLA!$B$2*100000</f>
        <v>66.401845800385161</v>
      </c>
      <c r="L9603" s="424"/>
    </row>
    <row r="9604" spans="1:12" s="393" customFormat="1" ht="15.75" thickBot="1" x14ac:dyDescent="0.3">
      <c r="A9604" s="402" t="s">
        <v>28</v>
      </c>
      <c r="B9604" s="268">
        <v>44293</v>
      </c>
      <c r="C9604" s="1">
        <v>123</v>
      </c>
      <c r="D9604" s="39">
        <f t="shared" si="839"/>
        <v>11116</v>
      </c>
      <c r="E9604" s="1"/>
      <c r="F9604" s="39">
        <f t="shared" si="840"/>
        <v>18</v>
      </c>
      <c r="G9604" s="436">
        <f>SUM(C9604,C9580,C9556,C9532,C9508,C9484,C9460,C9436,C9412,C9388,C9364,C9340,C9316,C9292)/POBLA!$B$3*100000</f>
        <v>289.33318569798621</v>
      </c>
      <c r="H9604" s="441">
        <f t="shared" si="841"/>
        <v>0.98202614379084963</v>
      </c>
      <c r="I9604" s="445">
        <f t="shared" si="842"/>
        <v>284.13275262171521</v>
      </c>
      <c r="J9604" s="310">
        <f t="shared" si="843"/>
        <v>93.714285714285708</v>
      </c>
      <c r="K9604" s="445">
        <f>J9604/POBLA!$B$3*100000</f>
        <v>22.55794744685987</v>
      </c>
      <c r="L9604" s="426"/>
    </row>
    <row r="9605" spans="1:12" s="393" customFormat="1" ht="15.75" thickBot="1" x14ac:dyDescent="0.3">
      <c r="A9605" s="402" t="s">
        <v>15</v>
      </c>
      <c r="B9605" s="268">
        <v>44293</v>
      </c>
      <c r="C9605" s="1">
        <v>185</v>
      </c>
      <c r="D9605" s="39">
        <f t="shared" si="839"/>
        <v>39524</v>
      </c>
      <c r="E9605" s="1">
        <v>3</v>
      </c>
      <c r="F9605" s="39">
        <f t="shared" si="840"/>
        <v>950</v>
      </c>
      <c r="G9605" s="436">
        <f>SUM(C9605,C9581,C9557,C9533,C9509,C9485,C9461,C9437,C9413,C9389,C9365,C9341,C9317,C9293)/POBLA!$B$4*100000</f>
        <v>178.40820694355776</v>
      </c>
      <c r="H9605" s="441">
        <f t="shared" si="841"/>
        <v>1.0986707566462168</v>
      </c>
      <c r="I9605" s="445">
        <f t="shared" si="842"/>
        <v>196.01187971457344</v>
      </c>
      <c r="J9605" s="310">
        <f t="shared" si="843"/>
        <v>147.42857142857142</v>
      </c>
      <c r="K9605" s="445">
        <f>J9605/POBLA!$B$4*100000</f>
        <v>12.239398362411196</v>
      </c>
      <c r="L9605" s="426"/>
    </row>
    <row r="9606" spans="1:12" s="393" customFormat="1" ht="15.75" thickBot="1" x14ac:dyDescent="0.3">
      <c r="A9606" s="402" t="s">
        <v>29</v>
      </c>
      <c r="B9606" s="268">
        <v>44293</v>
      </c>
      <c r="C9606" s="1">
        <v>193</v>
      </c>
      <c r="D9606" s="39">
        <f t="shared" si="839"/>
        <v>50836</v>
      </c>
      <c r="E9606" s="1"/>
      <c r="F9606" s="39">
        <f t="shared" si="840"/>
        <v>870</v>
      </c>
      <c r="G9606" s="436">
        <f>SUM(C9606,C9582,C9558,C9534,C9510,C9486,C9462,C9438,C9414,C9390,C9366,C9342,C9318,C9294)/POBLA!$B$5*100000</f>
        <v>277.38556431887872</v>
      </c>
      <c r="H9606" s="441">
        <f t="shared" si="841"/>
        <v>1.3086890243902438</v>
      </c>
      <c r="I9606" s="445">
        <f t="shared" si="842"/>
        <v>363.01144354841063</v>
      </c>
      <c r="J9606" s="310">
        <f t="shared" si="843"/>
        <v>103.28571428571429</v>
      </c>
      <c r="K9606" s="445">
        <f>J9606/POBLA!$B$5*100000</f>
        <v>16.686060654176664</v>
      </c>
      <c r="L9606" s="424"/>
    </row>
    <row r="9607" spans="1:12" s="393" customFormat="1" ht="15.75" thickBot="1" x14ac:dyDescent="0.3">
      <c r="A9607" s="402" t="s">
        <v>30</v>
      </c>
      <c r="B9607" s="268">
        <v>44293</v>
      </c>
      <c r="C9607" s="1">
        <v>433</v>
      </c>
      <c r="D9607" s="39">
        <f t="shared" si="839"/>
        <v>31832</v>
      </c>
      <c r="E9607" s="1">
        <v>2</v>
      </c>
      <c r="F9607" s="39">
        <f t="shared" si="840"/>
        <v>337</v>
      </c>
      <c r="G9607" s="436">
        <f>SUM(C9607,C9583,C9559,C9535,C9511,C9487,C9463,C9439,C9415,C9391,C9367,C9343,C9319,C9295)/POBLA!$B$6*100000</f>
        <v>422.73338442774411</v>
      </c>
      <c r="H9607" s="441">
        <f t="shared" si="841"/>
        <v>1.5108418367346939</v>
      </c>
      <c r="I9607" s="445">
        <f t="shared" si="842"/>
        <v>638.68328297788639</v>
      </c>
      <c r="J9607" s="310">
        <f t="shared" si="843"/>
        <v>253.71428571428572</v>
      </c>
      <c r="K9607" s="445">
        <f>J9607/POBLA!$B$6*100000</f>
        <v>22.636871818840788</v>
      </c>
      <c r="L9607" s="426"/>
    </row>
    <row r="9608" spans="1:12" s="393" customFormat="1" ht="15.75" thickBot="1" x14ac:dyDescent="0.3">
      <c r="A9608" s="402" t="s">
        <v>20</v>
      </c>
      <c r="B9608" s="268">
        <v>44293</v>
      </c>
      <c r="C9608" s="1">
        <v>2109</v>
      </c>
      <c r="D9608" s="39">
        <f t="shared" si="839"/>
        <v>188864</v>
      </c>
      <c r="E9608" s="1">
        <v>9</v>
      </c>
      <c r="F9608" s="39">
        <f t="shared" si="840"/>
        <v>3082</v>
      </c>
      <c r="G9608" s="436">
        <f>SUM(C9608,C9584,C9560,C9536,C9512,C9488,C9464,C9440,C9416,C9392,C9368,C9344,C9320,C9296)/POBLA!$B$7*100000</f>
        <v>384.71459532768688</v>
      </c>
      <c r="H9608" s="441">
        <f t="shared" si="841"/>
        <v>1.6596306068601583</v>
      </c>
      <c r="I9608" s="445">
        <f t="shared" si="842"/>
        <v>638.48411731164924</v>
      </c>
      <c r="J9608" s="310">
        <f t="shared" si="843"/>
        <v>1175.8571428571429</v>
      </c>
      <c r="K9608" s="445">
        <f>J9608/POBLA!$B$7*100000</f>
        <v>31.269054045583452</v>
      </c>
      <c r="L9608" s="424"/>
    </row>
    <row r="9609" spans="1:12" ht="15.75" thickBot="1" x14ac:dyDescent="0.3">
      <c r="A9609" s="402" t="s">
        <v>31</v>
      </c>
      <c r="B9609" s="268">
        <v>44293</v>
      </c>
      <c r="C9609" s="1">
        <v>411</v>
      </c>
      <c r="D9609" s="39">
        <f t="shared" si="839"/>
        <v>51533</v>
      </c>
      <c r="E9609" s="1">
        <v>1</v>
      </c>
      <c r="F9609" s="39">
        <f t="shared" si="840"/>
        <v>954</v>
      </c>
      <c r="G9609" s="169">
        <f>SUM(C9609,C9585,C9561,C9537,C9513,C9489,C9465,C9441,C9417,C9393,C9369,C9345,C9321,C9297)/POBLA!$B$8*100000</f>
        <v>211.33350794142115</v>
      </c>
      <c r="H9609" s="518">
        <f t="shared" si="841"/>
        <v>1.3350045578851413</v>
      </c>
      <c r="I9609" s="310">
        <f t="shared" si="842"/>
        <v>282.13119633565293</v>
      </c>
      <c r="J9609" s="310">
        <f t="shared" si="843"/>
        <v>227.71428571428572</v>
      </c>
      <c r="K9609" s="310">
        <f>J9609/POBLA!$B$8*100000</f>
        <v>16.430064461719034</v>
      </c>
      <c r="L9609" s="538"/>
    </row>
    <row r="9610" spans="1:12" s="393" customFormat="1" ht="15.75" thickBot="1" x14ac:dyDescent="0.3">
      <c r="A9610" s="402" t="s">
        <v>41</v>
      </c>
      <c r="B9610" s="268">
        <v>44293</v>
      </c>
      <c r="C9610" s="1">
        <v>91</v>
      </c>
      <c r="D9610" s="39">
        <f t="shared" si="839"/>
        <v>2529</v>
      </c>
      <c r="E9610" s="1"/>
      <c r="F9610" s="39">
        <f t="shared" si="840"/>
        <v>41</v>
      </c>
      <c r="G9610" s="436">
        <f>SUM(C9610,C9586,C9562,C9538,C9514,C9490,C9466,C9442,C9418,C9394,C9370,C9346,C9322,C9298)/POBLA!$B$9*100000</f>
        <v>125.57977372507614</v>
      </c>
      <c r="H9610" s="441">
        <f t="shared" si="841"/>
        <v>2.2287390029325511</v>
      </c>
      <c r="I9610" s="445">
        <f t="shared" si="842"/>
        <v>279.88453968052158</v>
      </c>
      <c r="J9610" s="310">
        <f t="shared" si="843"/>
        <v>38.857142857142854</v>
      </c>
      <c r="K9610" s="445">
        <f>J9610/POBLA!$B$9*100000</f>
        <v>6.4206200100038915</v>
      </c>
      <c r="L9610" s="425"/>
    </row>
    <row r="9611" spans="1:12" s="393" customFormat="1" ht="15.75" thickBot="1" x14ac:dyDescent="0.3">
      <c r="A9611" s="402" t="s">
        <v>32</v>
      </c>
      <c r="B9611" s="268">
        <v>44293</v>
      </c>
      <c r="C9611" s="1">
        <v>48</v>
      </c>
      <c r="D9611" s="39">
        <f t="shared" si="839"/>
        <v>22822</v>
      </c>
      <c r="E9611" s="1">
        <v>2</v>
      </c>
      <c r="F9611" s="39">
        <f t="shared" si="840"/>
        <v>979</v>
      </c>
      <c r="G9611" s="436">
        <f>SUM(C9611,C9587,C9563,C9539,C9515,C9491,C9467,C9443,C9419,C9395,C9371,C9347,C9323,C9299)/POBLA!$B$10*100000</f>
        <v>91.842969278007885</v>
      </c>
      <c r="H9611" s="441">
        <f t="shared" si="841"/>
        <v>1.0582959641255605</v>
      </c>
      <c r="I9611" s="445">
        <f t="shared" si="842"/>
        <v>97.19704372022359</v>
      </c>
      <c r="J9611" s="310">
        <f t="shared" si="843"/>
        <v>53.285714285714285</v>
      </c>
      <c r="K9611" s="445">
        <f>J9611/POBLA!$B$10*100000</f>
        <v>6.9123138701971234</v>
      </c>
      <c r="L9611" s="426"/>
    </row>
    <row r="9612" spans="1:12" s="393" customFormat="1" ht="15.75" thickBot="1" x14ac:dyDescent="0.3">
      <c r="A9612" s="402" t="s">
        <v>33</v>
      </c>
      <c r="B9612" s="268">
        <v>44293</v>
      </c>
      <c r="C9612" s="1">
        <v>173</v>
      </c>
      <c r="D9612" s="39">
        <f t="shared" si="839"/>
        <v>22078</v>
      </c>
      <c r="E9612" s="1"/>
      <c r="F9612" s="39">
        <f t="shared" si="840"/>
        <v>326</v>
      </c>
      <c r="G9612" s="436">
        <f>SUM(C9612,C9588,C9564,C9540,C9516,C9492,C9468,C9444,C9420,C9396,C9372,C9348,C9324,C9300)/POBLA!$B$11*100000</f>
        <v>379.71363844342517</v>
      </c>
      <c r="H9612" s="441">
        <f t="shared" si="841"/>
        <v>1.1247933884297521</v>
      </c>
      <c r="I9612" s="445">
        <f t="shared" si="842"/>
        <v>427.09939001776996</v>
      </c>
      <c r="J9612" s="310">
        <f t="shared" si="843"/>
        <v>112.57142857142857</v>
      </c>
      <c r="K9612" s="445">
        <f>J9612/POBLA!$B$11*100000</f>
        <v>31.406985104798892</v>
      </c>
      <c r="L9612" s="426"/>
    </row>
    <row r="9613" spans="1:12" s="393" customFormat="1" ht="15.75" thickBot="1" x14ac:dyDescent="0.3">
      <c r="A9613" s="402" t="s">
        <v>21</v>
      </c>
      <c r="B9613" s="268">
        <v>44293</v>
      </c>
      <c r="C9613" s="1">
        <v>126</v>
      </c>
      <c r="D9613" s="39">
        <f t="shared" si="839"/>
        <v>11605</v>
      </c>
      <c r="E9613" s="1">
        <v>2</v>
      </c>
      <c r="F9613" s="39">
        <f t="shared" si="840"/>
        <v>451</v>
      </c>
      <c r="G9613" s="436">
        <f>SUM(C9613,C9589,C9565,C9541,C9517,C9493,C9469,C9445,C9421,C9397,C9373,C9349,C9325,C9301)/POBLA!$B$12*100000</f>
        <v>214.7226012690233</v>
      </c>
      <c r="H9613" s="441">
        <f t="shared" si="841"/>
        <v>2.4926253687315634</v>
      </c>
      <c r="I9613" s="445">
        <f t="shared" si="842"/>
        <v>535.22300316319968</v>
      </c>
      <c r="J9613" s="310">
        <f t="shared" si="843"/>
        <v>72.428571428571431</v>
      </c>
      <c r="K9613" s="445">
        <f>J9613/POBLA!$B$12*100000</f>
        <v>18.404794394487709</v>
      </c>
      <c r="L9613" s="426"/>
    </row>
    <row r="9614" spans="1:12" s="393" customFormat="1" ht="15.75" thickBot="1" x14ac:dyDescent="0.3">
      <c r="A9614" s="402" t="s">
        <v>17</v>
      </c>
      <c r="B9614" s="268">
        <v>44293</v>
      </c>
      <c r="C9614" s="1">
        <v>1005</v>
      </c>
      <c r="D9614" s="39">
        <f t="shared" si="839"/>
        <v>76744</v>
      </c>
      <c r="E9614" s="1">
        <v>3</v>
      </c>
      <c r="F9614" s="39">
        <f t="shared" si="840"/>
        <v>1526</v>
      </c>
      <c r="G9614" s="436">
        <f>SUM(C9614,C9590,C9566,C9542,C9518,C9494,C9470,C9446,C9422,C9398,C9374,C9350,C9326,C9302)/POBLA!$B$13*100000</f>
        <v>288.84541218627186</v>
      </c>
      <c r="H9614" s="441">
        <f t="shared" si="841"/>
        <v>2.6275137111517366</v>
      </c>
      <c r="I9614" s="445">
        <f t="shared" si="842"/>
        <v>758.94528092270423</v>
      </c>
      <c r="J9614" s="310">
        <f t="shared" si="843"/>
        <v>533.85714285714289</v>
      </c>
      <c r="K9614" s="445">
        <f>J9614/POBLA!$B$13*100000</f>
        <v>26.822436332780807</v>
      </c>
      <c r="L9614" s="424"/>
    </row>
    <row r="9615" spans="1:12" s="393" customFormat="1" ht="15.75" thickBot="1" x14ac:dyDescent="0.3">
      <c r="A9615" s="402" t="s">
        <v>23</v>
      </c>
      <c r="B9615" s="268">
        <v>44293</v>
      </c>
      <c r="C9615" s="1">
        <v>101</v>
      </c>
      <c r="D9615" s="39">
        <f t="shared" si="839"/>
        <v>12715</v>
      </c>
      <c r="E9615" s="1">
        <v>2</v>
      </c>
      <c r="F9615" s="39">
        <f t="shared" si="840"/>
        <v>216</v>
      </c>
      <c r="G9615" s="436">
        <f>SUM(C9615,C9591,C9567,C9543,C9519,C9495,C9471,C9447,C9423,C9399,C9375,C9351,C9327,C9303)/POBLA!$B$14*100000</f>
        <v>122.96895093451646</v>
      </c>
      <c r="H9615" s="441">
        <f t="shared" si="841"/>
        <v>0.91396582203889221</v>
      </c>
      <c r="I9615" s="445">
        <f t="shared" si="842"/>
        <v>112.38941832612554</v>
      </c>
      <c r="J9615" s="310">
        <f t="shared" si="843"/>
        <v>91.857142857142861</v>
      </c>
      <c r="K9615" s="445">
        <f>J9615/POBLA!$B$14*100000</f>
        <v>7.2827701437684516</v>
      </c>
      <c r="L9615" s="426"/>
    </row>
    <row r="9616" spans="1:12" s="393" customFormat="1" ht="15.75" thickBot="1" x14ac:dyDescent="0.3">
      <c r="A9616" s="402" t="s">
        <v>19</v>
      </c>
      <c r="B9616" s="268">
        <v>44293</v>
      </c>
      <c r="C9616" s="1">
        <v>183</v>
      </c>
      <c r="D9616" s="39">
        <f t="shared" si="839"/>
        <v>66042</v>
      </c>
      <c r="E9616" s="1">
        <v>2</v>
      </c>
      <c r="F9616" s="39">
        <f t="shared" si="840"/>
        <v>1015</v>
      </c>
      <c r="G9616" s="436">
        <f>SUM(C9616,C9592,C9568,C9544,C9520,C9496,C9472,C9448,C9424,C9400,C9376,C9352,C9328,C9304)/POBLA!$B$15*100000</f>
        <v>236.72666653615579</v>
      </c>
      <c r="H9616" s="441">
        <f t="shared" si="841"/>
        <v>0.90657439446366783</v>
      </c>
      <c r="I9616" s="445">
        <f t="shared" si="842"/>
        <v>214.61033436841805</v>
      </c>
      <c r="J9616" s="310">
        <f t="shared" si="843"/>
        <v>118.28571428571429</v>
      </c>
      <c r="K9616" s="445">
        <f>J9616/POBLA!$B$15*100000</f>
        <v>17.812584504901583</v>
      </c>
      <c r="L9616" s="424"/>
    </row>
    <row r="9617" spans="1:12" s="393" customFormat="1" ht="15.75" thickBot="1" x14ac:dyDescent="0.3">
      <c r="A9617" s="402" t="s">
        <v>18</v>
      </c>
      <c r="B9617" s="268">
        <v>44293</v>
      </c>
      <c r="C9617" s="1">
        <v>131</v>
      </c>
      <c r="D9617" s="39">
        <f t="shared" si="839"/>
        <v>56223</v>
      </c>
      <c r="E9617" s="1">
        <v>2</v>
      </c>
      <c r="F9617" s="39">
        <f t="shared" si="840"/>
        <v>1294</v>
      </c>
      <c r="G9617" s="436">
        <f>SUM(C9617,C9593,C9569,C9545,C9521,C9497,C9473,C9449,C9425,C9401,C9377,C9353,C9329,C9305)/POBLA!$B$16*100000</f>
        <v>203.44832198606224</v>
      </c>
      <c r="H9617" s="441">
        <f t="shared" si="841"/>
        <v>1.2792262405382675</v>
      </c>
      <c r="I9617" s="445">
        <f t="shared" si="842"/>
        <v>260.25643207804933</v>
      </c>
      <c r="J9617" s="310">
        <f t="shared" si="843"/>
        <v>114</v>
      </c>
      <c r="K9617" s="445">
        <f>J9617/POBLA!$B$16*100000</f>
        <v>15.248592180414924</v>
      </c>
      <c r="L9617" s="424"/>
    </row>
    <row r="9618" spans="1:12" s="393" customFormat="1" ht="15.75" thickBot="1" x14ac:dyDescent="0.3">
      <c r="A9618" s="402" t="s">
        <v>34</v>
      </c>
      <c r="B9618" s="268">
        <v>44293</v>
      </c>
      <c r="C9618" s="1">
        <v>193</v>
      </c>
      <c r="D9618" s="39">
        <f t="shared" si="839"/>
        <v>30263</v>
      </c>
      <c r="E9618" s="1">
        <v>2</v>
      </c>
      <c r="F9618" s="39">
        <f t="shared" si="840"/>
        <v>1222</v>
      </c>
      <c r="G9618" s="436">
        <f>SUM(C9618,C9594,C9570,C9546,C9522,C9498,C9474,C9450,C9426,C9402,C9378,C9354,C9330,C9306)/POBLA!$B$17*100000</f>
        <v>115.62787621709398</v>
      </c>
      <c r="H9618" s="441">
        <f t="shared" ref="H9618:H9641" si="844">SUM(C9618,C9594,C9570,C9546,C9522,C9498,C9474,C9450,C9426,C9402,C9378,C9354,C9330,C9306)/SUM(C9282,C9258,C9234,C9210,C9186,C9162,C9138,C9114,C9090,C9066,C9042,C9018,C8994,C8970)</f>
        <v>1.1722419928825623</v>
      </c>
      <c r="I9618" s="445">
        <f t="shared" si="842"/>
        <v>135.54385204950447</v>
      </c>
      <c r="J9618" s="310">
        <f t="shared" si="843"/>
        <v>128.71428571428572</v>
      </c>
      <c r="K9618" s="445">
        <f>J9618/POBLA!$B$17*100000</f>
        <v>9.036405279868303</v>
      </c>
      <c r="L9618" s="426"/>
    </row>
    <row r="9619" spans="1:12" s="393" customFormat="1" ht="15.75" thickBot="1" x14ac:dyDescent="0.3">
      <c r="A9619" s="402" t="s">
        <v>35</v>
      </c>
      <c r="B9619" s="268">
        <v>44293</v>
      </c>
      <c r="C9619" s="1">
        <v>258</v>
      </c>
      <c r="D9619" s="39">
        <f t="shared" si="839"/>
        <v>18130</v>
      </c>
      <c r="E9619" s="1"/>
      <c r="F9619" s="39">
        <f t="shared" si="840"/>
        <v>227</v>
      </c>
      <c r="G9619" s="436">
        <f>SUM(C9619,C9595,C9571,C9547,C9523,C9499,C9475,C9451,C9427,C9403,C9379,C9355,C9331,C9307)/POBLA!$B$18*100000</f>
        <v>205.83269437301033</v>
      </c>
      <c r="H9619" s="441">
        <f t="shared" si="844"/>
        <v>2.0775193798449614</v>
      </c>
      <c r="I9619" s="445">
        <f t="shared" si="842"/>
        <v>427.62141156563388</v>
      </c>
      <c r="J9619" s="310">
        <f t="shared" si="843"/>
        <v>118.28571428571429</v>
      </c>
      <c r="K9619" s="445">
        <f>J9619/POBLA!$B$18*100000</f>
        <v>15.141210993323789</v>
      </c>
      <c r="L9619" s="426"/>
    </row>
    <row r="9620" spans="1:12" s="393" customFormat="1" ht="15.75" thickBot="1" x14ac:dyDescent="0.3">
      <c r="A9620" s="402" t="s">
        <v>36</v>
      </c>
      <c r="B9620" s="268">
        <v>44293</v>
      </c>
      <c r="C9620" s="1">
        <v>346</v>
      </c>
      <c r="D9620" s="39">
        <f t="shared" si="839"/>
        <v>24636</v>
      </c>
      <c r="E9620" s="1">
        <v>1</v>
      </c>
      <c r="F9620" s="39">
        <f t="shared" si="840"/>
        <v>441</v>
      </c>
      <c r="G9620" s="436">
        <f>SUM(C9620,C9596,C9572,C9548,C9524,C9500,C9476,C9452,C9428,C9404,C9380,C9356,C9332,C9308)/POBLA!$B$19*100000</f>
        <v>606.10471978722398</v>
      </c>
      <c r="H9620" s="441">
        <f t="shared" si="844"/>
        <v>4.1522911051212938</v>
      </c>
      <c r="I9620" s="445">
        <f t="shared" si="842"/>
        <v>2516.7232367445245</v>
      </c>
      <c r="J9620" s="310">
        <f t="shared" si="843"/>
        <v>261.85714285714283</v>
      </c>
      <c r="K9620" s="445">
        <f>J9620/POBLA!$B$19*100000</f>
        <v>51.513421030740545</v>
      </c>
      <c r="L9620" s="426"/>
    </row>
    <row r="9621" spans="1:12" s="393" customFormat="1" ht="15.75" thickBot="1" x14ac:dyDescent="0.3">
      <c r="A9621" s="402" t="s">
        <v>37</v>
      </c>
      <c r="B9621" s="268">
        <v>44293</v>
      </c>
      <c r="C9621" s="1">
        <v>188</v>
      </c>
      <c r="D9621" s="39">
        <f t="shared" si="839"/>
        <v>40325</v>
      </c>
      <c r="E9621" s="1">
        <v>1</v>
      </c>
      <c r="F9621" s="39">
        <f t="shared" si="840"/>
        <v>654</v>
      </c>
      <c r="G9621" s="436">
        <f>SUM(C9621,C9597,C9573,C9549,C9525,C9501,C9477,C9453,C9429,C9405,C9381,C9357,C9333,C9309)/POBLA!$B$20*100000</f>
        <v>492.20941870067651</v>
      </c>
      <c r="H9621" s="441">
        <f t="shared" si="844"/>
        <v>1.1523687580025608</v>
      </c>
      <c r="I9621" s="445">
        <f t="shared" si="842"/>
        <v>567.20675650526096</v>
      </c>
      <c r="J9621" s="310">
        <f t="shared" si="843"/>
        <v>131.42857142857142</v>
      </c>
      <c r="K9621" s="445">
        <f>J9621/POBLA!$B$20*100000</f>
        <v>35.939100413065269</v>
      </c>
      <c r="L9621" s="426"/>
    </row>
    <row r="9622" spans="1:12" s="393" customFormat="1" ht="15.75" thickBot="1" x14ac:dyDescent="0.3">
      <c r="A9622" s="402" t="s">
        <v>22</v>
      </c>
      <c r="B9622" s="268">
        <v>44293</v>
      </c>
      <c r="C9622" s="1">
        <v>1296</v>
      </c>
      <c r="D9622" s="39">
        <f t="shared" si="839"/>
        <v>237233</v>
      </c>
      <c r="E9622" s="1">
        <v>10</v>
      </c>
      <c r="F9622" s="39">
        <f t="shared" si="840"/>
        <v>4305</v>
      </c>
      <c r="G9622" s="436">
        <f>SUM(C9622,C9598,C9574,C9550,C9526,C9502,C9478,C9454,C9430,C9406,C9382,C9358,C9334,C9310)/POBLA!$B$21*100000</f>
        <v>285.37350505511512</v>
      </c>
      <c r="H9622" s="441">
        <f t="shared" si="844"/>
        <v>1.5370088333840999</v>
      </c>
      <c r="I9622" s="445">
        <f t="shared" si="842"/>
        <v>438.62159808349401</v>
      </c>
      <c r="J9622" s="310">
        <f t="shared" si="843"/>
        <v>819.85714285714289</v>
      </c>
      <c r="K9622" s="445">
        <f>J9622/POBLA!$B$21*100000</f>
        <v>23.183264615697095</v>
      </c>
      <c r="L9622" s="424"/>
    </row>
    <row r="9623" spans="1:12" s="393" customFormat="1" ht="15.75" thickBot="1" x14ac:dyDescent="0.3">
      <c r="A9623" s="402" t="s">
        <v>38</v>
      </c>
      <c r="B9623" s="268">
        <v>44293</v>
      </c>
      <c r="C9623" s="1">
        <v>176</v>
      </c>
      <c r="D9623" s="39">
        <f t="shared" si="839"/>
        <v>26038</v>
      </c>
      <c r="E9623" s="1"/>
      <c r="F9623" s="39">
        <f t="shared" si="840"/>
        <v>302</v>
      </c>
      <c r="G9623" s="436">
        <f>SUM(C9623,C9599,C9575,C9551,C9527,C9503,C9479,C9455,C9431,C9407,C9383,C9359,C9335,C9311)/POBLA!$B$22*100000</f>
        <v>174.17738494735326</v>
      </c>
      <c r="H9623" s="441">
        <f t="shared" si="844"/>
        <v>1.471502590673575</v>
      </c>
      <c r="I9623" s="445">
        <f t="shared" si="842"/>
        <v>256.30247318677885</v>
      </c>
      <c r="J9623" s="310">
        <f t="shared" si="843"/>
        <v>132.57142857142858</v>
      </c>
      <c r="K9623" s="445">
        <f>J9623/POBLA!$B$22*100000</f>
        <v>13.551023912738417</v>
      </c>
      <c r="L9623" s="426"/>
    </row>
    <row r="9624" spans="1:12" s="393" customFormat="1" ht="15.75" thickBot="1" x14ac:dyDescent="0.3">
      <c r="A9624" s="402" t="s">
        <v>39</v>
      </c>
      <c r="B9624" s="268">
        <v>44293</v>
      </c>
      <c r="C9624" s="1">
        <v>46</v>
      </c>
      <c r="D9624" s="39">
        <f t="shared" si="839"/>
        <v>24485</v>
      </c>
      <c r="E9624" s="1">
        <v>3</v>
      </c>
      <c r="F9624" s="39">
        <f t="shared" si="840"/>
        <v>370</v>
      </c>
      <c r="G9624" s="436">
        <f>SUM(C9624,C9600,C9576,C9552,C9528,C9504,C9480,C9456,C9432,C9408,C9384,C9360,C9336,C9312)/POBLA!$B$23*100000</f>
        <v>430.35683990273145</v>
      </c>
      <c r="H9624" s="441">
        <f t="shared" si="844"/>
        <v>1.6260683760683761</v>
      </c>
      <c r="I9624" s="445">
        <f t="shared" si="842"/>
        <v>699.78964779055264</v>
      </c>
      <c r="J9624" s="310">
        <f t="shared" si="843"/>
        <v>56.714285714285715</v>
      </c>
      <c r="K9624" s="445">
        <f>J9624/POBLA!$B$23*100000</f>
        <v>32.072773689015278</v>
      </c>
      <c r="L9624" s="426"/>
    </row>
    <row r="9625" spans="1:12" s="393" customFormat="1" ht="15.75" thickBot="1" x14ac:dyDescent="0.3">
      <c r="A9625" s="404" t="s">
        <v>40</v>
      </c>
      <c r="B9625" s="268">
        <v>44293</v>
      </c>
      <c r="C9625" s="1">
        <v>685</v>
      </c>
      <c r="D9625" s="177">
        <f t="shared" si="839"/>
        <v>90912</v>
      </c>
      <c r="E9625" s="1"/>
      <c r="F9625" s="177">
        <f t="shared" si="840"/>
        <v>1502</v>
      </c>
      <c r="G9625" s="439">
        <f>SUM(C9625,C9601,C9577,C9553,C9529,C9505,C9481,C9457,C9433,C9409,C9385,C9361,C9337,C9313)/POBLA!$B$24*100000</f>
        <v>352.04784923901957</v>
      </c>
      <c r="H9625" s="442">
        <f t="shared" si="844"/>
        <v>1.6599888703394547</v>
      </c>
      <c r="I9625" s="445">
        <f t="shared" si="842"/>
        <v>584.39551156371476</v>
      </c>
      <c r="J9625" s="310">
        <f t="shared" si="843"/>
        <v>437.14285714285717</v>
      </c>
      <c r="K9625" s="445">
        <f>J9625/POBLA!$B$24*100000</f>
        <v>25.795374231871079</v>
      </c>
      <c r="L9625" s="424"/>
    </row>
    <row r="9626" spans="1:12" s="393" customFormat="1" ht="15.75" thickBot="1" x14ac:dyDescent="0.3">
      <c r="A9626" s="397" t="s">
        <v>16</v>
      </c>
      <c r="B9626" s="268">
        <v>44294</v>
      </c>
      <c r="C9626" s="1">
        <v>12026</v>
      </c>
      <c r="D9626" s="175">
        <f t="shared" si="839"/>
        <v>1049980</v>
      </c>
      <c r="E9626" s="1">
        <v>189</v>
      </c>
      <c r="F9626" s="175">
        <f t="shared" si="840"/>
        <v>28973</v>
      </c>
      <c r="G9626" s="410">
        <f>SUM(C9626,C9602,C9578,C9554,C9530,C9506,C9482,C9458,C9434,C9410,C9386,C9362,C9338,C9314)/POBLA!$B$1*100000</f>
        <v>548.08293257548075</v>
      </c>
      <c r="H9626" s="440">
        <f t="shared" si="844"/>
        <v>2.1836104297265377</v>
      </c>
      <c r="I9626" s="445">
        <f>G9626*H9626</f>
        <v>1196.7996079269265</v>
      </c>
      <c r="J9626" s="310">
        <f>AVERAGE(C9626,C9602,C9578,C9554,C9530,C9506,C9482)</f>
        <v>7903.7142857142853</v>
      </c>
      <c r="K9626" s="445">
        <f>J9626/POBLA!$B$1*100000</f>
        <v>45.058153775254901</v>
      </c>
    </row>
    <row r="9627" spans="1:12" s="393" customFormat="1" ht="15.75" thickBot="1" x14ac:dyDescent="0.3">
      <c r="A9627" s="402" t="s">
        <v>43</v>
      </c>
      <c r="B9627" s="268">
        <v>44294</v>
      </c>
      <c r="C9627" s="1">
        <v>2364</v>
      </c>
      <c r="D9627" s="39">
        <f t="shared" si="839"/>
        <v>277993</v>
      </c>
      <c r="E9627" s="1">
        <v>23</v>
      </c>
      <c r="F9627" s="39">
        <f t="shared" si="840"/>
        <v>7019</v>
      </c>
      <c r="G9627" s="436">
        <f>SUM(C9627,C9603,C9579,C9555,C9531,C9507,C9483,C9459,C9435,C9411,C9387,C9363,C9339,C9315)/POBLA!$B$2*100000</f>
        <v>826.26544147148275</v>
      </c>
      <c r="H9627" s="441">
        <f t="shared" si="844"/>
        <v>1.9846153846153847</v>
      </c>
      <c r="I9627" s="445">
        <f t="shared" ref="I9627:I9649" si="845">G9627*H9627</f>
        <v>1639.8191069203274</v>
      </c>
      <c r="J9627" s="310">
        <f t="shared" ref="J9627:J9649" si="846">AVERAGE(C9627,C9603,C9579,C9555,C9531,C9507,C9483)</f>
        <v>2154.8571428571427</v>
      </c>
      <c r="K9627" s="445">
        <f>J9627/POBLA!$B$2*100000</f>
        <v>70.06193634953901</v>
      </c>
    </row>
    <row r="9628" spans="1:12" s="393" customFormat="1" ht="15.75" thickBot="1" x14ac:dyDescent="0.3">
      <c r="A9628" s="402" t="s">
        <v>28</v>
      </c>
      <c r="B9628" s="268">
        <v>44294</v>
      </c>
      <c r="C9628" s="1">
        <v>171</v>
      </c>
      <c r="D9628" s="39">
        <f t="shared" si="839"/>
        <v>11287</v>
      </c>
      <c r="E9628" s="1"/>
      <c r="F9628" s="39">
        <f t="shared" si="840"/>
        <v>18</v>
      </c>
      <c r="G9628" s="436">
        <f>SUM(C9628,C9604,C9580,C9556,C9532,C9508,C9484,C9460,C9436,C9412,C9388,C9364,C9340,C9316)/POBLA!$B$3*100000</f>
        <v>310.51564854442779</v>
      </c>
      <c r="H9628" s="441">
        <f t="shared" si="844"/>
        <v>1.0513447432762837</v>
      </c>
      <c r="I9628" s="445">
        <f t="shared" si="845"/>
        <v>326.45899480221016</v>
      </c>
      <c r="J9628" s="310">
        <f t="shared" si="846"/>
        <v>108.14285714285714</v>
      </c>
      <c r="K9628" s="445">
        <f>J9628/POBLA!$B$3*100000</f>
        <v>26.03104606291604</v>
      </c>
    </row>
    <row r="9629" spans="1:12" s="393" customFormat="1" ht="15.75" thickBot="1" x14ac:dyDescent="0.3">
      <c r="A9629" s="402" t="s">
        <v>15</v>
      </c>
      <c r="B9629" s="268">
        <v>44294</v>
      </c>
      <c r="C9629" s="1">
        <v>260</v>
      </c>
      <c r="D9629" s="39">
        <f t="shared" si="839"/>
        <v>39784</v>
      </c>
      <c r="E9629" s="1">
        <v>7</v>
      </c>
      <c r="F9629" s="39">
        <f t="shared" si="840"/>
        <v>957</v>
      </c>
      <c r="G9629" s="436">
        <f>SUM(C9629,C9605,C9581,C9557,C9533,C9509,C9485,C9461,C9437,C9413,C9389,C9365,C9341,C9317)/POBLA!$B$4*100000</f>
        <v>189.61579556030057</v>
      </c>
      <c r="H9629" s="441">
        <f t="shared" si="844"/>
        <v>1.1767130345182895</v>
      </c>
      <c r="I9629" s="445">
        <f t="shared" si="845"/>
        <v>223.12337818636087</v>
      </c>
      <c r="J9629" s="310">
        <f t="shared" si="846"/>
        <v>158.85714285714286</v>
      </c>
      <c r="K9629" s="445">
        <f>J9629/POBLA!$B$4*100000</f>
        <v>13.188188933140745</v>
      </c>
    </row>
    <row r="9630" spans="1:12" s="393" customFormat="1" ht="15.75" thickBot="1" x14ac:dyDescent="0.3">
      <c r="A9630" s="402" t="s">
        <v>29</v>
      </c>
      <c r="B9630" s="268">
        <v>44294</v>
      </c>
      <c r="C9630" s="1">
        <v>177</v>
      </c>
      <c r="D9630" s="39">
        <f t="shared" si="839"/>
        <v>51013</v>
      </c>
      <c r="E9630" s="1"/>
      <c r="F9630" s="39">
        <f t="shared" si="840"/>
        <v>870</v>
      </c>
      <c r="G9630" s="436">
        <f>SUM(C9630,C9606,C9582,C9558,C9534,C9510,C9486,C9462,C9438,C9414,C9390,C9366,C9342,C9318)/POBLA!$B$5*100000</f>
        <v>285.14008213326787</v>
      </c>
      <c r="H9630" s="441">
        <f t="shared" si="844"/>
        <v>1.3211077844311376</v>
      </c>
      <c r="I9630" s="445">
        <f t="shared" si="845"/>
        <v>376.7007821595941</v>
      </c>
      <c r="J9630" s="310">
        <f t="shared" si="846"/>
        <v>112.71428571428571</v>
      </c>
      <c r="K9630" s="445">
        <f>J9630/POBLA!$B$5*100000</f>
        <v>18.209269510574529</v>
      </c>
    </row>
    <row r="9631" spans="1:12" s="393" customFormat="1" ht="15.75" thickBot="1" x14ac:dyDescent="0.3">
      <c r="A9631" s="402" t="s">
        <v>30</v>
      </c>
      <c r="B9631" s="268">
        <v>44294</v>
      </c>
      <c r="C9631" s="1">
        <v>509</v>
      </c>
      <c r="D9631" s="39">
        <f t="shared" si="839"/>
        <v>32341</v>
      </c>
      <c r="E9631" s="1">
        <v>1</v>
      </c>
      <c r="F9631" s="39">
        <f t="shared" si="840"/>
        <v>338</v>
      </c>
      <c r="G9631" s="436">
        <f>SUM(C9631,C9607,C9583,C9559,C9535,C9511,C9487,C9463,C9439,C9415,C9391,C9367,C9343,C9319)/POBLA!$B$6*100000</f>
        <v>465.64912058429638</v>
      </c>
      <c r="H9631" s="441">
        <f t="shared" si="844"/>
        <v>1.6873585515680569</v>
      </c>
      <c r="I9631" s="445">
        <f t="shared" si="845"/>
        <v>785.71702564805787</v>
      </c>
      <c r="J9631" s="310">
        <f t="shared" si="846"/>
        <v>266.14285714285717</v>
      </c>
      <c r="K9631" s="445">
        <f>J9631/POBLA!$B$6*100000</f>
        <v>23.745772634290759</v>
      </c>
    </row>
    <row r="9632" spans="1:12" s="393" customFormat="1" ht="15.75" thickBot="1" x14ac:dyDescent="0.3">
      <c r="A9632" s="402" t="s">
        <v>20</v>
      </c>
      <c r="B9632" s="268">
        <v>44294</v>
      </c>
      <c r="C9632" s="1">
        <v>2189</v>
      </c>
      <c r="D9632" s="39">
        <f t="shared" si="839"/>
        <v>191053</v>
      </c>
      <c r="E9632" s="1">
        <v>7</v>
      </c>
      <c r="F9632" s="39">
        <f t="shared" si="840"/>
        <v>3089</v>
      </c>
      <c r="G9632" s="436">
        <f>SUM(C9632,C9608,C9584,C9560,C9536,C9512,C9488,C9464,C9440,C9416,C9392,C9368,C9344,C9320)/POBLA!$B$7*100000</f>
        <v>423.69929130822106</v>
      </c>
      <c r="H9632" s="441">
        <f t="shared" si="844"/>
        <v>1.8225806451612903</v>
      </c>
      <c r="I9632" s="445">
        <f t="shared" si="845"/>
        <v>772.22612770691899</v>
      </c>
      <c r="J9632" s="310">
        <f t="shared" si="846"/>
        <v>1318</v>
      </c>
      <c r="K9632" s="445">
        <f>J9632/POBLA!$B$7*100000</f>
        <v>35.048996795596274</v>
      </c>
    </row>
    <row r="9633" spans="1:11" ht="15.75" thickBot="1" x14ac:dyDescent="0.3">
      <c r="A9633" s="402" t="s">
        <v>31</v>
      </c>
      <c r="B9633" s="268">
        <v>44294</v>
      </c>
      <c r="C9633" s="1">
        <v>437</v>
      </c>
      <c r="D9633" s="39">
        <f t="shared" si="839"/>
        <v>51970</v>
      </c>
      <c r="E9633" s="1">
        <v>6</v>
      </c>
      <c r="F9633" s="39">
        <f t="shared" si="840"/>
        <v>960</v>
      </c>
      <c r="G9633" s="169">
        <f>SUM(C9633,C9609,C9585,C9561,C9537,C9513,C9489,C9465,C9441,C9417,C9393,C9369,C9345,C9321)/POBLA!$B$8*100000</f>
        <v>233.05129076503596</v>
      </c>
      <c r="H9633" s="518">
        <f t="shared" si="844"/>
        <v>1.4755596162631339</v>
      </c>
      <c r="I9633" s="310">
        <f t="shared" si="845"/>
        <v>343.88107317088452</v>
      </c>
      <c r="J9633" s="310">
        <f t="shared" si="846"/>
        <v>256.42857142857144</v>
      </c>
      <c r="K9633" s="310">
        <f>J9633/POBLA!$B$8*100000</f>
        <v>18.501860545034919</v>
      </c>
    </row>
    <row r="9634" spans="1:11" s="393" customFormat="1" ht="15.75" thickBot="1" x14ac:dyDescent="0.3">
      <c r="A9634" s="402" t="s">
        <v>41</v>
      </c>
      <c r="B9634" s="268">
        <v>44294</v>
      </c>
      <c r="C9634" s="1">
        <v>12</v>
      </c>
      <c r="D9634" s="39">
        <f t="shared" si="839"/>
        <v>2541</v>
      </c>
      <c r="E9634" s="1">
        <v>7</v>
      </c>
      <c r="F9634" s="39">
        <f t="shared" si="840"/>
        <v>48</v>
      </c>
      <c r="G9634" s="436">
        <f>SUM(C9634,C9610,C9586,C9562,C9538,C9514,C9490,C9466,C9442,C9418,C9394,C9370,C9346,C9322)/POBLA!$B$9*100000</f>
        <v>118.14412922819663</v>
      </c>
      <c r="H9634" s="441">
        <f t="shared" si="844"/>
        <v>2.0487106017191978</v>
      </c>
      <c r="I9634" s="445">
        <f t="shared" si="845"/>
        <v>242.04313008068939</v>
      </c>
      <c r="J9634" s="310">
        <f t="shared" si="846"/>
        <v>35.285714285714285</v>
      </c>
      <c r="K9634" s="445">
        <f>J9634/POBLA!$B$9*100000</f>
        <v>5.8304894943785346</v>
      </c>
    </row>
    <row r="9635" spans="1:11" s="393" customFormat="1" ht="15.75" thickBot="1" x14ac:dyDescent="0.3">
      <c r="A9635" s="402" t="s">
        <v>32</v>
      </c>
      <c r="B9635" s="268">
        <v>44294</v>
      </c>
      <c r="C9635" s="1">
        <v>68</v>
      </c>
      <c r="D9635" s="39">
        <f t="shared" si="839"/>
        <v>22890</v>
      </c>
      <c r="E9635" s="1"/>
      <c r="F9635" s="39">
        <f t="shared" si="840"/>
        <v>979</v>
      </c>
      <c r="G9635" s="436">
        <f>SUM(C9635,C9611,C9587,C9563,C9539,C9515,C9491,C9467,C9443,C9419,C9395,C9371,C9347,C9323)/POBLA!$B$10*100000</f>
        <v>95.734620518601446</v>
      </c>
      <c r="H9635" s="441">
        <f t="shared" si="844"/>
        <v>1.153125</v>
      </c>
      <c r="I9635" s="445">
        <f t="shared" si="845"/>
        <v>110.39398428551229</v>
      </c>
      <c r="J9635" s="310">
        <f t="shared" si="846"/>
        <v>51</v>
      </c>
      <c r="K9635" s="445">
        <f>J9635/POBLA!$B$10*100000</f>
        <v>6.615807109009042</v>
      </c>
    </row>
    <row r="9636" spans="1:11" s="393" customFormat="1" ht="15.75" thickBot="1" x14ac:dyDescent="0.3">
      <c r="A9636" s="402" t="s">
        <v>33</v>
      </c>
      <c r="B9636" s="268">
        <v>44294</v>
      </c>
      <c r="C9636" s="1">
        <v>178</v>
      </c>
      <c r="D9636" s="39">
        <f t="shared" si="839"/>
        <v>22256</v>
      </c>
      <c r="E9636" s="1">
        <v>1</v>
      </c>
      <c r="F9636" s="39">
        <f t="shared" si="840"/>
        <v>327</v>
      </c>
      <c r="G9636" s="436">
        <f>SUM(C9636,C9612,C9588,C9564,C9540,C9516,C9492,C9468,C9444,C9420,C9396,C9372,C9348,C9324)/POBLA!$B$11*100000</f>
        <v>405.10227995580703</v>
      </c>
      <c r="H9636" s="441">
        <f t="shared" si="844"/>
        <v>1.214046822742475</v>
      </c>
      <c r="I9636" s="445">
        <f t="shared" si="845"/>
        <v>491.81313586608013</v>
      </c>
      <c r="J9636" s="310">
        <f t="shared" si="846"/>
        <v>124.42857142857143</v>
      </c>
      <c r="K9636" s="445">
        <f>J9636/POBLA!$B$11*100000</f>
        <v>34.715081251624156</v>
      </c>
    </row>
    <row r="9637" spans="1:11" s="393" customFormat="1" ht="15.75" thickBot="1" x14ac:dyDescent="0.3">
      <c r="A9637" s="402" t="s">
        <v>21</v>
      </c>
      <c r="B9637" s="268">
        <v>44294</v>
      </c>
      <c r="C9637" s="1">
        <v>109</v>
      </c>
      <c r="D9637" s="39">
        <f t="shared" si="839"/>
        <v>11714</v>
      </c>
      <c r="E9637" s="1"/>
      <c r="F9637" s="39">
        <f t="shared" si="840"/>
        <v>451</v>
      </c>
      <c r="G9637" s="436">
        <f>SUM(C9637,C9613,C9589,C9565,C9541,C9517,C9493,C9469,C9445,C9421,C9397,C9373,C9349,C9325)/POBLA!$B$12*100000</f>
        <v>232.76438196736726</v>
      </c>
      <c r="H9637" s="441">
        <f t="shared" si="844"/>
        <v>2.647398843930636</v>
      </c>
      <c r="I9637" s="445">
        <f t="shared" si="845"/>
        <v>616.220155728637</v>
      </c>
      <c r="J9637" s="310">
        <f t="shared" si="846"/>
        <v>80.142857142857139</v>
      </c>
      <c r="K9637" s="445">
        <f>J9637/POBLA!$B$12*100000</f>
        <v>20.365068353663915</v>
      </c>
    </row>
    <row r="9638" spans="1:11" s="393" customFormat="1" ht="15.75" thickBot="1" x14ac:dyDescent="0.3">
      <c r="A9638" s="402" t="s">
        <v>17</v>
      </c>
      <c r="B9638" s="268">
        <v>44294</v>
      </c>
      <c r="C9638" s="1">
        <v>1046</v>
      </c>
      <c r="D9638" s="39">
        <f t="shared" si="839"/>
        <v>77790</v>
      </c>
      <c r="E9638" s="1">
        <v>3</v>
      </c>
      <c r="F9638" s="39">
        <f t="shared" si="840"/>
        <v>1529</v>
      </c>
      <c r="G9638" s="436">
        <f>SUM(C9638,C9614,C9590,C9566,C9542,C9518,C9494,C9470,C9446,C9422,C9398,C9374,C9350,C9326)/POBLA!$B$13*100000</f>
        <v>332.00391089352661</v>
      </c>
      <c r="H9638" s="441">
        <f t="shared" si="844"/>
        <v>3.035369774919614</v>
      </c>
      <c r="I9638" s="445">
        <f t="shared" si="845"/>
        <v>1007.7546362813155</v>
      </c>
      <c r="J9638" s="310">
        <f t="shared" si="846"/>
        <v>613.57142857142856</v>
      </c>
      <c r="K9638" s="445">
        <f>J9638/POBLA!$B$13*100000</f>
        <v>30.827499076610533</v>
      </c>
    </row>
    <row r="9639" spans="1:11" s="393" customFormat="1" ht="15.75" thickBot="1" x14ac:dyDescent="0.3">
      <c r="A9639" s="402" t="s">
        <v>23</v>
      </c>
      <c r="B9639" s="268">
        <v>44294</v>
      </c>
      <c r="C9639" s="1">
        <v>153</v>
      </c>
      <c r="D9639" s="39">
        <f t="shared" si="839"/>
        <v>12868</v>
      </c>
      <c r="E9639" s="1">
        <v>1</v>
      </c>
      <c r="F9639" s="39">
        <f t="shared" si="840"/>
        <v>217</v>
      </c>
      <c r="G9639" s="436">
        <f>SUM(C9639,C9615,C9591,C9567,C9543,C9519,C9495,C9471,C9447,C9423,C9399,C9375,C9351,C9327)/POBLA!$B$14*100000</f>
        <v>125.34746062377209</v>
      </c>
      <c r="H9639" s="441">
        <f t="shared" si="844"/>
        <v>0.93384524512699352</v>
      </c>
      <c r="I9639" s="445">
        <f t="shared" si="845"/>
        <v>117.05513009225263</v>
      </c>
      <c r="J9639" s="310">
        <f t="shared" si="846"/>
        <v>102</v>
      </c>
      <c r="K9639" s="445">
        <f>J9639/POBLA!$B$14*100000</f>
        <v>8.0869329434691668</v>
      </c>
    </row>
    <row r="9640" spans="1:11" s="393" customFormat="1" ht="15.75" thickBot="1" x14ac:dyDescent="0.3">
      <c r="A9640" s="402" t="s">
        <v>19</v>
      </c>
      <c r="B9640" s="268">
        <v>44294</v>
      </c>
      <c r="C9640" s="1">
        <v>131</v>
      </c>
      <c r="D9640" s="39">
        <f t="shared" si="839"/>
        <v>66173</v>
      </c>
      <c r="E9640" s="1">
        <v>1</v>
      </c>
      <c r="F9640" s="39">
        <f t="shared" si="840"/>
        <v>1016</v>
      </c>
      <c r="G9640" s="436">
        <f>SUM(C9640,C9616,C9592,C9568,C9544,C9520,C9496,C9472,C9448,C9424,C9400,C9376,C9352,C9328)/POBLA!$B$15*100000</f>
        <v>244.4067301451532</v>
      </c>
      <c r="H9640" s="441">
        <f t="shared" si="844"/>
        <v>0.98483009708737868</v>
      </c>
      <c r="I9640" s="445">
        <f t="shared" si="845"/>
        <v>240.69910377765999</v>
      </c>
      <c r="J9640" s="310">
        <f t="shared" si="846"/>
        <v>123.14285714285714</v>
      </c>
      <c r="K9640" s="445">
        <f>J9640/POBLA!$B$15*100000</f>
        <v>18.544019134329904</v>
      </c>
    </row>
    <row r="9641" spans="1:11" s="393" customFormat="1" ht="15.75" thickBot="1" x14ac:dyDescent="0.3">
      <c r="A9641" s="402" t="s">
        <v>18</v>
      </c>
      <c r="B9641" s="268">
        <v>44294</v>
      </c>
      <c r="C9641" s="1">
        <v>163</v>
      </c>
      <c r="D9641" s="39">
        <f t="shared" si="839"/>
        <v>56386</v>
      </c>
      <c r="E9641" s="1">
        <v>4</v>
      </c>
      <c r="F9641" s="39">
        <f t="shared" si="840"/>
        <v>1298</v>
      </c>
      <c r="G9641" s="436">
        <f>SUM(C9641,C9617,C9593,C9569,C9545,C9521,C9497,C9473,C9449,C9425,C9401,C9377,C9353,C9329)/POBLA!$B$16*100000</f>
        <v>214.01532884792874</v>
      </c>
      <c r="H9641" s="441">
        <f t="shared" si="844"/>
        <v>1.3513513513513513</v>
      </c>
      <c r="I9641" s="445">
        <f t="shared" si="845"/>
        <v>289.20990384855236</v>
      </c>
      <c r="J9641" s="310">
        <f t="shared" si="846"/>
        <v>119</v>
      </c>
      <c r="K9641" s="445">
        <f>J9641/POBLA!$B$16*100000</f>
        <v>15.917390083064701</v>
      </c>
    </row>
    <row r="9642" spans="1:11" s="393" customFormat="1" ht="15.75" thickBot="1" x14ac:dyDescent="0.3">
      <c r="A9642" s="402" t="s">
        <v>34</v>
      </c>
      <c r="B9642" s="268">
        <v>44294</v>
      </c>
      <c r="C9642" s="1">
        <v>224</v>
      </c>
      <c r="D9642" s="39">
        <f t="shared" si="839"/>
        <v>30487</v>
      </c>
      <c r="E9642" s="1">
        <v>4</v>
      </c>
      <c r="F9642" s="39">
        <f t="shared" si="840"/>
        <v>1226</v>
      </c>
      <c r="G9642" s="436">
        <f>SUM(C9642,C9618,C9594,C9570,C9546,C9522,C9498,C9474,C9450,C9426,C9402,C9378,C9354,C9330)/POBLA!$B$17*100000</f>
        <v>126.43946877169779</v>
      </c>
      <c r="H9642" s="441">
        <f t="shared" ref="H9642:H9665" si="847">SUM(C9642,C9618,C9594,C9570,C9546,C9522,C9498,C9474,C9450,C9426,C9402,C9378,C9354,C9330)/SUM(C9306,C9282,C9258,C9234,C9210,C9186,C9162,C9138,C9114,C9090,C9066,C9042,C9018,C8994)</f>
        <v>1.3500749625187407</v>
      </c>
      <c r="I9642" s="445">
        <f t="shared" si="845"/>
        <v>170.70276106283939</v>
      </c>
      <c r="J9642" s="310">
        <f t="shared" si="846"/>
        <v>137.42857142857142</v>
      </c>
      <c r="K9642" s="445">
        <f>J9642/POBLA!$B$17*100000</f>
        <v>9.6481929847206516</v>
      </c>
    </row>
    <row r="9643" spans="1:11" s="393" customFormat="1" ht="15.75" thickBot="1" x14ac:dyDescent="0.3">
      <c r="A9643" s="402" t="s">
        <v>35</v>
      </c>
      <c r="B9643" s="268">
        <v>44294</v>
      </c>
      <c r="C9643" s="1">
        <v>331</v>
      </c>
      <c r="D9643" s="39">
        <f t="shared" si="839"/>
        <v>18461</v>
      </c>
      <c r="E9643" s="1">
        <v>2</v>
      </c>
      <c r="F9643" s="39">
        <f t="shared" si="840"/>
        <v>229</v>
      </c>
      <c r="G9643" s="436">
        <f>SUM(C9643,C9619,C9595,C9571,C9547,C9523,C9499,C9475,C9451,C9427,C9403,C9379,C9355,C9331)/POBLA!$B$18*100000</f>
        <v>236.42598663367542</v>
      </c>
      <c r="H9643" s="441">
        <f t="shared" si="847"/>
        <v>2.291563275434243</v>
      </c>
      <c r="I9643" s="445">
        <f t="shared" si="845"/>
        <v>541.78510832803784</v>
      </c>
      <c r="J9643" s="310">
        <f t="shared" si="846"/>
        <v>152.57142857142858</v>
      </c>
      <c r="K9643" s="445">
        <f>J9643/POBLA!$B$18*100000</f>
        <v>19.529967802982856</v>
      </c>
    </row>
    <row r="9644" spans="1:11" s="393" customFormat="1" ht="15.75" thickBot="1" x14ac:dyDescent="0.3">
      <c r="A9644" s="402" t="s">
        <v>36</v>
      </c>
      <c r="B9644" s="268">
        <v>44294</v>
      </c>
      <c r="C9644" s="1">
        <v>523</v>
      </c>
      <c r="D9644" s="39">
        <f t="shared" si="839"/>
        <v>25159</v>
      </c>
      <c r="E9644" s="1"/>
      <c r="F9644" s="39">
        <f t="shared" si="840"/>
        <v>441</v>
      </c>
      <c r="G9644" s="436">
        <f>SUM(C9644,C9620,C9596,C9572,C9548,C9524,C9500,C9476,C9452,C9428,C9404,C9380,C9356,C9332)/POBLA!$B$19*100000</f>
        <v>691.28594136069626</v>
      </c>
      <c r="H9644" s="441">
        <f t="shared" si="847"/>
        <v>13.063197026022305</v>
      </c>
      <c r="I9644" s="445">
        <f t="shared" si="845"/>
        <v>9030.4044533140768</v>
      </c>
      <c r="J9644" s="310">
        <f t="shared" si="846"/>
        <v>301.42857142857144</v>
      </c>
      <c r="K9644" s="445">
        <f>J9644/POBLA!$B$19*100000</f>
        <v>59.298046031021592</v>
      </c>
    </row>
    <row r="9645" spans="1:11" s="393" customFormat="1" ht="15.75" thickBot="1" x14ac:dyDescent="0.3">
      <c r="A9645" s="402" t="s">
        <v>37</v>
      </c>
      <c r="B9645" s="268">
        <v>44294</v>
      </c>
      <c r="C9645" s="1">
        <v>180</v>
      </c>
      <c r="D9645" s="39">
        <f t="shared" si="839"/>
        <v>40505</v>
      </c>
      <c r="E9645" s="1">
        <v>3</v>
      </c>
      <c r="F9645" s="39">
        <f t="shared" si="840"/>
        <v>657</v>
      </c>
      <c r="G9645" s="436">
        <f>SUM(C9645,C9621,C9597,C9573,C9549,C9525,C9501,C9477,C9453,C9429,C9405,C9381,C9357,C9333)/POBLA!$B$20*100000</f>
        <v>519.28093672921375</v>
      </c>
      <c r="H9645" s="441">
        <f t="shared" si="847"/>
        <v>1.2428010471204189</v>
      </c>
      <c r="I9645" s="445">
        <f t="shared" si="845"/>
        <v>645.36289191673882</v>
      </c>
      <c r="J9645" s="310">
        <f t="shared" si="846"/>
        <v>131.71428571428572</v>
      </c>
      <c r="K9645" s="445">
        <f>J9645/POBLA!$B$20*100000</f>
        <v>36.017228892224111</v>
      </c>
    </row>
    <row r="9646" spans="1:11" s="393" customFormat="1" ht="15.75" thickBot="1" x14ac:dyDescent="0.3">
      <c r="A9646" s="402" t="s">
        <v>22</v>
      </c>
      <c r="B9646" s="268">
        <v>44294</v>
      </c>
      <c r="C9646" s="1">
        <v>1365</v>
      </c>
      <c r="D9646" s="39">
        <f t="shared" si="839"/>
        <v>238598</v>
      </c>
      <c r="E9646" s="1">
        <v>14</v>
      </c>
      <c r="F9646" s="39">
        <f t="shared" si="840"/>
        <v>4319</v>
      </c>
      <c r="G9646" s="436">
        <f>SUM(C9646,C9622,C9598,C9574,C9550,C9526,C9502,C9478,C9454,C9430,C9406,C9382,C9358,C9334)/POBLA!$B$21*100000</f>
        <v>311.41680649742199</v>
      </c>
      <c r="H9646" s="441">
        <f t="shared" si="847"/>
        <v>1.7218574108818012</v>
      </c>
      <c r="I9646" s="445">
        <f t="shared" si="845"/>
        <v>536.21533614072996</v>
      </c>
      <c r="J9646" s="310">
        <f t="shared" si="846"/>
        <v>868.85714285714289</v>
      </c>
      <c r="K9646" s="445">
        <f>J9646/POBLA!$B$21*100000</f>
        <v>24.568847428588555</v>
      </c>
    </row>
    <row r="9647" spans="1:11" s="393" customFormat="1" ht="15.75" thickBot="1" x14ac:dyDescent="0.3">
      <c r="A9647" s="402" t="s">
        <v>38</v>
      </c>
      <c r="B9647" s="268">
        <v>44294</v>
      </c>
      <c r="C9647" s="1">
        <v>169</v>
      </c>
      <c r="D9647" s="39">
        <f t="shared" si="839"/>
        <v>26207</v>
      </c>
      <c r="E9647" s="1"/>
      <c r="F9647" s="39">
        <f t="shared" si="840"/>
        <v>302</v>
      </c>
      <c r="G9647" s="436">
        <f>SUM(C9647,C9623,C9599,C9575,C9551,C9527,C9503,C9479,C9455,C9431,C9407,C9383,C9359,C9335)/POBLA!$B$22*100000</f>
        <v>177.75497207948786</v>
      </c>
      <c r="H9647" s="441">
        <f t="shared" si="847"/>
        <v>1.4195918367346938</v>
      </c>
      <c r="I9647" s="445">
        <f t="shared" si="845"/>
        <v>252.33950730304437</v>
      </c>
      <c r="J9647" s="310">
        <f t="shared" si="846"/>
        <v>129.42857142857142</v>
      </c>
      <c r="K9647" s="445">
        <f>J9647/POBLA!$B$22*100000</f>
        <v>13.229771190669185</v>
      </c>
    </row>
    <row r="9648" spans="1:11" s="393" customFormat="1" ht="15.75" thickBot="1" x14ac:dyDescent="0.3">
      <c r="A9648" s="402" t="s">
        <v>39</v>
      </c>
      <c r="B9648" s="268">
        <v>44294</v>
      </c>
      <c r="C9648" s="1">
        <v>69</v>
      </c>
      <c r="D9648" s="39">
        <f t="shared" si="839"/>
        <v>24554</v>
      </c>
      <c r="E9648" s="1"/>
      <c r="F9648" s="39">
        <f t="shared" si="840"/>
        <v>370</v>
      </c>
      <c r="G9648" s="436">
        <f>SUM(C9648,C9624,C9600,C9576,C9552,C9528,C9504,C9480,C9456,C9432,C9408,C9384,C9360,C9336)/POBLA!$B$23*100000</f>
        <v>443.92919753435507</v>
      </c>
      <c r="H9648" s="441">
        <f t="shared" si="847"/>
        <v>1.6457023060796645</v>
      </c>
      <c r="I9648" s="445">
        <f t="shared" si="845"/>
        <v>730.57530411838309</v>
      </c>
      <c r="J9648" s="310">
        <f t="shared" si="846"/>
        <v>58.428571428571431</v>
      </c>
      <c r="K9648" s="445">
        <f>J9648/POBLA!$B$23*100000</f>
        <v>33.042227805559818</v>
      </c>
    </row>
    <row r="9649" spans="1:11" s="393" customFormat="1" ht="15.75" thickBot="1" x14ac:dyDescent="0.3">
      <c r="A9649" s="403" t="s">
        <v>40</v>
      </c>
      <c r="B9649" s="34">
        <v>44294</v>
      </c>
      <c r="C9649" s="234">
        <v>829</v>
      </c>
      <c r="D9649" s="67">
        <f t="shared" si="839"/>
        <v>91741</v>
      </c>
      <c r="E9649" s="234">
        <v>17</v>
      </c>
      <c r="F9649" s="67">
        <f t="shared" si="840"/>
        <v>1519</v>
      </c>
      <c r="G9649" s="446">
        <f>SUM(C9649,C9625,C9601,C9577,C9553,C9529,C9505,C9481,C9457,C9433,C9409,C9385,C9361,C9337)/POBLA!$B$24*100000</f>
        <v>385.38794894066996</v>
      </c>
      <c r="H9649" s="447">
        <f t="shared" si="847"/>
        <v>1.8202341137123745</v>
      </c>
      <c r="I9649" s="445">
        <f t="shared" si="845"/>
        <v>701.49629167545027</v>
      </c>
      <c r="J9649" s="310">
        <f t="shared" si="846"/>
        <v>478.42857142857144</v>
      </c>
      <c r="K9649" s="445">
        <f>J9649/POBLA!$B$24*100000</f>
        <v>28.231604020436681</v>
      </c>
    </row>
    <row r="9650" spans="1:11" s="393" customFormat="1" x14ac:dyDescent="0.25">
      <c r="A9650" s="397" t="s">
        <v>16</v>
      </c>
      <c r="B9650" s="267">
        <v>44295</v>
      </c>
      <c r="C9650" s="43">
        <v>12452</v>
      </c>
      <c r="D9650" s="175">
        <f t="shared" si="839"/>
        <v>1062432</v>
      </c>
      <c r="E9650" s="43">
        <v>125</v>
      </c>
      <c r="F9650" s="175">
        <f t="shared" ref="F9650:F9673" si="848">E9650+F9626</f>
        <v>29098</v>
      </c>
      <c r="G9650" s="410">
        <f>SUM(C9650,C9626,C9602,C9578,C9554,C9530,C9506,C9482,C9458,C9434,C9410,C9386,C9362,C9338)/POBLA!$B$1*100000</f>
        <v>586.65510983578554</v>
      </c>
      <c r="H9650" s="440">
        <f t="shared" si="847"/>
        <v>2.2150806121790043</v>
      </c>
      <c r="I9650" s="445">
        <f>G9650*H9650</f>
        <v>1299.488359832993</v>
      </c>
      <c r="J9650" s="310">
        <f>AVERAGE(C9650,C9626,C9602,C9578,C9554,C9530,C9506)</f>
        <v>8966</v>
      </c>
      <c r="K9650" s="445">
        <f>J9650/POBLA!$B$1*100000</f>
        <v>51.114120797501144</v>
      </c>
    </row>
    <row r="9651" spans="1:11" s="393" customFormat="1" x14ac:dyDescent="0.25">
      <c r="A9651" s="402" t="s">
        <v>43</v>
      </c>
      <c r="B9651" s="2">
        <v>44295</v>
      </c>
      <c r="C9651" s="1">
        <v>2601</v>
      </c>
      <c r="D9651" s="39">
        <f t="shared" ref="D9651:D9714" si="849">C9651+D9627</f>
        <v>280594</v>
      </c>
      <c r="E9651" s="1">
        <v>14</v>
      </c>
      <c r="F9651" s="39">
        <f t="shared" si="848"/>
        <v>7033</v>
      </c>
      <c r="G9651" s="436">
        <f>SUM(C9651,C9627,C9603,C9579,C9555,C9531,C9507,C9483,C9459,C9435,C9411,C9387,C9363,C9339)/POBLA!$B$2*100000</f>
        <v>865.15158116376199</v>
      </c>
      <c r="H9651" s="441">
        <f t="shared" si="847"/>
        <v>1.9885658769897616</v>
      </c>
      <c r="I9651" s="445">
        <f t="shared" ref="I9651:I9673" si="850">G9651*H9651</f>
        <v>1720.4109127259953</v>
      </c>
      <c r="J9651" s="310">
        <f t="shared" ref="J9651:J9673" si="851">AVERAGE(C9651,C9627,C9603,C9579,C9555,C9531,C9507)</f>
        <v>2283.7142857142858</v>
      </c>
      <c r="K9651" s="445">
        <f>J9651/POBLA!$B$2*100000</f>
        <v>74.251532384230359</v>
      </c>
    </row>
    <row r="9652" spans="1:11" s="393" customFormat="1" x14ac:dyDescent="0.25">
      <c r="A9652" s="402" t="s">
        <v>28</v>
      </c>
      <c r="B9652" s="2">
        <v>44295</v>
      </c>
      <c r="C9652" s="1">
        <v>128</v>
      </c>
      <c r="D9652" s="39">
        <f t="shared" si="849"/>
        <v>11415</v>
      </c>
      <c r="E9652" s="1"/>
      <c r="F9652" s="39">
        <f t="shared" si="848"/>
        <v>18</v>
      </c>
      <c r="G9652" s="436">
        <f>SUM(C9652,C9628,C9604,C9580,C9556,C9532,C9508,C9484,C9460,C9436,C9412,C9388,C9364,C9340)/POBLA!$B$3*100000</f>
        <v>317.73694269662383</v>
      </c>
      <c r="H9652" s="441">
        <f t="shared" si="847"/>
        <v>1.0784313725490196</v>
      </c>
      <c r="I9652" s="445">
        <f t="shared" si="850"/>
        <v>342.65748722184918</v>
      </c>
      <c r="J9652" s="310">
        <f t="shared" si="851"/>
        <v>113</v>
      </c>
      <c r="K9652" s="445">
        <f>J9652/POBLA!$B$3*100000</f>
        <v>27.200207973271585</v>
      </c>
    </row>
    <row r="9653" spans="1:11" s="393" customFormat="1" x14ac:dyDescent="0.25">
      <c r="A9653" s="402" t="s">
        <v>15</v>
      </c>
      <c r="B9653" s="2">
        <v>44295</v>
      </c>
      <c r="C9653" s="1">
        <v>224</v>
      </c>
      <c r="D9653" s="39">
        <f t="shared" si="849"/>
        <v>40008</v>
      </c>
      <c r="E9653" s="1">
        <v>6</v>
      </c>
      <c r="F9653" s="39">
        <f t="shared" si="848"/>
        <v>963</v>
      </c>
      <c r="G9653" s="436">
        <f>SUM(C9653,C9629,C9605,C9581,C9557,C9533,C9509,C9485,C9461,C9437,C9413,C9389,C9365,C9341)/POBLA!$B$4*100000</f>
        <v>195.01204193132486</v>
      </c>
      <c r="H9653" s="441">
        <f t="shared" si="847"/>
        <v>1.2083333333333333</v>
      </c>
      <c r="I9653" s="445">
        <f t="shared" si="850"/>
        <v>235.63955066701752</v>
      </c>
      <c r="J9653" s="310">
        <f t="shared" si="851"/>
        <v>163.85714285714286</v>
      </c>
      <c r="K9653" s="445">
        <f>J9653/POBLA!$B$4*100000</f>
        <v>13.603284807834923</v>
      </c>
    </row>
    <row r="9654" spans="1:11" s="393" customFormat="1" x14ac:dyDescent="0.25">
      <c r="A9654" s="402" t="s">
        <v>29</v>
      </c>
      <c r="B9654" s="2">
        <v>44295</v>
      </c>
      <c r="C9654" s="1">
        <v>193</v>
      </c>
      <c r="D9654" s="39">
        <f t="shared" si="849"/>
        <v>51206</v>
      </c>
      <c r="E9654" s="1">
        <v>6</v>
      </c>
      <c r="F9654" s="39">
        <f t="shared" si="848"/>
        <v>876</v>
      </c>
      <c r="G9654" s="436">
        <f>SUM(C9654,C9630,C9606,C9582,C9558,C9534,C9510,C9486,C9462,C9438,C9414,C9390,C9366,C9342)/POBLA!$B$5*100000</f>
        <v>291.27907540299259</v>
      </c>
      <c r="H9654" s="441">
        <f t="shared" si="847"/>
        <v>1.3036876355748372</v>
      </c>
      <c r="I9654" s="445">
        <f t="shared" si="850"/>
        <v>379.73692910455213</v>
      </c>
      <c r="J9654" s="310">
        <f t="shared" si="851"/>
        <v>133.42857142857142</v>
      </c>
      <c r="K9654" s="445">
        <f>J9654/POBLA!$B$5*100000</f>
        <v>21.555713210236515</v>
      </c>
    </row>
    <row r="9655" spans="1:11" s="393" customFormat="1" x14ac:dyDescent="0.25">
      <c r="A9655" s="402" t="s">
        <v>30</v>
      </c>
      <c r="B9655" s="2">
        <v>44295</v>
      </c>
      <c r="C9655" s="1">
        <v>433</v>
      </c>
      <c r="D9655" s="39">
        <f t="shared" si="849"/>
        <v>32774</v>
      </c>
      <c r="E9655" s="1">
        <v>3</v>
      </c>
      <c r="F9655" s="39">
        <f t="shared" si="848"/>
        <v>341</v>
      </c>
      <c r="G9655" s="436">
        <f>SUM(C9655,C9631,C9607,C9583,C9559,C9535,C9511,C9487,C9463,C9439,C9415,C9391,C9367,C9343)/POBLA!$B$6*100000</f>
        <v>435.49211679861099</v>
      </c>
      <c r="H9655" s="441">
        <f t="shared" si="847"/>
        <v>1.4561455847255369</v>
      </c>
      <c r="I9655" s="445">
        <f t="shared" si="850"/>
        <v>634.13992305907527</v>
      </c>
      <c r="J9655" s="310">
        <f t="shared" si="851"/>
        <v>300.28571428571428</v>
      </c>
      <c r="K9655" s="445">
        <f>J9655/POBLA!$B$6*100000</f>
        <v>26.792063380182054</v>
      </c>
    </row>
    <row r="9656" spans="1:11" s="393" customFormat="1" x14ac:dyDescent="0.25">
      <c r="A9656" s="402" t="s">
        <v>20</v>
      </c>
      <c r="B9656" s="2">
        <v>44295</v>
      </c>
      <c r="C9656" s="1">
        <v>1867</v>
      </c>
      <c r="D9656" s="39">
        <f t="shared" si="849"/>
        <v>192920</v>
      </c>
      <c r="E9656" s="1">
        <v>15</v>
      </c>
      <c r="F9656" s="39">
        <f t="shared" si="848"/>
        <v>3104</v>
      </c>
      <c r="G9656" s="436">
        <f>SUM(C9656,C9632,C9608,C9584,C9560,C9536,C9512,C9488,C9464,C9440,C9416,C9392,C9368,C9344)/POBLA!$B$7*100000</f>
        <v>443.96282359823959</v>
      </c>
      <c r="H9656" s="441">
        <f t="shared" si="847"/>
        <v>1.8107375271149675</v>
      </c>
      <c r="I9656" s="445">
        <f t="shared" si="850"/>
        <v>803.90014533325495</v>
      </c>
      <c r="J9656" s="310">
        <f t="shared" si="851"/>
        <v>1485.1428571428571</v>
      </c>
      <c r="K9656" s="445">
        <f>J9656/POBLA!$B$7*100000</f>
        <v>39.493753597118889</v>
      </c>
    </row>
    <row r="9657" spans="1:11" x14ac:dyDescent="0.25">
      <c r="A9657" s="402" t="s">
        <v>31</v>
      </c>
      <c r="B9657" s="2">
        <v>44295</v>
      </c>
      <c r="C9657" s="1">
        <v>452</v>
      </c>
      <c r="D9657" s="39">
        <f t="shared" si="849"/>
        <v>52422</v>
      </c>
      <c r="E9657" s="1">
        <v>1</v>
      </c>
      <c r="F9657" s="39">
        <f t="shared" si="848"/>
        <v>961</v>
      </c>
      <c r="G9657" s="169">
        <f>SUM(C9657,C9633,C9609,C9585,C9561,C9537,C9513,C9489,C9465,C9441,C9417,C9393,C9369,C9345)/POBLA!$B$8*100000</f>
        <v>249.21336170353999</v>
      </c>
      <c r="H9657" s="518">
        <f t="shared" si="847"/>
        <v>1.5242718446601942</v>
      </c>
      <c r="I9657" s="310">
        <f t="shared" si="850"/>
        <v>379.86891055782309</v>
      </c>
      <c r="J9657" s="310">
        <f t="shared" si="851"/>
        <v>298.14285714285717</v>
      </c>
      <c r="K9657" s="310">
        <f>J9657/POBLA!$B$8*100000</f>
        <v>21.511633959603277</v>
      </c>
    </row>
    <row r="9658" spans="1:11" s="393" customFormat="1" x14ac:dyDescent="0.25">
      <c r="A9658" s="402" t="s">
        <v>41</v>
      </c>
      <c r="B9658" s="2">
        <v>44295</v>
      </c>
      <c r="C9658" s="1">
        <v>100</v>
      </c>
      <c r="D9658" s="39">
        <f t="shared" si="849"/>
        <v>2641</v>
      </c>
      <c r="E9658" s="1">
        <v>1</v>
      </c>
      <c r="F9658" s="39">
        <f t="shared" si="848"/>
        <v>49</v>
      </c>
      <c r="G9658" s="436">
        <f>SUM(C9658,C9634,C9610,C9586,C9562,C9538,C9514,C9490,C9466,C9442,C9418,C9394,C9370,C9346)/POBLA!$B$9*100000</f>
        <v>119.96173121632272</v>
      </c>
      <c r="H9658" s="441">
        <f t="shared" si="847"/>
        <v>1.7621359223300972</v>
      </c>
      <c r="I9658" s="445">
        <f t="shared" si="850"/>
        <v>211.38887588119005</v>
      </c>
      <c r="J9658" s="310">
        <f t="shared" si="851"/>
        <v>49.571428571428569</v>
      </c>
      <c r="K9658" s="445">
        <f>J9658/POBLA!$B$9*100000</f>
        <v>8.1910115568799657</v>
      </c>
    </row>
    <row r="9659" spans="1:11" s="393" customFormat="1" x14ac:dyDescent="0.25">
      <c r="A9659" s="402" t="s">
        <v>32</v>
      </c>
      <c r="B9659" s="2">
        <v>44295</v>
      </c>
      <c r="C9659" s="1">
        <v>54</v>
      </c>
      <c r="D9659" s="39">
        <f t="shared" si="849"/>
        <v>22944</v>
      </c>
      <c r="E9659" s="1">
        <v>4</v>
      </c>
      <c r="F9659" s="39">
        <f t="shared" si="848"/>
        <v>983</v>
      </c>
      <c r="G9659" s="436">
        <f>SUM(C9659,C9635,C9611,C9587,C9563,C9539,C9515,C9491,C9467,C9443,C9419,C9395,C9371,C9347)/POBLA!$B$10*100000</f>
        <v>95.475177102561872</v>
      </c>
      <c r="H9659" s="441">
        <f t="shared" si="847"/>
        <v>1.1813804173354736</v>
      </c>
      <c r="I9659" s="445">
        <f t="shared" si="850"/>
        <v>112.7925045706028</v>
      </c>
      <c r="J9659" s="310">
        <f t="shared" si="851"/>
        <v>51.285714285714285</v>
      </c>
      <c r="K9659" s="445">
        <f>J9659/POBLA!$B$10*100000</f>
        <v>6.6528704541575525</v>
      </c>
    </row>
    <row r="9660" spans="1:11" s="393" customFormat="1" x14ac:dyDescent="0.25">
      <c r="A9660" s="402" t="s">
        <v>33</v>
      </c>
      <c r="B9660" s="2">
        <v>44295</v>
      </c>
      <c r="C9660" s="1">
        <v>214</v>
      </c>
      <c r="D9660" s="39">
        <f t="shared" si="849"/>
        <v>22470</v>
      </c>
      <c r="E9660" s="1">
        <v>2</v>
      </c>
      <c r="F9660" s="39">
        <f t="shared" si="848"/>
        <v>329</v>
      </c>
      <c r="G9660" s="436">
        <f>SUM(C9660,C9636,C9612,C9588,C9564,C9540,C9516,C9492,C9468,C9444,C9420,C9396,C9372,C9348)/POBLA!$B$11*100000</f>
        <v>436.90783086142829</v>
      </c>
      <c r="H9660" s="441">
        <f t="shared" si="847"/>
        <v>1.3204047217537942</v>
      </c>
      <c r="I9660" s="445">
        <f t="shared" si="850"/>
        <v>576.89516284063802</v>
      </c>
      <c r="J9660" s="310">
        <f t="shared" si="851"/>
        <v>145.42857142857142</v>
      </c>
      <c r="K9660" s="445">
        <f>J9660/POBLA!$B$11*100000</f>
        <v>40.57399852371227</v>
      </c>
    </row>
    <row r="9661" spans="1:11" s="393" customFormat="1" x14ac:dyDescent="0.25">
      <c r="A9661" s="402" t="s">
        <v>21</v>
      </c>
      <c r="B9661" s="2">
        <v>44295</v>
      </c>
      <c r="C9661" s="1">
        <v>60</v>
      </c>
      <c r="D9661" s="39">
        <f t="shared" si="849"/>
        <v>11774</v>
      </c>
      <c r="E9661" s="1"/>
      <c r="F9661" s="39">
        <f t="shared" si="848"/>
        <v>451</v>
      </c>
      <c r="G9661" s="436">
        <f>SUM(C9661,C9637,C9613,C9589,C9565,C9541,C9517,C9493,C9469,C9445,C9421,C9397,C9373,C9349)/POBLA!$B$12*100000</f>
        <v>241.14999834828768</v>
      </c>
      <c r="H9661" s="441">
        <f t="shared" si="847"/>
        <v>2.7994100294985249</v>
      </c>
      <c r="I9661" s="445">
        <f t="shared" si="850"/>
        <v>675.0777239897493</v>
      </c>
      <c r="J9661" s="310">
        <f t="shared" si="851"/>
        <v>81.428571428571431</v>
      </c>
      <c r="K9661" s="445">
        <f>J9661/POBLA!$B$12*100000</f>
        <v>20.691780680193283</v>
      </c>
    </row>
    <row r="9662" spans="1:11" s="393" customFormat="1" x14ac:dyDescent="0.25">
      <c r="A9662" s="402" t="s">
        <v>17</v>
      </c>
      <c r="B9662" s="2">
        <v>44295</v>
      </c>
      <c r="C9662" s="1">
        <v>1056</v>
      </c>
      <c r="D9662" s="39">
        <f t="shared" si="849"/>
        <v>78846</v>
      </c>
      <c r="E9662" s="1">
        <v>9</v>
      </c>
      <c r="F9662" s="39">
        <f t="shared" si="848"/>
        <v>1538</v>
      </c>
      <c r="G9662" s="436">
        <f>SUM(C9662,C9638,C9614,C9590,C9566,C9542,C9518,C9494,C9470,C9446,C9422,C9398,C9374,C9350)/POBLA!$B$13*100000</f>
        <v>368.17867116037581</v>
      </c>
      <c r="H9662" s="441">
        <f t="shared" si="847"/>
        <v>3.1249466950959488</v>
      </c>
      <c r="I9662" s="445">
        <f t="shared" si="850"/>
        <v>1150.5387216474346</v>
      </c>
      <c r="J9662" s="310">
        <f t="shared" si="851"/>
        <v>730.85714285714289</v>
      </c>
      <c r="K9662" s="445">
        <f>J9662/POBLA!$B$13*100000</f>
        <v>36.720252683571474</v>
      </c>
    </row>
    <row r="9663" spans="1:11" s="393" customFormat="1" x14ac:dyDescent="0.25">
      <c r="A9663" s="402" t="s">
        <v>23</v>
      </c>
      <c r="B9663" s="2">
        <v>44295</v>
      </c>
      <c r="C9663" s="1">
        <v>170</v>
      </c>
      <c r="D9663" s="39">
        <f t="shared" si="849"/>
        <v>13038</v>
      </c>
      <c r="E9663" s="1">
        <v>2</v>
      </c>
      <c r="F9663" s="39">
        <f t="shared" si="848"/>
        <v>219</v>
      </c>
      <c r="G9663" s="436">
        <f>SUM(C9663,C9639,C9615,C9591,C9567,C9543,C9519,C9495,C9471,C9447,C9423,C9399,C9375,C9351)/POBLA!$B$14*100000</f>
        <v>126.93313374994251</v>
      </c>
      <c r="H9663" s="441">
        <f t="shared" si="847"/>
        <v>0.93735362997658078</v>
      </c>
      <c r="I9663" s="445">
        <f t="shared" si="850"/>
        <v>118.98123368481146</v>
      </c>
      <c r="J9663" s="310">
        <f t="shared" si="851"/>
        <v>113.57142857142857</v>
      </c>
      <c r="K9663" s="445">
        <f>J9663/POBLA!$B$14*100000</f>
        <v>9.0043581093249134</v>
      </c>
    </row>
    <row r="9664" spans="1:11" s="393" customFormat="1" x14ac:dyDescent="0.25">
      <c r="A9664" s="402" t="s">
        <v>19</v>
      </c>
      <c r="B9664" s="2">
        <v>44295</v>
      </c>
      <c r="C9664" s="1">
        <v>175</v>
      </c>
      <c r="D9664" s="39">
        <f t="shared" si="849"/>
        <v>66348</v>
      </c>
      <c r="E9664" s="1">
        <v>1</v>
      </c>
      <c r="F9664" s="39">
        <f t="shared" si="848"/>
        <v>1017</v>
      </c>
      <c r="G9664" s="436">
        <f>SUM(C9664,C9640,C9616,C9592,C9568,C9544,C9520,C9496,C9472,C9448,C9424,C9400,C9376,C9352)/POBLA!$B$15*100000</f>
        <v>248.47264617344598</v>
      </c>
      <c r="H9664" s="441">
        <f t="shared" si="847"/>
        <v>1.0054844606946984</v>
      </c>
      <c r="I9664" s="445">
        <f t="shared" si="850"/>
        <v>249.83538463509197</v>
      </c>
      <c r="J9664" s="310">
        <f t="shared" si="851"/>
        <v>139.57142857142858</v>
      </c>
      <c r="K9664" s="445">
        <f>J9664/POBLA!$B$15*100000</f>
        <v>21.017989204455127</v>
      </c>
    </row>
    <row r="9665" spans="1:11" s="393" customFormat="1" x14ac:dyDescent="0.25">
      <c r="A9665" s="402" t="s">
        <v>18</v>
      </c>
      <c r="B9665" s="2">
        <v>44295</v>
      </c>
      <c r="C9665" s="1">
        <v>208</v>
      </c>
      <c r="D9665" s="39">
        <f t="shared" si="849"/>
        <v>56594</v>
      </c>
      <c r="E9665" s="1">
        <v>3</v>
      </c>
      <c r="F9665" s="39">
        <f t="shared" si="848"/>
        <v>1301</v>
      </c>
      <c r="G9665" s="436">
        <f>SUM(C9665,C9641,C9617,C9593,C9569,C9545,C9521,C9497,C9473,C9449,C9425,C9401,C9377,C9353)/POBLA!$B$16*100000</f>
        <v>225.38489319297497</v>
      </c>
      <c r="H9665" s="441">
        <f t="shared" si="847"/>
        <v>1.4100418410041842</v>
      </c>
      <c r="I9665" s="445">
        <f t="shared" si="850"/>
        <v>317.80212973235382</v>
      </c>
      <c r="J9665" s="310">
        <f t="shared" si="851"/>
        <v>143.57142857142858</v>
      </c>
      <c r="K9665" s="445">
        <f>J9665/POBLA!$B$16*100000</f>
        <v>19.204054061800747</v>
      </c>
    </row>
    <row r="9666" spans="1:11" s="393" customFormat="1" x14ac:dyDescent="0.25">
      <c r="A9666" s="402" t="s">
        <v>34</v>
      </c>
      <c r="B9666" s="2">
        <v>44295</v>
      </c>
      <c r="C9666" s="1">
        <v>247</v>
      </c>
      <c r="D9666" s="39">
        <f t="shared" si="849"/>
        <v>30734</v>
      </c>
      <c r="E9666" s="1">
        <v>6</v>
      </c>
      <c r="F9666" s="39">
        <f t="shared" si="848"/>
        <v>1232</v>
      </c>
      <c r="G9666" s="436">
        <f>SUM(C9666,C9642,C9618,C9594,C9570,C9546,C9522,C9498,C9474,C9450,C9426,C9402,C9378,C9354)/POBLA!$B$17*100000</f>
        <v>134.23224002858754</v>
      </c>
      <c r="H9666" s="441">
        <f t="shared" ref="H9666:H9689" si="852">SUM(C9666,C9642,C9618,C9594,C9570,C9546,C9522,C9498,C9474,C9450,C9426,C9402,C9378,C9354)/SUM(C9330,C9306,C9282,C9258,C9234,C9210,C9186,C9162,C9138,C9114,C9090,C9066,C9042,C9018)</f>
        <v>1.3956204379562043</v>
      </c>
      <c r="I9666" s="445">
        <f t="shared" si="850"/>
        <v>187.33725761653969</v>
      </c>
      <c r="J9666" s="310">
        <f t="shared" si="851"/>
        <v>163.14285714285714</v>
      </c>
      <c r="K9666" s="445">
        <f>J9666/POBLA!$B$17*100000</f>
        <v>11.453468179366928</v>
      </c>
    </row>
    <row r="9667" spans="1:11" s="393" customFormat="1" x14ac:dyDescent="0.25">
      <c r="A9667" s="402" t="s">
        <v>35</v>
      </c>
      <c r="B9667" s="2">
        <v>44295</v>
      </c>
      <c r="C9667" s="1">
        <v>226</v>
      </c>
      <c r="D9667" s="39">
        <f t="shared" si="849"/>
        <v>18687</v>
      </c>
      <c r="E9667" s="1"/>
      <c r="F9667" s="39">
        <f t="shared" si="848"/>
        <v>229</v>
      </c>
      <c r="G9667" s="436">
        <f>SUM(C9667,C9643,C9619,C9595,C9571,C9547,C9523,C9499,C9475,C9451,C9427,C9403,C9379,C9355)/POBLA!$B$18*100000</f>
        <v>245.13035430616588</v>
      </c>
      <c r="H9667" s="441">
        <f t="shared" si="852"/>
        <v>2.0974808324205916</v>
      </c>
      <c r="I9667" s="445">
        <f t="shared" si="850"/>
        <v>514.1562196016514</v>
      </c>
      <c r="J9667" s="310">
        <f t="shared" si="851"/>
        <v>178.71428571428572</v>
      </c>
      <c r="K9667" s="445">
        <f>J9667/POBLA!$B$18*100000</f>
        <v>22.876394870347898</v>
      </c>
    </row>
    <row r="9668" spans="1:11" s="393" customFormat="1" x14ac:dyDescent="0.25">
      <c r="A9668" s="402" t="s">
        <v>36</v>
      </c>
      <c r="B9668" s="2">
        <v>44295</v>
      </c>
      <c r="C9668" s="1">
        <v>443</v>
      </c>
      <c r="D9668" s="39">
        <f t="shared" si="849"/>
        <v>25602</v>
      </c>
      <c r="E9668" s="1"/>
      <c r="F9668" s="39">
        <f t="shared" si="848"/>
        <v>441</v>
      </c>
      <c r="G9668" s="436">
        <f>SUM(C9668,C9644,C9620,C9596,C9572,C9548,C9524,C9500,C9476,C9452,C9428,C9404,C9380,C9356)/POBLA!$B$19*100000</f>
        <v>696.40074912261377</v>
      </c>
      <c r="H9668" s="441">
        <f t="shared" si="852"/>
        <v>6.4716636197440582</v>
      </c>
      <c r="I9668" s="445">
        <f t="shared" si="850"/>
        <v>4506.8713928593288</v>
      </c>
      <c r="J9668" s="310">
        <f t="shared" si="851"/>
        <v>344.57142857142856</v>
      </c>
      <c r="K9668" s="445">
        <f>J9668/POBLA!$B$19*100000</f>
        <v>67.785254515082499</v>
      </c>
    </row>
    <row r="9669" spans="1:11" s="393" customFormat="1" x14ac:dyDescent="0.25">
      <c r="A9669" s="402" t="s">
        <v>37</v>
      </c>
      <c r="B9669" s="2">
        <v>44295</v>
      </c>
      <c r="C9669" s="1">
        <v>176</v>
      </c>
      <c r="D9669" s="39">
        <f t="shared" si="849"/>
        <v>40681</v>
      </c>
      <c r="E9669" s="1">
        <v>3</v>
      </c>
      <c r="F9669" s="39">
        <f t="shared" si="848"/>
        <v>660</v>
      </c>
      <c r="G9669" s="436">
        <f>SUM(C9669,C9645,C9621,C9597,C9573,C9549,C9525,C9501,C9477,C9453,C9429,C9405,C9381,C9357)/POBLA!$B$20*100000</f>
        <v>538.9693134772408</v>
      </c>
      <c r="H9669" s="441">
        <f t="shared" si="852"/>
        <v>1.3272727272727274</v>
      </c>
      <c r="I9669" s="445">
        <f t="shared" si="850"/>
        <v>715.35927061524694</v>
      </c>
      <c r="J9669" s="310">
        <f t="shared" si="851"/>
        <v>148.57142857142858</v>
      </c>
      <c r="K9669" s="445">
        <f>J9669/POBLA!$B$20*100000</f>
        <v>40.626809162595528</v>
      </c>
    </row>
    <row r="9670" spans="1:11" s="393" customFormat="1" x14ac:dyDescent="0.25">
      <c r="A9670" s="402" t="s">
        <v>22</v>
      </c>
      <c r="B9670" s="2">
        <v>44295</v>
      </c>
      <c r="C9670" s="1">
        <v>1427</v>
      </c>
      <c r="D9670" s="39">
        <f t="shared" si="849"/>
        <v>240025</v>
      </c>
      <c r="E9670" s="1">
        <v>20</v>
      </c>
      <c r="F9670" s="39">
        <f t="shared" si="848"/>
        <v>4339</v>
      </c>
      <c r="G9670" s="436">
        <f>SUM(C9670,C9646,C9622,C9598,C9574,C9550,C9526,C9502,C9478,C9454,C9430,C9406,C9382,C9358)/POBLA!$B$21*100000</f>
        <v>333.33163670131751</v>
      </c>
      <c r="H9670" s="441">
        <f t="shared" si="852"/>
        <v>1.790400972053463</v>
      </c>
      <c r="I9670" s="445">
        <f t="shared" si="850"/>
        <v>596.79728636621064</v>
      </c>
      <c r="J9670" s="310">
        <f t="shared" si="851"/>
        <v>1005.7142857142857</v>
      </c>
      <c r="K9670" s="445">
        <f>J9670/POBLA!$B$21*100000</f>
        <v>28.43878426459445</v>
      </c>
    </row>
    <row r="9671" spans="1:11" s="393" customFormat="1" x14ac:dyDescent="0.25">
      <c r="A9671" s="402" t="s">
        <v>38</v>
      </c>
      <c r="B9671" s="2">
        <v>44295</v>
      </c>
      <c r="C9671" s="1">
        <v>223</v>
      </c>
      <c r="D9671" s="39">
        <f t="shared" si="849"/>
        <v>26430</v>
      </c>
      <c r="E9671" s="1">
        <v>1</v>
      </c>
      <c r="F9671" s="39">
        <f t="shared" si="848"/>
        <v>303</v>
      </c>
      <c r="G9671" s="436">
        <f>SUM(C9671,C9647,C9623,C9599,C9575,C9551,C9527,C9503,C9479,C9455,C9431,C9407,C9383,C9359)/POBLA!$B$22*100000</f>
        <v>189.9187683287455</v>
      </c>
      <c r="H9671" s="441">
        <f t="shared" si="852"/>
        <v>1.4734337827121333</v>
      </c>
      <c r="I9671" s="445">
        <f t="shared" si="850"/>
        <v>279.83272922665276</v>
      </c>
      <c r="J9671" s="310">
        <f t="shared" si="851"/>
        <v>146.42857142857142</v>
      </c>
      <c r="K9671" s="445">
        <f>J9671/POBLA!$B$22*100000</f>
        <v>14.967456369134563</v>
      </c>
    </row>
    <row r="9672" spans="1:11" s="393" customFormat="1" x14ac:dyDescent="0.25">
      <c r="A9672" s="402" t="s">
        <v>39</v>
      </c>
      <c r="B9672" s="2">
        <v>44295</v>
      </c>
      <c r="C9672" s="1">
        <v>151</v>
      </c>
      <c r="D9672" s="39">
        <f t="shared" si="849"/>
        <v>24705</v>
      </c>
      <c r="E9672" s="1"/>
      <c r="F9672" s="39">
        <f t="shared" si="848"/>
        <v>370</v>
      </c>
      <c r="G9672" s="436">
        <f>SUM(C9672,C9648,C9624,C9600,C9576,C9552,C9528,C9504,C9480,C9456,C9432,C9408,C9384,C9360)/POBLA!$B$23*100000</f>
        <v>501.61171746875533</v>
      </c>
      <c r="H9672" s="441">
        <f t="shared" si="852"/>
        <v>1.7704590818363273</v>
      </c>
      <c r="I9672" s="445">
        <f t="shared" si="850"/>
        <v>888.0830207480758</v>
      </c>
      <c r="J9672" s="310">
        <f t="shared" si="851"/>
        <v>70.285714285714292</v>
      </c>
      <c r="K9672" s="445">
        <f>J9672/POBLA!$B$23*100000</f>
        <v>39.747618778326242</v>
      </c>
    </row>
    <row r="9673" spans="1:11" s="393" customFormat="1" ht="15.75" thickBot="1" x14ac:dyDescent="0.3">
      <c r="A9673" s="404" t="s">
        <v>40</v>
      </c>
      <c r="B9673" s="268">
        <v>44295</v>
      </c>
      <c r="C9673" s="44">
        <v>850</v>
      </c>
      <c r="D9673" s="177">
        <f t="shared" si="849"/>
        <v>92591</v>
      </c>
      <c r="E9673" s="44">
        <v>6</v>
      </c>
      <c r="F9673" s="177">
        <f t="shared" si="848"/>
        <v>1525</v>
      </c>
      <c r="G9673" s="439">
        <f>SUM(C9673,C9649,C9625,C9601,C9577,C9553,C9529,C9505,C9481,C9457,C9433,C9409,C9385,C9361)/POBLA!$B$24*100000</f>
        <v>395.41948336417539</v>
      </c>
      <c r="H9673" s="442">
        <f t="shared" si="852"/>
        <v>1.6891857827073355</v>
      </c>
      <c r="I9673" s="445">
        <f t="shared" si="850"/>
        <v>667.93696950424487</v>
      </c>
      <c r="J9673" s="310">
        <f t="shared" si="851"/>
        <v>562</v>
      </c>
      <c r="K9673" s="445">
        <f>J9673/POBLA!$B$24*100000</f>
        <v>33.163072623588505</v>
      </c>
    </row>
    <row r="9674" spans="1:11" s="393" customFormat="1" x14ac:dyDescent="0.25">
      <c r="A9674" s="397" t="s">
        <v>16</v>
      </c>
      <c r="B9674" s="267">
        <v>44296</v>
      </c>
      <c r="C9674" s="43">
        <v>10349</v>
      </c>
      <c r="D9674" s="175">
        <f t="shared" si="849"/>
        <v>1072781</v>
      </c>
      <c r="E9674" s="43">
        <v>214</v>
      </c>
      <c r="F9674" s="175">
        <f t="shared" ref="F9674:F9697" si="853">E9674+F9650</f>
        <v>29312</v>
      </c>
      <c r="G9674" s="410">
        <f>SUM(C9674,C9650,C9626,C9602,C9578,C9554,C9530,C9506,C9482,C9458,C9434,C9410,C9386,C9362)/POBLA!$B$1*100000</f>
        <v>615.29634816800115</v>
      </c>
      <c r="H9674" s="440">
        <f t="shared" si="852"/>
        <v>2.1986147891627623</v>
      </c>
      <c r="I9674" s="445">
        <f>G9674*H9674</f>
        <v>1352.7996508000074</v>
      </c>
      <c r="J9674" s="310">
        <f>AVERAGE(C9674,C9650,C9626,C9602,C9578,C9554,C9530)</f>
        <v>9686.4285714285706</v>
      </c>
      <c r="K9674" s="445">
        <f>J9674/POBLA!$B$1*100000</f>
        <v>55.221200099973942</v>
      </c>
    </row>
    <row r="9675" spans="1:11" s="393" customFormat="1" x14ac:dyDescent="0.25">
      <c r="A9675" s="402" t="s">
        <v>43</v>
      </c>
      <c r="B9675" s="2">
        <v>44296</v>
      </c>
      <c r="C9675" s="1">
        <v>2491</v>
      </c>
      <c r="D9675" s="39">
        <f t="shared" si="849"/>
        <v>283085</v>
      </c>
      <c r="E9675" s="1">
        <v>17</v>
      </c>
      <c r="F9675" s="39">
        <f t="shared" si="853"/>
        <v>7050</v>
      </c>
      <c r="G9675" s="436">
        <f>SUM(C9675,C9651,C9627,C9603,C9579,C9555,C9531,C9507,C9483,C9459,C9435,C9411,C9387,C9363)/POBLA!$B$2*100000</f>
        <v>898.15277831063781</v>
      </c>
      <c r="H9675" s="441">
        <f t="shared" si="852"/>
        <v>1.9645828888414765</v>
      </c>
      <c r="I9675" s="445">
        <f t="shared" ref="I9675:I9697" si="854">G9675*H9675</f>
        <v>1764.4955798345111</v>
      </c>
      <c r="J9675" s="310">
        <f t="shared" ref="J9675:J9697" si="855">AVERAGE(C9675,C9651,C9627,C9603,C9579,C9555,C9531)</f>
        <v>2369.8571428571427</v>
      </c>
      <c r="K9675" s="445">
        <f>J9675/POBLA!$B$2*100000</f>
        <v>77.05233771562601</v>
      </c>
    </row>
    <row r="9676" spans="1:11" s="393" customFormat="1" x14ac:dyDescent="0.25">
      <c r="A9676" s="402" t="s">
        <v>28</v>
      </c>
      <c r="B9676" s="2">
        <v>44296</v>
      </c>
      <c r="C9676" s="1">
        <v>159</v>
      </c>
      <c r="D9676" s="39">
        <f t="shared" si="849"/>
        <v>11574</v>
      </c>
      <c r="E9676" s="1"/>
      <c r="F9676" s="39">
        <f t="shared" si="853"/>
        <v>18</v>
      </c>
      <c r="G9676" s="436">
        <f>SUM(C9676,C9652,C9628,C9604,C9580,C9556,C9532,C9508,C9484,C9460,C9436,C9412,C9388,C9364)/POBLA!$B$3*100000</f>
        <v>343.73360164452941</v>
      </c>
      <c r="H9676" s="441">
        <f t="shared" si="852"/>
        <v>1.2194705380017079</v>
      </c>
      <c r="I9676" s="445">
        <f t="shared" si="854"/>
        <v>419.17300012671905</v>
      </c>
      <c r="J9676" s="310">
        <f t="shared" si="855"/>
        <v>123.85714285714286</v>
      </c>
      <c r="K9676" s="445">
        <f>J9676/POBLA!$B$3*100000</f>
        <v>29.813628714066326</v>
      </c>
    </row>
    <row r="9677" spans="1:11" s="393" customFormat="1" x14ac:dyDescent="0.25">
      <c r="A9677" s="402" t="s">
        <v>15</v>
      </c>
      <c r="B9677" s="2">
        <v>44296</v>
      </c>
      <c r="C9677" s="1">
        <v>196</v>
      </c>
      <c r="D9677" s="39">
        <f t="shared" si="849"/>
        <v>40204</v>
      </c>
      <c r="E9677" s="1">
        <v>1</v>
      </c>
      <c r="F9677" s="39">
        <f t="shared" si="853"/>
        <v>964</v>
      </c>
      <c r="G9677" s="436">
        <f>SUM(C9677,C9653,C9629,C9605,C9581,C9557,C9533,C9509,C9485,C9461,C9437,C9413,C9389,C9365)/POBLA!$B$4*100000</f>
        <v>192.27240915834332</v>
      </c>
      <c r="H9677" s="441">
        <f t="shared" si="852"/>
        <v>1.1392031480570586</v>
      </c>
      <c r="I9677" s="445">
        <f t="shared" si="854"/>
        <v>219.03733379769955</v>
      </c>
      <c r="J9677" s="310">
        <f t="shared" si="855"/>
        <v>179.85714285714286</v>
      </c>
      <c r="K9677" s="445">
        <f>J9677/POBLA!$B$4*100000</f>
        <v>14.931591606856292</v>
      </c>
    </row>
    <row r="9678" spans="1:11" s="393" customFormat="1" x14ac:dyDescent="0.25">
      <c r="A9678" s="402" t="s">
        <v>29</v>
      </c>
      <c r="B9678" s="2">
        <v>44296</v>
      </c>
      <c r="C9678" s="1">
        <v>88</v>
      </c>
      <c r="D9678" s="39">
        <f t="shared" si="849"/>
        <v>51294</v>
      </c>
      <c r="E9678" s="1">
        <v>1</v>
      </c>
      <c r="F9678" s="39">
        <f t="shared" si="853"/>
        <v>877</v>
      </c>
      <c r="G9678" s="436">
        <f>SUM(C9678,C9654,C9630,C9606,C9582,C9558,C9534,C9510,C9486,C9462,C9438,C9414,C9390,C9366)/POBLA!$B$5*100000</f>
        <v>291.11752294852619</v>
      </c>
      <c r="H9678" s="441">
        <f t="shared" si="852"/>
        <v>1.2992069214131219</v>
      </c>
      <c r="I9678" s="445">
        <f t="shared" si="854"/>
        <v>378.22190075936857</v>
      </c>
      <c r="J9678" s="310">
        <f t="shared" si="855"/>
        <v>140.14285714285714</v>
      </c>
      <c r="K9678" s="445">
        <f>J9678/POBLA!$B$5*100000</f>
        <v>22.640422547368331</v>
      </c>
    </row>
    <row r="9679" spans="1:11" s="393" customFormat="1" x14ac:dyDescent="0.25">
      <c r="A9679" s="402" t="s">
        <v>30</v>
      </c>
      <c r="B9679" s="2">
        <v>44296</v>
      </c>
      <c r="C9679" s="1">
        <v>238</v>
      </c>
      <c r="D9679" s="39">
        <f t="shared" si="849"/>
        <v>33012</v>
      </c>
      <c r="E9679" s="1">
        <v>2</v>
      </c>
      <c r="F9679" s="39">
        <f t="shared" si="853"/>
        <v>343</v>
      </c>
      <c r="G9679" s="436">
        <f>SUM(C9679,C9655,C9631,C9607,C9583,C9559,C9535,C9511,C9487,C9463,C9439,C9415,C9391,C9367)/POBLA!$B$6*100000</f>
        <v>455.12093583071396</v>
      </c>
      <c r="H9679" s="441">
        <f t="shared" si="852"/>
        <v>1.6604817708333333</v>
      </c>
      <c r="I9679" s="445">
        <f t="shared" si="854"/>
        <v>755.72001747150773</v>
      </c>
      <c r="J9679" s="310">
        <f t="shared" si="855"/>
        <v>306.71428571428572</v>
      </c>
      <c r="K9679" s="445">
        <f>J9679/POBLA!$B$6*100000</f>
        <v>27.365632767483767</v>
      </c>
    </row>
    <row r="9680" spans="1:11" s="393" customFormat="1" x14ac:dyDescent="0.25">
      <c r="A9680" s="402" t="s">
        <v>20</v>
      </c>
      <c r="B9680" s="2">
        <v>44296</v>
      </c>
      <c r="C9680" s="1">
        <v>1212</v>
      </c>
      <c r="D9680" s="39">
        <f t="shared" si="849"/>
        <v>194132</v>
      </c>
      <c r="E9680" s="1">
        <v>1</v>
      </c>
      <c r="F9680" s="39">
        <f t="shared" si="853"/>
        <v>3105</v>
      </c>
      <c r="G9680" s="436">
        <f>SUM(C9680,C9656,C9632,C9608,C9584,C9560,C9536,C9512,C9488,C9464,C9440,C9416,C9392,C9368)/POBLA!$B$7*100000</f>
        <v>454.83918148093977</v>
      </c>
      <c r="H9680" s="441">
        <f t="shared" si="852"/>
        <v>1.8137857900318133</v>
      </c>
      <c r="I9680" s="445">
        <f t="shared" si="854"/>
        <v>824.98084411982961</v>
      </c>
      <c r="J9680" s="310">
        <f t="shared" si="855"/>
        <v>1574.7142857142858</v>
      </c>
      <c r="K9680" s="445">
        <f>J9680/POBLA!$B$7*100000</f>
        <v>41.875687370242545</v>
      </c>
    </row>
    <row r="9681" spans="1:11" x14ac:dyDescent="0.25">
      <c r="A9681" s="402" t="s">
        <v>31</v>
      </c>
      <c r="B9681" s="2">
        <v>44296</v>
      </c>
      <c r="C9681" s="1">
        <v>442</v>
      </c>
      <c r="D9681" s="39">
        <f t="shared" si="849"/>
        <v>52864</v>
      </c>
      <c r="E9681" s="1">
        <v>1</v>
      </c>
      <c r="F9681" s="39">
        <f t="shared" si="853"/>
        <v>962</v>
      </c>
      <c r="G9681" s="169">
        <f>SUM(C9681,C9657,C9633,C9609,C9585,C9561,C9537,C9513,C9489,C9465,C9441,C9417,C9393,C9369)/POBLA!$B$8*100000</f>
        <v>268.91088565984182</v>
      </c>
      <c r="H9681" s="518">
        <f t="shared" si="852"/>
        <v>1.6016330038676407</v>
      </c>
      <c r="I9681" s="310">
        <f t="shared" si="854"/>
        <v>430.69654957208013</v>
      </c>
      <c r="J9681" s="310">
        <f t="shared" si="855"/>
        <v>345.71428571428572</v>
      </c>
      <c r="K9681" s="310">
        <f>J9681/POBLA!$B$8*100000</f>
        <v>24.944012545395271</v>
      </c>
    </row>
    <row r="9682" spans="1:11" s="393" customFormat="1" x14ac:dyDescent="0.25">
      <c r="A9682" s="402" t="s">
        <v>41</v>
      </c>
      <c r="B9682" s="2">
        <v>44296</v>
      </c>
      <c r="C9682" s="1">
        <v>7</v>
      </c>
      <c r="D9682" s="39">
        <f t="shared" si="849"/>
        <v>2648</v>
      </c>
      <c r="E9682" s="1"/>
      <c r="F9682" s="39">
        <f t="shared" si="853"/>
        <v>49</v>
      </c>
      <c r="G9682" s="436">
        <f>SUM(C9682,C9658,C9634,C9610,C9586,C9562,C9538,C9514,C9490,C9466,C9442,C9418,C9394,C9370)/POBLA!$B$9*100000</f>
        <v>115.83081760694522</v>
      </c>
      <c r="H9682" s="441">
        <f t="shared" si="852"/>
        <v>1.6494117647058824</v>
      </c>
      <c r="I9682" s="445">
        <f t="shared" si="854"/>
        <v>191.0527132763967</v>
      </c>
      <c r="J9682" s="310">
        <f t="shared" si="855"/>
        <v>50</v>
      </c>
      <c r="K9682" s="445">
        <f>J9682/POBLA!$B$9*100000</f>
        <v>8.261827218755009</v>
      </c>
    </row>
    <row r="9683" spans="1:11" s="393" customFormat="1" x14ac:dyDescent="0.25">
      <c r="A9683" s="402" t="s">
        <v>32</v>
      </c>
      <c r="B9683" s="2">
        <v>44296</v>
      </c>
      <c r="C9683" s="1">
        <v>36</v>
      </c>
      <c r="D9683" s="39">
        <f t="shared" si="849"/>
        <v>22980</v>
      </c>
      <c r="E9683" s="1">
        <v>2</v>
      </c>
      <c r="F9683" s="39">
        <f t="shared" si="853"/>
        <v>985</v>
      </c>
      <c r="G9683" s="436">
        <f>SUM(C9683,C9659,C9635,C9611,C9587,C9563,C9539,C9515,C9491,C9467,C9443,C9419,C9395,C9371)/POBLA!$B$10*100000</f>
        <v>94.826568562462938</v>
      </c>
      <c r="H9683" s="441">
        <f t="shared" si="852"/>
        <v>1.1475667189952905</v>
      </c>
      <c r="I9683" s="445">
        <f t="shared" si="854"/>
        <v>108.81981415880756</v>
      </c>
      <c r="J9683" s="310">
        <f t="shared" si="855"/>
        <v>52.571428571428569</v>
      </c>
      <c r="K9683" s="445">
        <f>J9683/POBLA!$B$10*100000</f>
        <v>6.819655507325848</v>
      </c>
    </row>
    <row r="9684" spans="1:11" s="393" customFormat="1" x14ac:dyDescent="0.25">
      <c r="A9684" s="402" t="s">
        <v>33</v>
      </c>
      <c r="B9684" s="2">
        <v>44296</v>
      </c>
      <c r="C9684" s="1">
        <v>141</v>
      </c>
      <c r="D9684" s="39">
        <f t="shared" si="849"/>
        <v>22611</v>
      </c>
      <c r="E9684" s="1">
        <v>1</v>
      </c>
      <c r="F9684" s="39">
        <f t="shared" si="853"/>
        <v>330</v>
      </c>
      <c r="G9684" s="436">
        <f>SUM(C9684,C9660,C9636,C9612,C9588,C9564,C9540,C9516,C9492,C9468,C9444,C9420,C9396,C9372)/POBLA!$B$11*100000</f>
        <v>446.6726929815751</v>
      </c>
      <c r="H9684" s="441">
        <f t="shared" si="852"/>
        <v>1.3375104427736006</v>
      </c>
      <c r="I9684" s="445">
        <f t="shared" si="854"/>
        <v>597.42939136466305</v>
      </c>
      <c r="J9684" s="310">
        <f t="shared" si="855"/>
        <v>156.42857142857142</v>
      </c>
      <c r="K9684" s="445">
        <f>J9684/POBLA!$B$11*100000</f>
        <v>43.642955190044141</v>
      </c>
    </row>
    <row r="9685" spans="1:11" s="393" customFormat="1" x14ac:dyDescent="0.25">
      <c r="A9685" s="402" t="s">
        <v>21</v>
      </c>
      <c r="B9685" s="2">
        <v>44296</v>
      </c>
      <c r="C9685" s="1">
        <v>127</v>
      </c>
      <c r="D9685" s="39">
        <f t="shared" si="849"/>
        <v>11901</v>
      </c>
      <c r="E9685" s="1"/>
      <c r="F9685" s="39">
        <f t="shared" si="853"/>
        <v>451</v>
      </c>
      <c r="G9685" s="436">
        <f>SUM(C9685,C9661,C9637,C9613,C9589,C9565,C9541,C9517,C9493,C9469,C9445,C9421,C9397,C9373)/POBLA!$B$12*100000</f>
        <v>265.79862831644772</v>
      </c>
      <c r="H9685" s="441">
        <f t="shared" si="852"/>
        <v>2.9885714285714284</v>
      </c>
      <c r="I9685" s="445">
        <f t="shared" si="854"/>
        <v>794.35818634001225</v>
      </c>
      <c r="J9685" s="310">
        <f t="shared" si="855"/>
        <v>85.714285714285708</v>
      </c>
      <c r="K9685" s="445">
        <f>J9685/POBLA!$B$12*100000</f>
        <v>21.780821768624506</v>
      </c>
    </row>
    <row r="9686" spans="1:11" s="393" customFormat="1" x14ac:dyDescent="0.25">
      <c r="A9686" s="402" t="s">
        <v>17</v>
      </c>
      <c r="B9686" s="2">
        <v>44296</v>
      </c>
      <c r="C9686" s="1">
        <v>759</v>
      </c>
      <c r="D9686" s="39">
        <f t="shared" si="849"/>
        <v>79605</v>
      </c>
      <c r="E9686" s="1">
        <v>50</v>
      </c>
      <c r="F9686" s="39">
        <f t="shared" si="853"/>
        <v>1588</v>
      </c>
      <c r="G9686" s="436">
        <f>SUM(C9686,C9662,C9638,C9614,C9590,C9566,C9542,C9518,C9494,C9470,C9446,C9422,C9398,C9374)/POBLA!$B$13*100000</f>
        <v>395.86241130903392</v>
      </c>
      <c r="H9686" s="441">
        <f t="shared" si="852"/>
        <v>3.2584780810587262</v>
      </c>
      <c r="I9686" s="445">
        <f t="shared" si="854"/>
        <v>1289.9089903655411</v>
      </c>
      <c r="J9686" s="310">
        <f t="shared" si="855"/>
        <v>800.57142857142856</v>
      </c>
      <c r="K9686" s="445">
        <f>J9686/POBLA!$B$13*100000</f>
        <v>40.222888201472742</v>
      </c>
    </row>
    <row r="9687" spans="1:11" s="393" customFormat="1" x14ac:dyDescent="0.25">
      <c r="A9687" s="402" t="s">
        <v>23</v>
      </c>
      <c r="B9687" s="2">
        <v>44296</v>
      </c>
      <c r="C9687" s="1">
        <v>187</v>
      </c>
      <c r="D9687" s="39">
        <f t="shared" si="849"/>
        <v>13225</v>
      </c>
      <c r="E9687" s="1">
        <v>2</v>
      </c>
      <c r="F9687" s="39">
        <f t="shared" si="853"/>
        <v>221</v>
      </c>
      <c r="G9687" s="436">
        <f>SUM(C9687,C9663,C9639,C9615,C9591,C9567,C9543,C9519,C9495,C9471,C9447,C9423,C9399,C9375)/POBLA!$B$14*100000</f>
        <v>132.32442237892198</v>
      </c>
      <c r="H9687" s="441">
        <f t="shared" si="852"/>
        <v>0.97716627634660425</v>
      </c>
      <c r="I9687" s="445">
        <f t="shared" si="854"/>
        <v>129.30296308572645</v>
      </c>
      <c r="J9687" s="310">
        <f t="shared" si="855"/>
        <v>131.28571428571428</v>
      </c>
      <c r="K9687" s="445">
        <f>J9687/POBLA!$B$14*100000</f>
        <v>10.408811449647288</v>
      </c>
    </row>
    <row r="9688" spans="1:11" s="393" customFormat="1" x14ac:dyDescent="0.25">
      <c r="A9688" s="402" t="s">
        <v>19</v>
      </c>
      <c r="B9688" s="2">
        <v>44296</v>
      </c>
      <c r="C9688" s="1">
        <v>145</v>
      </c>
      <c r="D9688" s="39">
        <f t="shared" si="849"/>
        <v>66493</v>
      </c>
      <c r="E9688" s="1"/>
      <c r="F9688" s="39">
        <f t="shared" si="853"/>
        <v>1017</v>
      </c>
      <c r="G9688" s="436">
        <f>SUM(C9688,C9664,C9640,C9616,C9592,C9568,C9544,C9520,C9496,C9472,C9448,C9424,C9400,C9376)/POBLA!$B$15*100000</f>
        <v>255.09858340473784</v>
      </c>
      <c r="H9688" s="441">
        <f t="shared" si="852"/>
        <v>1.0210970464135021</v>
      </c>
      <c r="I9688" s="445">
        <f t="shared" si="854"/>
        <v>260.48041005884625</v>
      </c>
      <c r="J9688" s="310">
        <f t="shared" si="855"/>
        <v>151.28571428571428</v>
      </c>
      <c r="K9688" s="445">
        <f>J9688/POBLA!$B$15*100000</f>
        <v>22.782037428370501</v>
      </c>
    </row>
    <row r="9689" spans="1:11" s="393" customFormat="1" x14ac:dyDescent="0.25">
      <c r="A9689" s="402" t="s">
        <v>18</v>
      </c>
      <c r="B9689" s="2">
        <v>44296</v>
      </c>
      <c r="C9689" s="1">
        <v>110</v>
      </c>
      <c r="D9689" s="39">
        <f t="shared" si="849"/>
        <v>56704</v>
      </c>
      <c r="E9689" s="1">
        <v>2</v>
      </c>
      <c r="F9689" s="39">
        <f t="shared" si="853"/>
        <v>1303</v>
      </c>
      <c r="G9689" s="436">
        <f>SUM(C9689,C9665,C9641,C9617,C9593,C9569,C9545,C9521,C9497,C9473,C9449,C9425,C9401,C9377)/POBLA!$B$16*100000</f>
        <v>229.93271893099345</v>
      </c>
      <c r="H9689" s="441">
        <f t="shared" si="852"/>
        <v>1.3919028340080972</v>
      </c>
      <c r="I9689" s="445">
        <f t="shared" si="854"/>
        <v>320.04400311123703</v>
      </c>
      <c r="J9689" s="310">
        <f t="shared" si="855"/>
        <v>143.42857142857142</v>
      </c>
      <c r="K9689" s="445">
        <f>J9689/POBLA!$B$16*100000</f>
        <v>19.184945550296469</v>
      </c>
    </row>
    <row r="9690" spans="1:11" s="393" customFormat="1" x14ac:dyDescent="0.25">
      <c r="A9690" s="402" t="s">
        <v>34</v>
      </c>
      <c r="B9690" s="2">
        <v>44296</v>
      </c>
      <c r="C9690" s="1">
        <v>222</v>
      </c>
      <c r="D9690" s="39">
        <f t="shared" si="849"/>
        <v>30956</v>
      </c>
      <c r="E9690" s="1"/>
      <c r="F9690" s="39">
        <f t="shared" si="853"/>
        <v>1232</v>
      </c>
      <c r="G9690" s="436">
        <f>SUM(C9690,C9666,C9642,C9618,C9594,C9570,C9546,C9522,C9498,C9474,C9450,C9426,C9402,C9378)/POBLA!$B$17*100000</f>
        <v>142.6568576036035</v>
      </c>
      <c r="H9690" s="441">
        <f t="shared" ref="H9690:H9713" si="856">SUM(C9690,C9666,C9642,C9618,C9594,C9570,C9546,C9522,C9498,C9474,C9450,C9426,C9402,C9378)/SUM(C9354,C9330,C9306,C9282,C9258,C9234,C9210,C9186,C9162,C9138,C9114,C9090,C9066,C9042)</f>
        <v>1.5255255255255256</v>
      </c>
      <c r="I9690" s="445">
        <f t="shared" si="854"/>
        <v>217.62667766555728</v>
      </c>
      <c r="J9690" s="310">
        <f t="shared" si="855"/>
        <v>184.28571428571428</v>
      </c>
      <c r="K9690" s="445">
        <f>J9690/POBLA!$B$17*100000</f>
        <v>12.937805561631643</v>
      </c>
    </row>
    <row r="9691" spans="1:11" s="393" customFormat="1" x14ac:dyDescent="0.25">
      <c r="A9691" s="402" t="s">
        <v>35</v>
      </c>
      <c r="B9691" s="2">
        <v>44296</v>
      </c>
      <c r="C9691" s="1">
        <v>50</v>
      </c>
      <c r="D9691" s="39">
        <f t="shared" si="849"/>
        <v>18737</v>
      </c>
      <c r="E9691" s="1"/>
      <c r="F9691" s="39">
        <f t="shared" si="853"/>
        <v>229</v>
      </c>
      <c r="G9691" s="436">
        <f>SUM(C9691,C9667,C9643,C9619,C9595,C9571,C9547,C9523,C9499,C9475,C9451,C9427,C9403,C9379)/POBLA!$B$18*100000</f>
        <v>247.4344516312369</v>
      </c>
      <c r="H9691" s="441">
        <f t="shared" si="856"/>
        <v>2.0695931477516059</v>
      </c>
      <c r="I9691" s="445">
        <f t="shared" si="854"/>
        <v>512.08864561368398</v>
      </c>
      <c r="J9691" s="310">
        <f t="shared" si="855"/>
        <v>183.85714285714286</v>
      </c>
      <c r="K9691" s="445">
        <f>J9691/POBLA!$B$18*100000</f>
        <v>23.534708391796755</v>
      </c>
    </row>
    <row r="9692" spans="1:11" s="393" customFormat="1" x14ac:dyDescent="0.25">
      <c r="A9692" s="402" t="s">
        <v>36</v>
      </c>
      <c r="B9692" s="2">
        <v>44296</v>
      </c>
      <c r="C9692" s="1">
        <v>392</v>
      </c>
      <c r="D9692" s="39">
        <f t="shared" si="849"/>
        <v>25994</v>
      </c>
      <c r="E9692" s="1">
        <v>1</v>
      </c>
      <c r="F9692" s="39">
        <f t="shared" si="853"/>
        <v>442</v>
      </c>
      <c r="G9692" s="436">
        <f>SUM(C9692,C9668,C9644,C9620,C9596,C9572,C9548,C9524,C9500,C9476,C9452,C9428,C9404,C9380)/POBLA!$B$19*100000</f>
        <v>756.99154876379032</v>
      </c>
      <c r="H9692" s="441">
        <f t="shared" si="856"/>
        <v>6.1079365079365076</v>
      </c>
      <c r="I9692" s="445">
        <f t="shared" si="854"/>
        <v>4623.6563168937537</v>
      </c>
      <c r="J9692" s="310">
        <f t="shared" si="855"/>
        <v>365.85714285714283</v>
      </c>
      <c r="K9692" s="445">
        <f>J9692/POBLA!$B$19*100000</f>
        <v>71.972652078410562</v>
      </c>
    </row>
    <row r="9693" spans="1:11" s="393" customFormat="1" x14ac:dyDescent="0.25">
      <c r="A9693" s="402" t="s">
        <v>37</v>
      </c>
      <c r="B9693" s="2">
        <v>44296</v>
      </c>
      <c r="C9693" s="1">
        <v>193</v>
      </c>
      <c r="D9693" s="39">
        <f t="shared" si="849"/>
        <v>40874</v>
      </c>
      <c r="E9693" s="1"/>
      <c r="F9693" s="39">
        <f t="shared" si="853"/>
        <v>660</v>
      </c>
      <c r="G9693" s="436">
        <f>SUM(C9693,C9669,C9645,C9621,C9597,C9573,C9549,C9525,C9501,C9477,C9453,C9429,C9405,C9381)/POBLA!$B$20*100000</f>
        <v>552.36834765298147</v>
      </c>
      <c r="H9693" s="441">
        <f t="shared" si="856"/>
        <v>1.3202614379084967</v>
      </c>
      <c r="I9693" s="445">
        <f t="shared" si="854"/>
        <v>729.27062892746574</v>
      </c>
      <c r="J9693" s="310">
        <f t="shared" si="855"/>
        <v>166.14285714285714</v>
      </c>
      <c r="K9693" s="445">
        <f>J9693/POBLA!$B$20*100000</f>
        <v>45.431710630864032</v>
      </c>
    </row>
    <row r="9694" spans="1:11" s="393" customFormat="1" x14ac:dyDescent="0.25">
      <c r="A9694" s="402" t="s">
        <v>22</v>
      </c>
      <c r="B9694" s="2">
        <v>44296</v>
      </c>
      <c r="C9694" s="1">
        <v>1185</v>
      </c>
      <c r="D9694" s="39">
        <f t="shared" si="849"/>
        <v>241210</v>
      </c>
      <c r="E9694" s="1">
        <v>1</v>
      </c>
      <c r="F9694" s="39">
        <f t="shared" si="853"/>
        <v>4340</v>
      </c>
      <c r="G9694" s="436">
        <f>SUM(C9694,C9670,C9646,C9622,C9598,C9574,C9550,C9526,C9502,C9478,C9454,C9430,C9406,C9382)/POBLA!$B$21*100000</f>
        <v>347.44195963259995</v>
      </c>
      <c r="H9694" s="441">
        <f t="shared" si="856"/>
        <v>1.8071775261067804</v>
      </c>
      <c r="I9694" s="445">
        <f t="shared" si="854"/>
        <v>627.88930107453382</v>
      </c>
      <c r="J9694" s="310">
        <f t="shared" si="855"/>
        <v>1104.2857142857142</v>
      </c>
      <c r="K9694" s="445">
        <f>J9694/POBLA!$B$21*100000</f>
        <v>31.226108290527709</v>
      </c>
    </row>
    <row r="9695" spans="1:11" s="393" customFormat="1" x14ac:dyDescent="0.25">
      <c r="A9695" s="402" t="s">
        <v>38</v>
      </c>
      <c r="B9695" s="2">
        <v>44296</v>
      </c>
      <c r="C9695" s="1">
        <v>207</v>
      </c>
      <c r="D9695" s="39">
        <f t="shared" si="849"/>
        <v>26637</v>
      </c>
      <c r="E9695" s="1">
        <v>1</v>
      </c>
      <c r="F9695" s="39">
        <f t="shared" si="853"/>
        <v>304</v>
      </c>
      <c r="G9695" s="436">
        <f>SUM(C9695,C9671,C9647,C9623,C9599,C9575,C9551,C9527,C9503,C9479,C9455,C9431,C9407,C9383)/POBLA!$B$22*100000</f>
        <v>197.78946001944163</v>
      </c>
      <c r="H9695" s="441">
        <f t="shared" si="856"/>
        <v>1.4659090909090908</v>
      </c>
      <c r="I9695" s="445">
        <f t="shared" si="854"/>
        <v>289.94136752849965</v>
      </c>
      <c r="J9695" s="310">
        <f t="shared" si="855"/>
        <v>155.71428571428572</v>
      </c>
      <c r="K9695" s="445">
        <f>J9695/POBLA!$B$22*100000</f>
        <v>15.916612138884561</v>
      </c>
    </row>
    <row r="9696" spans="1:11" s="393" customFormat="1" x14ac:dyDescent="0.25">
      <c r="A9696" s="402" t="s">
        <v>39</v>
      </c>
      <c r="B9696" s="2">
        <v>44296</v>
      </c>
      <c r="C9696" s="1">
        <v>69</v>
      </c>
      <c r="D9696" s="39">
        <f t="shared" si="849"/>
        <v>24774</v>
      </c>
      <c r="E9696" s="1"/>
      <c r="F9696" s="39">
        <f t="shared" si="853"/>
        <v>370</v>
      </c>
      <c r="G9696" s="436">
        <f>SUM(C9696,C9672,C9648,C9624,C9600,C9576,C9552,C9528,C9504,C9480,C9456,C9432,C9408,C9384)/POBLA!$B$23*100000</f>
        <v>516.8806198043319</v>
      </c>
      <c r="H9696" s="441">
        <f t="shared" si="856"/>
        <v>1.7212806026365348</v>
      </c>
      <c r="I9696" s="445">
        <f t="shared" si="854"/>
        <v>889.69658474794608</v>
      </c>
      <c r="J9696" s="310">
        <f t="shared" si="855"/>
        <v>77.571428571428569</v>
      </c>
      <c r="K9696" s="445">
        <f>J9696/POBLA!$B$23*100000</f>
        <v>43.867798773640544</v>
      </c>
    </row>
    <row r="9697" spans="1:11" s="393" customFormat="1" ht="15.75" thickBot="1" x14ac:dyDescent="0.3">
      <c r="A9697" s="403" t="s">
        <v>40</v>
      </c>
      <c r="B9697" s="34">
        <v>44296</v>
      </c>
      <c r="C9697" s="234">
        <v>414</v>
      </c>
      <c r="D9697" s="67">
        <f t="shared" si="849"/>
        <v>93005</v>
      </c>
      <c r="E9697" s="234"/>
      <c r="F9697" s="67">
        <f t="shared" si="853"/>
        <v>1525</v>
      </c>
      <c r="G9697" s="446">
        <f>SUM(C9697,C9673,C9649,C9625,C9601,C9577,C9553,C9529,C9505,C9481,C9457,C9433,C9409,C9385)/POBLA!$B$24*100000</f>
        <v>405.39200876166024</v>
      </c>
      <c r="H9697" s="447">
        <f t="shared" si="856"/>
        <v>1.6805283757338552</v>
      </c>
      <c r="I9697" s="445">
        <f t="shared" si="854"/>
        <v>681.27277401971764</v>
      </c>
      <c r="J9697" s="310">
        <f t="shared" si="855"/>
        <v>572.71428571428567</v>
      </c>
      <c r="K9697" s="445">
        <f>J9697/POBLA!$B$24*100000</f>
        <v>33.795312188095146</v>
      </c>
    </row>
    <row r="9698" spans="1:11" s="393" customFormat="1" x14ac:dyDescent="0.25">
      <c r="A9698" s="397" t="s">
        <v>16</v>
      </c>
      <c r="B9698" s="267">
        <v>44297</v>
      </c>
      <c r="C9698" s="43">
        <v>7696</v>
      </c>
      <c r="D9698" s="175">
        <f t="shared" si="849"/>
        <v>1080477</v>
      </c>
      <c r="E9698" s="43">
        <v>99</v>
      </c>
      <c r="F9698" s="175">
        <f t="shared" ref="F9698:F9721" si="857">E9698+F9674</f>
        <v>29411</v>
      </c>
      <c r="G9698" s="410">
        <f>SUM(C9698,C9674,C9650,C9626,C9602,C9578,C9554,C9530,C9506,C9482,C9458,C9434,C9410,C9386)/POBLA!$B$1*100000</f>
        <v>640.60256969600778</v>
      </c>
      <c r="H9698" s="440">
        <f t="shared" si="856"/>
        <v>2.211639899228468</v>
      </c>
      <c r="I9698" s="445">
        <f>G9698*H9698</f>
        <v>1416.7822026879762</v>
      </c>
      <c r="J9698" s="310">
        <f>AVERAGE(C9698,C9674,C9650,C9626,C9602,C9578,C9554)</f>
        <v>10032.428571428571</v>
      </c>
      <c r="K9698" s="445">
        <f>J9698/POBLA!$B$1*100000</f>
        <v>57.193705765369366</v>
      </c>
    </row>
    <row r="9699" spans="1:11" s="393" customFormat="1" x14ac:dyDescent="0.25">
      <c r="A9699" s="402" t="s">
        <v>43</v>
      </c>
      <c r="B9699" s="2">
        <v>44297</v>
      </c>
      <c r="C9699" s="1">
        <v>2691</v>
      </c>
      <c r="D9699" s="39">
        <f t="shared" si="849"/>
        <v>285776</v>
      </c>
      <c r="E9699" s="1">
        <v>8</v>
      </c>
      <c r="F9699" s="39">
        <f t="shared" si="857"/>
        <v>7058</v>
      </c>
      <c r="G9699" s="436">
        <f>SUM(C9699,C9675,C9651,C9627,C9603,C9579,C9555,C9531,C9507,C9483,C9459,C9435,C9411,C9387)/POBLA!$B$2*100000</f>
        <v>951.70250412433677</v>
      </c>
      <c r="H9699" s="441">
        <f t="shared" si="856"/>
        <v>2.0118908516049214</v>
      </c>
      <c r="I9699" s="445">
        <f t="shared" ref="I9699:I9721" si="858">G9699*H9699</f>
        <v>1914.7215614972481</v>
      </c>
      <c r="J9699" s="310">
        <f t="shared" ref="J9699:J9721" si="859">AVERAGE(C9699,C9675,C9651,C9627,C9603,C9579,C9555)</f>
        <v>2476.5714285714284</v>
      </c>
      <c r="K9699" s="445">
        <f>J9699/POBLA!$B$2*100000</f>
        <v>80.521992081384809</v>
      </c>
    </row>
    <row r="9700" spans="1:11" s="393" customFormat="1" x14ac:dyDescent="0.25">
      <c r="A9700" s="402" t="s">
        <v>28</v>
      </c>
      <c r="B9700" s="2">
        <v>44297</v>
      </c>
      <c r="C9700" s="1">
        <v>101</v>
      </c>
      <c r="D9700" s="39">
        <f t="shared" si="849"/>
        <v>11675</v>
      </c>
      <c r="E9700" s="1"/>
      <c r="F9700" s="39">
        <f t="shared" si="857"/>
        <v>18</v>
      </c>
      <c r="G9700" s="436">
        <f>SUM(C9700,C9676,C9652,C9628,C9604,C9580,C9556,C9532,C9508,C9484,C9460,C9436,C9412,C9388)/POBLA!$B$3*100000</f>
        <v>348.78850755106657</v>
      </c>
      <c r="H9700" s="441">
        <f t="shared" si="856"/>
        <v>1.2095158597662772</v>
      </c>
      <c r="I9700" s="445">
        <f t="shared" si="858"/>
        <v>421.86523158722497</v>
      </c>
      <c r="J9700" s="310">
        <f t="shared" si="859"/>
        <v>130.85714285714286</v>
      </c>
      <c r="K9700" s="445">
        <f>J9700/POBLA!$B$3*100000</f>
        <v>31.498597349578723</v>
      </c>
    </row>
    <row r="9701" spans="1:11" s="393" customFormat="1" x14ac:dyDescent="0.25">
      <c r="A9701" s="402" t="s">
        <v>15</v>
      </c>
      <c r="B9701" s="2">
        <v>44297</v>
      </c>
      <c r="C9701" s="1">
        <v>136</v>
      </c>
      <c r="D9701" s="39">
        <f t="shared" si="849"/>
        <v>40340</v>
      </c>
      <c r="E9701" s="1">
        <v>3</v>
      </c>
      <c r="F9701" s="39">
        <f t="shared" si="857"/>
        <v>967</v>
      </c>
      <c r="G9701" s="436">
        <f>SUM(C9701,C9677,C9653,C9629,C9605,C9581,C9557,C9533,C9509,C9485,C9461,C9437,C9413,C9389)/POBLA!$B$4*100000</f>
        <v>195.67619533083555</v>
      </c>
      <c r="H9701" s="441">
        <f t="shared" si="856"/>
        <v>1.1548260656540912</v>
      </c>
      <c r="I9701" s="445">
        <f t="shared" si="858"/>
        <v>225.97197079607028</v>
      </c>
      <c r="J9701" s="310">
        <f t="shared" si="859"/>
        <v>188.57142857142858</v>
      </c>
      <c r="K9701" s="445">
        <f>J9701/POBLA!$B$4*100000</f>
        <v>15.655044417037576</v>
      </c>
    </row>
    <row r="9702" spans="1:11" s="393" customFormat="1" x14ac:dyDescent="0.25">
      <c r="A9702" s="402" t="s">
        <v>29</v>
      </c>
      <c r="B9702" s="2">
        <v>44297</v>
      </c>
      <c r="C9702" s="1">
        <v>49</v>
      </c>
      <c r="D9702" s="39">
        <f t="shared" si="849"/>
        <v>51343</v>
      </c>
      <c r="E9702" s="1"/>
      <c r="F9702" s="39">
        <f t="shared" si="857"/>
        <v>877</v>
      </c>
      <c r="G9702" s="436">
        <f>SUM(C9702,C9678,C9654,C9630,C9606,C9582,C9558,C9534,C9510,C9486,C9462,C9438,C9414,C9390)/POBLA!$B$5*100000</f>
        <v>287.72492140473094</v>
      </c>
      <c r="H9702" s="441">
        <f t="shared" si="856"/>
        <v>1.2419804741980474</v>
      </c>
      <c r="I9702" s="445">
        <f t="shared" si="858"/>
        <v>357.34873432484363</v>
      </c>
      <c r="J9702" s="310">
        <f t="shared" si="859"/>
        <v>144</v>
      </c>
      <c r="K9702" s="445">
        <f>J9702/POBLA!$B$5*100000</f>
        <v>23.26355344316746</v>
      </c>
    </row>
    <row r="9703" spans="1:11" s="393" customFormat="1" x14ac:dyDescent="0.25">
      <c r="A9703" s="402" t="s">
        <v>30</v>
      </c>
      <c r="B9703" s="2">
        <v>44297</v>
      </c>
      <c r="C9703" s="1">
        <v>219</v>
      </c>
      <c r="D9703" s="39">
        <f t="shared" si="849"/>
        <v>33231</v>
      </c>
      <c r="E9703" s="1">
        <v>1</v>
      </c>
      <c r="F9703" s="39">
        <f t="shared" si="857"/>
        <v>344</v>
      </c>
      <c r="G9703" s="436">
        <f>SUM(C9703,C9679,C9655,C9631,C9607,C9583,C9559,C9535,C9511,C9487,C9463,C9439,C9415,C9391)/POBLA!$B$6*100000</f>
        <v>432.19090632503003</v>
      </c>
      <c r="H9703" s="441">
        <f t="shared" si="856"/>
        <v>1.4134811788736503</v>
      </c>
      <c r="I9703" s="445">
        <f t="shared" si="858"/>
        <v>610.89371177077487</v>
      </c>
      <c r="J9703" s="310">
        <f t="shared" si="859"/>
        <v>337</v>
      </c>
      <c r="K9703" s="445">
        <f>J9703/POBLA!$B$6*100000</f>
        <v>30.067781880994037</v>
      </c>
    </row>
    <row r="9704" spans="1:11" s="393" customFormat="1" x14ac:dyDescent="0.25">
      <c r="A9704" s="402" t="s">
        <v>20</v>
      </c>
      <c r="B9704" s="2">
        <v>44297</v>
      </c>
      <c r="C9704" s="1">
        <v>1095</v>
      </c>
      <c r="D9704" s="39">
        <f t="shared" si="849"/>
        <v>195227</v>
      </c>
      <c r="E9704" s="1"/>
      <c r="F9704" s="39">
        <f t="shared" si="857"/>
        <v>3105</v>
      </c>
      <c r="G9704" s="436">
        <f>SUM(C9704,C9680,C9656,C9632,C9608,C9584,C9560,C9536,C9512,C9488,C9464,C9440,C9416,C9392)/POBLA!$B$7*100000</f>
        <v>472.17753194431515</v>
      </c>
      <c r="H9704" s="441">
        <f t="shared" si="856"/>
        <v>1.8511259382819016</v>
      </c>
      <c r="I9704" s="445">
        <f t="shared" si="858"/>
        <v>874.060076856053</v>
      </c>
      <c r="J9704" s="310">
        <f t="shared" si="859"/>
        <v>1623.2857142857142</v>
      </c>
      <c r="K9704" s="445">
        <f>J9704/POBLA!$B$7*100000</f>
        <v>43.167326098890136</v>
      </c>
    </row>
    <row r="9705" spans="1:11" x14ac:dyDescent="0.25">
      <c r="A9705" s="402" t="s">
        <v>31</v>
      </c>
      <c r="B9705" s="2">
        <v>44297</v>
      </c>
      <c r="C9705" s="1">
        <v>208</v>
      </c>
      <c r="D9705" s="39">
        <f t="shared" si="849"/>
        <v>53072</v>
      </c>
      <c r="E9705" s="1">
        <v>1</v>
      </c>
      <c r="F9705" s="39">
        <f t="shared" si="857"/>
        <v>963</v>
      </c>
      <c r="G9705" s="169">
        <f>SUM(C9705,C9681,C9657,C9633,C9609,C9585,C9561,C9537,C9513,C9489,C9465,C9441,C9417,C9393)/POBLA!$B$8*100000</f>
        <v>277.92989846034629</v>
      </c>
      <c r="H9705" s="518">
        <f t="shared" si="856"/>
        <v>1.6405451448040886</v>
      </c>
      <c r="I9705" s="310">
        <f t="shared" si="858"/>
        <v>455.95654551501445</v>
      </c>
      <c r="J9705" s="310">
        <f t="shared" si="859"/>
        <v>353.14285714285717</v>
      </c>
      <c r="K9705" s="310">
        <f>J9705/POBLA!$B$8*100000</f>
        <v>25.479999591825248</v>
      </c>
    </row>
    <row r="9706" spans="1:11" s="393" customFormat="1" x14ac:dyDescent="0.25">
      <c r="A9706" s="402" t="s">
        <v>41</v>
      </c>
      <c r="B9706" s="2">
        <v>44297</v>
      </c>
      <c r="C9706" s="1">
        <v>6</v>
      </c>
      <c r="D9706" s="39">
        <f t="shared" si="849"/>
        <v>2654</v>
      </c>
      <c r="E9706" s="1"/>
      <c r="F9706" s="39">
        <f t="shared" si="857"/>
        <v>49</v>
      </c>
      <c r="G9706" s="436">
        <f>SUM(C9706,C9682,C9658,C9634,C9610,C9586,C9562,C9538,C9514,C9490,C9466,C9442,C9418,C9394)/POBLA!$B$9*100000</f>
        <v>111.53466745319261</v>
      </c>
      <c r="H9706" s="441">
        <f t="shared" si="856"/>
        <v>1.6383495145631068</v>
      </c>
      <c r="I9706" s="445">
        <f t="shared" si="858"/>
        <v>182.73276827889566</v>
      </c>
      <c r="J9706" s="310">
        <f t="shared" si="859"/>
        <v>47.857142857142854</v>
      </c>
      <c r="K9706" s="445">
        <f>J9706/POBLA!$B$9*100000</f>
        <v>7.9077489093797935</v>
      </c>
    </row>
    <row r="9707" spans="1:11" s="393" customFormat="1" x14ac:dyDescent="0.25">
      <c r="A9707" s="402" t="s">
        <v>32</v>
      </c>
      <c r="B9707" s="2">
        <v>44297</v>
      </c>
      <c r="C9707" s="1">
        <v>57</v>
      </c>
      <c r="D9707" s="39">
        <f t="shared" si="849"/>
        <v>23037</v>
      </c>
      <c r="E9707" s="1">
        <v>1</v>
      </c>
      <c r="F9707" s="39">
        <f t="shared" si="857"/>
        <v>986</v>
      </c>
      <c r="G9707" s="436">
        <f>SUM(C9707,C9683,C9659,C9635,C9611,C9587,C9563,C9539,C9515,C9491,C9467,C9443,C9419,C9395)/POBLA!$B$10*100000</f>
        <v>96.123785642660806</v>
      </c>
      <c r="H9707" s="441">
        <f t="shared" si="856"/>
        <v>1.2048780487804878</v>
      </c>
      <c r="I9707" s="445">
        <f t="shared" si="858"/>
        <v>115.81743928652301</v>
      </c>
      <c r="J9707" s="310">
        <f t="shared" si="859"/>
        <v>55.714285714285715</v>
      </c>
      <c r="K9707" s="445">
        <f>J9707/POBLA!$B$10*100000</f>
        <v>7.2273523039594592</v>
      </c>
    </row>
    <row r="9708" spans="1:11" s="393" customFormat="1" x14ac:dyDescent="0.25">
      <c r="A9708" s="402" t="s">
        <v>33</v>
      </c>
      <c r="B9708" s="2">
        <v>44297</v>
      </c>
      <c r="C9708" s="1">
        <v>123</v>
      </c>
      <c r="D9708" s="39">
        <f t="shared" si="849"/>
        <v>22734</v>
      </c>
      <c r="E9708" s="1"/>
      <c r="F9708" s="39">
        <f t="shared" si="857"/>
        <v>330</v>
      </c>
      <c r="G9708" s="436">
        <f>SUM(C9708,C9684,C9660,C9636,C9612,C9588,C9564,C9540,C9516,C9492,C9468,C9444,C9420,C9396)/POBLA!$B$11*100000</f>
        <v>468.15538964589825</v>
      </c>
      <c r="H9708" s="441">
        <f t="shared" si="856"/>
        <v>1.3799342105263157</v>
      </c>
      <c r="I9708" s="445">
        <f t="shared" si="858"/>
        <v>646.02363801465231</v>
      </c>
      <c r="J9708" s="310">
        <f t="shared" si="859"/>
        <v>161.71428571428572</v>
      </c>
      <c r="K9708" s="445">
        <f>J9708/POBLA!$B$11*100000</f>
        <v>45.117648653086739</v>
      </c>
    </row>
    <row r="9709" spans="1:11" s="393" customFormat="1" x14ac:dyDescent="0.25">
      <c r="A9709" s="402" t="s">
        <v>21</v>
      </c>
      <c r="B9709" s="2">
        <v>44297</v>
      </c>
      <c r="C9709" s="1">
        <v>128</v>
      </c>
      <c r="D9709" s="39">
        <f t="shared" si="849"/>
        <v>12029</v>
      </c>
      <c r="E9709" s="1"/>
      <c r="F9709" s="39">
        <f t="shared" si="857"/>
        <v>451</v>
      </c>
      <c r="G9709" s="436">
        <f>SUM(C9709,C9685,C9661,C9637,C9613,C9589,C9565,C9541,C9517,C9493,C9469,C9445,C9421,C9397)/POBLA!$B$12*100000</f>
        <v>286.38150488779792</v>
      </c>
      <c r="H9709" s="441">
        <f t="shared" si="856"/>
        <v>3.0708446866485013</v>
      </c>
      <c r="I9709" s="445">
        <f t="shared" si="858"/>
        <v>879.43312263909604</v>
      </c>
      <c r="J9709" s="310">
        <f t="shared" si="859"/>
        <v>95.428571428571431</v>
      </c>
      <c r="K9709" s="445">
        <f>J9709/POBLA!$B$12*100000</f>
        <v>24.249314902401952</v>
      </c>
    </row>
    <row r="9710" spans="1:11" s="393" customFormat="1" x14ac:dyDescent="0.25">
      <c r="A9710" s="402" t="s">
        <v>17</v>
      </c>
      <c r="B9710" s="2">
        <v>44297</v>
      </c>
      <c r="C9710" s="1">
        <v>451</v>
      </c>
      <c r="D9710" s="39">
        <f t="shared" si="849"/>
        <v>80056</v>
      </c>
      <c r="E9710" s="1">
        <v>9</v>
      </c>
      <c r="F9710" s="39">
        <f t="shared" si="857"/>
        <v>1597</v>
      </c>
      <c r="G9710" s="436">
        <f>SUM(C9710,C9686,C9662,C9638,C9614,C9590,C9566,C9542,C9518,C9494,C9470,C9446,C9422,C9398)/POBLA!$B$13*100000</f>
        <v>412.69372337763741</v>
      </c>
      <c r="H9710" s="441">
        <f t="shared" si="856"/>
        <v>3.3201293451899758</v>
      </c>
      <c r="I9710" s="445">
        <f t="shared" si="858"/>
        <v>1370.1965415618083</v>
      </c>
      <c r="J9710" s="310">
        <f t="shared" si="859"/>
        <v>814.14285714285711</v>
      </c>
      <c r="K9710" s="445">
        <f>J9710/POBLA!$B$13*100000</f>
        <v>40.904753722375652</v>
      </c>
    </row>
    <row r="9711" spans="1:11" s="393" customFormat="1" x14ac:dyDescent="0.25">
      <c r="A9711" s="402" t="s">
        <v>23</v>
      </c>
      <c r="B9711" s="2">
        <v>44297</v>
      </c>
      <c r="C9711" s="1">
        <v>138</v>
      </c>
      <c r="D9711" s="39">
        <f t="shared" si="849"/>
        <v>13363</v>
      </c>
      <c r="E9711" s="1"/>
      <c r="F9711" s="39">
        <f t="shared" si="857"/>
        <v>221</v>
      </c>
      <c r="G9711" s="436">
        <f>SUM(C9711,C9687,C9663,C9639,C9615,C9591,C9567,C9543,C9519,C9495,C9471,C9447,C9423,C9399)/POBLA!$B$14*100000</f>
        <v>132.00728775368788</v>
      </c>
      <c r="H9711" s="441">
        <f t="shared" si="856"/>
        <v>0.96354166666666663</v>
      </c>
      <c r="I9711" s="445">
        <f t="shared" si="858"/>
        <v>127.19452205433467</v>
      </c>
      <c r="J9711" s="310">
        <f t="shared" si="859"/>
        <v>150.57142857142858</v>
      </c>
      <c r="K9711" s="445">
        <f>J9711/POBLA!$B$14*100000</f>
        <v>11.9378533927402</v>
      </c>
    </row>
    <row r="9712" spans="1:11" s="393" customFormat="1" x14ac:dyDescent="0.25">
      <c r="A9712" s="402" t="s">
        <v>19</v>
      </c>
      <c r="B9712" s="2">
        <v>44297</v>
      </c>
      <c r="C9712" s="1">
        <v>63</v>
      </c>
      <c r="D9712" s="39">
        <f t="shared" si="849"/>
        <v>66556</v>
      </c>
      <c r="E9712" s="1"/>
      <c r="F9712" s="39">
        <f t="shared" si="857"/>
        <v>1017</v>
      </c>
      <c r="G9712" s="436">
        <f>SUM(C9712,C9688,C9664,C9640,C9616,C9592,C9568,C9544,C9520,C9496,C9472,C9448,C9424,C9400)/POBLA!$B$15*100000</f>
        <v>253.7432780619736</v>
      </c>
      <c r="H9712" s="441">
        <f t="shared" si="856"/>
        <v>1.0156720916214588</v>
      </c>
      <c r="I9712" s="445">
        <f t="shared" si="858"/>
        <v>257.71996596409014</v>
      </c>
      <c r="J9712" s="310">
        <f t="shared" si="859"/>
        <v>151.14285714285714</v>
      </c>
      <c r="K9712" s="445">
        <f>J9712/POBLA!$B$15*100000</f>
        <v>22.760524645152017</v>
      </c>
    </row>
    <row r="9713" spans="1:11" s="393" customFormat="1" x14ac:dyDescent="0.25">
      <c r="A9713" s="402" t="s">
        <v>18</v>
      </c>
      <c r="B9713" s="2">
        <v>44297</v>
      </c>
      <c r="C9713" s="1">
        <v>76</v>
      </c>
      <c r="D9713" s="39">
        <f t="shared" si="849"/>
        <v>56780</v>
      </c>
      <c r="E9713" s="1"/>
      <c r="F9713" s="39">
        <f t="shared" si="857"/>
        <v>1303</v>
      </c>
      <c r="G9713" s="436">
        <f>SUM(C9713,C9689,C9665,C9641,C9617,C9593,C9569,C9545,C9521,C9497,C9473,C9449,C9425,C9401)/POBLA!$B$16*100000</f>
        <v>234.07926592742206</v>
      </c>
      <c r="H9713" s="441">
        <f t="shared" si="856"/>
        <v>1.4078841512469831</v>
      </c>
      <c r="I9713" s="445">
        <f t="shared" si="858"/>
        <v>329.55648863474545</v>
      </c>
      <c r="J9713" s="310">
        <f t="shared" si="859"/>
        <v>149.85714285714286</v>
      </c>
      <c r="K9713" s="445">
        <f>J9713/POBLA!$B$16*100000</f>
        <v>20.04482856798904</v>
      </c>
    </row>
    <row r="9714" spans="1:11" s="393" customFormat="1" x14ac:dyDescent="0.25">
      <c r="A9714" s="402" t="s">
        <v>34</v>
      </c>
      <c r="B9714" s="2">
        <v>44297</v>
      </c>
      <c r="C9714" s="1">
        <v>56</v>
      </c>
      <c r="D9714" s="39">
        <f t="shared" si="849"/>
        <v>31012</v>
      </c>
      <c r="E9714" s="1"/>
      <c r="F9714" s="39">
        <f t="shared" si="857"/>
        <v>1232</v>
      </c>
      <c r="G9714" s="436">
        <f>SUM(C9714,C9690,C9666,C9642,C9618,C9594,C9570,C9546,C9522,C9498,C9474,C9450,C9426,C9402)/POBLA!$B$17*100000</f>
        <v>142.79726789652042</v>
      </c>
      <c r="H9714" s="441">
        <f t="shared" ref="H9714:H9737" si="860">SUM(C9714,C9690,C9666,C9642,C9618,C9594,C9570,C9546,C9522,C9498,C9474,C9450,C9426,C9402)/SUM(C9378,C9354,C9330,C9306,C9282,C9258,C9234,C9210,C9186,C9162,C9138,C9114,C9090,C9066)</f>
        <v>1.5055514433752775</v>
      </c>
      <c r="I9714" s="445">
        <f t="shared" si="858"/>
        <v>214.98863279165249</v>
      </c>
      <c r="J9714" s="310">
        <f t="shared" si="859"/>
        <v>181.42857142857142</v>
      </c>
      <c r="K9714" s="445">
        <f>J9714/POBLA!$B$17*100000</f>
        <v>12.737219428893168</v>
      </c>
    </row>
    <row r="9715" spans="1:11" s="393" customFormat="1" x14ac:dyDescent="0.25">
      <c r="A9715" s="402" t="s">
        <v>35</v>
      </c>
      <c r="B9715" s="2">
        <v>44297</v>
      </c>
      <c r="C9715" s="1">
        <v>47</v>
      </c>
      <c r="D9715" s="39">
        <f t="shared" ref="D9715:D9778" si="861">C9715+D9691</f>
        <v>18784</v>
      </c>
      <c r="E9715" s="1"/>
      <c r="F9715" s="39">
        <f t="shared" si="857"/>
        <v>229</v>
      </c>
      <c r="G9715" s="436">
        <f>SUM(C9715,C9691,C9667,C9643,C9619,C9595,C9571,C9547,C9523,C9499,C9475,C9451,C9427,C9403)/POBLA!$B$18*100000</f>
        <v>250.63458680494665</v>
      </c>
      <c r="H9715" s="441">
        <f t="shared" si="860"/>
        <v>2.0567226890756301</v>
      </c>
      <c r="I9715" s="445">
        <f t="shared" si="858"/>
        <v>515.48584134882935</v>
      </c>
      <c r="J9715" s="310">
        <f t="shared" si="859"/>
        <v>186.71428571428572</v>
      </c>
      <c r="K9715" s="445">
        <f>J9715/POBLA!$B$18*100000</f>
        <v>23.900438125935011</v>
      </c>
    </row>
    <row r="9716" spans="1:11" s="393" customFormat="1" x14ac:dyDescent="0.25">
      <c r="A9716" s="402" t="s">
        <v>36</v>
      </c>
      <c r="B9716" s="2">
        <v>44297</v>
      </c>
      <c r="C9716" s="1">
        <v>364</v>
      </c>
      <c r="D9716" s="39">
        <f t="shared" si="861"/>
        <v>26358</v>
      </c>
      <c r="E9716" s="1"/>
      <c r="F9716" s="39">
        <f t="shared" si="857"/>
        <v>442</v>
      </c>
      <c r="G9716" s="436">
        <f>SUM(C9716,C9692,C9668,C9644,C9620,C9596,C9572,C9548,C9524,C9500,C9476,C9452,C9428,C9404)/POBLA!$B$19*100000</f>
        <v>788.66401221258718</v>
      </c>
      <c r="H9716" s="441">
        <f t="shared" si="860"/>
        <v>4.8243080625752102</v>
      </c>
      <c r="I9716" s="445">
        <f t="shared" si="858"/>
        <v>3804.7581527800985</v>
      </c>
      <c r="J9716" s="310">
        <f t="shared" si="859"/>
        <v>391.42857142857144</v>
      </c>
      <c r="K9716" s="445">
        <f>J9716/POBLA!$B$19*100000</f>
        <v>77.00314982227448</v>
      </c>
    </row>
    <row r="9717" spans="1:11" s="393" customFormat="1" x14ac:dyDescent="0.25">
      <c r="A9717" s="402" t="s">
        <v>37</v>
      </c>
      <c r="B9717" s="2">
        <v>44297</v>
      </c>
      <c r="C9717" s="1">
        <v>121</v>
      </c>
      <c r="D9717" s="39">
        <f t="shared" si="861"/>
        <v>40995</v>
      </c>
      <c r="E9717" s="1">
        <v>1</v>
      </c>
      <c r="F9717" s="39">
        <f t="shared" si="857"/>
        <v>661</v>
      </c>
      <c r="G9717" s="436">
        <f>SUM(C9717,C9693,C9669,C9645,C9621,C9597,C9573,C9549,C9525,C9501,C9477,C9453,C9429,C9405)/POBLA!$B$20*100000</f>
        <v>558.11079087115604</v>
      </c>
      <c r="H9717" s="441">
        <f t="shared" si="860"/>
        <v>1.3008285532186106</v>
      </c>
      <c r="I9717" s="445">
        <f t="shared" si="858"/>
        <v>726.00645262462047</v>
      </c>
      <c r="J9717" s="310">
        <f t="shared" si="859"/>
        <v>172.42857142857142</v>
      </c>
      <c r="K9717" s="445">
        <f>J9717/POBLA!$B$20*100000</f>
        <v>47.150537172358455</v>
      </c>
    </row>
    <row r="9718" spans="1:11" s="393" customFormat="1" x14ac:dyDescent="0.25">
      <c r="A9718" s="402" t="s">
        <v>22</v>
      </c>
      <c r="B9718" s="2">
        <v>44297</v>
      </c>
      <c r="C9718" s="1">
        <v>868</v>
      </c>
      <c r="D9718" s="39">
        <f t="shared" si="861"/>
        <v>242078</v>
      </c>
      <c r="E9718" s="1">
        <v>1</v>
      </c>
      <c r="F9718" s="39">
        <f t="shared" si="857"/>
        <v>4341</v>
      </c>
      <c r="G9718" s="436">
        <f>SUM(C9718,C9694,C9670,C9646,C9622,C9598,C9574,C9550,C9526,C9502,C9478,C9454,C9430,C9406)/POBLA!$B$21*100000</f>
        <v>365.36970459939971</v>
      </c>
      <c r="H9718" s="441">
        <f t="shared" si="860"/>
        <v>1.8882069267864972</v>
      </c>
      <c r="I9718" s="445">
        <f t="shared" si="858"/>
        <v>689.89360706252285</v>
      </c>
      <c r="J9718" s="310">
        <f t="shared" si="859"/>
        <v>1182.8571428571429</v>
      </c>
      <c r="K9718" s="445">
        <f>J9718/POBLA!$B$21*100000</f>
        <v>33.447888311199158</v>
      </c>
    </row>
    <row r="9719" spans="1:11" s="393" customFormat="1" x14ac:dyDescent="0.25">
      <c r="A9719" s="402" t="s">
        <v>38</v>
      </c>
      <c r="B9719" s="2">
        <v>44297</v>
      </c>
      <c r="C9719" s="1">
        <v>190</v>
      </c>
      <c r="D9719" s="39">
        <f t="shared" si="861"/>
        <v>26827</v>
      </c>
      <c r="E9719" s="1">
        <v>1</v>
      </c>
      <c r="F9719" s="39">
        <f t="shared" si="857"/>
        <v>305</v>
      </c>
      <c r="G9719" s="436">
        <f>SUM(C9719,C9695,C9671,C9647,C9623,C9599,C9575,C9551,C9527,C9503,C9479,C9455,C9431,C9407)/POBLA!$B$22*100000</f>
        <v>203.30916588044931</v>
      </c>
      <c r="H9719" s="441">
        <f t="shared" si="860"/>
        <v>1.4433962264150944</v>
      </c>
      <c r="I9719" s="445">
        <f t="shared" si="858"/>
        <v>293.45568282744097</v>
      </c>
      <c r="J9719" s="310">
        <f t="shared" si="859"/>
        <v>170.14285714285714</v>
      </c>
      <c r="K9719" s="445">
        <f>J9719/POBLA!$B$22*100000</f>
        <v>17.391454181111477</v>
      </c>
    </row>
    <row r="9720" spans="1:11" s="393" customFormat="1" x14ac:dyDescent="0.25">
      <c r="A9720" s="402" t="s">
        <v>39</v>
      </c>
      <c r="B9720" s="2">
        <v>44297</v>
      </c>
      <c r="C9720" s="1">
        <v>75</v>
      </c>
      <c r="D9720" s="39">
        <f t="shared" si="861"/>
        <v>24849</v>
      </c>
      <c r="E9720" s="1">
        <v>2</v>
      </c>
      <c r="F9720" s="39">
        <f t="shared" si="857"/>
        <v>372</v>
      </c>
      <c r="G9720" s="436">
        <f>SUM(C9720,C9696,C9672,C9648,C9624,C9600,C9576,C9552,C9528,C9504,C9480,C9456,C9432,C9408)/POBLA!$B$23*100000</f>
        <v>519.14267940960235</v>
      </c>
      <c r="H9720" s="441">
        <f t="shared" si="860"/>
        <v>1.6161971830985915</v>
      </c>
      <c r="I9720" s="445">
        <f t="shared" si="858"/>
        <v>839.03693608805452</v>
      </c>
      <c r="J9720" s="310">
        <f t="shared" si="859"/>
        <v>77.714285714285708</v>
      </c>
      <c r="K9720" s="445">
        <f>J9720/POBLA!$B$23*100000</f>
        <v>43.948586616685922</v>
      </c>
    </row>
    <row r="9721" spans="1:11" s="393" customFormat="1" ht="15.75" thickBot="1" x14ac:dyDescent="0.3">
      <c r="A9721" s="404" t="s">
        <v>40</v>
      </c>
      <c r="B9721" s="268">
        <v>44297</v>
      </c>
      <c r="C9721" s="44">
        <v>304</v>
      </c>
      <c r="D9721" s="177">
        <f t="shared" si="861"/>
        <v>93309</v>
      </c>
      <c r="E9721" s="44">
        <v>5</v>
      </c>
      <c r="F9721" s="177">
        <f t="shared" si="857"/>
        <v>1530</v>
      </c>
      <c r="G9721" s="439">
        <f>SUM(C9721,C9697,C9673,C9649,C9625,C9601,C9577,C9553,C9529,C9505,C9481,C9457,C9433,C9409)/POBLA!$B$24*100000</f>
        <v>406.04110804788701</v>
      </c>
      <c r="H9721" s="442">
        <f t="shared" si="860"/>
        <v>1.6107209737827715</v>
      </c>
      <c r="I9721" s="445">
        <f t="shared" si="858"/>
        <v>654.01892895072808</v>
      </c>
      <c r="J9721" s="310">
        <f t="shared" si="859"/>
        <v>592.14285714285711</v>
      </c>
      <c r="K9721" s="445">
        <f>J9721/POBLA!$B$24*100000</f>
        <v>34.941773265067191</v>
      </c>
    </row>
    <row r="9722" spans="1:11" s="393" customFormat="1" x14ac:dyDescent="0.25">
      <c r="A9722" s="409" t="s">
        <v>16</v>
      </c>
      <c r="B9722" s="269">
        <v>44298</v>
      </c>
      <c r="C9722" s="227">
        <v>9535</v>
      </c>
      <c r="D9722" s="264">
        <f t="shared" si="861"/>
        <v>1090012</v>
      </c>
      <c r="E9722" s="227">
        <v>54</v>
      </c>
      <c r="F9722" s="264">
        <f t="shared" ref="F9722:F9745" si="862">E9722+F9698</f>
        <v>29465</v>
      </c>
      <c r="G9722" s="454">
        <f>SUM(C9722,C9698,C9674,C9650,C9626,C9602,C9578,C9554,C9530,C9506,C9482,C9458,C9434,C9410)/POBLA!$B$1*100000</f>
        <v>658.15558976465661</v>
      </c>
      <c r="H9722" s="455">
        <f t="shared" si="860"/>
        <v>2.1123431038899256</v>
      </c>
      <c r="I9722" s="445">
        <f>G9722*H9722</f>
        <v>1390.2504213259792</v>
      </c>
      <c r="J9722" s="310">
        <f>AVERAGE(C9722,C9698,C9674,C9650,C9626,C9602,C9578)</f>
        <v>10502.714285714286</v>
      </c>
      <c r="K9722" s="445">
        <f>J9722/POBLA!$B$1*100000</f>
        <v>59.874749799424606</v>
      </c>
    </row>
    <row r="9723" spans="1:11" s="393" customFormat="1" x14ac:dyDescent="0.25">
      <c r="A9723" s="402" t="s">
        <v>43</v>
      </c>
      <c r="B9723" s="2">
        <v>44298</v>
      </c>
      <c r="C9723" s="1">
        <v>3358</v>
      </c>
      <c r="D9723" s="39">
        <f t="shared" si="861"/>
        <v>289134</v>
      </c>
      <c r="E9723" s="1">
        <v>37</v>
      </c>
      <c r="F9723" s="39">
        <f t="shared" si="862"/>
        <v>7095</v>
      </c>
      <c r="G9723" s="436">
        <f>SUM(C9723,C9699,C9675,C9651,C9627,C9603,C9579,C9555,C9531,C9507,C9483,C9459,C9435,C9411)/POBLA!$B$2*100000</f>
        <v>992.31185903709343</v>
      </c>
      <c r="H9723" s="441">
        <f t="shared" si="860"/>
        <v>1.9599280760339071</v>
      </c>
      <c r="I9723" s="445">
        <f t="shared" ref="I9723:I9745" si="863">G9723*H9723</f>
        <v>1944.8598727082001</v>
      </c>
      <c r="J9723" s="310">
        <f t="shared" ref="J9723:J9745" si="864">AVERAGE(C9723,C9699,C9675,C9651,C9627,C9603,C9579)</f>
        <v>2609.4285714285716</v>
      </c>
      <c r="K9723" s="445">
        <f>J9723/POBLA!$B$2*100000</f>
        <v>84.841642094980102</v>
      </c>
    </row>
    <row r="9724" spans="1:11" s="393" customFormat="1" x14ac:dyDescent="0.25">
      <c r="A9724" s="402" t="s">
        <v>28</v>
      </c>
      <c r="B9724" s="2">
        <v>44298</v>
      </c>
      <c r="C9724" s="1">
        <v>188</v>
      </c>
      <c r="D9724" s="39">
        <f t="shared" si="861"/>
        <v>11863</v>
      </c>
      <c r="E9724" s="1"/>
      <c r="F9724" s="39">
        <f t="shared" si="862"/>
        <v>18</v>
      </c>
      <c r="G9724" s="436">
        <f>SUM(C9724,C9700,C9676,C9652,C9628,C9604,C9580,C9556,C9532,C9508,C9484,C9460,C9436,C9412)/POBLA!$B$3*100000</f>
        <v>373.82232727867938</v>
      </c>
      <c r="H9724" s="441">
        <f t="shared" si="860"/>
        <v>1.3039462636439967</v>
      </c>
      <c r="I9724" s="445">
        <f t="shared" si="863"/>
        <v>487.44422692173725</v>
      </c>
      <c r="J9724" s="310">
        <f t="shared" si="864"/>
        <v>142</v>
      </c>
      <c r="K9724" s="445">
        <f>J9724/POBLA!$B$3*100000</f>
        <v>34.180792320394382</v>
      </c>
    </row>
    <row r="9725" spans="1:11" s="393" customFormat="1" x14ac:dyDescent="0.25">
      <c r="A9725" s="402" t="s">
        <v>15</v>
      </c>
      <c r="B9725" s="2">
        <v>44298</v>
      </c>
      <c r="C9725" s="1">
        <v>241</v>
      </c>
      <c r="D9725" s="39">
        <f t="shared" si="861"/>
        <v>40581</v>
      </c>
      <c r="E9725" s="1">
        <v>6</v>
      </c>
      <c r="F9725" s="39">
        <f t="shared" si="862"/>
        <v>973</v>
      </c>
      <c r="G9725" s="436">
        <f>SUM(C9725,C9701,C9677,C9653,C9629,C9605,C9581,C9557,C9533,C9509,C9485,C9461,C9437,C9413)/POBLA!$B$4*100000</f>
        <v>195.9252528556521</v>
      </c>
      <c r="H9725" s="441">
        <f t="shared" si="860"/>
        <v>1.093098656785549</v>
      </c>
      <c r="I9725" s="445">
        <f t="shared" si="863"/>
        <v>214.16563072688237</v>
      </c>
      <c r="J9725" s="310">
        <f t="shared" si="864"/>
        <v>210.14285714285714</v>
      </c>
      <c r="K9725" s="445">
        <f>J9725/POBLA!$B$4*100000</f>
        <v>17.445886619289599</v>
      </c>
    </row>
    <row r="9726" spans="1:11" s="393" customFormat="1" x14ac:dyDescent="0.25">
      <c r="A9726" s="402" t="s">
        <v>29</v>
      </c>
      <c r="B9726" s="2">
        <v>44298</v>
      </c>
      <c r="C9726" s="1">
        <v>164</v>
      </c>
      <c r="D9726" s="39">
        <f t="shared" si="861"/>
        <v>51507</v>
      </c>
      <c r="E9726" s="1">
        <v>4</v>
      </c>
      <c r="F9726" s="39">
        <f t="shared" si="862"/>
        <v>881</v>
      </c>
      <c r="G9726" s="436">
        <f>SUM(C9726,C9702,C9678,C9654,C9630,C9606,C9582,C9558,C9534,C9510,C9486,C9462,C9438,C9414)/POBLA!$B$5*100000</f>
        <v>281.26282322607324</v>
      </c>
      <c r="H9726" s="441">
        <f t="shared" si="860"/>
        <v>1.1491749174917492</v>
      </c>
      <c r="I9726" s="445">
        <f t="shared" si="863"/>
        <v>323.22018167431912</v>
      </c>
      <c r="J9726" s="310">
        <f t="shared" si="864"/>
        <v>145.42857142857142</v>
      </c>
      <c r="K9726" s="445">
        <f>J9726/POBLA!$B$5*100000</f>
        <v>23.494342663833805</v>
      </c>
    </row>
    <row r="9727" spans="1:11" s="393" customFormat="1" x14ac:dyDescent="0.25">
      <c r="A9727" s="402" t="s">
        <v>30</v>
      </c>
      <c r="B9727" s="2">
        <v>44298</v>
      </c>
      <c r="C9727" s="1">
        <v>70</v>
      </c>
      <c r="D9727" s="39">
        <f t="shared" si="861"/>
        <v>33301</v>
      </c>
      <c r="E9727" s="1">
        <v>12</v>
      </c>
      <c r="F9727" s="39">
        <f t="shared" si="862"/>
        <v>356</v>
      </c>
      <c r="G9727" s="436">
        <f>SUM(C9727,C9703,C9679,C9655,C9631,C9607,C9583,C9559,C9535,C9511,C9487,C9463,C9439,C9415)/POBLA!$B$6*100000</f>
        <v>394.53926254526897</v>
      </c>
      <c r="H9727" s="441">
        <f t="shared" si="860"/>
        <v>1.1485714285714286</v>
      </c>
      <c r="I9727" s="445">
        <f t="shared" si="863"/>
        <v>453.15652440913749</v>
      </c>
      <c r="J9727" s="310">
        <f t="shared" si="864"/>
        <v>338.42857142857144</v>
      </c>
      <c r="K9727" s="445">
        <f>J9727/POBLA!$B$6*100000</f>
        <v>30.195241744838864</v>
      </c>
    </row>
    <row r="9728" spans="1:11" s="393" customFormat="1" x14ac:dyDescent="0.25">
      <c r="A9728" s="402" t="s">
        <v>20</v>
      </c>
      <c r="B9728" s="2">
        <v>44298</v>
      </c>
      <c r="C9728" s="1">
        <v>1300</v>
      </c>
      <c r="D9728" s="39">
        <f t="shared" si="861"/>
        <v>196527</v>
      </c>
      <c r="E9728" s="1">
        <v>11</v>
      </c>
      <c r="F9728" s="39">
        <f t="shared" si="862"/>
        <v>3116</v>
      </c>
      <c r="G9728" s="436">
        <f>SUM(C9728,C9704,C9680,C9656,C9632,C9608,C9584,C9560,C9536,C9512,C9488,C9464,C9440,C9416)/POBLA!$B$7*100000</f>
        <v>478.13426584584295</v>
      </c>
      <c r="H9728" s="441">
        <f t="shared" si="860"/>
        <v>1.7481769567331065</v>
      </c>
      <c r="I9728" s="445">
        <f t="shared" si="863"/>
        <v>835.86330577620379</v>
      </c>
      <c r="J9728" s="310">
        <f t="shared" si="864"/>
        <v>1659.2857142857142</v>
      </c>
      <c r="K9728" s="445">
        <f>J9728/POBLA!$B$7*100000</f>
        <v>44.124658333064239</v>
      </c>
    </row>
    <row r="9729" spans="1:11" x14ac:dyDescent="0.25">
      <c r="A9729" s="402" t="s">
        <v>31</v>
      </c>
      <c r="B9729" s="2">
        <v>44298</v>
      </c>
      <c r="C9729" s="1">
        <v>231</v>
      </c>
      <c r="D9729" s="39">
        <f t="shared" si="861"/>
        <v>53303</v>
      </c>
      <c r="E9729" s="1">
        <v>6</v>
      </c>
      <c r="F9729" s="39">
        <f t="shared" si="862"/>
        <v>969</v>
      </c>
      <c r="G9729" s="169">
        <f>SUM(C9729,C9705,C9681,C9657,C9633,C9609,C9585,C9561,C9537,C9513,C9489,C9465,C9441,C9417)/POBLA!$B$8*100000</f>
        <v>279.08433209881088</v>
      </c>
      <c r="H9729" s="518">
        <f t="shared" si="860"/>
        <v>1.5839475839475838</v>
      </c>
      <c r="I9729" s="310">
        <f t="shared" si="863"/>
        <v>442.05495354553659</v>
      </c>
      <c r="J9729" s="310">
        <f t="shared" si="864"/>
        <v>370.85714285714283</v>
      </c>
      <c r="K9729" s="310">
        <f>J9729/POBLA!$B$8*100000</f>
        <v>26.75812254869674</v>
      </c>
    </row>
    <row r="9730" spans="1:11" s="393" customFormat="1" x14ac:dyDescent="0.25">
      <c r="A9730" s="402" t="s">
        <v>41</v>
      </c>
      <c r="B9730" s="2">
        <v>44298</v>
      </c>
      <c r="C9730" s="1">
        <v>348</v>
      </c>
      <c r="D9730" s="39">
        <f t="shared" si="861"/>
        <v>3002</v>
      </c>
      <c r="E9730" s="1"/>
      <c r="F9730" s="39">
        <f t="shared" si="862"/>
        <v>49</v>
      </c>
      <c r="G9730" s="436">
        <f>SUM(C9730,C9706,C9682,C9658,C9634,C9610,C9586,C9562,C9538,C9514,C9490,C9466,C9442,C9418)/POBLA!$B$9*100000</f>
        <v>156.64424406759497</v>
      </c>
      <c r="H9730" s="441">
        <f t="shared" si="860"/>
        <v>2.0835164835164837</v>
      </c>
      <c r="I9730" s="445">
        <f t="shared" si="863"/>
        <v>326.37086456281327</v>
      </c>
      <c r="J9730" s="310">
        <f t="shared" si="864"/>
        <v>93.285714285714292</v>
      </c>
      <c r="K9730" s="445">
        <f>J9730/POBLA!$B$9*100000</f>
        <v>15.414209068134344</v>
      </c>
    </row>
    <row r="9731" spans="1:11" s="393" customFormat="1" x14ac:dyDescent="0.25">
      <c r="A9731" s="402" t="s">
        <v>32</v>
      </c>
      <c r="B9731" s="2">
        <v>44298</v>
      </c>
      <c r="C9731" s="1">
        <v>72</v>
      </c>
      <c r="D9731" s="39">
        <f t="shared" si="861"/>
        <v>23109</v>
      </c>
      <c r="E9731" s="1">
        <v>3</v>
      </c>
      <c r="F9731" s="39">
        <f t="shared" si="862"/>
        <v>989</v>
      </c>
      <c r="G9731" s="436">
        <f>SUM(C9731,C9707,C9683,C9659,C9635,C9611,C9587,C9563,C9539,C9515,C9491,C9467,C9443,C9419)/POBLA!$B$10*100000</f>
        <v>101.83154079553135</v>
      </c>
      <c r="H9731" s="441">
        <f t="shared" si="860"/>
        <v>1.2764227642276422</v>
      </c>
      <c r="I9731" s="445">
        <f t="shared" si="863"/>
        <v>129.98009678779204</v>
      </c>
      <c r="J9731" s="310">
        <f t="shared" si="864"/>
        <v>59.428571428571431</v>
      </c>
      <c r="K9731" s="445">
        <f>J9731/POBLA!$B$10*100000</f>
        <v>7.7091757908900895</v>
      </c>
    </row>
    <row r="9732" spans="1:11" s="393" customFormat="1" x14ac:dyDescent="0.25">
      <c r="A9732" s="402" t="s">
        <v>33</v>
      </c>
      <c r="B9732" s="2">
        <v>44298</v>
      </c>
      <c r="C9732" s="1">
        <v>69</v>
      </c>
      <c r="D9732" s="39">
        <f t="shared" si="861"/>
        <v>22803</v>
      </c>
      <c r="E9732" s="1">
        <v>2</v>
      </c>
      <c r="F9732" s="39">
        <f t="shared" si="862"/>
        <v>332</v>
      </c>
      <c r="G9732" s="436">
        <f>SUM(C9732,C9708,C9684,C9660,C9636,C9612,C9588,C9564,C9540,C9516,C9492,C9468,C9444,C9420)/POBLA!$B$11*100000</f>
        <v>458.94851964690258</v>
      </c>
      <c r="H9732" s="441">
        <f t="shared" si="860"/>
        <v>1.3662790697674418</v>
      </c>
      <c r="I9732" s="445">
        <f t="shared" si="863"/>
        <v>627.05175649431453</v>
      </c>
      <c r="J9732" s="310">
        <f t="shared" si="864"/>
        <v>151.85714285714286</v>
      </c>
      <c r="K9732" s="445">
        <f>J9732/POBLA!$B$11*100000</f>
        <v>42.36754462741272</v>
      </c>
    </row>
    <row r="9733" spans="1:11" s="393" customFormat="1" x14ac:dyDescent="0.25">
      <c r="A9733" s="402" t="s">
        <v>21</v>
      </c>
      <c r="B9733" s="2">
        <v>44298</v>
      </c>
      <c r="C9733" s="1">
        <v>12</v>
      </c>
      <c r="D9733" s="39">
        <f t="shared" si="861"/>
        <v>12041</v>
      </c>
      <c r="E9733" s="1"/>
      <c r="F9733" s="39">
        <f t="shared" si="862"/>
        <v>451</v>
      </c>
      <c r="G9733" s="436">
        <f>SUM(C9733,C9709,C9685,C9661,C9637,C9613,C9589,C9565,C9541,C9517,C9493,C9469,C9445,C9421)/POBLA!$B$12*100000</f>
        <v>262.49520368153969</v>
      </c>
      <c r="H9733" s="441">
        <f t="shared" si="860"/>
        <v>2.2505446623093683</v>
      </c>
      <c r="I9733" s="445">
        <f t="shared" si="863"/>
        <v>590.75717952729963</v>
      </c>
      <c r="J9733" s="310">
        <f t="shared" si="864"/>
        <v>91</v>
      </c>
      <c r="K9733" s="445">
        <f>J9733/POBLA!$B$12*100000</f>
        <v>23.123972444356355</v>
      </c>
    </row>
    <row r="9734" spans="1:11" s="393" customFormat="1" x14ac:dyDescent="0.25">
      <c r="A9734" s="402" t="s">
        <v>17</v>
      </c>
      <c r="B9734" s="2">
        <v>44298</v>
      </c>
      <c r="C9734" s="1">
        <v>639</v>
      </c>
      <c r="D9734" s="39">
        <f t="shared" si="861"/>
        <v>80695</v>
      </c>
      <c r="E9734" s="1">
        <v>9</v>
      </c>
      <c r="F9734" s="39">
        <f t="shared" si="862"/>
        <v>1606</v>
      </c>
      <c r="G9734" s="436">
        <f>SUM(C9734,C9710,C9686,C9662,C9638,C9614,C9590,C9566,C9542,C9518,C9494,C9470,C9446,C9422)/POBLA!$B$13*100000</f>
        <v>426.05828758733441</v>
      </c>
      <c r="H9734" s="441">
        <f t="shared" si="860"/>
        <v>3.1153563556208672</v>
      </c>
      <c r="I9734" s="445">
        <f t="shared" si="863"/>
        <v>1327.3233941001454</v>
      </c>
      <c r="J9734" s="310">
        <f t="shared" si="864"/>
        <v>820.14285714285711</v>
      </c>
      <c r="K9734" s="445">
        <f>J9734/POBLA!$B$13*100000</f>
        <v>41.206210057932729</v>
      </c>
    </row>
    <row r="9735" spans="1:11" s="393" customFormat="1" x14ac:dyDescent="0.25">
      <c r="A9735" s="402" t="s">
        <v>23</v>
      </c>
      <c r="B9735" s="2">
        <v>44298</v>
      </c>
      <c r="C9735" s="1">
        <v>117</v>
      </c>
      <c r="D9735" s="39">
        <f t="shared" si="861"/>
        <v>13480</v>
      </c>
      <c r="E9735" s="1">
        <v>2</v>
      </c>
      <c r="F9735" s="39">
        <f t="shared" si="862"/>
        <v>223</v>
      </c>
      <c r="G9735" s="436">
        <f>SUM(C9735,C9711,C9687,C9663,C9639,C9615,C9591,C9567,C9543,C9519,C9495,C9471,C9447,C9423)/POBLA!$B$14*100000</f>
        <v>131.29373484691121</v>
      </c>
      <c r="H9735" s="441">
        <f t="shared" si="860"/>
        <v>0.95391705069124422</v>
      </c>
      <c r="I9735" s="445">
        <f t="shared" si="863"/>
        <v>125.24333231940378</v>
      </c>
      <c r="J9735" s="310">
        <f t="shared" si="864"/>
        <v>154.85714285714286</v>
      </c>
      <c r="K9735" s="445">
        <f>J9735/POBLA!$B$14*100000</f>
        <v>12.277640491205291</v>
      </c>
    </row>
    <row r="9736" spans="1:11" s="393" customFormat="1" x14ac:dyDescent="0.25">
      <c r="A9736" s="402" t="s">
        <v>19</v>
      </c>
      <c r="B9736" s="2">
        <v>44298</v>
      </c>
      <c r="C9736" s="1">
        <v>102</v>
      </c>
      <c r="D9736" s="39">
        <f t="shared" si="861"/>
        <v>66658</v>
      </c>
      <c r="E9736" s="1"/>
      <c r="F9736" s="39">
        <f t="shared" si="862"/>
        <v>1017</v>
      </c>
      <c r="G9736" s="436">
        <f>SUM(C9736,C9712,C9688,C9664,C9640,C9616,C9592,C9568,C9544,C9520,C9496,C9472,C9448,C9424)/POBLA!$B$15*100000</f>
        <v>250.88207789391572</v>
      </c>
      <c r="H9736" s="441">
        <f t="shared" si="860"/>
        <v>1.0054315027157514</v>
      </c>
      <c r="I9736" s="445">
        <f t="shared" si="863"/>
        <v>252.24474458132988</v>
      </c>
      <c r="J9736" s="310">
        <f t="shared" si="864"/>
        <v>138.28571428571428</v>
      </c>
      <c r="K9736" s="445">
        <f>J9736/POBLA!$B$15*100000</f>
        <v>20.824374155488801</v>
      </c>
    </row>
    <row r="9737" spans="1:11" s="393" customFormat="1" x14ac:dyDescent="0.25">
      <c r="A9737" s="402" t="s">
        <v>18</v>
      </c>
      <c r="B9737" s="2">
        <v>44298</v>
      </c>
      <c r="C9737" s="1">
        <v>162</v>
      </c>
      <c r="D9737" s="39">
        <f t="shared" si="861"/>
        <v>56942</v>
      </c>
      <c r="E9737" s="1">
        <v>3</v>
      </c>
      <c r="F9737" s="39">
        <f t="shared" si="862"/>
        <v>1306</v>
      </c>
      <c r="G9737" s="436">
        <f>SUM(C9737,C9713,C9689,C9665,C9641,C9617,C9593,C9569,C9545,C9521,C9497,C9473,C9449,C9425)/POBLA!$B$16*100000</f>
        <v>234.07926592742206</v>
      </c>
      <c r="H9737" s="441">
        <f t="shared" si="860"/>
        <v>1.3348588863463005</v>
      </c>
      <c r="I9737" s="445">
        <f t="shared" si="863"/>
        <v>312.4627882326381</v>
      </c>
      <c r="J9737" s="310">
        <f t="shared" si="864"/>
        <v>152</v>
      </c>
      <c r="K9737" s="445">
        <f>J9737/POBLA!$B$16*100000</f>
        <v>20.33145624055323</v>
      </c>
    </row>
    <row r="9738" spans="1:11" s="393" customFormat="1" x14ac:dyDescent="0.25">
      <c r="A9738" s="402" t="s">
        <v>34</v>
      </c>
      <c r="B9738" s="2">
        <v>44298</v>
      </c>
      <c r="C9738" s="1">
        <v>98</v>
      </c>
      <c r="D9738" s="39">
        <f t="shared" si="861"/>
        <v>31110</v>
      </c>
      <c r="E9738" s="1">
        <v>5</v>
      </c>
      <c r="F9738" s="39">
        <f t="shared" si="862"/>
        <v>1237</v>
      </c>
      <c r="G9738" s="436">
        <f>SUM(C9738,C9714,C9690,C9666,C9642,C9618,C9594,C9570,C9546,C9522,C9498,C9474,C9450,C9426)/POBLA!$B$17*100000</f>
        <v>139.35721572005559</v>
      </c>
      <c r="H9738" s="441">
        <f t="shared" ref="H9738:H9761" si="865">SUM(C9738,C9714,C9690,C9666,C9642,C9618,C9594,C9570,C9546,C9522,C9498,C9474,C9450,C9426)/SUM(C9402,C9378,C9354,C9330,C9306,C9282,C9258,C9234,C9210,C9186,C9162,C9138,C9114,C9090)</f>
        <v>1.3832752613240418</v>
      </c>
      <c r="I9738" s="445">
        <f t="shared" si="863"/>
        <v>192.76938899255077</v>
      </c>
      <c r="J9738" s="310">
        <f t="shared" si="864"/>
        <v>183.71428571428572</v>
      </c>
      <c r="K9738" s="445">
        <f>J9738/POBLA!$B$17*100000</f>
        <v>12.897688335083949</v>
      </c>
    </row>
    <row r="9739" spans="1:11" s="393" customFormat="1" x14ac:dyDescent="0.25">
      <c r="A9739" s="402" t="s">
        <v>35</v>
      </c>
      <c r="B9739" s="2">
        <v>44298</v>
      </c>
      <c r="C9739" s="1">
        <v>173</v>
      </c>
      <c r="D9739" s="39">
        <f t="shared" si="861"/>
        <v>18957</v>
      </c>
      <c r="E9739" s="1">
        <v>4</v>
      </c>
      <c r="F9739" s="39">
        <f t="shared" si="862"/>
        <v>233</v>
      </c>
      <c r="G9739" s="436">
        <f>SUM(C9739,C9715,C9691,C9667,C9643,C9619,C9595,C9571,C9547,C9523,C9499,C9475,C9451,C9427)/POBLA!$B$18*100000</f>
        <v>252.55466790917248</v>
      </c>
      <c r="H9739" s="441">
        <f t="shared" si="865"/>
        <v>1.8952929875120077</v>
      </c>
      <c r="I9739" s="445">
        <f t="shared" si="863"/>
        <v>478.66509105167847</v>
      </c>
      <c r="J9739" s="310">
        <f t="shared" si="864"/>
        <v>190.85714285714286</v>
      </c>
      <c r="K9739" s="445">
        <f>J9739/POBLA!$B$18*100000</f>
        <v>24.430746240435479</v>
      </c>
    </row>
    <row r="9740" spans="1:11" s="393" customFormat="1" x14ac:dyDescent="0.25">
      <c r="A9740" s="402" t="s">
        <v>36</v>
      </c>
      <c r="B9740" s="2">
        <v>44298</v>
      </c>
      <c r="C9740" s="1">
        <v>556</v>
      </c>
      <c r="D9740" s="39">
        <f t="shared" si="861"/>
        <v>26914</v>
      </c>
      <c r="E9740" s="1">
        <v>1</v>
      </c>
      <c r="F9740" s="39">
        <f t="shared" si="862"/>
        <v>443</v>
      </c>
      <c r="G9740" s="436">
        <f>SUM(C9740,C9716,C9692,C9668,C9644,C9620,C9596,C9572,C9548,C9524,C9500,C9476,C9452,C9428)/POBLA!$B$19*100000</f>
        <v>860.46804425489051</v>
      </c>
      <c r="H9740" s="441">
        <f t="shared" si="865"/>
        <v>4.2840352595494613</v>
      </c>
      <c r="I9740" s="445">
        <f t="shared" si="863"/>
        <v>3686.2754413035173</v>
      </c>
      <c r="J9740" s="310">
        <f t="shared" si="864"/>
        <v>432.28571428571428</v>
      </c>
      <c r="K9740" s="445">
        <f>J9740/POBLA!$B$19*100000</f>
        <v>85.040704876716262</v>
      </c>
    </row>
    <row r="9741" spans="1:11" s="393" customFormat="1" x14ac:dyDescent="0.25">
      <c r="A9741" s="402" t="s">
        <v>37</v>
      </c>
      <c r="B9741" s="2">
        <v>44298</v>
      </c>
      <c r="C9741" s="1">
        <v>115</v>
      </c>
      <c r="D9741" s="39">
        <f t="shared" si="861"/>
        <v>41110</v>
      </c>
      <c r="E9741" s="1">
        <v>5</v>
      </c>
      <c r="F9741" s="39">
        <f t="shared" si="862"/>
        <v>666</v>
      </c>
      <c r="G9741" s="436">
        <f>SUM(C9741,C9717,C9693,C9669,C9645,C9621,C9597,C9573,C9549,C9525,C9501,C9477,C9453,C9429)/POBLA!$B$20*100000</f>
        <v>541.97725992485607</v>
      </c>
      <c r="H9741" s="441">
        <f t="shared" si="865"/>
        <v>1.1946955997588908</v>
      </c>
      <c r="I9741" s="445">
        <f t="shared" si="863"/>
        <v>647.49784760160617</v>
      </c>
      <c r="J9741" s="310">
        <f t="shared" si="864"/>
        <v>162.14285714285714</v>
      </c>
      <c r="K9741" s="445">
        <f>J9741/POBLA!$B$20*100000</f>
        <v>44.337911922640302</v>
      </c>
    </row>
    <row r="9742" spans="1:11" s="393" customFormat="1" x14ac:dyDescent="0.25">
      <c r="A9742" s="402" t="s">
        <v>22</v>
      </c>
      <c r="B9742" s="2">
        <v>44298</v>
      </c>
      <c r="C9742" s="1">
        <v>1104</v>
      </c>
      <c r="D9742" s="39">
        <f t="shared" si="861"/>
        <v>243182</v>
      </c>
      <c r="E9742" s="1">
        <v>9</v>
      </c>
      <c r="F9742" s="39">
        <f t="shared" si="862"/>
        <v>4350</v>
      </c>
      <c r="G9742" s="436">
        <f>SUM(C9742,C9718,C9694,C9670,C9646,C9622,C9598,C9574,C9550,C9526,C9502,C9478,C9454,C9430)/POBLA!$B$21*100000</f>
        <v>372.01484666122616</v>
      </c>
      <c r="H9742" s="441">
        <f t="shared" si="865"/>
        <v>1.782897411573384</v>
      </c>
      <c r="I9742" s="445">
        <f t="shared" si="863"/>
        <v>663.26430717916946</v>
      </c>
      <c r="J9742" s="310">
        <f t="shared" si="864"/>
        <v>1220.1428571428571</v>
      </c>
      <c r="K9742" s="445">
        <f>J9742/POBLA!$B$21*100000</f>
        <v>34.502223921008692</v>
      </c>
    </row>
    <row r="9743" spans="1:11" s="393" customFormat="1" x14ac:dyDescent="0.25">
      <c r="A9743" s="402" t="s">
        <v>38</v>
      </c>
      <c r="B9743" s="2">
        <v>44298</v>
      </c>
      <c r="C9743" s="1">
        <v>119</v>
      </c>
      <c r="D9743" s="39">
        <f t="shared" si="861"/>
        <v>26946</v>
      </c>
      <c r="E9743" s="1">
        <v>2</v>
      </c>
      <c r="F9743" s="39">
        <f t="shared" si="862"/>
        <v>307</v>
      </c>
      <c r="G9743" s="436">
        <f>SUM(C9743,C9719,C9695,C9671,C9647,C9623,C9599,C9575,C9551,C9527,C9503,C9479,C9455,C9431)/POBLA!$B$22*100000</f>
        <v>205.96680203574928</v>
      </c>
      <c r="H9743" s="441">
        <f t="shared" si="865"/>
        <v>1.4392857142857143</v>
      </c>
      <c r="I9743" s="445">
        <f t="shared" si="863"/>
        <v>296.4450757871677</v>
      </c>
      <c r="J9743" s="310">
        <f t="shared" si="864"/>
        <v>169.71428571428572</v>
      </c>
      <c r="K9743" s="445">
        <f>J9743/POBLA!$B$22*100000</f>
        <v>17.347646991738401</v>
      </c>
    </row>
    <row r="9744" spans="1:11" s="393" customFormat="1" x14ac:dyDescent="0.25">
      <c r="A9744" s="402" t="s">
        <v>39</v>
      </c>
      <c r="B9744" s="2">
        <v>44298</v>
      </c>
      <c r="C9744" s="1">
        <v>104</v>
      </c>
      <c r="D9744" s="39">
        <f t="shared" si="861"/>
        <v>24953</v>
      </c>
      <c r="E9744" s="1"/>
      <c r="F9744" s="39">
        <f t="shared" si="862"/>
        <v>372</v>
      </c>
      <c r="G9744" s="436">
        <f>SUM(C9744,C9720,C9696,C9672,C9648,C9624,C9600,C9576,C9552,C9528,C9504,C9480,C9456,C9432)/POBLA!$B$23*100000</f>
        <v>547.41842447548493</v>
      </c>
      <c r="H9744" s="441">
        <f t="shared" si="865"/>
        <v>1.6490630323679727</v>
      </c>
      <c r="I9744" s="445">
        <f t="shared" si="863"/>
        <v>902.72748703964123</v>
      </c>
      <c r="J9744" s="310">
        <f t="shared" si="864"/>
        <v>84.142857142857139</v>
      </c>
      <c r="K9744" s="445">
        <f>J9744/POBLA!$B$23*100000</f>
        <v>47.584039553727955</v>
      </c>
    </row>
    <row r="9745" spans="1:11" s="393" customFormat="1" ht="15.75" thickBot="1" x14ac:dyDescent="0.3">
      <c r="A9745" s="404" t="s">
        <v>40</v>
      </c>
      <c r="B9745" s="34">
        <v>44298</v>
      </c>
      <c r="C9745" s="44">
        <v>560</v>
      </c>
      <c r="D9745" s="177">
        <f t="shared" si="861"/>
        <v>93869</v>
      </c>
      <c r="E9745" s="44">
        <v>4</v>
      </c>
      <c r="F9745" s="177">
        <f t="shared" si="862"/>
        <v>1534</v>
      </c>
      <c r="G9745" s="439">
        <f>SUM(C9745,C9721,C9697,C9673,C9649,C9625,C9601,C9577,C9553,C9529,C9505,C9481,C9457,C9433)/POBLA!$B$24*100000</f>
        <v>417.7839042259904</v>
      </c>
      <c r="H9745" s="442">
        <f t="shared" si="865"/>
        <v>1.6179159049360146</v>
      </c>
      <c r="I9745" s="445">
        <f t="shared" si="863"/>
        <v>675.93922347349451</v>
      </c>
      <c r="J9745" s="310">
        <f t="shared" si="864"/>
        <v>609.28571428571433</v>
      </c>
      <c r="K9745" s="445">
        <f>J9745/POBLA!$B$24*100000</f>
        <v>35.953356568277826</v>
      </c>
    </row>
    <row r="9746" spans="1:11" s="393" customFormat="1" x14ac:dyDescent="0.25">
      <c r="A9746" s="409" t="s">
        <v>16</v>
      </c>
      <c r="B9746" s="2">
        <v>44299</v>
      </c>
      <c r="C9746" s="227">
        <v>14004</v>
      </c>
      <c r="D9746" s="264">
        <f t="shared" si="861"/>
        <v>1104016</v>
      </c>
      <c r="E9746" s="227">
        <v>112</v>
      </c>
      <c r="F9746" s="264">
        <f t="shared" ref="F9746:F9769" si="866">E9746+F9722</f>
        <v>29577</v>
      </c>
      <c r="G9746" s="454">
        <f>SUM(C9746,C9722,C9698,C9674,C9650,C9626,C9602,C9578,C9554,C9530,C9506,C9482,C9458,C9434)/POBLA!$B$1*100000</f>
        <v>709.82839713790565</v>
      </c>
      <c r="H9746" s="455">
        <f t="shared" si="865"/>
        <v>2.2301189282132112</v>
      </c>
      <c r="I9746" s="445">
        <f>G9746*H9746</f>
        <v>1583.0017442404878</v>
      </c>
      <c r="J9746" s="310">
        <f>AVERAGE(C9746,C9722,C9698,C9674,C9650,C9626,C9602)</f>
        <v>11017.285714285714</v>
      </c>
      <c r="K9746" s="445">
        <f>J9746/POBLA!$B$1*100000</f>
        <v>62.808261528059738</v>
      </c>
    </row>
    <row r="9747" spans="1:11" s="393" customFormat="1" x14ac:dyDescent="0.25">
      <c r="A9747" s="402" t="s">
        <v>43</v>
      </c>
      <c r="B9747" s="2">
        <v>44299</v>
      </c>
      <c r="C9747" s="1">
        <v>2934</v>
      </c>
      <c r="D9747" s="39">
        <f t="shared" si="861"/>
        <v>292068</v>
      </c>
      <c r="E9747" s="1">
        <v>27</v>
      </c>
      <c r="F9747" s="39">
        <f t="shared" si="866"/>
        <v>7122</v>
      </c>
      <c r="G9747" s="436">
        <f>SUM(C9747,C9723,C9699,C9675,C9651,C9627,C9603,C9579,C9555,C9531,C9507,C9483,C9459,C9435)/POBLA!$B$2*100000</f>
        <v>1054.8027959004385</v>
      </c>
      <c r="H9747" s="441">
        <f t="shared" si="865"/>
        <v>2.077351604021259</v>
      </c>
      <c r="I9747" s="445">
        <f t="shared" ref="I9747:I9769" si="867">G9747*H9747</f>
        <v>2191.1962799898843</v>
      </c>
      <c r="J9747" s="310">
        <f t="shared" ref="J9747:J9769" si="868">AVERAGE(C9747,C9723,C9699,C9675,C9651,C9627,C9603)</f>
        <v>2702.7142857142858</v>
      </c>
      <c r="K9747" s="445">
        <f>J9747/POBLA!$B$2*100000</f>
        <v>87.874686674418498</v>
      </c>
    </row>
    <row r="9748" spans="1:11" s="393" customFormat="1" x14ac:dyDescent="0.25">
      <c r="A9748" s="402" t="s">
        <v>28</v>
      </c>
      <c r="B9748" s="2">
        <v>44299</v>
      </c>
      <c r="C9748" s="1">
        <v>155</v>
      </c>
      <c r="D9748" s="39">
        <f t="shared" si="861"/>
        <v>12018</v>
      </c>
      <c r="E9748" s="1"/>
      <c r="F9748" s="39">
        <f t="shared" si="866"/>
        <v>18</v>
      </c>
      <c r="G9748" s="436">
        <f>SUM(C9748,C9724,C9700,C9676,C9652,C9628,C9604,C9580,C9556,C9532,C9508,C9484,C9460,C9436)/POBLA!$B$3*100000</f>
        <v>394.04195090482813</v>
      </c>
      <c r="H9748" s="441">
        <f t="shared" si="865"/>
        <v>1.4422907488986785</v>
      </c>
      <c r="I9748" s="445">
        <f t="shared" si="867"/>
        <v>568.32306046802091</v>
      </c>
      <c r="J9748" s="310">
        <f t="shared" si="868"/>
        <v>146.42857142857142</v>
      </c>
      <c r="K9748" s="445">
        <f>J9748/POBLA!$B$3*100000</f>
        <v>35.246792885718548</v>
      </c>
    </row>
    <row r="9749" spans="1:11" s="393" customFormat="1" x14ac:dyDescent="0.25">
      <c r="A9749" s="402" t="s">
        <v>15</v>
      </c>
      <c r="B9749" s="2">
        <v>44299</v>
      </c>
      <c r="C9749" s="1">
        <v>250</v>
      </c>
      <c r="D9749" s="39">
        <f t="shared" si="861"/>
        <v>40831</v>
      </c>
      <c r="E9749" s="1">
        <v>4</v>
      </c>
      <c r="F9749" s="39">
        <f t="shared" si="866"/>
        <v>977</v>
      </c>
      <c r="G9749" s="436">
        <f>SUM(C9749,C9725,C9701,C9677,C9653,C9629,C9605,C9581,C9557,C9533,C9509,C9485,C9461,C9437)/POBLA!$B$4*100000</f>
        <v>208.71020579623277</v>
      </c>
      <c r="H9749" s="441">
        <f t="shared" si="865"/>
        <v>1.1797278273111216</v>
      </c>
      <c r="I9749" s="445">
        <f t="shared" si="867"/>
        <v>246.22123762164674</v>
      </c>
      <c r="J9749" s="310">
        <f t="shared" si="868"/>
        <v>213.14285714285714</v>
      </c>
      <c r="K9749" s="445">
        <f>J9749/POBLA!$B$4*100000</f>
        <v>17.694944144106106</v>
      </c>
    </row>
    <row r="9750" spans="1:11" s="393" customFormat="1" x14ac:dyDescent="0.25">
      <c r="A9750" s="402" t="s">
        <v>29</v>
      </c>
      <c r="B9750" s="2">
        <v>44299</v>
      </c>
      <c r="C9750" s="1">
        <v>220</v>
      </c>
      <c r="D9750" s="39">
        <f t="shared" si="861"/>
        <v>51727</v>
      </c>
      <c r="E9750" s="1"/>
      <c r="F9750" s="39">
        <f t="shared" si="866"/>
        <v>881</v>
      </c>
      <c r="G9750" s="436">
        <f>SUM(C9750,C9726,C9702,C9678,C9654,C9630,C9606,C9582,C9558,C9534,C9510,C9486,C9462,C9438)/POBLA!$B$5*100000</f>
        <v>295.47943921912008</v>
      </c>
      <c r="H9750" s="441">
        <f t="shared" si="865"/>
        <v>1.1822882999353588</v>
      </c>
      <c r="I9750" s="445">
        <f t="shared" si="867"/>
        <v>349.34188386022663</v>
      </c>
      <c r="J9750" s="310">
        <f t="shared" si="868"/>
        <v>154.85714285714286</v>
      </c>
      <c r="K9750" s="445">
        <f>J9750/POBLA!$B$5*100000</f>
        <v>25.017551520231677</v>
      </c>
    </row>
    <row r="9751" spans="1:11" s="393" customFormat="1" x14ac:dyDescent="0.25">
      <c r="A9751" s="402" t="s">
        <v>30</v>
      </c>
      <c r="B9751" s="2">
        <v>44299</v>
      </c>
      <c r="C9751" s="1">
        <v>441</v>
      </c>
      <c r="D9751" s="39">
        <f t="shared" si="861"/>
        <v>33742</v>
      </c>
      <c r="E9751" s="1">
        <v>9</v>
      </c>
      <c r="F9751" s="39">
        <f t="shared" si="866"/>
        <v>365</v>
      </c>
      <c r="G9751" s="436">
        <f>SUM(C9751,C9727,C9703,C9679,C9655,C9631,C9607,C9583,C9559,C9535,C9511,C9487,C9463,C9439)/POBLA!$B$6*100000</f>
        <v>354.83551495760622</v>
      </c>
      <c r="H9751" s="441">
        <f t="shared" si="865"/>
        <v>0.87062171628721541</v>
      </c>
      <c r="I9751" s="445">
        <f t="shared" si="867"/>
        <v>308.927505032049</v>
      </c>
      <c r="J9751" s="310">
        <f t="shared" si="868"/>
        <v>334.71428571428572</v>
      </c>
      <c r="K9751" s="445">
        <f>J9751/POBLA!$B$6*100000</f>
        <v>29.86384609884232</v>
      </c>
    </row>
    <row r="9752" spans="1:11" s="393" customFormat="1" x14ac:dyDescent="0.25">
      <c r="A9752" s="402" t="s">
        <v>20</v>
      </c>
      <c r="B9752" s="2">
        <v>44299</v>
      </c>
      <c r="C9752" s="1">
        <v>2268</v>
      </c>
      <c r="D9752" s="39">
        <f t="shared" si="861"/>
        <v>198795</v>
      </c>
      <c r="E9752" s="1">
        <v>10</v>
      </c>
      <c r="F9752" s="39">
        <f t="shared" si="866"/>
        <v>3126</v>
      </c>
      <c r="G9752" s="436">
        <f>SUM(C9752,C9728,C9704,C9680,C9656,C9632,C9608,C9584,C9560,C9536,C9512,C9488,C9464,C9440)/POBLA!$B$7*100000</f>
        <v>516.48074033692774</v>
      </c>
      <c r="H9752" s="441">
        <f t="shared" si="865"/>
        <v>1.885264997087944</v>
      </c>
      <c r="I9752" s="445">
        <f t="shared" si="867"/>
        <v>973.70306142727725</v>
      </c>
      <c r="J9752" s="310">
        <f t="shared" si="868"/>
        <v>1720</v>
      </c>
      <c r="K9752" s="445">
        <f>J9752/POBLA!$B$7*100000</f>
        <v>45.739206743873737</v>
      </c>
    </row>
    <row r="9753" spans="1:11" x14ac:dyDescent="0.25">
      <c r="A9753" s="402" t="s">
        <v>31</v>
      </c>
      <c r="B9753" s="2">
        <v>44299</v>
      </c>
      <c r="C9753" s="1">
        <v>635</v>
      </c>
      <c r="D9753" s="39">
        <f t="shared" si="861"/>
        <v>53938</v>
      </c>
      <c r="E9753" s="1">
        <v>11</v>
      </c>
      <c r="F9753" s="39">
        <f t="shared" si="866"/>
        <v>980</v>
      </c>
      <c r="G9753" s="169">
        <f>SUM(C9753,C9729,C9705,C9681,C9657,C9633,C9609,C9585,C9561,C9537,C9513,C9489,C9465,C9441)/POBLA!$B$8*100000</f>
        <v>310.10973613254635</v>
      </c>
      <c r="H9753" s="518">
        <f t="shared" si="865"/>
        <v>1.7564364527993461</v>
      </c>
      <c r="I9753" s="310">
        <f t="shared" si="867"/>
        <v>544.6880449111909</v>
      </c>
      <c r="J9753" s="310">
        <f t="shared" si="868"/>
        <v>402.28571428571428</v>
      </c>
      <c r="K9753" s="310">
        <f>J9753/POBLA!$B$8*100000</f>
        <v>29.025760052823586</v>
      </c>
    </row>
    <row r="9754" spans="1:11" s="393" customFormat="1" x14ac:dyDescent="0.25">
      <c r="A9754" s="402" t="s">
        <v>41</v>
      </c>
      <c r="B9754" s="2">
        <v>44299</v>
      </c>
      <c r="C9754" s="1">
        <v>131</v>
      </c>
      <c r="D9754" s="39">
        <f t="shared" si="861"/>
        <v>3133</v>
      </c>
      <c r="E9754" s="1">
        <v>4</v>
      </c>
      <c r="F9754" s="39">
        <f t="shared" si="866"/>
        <v>53</v>
      </c>
      <c r="G9754" s="436">
        <f>SUM(C9754,C9730,C9706,C9682,C9658,C9634,C9610,C9586,C9562,C9538,C9514,C9490,C9466,C9442)/POBLA!$B$9*100000</f>
        <v>173.66360813823027</v>
      </c>
      <c r="H9754" s="441">
        <f t="shared" si="865"/>
        <v>2.3048245614035086</v>
      </c>
      <c r="I9754" s="445">
        <f t="shared" si="867"/>
        <v>400.26414945894737</v>
      </c>
      <c r="J9754" s="310">
        <f t="shared" si="868"/>
        <v>99.285714285714292</v>
      </c>
      <c r="K9754" s="445">
        <f>J9754/POBLA!$B$9*100000</f>
        <v>16.405628334384946</v>
      </c>
    </row>
    <row r="9755" spans="1:11" s="393" customFormat="1" x14ac:dyDescent="0.25">
      <c r="A9755" s="402" t="s">
        <v>32</v>
      </c>
      <c r="B9755" s="2">
        <v>44299</v>
      </c>
      <c r="C9755" s="1">
        <v>93</v>
      </c>
      <c r="D9755" s="39">
        <f t="shared" si="861"/>
        <v>23202</v>
      </c>
      <c r="E9755" s="1">
        <v>2</v>
      </c>
      <c r="F9755" s="39">
        <f t="shared" si="866"/>
        <v>991</v>
      </c>
      <c r="G9755" s="436">
        <f>SUM(C9755,C9731,C9707,C9683,C9659,C9635,C9611,C9587,C9563,C9539,C9515,C9491,C9467,C9443)/POBLA!$B$10*100000</f>
        <v>107.5392959484019</v>
      </c>
      <c r="H9755" s="441">
        <f t="shared" si="865"/>
        <v>1.3590163934426229</v>
      </c>
      <c r="I9755" s="445">
        <f t="shared" si="867"/>
        <v>146.14766613315604</v>
      </c>
      <c r="J9755" s="310">
        <f t="shared" si="868"/>
        <v>61.142857142857146</v>
      </c>
      <c r="K9755" s="445">
        <f>J9755/POBLA!$B$10*100000</f>
        <v>7.9315558617811499</v>
      </c>
    </row>
    <row r="9756" spans="1:11" s="393" customFormat="1" x14ac:dyDescent="0.25">
      <c r="A9756" s="402" t="s">
        <v>33</v>
      </c>
      <c r="B9756" s="2">
        <v>44299</v>
      </c>
      <c r="C9756" s="1">
        <v>110</v>
      </c>
      <c r="D9756" s="39">
        <f t="shared" si="861"/>
        <v>22913</v>
      </c>
      <c r="E9756" s="1"/>
      <c r="F9756" s="39">
        <f t="shared" si="866"/>
        <v>332</v>
      </c>
      <c r="G9756" s="436">
        <f>SUM(C9756,C9732,C9708,C9684,C9660,C9636,C9612,C9588,C9564,C9540,C9516,C9492,C9468,C9444)/POBLA!$B$11*100000</f>
        <v>477.64125570546946</v>
      </c>
      <c r="H9756" s="441">
        <f t="shared" si="865"/>
        <v>1.5110326566637247</v>
      </c>
      <c r="I9756" s="445">
        <f t="shared" si="867"/>
        <v>721.73153554083297</v>
      </c>
      <c r="J9756" s="310">
        <f t="shared" si="868"/>
        <v>144</v>
      </c>
      <c r="K9756" s="445">
        <f>J9756/POBLA!$B$11*100000</f>
        <v>40.175432722889951</v>
      </c>
    </row>
    <row r="9757" spans="1:11" s="393" customFormat="1" x14ac:dyDescent="0.25">
      <c r="A9757" s="402" t="s">
        <v>21</v>
      </c>
      <c r="B9757" s="2">
        <v>44299</v>
      </c>
      <c r="C9757" s="1">
        <v>59</v>
      </c>
      <c r="D9757" s="39">
        <f t="shared" si="861"/>
        <v>12100</v>
      </c>
      <c r="E9757" s="1"/>
      <c r="F9757" s="39">
        <f t="shared" si="866"/>
        <v>451</v>
      </c>
      <c r="G9757" s="436">
        <f>SUM(C9757,C9733,C9709,C9685,C9661,C9637,C9613,C9589,C9565,C9541,C9517,C9493,C9469,C9445)/POBLA!$B$12*100000</f>
        <v>272.91369676086509</v>
      </c>
      <c r="H9757" s="441">
        <f t="shared" si="865"/>
        <v>2.3347826086956522</v>
      </c>
      <c r="I9757" s="445">
        <f t="shared" si="867"/>
        <v>637.19415287210677</v>
      </c>
      <c r="J9757" s="310">
        <f t="shared" si="868"/>
        <v>88.714285714285708</v>
      </c>
      <c r="K9757" s="445">
        <f>J9757/POBLA!$B$12*100000</f>
        <v>22.543150530526365</v>
      </c>
    </row>
    <row r="9758" spans="1:11" s="393" customFormat="1" x14ac:dyDescent="0.25">
      <c r="A9758" s="402" t="s">
        <v>17</v>
      </c>
      <c r="B9758" s="2">
        <v>44299</v>
      </c>
      <c r="C9758" s="1">
        <v>953</v>
      </c>
      <c r="D9758" s="39">
        <f t="shared" si="861"/>
        <v>81648</v>
      </c>
      <c r="E9758" s="1">
        <v>2</v>
      </c>
      <c r="F9758" s="39">
        <f t="shared" si="866"/>
        <v>1608</v>
      </c>
      <c r="G9758" s="436">
        <f>SUM(C9758,C9734,C9710,C9686,C9662,C9638,C9614,C9590,C9566,C9542,C9518,C9494,C9470,C9446)/POBLA!$B$13*100000</f>
        <v>460.32382439565538</v>
      </c>
      <c r="H9758" s="441">
        <f t="shared" si="865"/>
        <v>3.2397454031117396</v>
      </c>
      <c r="I9758" s="445">
        <f t="shared" si="867"/>
        <v>1491.3319940286401</v>
      </c>
      <c r="J9758" s="310">
        <f t="shared" si="868"/>
        <v>844.14285714285711</v>
      </c>
      <c r="K9758" s="445">
        <f>J9758/POBLA!$B$13*100000</f>
        <v>42.412035400161038</v>
      </c>
    </row>
    <row r="9759" spans="1:11" s="393" customFormat="1" x14ac:dyDescent="0.25">
      <c r="A9759" s="402" t="s">
        <v>23</v>
      </c>
      <c r="B9759" s="2">
        <v>44299</v>
      </c>
      <c r="C9759" s="1">
        <v>170</v>
      </c>
      <c r="D9759" s="39">
        <f t="shared" si="861"/>
        <v>13650</v>
      </c>
      <c r="E9759" s="1">
        <v>2</v>
      </c>
      <c r="F9759" s="39">
        <f t="shared" si="866"/>
        <v>225</v>
      </c>
      <c r="G9759" s="436">
        <f>SUM(C9759,C9735,C9711,C9687,C9663,C9639,C9615,C9591,C9567,C9543,C9519,C9495,C9471,C9447)/POBLA!$B$14*100000</f>
        <v>135.73361960018838</v>
      </c>
      <c r="H9759" s="441">
        <f t="shared" si="865"/>
        <v>0.97884505431675239</v>
      </c>
      <c r="I9759" s="445">
        <f t="shared" si="867"/>
        <v>132.8621822501558</v>
      </c>
      <c r="J9759" s="310">
        <f t="shared" si="868"/>
        <v>148</v>
      </c>
      <c r="K9759" s="445">
        <f>J9759/POBLA!$B$14*100000</f>
        <v>11.733981133661144</v>
      </c>
    </row>
    <row r="9760" spans="1:11" s="393" customFormat="1" x14ac:dyDescent="0.25">
      <c r="A9760" s="402" t="s">
        <v>19</v>
      </c>
      <c r="B9760" s="2">
        <v>44299</v>
      </c>
      <c r="C9760" s="1">
        <v>241</v>
      </c>
      <c r="D9760" s="39">
        <f t="shared" si="861"/>
        <v>66899</v>
      </c>
      <c r="E9760" s="1"/>
      <c r="F9760" s="39">
        <f t="shared" si="866"/>
        <v>1017</v>
      </c>
      <c r="G9760" s="436">
        <f>SUM(C9760,C9736,C9712,C9688,C9664,C9640,C9616,C9592,C9568,C9544,C9520,C9496,C9472,C9448)/POBLA!$B$15*100000</f>
        <v>274.82580561608415</v>
      </c>
      <c r="H9760" s="441">
        <f t="shared" si="865"/>
        <v>1.1321339950372209</v>
      </c>
      <c r="I9760" s="445">
        <f t="shared" si="867"/>
        <v>311.13963725146004</v>
      </c>
      <c r="J9760" s="310">
        <f t="shared" si="868"/>
        <v>148.57142857142858</v>
      </c>
      <c r="K9760" s="445">
        <f>J9760/POBLA!$B$15*100000</f>
        <v>22.373294547219377</v>
      </c>
    </row>
    <row r="9761" spans="1:11" s="393" customFormat="1" x14ac:dyDescent="0.25">
      <c r="A9761" s="402" t="s">
        <v>18</v>
      </c>
      <c r="B9761" s="2">
        <v>44299</v>
      </c>
      <c r="C9761" s="1">
        <v>249</v>
      </c>
      <c r="D9761" s="39">
        <f t="shared" si="861"/>
        <v>57191</v>
      </c>
      <c r="E9761" s="1">
        <v>1</v>
      </c>
      <c r="F9761" s="39">
        <f t="shared" si="866"/>
        <v>1307</v>
      </c>
      <c r="G9761" s="436">
        <f>SUM(C9761,C9737,C9713,C9689,C9665,C9641,C9617,C9593,C9569,C9545,C9521,C9497,C9473,C9449)/POBLA!$B$16*100000</f>
        <v>256.28335629539464</v>
      </c>
      <c r="H9761" s="441">
        <f t="shared" si="865"/>
        <v>1.4980453479280689</v>
      </c>
      <c r="I9761" s="445">
        <f t="shared" si="867"/>
        <v>383.9240896497077</v>
      </c>
      <c r="J9761" s="310">
        <f t="shared" si="868"/>
        <v>157</v>
      </c>
      <c r="K9761" s="445">
        <f>J9761/POBLA!$B$16*100000</f>
        <v>21.000254143203009</v>
      </c>
    </row>
    <row r="9762" spans="1:11" s="393" customFormat="1" x14ac:dyDescent="0.25">
      <c r="A9762" s="402" t="s">
        <v>34</v>
      </c>
      <c r="B9762" s="2">
        <v>44299</v>
      </c>
      <c r="C9762" s="1">
        <v>232</v>
      </c>
      <c r="D9762" s="39">
        <f t="shared" si="861"/>
        <v>31342</v>
      </c>
      <c r="E9762" s="1">
        <v>3</v>
      </c>
      <c r="F9762" s="39">
        <f t="shared" si="866"/>
        <v>1240</v>
      </c>
      <c r="G9762" s="436">
        <f>SUM(C9762,C9738,C9714,C9690,C9666,C9642,C9618,C9594,C9570,C9546,C9522,C9498,C9474,C9450)/POBLA!$B$17*100000</f>
        <v>149.74757739590859</v>
      </c>
      <c r="H9762" s="441">
        <f t="shared" ref="H9762:H9785" si="869">SUM(C9762,C9738,C9714,C9690,C9666,C9642,C9618,C9594,C9570,C9546,C9522,C9498,C9474,C9450)/SUM(C9426,C9402,C9378,C9354,C9330,C9306,C9282,C9258,C9234,C9210,C9186,C9162,C9138,C9114)</f>
        <v>1.5367435158501441</v>
      </c>
      <c r="I9762" s="445">
        <f t="shared" si="867"/>
        <v>230.12361857743014</v>
      </c>
      <c r="J9762" s="310">
        <f t="shared" si="868"/>
        <v>181.71428571428572</v>
      </c>
      <c r="K9762" s="445">
        <f>J9762/POBLA!$B$17*100000</f>
        <v>12.757278042167016</v>
      </c>
    </row>
    <row r="9763" spans="1:11" s="393" customFormat="1" x14ac:dyDescent="0.25">
      <c r="A9763" s="402" t="s">
        <v>35</v>
      </c>
      <c r="B9763" s="2">
        <v>44299</v>
      </c>
      <c r="C9763" s="1">
        <v>332</v>
      </c>
      <c r="D9763" s="39">
        <f t="shared" si="861"/>
        <v>19289</v>
      </c>
      <c r="E9763" s="1">
        <v>1</v>
      </c>
      <c r="F9763" s="39">
        <f t="shared" si="866"/>
        <v>234</v>
      </c>
      <c r="G9763" s="436">
        <f>SUM(C9763,C9739,C9715,C9691,C9667,C9643,C9619,C9595,C9571,C9547,C9523,C9499,C9475,C9451)/POBLA!$B$18*100000</f>
        <v>277.25971145021163</v>
      </c>
      <c r="H9763" s="441">
        <f t="shared" si="869"/>
        <v>1.9584086799276672</v>
      </c>
      <c r="I9763" s="445">
        <f t="shared" si="867"/>
        <v>542.98782549833481</v>
      </c>
      <c r="J9763" s="310">
        <f t="shared" si="868"/>
        <v>202.42857142857142</v>
      </c>
      <c r="K9763" s="445">
        <f>J9763/POBLA!$B$18*100000</f>
        <v>25.911951663695419</v>
      </c>
    </row>
    <row r="9764" spans="1:11" s="393" customFormat="1" x14ac:dyDescent="0.25">
      <c r="A9764" s="402" t="s">
        <v>36</v>
      </c>
      <c r="B9764" s="2">
        <v>44299</v>
      </c>
      <c r="C9764" s="1">
        <v>516</v>
      </c>
      <c r="D9764" s="39">
        <f t="shared" si="861"/>
        <v>27430</v>
      </c>
      <c r="E9764" s="1">
        <v>2</v>
      </c>
      <c r="F9764" s="39">
        <f t="shared" si="866"/>
        <v>445</v>
      </c>
      <c r="G9764" s="436">
        <f>SUM(C9764,C9740,C9716,C9692,C9668,C9644,C9620,C9596,C9572,C9548,C9524,C9500,C9476,C9452)/POBLA!$B$19*100000</f>
        <v>950.17390346390528</v>
      </c>
      <c r="H9764" s="441">
        <f t="shared" si="869"/>
        <v>4.4722222222222223</v>
      </c>
      <c r="I9764" s="445">
        <f t="shared" si="867"/>
        <v>4249.3888460469097</v>
      </c>
      <c r="J9764" s="310">
        <f t="shared" si="868"/>
        <v>448.57142857142856</v>
      </c>
      <c r="K9764" s="445">
        <f>J9764/POBLA!$B$19*100000</f>
        <v>88.244485562752502</v>
      </c>
    </row>
    <row r="9765" spans="1:11" s="393" customFormat="1" x14ac:dyDescent="0.25">
      <c r="A9765" s="402" t="s">
        <v>37</v>
      </c>
      <c r="B9765" s="2">
        <v>44299</v>
      </c>
      <c r="C9765" s="1">
        <v>242</v>
      </c>
      <c r="D9765" s="39">
        <f t="shared" si="861"/>
        <v>41352</v>
      </c>
      <c r="E9765" s="1">
        <v>4</v>
      </c>
      <c r="F9765" s="39">
        <f t="shared" si="866"/>
        <v>670</v>
      </c>
      <c r="G9765" s="436">
        <f>SUM(C9765,C9741,C9717,C9693,C9669,C9645,C9621,C9597,C9573,C9549,C9525,C9501,C9477,C9453)/POBLA!$B$20*100000</f>
        <v>585.72920825380504</v>
      </c>
      <c r="H9765" s="441">
        <f t="shared" si="869"/>
        <v>1.3092909535452322</v>
      </c>
      <c r="I9765" s="445">
        <f t="shared" si="867"/>
        <v>766.88995359391822</v>
      </c>
      <c r="J9765" s="310">
        <f t="shared" si="868"/>
        <v>173.57142857142858</v>
      </c>
      <c r="K9765" s="445">
        <f>J9765/POBLA!$B$20*100000</f>
        <v>47.463051088993808</v>
      </c>
    </row>
    <row r="9766" spans="1:11" s="393" customFormat="1" x14ac:dyDescent="0.25">
      <c r="A9766" s="402" t="s">
        <v>22</v>
      </c>
      <c r="B9766" s="2">
        <v>44299</v>
      </c>
      <c r="C9766" s="1">
        <v>1762</v>
      </c>
      <c r="D9766" s="39">
        <f t="shared" si="861"/>
        <v>244944</v>
      </c>
      <c r="E9766" s="1">
        <v>18</v>
      </c>
      <c r="F9766" s="39">
        <f t="shared" si="866"/>
        <v>4368</v>
      </c>
      <c r="G9766" s="436">
        <f>SUM(C9766,C9742,C9718,C9694,C9670,C9646,C9622,C9598,C9574,C9550,C9526,C9502,C9478,C9454)/POBLA!$B$21*100000</f>
        <v>406.34336778061868</v>
      </c>
      <c r="H9766" s="441">
        <f t="shared" si="869"/>
        <v>1.9566993464052287</v>
      </c>
      <c r="I9766" s="445">
        <f t="shared" si="867"/>
        <v>795.091802152436</v>
      </c>
      <c r="J9766" s="310">
        <f t="shared" si="868"/>
        <v>1286.7142857142858</v>
      </c>
      <c r="K9766" s="445">
        <f>J9766/POBLA!$B$21*100000</f>
        <v>36.384677538523043</v>
      </c>
    </row>
    <row r="9767" spans="1:11" s="393" customFormat="1" x14ac:dyDescent="0.25">
      <c r="A9767" s="402" t="s">
        <v>38</v>
      </c>
      <c r="B9767" s="2">
        <v>44299</v>
      </c>
      <c r="C9767" s="1">
        <v>137</v>
      </c>
      <c r="D9767" s="39">
        <f t="shared" si="861"/>
        <v>27083</v>
      </c>
      <c r="E9767" s="1">
        <v>2</v>
      </c>
      <c r="F9767" s="39">
        <f t="shared" si="866"/>
        <v>309</v>
      </c>
      <c r="G9767" s="436">
        <f>SUM(C9767,C9743,C9719,C9695,C9671,C9647,C9623,C9599,C9575,C9551,C9527,C9503,C9479,C9455)/POBLA!$B$22*100000</f>
        <v>214.75744470328002</v>
      </c>
      <c r="H9767" s="441">
        <f t="shared" si="869"/>
        <v>1.528</v>
      </c>
      <c r="I9767" s="445">
        <f t="shared" si="867"/>
        <v>328.14937550661188</v>
      </c>
      <c r="J9767" s="310">
        <f t="shared" si="868"/>
        <v>174.42857142857142</v>
      </c>
      <c r="K9767" s="445">
        <f>J9767/POBLA!$B$22*100000</f>
        <v>17.829526074842246</v>
      </c>
    </row>
    <row r="9768" spans="1:11" s="393" customFormat="1" x14ac:dyDescent="0.25">
      <c r="A9768" s="402" t="s">
        <v>39</v>
      </c>
      <c r="B9768" s="2">
        <v>44299</v>
      </c>
      <c r="C9768" s="1">
        <v>104</v>
      </c>
      <c r="D9768" s="39">
        <f t="shared" si="861"/>
        <v>25057</v>
      </c>
      <c r="E9768" s="1"/>
      <c r="F9768" s="39">
        <f t="shared" si="866"/>
        <v>372</v>
      </c>
      <c r="G9768" s="436">
        <f>SUM(C9768,C9744,C9720,C9696,C9672,C9648,C9624,C9600,C9576,C9552,C9528,C9504,C9480,C9456)/POBLA!$B$23*100000</f>
        <v>595.48719108748514</v>
      </c>
      <c r="H9768" s="441">
        <f t="shared" si="869"/>
        <v>1.7908163265306123</v>
      </c>
      <c r="I9768" s="445">
        <f t="shared" si="867"/>
        <v>1066.4081840393228</v>
      </c>
      <c r="J9768" s="310">
        <f t="shared" si="868"/>
        <v>88.285714285714292</v>
      </c>
      <c r="K9768" s="445">
        <f>J9768/POBLA!$B$23*100000</f>
        <v>49.926887002043934</v>
      </c>
    </row>
    <row r="9769" spans="1:11" s="393" customFormat="1" ht="15.75" thickBot="1" x14ac:dyDescent="0.3">
      <c r="A9769" s="404" t="s">
        <v>40</v>
      </c>
      <c r="B9769" s="2">
        <v>44299</v>
      </c>
      <c r="C9769" s="1">
        <v>763</v>
      </c>
      <c r="D9769" s="177">
        <f t="shared" si="861"/>
        <v>94632</v>
      </c>
      <c r="E9769" s="1">
        <v>3</v>
      </c>
      <c r="F9769" s="177">
        <f t="shared" si="866"/>
        <v>1537</v>
      </c>
      <c r="G9769" s="439">
        <f>SUM(C9769,C9745,C9721,C9697,C9673,C9649,C9625,C9601,C9577,C9553,C9529,C9505,C9481,C9457)/POBLA!$B$24*100000</f>
        <v>444.2199478832282</v>
      </c>
      <c r="H9769" s="442">
        <f t="shared" si="869"/>
        <v>1.7027821759782855</v>
      </c>
      <c r="I9769" s="445">
        <f t="shared" si="867"/>
        <v>756.40980946956392</v>
      </c>
      <c r="J9769" s="310">
        <f t="shared" si="868"/>
        <v>629.28571428571433</v>
      </c>
      <c r="K9769" s="445">
        <f>J9769/POBLA!$B$24*100000</f>
        <v>37.133537088690233</v>
      </c>
    </row>
    <row r="9770" spans="1:11" s="393" customFormat="1" x14ac:dyDescent="0.25">
      <c r="A9770" s="409" t="s">
        <v>16</v>
      </c>
      <c r="B9770" s="2">
        <v>44300</v>
      </c>
      <c r="C9770" s="1">
        <v>13241</v>
      </c>
      <c r="D9770" s="264">
        <f t="shared" si="861"/>
        <v>1117257</v>
      </c>
      <c r="E9770" s="1">
        <v>241</v>
      </c>
      <c r="F9770" s="264">
        <f t="shared" ref="F9770:F9793" si="870">E9770+F9746</f>
        <v>29818</v>
      </c>
      <c r="G9770" s="454">
        <f>SUM(C9770,C9746,C9722,C9698,C9674,C9650,C9626,C9602,C9578,C9554,C9530,C9506,C9482,C9458)/POBLA!$B$1*100000</f>
        <v>739.3475715177251</v>
      </c>
      <c r="H9770" s="455">
        <f t="shared" si="869"/>
        <v>2.1507819366822005</v>
      </c>
      <c r="I9770" s="445">
        <f>G9770*H9770</f>
        <v>1590.1754017501746</v>
      </c>
      <c r="J9770" s="310">
        <f>AVERAGE(C9770,C9746,C9722,C9698,C9674,C9650,C9626)</f>
        <v>11329</v>
      </c>
      <c r="K9770" s="445">
        <f>J9770/POBLA!$B$1*100000</f>
        <v>64.585308333135231</v>
      </c>
    </row>
    <row r="9771" spans="1:11" s="393" customFormat="1" x14ac:dyDescent="0.25">
      <c r="A9771" s="402" t="s">
        <v>43</v>
      </c>
      <c r="B9771" s="2">
        <v>44300</v>
      </c>
      <c r="C9771" s="1">
        <v>2658</v>
      </c>
      <c r="D9771" s="39">
        <f t="shared" si="861"/>
        <v>294726</v>
      </c>
      <c r="E9771" s="1">
        <v>31</v>
      </c>
      <c r="F9771" s="39">
        <f t="shared" si="870"/>
        <v>7153</v>
      </c>
      <c r="G9771" s="436">
        <f>SUM(C9771,C9747,C9723,C9699,C9675,C9651,C9627,C9603,C9579,C9555,C9531,C9507,C9483,C9459)/POBLA!$B$2*100000</f>
        <v>1085.7231293848511</v>
      </c>
      <c r="H9771" s="441">
        <f t="shared" si="869"/>
        <v>2.0367795059469351</v>
      </c>
      <c r="I9771" s="445">
        <f t="shared" ref="I9771:I9793" si="871">G9771*H9771</f>
        <v>2211.3786190636374</v>
      </c>
      <c r="J9771" s="310">
        <f t="shared" ref="J9771:J9793" si="872">AVERAGE(C9771,C9747,C9723,C9699,C9675,C9651,C9627)</f>
        <v>2728.1428571428573</v>
      </c>
      <c r="K9771" s="445">
        <f>J9771/POBLA!$B$2*100000</f>
        <v>88.701458397450736</v>
      </c>
    </row>
    <row r="9772" spans="1:11" s="393" customFormat="1" x14ac:dyDescent="0.25">
      <c r="A9772" s="402" t="s">
        <v>28</v>
      </c>
      <c r="B9772" s="2">
        <v>44300</v>
      </c>
      <c r="C9772" s="1">
        <v>167</v>
      </c>
      <c r="D9772" s="39">
        <f t="shared" si="861"/>
        <v>12185</v>
      </c>
      <c r="E9772" s="1"/>
      <c r="F9772" s="39">
        <f t="shared" si="870"/>
        <v>18</v>
      </c>
      <c r="G9772" s="436">
        <f>SUM(C9772,C9748,C9724,C9700,C9676,C9652,C9628,C9604,C9580,C9556,C9532,C9508,C9484,C9460)/POBLA!$B$3*100000</f>
        <v>415.22441375126976</v>
      </c>
      <c r="H9772" s="441">
        <f t="shared" si="869"/>
        <v>1.5653357531760435</v>
      </c>
      <c r="I9772" s="445">
        <f t="shared" si="871"/>
        <v>649.96562043642496</v>
      </c>
      <c r="J9772" s="310">
        <f t="shared" si="872"/>
        <v>152.71428571428572</v>
      </c>
      <c r="K9772" s="445">
        <f>J9772/POBLA!$B$3*100000</f>
        <v>36.759825946178665</v>
      </c>
    </row>
    <row r="9773" spans="1:11" s="393" customFormat="1" x14ac:dyDescent="0.25">
      <c r="A9773" s="402" t="s">
        <v>15</v>
      </c>
      <c r="B9773" s="2">
        <v>44300</v>
      </c>
      <c r="C9773" s="1">
        <v>247</v>
      </c>
      <c r="D9773" s="39">
        <f t="shared" si="861"/>
        <v>41078</v>
      </c>
      <c r="E9773" s="1">
        <v>1</v>
      </c>
      <c r="F9773" s="39">
        <f t="shared" si="870"/>
        <v>978</v>
      </c>
      <c r="G9773" s="436">
        <f>SUM(C9773,C9749,C9725,C9701,C9677,C9653,C9629,C9605,C9581,C9557,C9533,C9509,C9485,C9461)/POBLA!$B$4*100000</f>
        <v>214.68758639182892</v>
      </c>
      <c r="H9773" s="441">
        <f t="shared" si="869"/>
        <v>1.1933548684817721</v>
      </c>
      <c r="I9773" s="445">
        <f t="shared" si="871"/>
        <v>256.19847642329006</v>
      </c>
      <c r="J9773" s="310">
        <f t="shared" si="872"/>
        <v>222</v>
      </c>
      <c r="K9773" s="445">
        <f>J9773/POBLA!$B$4*100000</f>
        <v>18.430256836421506</v>
      </c>
    </row>
    <row r="9774" spans="1:11" s="393" customFormat="1" x14ac:dyDescent="0.25">
      <c r="A9774" s="402" t="s">
        <v>29</v>
      </c>
      <c r="B9774" s="2">
        <v>44300</v>
      </c>
      <c r="C9774" s="1">
        <v>261</v>
      </c>
      <c r="D9774" s="39">
        <f t="shared" si="861"/>
        <v>51988</v>
      </c>
      <c r="E9774" s="1"/>
      <c r="F9774" s="39">
        <f t="shared" si="870"/>
        <v>881</v>
      </c>
      <c r="G9774" s="436">
        <f>SUM(C9774,C9750,C9726,C9702,C9678,C9654,C9630,C9606,C9582,C9558,C9534,C9510,C9486,C9462)/POBLA!$B$5*100000</f>
        <v>302.91085212457631</v>
      </c>
      <c r="H9774" s="441">
        <f t="shared" si="869"/>
        <v>1.1460880195599021</v>
      </c>
      <c r="I9774" s="445">
        <f t="shared" si="871"/>
        <v>347.16249861465803</v>
      </c>
      <c r="J9774" s="310">
        <f t="shared" si="872"/>
        <v>164.57142857142858</v>
      </c>
      <c r="K9774" s="445">
        <f>J9774/POBLA!$B$5*100000</f>
        <v>26.586918220762819</v>
      </c>
    </row>
    <row r="9775" spans="1:11" s="393" customFormat="1" x14ac:dyDescent="0.25">
      <c r="A9775" s="402" t="s">
        <v>30</v>
      </c>
      <c r="B9775" s="2">
        <v>44300</v>
      </c>
      <c r="C9775" s="1">
        <v>165</v>
      </c>
      <c r="D9775" s="39">
        <f t="shared" si="861"/>
        <v>33907</v>
      </c>
      <c r="E9775" s="1">
        <v>6</v>
      </c>
      <c r="F9775" s="39">
        <f t="shared" si="870"/>
        <v>371</v>
      </c>
      <c r="G9775" s="436">
        <f>SUM(C9775,C9751,C9727,C9703,C9679,C9655,C9631,C9607,C9583,C9559,C9535,C9511,C9487,C9463)/POBLA!$B$6*100000</f>
        <v>343.59355496649272</v>
      </c>
      <c r="H9775" s="441">
        <f t="shared" si="869"/>
        <v>0.83808487486398264</v>
      </c>
      <c r="I9775" s="445">
        <f t="shared" si="871"/>
        <v>287.96056151816401</v>
      </c>
      <c r="J9775" s="310">
        <f t="shared" si="872"/>
        <v>296.42857142857144</v>
      </c>
      <c r="K9775" s="445">
        <f>J9775/POBLA!$B$6*100000</f>
        <v>26.447921747801036</v>
      </c>
    </row>
    <row r="9776" spans="1:11" s="393" customFormat="1" x14ac:dyDescent="0.25">
      <c r="A9776" s="402" t="s">
        <v>20</v>
      </c>
      <c r="B9776" s="2">
        <v>44300</v>
      </c>
      <c r="C9776" s="1">
        <v>1841</v>
      </c>
      <c r="D9776" s="39">
        <f t="shared" si="861"/>
        <v>200636</v>
      </c>
      <c r="E9776" s="1">
        <v>18</v>
      </c>
      <c r="F9776" s="39">
        <f t="shared" si="870"/>
        <v>3144</v>
      </c>
      <c r="G9776" s="436">
        <f>SUM(C9776,C9752,C9728,C9704,C9680,C9656,C9632,C9608,C9584,C9560,C9536,C9512,C9488,C9464)/POBLA!$B$7*100000</f>
        <v>531.93101889401532</v>
      </c>
      <c r="H9776" s="441">
        <f t="shared" si="869"/>
        <v>1.8553937482608291</v>
      </c>
      <c r="I9776" s="445">
        <f t="shared" si="871"/>
        <v>986.94148696196908</v>
      </c>
      <c r="J9776" s="310">
        <f t="shared" si="872"/>
        <v>1681.7142857142858</v>
      </c>
      <c r="K9776" s="445">
        <f>J9776/POBLA!$B$7*100000</f>
        <v>44.721091510704461</v>
      </c>
    </row>
    <row r="9777" spans="1:11" x14ac:dyDescent="0.25">
      <c r="A9777" s="402" t="s">
        <v>31</v>
      </c>
      <c r="B9777" s="2">
        <v>44300</v>
      </c>
      <c r="C9777" s="1">
        <v>609</v>
      </c>
      <c r="D9777" s="39">
        <f t="shared" si="861"/>
        <v>54547</v>
      </c>
      <c r="E9777" s="1">
        <v>9</v>
      </c>
      <c r="F9777" s="39">
        <f t="shared" si="870"/>
        <v>989</v>
      </c>
      <c r="G9777" s="169">
        <f>SUM(C9777,C9753,C9729,C9705,C9681,C9657,C9633,C9609,C9585,C9561,C9537,C9513,C9489,C9465)/POBLA!$B$8*100000</f>
        <v>332.47688787779742</v>
      </c>
      <c r="H9777" s="518">
        <f t="shared" si="869"/>
        <v>1.8120330318521432</v>
      </c>
      <c r="I9777" s="310">
        <f t="shared" si="871"/>
        <v>602.45910316197035</v>
      </c>
      <c r="J9777" s="310">
        <f t="shared" si="872"/>
        <v>430.57142857142856</v>
      </c>
      <c r="K9777" s="310">
        <f>J9777/POBLA!$B$8*100000</f>
        <v>31.066633806537741</v>
      </c>
    </row>
    <row r="9778" spans="1:11" s="393" customFormat="1" x14ac:dyDescent="0.25">
      <c r="A9778" s="402" t="s">
        <v>41</v>
      </c>
      <c r="B9778" s="2">
        <v>44300</v>
      </c>
      <c r="C9778" s="1">
        <v>92</v>
      </c>
      <c r="D9778" s="39">
        <f t="shared" si="861"/>
        <v>3225</v>
      </c>
      <c r="E9778" s="1"/>
      <c r="F9778" s="39">
        <f t="shared" si="870"/>
        <v>53</v>
      </c>
      <c r="G9778" s="436">
        <f>SUM(C9778,C9754,C9730,C9706,C9682,C9658,C9634,C9610,C9586,C9562,C9538,C9514,C9490,C9466)/POBLA!$B$9*100000</f>
        <v>159.94897495509696</v>
      </c>
      <c r="H9778" s="441">
        <f t="shared" si="869"/>
        <v>1.5868852459016394</v>
      </c>
      <c r="I9778" s="445">
        <f t="shared" si="871"/>
        <v>253.82066845333421</v>
      </c>
      <c r="J9778" s="310">
        <f t="shared" si="872"/>
        <v>99.428571428571431</v>
      </c>
      <c r="K9778" s="445">
        <f>J9778/POBLA!$B$9*100000</f>
        <v>16.429233555009962</v>
      </c>
    </row>
    <row r="9779" spans="1:11" s="393" customFormat="1" x14ac:dyDescent="0.25">
      <c r="A9779" s="402" t="s">
        <v>32</v>
      </c>
      <c r="B9779" s="2">
        <v>44300</v>
      </c>
      <c r="C9779" s="1">
        <v>76</v>
      </c>
      <c r="D9779" s="39">
        <f t="shared" ref="D9779:D9842" si="873">C9779+D9755</f>
        <v>23278</v>
      </c>
      <c r="E9779" s="1">
        <v>7</v>
      </c>
      <c r="F9779" s="39">
        <f t="shared" si="870"/>
        <v>998</v>
      </c>
      <c r="G9779" s="436">
        <f>SUM(C9779,C9755,C9731,C9707,C9683,C9659,C9635,C9611,C9587,C9563,C9539,C9515,C9491,C9467)/POBLA!$B$10*100000</f>
        <v>107.5392959484019</v>
      </c>
      <c r="H9779" s="441">
        <f t="shared" si="869"/>
        <v>1.3567921440261865</v>
      </c>
      <c r="I9779" s="445">
        <f t="shared" si="871"/>
        <v>145.9084719168988</v>
      </c>
      <c r="J9779" s="310">
        <f t="shared" si="872"/>
        <v>65.142857142857139</v>
      </c>
      <c r="K9779" s="445">
        <f>J9779/POBLA!$B$10*100000</f>
        <v>8.450442693860289</v>
      </c>
    </row>
    <row r="9780" spans="1:11" s="393" customFormat="1" x14ac:dyDescent="0.25">
      <c r="A9780" s="402" t="s">
        <v>33</v>
      </c>
      <c r="B9780" s="2">
        <v>44300</v>
      </c>
      <c r="C9780" s="1">
        <v>207</v>
      </c>
      <c r="D9780" s="39">
        <f t="shared" si="873"/>
        <v>23120</v>
      </c>
      <c r="E9780" s="1"/>
      <c r="F9780" s="39">
        <f t="shared" si="870"/>
        <v>332</v>
      </c>
      <c r="G9780" s="436">
        <f>SUM(C9780,C9756,C9732,C9708,C9684,C9660,C9636,C9612,C9588,C9564,C9540,C9516,C9492,C9468)/POBLA!$B$11*100000</f>
        <v>510.56279085339321</v>
      </c>
      <c r="H9780" s="441">
        <f t="shared" si="869"/>
        <v>1.7231638418079096</v>
      </c>
      <c r="I9780" s="445">
        <f t="shared" si="871"/>
        <v>879.78334017110126</v>
      </c>
      <c r="J9780" s="310">
        <f t="shared" si="872"/>
        <v>148.85714285714286</v>
      </c>
      <c r="K9780" s="445">
        <f>J9780/POBLA!$B$11*100000</f>
        <v>41.530556445685846</v>
      </c>
    </row>
    <row r="9781" spans="1:11" s="393" customFormat="1" x14ac:dyDescent="0.25">
      <c r="A9781" s="402" t="s">
        <v>21</v>
      </c>
      <c r="B9781" s="2">
        <v>44300</v>
      </c>
      <c r="C9781" s="1">
        <v>79</v>
      </c>
      <c r="D9781" s="39">
        <f t="shared" si="873"/>
        <v>12179</v>
      </c>
      <c r="E9781" s="1"/>
      <c r="F9781" s="39">
        <f t="shared" si="870"/>
        <v>451</v>
      </c>
      <c r="G9781" s="436">
        <f>SUM(C9781,C9757,C9733,C9709,C9685,C9661,C9637,C9613,C9589,C9565,C9541,C9517,C9493,C9469)/POBLA!$B$12*100000</f>
        <v>274.69246387196944</v>
      </c>
      <c r="H9781" s="441">
        <f t="shared" si="869"/>
        <v>2.0357815442561207</v>
      </c>
      <c r="I9781" s="445">
        <f t="shared" si="871"/>
        <v>559.21384829679653</v>
      </c>
      <c r="J9781" s="310">
        <f t="shared" si="872"/>
        <v>82</v>
      </c>
      <c r="K9781" s="445">
        <f>J9781/POBLA!$B$12*100000</f>
        <v>20.836986158650781</v>
      </c>
    </row>
    <row r="9782" spans="1:11" s="393" customFormat="1" x14ac:dyDescent="0.25">
      <c r="A9782" s="402" t="s">
        <v>17</v>
      </c>
      <c r="B9782" s="2">
        <v>44300</v>
      </c>
      <c r="C9782" s="1">
        <v>966</v>
      </c>
      <c r="D9782" s="39">
        <f t="shared" si="873"/>
        <v>82614</v>
      </c>
      <c r="E9782" s="1">
        <v>9</v>
      </c>
      <c r="F9782" s="39">
        <f t="shared" si="870"/>
        <v>1617</v>
      </c>
      <c r="G9782" s="436">
        <f>SUM(C9782,C9758,C9734,C9710,C9686,C9662,C9638,C9614,C9590,C9566,C9542,C9518,C9494,C9470)/POBLA!$B$13*100000</f>
        <v>482.68183594947186</v>
      </c>
      <c r="H9782" s="441">
        <f t="shared" si="869"/>
        <v>3.0021874999999998</v>
      </c>
      <c r="I9782" s="445">
        <f t="shared" si="871"/>
        <v>1449.1013743645549</v>
      </c>
      <c r="J9782" s="310">
        <f t="shared" si="872"/>
        <v>838.57142857142856</v>
      </c>
      <c r="K9782" s="445">
        <f>J9782/POBLA!$B$13*100000</f>
        <v>42.132111660000895</v>
      </c>
    </row>
    <row r="9783" spans="1:11" s="393" customFormat="1" x14ac:dyDescent="0.25">
      <c r="A9783" s="402" t="s">
        <v>23</v>
      </c>
      <c r="B9783" s="2">
        <v>44300</v>
      </c>
      <c r="C9783" s="1">
        <v>128</v>
      </c>
      <c r="D9783" s="39">
        <f t="shared" si="873"/>
        <v>13778</v>
      </c>
      <c r="E9783" s="1"/>
      <c r="F9783" s="39">
        <f t="shared" si="870"/>
        <v>225</v>
      </c>
      <c r="G9783" s="436">
        <f>SUM(C9783,C9759,C9735,C9711,C9687,C9663,C9639,C9615,C9591,C9567,C9543,C9519,C9495,C9471)/POBLA!$B$14*100000</f>
        <v>135.25791766233723</v>
      </c>
      <c r="H9783" s="441">
        <f t="shared" si="869"/>
        <v>0.97933409873708377</v>
      </c>
      <c r="I9783" s="445">
        <f t="shared" si="871"/>
        <v>132.46269089089972</v>
      </c>
      <c r="J9783" s="310">
        <f t="shared" si="872"/>
        <v>151.85714285714286</v>
      </c>
      <c r="K9783" s="445">
        <f>J9783/POBLA!$B$14*100000</f>
        <v>12.039789522279726</v>
      </c>
    </row>
    <row r="9784" spans="1:11" s="393" customFormat="1" x14ac:dyDescent="0.25">
      <c r="A9784" s="402" t="s">
        <v>19</v>
      </c>
      <c r="B9784" s="2">
        <v>44300</v>
      </c>
      <c r="C9784" s="1">
        <v>183</v>
      </c>
      <c r="D9784" s="39">
        <f t="shared" si="873"/>
        <v>67082</v>
      </c>
      <c r="E9784" s="1">
        <v>8</v>
      </c>
      <c r="F9784" s="39">
        <f t="shared" si="870"/>
        <v>1025</v>
      </c>
      <c r="G9784" s="436">
        <f>SUM(C9784,C9760,C9736,C9712,C9688,C9664,C9640,C9616,C9592,C9568,C9544,C9520,C9496,C9472)/POBLA!$B$15*100000</f>
        <v>281.3011533648467</v>
      </c>
      <c r="H9784" s="441">
        <f t="shared" si="869"/>
        <v>1.1523750771128933</v>
      </c>
      <c r="I9784" s="445">
        <f t="shared" si="871"/>
        <v>324.16443830076105</v>
      </c>
      <c r="J9784" s="310">
        <f t="shared" si="872"/>
        <v>148.57142857142858</v>
      </c>
      <c r="K9784" s="445">
        <f>J9784/POBLA!$B$15*100000</f>
        <v>22.373294547219377</v>
      </c>
    </row>
    <row r="9785" spans="1:11" s="393" customFormat="1" x14ac:dyDescent="0.25">
      <c r="A9785" s="402" t="s">
        <v>18</v>
      </c>
      <c r="B9785" s="2">
        <v>44300</v>
      </c>
      <c r="C9785" s="1">
        <v>253</v>
      </c>
      <c r="D9785" s="39">
        <f t="shared" si="873"/>
        <v>57444</v>
      </c>
      <c r="E9785" s="1">
        <v>1</v>
      </c>
      <c r="F9785" s="39">
        <f t="shared" si="870"/>
        <v>1308</v>
      </c>
      <c r="G9785" s="436">
        <f>SUM(C9785,C9761,C9737,C9713,C9689,C9665,C9641,C9617,C9593,C9569,C9545,C9521,C9497,C9473)/POBLA!$B$16*100000</f>
        <v>270.0605930899801</v>
      </c>
      <c r="H9785" s="441">
        <f t="shared" si="869"/>
        <v>1.530705079605762</v>
      </c>
      <c r="I9785" s="445">
        <f t="shared" si="871"/>
        <v>413.38312164417727</v>
      </c>
      <c r="J9785" s="310">
        <f t="shared" si="872"/>
        <v>174.42857142857142</v>
      </c>
      <c r="K9785" s="445">
        <f>J9785/POBLA!$B$16*100000</f>
        <v>23.331492546725087</v>
      </c>
    </row>
    <row r="9786" spans="1:11" s="393" customFormat="1" x14ac:dyDescent="0.25">
      <c r="A9786" s="402" t="s">
        <v>34</v>
      </c>
      <c r="B9786" s="2">
        <v>44300</v>
      </c>
      <c r="C9786" s="1">
        <v>261</v>
      </c>
      <c r="D9786" s="39">
        <f t="shared" si="873"/>
        <v>31603</v>
      </c>
      <c r="E9786" s="1">
        <v>4</v>
      </c>
      <c r="F9786" s="39">
        <f t="shared" si="870"/>
        <v>1244</v>
      </c>
      <c r="G9786" s="436">
        <f>SUM(C9786,C9762,C9738,C9714,C9690,C9666,C9642,C9618,C9594,C9570,C9546,C9522,C9498,C9474)/POBLA!$B$17*100000</f>
        <v>157.32973321342294</v>
      </c>
      <c r="H9786" s="441">
        <f t="shared" ref="H9786:H9809" si="874">SUM(C9786,C9762,C9738,C9714,C9690,C9666,C9642,C9618,C9594,C9570,C9546,C9522,C9498,C9474)/SUM(C9450,C9426,C9402,C9378,C9354,C9330,C9306,C9282,C9258,C9234,C9210,C9186,C9162,C9138)</f>
        <v>1.5803949224259521</v>
      </c>
      <c r="I9786" s="445">
        <f t="shared" si="871"/>
        <v>248.64311151712329</v>
      </c>
      <c r="J9786" s="310">
        <f t="shared" si="872"/>
        <v>191.42857142857142</v>
      </c>
      <c r="K9786" s="445">
        <f>J9786/POBLA!$B$17*100000</f>
        <v>13.439270893477831</v>
      </c>
    </row>
    <row r="9787" spans="1:11" s="393" customFormat="1" x14ac:dyDescent="0.25">
      <c r="A9787" s="402" t="s">
        <v>35</v>
      </c>
      <c r="B9787" s="2">
        <v>44300</v>
      </c>
      <c r="C9787" s="1">
        <v>233</v>
      </c>
      <c r="D9787" s="39">
        <f t="shared" si="873"/>
        <v>19522</v>
      </c>
      <c r="E9787" s="1"/>
      <c r="F9787" s="39">
        <f t="shared" si="870"/>
        <v>234</v>
      </c>
      <c r="G9787" s="436">
        <f>SUM(C9787,C9763,C9739,C9715,C9691,C9667,C9643,C9619,C9595,C9571,C9547,C9523,C9499,C9475)/POBLA!$B$18*100000</f>
        <v>284.17200342542469</v>
      </c>
      <c r="H9787" s="441">
        <f t="shared" si="874"/>
        <v>1.8331957060280759</v>
      </c>
      <c r="I9787" s="445">
        <f t="shared" si="871"/>
        <v>520.94289645288427</v>
      </c>
      <c r="J9787" s="310">
        <f t="shared" si="872"/>
        <v>198.85714285714286</v>
      </c>
      <c r="K9787" s="445">
        <f>J9787/POBLA!$B$18*100000</f>
        <v>25.454789496022599</v>
      </c>
    </row>
    <row r="9788" spans="1:11" s="393" customFormat="1" x14ac:dyDescent="0.25">
      <c r="A9788" s="402" t="s">
        <v>36</v>
      </c>
      <c r="B9788" s="2">
        <v>44300</v>
      </c>
      <c r="C9788" s="1">
        <v>486</v>
      </c>
      <c r="D9788" s="39">
        <f t="shared" si="873"/>
        <v>27916</v>
      </c>
      <c r="E9788" s="1">
        <v>2</v>
      </c>
      <c r="F9788" s="39">
        <f t="shared" si="870"/>
        <v>447</v>
      </c>
      <c r="G9788" s="436">
        <f>SUM(C9788,C9764,C9740,C9716,C9692,C9668,C9644,C9620,C9596,C9572,C9548,C9524,C9500,C9476)/POBLA!$B$19*100000</f>
        <v>1005.8466187186227</v>
      </c>
      <c r="H9788" s="441">
        <f t="shared" si="874"/>
        <v>3.9976544175136826</v>
      </c>
      <c r="I9788" s="445">
        <f t="shared" si="871"/>
        <v>4021.0271786617027</v>
      </c>
      <c r="J9788" s="310">
        <f t="shared" si="872"/>
        <v>468.57142857142856</v>
      </c>
      <c r="K9788" s="445">
        <f>J9788/POBLA!$B$19*100000</f>
        <v>92.178953071919821</v>
      </c>
    </row>
    <row r="9789" spans="1:11" s="393" customFormat="1" x14ac:dyDescent="0.25">
      <c r="A9789" s="402" t="s">
        <v>37</v>
      </c>
      <c r="B9789" s="2">
        <v>44300</v>
      </c>
      <c r="C9789" s="1">
        <v>243</v>
      </c>
      <c r="D9789" s="39">
        <f t="shared" si="873"/>
        <v>41595</v>
      </c>
      <c r="E9789" s="1">
        <v>2</v>
      </c>
      <c r="F9789" s="39">
        <f t="shared" si="870"/>
        <v>672</v>
      </c>
      <c r="G9789" s="436">
        <f>SUM(C9789,C9765,C9741,C9717,C9693,C9669,C9645,C9621,C9597,C9573,C9549,C9525,C9501,C9477)/POBLA!$B$20*100000</f>
        <v>598.85479275248974</v>
      </c>
      <c r="H9789" s="441">
        <f t="shared" si="874"/>
        <v>1.2966252220248669</v>
      </c>
      <c r="I9789" s="445">
        <f t="shared" si="871"/>
        <v>776.49022861335266</v>
      </c>
      <c r="J9789" s="310">
        <f t="shared" si="872"/>
        <v>181.42857142857142</v>
      </c>
      <c r="K9789" s="445">
        <f>J9789/POBLA!$B$20*100000</f>
        <v>49.611584265861836</v>
      </c>
    </row>
    <row r="9790" spans="1:11" s="393" customFormat="1" x14ac:dyDescent="0.25">
      <c r="A9790" s="402" t="s">
        <v>22</v>
      </c>
      <c r="B9790" s="2">
        <v>44300</v>
      </c>
      <c r="C9790" s="1">
        <v>1697</v>
      </c>
      <c r="D9790" s="39">
        <f t="shared" si="873"/>
        <v>246641</v>
      </c>
      <c r="E9790" s="1">
        <v>6</v>
      </c>
      <c r="F9790" s="39">
        <f t="shared" si="870"/>
        <v>4374</v>
      </c>
      <c r="G9790" s="436">
        <f>SUM(C9790,C9766,C9742,C9718,C9694,C9670,C9646,C9622,C9598,C9574,C9550,C9526,C9502,C9478)/POBLA!$B$21*100000</f>
        <v>428.31475238504044</v>
      </c>
      <c r="H9790" s="441">
        <f t="shared" si="874"/>
        <v>1.9753521126760563</v>
      </c>
      <c r="I9790" s="445">
        <f t="shared" si="871"/>
        <v>846.07245101411149</v>
      </c>
      <c r="J9790" s="310">
        <f t="shared" si="872"/>
        <v>1344</v>
      </c>
      <c r="K9790" s="445">
        <f>J9790/POBLA!$B$21*100000</f>
        <v>38.004557153594398</v>
      </c>
    </row>
    <row r="9791" spans="1:11" s="393" customFormat="1" x14ac:dyDescent="0.25">
      <c r="A9791" s="402" t="s">
        <v>38</v>
      </c>
      <c r="B9791" s="2">
        <v>44300</v>
      </c>
      <c r="C9791" s="1">
        <v>223</v>
      </c>
      <c r="D9791" s="39">
        <f t="shared" si="873"/>
        <v>27306</v>
      </c>
      <c r="E9791" s="1">
        <v>3</v>
      </c>
      <c r="F9791" s="39">
        <f t="shared" si="870"/>
        <v>312</v>
      </c>
      <c r="G9791" s="436">
        <f>SUM(C9791,C9767,C9743,C9719,C9695,C9671,C9647,C9623,C9599,C9575,C9551,C9527,C9503,C9479)/POBLA!$B$22*100000</f>
        <v>224.4680383476454</v>
      </c>
      <c r="H9791" s="441">
        <f t="shared" si="874"/>
        <v>1.5741935483870968</v>
      </c>
      <c r="I9791" s="445">
        <f t="shared" si="871"/>
        <v>353.35613778597082</v>
      </c>
      <c r="J9791" s="310">
        <f t="shared" si="872"/>
        <v>181.14285714285714</v>
      </c>
      <c r="K9791" s="445">
        <f>J9791/POBLA!$B$22*100000</f>
        <v>18.515838708353783</v>
      </c>
    </row>
    <row r="9792" spans="1:11" s="393" customFormat="1" x14ac:dyDescent="0.25">
      <c r="A9792" s="402" t="s">
        <v>39</v>
      </c>
      <c r="B9792" s="2">
        <v>44300</v>
      </c>
      <c r="C9792" s="1">
        <v>120</v>
      </c>
      <c r="D9792" s="39">
        <f t="shared" si="873"/>
        <v>25177</v>
      </c>
      <c r="E9792" s="1"/>
      <c r="F9792" s="39">
        <f t="shared" si="870"/>
        <v>372</v>
      </c>
      <c r="G9792" s="436">
        <f>SUM(C9792,C9768,C9744,C9720,C9696,C9672,C9648,C9624,C9600,C9576,C9552,C9528,C9504,C9480)/POBLA!$B$23*100000</f>
        <v>615.84572753492057</v>
      </c>
      <c r="H9792" s="441">
        <f t="shared" si="874"/>
        <v>1.704225352112676</v>
      </c>
      <c r="I9792" s="445">
        <f t="shared" si="871"/>
        <v>1049.5399018552871</v>
      </c>
      <c r="J9792" s="310">
        <f t="shared" si="872"/>
        <v>98.857142857142861</v>
      </c>
      <c r="K9792" s="445">
        <f>J9792/POBLA!$B$23*100000</f>
        <v>55.905187387401945</v>
      </c>
    </row>
    <row r="9793" spans="1:11" s="393" customFormat="1" ht="15.75" thickBot="1" x14ac:dyDescent="0.3">
      <c r="A9793" s="404" t="s">
        <v>40</v>
      </c>
      <c r="B9793" s="2">
        <v>44300</v>
      </c>
      <c r="C9793" s="1">
        <v>721</v>
      </c>
      <c r="D9793" s="177">
        <f t="shared" si="873"/>
        <v>95353</v>
      </c>
      <c r="E9793" s="1">
        <v>20</v>
      </c>
      <c r="F9793" s="177">
        <f t="shared" si="870"/>
        <v>1557</v>
      </c>
      <c r="G9793" s="439">
        <f>SUM(C9793,C9769,C9745,C9721,C9697,C9673,C9649,C9625,C9601,C9577,C9553,C9529,C9505,C9481)/POBLA!$B$24*100000</f>
        <v>442.62670418067148</v>
      </c>
      <c r="H9793" s="442">
        <f t="shared" si="874"/>
        <v>1.5361458120008191</v>
      </c>
      <c r="I9793" s="445">
        <f t="shared" si="871"/>
        <v>679.9391579068639</v>
      </c>
      <c r="J9793" s="310">
        <f t="shared" si="872"/>
        <v>634.42857142857144</v>
      </c>
      <c r="K9793" s="445">
        <f>J9793/POBLA!$B$24*100000</f>
        <v>37.437012079653421</v>
      </c>
    </row>
    <row r="9794" spans="1:11" s="393" customFormat="1" x14ac:dyDescent="0.25">
      <c r="A9794" s="409" t="s">
        <v>16</v>
      </c>
      <c r="B9794" s="2">
        <v>44301</v>
      </c>
      <c r="C9794" s="42">
        <v>12891</v>
      </c>
      <c r="D9794" s="264">
        <f t="shared" si="873"/>
        <v>1130148</v>
      </c>
      <c r="E9794" s="1">
        <v>271</v>
      </c>
      <c r="F9794" s="264">
        <f t="shared" ref="F9794:F9817" si="875">E9794+F9770</f>
        <v>30089</v>
      </c>
      <c r="G9794" s="454">
        <f>SUM(C9794,C9770,C9746,C9722,C9698,C9674,C9650,C9626,C9602,C9578,C9554,C9530,C9506,C9482)/POBLA!$B$1*100000</f>
        <v>772.43549892221949</v>
      </c>
      <c r="H9794" s="455">
        <f t="shared" si="874"/>
        <v>2.1236305502876038</v>
      </c>
      <c r="I9794" s="445">
        <f>G9794*H9794</f>
        <v>1640.3676236378728</v>
      </c>
      <c r="J9794" s="310">
        <f>AVERAGE(C9794,C9770,C9746,C9722,C9698,C9674,C9650)</f>
        <v>11452.571428571429</v>
      </c>
      <c r="K9794" s="445">
        <f>J9794/POBLA!$B$1*100000</f>
        <v>65.289774642205032</v>
      </c>
    </row>
    <row r="9795" spans="1:11" s="393" customFormat="1" x14ac:dyDescent="0.25">
      <c r="A9795" s="402" t="s">
        <v>43</v>
      </c>
      <c r="B9795" s="2">
        <v>44301</v>
      </c>
      <c r="C9795" s="42">
        <v>2843</v>
      </c>
      <c r="D9795" s="39">
        <f t="shared" si="873"/>
        <v>297569</v>
      </c>
      <c r="E9795" s="1">
        <v>24</v>
      </c>
      <c r="F9795" s="39">
        <f t="shared" si="875"/>
        <v>7177</v>
      </c>
      <c r="G9795" s="436">
        <f>SUM(C9795,C9771,C9747,C9723,C9699,C9675,C9651,C9627,C9603,C9579,C9555,C9531,C9507,C9483)/POBLA!$B$2*100000</f>
        <v>1126.9177272026755</v>
      </c>
      <c r="H9795" s="441">
        <f t="shared" si="874"/>
        <v>2.0322486074464967</v>
      </c>
      <c r="I9795" s="445">
        <f t="shared" ref="I9795:I9817" si="876">G9795*H9795</f>
        <v>2290.1769818144085</v>
      </c>
      <c r="J9795" s="310">
        <f t="shared" ref="J9795:J9817" si="877">AVERAGE(C9795,C9771,C9747,C9723,C9699,C9675,C9651)</f>
        <v>2796.5714285714284</v>
      </c>
      <c r="K9795" s="445">
        <f>J9795/POBLA!$B$2*100000</f>
        <v>90.926310393700334</v>
      </c>
    </row>
    <row r="9796" spans="1:11" s="393" customFormat="1" x14ac:dyDescent="0.25">
      <c r="A9796" s="402" t="s">
        <v>28</v>
      </c>
      <c r="B9796" s="2">
        <v>44301</v>
      </c>
      <c r="C9796" s="42">
        <v>163</v>
      </c>
      <c r="D9796" s="39">
        <f t="shared" si="873"/>
        <v>12348</v>
      </c>
      <c r="E9796" s="1"/>
      <c r="F9796" s="39">
        <f t="shared" si="875"/>
        <v>18</v>
      </c>
      <c r="G9796" s="436">
        <f>SUM(C9796,C9772,C9748,C9724,C9700,C9676,C9652,C9628,C9604,C9580,C9556,C9532,C9508,C9484)/POBLA!$B$3*100000</f>
        <v>437.61042562307733</v>
      </c>
      <c r="H9796" s="441">
        <f t="shared" si="874"/>
        <v>1.6974789915966386</v>
      </c>
      <c r="I9796" s="445">
        <f t="shared" si="876"/>
        <v>742.83450399883714</v>
      </c>
      <c r="J9796" s="310">
        <f t="shared" si="877"/>
        <v>151.57142857142858</v>
      </c>
      <c r="K9796" s="445">
        <f>J9796/POBLA!$B$3*100000</f>
        <v>36.48472902609501</v>
      </c>
    </row>
    <row r="9797" spans="1:11" s="393" customFormat="1" x14ac:dyDescent="0.25">
      <c r="A9797" s="402" t="s">
        <v>15</v>
      </c>
      <c r="B9797" s="2">
        <v>44301</v>
      </c>
      <c r="C9797" s="42">
        <v>347</v>
      </c>
      <c r="D9797" s="39">
        <f t="shared" si="873"/>
        <v>41425</v>
      </c>
      <c r="E9797" s="1">
        <v>3</v>
      </c>
      <c r="F9797" s="39">
        <f t="shared" si="875"/>
        <v>981</v>
      </c>
      <c r="G9797" s="436">
        <f>SUM(C9797,C9773,C9749,C9725,C9701,C9677,C9653,C9629,C9605,C9581,C9557,C9533,C9509,C9485)/POBLA!$B$4*100000</f>
        <v>228.55178860661448</v>
      </c>
      <c r="H9797" s="441">
        <f t="shared" si="874"/>
        <v>1.2710064635272391</v>
      </c>
      <c r="I9797" s="445">
        <f t="shared" si="876"/>
        <v>290.4908005697182</v>
      </c>
      <c r="J9797" s="310">
        <f t="shared" si="877"/>
        <v>234.42857142857142</v>
      </c>
      <c r="K9797" s="445">
        <f>J9797/POBLA!$B$4*100000</f>
        <v>19.462066582089893</v>
      </c>
    </row>
    <row r="9798" spans="1:11" s="393" customFormat="1" x14ac:dyDescent="0.25">
      <c r="A9798" s="402" t="s">
        <v>29</v>
      </c>
      <c r="B9798" s="2">
        <v>44301</v>
      </c>
      <c r="C9798" s="42">
        <v>185</v>
      </c>
      <c r="D9798" s="39">
        <f t="shared" si="873"/>
        <v>52173</v>
      </c>
      <c r="E9798" s="1"/>
      <c r="F9798" s="39">
        <f t="shared" si="875"/>
        <v>881</v>
      </c>
      <c r="G9798" s="436">
        <f>SUM(C9798,C9774,C9750,C9726,C9702,C9678,C9654,C9630,C9606,C9582,C9558,C9534,C9510,C9486)/POBLA!$B$5*100000</f>
        <v>314.86573375509295</v>
      </c>
      <c r="H9798" s="441">
        <f t="shared" si="874"/>
        <v>1.1769323671497585</v>
      </c>
      <c r="I9798" s="445">
        <f t="shared" si="876"/>
        <v>370.57567336272717</v>
      </c>
      <c r="J9798" s="310">
        <f t="shared" si="877"/>
        <v>165.71428571428572</v>
      </c>
      <c r="K9798" s="445">
        <f>J9798/POBLA!$B$5*100000</f>
        <v>26.771549597295891</v>
      </c>
    </row>
    <row r="9799" spans="1:11" s="393" customFormat="1" x14ac:dyDescent="0.25">
      <c r="A9799" s="402" t="s">
        <v>30</v>
      </c>
      <c r="B9799" s="2">
        <v>44301</v>
      </c>
      <c r="C9799" s="42">
        <v>167</v>
      </c>
      <c r="D9799" s="39">
        <f t="shared" si="873"/>
        <v>34074</v>
      </c>
      <c r="E9799" s="1">
        <v>10</v>
      </c>
      <c r="F9799" s="39">
        <f t="shared" si="875"/>
        <v>381</v>
      </c>
      <c r="G9799" s="436">
        <f>SUM(C9799,C9775,C9751,C9727,C9703,C9679,C9655,C9631,C9607,C9583,C9559,C9535,C9511,C9487)/POBLA!$B$6*100000</f>
        <v>320.84196927019161</v>
      </c>
      <c r="H9799" s="441">
        <f t="shared" si="874"/>
        <v>0.76526920621408812</v>
      </c>
      <c r="I9799" s="445">
        <f t="shared" si="876"/>
        <v>245.53047914356438</v>
      </c>
      <c r="J9799" s="310">
        <f t="shared" si="877"/>
        <v>247.57142857142858</v>
      </c>
      <c r="K9799" s="445">
        <f>J9799/POBLA!$B$6*100000</f>
        <v>22.088794404308043</v>
      </c>
    </row>
    <row r="9800" spans="1:11" s="393" customFormat="1" x14ac:dyDescent="0.25">
      <c r="A9800" s="402" t="s">
        <v>20</v>
      </c>
      <c r="B9800" s="2">
        <v>44301</v>
      </c>
      <c r="C9800" s="42">
        <v>1605</v>
      </c>
      <c r="D9800" s="39">
        <f t="shared" si="873"/>
        <v>202241</v>
      </c>
      <c r="E9800" s="1">
        <v>18</v>
      </c>
      <c r="F9800" s="39">
        <f t="shared" si="875"/>
        <v>3162</v>
      </c>
      <c r="G9800" s="436">
        <f>SUM(C9800,C9776,C9752,C9728,C9704,C9680,C9656,C9632,C9608,C9584,C9560,C9536,C9512,C9488)/POBLA!$B$7*100000</f>
        <v>542.86056190083627</v>
      </c>
      <c r="H9800" s="441">
        <f t="shared" si="874"/>
        <v>1.8120007101011895</v>
      </c>
      <c r="I9800" s="445">
        <f t="shared" si="876"/>
        <v>983.66372365024608</v>
      </c>
      <c r="J9800" s="310">
        <f t="shared" si="877"/>
        <v>1598.2857142857142</v>
      </c>
      <c r="K9800" s="445">
        <f>J9800/POBLA!$B$7*100000</f>
        <v>42.502512047380343</v>
      </c>
    </row>
    <row r="9801" spans="1:11" x14ac:dyDescent="0.25">
      <c r="A9801" s="402" t="s">
        <v>31</v>
      </c>
      <c r="B9801" s="2">
        <v>44301</v>
      </c>
      <c r="C9801" s="42">
        <v>524</v>
      </c>
      <c r="D9801" s="39">
        <f t="shared" si="873"/>
        <v>55071</v>
      </c>
      <c r="E9801" s="1">
        <v>6</v>
      </c>
      <c r="F9801" s="39">
        <f t="shared" si="875"/>
        <v>995</v>
      </c>
      <c r="G9801" s="169">
        <f>SUM(C9801,C9777,C9753,C9729,C9705,C9681,C9657,C9633,C9609,C9585,C9561,C9537,C9513,C9489)/POBLA!$B$8*100000</f>
        <v>353.25669337015978</v>
      </c>
      <c r="H9801" s="518">
        <f t="shared" si="874"/>
        <v>1.9065420560747663</v>
      </c>
      <c r="I9801" s="310">
        <f t="shared" si="876"/>
        <v>673.49874250011771</v>
      </c>
      <c r="J9801" s="310">
        <f t="shared" si="877"/>
        <v>443</v>
      </c>
      <c r="K9801" s="310">
        <f>J9801/POBLA!$B$8*100000</f>
        <v>31.963381364987903</v>
      </c>
    </row>
    <row r="9802" spans="1:11" s="393" customFormat="1" x14ac:dyDescent="0.25">
      <c r="A9802" s="402" t="s">
        <v>41</v>
      </c>
      <c r="B9802" s="2">
        <v>44301</v>
      </c>
      <c r="C9802" s="42">
        <v>94</v>
      </c>
      <c r="D9802" s="39">
        <f t="shared" si="873"/>
        <v>3319</v>
      </c>
      <c r="E9802" s="1">
        <v>8</v>
      </c>
      <c r="F9802" s="39">
        <f t="shared" si="875"/>
        <v>61</v>
      </c>
      <c r="G9802" s="436">
        <f>SUM(C9802,C9778,C9754,C9730,C9706,C9682,C9658,C9634,C9610,C9586,C9562,C9538,C9514,C9490)/POBLA!$B$9*100000</f>
        <v>169.36745798447768</v>
      </c>
      <c r="H9802" s="441">
        <f t="shared" si="874"/>
        <v>1.6167192429022081</v>
      </c>
      <c r="I9802" s="445">
        <f t="shared" si="876"/>
        <v>273.81962844493631</v>
      </c>
      <c r="J9802" s="310">
        <f t="shared" si="877"/>
        <v>111.14285714285714</v>
      </c>
      <c r="K9802" s="445">
        <f>J9802/POBLA!$B$9*100000</f>
        <v>18.364861646261133</v>
      </c>
    </row>
    <row r="9803" spans="1:11" s="393" customFormat="1" x14ac:dyDescent="0.25">
      <c r="A9803" s="402" t="s">
        <v>32</v>
      </c>
      <c r="B9803" s="2">
        <v>44301</v>
      </c>
      <c r="C9803" s="42">
        <v>81</v>
      </c>
      <c r="D9803" s="39">
        <f t="shared" si="873"/>
        <v>23359</v>
      </c>
      <c r="E9803" s="1"/>
      <c r="F9803" s="39">
        <f t="shared" si="875"/>
        <v>998</v>
      </c>
      <c r="G9803" s="436">
        <f>SUM(C9803,C9779,C9755,C9731,C9707,C9683,C9659,C9635,C9611,C9587,C9563,C9539,C9515,C9491)/POBLA!$B$10*100000</f>
        <v>107.15013082434254</v>
      </c>
      <c r="H9803" s="441">
        <f t="shared" si="874"/>
        <v>1.2846034214618973</v>
      </c>
      <c r="I9803" s="445">
        <f t="shared" si="876"/>
        <v>137.64542466704034</v>
      </c>
      <c r="J9803" s="310">
        <f t="shared" si="877"/>
        <v>67</v>
      </c>
      <c r="K9803" s="445">
        <f>J9803/POBLA!$B$10*100000</f>
        <v>8.6913544373256055</v>
      </c>
    </row>
    <row r="9804" spans="1:11" s="393" customFormat="1" x14ac:dyDescent="0.25">
      <c r="A9804" s="402" t="s">
        <v>33</v>
      </c>
      <c r="B9804" s="2">
        <v>44301</v>
      </c>
      <c r="C9804" s="42">
        <v>207</v>
      </c>
      <c r="D9804" s="39">
        <f t="shared" si="873"/>
        <v>23327</v>
      </c>
      <c r="E9804" s="1"/>
      <c r="F9804" s="39">
        <f t="shared" si="875"/>
        <v>332</v>
      </c>
      <c r="G9804" s="436">
        <f>SUM(C9804,C9780,C9756,C9732,C9708,C9684,C9660,C9636,C9612,C9588,C9564,C9540,C9516,C9492)/POBLA!$B$11*100000</f>
        <v>541.81034963786317</v>
      </c>
      <c r="H9804" s="441">
        <f t="shared" si="874"/>
        <v>1.808193668528864</v>
      </c>
      <c r="I9804" s="445">
        <f t="shared" si="876"/>
        <v>979.69804375859428</v>
      </c>
      <c r="J9804" s="310">
        <f t="shared" si="877"/>
        <v>153</v>
      </c>
      <c r="K9804" s="445">
        <f>J9804/POBLA!$B$11*100000</f>
        <v>42.686397268070579</v>
      </c>
    </row>
    <row r="9805" spans="1:11" s="393" customFormat="1" x14ac:dyDescent="0.25">
      <c r="A9805" s="402" t="s">
        <v>21</v>
      </c>
      <c r="B9805" s="2">
        <v>44301</v>
      </c>
      <c r="C9805" s="42">
        <v>110</v>
      </c>
      <c r="D9805" s="39">
        <f t="shared" si="873"/>
        <v>12289</v>
      </c>
      <c r="E9805" s="1"/>
      <c r="F9805" s="39">
        <f t="shared" si="875"/>
        <v>451</v>
      </c>
      <c r="G9805" s="436">
        <f>SUM(C9805,C9781,C9757,C9733,C9709,C9685,C9661,C9637,C9613,C9589,C9565,C9541,C9517,C9493)/POBLA!$B$12*100000</f>
        <v>288.66849117350347</v>
      </c>
      <c r="H9805" s="441">
        <f t="shared" si="874"/>
        <v>2.1313320825515949</v>
      </c>
      <c r="I9805" s="445">
        <f t="shared" si="876"/>
        <v>615.24841645984986</v>
      </c>
      <c r="J9805" s="310">
        <f t="shared" si="877"/>
        <v>82.142857142857139</v>
      </c>
      <c r="K9805" s="445">
        <f>J9805/POBLA!$B$12*100000</f>
        <v>20.873287528265152</v>
      </c>
    </row>
    <row r="9806" spans="1:11" s="393" customFormat="1" x14ac:dyDescent="0.25">
      <c r="A9806" s="402" t="s">
        <v>17</v>
      </c>
      <c r="B9806" s="2">
        <v>44301</v>
      </c>
      <c r="C9806" s="42">
        <v>1050</v>
      </c>
      <c r="D9806" s="39">
        <f t="shared" si="873"/>
        <v>83664</v>
      </c>
      <c r="E9806" s="1">
        <v>6</v>
      </c>
      <c r="F9806" s="39">
        <f t="shared" si="875"/>
        <v>1623</v>
      </c>
      <c r="G9806" s="436">
        <f>SUM(C9806,C9782,C9758,C9734,C9710,C9686,C9662,C9638,C9614,C9590,C9566,C9542,C9518,C9494)/POBLA!$B$13*100000</f>
        <v>510.91824604665135</v>
      </c>
      <c r="H9806" s="441">
        <f t="shared" si="874"/>
        <v>2.9305475504322764</v>
      </c>
      <c r="I9806" s="445">
        <f t="shared" si="876"/>
        <v>1497.2702144231691</v>
      </c>
      <c r="J9806" s="310">
        <f t="shared" si="877"/>
        <v>839.14285714285711</v>
      </c>
      <c r="K9806" s="445">
        <f>J9806/POBLA!$B$13*100000</f>
        <v>42.160821787196802</v>
      </c>
    </row>
    <row r="9807" spans="1:11" s="393" customFormat="1" x14ac:dyDescent="0.25">
      <c r="A9807" s="402" t="s">
        <v>23</v>
      </c>
      <c r="B9807" s="2">
        <v>44301</v>
      </c>
      <c r="C9807" s="42">
        <v>99</v>
      </c>
      <c r="D9807" s="39">
        <f t="shared" si="873"/>
        <v>13877</v>
      </c>
      <c r="E9807" s="1"/>
      <c r="F9807" s="39">
        <f t="shared" si="875"/>
        <v>225</v>
      </c>
      <c r="G9807" s="436">
        <f>SUM(C9807,C9783,C9759,C9735,C9711,C9687,C9663,C9639,C9615,C9591,C9567,C9543,C9519,C9495)/POBLA!$B$14*100000</f>
        <v>136.60573981958211</v>
      </c>
      <c r="H9807" s="441">
        <f t="shared" si="874"/>
        <v>1.0183215130023642</v>
      </c>
      <c r="I9807" s="445">
        <f t="shared" si="876"/>
        <v>139.10856365788416</v>
      </c>
      <c r="J9807" s="310">
        <f t="shared" si="877"/>
        <v>144.14285714285714</v>
      </c>
      <c r="K9807" s="445">
        <f>J9807/POBLA!$B$14*100000</f>
        <v>11.428172745042563</v>
      </c>
    </row>
    <row r="9808" spans="1:11" s="393" customFormat="1" x14ac:dyDescent="0.25">
      <c r="A9808" s="402" t="s">
        <v>19</v>
      </c>
      <c r="B9808" s="2">
        <v>44301</v>
      </c>
      <c r="C9808" s="42">
        <v>206</v>
      </c>
      <c r="D9808" s="39">
        <f t="shared" si="873"/>
        <v>67288</v>
      </c>
      <c r="E9808" s="1">
        <v>1</v>
      </c>
      <c r="F9808" s="39">
        <f t="shared" si="875"/>
        <v>1026</v>
      </c>
      <c r="G9808" s="436">
        <f>SUM(C9808,C9784,C9760,C9736,C9712,C9688,C9664,C9640,C9616,C9592,C9568,C9544,C9520,C9496)/POBLA!$B$15*100000</f>
        <v>297.71540696054706</v>
      </c>
      <c r="H9808" s="441">
        <f t="shared" si="874"/>
        <v>1.2664958360025624</v>
      </c>
      <c r="I9808" s="445">
        <f t="shared" si="876"/>
        <v>377.05532322934113</v>
      </c>
      <c r="J9808" s="310">
        <f t="shared" si="877"/>
        <v>159.28571428571428</v>
      </c>
      <c r="K9808" s="445">
        <f>J9808/POBLA!$B$15*100000</f>
        <v>23.986753288605389</v>
      </c>
    </row>
    <row r="9809" spans="1:11" s="393" customFormat="1" x14ac:dyDescent="0.25">
      <c r="A9809" s="402" t="s">
        <v>18</v>
      </c>
      <c r="B9809" s="2">
        <v>44301</v>
      </c>
      <c r="C9809" s="42">
        <v>202</v>
      </c>
      <c r="D9809" s="39">
        <f t="shared" si="873"/>
        <v>57646</v>
      </c>
      <c r="E9809" s="1">
        <v>2</v>
      </c>
      <c r="F9809" s="39">
        <f t="shared" si="875"/>
        <v>1310</v>
      </c>
      <c r="G9809" s="436">
        <f>SUM(C9809,C9785,C9761,C9737,C9713,C9689,C9665,C9641,C9617,C9593,C9569,C9545,C9521,C9497)/POBLA!$B$16*100000</f>
        <v>279.95880204919678</v>
      </c>
      <c r="H9809" s="441">
        <f t="shared" si="874"/>
        <v>1.5760542168674698</v>
      </c>
      <c r="I9809" s="445">
        <f t="shared" si="876"/>
        <v>441.23025051880182</v>
      </c>
      <c r="J9809" s="310">
        <f t="shared" si="877"/>
        <v>180</v>
      </c>
      <c r="K9809" s="445">
        <f>J9809/POBLA!$B$16*100000</f>
        <v>24.076724495391982</v>
      </c>
    </row>
    <row r="9810" spans="1:11" s="393" customFormat="1" x14ac:dyDescent="0.25">
      <c r="A9810" s="402" t="s">
        <v>34</v>
      </c>
      <c r="B9810" s="2">
        <v>44301</v>
      </c>
      <c r="C9810" s="42">
        <v>268</v>
      </c>
      <c r="D9810" s="39">
        <f t="shared" si="873"/>
        <v>31871</v>
      </c>
      <c r="E9810" s="1">
        <v>3</v>
      </c>
      <c r="F9810" s="39">
        <f t="shared" si="875"/>
        <v>1247</v>
      </c>
      <c r="G9810" s="436">
        <f>SUM(C9810,C9786,C9762,C9738,C9714,C9690,C9666,C9642,C9618,C9594,C9570,C9546,C9522,C9498)/POBLA!$B$17*100000</f>
        <v>164.70127359156191</v>
      </c>
      <c r="H9810" s="441">
        <f t="shared" ref="H9810:H9833" si="878">SUM(C9810,C9786,C9762,C9738,C9714,C9690,C9666,C9642,C9618,C9594,C9570,C9546,C9522,C9498)/SUM(C9474,C9450,C9426,C9402,C9378,C9354,C9330,C9306,C9282,C9258,C9234,C9210,C9186,C9162)</f>
        <v>1.6337047353760445</v>
      </c>
      <c r="I9810" s="445">
        <f t="shared" si="876"/>
        <v>269.07325058900017</v>
      </c>
      <c r="J9810" s="310">
        <f t="shared" si="877"/>
        <v>197.71428571428572</v>
      </c>
      <c r="K9810" s="445">
        <f>J9810/POBLA!$B$17*100000</f>
        <v>13.880560385502477</v>
      </c>
    </row>
    <row r="9811" spans="1:11" s="393" customFormat="1" x14ac:dyDescent="0.25">
      <c r="A9811" s="402" t="s">
        <v>35</v>
      </c>
      <c r="B9811" s="2">
        <v>44301</v>
      </c>
      <c r="C9811" s="42">
        <v>271</v>
      </c>
      <c r="D9811" s="39">
        <f t="shared" si="873"/>
        <v>19793</v>
      </c>
      <c r="E9811" s="1">
        <v>4</v>
      </c>
      <c r="F9811" s="39">
        <f t="shared" si="875"/>
        <v>238</v>
      </c>
      <c r="G9811" s="436">
        <f>SUM(C9811,C9787,C9763,C9739,C9715,C9691,C9667,C9643,C9619,C9595,C9571,C9547,C9523,C9499)/POBLA!$B$18*100000</f>
        <v>307.21297667613476</v>
      </c>
      <c r="H9811" s="441">
        <f t="shared" si="878"/>
        <v>1.9753086419753085</v>
      </c>
      <c r="I9811" s="445">
        <f t="shared" si="876"/>
        <v>606.84044775532789</v>
      </c>
      <c r="J9811" s="310">
        <f t="shared" si="877"/>
        <v>190.28571428571428</v>
      </c>
      <c r="K9811" s="445">
        <f>J9811/POBLA!$B$18*100000</f>
        <v>24.357600293607828</v>
      </c>
    </row>
    <row r="9812" spans="1:11" s="393" customFormat="1" x14ac:dyDescent="0.25">
      <c r="A9812" s="402" t="s">
        <v>36</v>
      </c>
      <c r="B9812" s="2">
        <v>44301</v>
      </c>
      <c r="C9812" s="42">
        <v>433</v>
      </c>
      <c r="D9812" s="39">
        <f t="shared" si="873"/>
        <v>28349</v>
      </c>
      <c r="E9812" s="1">
        <v>1</v>
      </c>
      <c r="F9812" s="39">
        <f t="shared" si="875"/>
        <v>448</v>
      </c>
      <c r="G9812" s="436">
        <f>SUM(C9812,C9788,C9764,C9740,C9716,C9692,C9668,C9644,C9620,C9596,C9572,C9548,C9524,C9500)/POBLA!$B$19*100000</f>
        <v>1042.6338899293369</v>
      </c>
      <c r="H9812" s="441">
        <f t="shared" si="878"/>
        <v>3.5029742233972239</v>
      </c>
      <c r="I9812" s="445">
        <f t="shared" si="876"/>
        <v>3652.3196408628455</v>
      </c>
      <c r="J9812" s="310">
        <f t="shared" si="877"/>
        <v>455.71428571428572</v>
      </c>
      <c r="K9812" s="445">
        <f>J9812/POBLA!$B$19*100000</f>
        <v>89.649652530312267</v>
      </c>
    </row>
    <row r="9813" spans="1:11" s="393" customFormat="1" x14ac:dyDescent="0.25">
      <c r="A9813" s="402" t="s">
        <v>37</v>
      </c>
      <c r="B9813" s="2">
        <v>44301</v>
      </c>
      <c r="C9813" s="42">
        <v>189</v>
      </c>
      <c r="D9813" s="39">
        <f t="shared" si="873"/>
        <v>41784</v>
      </c>
      <c r="E9813" s="1">
        <v>2</v>
      </c>
      <c r="F9813" s="39">
        <f t="shared" si="875"/>
        <v>674</v>
      </c>
      <c r="G9813" s="436">
        <f>SUM(C9813,C9789,C9765,C9741,C9717,C9693,C9669,C9645,C9621,C9597,C9573,C9549,C9525,C9501)/POBLA!$B$20*100000</f>
        <v>601.86273920010501</v>
      </c>
      <c r="H9813" s="441">
        <f t="shared" si="878"/>
        <v>1.278164924506388</v>
      </c>
      <c r="I9813" s="445">
        <f t="shared" si="876"/>
        <v>769.2798426129101</v>
      </c>
      <c r="J9813" s="310">
        <f t="shared" si="877"/>
        <v>182.71428571428572</v>
      </c>
      <c r="K9813" s="445">
        <f>J9813/POBLA!$B$20*100000</f>
        <v>49.963162422076607</v>
      </c>
    </row>
    <row r="9814" spans="1:11" s="393" customFormat="1" x14ac:dyDescent="0.25">
      <c r="A9814" s="402" t="s">
        <v>22</v>
      </c>
      <c r="B9814" s="2">
        <v>44301</v>
      </c>
      <c r="C9814" s="42">
        <v>2012</v>
      </c>
      <c r="D9814" s="39">
        <f t="shared" si="873"/>
        <v>248653</v>
      </c>
      <c r="E9814" s="1">
        <v>14</v>
      </c>
      <c r="F9814" s="39">
        <f t="shared" si="875"/>
        <v>4388</v>
      </c>
      <c r="G9814" s="436">
        <f>SUM(C9814,C9790,C9766,C9742,C9718,C9694,C9670,C9646,C9622,C9598,C9574,C9550,C9526,C9502)/POBLA!$B$21*100000</f>
        <v>456.30918064550059</v>
      </c>
      <c r="H9814" s="441">
        <f t="shared" si="878"/>
        <v>1.9669673330082886</v>
      </c>
      <c r="I9814" s="445">
        <f t="shared" si="876"/>
        <v>897.54525208147766</v>
      </c>
      <c r="J9814" s="310">
        <f t="shared" si="877"/>
        <v>1436.4285714285713</v>
      </c>
      <c r="K9814" s="445">
        <f>J9814/POBLA!$B$21*100000</f>
        <v>40.618178377911526</v>
      </c>
    </row>
    <row r="9815" spans="1:11" s="393" customFormat="1" x14ac:dyDescent="0.25">
      <c r="A9815" s="402" t="s">
        <v>38</v>
      </c>
      <c r="B9815" s="2">
        <v>44301</v>
      </c>
      <c r="C9815" s="42">
        <v>201</v>
      </c>
      <c r="D9815" s="39">
        <f t="shared" si="873"/>
        <v>27507</v>
      </c>
      <c r="E9815" s="1"/>
      <c r="F9815" s="39">
        <f t="shared" si="875"/>
        <v>312</v>
      </c>
      <c r="G9815" s="436">
        <f>SUM(C9815,C9791,C9767,C9743,C9719,C9695,C9671,C9647,C9623,C9599,C9575,C9551,C9527,C9503)/POBLA!$B$22*100000</f>
        <v>225.49020609968383</v>
      </c>
      <c r="H9815" s="441">
        <f t="shared" si="878"/>
        <v>1.494579945799458</v>
      </c>
      <c r="I9815" s="445">
        <f t="shared" si="876"/>
        <v>337.01314001077407</v>
      </c>
      <c r="J9815" s="310">
        <f t="shared" si="877"/>
        <v>185.71428571428572</v>
      </c>
      <c r="K9815" s="445">
        <f>J9815/POBLA!$B$22*100000</f>
        <v>18.983115394999935</v>
      </c>
    </row>
    <row r="9816" spans="1:11" s="393" customFormat="1" x14ac:dyDescent="0.25">
      <c r="A9816" s="402" t="s">
        <v>39</v>
      </c>
      <c r="B9816" s="2">
        <v>44301</v>
      </c>
      <c r="C9816" s="42">
        <v>54</v>
      </c>
      <c r="D9816" s="39">
        <f t="shared" si="873"/>
        <v>25231</v>
      </c>
      <c r="E9816" s="1">
        <v>2</v>
      </c>
      <c r="F9816" s="39">
        <f t="shared" si="875"/>
        <v>374</v>
      </c>
      <c r="G9816" s="436">
        <f>SUM(C9816,C9792,C9768,C9744,C9720,C9696,C9672,C9648,C9624,C9600,C9576,C9552,C9528,C9504)/POBLA!$B$23*100000</f>
        <v>614.14918283096756</v>
      </c>
      <c r="H9816" s="441">
        <f t="shared" si="878"/>
        <v>1.6811145510835914</v>
      </c>
      <c r="I9816" s="445">
        <f t="shared" si="876"/>
        <v>1032.4551277932364</v>
      </c>
      <c r="J9816" s="310">
        <f t="shared" si="877"/>
        <v>96.714285714285708</v>
      </c>
      <c r="K9816" s="445">
        <f>J9816/POBLA!$B$23*100000</f>
        <v>54.693369741721263</v>
      </c>
    </row>
    <row r="9817" spans="1:11" s="393" customFormat="1" ht="15.75" thickBot="1" x14ac:dyDescent="0.3">
      <c r="A9817" s="404" t="s">
        <v>40</v>
      </c>
      <c r="B9817" s="2">
        <v>44301</v>
      </c>
      <c r="C9817" s="42">
        <v>797</v>
      </c>
      <c r="D9817" s="177">
        <f t="shared" si="873"/>
        <v>96150</v>
      </c>
      <c r="E9817" s="1">
        <v>8</v>
      </c>
      <c r="F9817" s="177">
        <f t="shared" si="875"/>
        <v>1565</v>
      </c>
      <c r="G9817" s="439">
        <f>SUM(C9817,C9793,C9769,C9745,C9721,C9697,C9673,C9649,C9625,C9601,C9577,C9553,C9529,C9505)/POBLA!$B$24*100000</f>
        <v>457.79202386797078</v>
      </c>
      <c r="H9817" s="442">
        <f t="shared" si="878"/>
        <v>1.5310834813499112</v>
      </c>
      <c r="I9817" s="445">
        <f t="shared" si="876"/>
        <v>700.91780563799432</v>
      </c>
      <c r="J9817" s="310">
        <f t="shared" si="877"/>
        <v>629.85714285714289</v>
      </c>
      <c r="K9817" s="445">
        <f>J9817/POBLA!$B$24*100000</f>
        <v>37.167256532130587</v>
      </c>
    </row>
    <row r="9818" spans="1:11" s="393" customFormat="1" x14ac:dyDescent="0.25">
      <c r="A9818" s="409" t="s">
        <v>16</v>
      </c>
      <c r="B9818" s="2">
        <v>44302</v>
      </c>
      <c r="C9818" s="1">
        <v>15166</v>
      </c>
      <c r="D9818" s="264">
        <f t="shared" si="873"/>
        <v>1145314</v>
      </c>
      <c r="E9818" s="1">
        <v>56</v>
      </c>
      <c r="F9818" s="264">
        <f t="shared" ref="F9818:F9841" si="879">E9818+F9794</f>
        <v>30145</v>
      </c>
      <c r="G9818" s="454">
        <f>SUM(C9818,C9794,C9770,C9746,C9722,C9698,C9674,C9650,C9626,C9602,C9578,C9554,C9530,C9506)/POBLA!$B$1*100000</f>
        <v>830.29946569610263</v>
      </c>
      <c r="H9818" s="455">
        <f t="shared" si="878"/>
        <v>2.2311687117974173</v>
      </c>
      <c r="I9818" s="445">
        <f>G9818*H9818</f>
        <v>1852.5381892832572</v>
      </c>
      <c r="J9818" s="310">
        <f>AVERAGE(C9818,C9794,C9770,C9746,C9722,C9698,C9674)</f>
        <v>11840.285714285714</v>
      </c>
      <c r="K9818" s="445">
        <f>J9818/POBLA!$B$1*100000</f>
        <v>67.500088587656379</v>
      </c>
    </row>
    <row r="9819" spans="1:11" s="393" customFormat="1" x14ac:dyDescent="0.25">
      <c r="A9819" s="402" t="s">
        <v>43</v>
      </c>
      <c r="B9819" s="2">
        <v>44302</v>
      </c>
      <c r="C9819" s="1">
        <v>3313</v>
      </c>
      <c r="D9819" s="39">
        <f t="shared" si="873"/>
        <v>300882</v>
      </c>
      <c r="E9819" s="1">
        <v>25</v>
      </c>
      <c r="F9819" s="39">
        <f t="shared" si="879"/>
        <v>7202</v>
      </c>
      <c r="G9819" s="436">
        <f>SUM(C9819,C9795,C9771,C9747,C9723,C9699,C9675,C9651,C9627,C9603,C9579,C9555,C9531,C9507)/POBLA!$B$2*100000</f>
        <v>1179.394507690417</v>
      </c>
      <c r="H9819" s="441">
        <f t="shared" si="878"/>
        <v>2.0298824846110799</v>
      </c>
      <c r="I9819" s="445">
        <f t="shared" ref="I9819:I9841" si="880">G9819*H9819</f>
        <v>2394.0322536072849</v>
      </c>
      <c r="J9819" s="310">
        <f t="shared" ref="J9819:J9841" si="881">AVERAGE(C9819,C9795,C9771,C9747,C9723,C9699,C9675)</f>
        <v>2898.2857142857142</v>
      </c>
      <c r="K9819" s="445">
        <f>J9819/POBLA!$B$2*100000</f>
        <v>94.233397285829199</v>
      </c>
    </row>
    <row r="9820" spans="1:11" s="393" customFormat="1" x14ac:dyDescent="0.25">
      <c r="A9820" s="402" t="s">
        <v>28</v>
      </c>
      <c r="B9820" s="2">
        <v>44302</v>
      </c>
      <c r="C9820" s="1">
        <v>144</v>
      </c>
      <c r="D9820" s="39">
        <f t="shared" si="873"/>
        <v>12492</v>
      </c>
      <c r="E9820" s="1">
        <v>1</v>
      </c>
      <c r="F9820" s="39">
        <f t="shared" si="879"/>
        <v>19</v>
      </c>
      <c r="G9820" s="436">
        <f>SUM(C9820,C9796,C9772,C9748,C9724,C9700,C9676,C9652,C9628,C9604,C9580,C9556,C9532,C9508)/POBLA!$B$3*100000</f>
        <v>449.64591587673726</v>
      </c>
      <c r="H9820" s="441">
        <f t="shared" si="878"/>
        <v>1.7807435653002859</v>
      </c>
      <c r="I9820" s="445">
        <f t="shared" si="880"/>
        <v>800.70407136105348</v>
      </c>
      <c r="J9820" s="310">
        <f t="shared" si="881"/>
        <v>153.85714285714286</v>
      </c>
      <c r="K9820" s="445">
        <f>J9820/POBLA!$B$3*100000</f>
        <v>37.03492286626232</v>
      </c>
    </row>
    <row r="9821" spans="1:11" s="393" customFormat="1" x14ac:dyDescent="0.25">
      <c r="A9821" s="402" t="s">
        <v>15</v>
      </c>
      <c r="B9821" s="2">
        <v>44302</v>
      </c>
      <c r="C9821" s="1">
        <v>309</v>
      </c>
      <c r="D9821" s="39">
        <f t="shared" si="873"/>
        <v>41734</v>
      </c>
      <c r="E9821" s="1">
        <v>6</v>
      </c>
      <c r="F9821" s="39">
        <f t="shared" si="879"/>
        <v>987</v>
      </c>
      <c r="G9821" s="436">
        <f>SUM(C9821,C9797,C9773,C9749,C9725,C9701,C9677,C9653,C9629,C9605,C9581,C9557,C9533,C9509)/POBLA!$B$4*100000</f>
        <v>238.51408959927474</v>
      </c>
      <c r="H9821" s="441">
        <f t="shared" si="878"/>
        <v>1.3124714481498401</v>
      </c>
      <c r="I9821" s="445">
        <f t="shared" si="880"/>
        <v>313.0429325805008</v>
      </c>
      <c r="J9821" s="310">
        <f t="shared" si="881"/>
        <v>246.57142857142858</v>
      </c>
      <c r="K9821" s="445">
        <f>J9821/POBLA!$B$4*100000</f>
        <v>20.47015656349004</v>
      </c>
    </row>
    <row r="9822" spans="1:11" s="393" customFormat="1" x14ac:dyDescent="0.25">
      <c r="A9822" s="402" t="s">
        <v>29</v>
      </c>
      <c r="B9822" s="2">
        <v>44302</v>
      </c>
      <c r="C9822" s="1">
        <v>272</v>
      </c>
      <c r="D9822" s="39">
        <f t="shared" si="873"/>
        <v>52445</v>
      </c>
      <c r="E9822" s="1">
        <v>1</v>
      </c>
      <c r="F9822" s="39">
        <f t="shared" si="879"/>
        <v>882</v>
      </c>
      <c r="G9822" s="436">
        <f>SUM(C9822,C9798,C9774,C9750,C9726,C9702,C9678,C9654,C9630,C9606,C9582,C9558,C9534,C9510)/POBLA!$B$5*100000</f>
        <v>351.05348355557567</v>
      </c>
      <c r="H9822" s="441">
        <f t="shared" si="878"/>
        <v>1.3779327837666455</v>
      </c>
      <c r="I9822" s="445">
        <f t="shared" si="880"/>
        <v>483.72810384671271</v>
      </c>
      <c r="J9822" s="310">
        <f t="shared" si="881"/>
        <v>177</v>
      </c>
      <c r="K9822" s="445">
        <f>J9822/POBLA!$B$5*100000</f>
        <v>28.594784440560005</v>
      </c>
    </row>
    <row r="9823" spans="1:11" s="393" customFormat="1" x14ac:dyDescent="0.25">
      <c r="A9823" s="402" t="s">
        <v>30</v>
      </c>
      <c r="B9823" s="2">
        <v>44302</v>
      </c>
      <c r="C9823" s="1">
        <v>189</v>
      </c>
      <c r="D9823" s="39">
        <f t="shared" si="873"/>
        <v>34263</v>
      </c>
      <c r="E9823" s="1">
        <v>9</v>
      </c>
      <c r="F9823" s="39">
        <f t="shared" si="879"/>
        <v>390</v>
      </c>
      <c r="G9823" s="436">
        <f>SUM(C9823,C9799,C9775,C9751,C9727,C9703,C9679,C9655,C9631,C9607,C9583,C9559,C9535,C9511)/POBLA!$B$6*100000</f>
        <v>320.39585974673469</v>
      </c>
      <c r="H9823" s="441">
        <f t="shared" si="878"/>
        <v>0.79166666666666663</v>
      </c>
      <c r="I9823" s="445">
        <f t="shared" si="880"/>
        <v>253.64672229949829</v>
      </c>
      <c r="J9823" s="310">
        <f t="shared" si="881"/>
        <v>212.71428571428572</v>
      </c>
      <c r="K9823" s="445">
        <f>J9823/POBLA!$B$6*100000</f>
        <v>18.978773726494332</v>
      </c>
    </row>
    <row r="9824" spans="1:11" s="393" customFormat="1" x14ac:dyDescent="0.25">
      <c r="A9824" s="402" t="s">
        <v>20</v>
      </c>
      <c r="B9824" s="2">
        <v>44302</v>
      </c>
      <c r="C9824" s="1">
        <v>2332</v>
      </c>
      <c r="D9824" s="39">
        <f t="shared" si="873"/>
        <v>204573</v>
      </c>
      <c r="E9824" s="1">
        <v>10</v>
      </c>
      <c r="F9824" s="39">
        <f t="shared" si="879"/>
        <v>3172</v>
      </c>
      <c r="G9824" s="436">
        <f>SUM(C9824,C9800,C9776,C9752,C9728,C9704,C9680,C9656,C9632,C9608,C9584,C9560,C9536,C9512)/POBLA!$B$7*100000</f>
        <v>586.33940086957682</v>
      </c>
      <c r="H9824" s="441">
        <f t="shared" si="878"/>
        <v>1.9546985815602838</v>
      </c>
      <c r="I9824" s="445">
        <f t="shared" si="880"/>
        <v>1146.1167951926684</v>
      </c>
      <c r="J9824" s="310">
        <f t="shared" si="881"/>
        <v>1664.7142857142858</v>
      </c>
      <c r="K9824" s="445">
        <f>J9824/POBLA!$B$7*100000</f>
        <v>44.269017955677803</v>
      </c>
    </row>
    <row r="9825" spans="1:11" x14ac:dyDescent="0.25">
      <c r="A9825" s="402" t="s">
        <v>31</v>
      </c>
      <c r="B9825" s="2">
        <v>44302</v>
      </c>
      <c r="C9825" s="1">
        <v>626</v>
      </c>
      <c r="D9825" s="39">
        <f t="shared" si="873"/>
        <v>55697</v>
      </c>
      <c r="E9825" s="1">
        <v>4</v>
      </c>
      <c r="F9825" s="39">
        <f t="shared" si="879"/>
        <v>999</v>
      </c>
      <c r="G9825" s="169">
        <f>SUM(C9825,C9801,C9777,C9753,C9729,C9705,C9681,C9657,C9633,C9609,C9585,C9561,C9537,C9513)/POBLA!$B$8*100000</f>
        <v>386.87957309044049</v>
      </c>
      <c r="H9825" s="518">
        <f t="shared" si="878"/>
        <v>2.1560112585444311</v>
      </c>
      <c r="I9825" s="310">
        <f t="shared" si="880"/>
        <v>834.11671528385284</v>
      </c>
      <c r="J9825" s="310">
        <f t="shared" si="881"/>
        <v>467.85714285714283</v>
      </c>
      <c r="K9825" s="310">
        <f>J9825/POBLA!$B$8*100000</f>
        <v>33.75687648188822</v>
      </c>
    </row>
    <row r="9826" spans="1:11" s="393" customFormat="1" x14ac:dyDescent="0.25">
      <c r="A9826" s="402" t="s">
        <v>41</v>
      </c>
      <c r="B9826" s="2">
        <v>44302</v>
      </c>
      <c r="C9826" s="1">
        <v>93</v>
      </c>
      <c r="D9826" s="39">
        <f t="shared" si="873"/>
        <v>3412</v>
      </c>
      <c r="E9826" s="1"/>
      <c r="F9826" s="39">
        <f t="shared" si="879"/>
        <v>61</v>
      </c>
      <c r="G9826" s="436">
        <f>SUM(C9826,C9802,C9778,C9754,C9730,C9706,C9682,C9658,C9634,C9610,C9586,C9562,C9538,C9514)/POBLA!$B$9*100000</f>
        <v>184.73445661136199</v>
      </c>
      <c r="H9826" s="441">
        <f t="shared" si="878"/>
        <v>1.8357963875205254</v>
      </c>
      <c r="I9826" s="445">
        <f t="shared" si="880"/>
        <v>339.13484809770557</v>
      </c>
      <c r="J9826" s="310">
        <f t="shared" si="881"/>
        <v>110.14285714285714</v>
      </c>
      <c r="K9826" s="445">
        <f>J9826/POBLA!$B$9*100000</f>
        <v>18.199625101886031</v>
      </c>
    </row>
    <row r="9827" spans="1:11" s="393" customFormat="1" x14ac:dyDescent="0.25">
      <c r="A9827" s="402" t="s">
        <v>32</v>
      </c>
      <c r="B9827" s="2">
        <v>44302</v>
      </c>
      <c r="C9827" s="1">
        <v>113</v>
      </c>
      <c r="D9827" s="39">
        <f t="shared" si="873"/>
        <v>23472</v>
      </c>
      <c r="E9827" s="1"/>
      <c r="F9827" s="39">
        <f t="shared" si="879"/>
        <v>998</v>
      </c>
      <c r="G9827" s="436">
        <f>SUM(C9827,C9803,C9779,C9755,C9731,C9707,C9683,C9659,C9635,C9611,C9587,C9563,C9539,C9515)/POBLA!$B$10*100000</f>
        <v>115.06315501354943</v>
      </c>
      <c r="H9827" s="441">
        <f t="shared" si="878"/>
        <v>1.3773291925465838</v>
      </c>
      <c r="I9827" s="445">
        <f t="shared" si="880"/>
        <v>158.47984238667445</v>
      </c>
      <c r="J9827" s="310">
        <f t="shared" si="881"/>
        <v>75.428571428571431</v>
      </c>
      <c r="K9827" s="445">
        <f>J9827/POBLA!$B$10*100000</f>
        <v>9.7847231192066531</v>
      </c>
    </row>
    <row r="9828" spans="1:11" s="393" customFormat="1" x14ac:dyDescent="0.25">
      <c r="A9828" s="402" t="s">
        <v>33</v>
      </c>
      <c r="B9828" s="2">
        <v>44302</v>
      </c>
      <c r="C9828" s="1">
        <v>406</v>
      </c>
      <c r="D9828" s="39">
        <f t="shared" si="873"/>
        <v>23733</v>
      </c>
      <c r="E9828" s="1"/>
      <c r="F9828" s="39">
        <f t="shared" si="879"/>
        <v>332</v>
      </c>
      <c r="G9828" s="436">
        <f>SUM(C9828,C9804,C9780,C9756,C9732,C9708,C9684,C9660,C9636,C9612,C9588,C9564,C9540,C9516)/POBLA!$B$11*100000</f>
        <v>636.39001417299994</v>
      </c>
      <c r="H9828" s="441">
        <f t="shared" si="878"/>
        <v>2.1258154706430568</v>
      </c>
      <c r="I9828" s="445">
        <f t="shared" si="880"/>
        <v>1352.8477374917175</v>
      </c>
      <c r="J9828" s="310">
        <f t="shared" si="881"/>
        <v>180.42857142857142</v>
      </c>
      <c r="K9828" s="445">
        <f>J9828/POBLA!$B$11*100000</f>
        <v>50.338860643859128</v>
      </c>
    </row>
    <row r="9829" spans="1:11" s="393" customFormat="1" x14ac:dyDescent="0.25">
      <c r="A9829" s="402" t="s">
        <v>21</v>
      </c>
      <c r="B9829" s="2">
        <v>44302</v>
      </c>
      <c r="C9829" s="1">
        <v>104</v>
      </c>
      <c r="D9829" s="39">
        <f t="shared" si="873"/>
        <v>12393</v>
      </c>
      <c r="E9829" s="1">
        <v>4</v>
      </c>
      <c r="F9829" s="39">
        <f t="shared" si="879"/>
        <v>455</v>
      </c>
      <c r="G9829" s="436">
        <f>SUM(C9829,C9805,C9781,C9757,C9733,C9709,C9685,C9661,C9637,C9613,C9589,C9565,C9541,C9517)/POBLA!$B$12*100000</f>
        <v>302.13629930043629</v>
      </c>
      <c r="H9829" s="441">
        <f t="shared" si="878"/>
        <v>2.1308243727598568</v>
      </c>
      <c r="I9829" s="445">
        <f t="shared" si="880"/>
        <v>643.79939044483649</v>
      </c>
      <c r="J9829" s="310">
        <f t="shared" si="881"/>
        <v>88.428571428571431</v>
      </c>
      <c r="K9829" s="445">
        <f>J9829/POBLA!$B$12*100000</f>
        <v>22.470547791297619</v>
      </c>
    </row>
    <row r="9830" spans="1:11" s="393" customFormat="1" x14ac:dyDescent="0.25">
      <c r="A9830" s="402" t="s">
        <v>17</v>
      </c>
      <c r="B9830" s="2">
        <v>44302</v>
      </c>
      <c r="C9830" s="1">
        <v>1150</v>
      </c>
      <c r="D9830" s="39">
        <f t="shared" si="873"/>
        <v>84814</v>
      </c>
      <c r="E9830" s="1">
        <v>9</v>
      </c>
      <c r="F9830" s="39">
        <f t="shared" si="879"/>
        <v>1632</v>
      </c>
      <c r="G9830" s="436">
        <f>SUM(C9830,C9806,C9782,C9758,C9734,C9710,C9686,C9662,C9638,C9614,C9590,C9566,C9542,C9518)/POBLA!$B$13*100000</f>
        <v>556.8903372191055</v>
      </c>
      <c r="H9830" s="441">
        <f t="shared" si="878"/>
        <v>3.1741122565864832</v>
      </c>
      <c r="I9830" s="445">
        <f t="shared" si="880"/>
        <v>1767.6324449417425</v>
      </c>
      <c r="J9830" s="310">
        <f t="shared" si="881"/>
        <v>852.57142857142856</v>
      </c>
      <c r="K9830" s="445">
        <f>J9830/POBLA!$B$13*100000</f>
        <v>42.835509776300739</v>
      </c>
    </row>
    <row r="9831" spans="1:11" s="393" customFormat="1" x14ac:dyDescent="0.25">
      <c r="A9831" s="402" t="s">
        <v>23</v>
      </c>
      <c r="B9831" s="2">
        <v>44302</v>
      </c>
      <c r="C9831" s="1">
        <v>189</v>
      </c>
      <c r="D9831" s="39">
        <f t="shared" si="873"/>
        <v>14066</v>
      </c>
      <c r="E9831" s="1">
        <v>1</v>
      </c>
      <c r="F9831" s="39">
        <f t="shared" si="879"/>
        <v>226</v>
      </c>
      <c r="G9831" s="436">
        <f>SUM(C9831,C9807,C9783,C9759,C9735,C9711,C9687,C9663,C9639,C9615,C9591,C9567,C9543,C9519)/POBLA!$B$14*100000</f>
        <v>144.53410545043423</v>
      </c>
      <c r="H9831" s="441">
        <f t="shared" si="878"/>
        <v>1.0968712394705173</v>
      </c>
      <c r="I9831" s="445">
        <f t="shared" si="880"/>
        <v>158.53530339118024</v>
      </c>
      <c r="J9831" s="310">
        <f t="shared" si="881"/>
        <v>146.85714285714286</v>
      </c>
      <c r="K9831" s="445">
        <f>J9831/POBLA!$B$14*100000</f>
        <v>11.643371240737121</v>
      </c>
    </row>
    <row r="9832" spans="1:11" s="393" customFormat="1" x14ac:dyDescent="0.25">
      <c r="A9832" s="402" t="s">
        <v>19</v>
      </c>
      <c r="B9832" s="2">
        <v>44302</v>
      </c>
      <c r="C9832" s="1">
        <v>295</v>
      </c>
      <c r="D9832" s="39">
        <f t="shared" si="873"/>
        <v>67583</v>
      </c>
      <c r="E9832" s="1"/>
      <c r="F9832" s="39">
        <f t="shared" si="879"/>
        <v>1026</v>
      </c>
      <c r="G9832" s="436">
        <f>SUM(C9832,C9808,C9784,C9760,C9736,C9712,C9688,C9664,C9640,C9616,C9592,C9568,C9544,C9520)/POBLA!$B$15*100000</f>
        <v>333.10393535494694</v>
      </c>
      <c r="H9832" s="441">
        <f t="shared" si="878"/>
        <v>1.5129958960328318</v>
      </c>
      <c r="I9832" s="445">
        <f t="shared" si="880"/>
        <v>503.98488714442044</v>
      </c>
      <c r="J9832" s="310">
        <f t="shared" si="881"/>
        <v>176.42857142857142</v>
      </c>
      <c r="K9832" s="445">
        <f>J9832/POBLA!$B$15*100000</f>
        <v>26.568287274823007</v>
      </c>
    </row>
    <row r="9833" spans="1:11" s="393" customFormat="1" x14ac:dyDescent="0.25">
      <c r="A9833" s="402" t="s">
        <v>18</v>
      </c>
      <c r="B9833" s="2">
        <v>44302</v>
      </c>
      <c r="C9833" s="1">
        <v>196</v>
      </c>
      <c r="D9833" s="39">
        <f t="shared" si="873"/>
        <v>57842</v>
      </c>
      <c r="E9833" s="1">
        <v>2</v>
      </c>
      <c r="F9833" s="39">
        <f t="shared" si="879"/>
        <v>1312</v>
      </c>
      <c r="G9833" s="436">
        <f>SUM(C9833,C9809,C9785,C9761,C9737,C9713,C9689,C9665,C9641,C9617,C9593,C9569,C9545,C9521)/POBLA!$B$16*100000</f>
        <v>301.36033493398963</v>
      </c>
      <c r="H9833" s="441">
        <f t="shared" si="878"/>
        <v>1.741112828438949</v>
      </c>
      <c r="I9833" s="445">
        <f t="shared" si="880"/>
        <v>524.70234513622768</v>
      </c>
      <c r="J9833" s="310">
        <f t="shared" si="881"/>
        <v>178.28571428571428</v>
      </c>
      <c r="K9833" s="445">
        <f>J9833/POBLA!$B$16*100000</f>
        <v>23.84742235734063</v>
      </c>
    </row>
    <row r="9834" spans="1:11" s="393" customFormat="1" x14ac:dyDescent="0.25">
      <c r="A9834" s="402" t="s">
        <v>34</v>
      </c>
      <c r="B9834" s="2">
        <v>44302</v>
      </c>
      <c r="C9834" s="1">
        <v>280</v>
      </c>
      <c r="D9834" s="39">
        <f t="shared" si="873"/>
        <v>32151</v>
      </c>
      <c r="E9834" s="1">
        <v>9</v>
      </c>
      <c r="F9834" s="39">
        <f t="shared" si="879"/>
        <v>1256</v>
      </c>
      <c r="G9834" s="436">
        <f>SUM(C9834,C9810,C9786,C9762,C9738,C9714,C9690,C9666,C9642,C9618,C9594,C9570,C9546,C9522)/POBLA!$B$17*100000</f>
        <v>179.65496978721521</v>
      </c>
      <c r="H9834" s="441">
        <f t="shared" ref="H9834:H9857" si="882">SUM(C9834,C9810,C9786,C9762,C9738,C9714,C9690,C9666,C9642,C9618,C9594,C9570,C9546,C9522)/SUM(C9498,C9474,C9450,C9426,C9402,C9378,C9354,C9330,C9306,C9282,C9258,C9234,C9210,C9186)</f>
        <v>1.7733887733887734</v>
      </c>
      <c r="I9834" s="445">
        <f t="shared" si="880"/>
        <v>318.59810650414676</v>
      </c>
      <c r="J9834" s="310">
        <f t="shared" si="881"/>
        <v>202.42857142857142</v>
      </c>
      <c r="K9834" s="445">
        <f>J9834/POBLA!$B$17*100000</f>
        <v>14.211527504520959</v>
      </c>
    </row>
    <row r="9835" spans="1:11" s="393" customFormat="1" x14ac:dyDescent="0.25">
      <c r="A9835" s="402" t="s">
        <v>35</v>
      </c>
      <c r="B9835" s="2">
        <v>44302</v>
      </c>
      <c r="C9835" s="1">
        <v>234</v>
      </c>
      <c r="D9835" s="39">
        <f t="shared" si="873"/>
        <v>20027</v>
      </c>
      <c r="E9835" s="1">
        <v>2</v>
      </c>
      <c r="F9835" s="39">
        <f t="shared" si="879"/>
        <v>240</v>
      </c>
      <c r="G9835" s="436">
        <f>SUM(C9835,C9811,C9787,C9763,C9739,C9715,C9691,C9667,C9643,C9619,C9595,C9571,C9547,C9523)/POBLA!$B$18*100000</f>
        <v>331.66200940327718</v>
      </c>
      <c r="H9835" s="441">
        <f t="shared" si="882"/>
        <v>2.2221269296740993</v>
      </c>
      <c r="I9835" s="445">
        <f t="shared" si="880"/>
        <v>736.99508264484655</v>
      </c>
      <c r="J9835" s="310">
        <f t="shared" si="881"/>
        <v>191.42857142857142</v>
      </c>
      <c r="K9835" s="445">
        <f>J9835/POBLA!$B$18*100000</f>
        <v>24.50389218726313</v>
      </c>
    </row>
    <row r="9836" spans="1:11" s="393" customFormat="1" x14ac:dyDescent="0.25">
      <c r="A9836" s="402" t="s">
        <v>36</v>
      </c>
      <c r="B9836" s="2">
        <v>44302</v>
      </c>
      <c r="C9836" s="1">
        <v>758</v>
      </c>
      <c r="D9836" s="39">
        <f t="shared" si="873"/>
        <v>29107</v>
      </c>
      <c r="E9836" s="1"/>
      <c r="F9836" s="39">
        <f t="shared" si="879"/>
        <v>448</v>
      </c>
      <c r="G9836" s="436">
        <f>SUM(C9836,C9812,C9788,C9764,C9740,C9716,C9692,C9668,C9644,C9620,C9596,C9572,C9548,C9524)/POBLA!$B$19*100000</f>
        <v>1164.0122125871485</v>
      </c>
      <c r="H9836" s="441">
        <f t="shared" si="882"/>
        <v>3.6101281269066505</v>
      </c>
      <c r="I9836" s="445">
        <f t="shared" si="880"/>
        <v>4202.2332287237086</v>
      </c>
      <c r="J9836" s="310">
        <f t="shared" si="881"/>
        <v>500.71428571428572</v>
      </c>
      <c r="K9836" s="445">
        <f>J9836/POBLA!$B$19*100000</f>
        <v>98.5022044259387</v>
      </c>
    </row>
    <row r="9837" spans="1:11" s="393" customFormat="1" x14ac:dyDescent="0.25">
      <c r="A9837" s="402" t="s">
        <v>37</v>
      </c>
      <c r="B9837" s="2">
        <v>44302</v>
      </c>
      <c r="C9837" s="1">
        <v>157</v>
      </c>
      <c r="D9837" s="39">
        <f t="shared" si="873"/>
        <v>41941</v>
      </c>
      <c r="E9837" s="1">
        <v>1</v>
      </c>
      <c r="F9837" s="39">
        <f t="shared" si="879"/>
        <v>675</v>
      </c>
      <c r="G9837" s="436">
        <f>SUM(C9837,C9813,C9789,C9765,C9741,C9717,C9693,C9669,C9645,C9621,C9597,C9573,C9549,C9525)/POBLA!$B$20*100000</f>
        <v>628.9342572286422</v>
      </c>
      <c r="H9837" s="441">
        <f t="shared" si="882"/>
        <v>1.3964784456587735</v>
      </c>
      <c r="I9837" s="445">
        <f t="shared" si="880"/>
        <v>878.29313395620954</v>
      </c>
      <c r="J9837" s="310">
        <f t="shared" si="881"/>
        <v>180</v>
      </c>
      <c r="K9837" s="445">
        <f>J9837/POBLA!$B$20*100000</f>
        <v>49.220941870067655</v>
      </c>
    </row>
    <row r="9838" spans="1:11" s="393" customFormat="1" x14ac:dyDescent="0.25">
      <c r="A9838" s="402" t="s">
        <v>22</v>
      </c>
      <c r="B9838" s="2">
        <v>44302</v>
      </c>
      <c r="C9838" s="1">
        <v>1954</v>
      </c>
      <c r="D9838" s="39">
        <f t="shared" si="873"/>
        <v>250607</v>
      </c>
      <c r="E9838" s="1">
        <v>8</v>
      </c>
      <c r="F9838" s="39">
        <f t="shared" si="879"/>
        <v>4396</v>
      </c>
      <c r="G9838" s="436">
        <f>SUM(C9838,C9814,C9790,C9766,C9742,C9718,C9694,C9670,C9646,C9622,C9598,C9574,C9550,C9526)/POBLA!$B$21*100000</f>
        <v>498.30082303619088</v>
      </c>
      <c r="H9838" s="441">
        <f t="shared" si="882"/>
        <v>2.1619433198380569</v>
      </c>
      <c r="I9838" s="445">
        <f t="shared" si="880"/>
        <v>1077.2981356328985</v>
      </c>
      <c r="J9838" s="310">
        <f t="shared" si="881"/>
        <v>1511.7142857142858</v>
      </c>
      <c r="K9838" s="445">
        <f>J9838/POBLA!$B$21*100000</f>
        <v>42.747047597718534</v>
      </c>
    </row>
    <row r="9839" spans="1:11" s="393" customFormat="1" x14ac:dyDescent="0.25">
      <c r="A9839" s="402" t="s">
        <v>38</v>
      </c>
      <c r="B9839" s="2">
        <v>44302</v>
      </c>
      <c r="C9839" s="1">
        <v>258</v>
      </c>
      <c r="D9839" s="39">
        <f t="shared" si="873"/>
        <v>27765</v>
      </c>
      <c r="E9839" s="1">
        <v>7</v>
      </c>
      <c r="F9839" s="39">
        <f t="shared" si="879"/>
        <v>319</v>
      </c>
      <c r="G9839" s="436">
        <f>SUM(C9839,C9815,C9791,C9767,C9743,C9719,C9695,C9671,C9647,C9623,C9599,C9575,C9551,C9527)/POBLA!$B$22*100000</f>
        <v>241.2315894810761</v>
      </c>
      <c r="H9839" s="441">
        <f t="shared" si="882"/>
        <v>1.6098226466575716</v>
      </c>
      <c r="I9839" s="445">
        <f t="shared" si="880"/>
        <v>388.34007583583872</v>
      </c>
      <c r="J9839" s="310">
        <f t="shared" si="881"/>
        <v>190.71428571428572</v>
      </c>
      <c r="K9839" s="445">
        <f>J9839/POBLA!$B$22*100000</f>
        <v>19.494199271019166</v>
      </c>
    </row>
    <row r="9840" spans="1:11" s="393" customFormat="1" x14ac:dyDescent="0.25">
      <c r="A9840" s="402" t="s">
        <v>39</v>
      </c>
      <c r="B9840" s="2">
        <v>44302</v>
      </c>
      <c r="C9840" s="1">
        <v>101</v>
      </c>
      <c r="D9840" s="39">
        <f t="shared" si="873"/>
        <v>25332</v>
      </c>
      <c r="E9840" s="1"/>
      <c r="F9840" s="39">
        <f t="shared" si="879"/>
        <v>374</v>
      </c>
      <c r="G9840" s="436">
        <f>SUM(C9840,C9816,C9792,C9768,C9744,C9720,C9696,C9672,C9648,C9624,C9600,C9576,C9552,C9528)/POBLA!$B$23*100000</f>
        <v>632.81117457444998</v>
      </c>
      <c r="H9840" s="441">
        <f t="shared" si="882"/>
        <v>1.6553254437869822</v>
      </c>
      <c r="I9840" s="445">
        <f t="shared" si="880"/>
        <v>1047.508438385813</v>
      </c>
      <c r="J9840" s="310">
        <f t="shared" si="881"/>
        <v>89.571428571428569</v>
      </c>
      <c r="K9840" s="445">
        <f>J9840/POBLA!$B$23*100000</f>
        <v>50.653977589452339</v>
      </c>
    </row>
    <row r="9841" spans="1:11" s="393" customFormat="1" ht="15.75" thickBot="1" x14ac:dyDescent="0.3">
      <c r="A9841" s="404" t="s">
        <v>40</v>
      </c>
      <c r="B9841" s="2">
        <v>44302</v>
      </c>
      <c r="C9841" s="1">
        <v>833</v>
      </c>
      <c r="D9841" s="177">
        <f t="shared" si="873"/>
        <v>96983</v>
      </c>
      <c r="E9841" s="1">
        <v>4</v>
      </c>
      <c r="F9841" s="177">
        <f t="shared" si="879"/>
        <v>1569</v>
      </c>
      <c r="G9841" s="439">
        <f>SUM(C9841,C9817,C9793,C9769,C9745,C9721,C9697,C9673,C9649,C9625,C9601,C9577,C9553,C9529)/POBLA!$B$24*100000</f>
        <v>491.30915064768305</v>
      </c>
      <c r="H9841" s="442">
        <f t="shared" si="882"/>
        <v>1.6675345483677149</v>
      </c>
      <c r="I9841" s="445">
        <f t="shared" si="880"/>
        <v>819.27498263420978</v>
      </c>
      <c r="J9841" s="310">
        <f t="shared" si="881"/>
        <v>627.42857142857144</v>
      </c>
      <c r="K9841" s="445">
        <f>J9841/POBLA!$B$24*100000</f>
        <v>37.023948897509079</v>
      </c>
    </row>
    <row r="9842" spans="1:11" s="393" customFormat="1" x14ac:dyDescent="0.25">
      <c r="A9842" s="409" t="s">
        <v>16</v>
      </c>
      <c r="B9842" s="2">
        <v>44303</v>
      </c>
      <c r="C9842" s="42">
        <v>9376</v>
      </c>
      <c r="D9842" s="264">
        <f t="shared" si="873"/>
        <v>1154690</v>
      </c>
      <c r="E9842" s="1">
        <v>29</v>
      </c>
      <c r="F9842" s="264">
        <f t="shared" ref="F9842:F9865" si="883">E9842+F9818</f>
        <v>30174</v>
      </c>
      <c r="G9842" s="454">
        <f>SUM(C9842,C9818,C9794,C9770,C9746,C9722,C9698,C9674,C9650,C9626,C9602,C9578,C9554,C9530)/POBLA!$B$1*100000</f>
        <v>853.50206123991597</v>
      </c>
      <c r="H9842" s="455">
        <f t="shared" si="882"/>
        <v>2.2212430082639725</v>
      </c>
      <c r="I9842" s="445">
        <f>G9842*H9842</f>
        <v>1895.8354860680522</v>
      </c>
      <c r="J9842" s="310">
        <f>AVERAGE(C9842,C9818,C9794,C9770,C9746,C9722,C9698)</f>
        <v>11701.285714285714</v>
      </c>
      <c r="K9842" s="445">
        <f>J9842/POBLA!$B$1*100000</f>
        <v>66.707665791442608</v>
      </c>
    </row>
    <row r="9843" spans="1:11" s="393" customFormat="1" x14ac:dyDescent="0.25">
      <c r="A9843" s="402" t="s">
        <v>43</v>
      </c>
      <c r="B9843" s="2">
        <v>44303</v>
      </c>
      <c r="C9843" s="1">
        <v>2833</v>
      </c>
      <c r="D9843" s="39">
        <f t="shared" ref="D9843:D9906" si="884">C9843+D9819</f>
        <v>303715</v>
      </c>
      <c r="E9843" s="1">
        <v>17</v>
      </c>
      <c r="F9843" s="39">
        <f t="shared" si="883"/>
        <v>7219</v>
      </c>
      <c r="G9843" s="436">
        <f>SUM(C9843,C9819,C9795,C9771,C9747,C9723,C9699,C9675,C9651,C9627,C9603,C9579,C9555,C9531)/POBLA!$B$2*100000</f>
        <v>1210.1197602064738</v>
      </c>
      <c r="H9843" s="441">
        <f t="shared" si="882"/>
        <v>1.9675935715796151</v>
      </c>
      <c r="I9843" s="445">
        <f t="shared" ref="I9843:I9865" si="885">G9843*H9843</f>
        <v>2381.0238610237229</v>
      </c>
      <c r="J9843" s="310">
        <f t="shared" ref="J9843:J9865" si="886">AVERAGE(C9843,C9819,C9795,C9771,C9747,C9723,C9699)</f>
        <v>2947.1428571428573</v>
      </c>
      <c r="K9843" s="445">
        <f>J9843/POBLA!$B$2*100000</f>
        <v>95.821913742441666</v>
      </c>
    </row>
    <row r="9844" spans="1:11" s="393" customFormat="1" x14ac:dyDescent="0.25">
      <c r="A9844" s="402" t="s">
        <v>28</v>
      </c>
      <c r="B9844" s="2">
        <v>44303</v>
      </c>
      <c r="C9844" s="1">
        <v>153</v>
      </c>
      <c r="D9844" s="39">
        <f t="shared" si="884"/>
        <v>12645</v>
      </c>
      <c r="E9844" s="1"/>
      <c r="F9844" s="39">
        <f t="shared" si="883"/>
        <v>19</v>
      </c>
      <c r="G9844" s="436">
        <f>SUM(C9844,C9820,C9796,C9772,C9748,C9724,C9700,C9676,C9652,C9628,C9604,C9580,C9556,C9532)/POBLA!$B$3*100000</f>
        <v>466.49560223186126</v>
      </c>
      <c r="H9844" s="441">
        <f t="shared" si="882"/>
        <v>1.8300283286118981</v>
      </c>
      <c r="I9844" s="445">
        <f t="shared" si="885"/>
        <v>853.70016725717392</v>
      </c>
      <c r="J9844" s="310">
        <f t="shared" si="886"/>
        <v>153</v>
      </c>
      <c r="K9844" s="445">
        <f>J9844/POBLA!$B$3*100000</f>
        <v>36.828600176199579</v>
      </c>
    </row>
    <row r="9845" spans="1:11" s="393" customFormat="1" x14ac:dyDescent="0.25">
      <c r="A9845" s="402" t="s">
        <v>15</v>
      </c>
      <c r="B9845" s="2">
        <v>44303</v>
      </c>
      <c r="C9845" s="1">
        <v>248</v>
      </c>
      <c r="D9845" s="39">
        <f t="shared" si="884"/>
        <v>41982</v>
      </c>
      <c r="E9845" s="1">
        <v>3</v>
      </c>
      <c r="F9845" s="39">
        <f t="shared" si="883"/>
        <v>990</v>
      </c>
      <c r="G9845" s="436">
        <f>SUM(C9845,C9821,C9797,C9773,C9749,C9725,C9701,C9677,C9653,C9629,C9605,C9581,C9557,C9533)/POBLA!$B$4*100000</f>
        <v>252.12923428924381</v>
      </c>
      <c r="H9845" s="441">
        <f t="shared" si="882"/>
        <v>1.4441274369947694</v>
      </c>
      <c r="I9845" s="445">
        <f t="shared" si="885"/>
        <v>364.10674490557938</v>
      </c>
      <c r="J9845" s="310">
        <f t="shared" si="886"/>
        <v>254</v>
      </c>
      <c r="K9845" s="445">
        <f>J9845/POBLA!$B$4*100000</f>
        <v>21.086870434464249</v>
      </c>
    </row>
    <row r="9846" spans="1:11" s="393" customFormat="1" x14ac:dyDescent="0.25">
      <c r="A9846" s="402" t="s">
        <v>29</v>
      </c>
      <c r="B9846" s="2">
        <v>44303</v>
      </c>
      <c r="C9846" s="1">
        <v>86</v>
      </c>
      <c r="D9846" s="39">
        <f t="shared" si="884"/>
        <v>52531</v>
      </c>
      <c r="E9846" s="1">
        <v>6</v>
      </c>
      <c r="F9846" s="39">
        <f t="shared" si="883"/>
        <v>888</v>
      </c>
      <c r="G9846" s="436">
        <f>SUM(C9846,C9822,C9798,C9774,C9750,C9726,C9702,C9678,C9654,C9630,C9606,C9582,C9558,C9534)/POBLA!$B$5*100000</f>
        <v>358.32334400656549</v>
      </c>
      <c r="H9846" s="441">
        <f t="shared" si="882"/>
        <v>1.4011370814908402</v>
      </c>
      <c r="I9846" s="445">
        <f t="shared" si="885"/>
        <v>502.06012445139748</v>
      </c>
      <c r="J9846" s="310">
        <f t="shared" si="886"/>
        <v>176.71428571428572</v>
      </c>
      <c r="K9846" s="445">
        <f>J9846/POBLA!$B$5*100000</f>
        <v>28.548626596426736</v>
      </c>
    </row>
    <row r="9847" spans="1:11" s="393" customFormat="1" x14ac:dyDescent="0.25">
      <c r="A9847" s="402" t="s">
        <v>30</v>
      </c>
      <c r="B9847" s="2">
        <v>44303</v>
      </c>
      <c r="C9847" s="1">
        <v>275</v>
      </c>
      <c r="D9847" s="39">
        <f t="shared" si="884"/>
        <v>34538</v>
      </c>
      <c r="E9847" s="1">
        <v>3</v>
      </c>
      <c r="F9847" s="39">
        <f t="shared" si="883"/>
        <v>393</v>
      </c>
      <c r="G9847" s="436">
        <f>SUM(C9847,C9823,C9799,C9775,C9751,C9727,C9703,C9679,C9655,C9631,C9607,C9583,C9559,C9535)/POBLA!$B$6*100000</f>
        <v>327.71205593142759</v>
      </c>
      <c r="H9847" s="441">
        <f t="shared" si="882"/>
        <v>0.81731197151757895</v>
      </c>
      <c r="I9847" s="445">
        <f t="shared" si="885"/>
        <v>267.84298652339419</v>
      </c>
      <c r="J9847" s="310">
        <f t="shared" si="886"/>
        <v>218</v>
      </c>
      <c r="K9847" s="445">
        <f>J9847/POBLA!$B$6*100000</f>
        <v>19.450375222720179</v>
      </c>
    </row>
    <row r="9848" spans="1:11" s="393" customFormat="1" x14ac:dyDescent="0.25">
      <c r="A9848" s="402" t="s">
        <v>20</v>
      </c>
      <c r="B9848" s="2">
        <v>44303</v>
      </c>
      <c r="C9848" s="1">
        <v>1247</v>
      </c>
      <c r="D9848" s="39">
        <f t="shared" si="884"/>
        <v>205820</v>
      </c>
      <c r="E9848" s="1">
        <v>1</v>
      </c>
      <c r="F9848" s="39">
        <f t="shared" si="883"/>
        <v>3173</v>
      </c>
      <c r="G9848" s="436">
        <f>SUM(C9848,C9824,C9800,C9776,C9752,C9728,C9704,C9680,C9656,C9632,C9608,C9584,C9560,C9536)/POBLA!$B$7*100000</f>
        <v>603.94367695355606</v>
      </c>
      <c r="H9848" s="441">
        <f t="shared" si="882"/>
        <v>2.0071586389748122</v>
      </c>
      <c r="I9848" s="445">
        <f t="shared" si="885"/>
        <v>1212.2107686515433</v>
      </c>
      <c r="J9848" s="310">
        <f t="shared" si="886"/>
        <v>1669.7142857142858</v>
      </c>
      <c r="K9848" s="445">
        <f>J9848/POBLA!$B$7*100000</f>
        <v>44.401980765979758</v>
      </c>
    </row>
    <row r="9849" spans="1:11" x14ac:dyDescent="0.25">
      <c r="A9849" s="402" t="s">
        <v>31</v>
      </c>
      <c r="B9849" s="2">
        <v>44303</v>
      </c>
      <c r="C9849" s="1">
        <v>519</v>
      </c>
      <c r="D9849" s="39">
        <f t="shared" si="884"/>
        <v>56216</v>
      </c>
      <c r="E9849" s="1">
        <v>1</v>
      </c>
      <c r="F9849" s="39">
        <f t="shared" si="883"/>
        <v>1000</v>
      </c>
      <c r="G9849" s="169">
        <f>SUM(C9849,C9825,C9801,C9777,C9753,C9729,C9705,C9681,C9657,C9633,C9609,C9585,C9561,C9537)/POBLA!$B$8*100000</f>
        <v>416.46193507609519</v>
      </c>
      <c r="H9849" s="518">
        <f t="shared" si="882"/>
        <v>2.3597710547833195</v>
      </c>
      <c r="I9849" s="310">
        <f t="shared" si="885"/>
        <v>982.75481981161943</v>
      </c>
      <c r="J9849" s="310">
        <f t="shared" si="886"/>
        <v>478.85714285714283</v>
      </c>
      <c r="K9849" s="310">
        <f>J9849/POBLA!$B$8*100000</f>
        <v>34.550549608332616</v>
      </c>
    </row>
    <row r="9850" spans="1:11" s="393" customFormat="1" x14ac:dyDescent="0.25">
      <c r="A9850" s="402" t="s">
        <v>41</v>
      </c>
      <c r="B9850" s="2">
        <v>44303</v>
      </c>
      <c r="C9850" s="1">
        <v>15</v>
      </c>
      <c r="D9850" s="39">
        <f t="shared" si="884"/>
        <v>3427</v>
      </c>
      <c r="E9850" s="1"/>
      <c r="F9850" s="39">
        <f t="shared" si="883"/>
        <v>61</v>
      </c>
      <c r="G9850" s="436">
        <f>SUM(C9850,C9826,C9802,C9778,C9754,C9730,C9706,C9682,C9658,C9634,C9610,C9586,C9562,C9538)/POBLA!$B$9*100000</f>
        <v>186.55205859948811</v>
      </c>
      <c r="H9850" s="441">
        <f t="shared" si="882"/>
        <v>1.8538587848932677</v>
      </c>
      <c r="I9850" s="445">
        <f t="shared" si="885"/>
        <v>345.8411726745847</v>
      </c>
      <c r="J9850" s="310">
        <f t="shared" si="886"/>
        <v>111.28571428571429</v>
      </c>
      <c r="K9850" s="445">
        <f>J9850/POBLA!$B$9*100000</f>
        <v>18.388466866886148</v>
      </c>
    </row>
    <row r="9851" spans="1:11" s="393" customFormat="1" x14ac:dyDescent="0.25">
      <c r="A9851" s="402" t="s">
        <v>32</v>
      </c>
      <c r="B9851" s="2">
        <v>44303</v>
      </c>
      <c r="C9851" s="1">
        <v>140</v>
      </c>
      <c r="D9851" s="39">
        <f t="shared" si="884"/>
        <v>23612</v>
      </c>
      <c r="E9851" s="1"/>
      <c r="F9851" s="39">
        <f t="shared" si="883"/>
        <v>998</v>
      </c>
      <c r="G9851" s="436">
        <f>SUM(C9851,C9827,C9803,C9779,C9755,C9731,C9707,C9683,C9659,C9635,C9611,C9587,C9563,C9539)/POBLA!$B$10*100000</f>
        <v>129.72170801978515</v>
      </c>
      <c r="H9851" s="441">
        <f t="shared" si="882"/>
        <v>1.5649452269170578</v>
      </c>
      <c r="I9851" s="445">
        <f t="shared" si="885"/>
        <v>203.00736779309099</v>
      </c>
      <c r="J9851" s="310">
        <f t="shared" si="886"/>
        <v>90.285714285714292</v>
      </c>
      <c r="K9851" s="445">
        <f>J9851/POBLA!$B$10*100000</f>
        <v>11.712017066929175</v>
      </c>
    </row>
    <row r="9852" spans="1:11" s="393" customFormat="1" x14ac:dyDescent="0.25">
      <c r="A9852" s="402" t="s">
        <v>33</v>
      </c>
      <c r="B9852" s="2">
        <v>44303</v>
      </c>
      <c r="C9852" s="1">
        <v>153</v>
      </c>
      <c r="D9852" s="39">
        <f t="shared" si="884"/>
        <v>23886</v>
      </c>
      <c r="E9852" s="1"/>
      <c r="F9852" s="39">
        <f t="shared" si="883"/>
        <v>332</v>
      </c>
      <c r="G9852" s="436">
        <f>SUM(C9852,C9828,C9804,C9780,C9756,C9732,C9708,C9684,C9660,C9636,C9612,C9588,C9564,C9540)/POBLA!$B$11*100000</f>
        <v>661.22066356423056</v>
      </c>
      <c r="H9852" s="441">
        <f t="shared" si="882"/>
        <v>2.2087604846225535</v>
      </c>
      <c r="I9852" s="445">
        <f t="shared" si="885"/>
        <v>1460.4780732965762</v>
      </c>
      <c r="J9852" s="310">
        <f t="shared" si="886"/>
        <v>182.14285714285714</v>
      </c>
      <c r="K9852" s="445">
        <f>J9852/POBLA!$B$11*100000</f>
        <v>50.81713960484592</v>
      </c>
    </row>
    <row r="9853" spans="1:11" s="393" customFormat="1" x14ac:dyDescent="0.25">
      <c r="A9853" s="402" t="s">
        <v>21</v>
      </c>
      <c r="B9853" s="2">
        <v>44303</v>
      </c>
      <c r="C9853" s="1">
        <v>2</v>
      </c>
      <c r="D9853" s="39">
        <f t="shared" si="884"/>
        <v>12395</v>
      </c>
      <c r="E9853" s="1">
        <v>3</v>
      </c>
      <c r="F9853" s="39">
        <f t="shared" si="883"/>
        <v>458</v>
      </c>
      <c r="G9853" s="436">
        <f>SUM(C9853,C9829,C9805,C9781,C9757,C9733,C9709,C9685,C9661,C9637,C9613,C9589,C9565,C9541)/POBLA!$B$12*100000</f>
        <v>277.99588850687746</v>
      </c>
      <c r="H9853" s="441">
        <f t="shared" si="882"/>
        <v>1.7420382165605095</v>
      </c>
      <c r="I9853" s="445">
        <f t="shared" si="885"/>
        <v>484.27946182567507</v>
      </c>
      <c r="J9853" s="310">
        <f t="shared" si="886"/>
        <v>70.571428571428569</v>
      </c>
      <c r="K9853" s="445">
        <f>J9853/POBLA!$B$12*100000</f>
        <v>17.932876589500843</v>
      </c>
    </row>
    <row r="9854" spans="1:11" s="393" customFormat="1" x14ac:dyDescent="0.25">
      <c r="A9854" s="402" t="s">
        <v>17</v>
      </c>
      <c r="B9854" s="2">
        <v>44303</v>
      </c>
      <c r="C9854" s="1">
        <v>763</v>
      </c>
      <c r="D9854" s="39">
        <f t="shared" si="884"/>
        <v>85577</v>
      </c>
      <c r="E9854" s="1">
        <v>5</v>
      </c>
      <c r="F9854" s="39">
        <f t="shared" si="883"/>
        <v>1637</v>
      </c>
      <c r="G9854" s="436">
        <f>SUM(C9854,C9830,C9806,C9782,C9758,C9734,C9710,C9686,C9662,C9638,C9614,C9590,C9566,C9542)/POBLA!$B$13*100000</f>
        <v>581.60975673478572</v>
      </c>
      <c r="H9854" s="441">
        <f t="shared" si="882"/>
        <v>3.1951421473916644</v>
      </c>
      <c r="I9854" s="445">
        <f t="shared" si="885"/>
        <v>1858.3258470775268</v>
      </c>
      <c r="J9854" s="310">
        <f t="shared" si="886"/>
        <v>853.14285714285711</v>
      </c>
      <c r="K9854" s="445">
        <f>J9854/POBLA!$B$13*100000</f>
        <v>42.864219903496647</v>
      </c>
    </row>
    <row r="9855" spans="1:11" s="393" customFormat="1" x14ac:dyDescent="0.25">
      <c r="A9855" s="402" t="s">
        <v>23</v>
      </c>
      <c r="B9855" s="2">
        <v>44303</v>
      </c>
      <c r="C9855" s="1">
        <v>144</v>
      </c>
      <c r="D9855" s="39">
        <f t="shared" si="884"/>
        <v>14210</v>
      </c>
      <c r="E9855" s="1">
        <v>2</v>
      </c>
      <c r="F9855" s="39">
        <f t="shared" si="883"/>
        <v>228</v>
      </c>
      <c r="G9855" s="436">
        <f>SUM(C9855,C9831,C9807,C9783,C9759,C9735,C9711,C9687,C9663,C9639,C9615,C9591,C9567,C9543)/POBLA!$B$14*100000</f>
        <v>150.95608161142445</v>
      </c>
      <c r="H9855" s="441">
        <f t="shared" si="882"/>
        <v>1.1666666666666667</v>
      </c>
      <c r="I9855" s="445">
        <f t="shared" si="885"/>
        <v>176.11542854666186</v>
      </c>
      <c r="J9855" s="310">
        <f t="shared" si="886"/>
        <v>140.71428571428572</v>
      </c>
      <c r="K9855" s="445">
        <f>J9855/POBLA!$B$14*100000</f>
        <v>11.156343066270491</v>
      </c>
    </row>
    <row r="9856" spans="1:11" s="393" customFormat="1" x14ac:dyDescent="0.25">
      <c r="A9856" s="402" t="s">
        <v>19</v>
      </c>
      <c r="B9856" s="2">
        <v>44303</v>
      </c>
      <c r="C9856" s="1">
        <v>75</v>
      </c>
      <c r="D9856" s="39">
        <f t="shared" si="884"/>
        <v>67658</v>
      </c>
      <c r="E9856" s="1">
        <v>1</v>
      </c>
      <c r="F9856" s="39">
        <f t="shared" si="883"/>
        <v>1027</v>
      </c>
      <c r="G9856" s="436">
        <f>SUM(C9856,C9832,C9808,C9784,C9760,C9736,C9712,C9688,C9664,C9640,C9616,C9592,C9568,C9544)/POBLA!$B$15*100000</f>
        <v>334.91100914529932</v>
      </c>
      <c r="H9856" s="441">
        <f t="shared" si="882"/>
        <v>1.5476687543493388</v>
      </c>
      <c r="I9856" s="445">
        <f t="shared" si="885"/>
        <v>518.33130434178543</v>
      </c>
      <c r="J9856" s="310">
        <f t="shared" si="886"/>
        <v>166.42857142857142</v>
      </c>
      <c r="K9856" s="445">
        <f>J9856/POBLA!$B$15*100000</f>
        <v>25.062392449529398</v>
      </c>
    </row>
    <row r="9857" spans="1:11" s="393" customFormat="1" x14ac:dyDescent="0.25">
      <c r="A9857" s="402" t="s">
        <v>18</v>
      </c>
      <c r="B9857" s="2">
        <v>44303</v>
      </c>
      <c r="C9857" s="1">
        <v>159</v>
      </c>
      <c r="D9857" s="39">
        <f t="shared" si="884"/>
        <v>58001</v>
      </c>
      <c r="E9857" s="1">
        <v>3</v>
      </c>
      <c r="F9857" s="39">
        <f t="shared" si="883"/>
        <v>1315</v>
      </c>
      <c r="G9857" s="436">
        <f>SUM(C9857,C9833,C9809,C9785,C9761,C9737,C9713,C9689,C9665,C9641,C9617,C9593,C9569,C9545)/POBLA!$B$16*100000</f>
        <v>307.7807947994275</v>
      </c>
      <c r="H9857" s="441">
        <f t="shared" si="882"/>
        <v>1.7405446293494704</v>
      </c>
      <c r="I9857" s="445">
        <f t="shared" si="885"/>
        <v>535.70620940505489</v>
      </c>
      <c r="J9857" s="310">
        <f t="shared" si="886"/>
        <v>185.28571428571428</v>
      </c>
      <c r="K9857" s="445">
        <f>J9857/POBLA!$B$16*100000</f>
        <v>24.783739421050317</v>
      </c>
    </row>
    <row r="9858" spans="1:11" s="393" customFormat="1" x14ac:dyDescent="0.25">
      <c r="A9858" s="402" t="s">
        <v>34</v>
      </c>
      <c r="B9858" s="2">
        <v>44303</v>
      </c>
      <c r="C9858" s="1">
        <v>101</v>
      </c>
      <c r="D9858" s="39">
        <f t="shared" si="884"/>
        <v>32252</v>
      </c>
      <c r="E9858" s="1"/>
      <c r="F9858" s="39">
        <f t="shared" si="883"/>
        <v>1256</v>
      </c>
      <c r="G9858" s="436">
        <f>SUM(C9858,C9834,C9810,C9786,C9762,C9738,C9714,C9690,C9666,C9642,C9618,C9594,C9570,C9546)/POBLA!$B$17*100000</f>
        <v>181.5505087415938</v>
      </c>
      <c r="H9858" s="441">
        <f t="shared" ref="H9858:H9881" si="887">SUM(C9858,C9834,C9810,C9786,C9762,C9738,C9714,C9690,C9666,C9642,C9618,C9594,C9570,C9546)/SUM(C9522,C9498,C9474,C9450,C9426,C9402,C9378,C9354,C9330,C9306,C9282,C9258,C9234,C9210)</f>
        <v>1.8445078459343796</v>
      </c>
      <c r="I9858" s="445">
        <f t="shared" si="885"/>
        <v>334.87133780724793</v>
      </c>
      <c r="J9858" s="310">
        <f t="shared" si="886"/>
        <v>185.14285714285714</v>
      </c>
      <c r="K9858" s="445">
        <f>J9858/POBLA!$B$17*100000</f>
        <v>12.997981401453186</v>
      </c>
    </row>
    <row r="9859" spans="1:11" s="393" customFormat="1" x14ac:dyDescent="0.25">
      <c r="A9859" s="402" t="s">
        <v>35</v>
      </c>
      <c r="B9859" s="2">
        <v>44303</v>
      </c>
      <c r="C9859" s="1">
        <v>70</v>
      </c>
      <c r="D9859" s="39">
        <f t="shared" si="884"/>
        <v>20097</v>
      </c>
      <c r="E9859" s="1"/>
      <c r="F9859" s="39">
        <f t="shared" si="883"/>
        <v>240</v>
      </c>
      <c r="G9859" s="436">
        <f>SUM(C9859,C9835,C9811,C9787,C9763,C9739,C9715,C9691,C9667,C9643,C9619,C9595,C9571,C9547)/POBLA!$B$18*100000</f>
        <v>338.830312192387</v>
      </c>
      <c r="H9859" s="441">
        <f t="shared" si="887"/>
        <v>2.3239683933274802</v>
      </c>
      <c r="I9859" s="445">
        <f t="shared" si="885"/>
        <v>787.43093623639015</v>
      </c>
      <c r="J9859" s="310">
        <f t="shared" si="886"/>
        <v>194.28571428571428</v>
      </c>
      <c r="K9859" s="445">
        <f>J9859/POBLA!$B$18*100000</f>
        <v>24.869621921401389</v>
      </c>
    </row>
    <row r="9860" spans="1:11" s="393" customFormat="1" x14ac:dyDescent="0.25">
      <c r="A9860" s="402" t="s">
        <v>36</v>
      </c>
      <c r="B9860" s="2">
        <v>44303</v>
      </c>
      <c r="C9860" s="1">
        <v>516</v>
      </c>
      <c r="D9860" s="39">
        <f t="shared" si="884"/>
        <v>29623</v>
      </c>
      <c r="E9860" s="1"/>
      <c r="F9860" s="39">
        <f t="shared" si="883"/>
        <v>448</v>
      </c>
      <c r="G9860" s="436">
        <f>SUM(C9860,C9836,C9812,C9788,C9764,C9740,C9716,C9692,C9668,C9644,C9620,C9596,C9572,C9548)/POBLA!$B$19*100000</f>
        <v>1217.7176940872821</v>
      </c>
      <c r="H9860" s="441">
        <f t="shared" si="887"/>
        <v>3.2908027644869748</v>
      </c>
      <c r="I9860" s="445">
        <f t="shared" si="885"/>
        <v>4007.2687540671322</v>
      </c>
      <c r="J9860" s="310">
        <f t="shared" si="886"/>
        <v>518.42857142857144</v>
      </c>
      <c r="K9860" s="445">
        <f>J9860/POBLA!$B$19*100000</f>
        <v>101.9870185054869</v>
      </c>
    </row>
    <row r="9861" spans="1:11" s="393" customFormat="1" x14ac:dyDescent="0.25">
      <c r="A9861" s="402" t="s">
        <v>37</v>
      </c>
      <c r="B9861" s="2">
        <v>44303</v>
      </c>
      <c r="C9861" s="1">
        <v>155</v>
      </c>
      <c r="D9861" s="39">
        <f t="shared" si="884"/>
        <v>42096</v>
      </c>
      <c r="E9861" s="1">
        <v>3</v>
      </c>
      <c r="F9861" s="39">
        <f t="shared" si="883"/>
        <v>678</v>
      </c>
      <c r="G9861" s="436">
        <f>SUM(C9861,C9837,C9813,C9789,C9765,C9741,C9717,C9693,C9669,C9645,C9621,C9597,C9573,C9549)/POBLA!$B$20*100000</f>
        <v>652.17747977839645</v>
      </c>
      <c r="H9861" s="441">
        <f t="shared" si="887"/>
        <v>1.5220165922144224</v>
      </c>
      <c r="I9861" s="445">
        <f t="shared" si="885"/>
        <v>992.62494529130538</v>
      </c>
      <c r="J9861" s="310">
        <f t="shared" si="886"/>
        <v>174.57142857142858</v>
      </c>
      <c r="K9861" s="445">
        <f>J9861/POBLA!$B$20*100000</f>
        <v>47.736500766049737</v>
      </c>
    </row>
    <row r="9862" spans="1:11" s="393" customFormat="1" x14ac:dyDescent="0.25">
      <c r="A9862" s="402" t="s">
        <v>22</v>
      </c>
      <c r="B9862" s="2">
        <v>44303</v>
      </c>
      <c r="C9862" s="1">
        <v>1441</v>
      </c>
      <c r="D9862" s="39">
        <f t="shared" si="884"/>
        <v>252048</v>
      </c>
      <c r="E9862" s="1"/>
      <c r="F9862" s="39">
        <f t="shared" si="883"/>
        <v>4396</v>
      </c>
      <c r="G9862" s="436">
        <f>SUM(C9862,C9838,C9814,C9790,C9766,C9742,C9718,C9694,C9670,C9646,C9622,C9598,C9574,C9550)/POBLA!$B$21*100000</f>
        <v>525.05105448507504</v>
      </c>
      <c r="H9862" s="441">
        <f t="shared" si="887"/>
        <v>2.2523047064531783</v>
      </c>
      <c r="I9862" s="445">
        <f t="shared" si="885"/>
        <v>1182.5749611449387</v>
      </c>
      <c r="J9862" s="310">
        <f t="shared" si="886"/>
        <v>1548.2857142857142</v>
      </c>
      <c r="K9862" s="445">
        <f>J9862/POBLA!$B$21*100000</f>
        <v>43.781185207340144</v>
      </c>
    </row>
    <row r="9863" spans="1:11" s="393" customFormat="1" x14ac:dyDescent="0.25">
      <c r="A9863" s="402" t="s">
        <v>38</v>
      </c>
      <c r="B9863" s="2">
        <v>44303</v>
      </c>
      <c r="C9863" s="1">
        <v>255</v>
      </c>
      <c r="D9863" s="39">
        <f t="shared" si="884"/>
        <v>28020</v>
      </c>
      <c r="E9863" s="1">
        <v>1</v>
      </c>
      <c r="F9863" s="39">
        <f t="shared" si="883"/>
        <v>320</v>
      </c>
      <c r="G9863" s="436">
        <f>SUM(C9863,C9839,C9815,C9791,C9767,C9743,C9719,C9695,C9671,C9647,C9623,C9599,C9575,C9551)/POBLA!$B$22*100000</f>
        <v>252.78208507911069</v>
      </c>
      <c r="H9863" s="441">
        <f t="shared" si="887"/>
        <v>1.634500991407799</v>
      </c>
      <c r="I9863" s="445">
        <f t="shared" si="885"/>
        <v>413.17256867193703</v>
      </c>
      <c r="J9863" s="310">
        <f t="shared" si="886"/>
        <v>197.57142857142858</v>
      </c>
      <c r="K9863" s="445">
        <f>J9863/POBLA!$B$22*100000</f>
        <v>20.195114300988394</v>
      </c>
    </row>
    <row r="9864" spans="1:11" s="393" customFormat="1" x14ac:dyDescent="0.25">
      <c r="A9864" s="402" t="s">
        <v>39</v>
      </c>
      <c r="B9864" s="2">
        <v>44303</v>
      </c>
      <c r="C9864" s="1">
        <v>80</v>
      </c>
      <c r="D9864" s="39">
        <f t="shared" si="884"/>
        <v>25412</v>
      </c>
      <c r="E9864" s="1">
        <v>1</v>
      </c>
      <c r="F9864" s="39">
        <f t="shared" si="883"/>
        <v>375</v>
      </c>
      <c r="G9864" s="436">
        <f>SUM(C9864,C9840,C9816,C9792,C9768,C9744,C9720,C9696,C9672,C9648,C9624,C9600,C9576,C9552)/POBLA!$B$23*100000</f>
        <v>667.87309845614436</v>
      </c>
      <c r="H9864" s="441">
        <f t="shared" si="887"/>
        <v>1.7679640718562875</v>
      </c>
      <c r="I9864" s="445">
        <f t="shared" si="885"/>
        <v>1180.7756426298001</v>
      </c>
      <c r="J9864" s="310">
        <f t="shared" si="886"/>
        <v>91.142857142857139</v>
      </c>
      <c r="K9864" s="445">
        <f>J9864/POBLA!$B$23*100000</f>
        <v>51.5426438629515</v>
      </c>
    </row>
    <row r="9865" spans="1:11" s="393" customFormat="1" ht="15.75" thickBot="1" x14ac:dyDescent="0.3">
      <c r="A9865" s="404" t="s">
        <v>40</v>
      </c>
      <c r="B9865" s="2">
        <v>44303</v>
      </c>
      <c r="C9865" s="1">
        <v>313</v>
      </c>
      <c r="D9865" s="177">
        <f t="shared" si="884"/>
        <v>97296</v>
      </c>
      <c r="E9865" s="1"/>
      <c r="F9865" s="177">
        <f t="shared" si="883"/>
        <v>1569</v>
      </c>
      <c r="G9865" s="439">
        <f>SUM(C9865,C9841,C9817,C9793,C9769,C9745,C9721,C9697,C9673,C9649,C9625,C9601,C9577,C9553)/POBLA!$B$24*100000</f>
        <v>489.77491597114698</v>
      </c>
      <c r="H9865" s="442">
        <f t="shared" si="887"/>
        <v>1.6261755485893417</v>
      </c>
      <c r="I9865" s="445">
        <f t="shared" si="885"/>
        <v>796.45999266467868</v>
      </c>
      <c r="J9865" s="310">
        <f t="shared" si="886"/>
        <v>613</v>
      </c>
      <c r="K9865" s="445">
        <f>J9865/POBLA!$B$24*100000</f>
        <v>36.172532950640132</v>
      </c>
    </row>
    <row r="9866" spans="1:11" s="393" customFormat="1" x14ac:dyDescent="0.25">
      <c r="A9866" s="409" t="s">
        <v>16</v>
      </c>
      <c r="B9866" s="2">
        <v>44304</v>
      </c>
      <c r="C9866" s="42">
        <v>7967</v>
      </c>
      <c r="D9866" s="264">
        <f t="shared" si="884"/>
        <v>1162657</v>
      </c>
      <c r="E9866" s="1">
        <v>14</v>
      </c>
      <c r="F9866" s="264">
        <f t="shared" ref="F9866:F9889" si="888">E9866+F9842</f>
        <v>30188</v>
      </c>
      <c r="G9866" s="454">
        <f>SUM(C9866,C9842,C9818,C9794,C9770,C9746,C9722,C9698,C9674,C9650,C9626,C9602,C9578,C9554)/POBLA!$B$1*100000</f>
        <v>868.85454030612948</v>
      </c>
      <c r="H9866" s="455">
        <f t="shared" si="887"/>
        <v>2.1460333999831027</v>
      </c>
      <c r="I9866" s="445">
        <f>G9866*H9866</f>
        <v>1864.5908632239189</v>
      </c>
      <c r="J9866" s="310">
        <f>AVERAGE(C9866,C9842,C9818,C9794,C9770,C9746,C9722)</f>
        <v>11740</v>
      </c>
      <c r="K9866" s="445">
        <f>J9866/POBLA!$B$1*100000</f>
        <v>66.928371421220547</v>
      </c>
    </row>
    <row r="9867" spans="1:11" s="393" customFormat="1" x14ac:dyDescent="0.25">
      <c r="A9867" s="402" t="s">
        <v>43</v>
      </c>
      <c r="B9867" s="2">
        <v>44304</v>
      </c>
      <c r="C9867" s="42">
        <v>3189</v>
      </c>
      <c r="D9867" s="39">
        <f t="shared" si="884"/>
        <v>306904</v>
      </c>
      <c r="E9867" s="1">
        <v>14</v>
      </c>
      <c r="F9867" s="39">
        <f t="shared" si="888"/>
        <v>7233</v>
      </c>
      <c r="G9867" s="436">
        <f>SUM(C9867,C9843,C9819,C9795,C9771,C9747,C9723,C9699,C9675,C9651,C9627,C9603,C9579,C9555)/POBLA!$B$2*100000</f>
        <v>1250.5990611403263</v>
      </c>
      <c r="H9867" s="441">
        <f t="shared" si="887"/>
        <v>1.9006769778129169</v>
      </c>
      <c r="I9867" s="445">
        <f t="shared" ref="I9867:I9889" si="889">G9867*H9867</f>
        <v>2376.9848439838665</v>
      </c>
      <c r="J9867" s="310">
        <f t="shared" ref="J9867:J9889" si="890">AVERAGE(C9867,C9843,C9819,C9795,C9771,C9747,C9723)</f>
        <v>3018.2857142857142</v>
      </c>
      <c r="K9867" s="445">
        <f>J9867/POBLA!$B$2*100000</f>
        <v>98.135016652947513</v>
      </c>
    </row>
    <row r="9868" spans="1:11" s="393" customFormat="1" x14ac:dyDescent="0.25">
      <c r="A9868" s="402" t="s">
        <v>28</v>
      </c>
      <c r="B9868" s="2">
        <v>44304</v>
      </c>
      <c r="C9868" s="42">
        <v>125</v>
      </c>
      <c r="D9868" s="39">
        <f t="shared" si="884"/>
        <v>12770</v>
      </c>
      <c r="E9868" s="1"/>
      <c r="F9868" s="39">
        <f t="shared" si="888"/>
        <v>19</v>
      </c>
      <c r="G9868" s="436">
        <f>SUM(C9868,C9844,C9820,C9796,C9772,C9748,C9724,C9700,C9676,C9652,C9628,C9604,C9580,C9556)/POBLA!$B$3*100000</f>
        <v>484.06741800220487</v>
      </c>
      <c r="H9868" s="441">
        <f t="shared" si="887"/>
        <v>1.898961284230406</v>
      </c>
      <c r="I9868" s="445">
        <f t="shared" si="889"/>
        <v>919.22528574356375</v>
      </c>
      <c r="J9868" s="310">
        <f t="shared" si="890"/>
        <v>156.42857142857142</v>
      </c>
      <c r="K9868" s="445">
        <f>J9868/POBLA!$B$3*100000</f>
        <v>37.653890936450544</v>
      </c>
    </row>
    <row r="9869" spans="1:11" s="393" customFormat="1" x14ac:dyDescent="0.25">
      <c r="A9869" s="402" t="s">
        <v>15</v>
      </c>
      <c r="B9869" s="2">
        <v>44304</v>
      </c>
      <c r="C9869" s="42">
        <v>121</v>
      </c>
      <c r="D9869" s="39">
        <f t="shared" si="884"/>
        <v>42103</v>
      </c>
      <c r="E9869" s="1">
        <v>4</v>
      </c>
      <c r="F9869" s="39">
        <f t="shared" si="888"/>
        <v>994</v>
      </c>
      <c r="G9869" s="436">
        <f>SUM(C9869,C9845,C9821,C9797,C9773,C9749,C9725,C9701,C9677,C9653,C9629,C9605,C9581,C9557)/POBLA!$B$4*100000</f>
        <v>255.94811633643022</v>
      </c>
      <c r="H9869" s="441">
        <f t="shared" si="887"/>
        <v>1.4980563654033041</v>
      </c>
      <c r="I9869" s="445">
        <f t="shared" si="889"/>
        <v>383.42470489077471</v>
      </c>
      <c r="J9869" s="310">
        <f t="shared" si="890"/>
        <v>251.85714285714286</v>
      </c>
      <c r="K9869" s="445">
        <f>J9869/POBLA!$B$4*100000</f>
        <v>20.90897220245246</v>
      </c>
    </row>
    <row r="9870" spans="1:11" s="393" customFormat="1" x14ac:dyDescent="0.25">
      <c r="A9870" s="402" t="s">
        <v>29</v>
      </c>
      <c r="B9870" s="2">
        <v>44304</v>
      </c>
      <c r="C9870" s="42">
        <v>64</v>
      </c>
      <c r="D9870" s="39">
        <f t="shared" si="884"/>
        <v>52595</v>
      </c>
      <c r="E9870" s="1">
        <v>3</v>
      </c>
      <c r="F9870" s="39">
        <f t="shared" si="888"/>
        <v>891</v>
      </c>
      <c r="G9870" s="436">
        <f>SUM(C9870,C9846,C9822,C9798,C9774,C9750,C9726,C9702,C9678,C9654,C9630,C9606,C9582,C9558)/POBLA!$B$5*100000</f>
        <v>365.10854709415599</v>
      </c>
      <c r="H9870" s="441">
        <f t="shared" si="887"/>
        <v>1.4231738035264483</v>
      </c>
      <c r="I9870" s="445">
        <f t="shared" si="889"/>
        <v>519.61291966800536</v>
      </c>
      <c r="J9870" s="310">
        <f t="shared" si="890"/>
        <v>178.85714285714286</v>
      </c>
      <c r="K9870" s="445">
        <f>J9870/POBLA!$B$5*100000</f>
        <v>28.894810427426254</v>
      </c>
    </row>
    <row r="9871" spans="1:11" s="393" customFormat="1" x14ac:dyDescent="0.25">
      <c r="A9871" s="402" t="s">
        <v>30</v>
      </c>
      <c r="B9871" s="2">
        <v>44304</v>
      </c>
      <c r="C9871" s="42">
        <v>195</v>
      </c>
      <c r="D9871" s="39">
        <f t="shared" si="884"/>
        <v>34733</v>
      </c>
      <c r="E9871" s="1"/>
      <c r="F9871" s="39">
        <f t="shared" si="888"/>
        <v>393</v>
      </c>
      <c r="G9871" s="436">
        <f>SUM(C9871,C9847,C9823,C9799,C9775,C9751,C9727,C9703,C9679,C9655,C9631,C9607,C9583,C9559)/POBLA!$B$6*100000</f>
        <v>344.48577401340646</v>
      </c>
      <c r="H9871" s="441">
        <f t="shared" si="887"/>
        <v>0.87650397275822933</v>
      </c>
      <c r="I9871" s="445">
        <f t="shared" si="889"/>
        <v>301.94314948144438</v>
      </c>
      <c r="J9871" s="310">
        <f t="shared" si="890"/>
        <v>214.57142857142858</v>
      </c>
      <c r="K9871" s="445">
        <f>J9871/POBLA!$B$6*100000</f>
        <v>19.144471549492604</v>
      </c>
    </row>
    <row r="9872" spans="1:11" s="393" customFormat="1" x14ac:dyDescent="0.25">
      <c r="A9872" s="402" t="s">
        <v>20</v>
      </c>
      <c r="B9872" s="2">
        <v>44304</v>
      </c>
      <c r="C9872" s="42">
        <v>1003</v>
      </c>
      <c r="D9872" s="39">
        <f t="shared" si="884"/>
        <v>206823</v>
      </c>
      <c r="E9872" s="1">
        <v>2</v>
      </c>
      <c r="F9872" s="39">
        <f t="shared" si="888"/>
        <v>3175</v>
      </c>
      <c r="G9872" s="436">
        <f>SUM(C9872,C9848,C9824,C9800,C9776,C9752,C9728,C9704,C9680,C9656,C9632,C9608,C9584,C9560)/POBLA!$B$7*100000</f>
        <v>610.5386323445332</v>
      </c>
      <c r="H9872" s="441">
        <f t="shared" si="887"/>
        <v>1.9681954564937849</v>
      </c>
      <c r="I9872" s="445">
        <f t="shared" si="889"/>
        <v>1201.6593621944396</v>
      </c>
      <c r="J9872" s="310">
        <f t="shared" si="890"/>
        <v>1656.5714285714287</v>
      </c>
      <c r="K9872" s="445">
        <f>J9872/POBLA!$B$7*100000</f>
        <v>44.052478521757472</v>
      </c>
    </row>
    <row r="9873" spans="1:11" x14ac:dyDescent="0.25">
      <c r="A9873" s="402" t="s">
        <v>31</v>
      </c>
      <c r="B9873" s="2">
        <v>44304</v>
      </c>
      <c r="C9873" s="42">
        <v>231</v>
      </c>
      <c r="D9873" s="39">
        <f t="shared" si="884"/>
        <v>56447</v>
      </c>
      <c r="F9873" s="39">
        <f t="shared" si="888"/>
        <v>1000</v>
      </c>
      <c r="G9873" s="169">
        <f>SUM(C9873,C9849,C9825,C9801,C9777,C9753,C9729,C9705,C9681,C9657,C9633,C9609,C9585,C9561)/POBLA!$B$8*100000</f>
        <v>421.87334275639785</v>
      </c>
      <c r="H9873" s="518">
        <f t="shared" si="887"/>
        <v>2.3624242424242423</v>
      </c>
      <c r="I9873" s="310">
        <f t="shared" si="889"/>
        <v>996.64381216026595</v>
      </c>
      <c r="J9873" s="310">
        <f t="shared" si="890"/>
        <v>482.14285714285717</v>
      </c>
      <c r="K9873" s="310">
        <f>J9873/POBLA!$B$8*100000</f>
        <v>34.787620801945884</v>
      </c>
    </row>
    <row r="9874" spans="1:11" s="393" customFormat="1" x14ac:dyDescent="0.25">
      <c r="A9874" s="402" t="s">
        <v>41</v>
      </c>
      <c r="B9874" s="2">
        <v>44304</v>
      </c>
      <c r="C9874" s="42">
        <v>35</v>
      </c>
      <c r="D9874" s="39">
        <f t="shared" si="884"/>
        <v>3462</v>
      </c>
      <c r="E9874" s="1"/>
      <c r="F9874" s="39">
        <f t="shared" si="888"/>
        <v>61</v>
      </c>
      <c r="G9874" s="436">
        <f>SUM(C9874,C9850,C9826,C9802,C9778,C9754,C9730,C9706,C9682,C9658,C9634,C9610,C9586,C9562)/POBLA!$B$9*100000</f>
        <v>188.86537022073949</v>
      </c>
      <c r="H9874" s="441">
        <f t="shared" si="887"/>
        <v>1.8317307692307692</v>
      </c>
      <c r="I9874" s="445">
        <f t="shared" si="889"/>
        <v>345.95050987548916</v>
      </c>
      <c r="J9874" s="310">
        <f t="shared" si="890"/>
        <v>115.42857142857143</v>
      </c>
      <c r="K9874" s="445">
        <f>J9874/POBLA!$B$9*100000</f>
        <v>19.073018265011562</v>
      </c>
    </row>
    <row r="9875" spans="1:11" s="393" customFormat="1" x14ac:dyDescent="0.25">
      <c r="A9875" s="402" t="s">
        <v>32</v>
      </c>
      <c r="B9875" s="2">
        <v>44304</v>
      </c>
      <c r="C9875" s="42">
        <v>74</v>
      </c>
      <c r="D9875" s="39">
        <f t="shared" si="884"/>
        <v>23686</v>
      </c>
      <c r="E9875" s="1">
        <v>2</v>
      </c>
      <c r="F9875" s="39">
        <f t="shared" si="888"/>
        <v>1000</v>
      </c>
      <c r="G9875" s="436">
        <f>SUM(C9875,C9851,C9827,C9803,C9779,C9755,C9731,C9707,C9683,C9659,C9635,C9611,C9587,C9563)/POBLA!$B$10*100000</f>
        <v>134.78085463255678</v>
      </c>
      <c r="H9875" s="441">
        <f t="shared" si="887"/>
        <v>1.667736757624398</v>
      </c>
      <c r="I9875" s="445">
        <f t="shared" si="889"/>
        <v>224.77898549474557</v>
      </c>
      <c r="J9875" s="310">
        <f t="shared" si="890"/>
        <v>92.714285714285708</v>
      </c>
      <c r="K9875" s="445">
        <f>J9875/POBLA!$B$10*100000</f>
        <v>12.027055500691509</v>
      </c>
    </row>
    <row r="9876" spans="1:11" s="393" customFormat="1" x14ac:dyDescent="0.25">
      <c r="A9876" s="402" t="s">
        <v>33</v>
      </c>
      <c r="B9876" s="2">
        <v>44304</v>
      </c>
      <c r="C9876" s="42">
        <v>142</v>
      </c>
      <c r="D9876" s="39">
        <f t="shared" si="884"/>
        <v>24028</v>
      </c>
      <c r="E9876" s="1"/>
      <c r="F9876" s="39">
        <f t="shared" si="888"/>
        <v>332</v>
      </c>
      <c r="G9876" s="436">
        <f>SUM(C9876,C9852,C9828,C9804,C9780,C9756,C9732,C9708,C9684,C9660,C9636,C9612,C9588,C9564)/POBLA!$B$11*100000</f>
        <v>676.84444295646551</v>
      </c>
      <c r="H9876" s="441">
        <f t="shared" si="887"/>
        <v>2.1796945193171609</v>
      </c>
      <c r="I9876" s="445">
        <f t="shared" si="889"/>
        <v>1475.3141227424846</v>
      </c>
      <c r="J9876" s="310">
        <f t="shared" si="890"/>
        <v>184.85714285714286</v>
      </c>
      <c r="K9876" s="445">
        <f>J9876/POBLA!$B$11*100000</f>
        <v>51.574414626408334</v>
      </c>
    </row>
    <row r="9877" spans="1:11" s="393" customFormat="1" x14ac:dyDescent="0.25">
      <c r="A9877" s="402" t="s">
        <v>21</v>
      </c>
      <c r="B9877" s="2">
        <v>44304</v>
      </c>
      <c r="C9877" s="42">
        <v>46</v>
      </c>
      <c r="D9877" s="39">
        <f t="shared" si="884"/>
        <v>12441</v>
      </c>
      <c r="E9877" s="1"/>
      <c r="F9877" s="39">
        <f t="shared" si="888"/>
        <v>458</v>
      </c>
      <c r="G9877" s="436">
        <f>SUM(C9877,C9853,C9829,C9805,C9781,C9757,C9733,C9709,C9685,C9661,C9637,C9613,C9589,C9565)/POBLA!$B$12*100000</f>
        <v>274.43835428466883</v>
      </c>
      <c r="H9877" s="441">
        <f t="shared" si="887"/>
        <v>1.6191904047976011</v>
      </c>
      <c r="I9877" s="445">
        <f t="shared" si="889"/>
        <v>444.36794996618039</v>
      </c>
      <c r="J9877" s="310">
        <f t="shared" si="890"/>
        <v>58.857142857142854</v>
      </c>
      <c r="K9877" s="445">
        <f>J9877/POBLA!$B$12*100000</f>
        <v>14.956164281122161</v>
      </c>
    </row>
    <row r="9878" spans="1:11" s="393" customFormat="1" x14ac:dyDescent="0.25">
      <c r="A9878" s="402" t="s">
        <v>17</v>
      </c>
      <c r="B9878" s="2">
        <v>44304</v>
      </c>
      <c r="C9878" s="42">
        <v>566</v>
      </c>
      <c r="D9878" s="39">
        <f t="shared" si="884"/>
        <v>86143</v>
      </c>
      <c r="E9878" s="1">
        <v>4</v>
      </c>
      <c r="F9878" s="39">
        <f t="shared" si="888"/>
        <v>1641</v>
      </c>
      <c r="G9878" s="436">
        <f>SUM(C9878,C9854,C9830,C9806,C9782,C9758,C9734,C9710,C9686,C9662,C9638,C9614,C9590,C9566)/POBLA!$B$13*100000</f>
        <v>592.16072847928342</v>
      </c>
      <c r="H9878" s="441">
        <f t="shared" si="887"/>
        <v>3.0174091141833079</v>
      </c>
      <c r="I9878" s="445">
        <f t="shared" si="889"/>
        <v>1786.791179174817</v>
      </c>
      <c r="J9878" s="310">
        <f t="shared" si="890"/>
        <v>869.57142857142856</v>
      </c>
      <c r="K9878" s="445">
        <f>J9878/POBLA!$B$13*100000</f>
        <v>43.689636060379115</v>
      </c>
    </row>
    <row r="9879" spans="1:11" s="393" customFormat="1" x14ac:dyDescent="0.25">
      <c r="A9879" s="402" t="s">
        <v>23</v>
      </c>
      <c r="B9879" s="2">
        <v>44304</v>
      </c>
      <c r="C9879" s="42">
        <v>88</v>
      </c>
      <c r="D9879" s="39">
        <f t="shared" si="884"/>
        <v>14298</v>
      </c>
      <c r="E9879" s="1"/>
      <c r="F9879" s="39">
        <f t="shared" si="888"/>
        <v>228</v>
      </c>
      <c r="G9879" s="436">
        <f>SUM(C9879,C9855,C9831,C9807,C9783,C9759,C9735,C9711,C9687,C9663,C9639,C9615,C9591,C9567)/POBLA!$B$14*100000</f>
        <v>157.69519239764875</v>
      </c>
      <c r="H9879" s="441">
        <f t="shared" si="887"/>
        <v>1.3137384412153237</v>
      </c>
      <c r="I9879" s="445">
        <f t="shared" si="889"/>
        <v>207.17023624763763</v>
      </c>
      <c r="J9879" s="310">
        <f t="shared" si="890"/>
        <v>133.57142857142858</v>
      </c>
      <c r="K9879" s="445">
        <f>J9879/POBLA!$B$14*100000</f>
        <v>10.59003123549534</v>
      </c>
    </row>
    <row r="9880" spans="1:11" s="393" customFormat="1" x14ac:dyDescent="0.25">
      <c r="A9880" s="402" t="s">
        <v>19</v>
      </c>
      <c r="B9880" s="2">
        <v>44304</v>
      </c>
      <c r="C9880" s="42">
        <v>113</v>
      </c>
      <c r="D9880" s="39">
        <f t="shared" si="884"/>
        <v>67771</v>
      </c>
      <c r="E9880" s="1">
        <v>3</v>
      </c>
      <c r="F9880" s="39">
        <f t="shared" si="888"/>
        <v>1030</v>
      </c>
      <c r="G9880" s="436">
        <f>SUM(C9880,C9856,C9832,C9808,C9784,C9760,C9736,C9712,C9688,C9664,C9640,C9616,C9592,C9568)/POBLA!$B$15*100000</f>
        <v>342.28989378923796</v>
      </c>
      <c r="H9880" s="441">
        <f t="shared" si="887"/>
        <v>1.5773768216516308</v>
      </c>
      <c r="I9880" s="445">
        <f t="shared" si="889"/>
        <v>539.92014474874247</v>
      </c>
      <c r="J9880" s="310">
        <f t="shared" si="890"/>
        <v>173.57142857142858</v>
      </c>
      <c r="K9880" s="445">
        <f>J9880/POBLA!$B$15*100000</f>
        <v>26.138031610453407</v>
      </c>
    </row>
    <row r="9881" spans="1:11" s="393" customFormat="1" x14ac:dyDescent="0.25">
      <c r="A9881" s="402" t="s">
        <v>18</v>
      </c>
      <c r="B9881" s="2">
        <v>44304</v>
      </c>
      <c r="C9881" s="42">
        <v>132</v>
      </c>
      <c r="D9881" s="39">
        <f t="shared" si="884"/>
        <v>58133</v>
      </c>
      <c r="E9881" s="1">
        <v>1</v>
      </c>
      <c r="F9881" s="39">
        <f t="shared" si="888"/>
        <v>1316</v>
      </c>
      <c r="G9881" s="436">
        <f>SUM(C9881,C9857,C9833,C9809,C9785,C9761,C9737,C9713,C9689,C9665,C9641,C9617,C9593,C9569)/POBLA!$B$16*100000</f>
        <v>321.29051243295299</v>
      </c>
      <c r="H9881" s="441">
        <f t="shared" si="887"/>
        <v>1.806015037593985</v>
      </c>
      <c r="I9881" s="445">
        <f t="shared" si="889"/>
        <v>580.25549689019033</v>
      </c>
      <c r="J9881" s="310">
        <f t="shared" si="890"/>
        <v>193.28571428571428</v>
      </c>
      <c r="K9881" s="445">
        <f>J9881/POBLA!$B$16*100000</f>
        <v>25.853816065289962</v>
      </c>
    </row>
    <row r="9882" spans="1:11" s="393" customFormat="1" x14ac:dyDescent="0.25">
      <c r="A9882" s="402" t="s">
        <v>34</v>
      </c>
      <c r="B9882" s="2">
        <v>44304</v>
      </c>
      <c r="C9882" s="42">
        <v>67</v>
      </c>
      <c r="D9882" s="39">
        <f t="shared" si="884"/>
        <v>32319</v>
      </c>
      <c r="E9882" s="1">
        <v>1</v>
      </c>
      <c r="F9882" s="39">
        <f t="shared" si="888"/>
        <v>1257</v>
      </c>
      <c r="G9882" s="436">
        <f>SUM(C9882,C9858,C9834,C9810,C9786,C9762,C9738,C9714,C9690,C9666,C9642,C9618,C9594,C9570)/POBLA!$B$17*100000</f>
        <v>180.91866242346759</v>
      </c>
      <c r="H9882" s="441">
        <f t="shared" ref="H9882:H9905" si="891">SUM(C9882,C9858,C9834,C9810,C9786,C9762,C9738,C9714,C9690,C9666,C9642,C9618,C9594,C9570)/SUM(C9546,C9522,C9498,C9474,C9450,C9426,C9402,C9378,C9354,C9330,C9306,C9282,C9258,C9234)</f>
        <v>1.7945682451253482</v>
      </c>
      <c r="I9882" s="445">
        <f t="shared" si="889"/>
        <v>324.6708865357075</v>
      </c>
      <c r="J9882" s="310">
        <f t="shared" si="890"/>
        <v>186.71428571428572</v>
      </c>
      <c r="K9882" s="445">
        <f>J9882/POBLA!$B$17*100000</f>
        <v>13.108303774459349</v>
      </c>
    </row>
    <row r="9883" spans="1:11" s="393" customFormat="1" x14ac:dyDescent="0.25">
      <c r="A9883" s="402" t="s">
        <v>35</v>
      </c>
      <c r="B9883" s="2">
        <v>44304</v>
      </c>
      <c r="C9883" s="42">
        <v>61</v>
      </c>
      <c r="D9883" s="39">
        <f t="shared" si="884"/>
        <v>20158</v>
      </c>
      <c r="E9883" s="1"/>
      <c r="F9883" s="39">
        <f t="shared" si="888"/>
        <v>240</v>
      </c>
      <c r="G9883" s="436">
        <f>SUM(C9883,C9859,C9835,C9811,C9787,C9763,C9739,C9715,C9691,C9667,C9643,C9619,C9595,C9571)/POBLA!$B$18*100000</f>
        <v>343.18249602863227</v>
      </c>
      <c r="H9883" s="441">
        <f t="shared" si="891"/>
        <v>2.3072289156626504</v>
      </c>
      <c r="I9883" s="445">
        <f t="shared" si="889"/>
        <v>791.80057818654302</v>
      </c>
      <c r="J9883" s="310">
        <f t="shared" si="890"/>
        <v>196.28571428571428</v>
      </c>
      <c r="K9883" s="445">
        <f>J9883/POBLA!$B$18*100000</f>
        <v>25.125632735298169</v>
      </c>
    </row>
    <row r="9884" spans="1:11" s="393" customFormat="1" x14ac:dyDescent="0.25">
      <c r="A9884" s="402" t="s">
        <v>36</v>
      </c>
      <c r="B9884" s="2">
        <v>44304</v>
      </c>
      <c r="C9884" s="42">
        <v>485</v>
      </c>
      <c r="D9884" s="39">
        <f t="shared" si="884"/>
        <v>30108</v>
      </c>
      <c r="E9884" s="1">
        <v>1</v>
      </c>
      <c r="F9884" s="39">
        <f t="shared" si="888"/>
        <v>449</v>
      </c>
      <c r="G9884" s="436">
        <f>SUM(C9884,C9860,C9836,C9812,C9788,C9764,C9740,C9716,C9692,C9668,C9644,C9620,C9596,C9572)/POBLA!$B$19*100000</f>
        <v>1276.734706724792</v>
      </c>
      <c r="H9884" s="441">
        <f t="shared" si="891"/>
        <v>3.1413359148112296</v>
      </c>
      <c r="I9884" s="445">
        <f t="shared" si="889"/>
        <v>4010.6525879205715</v>
      </c>
      <c r="J9884" s="310">
        <f t="shared" si="890"/>
        <v>535.71428571428567</v>
      </c>
      <c r="K9884" s="445">
        <f>J9884/POBLA!$B$19*100000</f>
        <v>105.3875225669815</v>
      </c>
    </row>
    <row r="9885" spans="1:11" s="393" customFormat="1" x14ac:dyDescent="0.25">
      <c r="A9885" s="402" t="s">
        <v>37</v>
      </c>
      <c r="B9885" s="2">
        <v>44304</v>
      </c>
      <c r="C9885" s="42">
        <v>161</v>
      </c>
      <c r="D9885" s="39">
        <f t="shared" si="884"/>
        <v>42257</v>
      </c>
      <c r="E9885" s="1">
        <v>2</v>
      </c>
      <c r="F9885" s="39">
        <f t="shared" si="888"/>
        <v>680</v>
      </c>
      <c r="G9885" s="436">
        <f>SUM(C9885,C9861,C9837,C9813,C9789,C9765,C9741,C9717,C9693,C9669,C9645,C9621,C9597,C9573)/POBLA!$B$20*100000</f>
        <v>675.14725265109462</v>
      </c>
      <c r="H9885" s="441">
        <f t="shared" si="891"/>
        <v>1.5450563204005006</v>
      </c>
      <c r="I9885" s="445">
        <f t="shared" si="889"/>
        <v>1043.1405299096073</v>
      </c>
      <c r="J9885" s="310">
        <f t="shared" si="890"/>
        <v>180.28571428571428</v>
      </c>
      <c r="K9885" s="445">
        <f>J9885/POBLA!$B$20*100000</f>
        <v>49.29907034922649</v>
      </c>
    </row>
    <row r="9886" spans="1:11" s="393" customFormat="1" x14ac:dyDescent="0.25">
      <c r="A9886" s="402" t="s">
        <v>22</v>
      </c>
      <c r="B9886" s="2">
        <v>44304</v>
      </c>
      <c r="C9886" s="42">
        <v>909</v>
      </c>
      <c r="D9886" s="39">
        <f t="shared" si="884"/>
        <v>252957</v>
      </c>
      <c r="E9886" s="1">
        <v>10</v>
      </c>
      <c r="F9886" s="39">
        <f t="shared" si="888"/>
        <v>4406</v>
      </c>
      <c r="G9886" s="436">
        <f>SUM(C9886,C9862,C9838,C9814,C9790,C9766,C9742,C9718,C9694,C9670,C9646,C9622,C9598,C9574)/POBLA!$B$21*100000</f>
        <v>541.76287984056182</v>
      </c>
      <c r="H9886" s="441">
        <f t="shared" si="891"/>
        <v>2.3030412309171777</v>
      </c>
      <c r="I9886" s="445">
        <f t="shared" si="889"/>
        <v>1247.7022496532425</v>
      </c>
      <c r="J9886" s="310">
        <f t="shared" si="890"/>
        <v>1554.1428571428571</v>
      </c>
      <c r="K9886" s="445">
        <f>J9886/POBLA!$B$21*100000</f>
        <v>43.946808808881109</v>
      </c>
    </row>
    <row r="9887" spans="1:11" s="393" customFormat="1" x14ac:dyDescent="0.25">
      <c r="A9887" s="402" t="s">
        <v>38</v>
      </c>
      <c r="B9887" s="2">
        <v>44304</v>
      </c>
      <c r="C9887" s="42">
        <v>216</v>
      </c>
      <c r="D9887" s="39">
        <f t="shared" si="884"/>
        <v>28236</v>
      </c>
      <c r="E9887" s="1">
        <v>4</v>
      </c>
      <c r="F9887" s="39">
        <f t="shared" si="888"/>
        <v>324</v>
      </c>
      <c r="G9887" s="436">
        <f>SUM(C9887,C9863,C9839,C9815,C9791,C9767,C9743,C9719,C9695,C9671,C9647,C9623,C9599,C9575)/POBLA!$B$22*100000</f>
        <v>265.76361552999907</v>
      </c>
      <c r="H9887" s="441">
        <f t="shared" si="891"/>
        <v>1.6971279373368147</v>
      </c>
      <c r="I9887" s="445">
        <f t="shared" si="889"/>
        <v>451.03485664360159</v>
      </c>
      <c r="J9887" s="310">
        <f t="shared" si="890"/>
        <v>201.28571428571428</v>
      </c>
      <c r="K9887" s="445">
        <f>J9887/POBLA!$B$22*100000</f>
        <v>20.574776608888389</v>
      </c>
    </row>
    <row r="9888" spans="1:11" s="393" customFormat="1" x14ac:dyDescent="0.25">
      <c r="A9888" s="402" t="s">
        <v>39</v>
      </c>
      <c r="B9888" s="2">
        <v>44304</v>
      </c>
      <c r="C9888" s="42">
        <v>51</v>
      </c>
      <c r="D9888" s="39">
        <f t="shared" si="884"/>
        <v>25463</v>
      </c>
      <c r="E9888" s="1"/>
      <c r="F9888" s="39">
        <f t="shared" si="888"/>
        <v>375</v>
      </c>
      <c r="G9888" s="436">
        <f>SUM(C9888,C9864,C9840,C9816,C9792,C9768,C9744,C9720,C9696,C9672,C9648,C9624,C9600,C9576)/POBLA!$B$23*100000</f>
        <v>654.86625572583841</v>
      </c>
      <c r="H9888" s="441">
        <f t="shared" si="891"/>
        <v>1.6105702364394994</v>
      </c>
      <c r="I9888" s="445">
        <f t="shared" si="889"/>
        <v>1054.7081003206133</v>
      </c>
      <c r="J9888" s="310">
        <f t="shared" si="890"/>
        <v>87.714285714285708</v>
      </c>
      <c r="K9888" s="445">
        <f>J9888/POBLA!$B$23*100000</f>
        <v>49.603735629862413</v>
      </c>
    </row>
    <row r="9889" spans="1:11" s="393" customFormat="1" ht="15.75" thickBot="1" x14ac:dyDescent="0.3">
      <c r="A9889" s="404" t="s">
        <v>40</v>
      </c>
      <c r="B9889" s="2">
        <v>44304</v>
      </c>
      <c r="C9889" s="42">
        <v>226</v>
      </c>
      <c r="D9889" s="177">
        <f t="shared" si="884"/>
        <v>97522</v>
      </c>
      <c r="E9889" s="1"/>
      <c r="F9889" s="177">
        <f t="shared" si="888"/>
        <v>1569</v>
      </c>
      <c r="G9889" s="439">
        <f>SUM(C9889,C9865,C9841,C9817,C9793,C9769,C9745,C9721,C9697,C9673,C9649,C9625,C9601,C9577)/POBLA!$B$24*100000</f>
        <v>493.19743948034289</v>
      </c>
      <c r="H9889" s="442">
        <f t="shared" si="891"/>
        <v>1.6178861788617886</v>
      </c>
      <c r="I9889" s="445">
        <f t="shared" si="889"/>
        <v>797.93732078527023</v>
      </c>
      <c r="J9889" s="310">
        <f t="shared" si="890"/>
        <v>601.85714285714289</v>
      </c>
      <c r="K9889" s="445">
        <f>J9889/POBLA!$B$24*100000</f>
        <v>35.515003803553221</v>
      </c>
    </row>
    <row r="9890" spans="1:11" s="393" customFormat="1" x14ac:dyDescent="0.25">
      <c r="A9890" s="409" t="s">
        <v>16</v>
      </c>
      <c r="B9890" s="2">
        <v>44305</v>
      </c>
      <c r="C9890" s="42">
        <v>10515</v>
      </c>
      <c r="D9890" s="264">
        <f t="shared" si="884"/>
        <v>1173172</v>
      </c>
      <c r="E9890" s="1">
        <v>113</v>
      </c>
      <c r="F9890" s="264">
        <f t="shared" ref="F9890:F9913" si="892">E9890+F9866</f>
        <v>30301</v>
      </c>
      <c r="G9890" s="454">
        <f>SUM(C9890,C9866,C9842,C9818,C9794,C9770,C9746,C9722,C9698,C9674,C9650,C9626,C9602,C9578)/POBLA!$B$1*100000</f>
        <v>893.20871430199429</v>
      </c>
      <c r="H9890" s="455">
        <f t="shared" si="891"/>
        <v>2.0992979071200795</v>
      </c>
      <c r="I9890" s="445">
        <f>G9890*H9890</f>
        <v>1875.1111845555936</v>
      </c>
      <c r="J9890" s="310">
        <f>AVERAGE(C9890,C9866,C9842,C9818,C9794,C9770,C9746)</f>
        <v>11880</v>
      </c>
      <c r="K9890" s="445">
        <f>J9890/POBLA!$B$1*100000</f>
        <v>67.726495100860319</v>
      </c>
    </row>
    <row r="9891" spans="1:11" s="393" customFormat="1" x14ac:dyDescent="0.25">
      <c r="A9891" s="402" t="s">
        <v>43</v>
      </c>
      <c r="B9891" s="2">
        <v>44305</v>
      </c>
      <c r="C9891" s="42">
        <v>2996</v>
      </c>
      <c r="D9891" s="39">
        <f t="shared" si="884"/>
        <v>309900</v>
      </c>
      <c r="E9891" s="1">
        <v>30</v>
      </c>
      <c r="F9891" s="39">
        <f t="shared" si="892"/>
        <v>7263</v>
      </c>
      <c r="G9891" s="436">
        <f>SUM(C9891,C9867,C9843,C9819,C9795,C9771,C9747,C9723,C9699,C9675,C9651,C9627,C9603,C9579)/POBLA!$B$2*100000</f>
        <v>1269.0667261446863</v>
      </c>
      <c r="H9891" s="441">
        <f t="shared" si="891"/>
        <v>1.7929260450160771</v>
      </c>
      <c r="I9891" s="445">
        <f t="shared" ref="I9891:I9913" si="893">G9891*H9891</f>
        <v>2275.3427861680934</v>
      </c>
      <c r="J9891" s="310">
        <f t="shared" ref="J9891:J9913" si="894">AVERAGE(C9891,C9867,C9843,C9819,C9795,C9771,C9747)</f>
        <v>2966.5714285714284</v>
      </c>
      <c r="K9891" s="445">
        <f>J9891/POBLA!$B$2*100000</f>
        <v>96.453604497117951</v>
      </c>
    </row>
    <row r="9892" spans="1:11" s="393" customFormat="1" x14ac:dyDescent="0.25">
      <c r="A9892" s="402" t="s">
        <v>28</v>
      </c>
      <c r="B9892" s="2">
        <v>44305</v>
      </c>
      <c r="C9892" s="42">
        <v>199</v>
      </c>
      <c r="D9892" s="39">
        <f t="shared" si="884"/>
        <v>12969</v>
      </c>
      <c r="E9892" s="1"/>
      <c r="F9892" s="39">
        <f t="shared" si="892"/>
        <v>19</v>
      </c>
      <c r="G9892" s="436">
        <f>SUM(C9892,C9868,C9844,C9820,C9796,C9772,C9748,C9724,C9700,C9676,C9652,C9628,C9604,C9580)/POBLA!$B$3*100000</f>
        <v>505.49059065371972</v>
      </c>
      <c r="H9892" s="441">
        <f t="shared" si="891"/>
        <v>1.8953068592057762</v>
      </c>
      <c r="I9892" s="445">
        <f t="shared" si="893"/>
        <v>958.05978372997424</v>
      </c>
      <c r="J9892" s="310">
        <f t="shared" si="894"/>
        <v>158</v>
      </c>
      <c r="K9892" s="445">
        <f>J9892/POBLA!$B$3*100000</f>
        <v>38.032149201565581</v>
      </c>
    </row>
    <row r="9893" spans="1:11" s="393" customFormat="1" x14ac:dyDescent="0.25">
      <c r="A9893" s="402" t="s">
        <v>15</v>
      </c>
      <c r="B9893" s="2">
        <v>44305</v>
      </c>
      <c r="C9893" s="42">
        <v>162</v>
      </c>
      <c r="D9893" s="39">
        <f t="shared" si="884"/>
        <v>42265</v>
      </c>
      <c r="E9893" s="1">
        <v>2</v>
      </c>
      <c r="F9893" s="39">
        <f t="shared" si="892"/>
        <v>996</v>
      </c>
      <c r="G9893" s="436">
        <f>SUM(C9893,C9869,C9845,C9821,C9797,C9773,C9749,C9725,C9701,C9677,C9653,C9629,C9605,C9581)/POBLA!$B$4*100000</f>
        <v>261.92549693202642</v>
      </c>
      <c r="H9893" s="441">
        <f t="shared" si="891"/>
        <v>1.5390243902439025</v>
      </c>
      <c r="I9893" s="445">
        <f t="shared" si="893"/>
        <v>403.10972820514309</v>
      </c>
      <c r="J9893" s="310">
        <f t="shared" si="894"/>
        <v>240.57142857142858</v>
      </c>
      <c r="K9893" s="445">
        <f>J9893/POBLA!$B$4*100000</f>
        <v>19.972041513857025</v>
      </c>
    </row>
    <row r="9894" spans="1:11" s="393" customFormat="1" x14ac:dyDescent="0.25">
      <c r="A9894" s="402" t="s">
        <v>29</v>
      </c>
      <c r="B9894" s="2">
        <v>44305</v>
      </c>
      <c r="C9894" s="42">
        <v>148</v>
      </c>
      <c r="D9894" s="39">
        <f t="shared" si="884"/>
        <v>52743</v>
      </c>
      <c r="E9894" s="1"/>
      <c r="F9894" s="39">
        <f t="shared" si="892"/>
        <v>891</v>
      </c>
      <c r="G9894" s="436">
        <f>SUM(C9894,C9870,C9846,C9822,C9798,C9774,C9750,C9726,C9702,C9678,C9654,C9630,C9606,C9582)/POBLA!$B$5*100000</f>
        <v>364.13923236735735</v>
      </c>
      <c r="H9894" s="441">
        <f t="shared" si="891"/>
        <v>1.3853718500307315</v>
      </c>
      <c r="I9894" s="445">
        <f t="shared" si="893"/>
        <v>504.46824201353627</v>
      </c>
      <c r="J9894" s="310">
        <f t="shared" si="894"/>
        <v>176.57142857142858</v>
      </c>
      <c r="K9894" s="445">
        <f>J9894/POBLA!$B$5*100000</f>
        <v>28.525547674360102</v>
      </c>
    </row>
    <row r="9895" spans="1:11" s="393" customFormat="1" x14ac:dyDescent="0.25">
      <c r="A9895" s="402" t="s">
        <v>30</v>
      </c>
      <c r="B9895" s="2">
        <v>44305</v>
      </c>
      <c r="C9895" s="42">
        <v>120</v>
      </c>
      <c r="D9895" s="39">
        <f t="shared" si="884"/>
        <v>34853</v>
      </c>
      <c r="E9895" s="1">
        <v>4</v>
      </c>
      <c r="F9895" s="39">
        <f t="shared" si="892"/>
        <v>397</v>
      </c>
      <c r="G9895" s="436">
        <f>SUM(C9895,C9871,C9847,C9823,C9799,C9775,C9751,C9727,C9703,C9679,C9655,C9631,C9607,C9583)/POBLA!$B$6*100000</f>
        <v>349.83908829488911</v>
      </c>
      <c r="H9895" s="441">
        <f t="shared" si="891"/>
        <v>0.91483901073261786</v>
      </c>
      <c r="I9895" s="445">
        <f t="shared" si="893"/>
        <v>320.0464454512973</v>
      </c>
      <c r="J9895" s="310">
        <f t="shared" si="894"/>
        <v>221.71428571428572</v>
      </c>
      <c r="K9895" s="445">
        <f>J9895/POBLA!$B$6*100000</f>
        <v>19.781770868716723</v>
      </c>
    </row>
    <row r="9896" spans="1:11" s="393" customFormat="1" x14ac:dyDescent="0.25">
      <c r="A9896" s="402" t="s">
        <v>20</v>
      </c>
      <c r="B9896" s="2">
        <v>44305</v>
      </c>
      <c r="C9896" s="42">
        <v>1340</v>
      </c>
      <c r="D9896" s="39">
        <f t="shared" si="884"/>
        <v>208163</v>
      </c>
      <c r="E9896" s="1">
        <v>16</v>
      </c>
      <c r="F9896" s="39">
        <f t="shared" si="892"/>
        <v>3191</v>
      </c>
      <c r="G9896" s="436">
        <f>SUM(C9896,C9872,C9848,C9824,C9800,C9776,C9752,C9728,C9704,C9680,C9656,C9632,C9608,C9584)/POBLA!$B$7*100000</f>
        <v>618.30366046616757</v>
      </c>
      <c r="H9896" s="441">
        <f t="shared" si="891"/>
        <v>1.9214114535988762</v>
      </c>
      <c r="I9896" s="445">
        <f t="shared" si="893"/>
        <v>1188.0157350218051</v>
      </c>
      <c r="J9896" s="310">
        <f t="shared" si="894"/>
        <v>1662.2857142857142</v>
      </c>
      <c r="K9896" s="445">
        <f>J9896/POBLA!$B$7*100000</f>
        <v>44.204436019245414</v>
      </c>
    </row>
    <row r="9897" spans="1:11" x14ac:dyDescent="0.25">
      <c r="A9897" s="402" t="s">
        <v>31</v>
      </c>
      <c r="B9897" s="2">
        <v>44305</v>
      </c>
      <c r="C9897" s="42">
        <v>206</v>
      </c>
      <c r="D9897" s="39">
        <f t="shared" si="884"/>
        <v>56653</v>
      </c>
      <c r="E9897" s="1">
        <v>10</v>
      </c>
      <c r="F9897" s="39">
        <f t="shared" si="892"/>
        <v>1010</v>
      </c>
      <c r="G9897" s="169">
        <f>SUM(C9897,C9873,C9849,C9825,C9801,C9777,C9753,C9729,C9705,C9681,C9657,C9633,C9609,C9585)/POBLA!$B$8*100000</f>
        <v>429.01640089439746</v>
      </c>
      <c r="H9897" s="518">
        <f t="shared" si="891"/>
        <v>2.4682440846824409</v>
      </c>
      <c r="I9897" s="310">
        <f t="shared" si="893"/>
        <v>1058.9171937393471</v>
      </c>
      <c r="J9897" s="310">
        <f t="shared" si="894"/>
        <v>478.57142857142856</v>
      </c>
      <c r="K9897" s="310">
        <f>J9897/POBLA!$B$8*100000</f>
        <v>34.529934721931461</v>
      </c>
    </row>
    <row r="9898" spans="1:11" s="393" customFormat="1" x14ac:dyDescent="0.25">
      <c r="A9898" s="402" t="s">
        <v>41</v>
      </c>
      <c r="B9898" s="2">
        <v>44305</v>
      </c>
      <c r="C9898" s="42">
        <v>40</v>
      </c>
      <c r="D9898" s="39">
        <f t="shared" si="884"/>
        <v>3502</v>
      </c>
      <c r="E9898" s="1"/>
      <c r="F9898" s="39">
        <f t="shared" si="892"/>
        <v>61</v>
      </c>
      <c r="G9898" s="436">
        <f>SUM(C9898,C9874,C9850,C9826,C9802,C9778,C9754,C9730,C9706,C9682,C9658,C9634,C9610,C9586)/POBLA!$B$9*100000</f>
        <v>190.51773566449052</v>
      </c>
      <c r="H9898" s="441">
        <f t="shared" si="891"/>
        <v>1.8243670886075949</v>
      </c>
      <c r="I9898" s="445">
        <f t="shared" si="893"/>
        <v>347.5742867423379</v>
      </c>
      <c r="J9898" s="310">
        <f t="shared" si="894"/>
        <v>71.428571428571431</v>
      </c>
      <c r="K9898" s="445">
        <f>J9898/POBLA!$B$9*100000</f>
        <v>11.802610312507156</v>
      </c>
    </row>
    <row r="9899" spans="1:11" s="393" customFormat="1" x14ac:dyDescent="0.25">
      <c r="A9899" s="402" t="s">
        <v>32</v>
      </c>
      <c r="B9899" s="2">
        <v>44305</v>
      </c>
      <c r="C9899" s="42">
        <v>66</v>
      </c>
      <c r="D9899" s="39">
        <f t="shared" si="884"/>
        <v>23752</v>
      </c>
      <c r="E9899" s="1">
        <v>3</v>
      </c>
      <c r="F9899" s="39">
        <f t="shared" si="892"/>
        <v>1003</v>
      </c>
      <c r="G9899" s="436">
        <f>SUM(C9899,C9875,C9851,C9827,C9803,C9779,C9755,C9731,C9707,C9683,C9659,C9635,C9611,C9587)/POBLA!$B$10*100000</f>
        <v>137.37528879295249</v>
      </c>
      <c r="H9899" s="441">
        <f t="shared" si="891"/>
        <v>1.6242331288343559</v>
      </c>
      <c r="I9899" s="445">
        <f t="shared" si="893"/>
        <v>223.12949514070044</v>
      </c>
      <c r="J9899" s="310">
        <f t="shared" si="894"/>
        <v>91.857142857142861</v>
      </c>
      <c r="K9899" s="445">
        <f>J9899/POBLA!$B$10*100000</f>
        <v>11.915865465245979</v>
      </c>
    </row>
    <row r="9900" spans="1:11" s="393" customFormat="1" x14ac:dyDescent="0.25">
      <c r="A9900" s="402" t="s">
        <v>33</v>
      </c>
      <c r="B9900" s="2">
        <v>44305</v>
      </c>
      <c r="C9900" s="42">
        <v>155</v>
      </c>
      <c r="D9900" s="39">
        <f t="shared" si="884"/>
        <v>24183</v>
      </c>
      <c r="E9900" s="1">
        <v>8</v>
      </c>
      <c r="F9900" s="39">
        <f t="shared" si="892"/>
        <v>340</v>
      </c>
      <c r="G9900" s="436">
        <f>SUM(C9900,C9876,C9852,C9828,C9804,C9780,C9756,C9732,C9708,C9684,C9660,C9636,C9612,C9588)/POBLA!$B$11*100000</f>
        <v>681.58737598625112</v>
      </c>
      <c r="H9900" s="441">
        <f t="shared" si="891"/>
        <v>2.0633445945945947</v>
      </c>
      <c r="I9900" s="445">
        <f t="shared" si="893"/>
        <v>1406.3496279851449</v>
      </c>
      <c r="J9900" s="310">
        <f t="shared" si="894"/>
        <v>197.14285714285714</v>
      </c>
      <c r="K9900" s="445">
        <f>J9900/POBLA!$B$11*100000</f>
        <v>55.002080513480294</v>
      </c>
    </row>
    <row r="9901" spans="1:11" s="393" customFormat="1" x14ac:dyDescent="0.25">
      <c r="A9901" s="402" t="s">
        <v>21</v>
      </c>
      <c r="B9901" s="2">
        <v>44305</v>
      </c>
      <c r="C9901" s="42">
        <v>117</v>
      </c>
      <c r="D9901" s="39">
        <f t="shared" si="884"/>
        <v>12558</v>
      </c>
      <c r="E9901" s="1"/>
      <c r="F9901" s="39">
        <f t="shared" si="892"/>
        <v>458</v>
      </c>
      <c r="G9901" s="436">
        <f>SUM(C9901,C9877,C9853,C9829,C9805,C9781,C9757,C9733,C9709,C9685,C9661,C9637,C9613,C9589)/POBLA!$B$12*100000</f>
        <v>293.24246374491463</v>
      </c>
      <c r="H9901" s="441">
        <f t="shared" si="891"/>
        <v>1.6628242074927955</v>
      </c>
      <c r="I9901" s="445">
        <f t="shared" si="893"/>
        <v>487.6106673798725</v>
      </c>
      <c r="J9901" s="310">
        <f t="shared" si="894"/>
        <v>73.857142857142861</v>
      </c>
      <c r="K9901" s="445">
        <f>J9901/POBLA!$B$12*100000</f>
        <v>18.767808090631451</v>
      </c>
    </row>
    <row r="9902" spans="1:11" s="393" customFormat="1" x14ac:dyDescent="0.25">
      <c r="A9902" s="402" t="s">
        <v>17</v>
      </c>
      <c r="B9902" s="2">
        <v>44305</v>
      </c>
      <c r="C9902" s="42">
        <v>769</v>
      </c>
      <c r="D9902" s="39">
        <f t="shared" si="884"/>
        <v>86912</v>
      </c>
      <c r="E9902" s="1">
        <v>11</v>
      </c>
      <c r="F9902" s="39">
        <f t="shared" si="892"/>
        <v>1652</v>
      </c>
      <c r="G9902" s="436">
        <f>SUM(C9902,C9878,C9854,C9830,C9806,C9782,C9758,C9734,C9710,C9686,C9662,C9638,C9614,C9590)/POBLA!$B$13*100000</f>
        <v>600.80247676525289</v>
      </c>
      <c r="H9902" s="441">
        <f t="shared" si="891"/>
        <v>2.7301369863013698</v>
      </c>
      <c r="I9902" s="445">
        <f t="shared" si="893"/>
        <v>1640.2730632782864</v>
      </c>
      <c r="J9902" s="310">
        <f t="shared" si="894"/>
        <v>888.14285714285711</v>
      </c>
      <c r="K9902" s="445">
        <f>J9902/POBLA!$B$13*100000</f>
        <v>44.622715194246254</v>
      </c>
    </row>
    <row r="9903" spans="1:11" s="393" customFormat="1" x14ac:dyDescent="0.25">
      <c r="A9903" s="402" t="s">
        <v>23</v>
      </c>
      <c r="B9903" s="2">
        <v>44305</v>
      </c>
      <c r="C9903" s="42">
        <v>70</v>
      </c>
      <c r="D9903" s="39">
        <f t="shared" si="884"/>
        <v>14368</v>
      </c>
      <c r="E9903" s="1">
        <v>1</v>
      </c>
      <c r="F9903" s="39">
        <f t="shared" si="892"/>
        <v>229</v>
      </c>
      <c r="G9903" s="436">
        <f>SUM(C9903,C9879,C9855,C9831,C9807,C9783,C9759,C9735,C9711,C9687,C9663,C9639,C9615,C9591)/POBLA!$B$14*100000</f>
        <v>156.3473702404039</v>
      </c>
      <c r="H9903" s="441">
        <f t="shared" si="891"/>
        <v>1.3199464524765729</v>
      </c>
      <c r="I9903" s="445">
        <f t="shared" si="893"/>
        <v>206.37015670286246</v>
      </c>
      <c r="J9903" s="310">
        <f t="shared" si="894"/>
        <v>126.85714285714286</v>
      </c>
      <c r="K9903" s="445">
        <f>J9903/POBLA!$B$14*100000</f>
        <v>10.057698114566696</v>
      </c>
    </row>
    <row r="9904" spans="1:11" s="393" customFormat="1" x14ac:dyDescent="0.25">
      <c r="A9904" s="402" t="s">
        <v>19</v>
      </c>
      <c r="B9904" s="2">
        <v>44305</v>
      </c>
      <c r="C9904" s="42">
        <v>181</v>
      </c>
      <c r="D9904" s="39">
        <f t="shared" si="884"/>
        <v>67952</v>
      </c>
      <c r="E9904" s="1">
        <v>6</v>
      </c>
      <c r="F9904" s="39">
        <f t="shared" si="892"/>
        <v>1036</v>
      </c>
      <c r="G9904" s="436">
        <f>SUM(C9904,C9880,C9856,C9832,C9808,C9784,C9760,C9736,C9712,C9688,C9664,C9640,C9616,C9592)/POBLA!$B$15*100000</f>
        <v>340.63340948141501</v>
      </c>
      <c r="H9904" s="441">
        <f t="shared" si="891"/>
        <v>1.5130434782608695</v>
      </c>
      <c r="I9904" s="445">
        <f t="shared" si="893"/>
        <v>515.39315869361917</v>
      </c>
      <c r="J9904" s="310">
        <f t="shared" si="894"/>
        <v>184.85714285714286</v>
      </c>
      <c r="K9904" s="445">
        <f>J9904/POBLA!$B$15*100000</f>
        <v>27.837541484713341</v>
      </c>
    </row>
    <row r="9905" spans="1:11" s="393" customFormat="1" x14ac:dyDescent="0.25">
      <c r="A9905" s="402" t="s">
        <v>18</v>
      </c>
      <c r="B9905" s="2">
        <v>44305</v>
      </c>
      <c r="C9905" s="42">
        <v>198</v>
      </c>
      <c r="D9905" s="39">
        <f t="shared" si="884"/>
        <v>58331</v>
      </c>
      <c r="E9905" s="1">
        <v>2</v>
      </c>
      <c r="F9905" s="39">
        <f t="shared" si="892"/>
        <v>1318</v>
      </c>
      <c r="G9905" s="436">
        <f>SUM(C9905,C9881,C9857,C9833,C9809,C9785,C9761,C9737,C9713,C9689,C9665,C9641,C9617,C9593)/POBLA!$B$16*100000</f>
        <v>328.11225103998078</v>
      </c>
      <c r="H9905" s="441">
        <f t="shared" si="891"/>
        <v>1.7814088598402325</v>
      </c>
      <c r="I9905" s="445">
        <f t="shared" si="893"/>
        <v>584.50207102474428</v>
      </c>
      <c r="J9905" s="310">
        <f t="shared" si="894"/>
        <v>198.42857142857142</v>
      </c>
      <c r="K9905" s="445">
        <f>J9905/POBLA!$B$16*100000</f>
        <v>26.541722479444015</v>
      </c>
    </row>
    <row r="9906" spans="1:11" s="393" customFormat="1" x14ac:dyDescent="0.25">
      <c r="A9906" s="402" t="s">
        <v>34</v>
      </c>
      <c r="B9906" s="2">
        <v>44305</v>
      </c>
      <c r="C9906" s="42">
        <v>132</v>
      </c>
      <c r="D9906" s="39">
        <f t="shared" si="884"/>
        <v>32451</v>
      </c>
      <c r="E9906" s="1">
        <v>1</v>
      </c>
      <c r="F9906" s="39">
        <f t="shared" si="892"/>
        <v>1258</v>
      </c>
      <c r="G9906" s="436">
        <f>SUM(C9906,C9882,C9858,C9834,C9810,C9786,C9762,C9738,C9714,C9690,C9666,C9642,C9618,C9594)/POBLA!$B$17*100000</f>
        <v>184.42891974639093</v>
      </c>
      <c r="H9906" s="441">
        <f t="shared" ref="H9906:H9929" si="895">SUM(C9906,C9882,C9858,C9834,C9810,C9786,C9762,C9738,C9714,C9690,C9666,C9642,C9618,C9594)/SUM(C9570,C9546,C9522,C9498,C9474,C9450,C9426,C9402,C9378,C9354,C9330,C9306,C9282,C9258)</f>
        <v>1.8383484954513647</v>
      </c>
      <c r="I9906" s="445">
        <f t="shared" si="893"/>
        <v>339.04462713349824</v>
      </c>
      <c r="J9906" s="310">
        <f t="shared" si="894"/>
        <v>191.57142857142858</v>
      </c>
      <c r="K9906" s="445">
        <f>J9906/POBLA!$B$17*100000</f>
        <v>13.449300200114756</v>
      </c>
    </row>
    <row r="9907" spans="1:11" s="393" customFormat="1" x14ac:dyDescent="0.25">
      <c r="A9907" s="402" t="s">
        <v>35</v>
      </c>
      <c r="B9907" s="2">
        <v>44305</v>
      </c>
      <c r="C9907" s="42">
        <v>219</v>
      </c>
      <c r="D9907" s="39">
        <f t="shared" ref="D9907:D9970" si="896">C9907+D9883</f>
        <v>20377</v>
      </c>
      <c r="E9907" s="1">
        <v>8</v>
      </c>
      <c r="F9907" s="39">
        <f t="shared" si="892"/>
        <v>248</v>
      </c>
      <c r="G9907" s="436">
        <f>SUM(C9907,C9883,C9859,C9835,C9811,C9787,C9763,C9739,C9715,C9691,C9667,C9643,C9619,C9595)/POBLA!$B$18*100000</f>
        <v>352.78290154976145</v>
      </c>
      <c r="H9907" s="441">
        <f t="shared" si="895"/>
        <v>2.2406504065040651</v>
      </c>
      <c r="I9907" s="445">
        <f t="shared" si="893"/>
        <v>790.46315176515657</v>
      </c>
      <c r="J9907" s="310">
        <f t="shared" si="894"/>
        <v>202.85714285714286</v>
      </c>
      <c r="K9907" s="445">
        <f>J9907/POBLA!$B$18*100000</f>
        <v>25.966811123816154</v>
      </c>
    </row>
    <row r="9908" spans="1:11" s="393" customFormat="1" x14ac:dyDescent="0.25">
      <c r="A9908" s="402" t="s">
        <v>36</v>
      </c>
      <c r="B9908" s="2">
        <v>44305</v>
      </c>
      <c r="C9908" s="42">
        <v>444</v>
      </c>
      <c r="D9908" s="39">
        <f t="shared" si="896"/>
        <v>30552</v>
      </c>
      <c r="E9908" s="1"/>
      <c r="F9908" s="39">
        <f t="shared" si="892"/>
        <v>449</v>
      </c>
      <c r="G9908" s="436">
        <f>SUM(C9908,C9884,C9860,C9836,C9812,C9788,C9764,C9740,C9716,C9692,C9668,C9644,C9620,C9596)/POBLA!$B$19*100000</f>
        <v>1310.9645740545475</v>
      </c>
      <c r="H9908" s="441">
        <f t="shared" si="895"/>
        <v>2.8539614561027835</v>
      </c>
      <c r="I9908" s="445">
        <f t="shared" si="893"/>
        <v>3741.4423646678815</v>
      </c>
      <c r="J9908" s="310">
        <f t="shared" si="894"/>
        <v>519.71428571428567</v>
      </c>
      <c r="K9908" s="445">
        <f>J9908/POBLA!$B$19*100000</f>
        <v>102.23994855964764</v>
      </c>
    </row>
    <row r="9909" spans="1:11" s="393" customFormat="1" x14ac:dyDescent="0.25">
      <c r="A9909" s="402" t="s">
        <v>37</v>
      </c>
      <c r="B9909" s="2">
        <v>44305</v>
      </c>
      <c r="C9909" s="42">
        <v>202</v>
      </c>
      <c r="D9909" s="39">
        <f t="shared" si="896"/>
        <v>42459</v>
      </c>
      <c r="E9909" s="1">
        <v>3</v>
      </c>
      <c r="F9909" s="39">
        <f t="shared" si="892"/>
        <v>683</v>
      </c>
      <c r="G9909" s="436">
        <f>SUM(C9909,C9885,C9861,C9837,C9813,C9789,C9765,C9741,C9717,C9693,C9669,C9645,C9621,C9597)/POBLA!$B$20*100000</f>
        <v>679.24899780693363</v>
      </c>
      <c r="H9909" s="441">
        <f t="shared" si="895"/>
        <v>1.4724362774155306</v>
      </c>
      <c r="I9909" s="445">
        <f t="shared" si="893"/>
        <v>1000.1508657690713</v>
      </c>
      <c r="J9909" s="310">
        <f t="shared" si="894"/>
        <v>192.71428571428572</v>
      </c>
      <c r="K9909" s="445">
        <f>J9909/POBLA!$B$20*100000</f>
        <v>52.697659192635925</v>
      </c>
    </row>
    <row r="9910" spans="1:11" s="393" customFormat="1" x14ac:dyDescent="0.25">
      <c r="A9910" s="402" t="s">
        <v>22</v>
      </c>
      <c r="B9910" s="2">
        <v>44305</v>
      </c>
      <c r="C9910" s="42">
        <v>1173</v>
      </c>
      <c r="D9910" s="39">
        <f t="shared" si="896"/>
        <v>254130</v>
      </c>
      <c r="E9910" s="1">
        <v>21</v>
      </c>
      <c r="F9910" s="39">
        <f t="shared" si="892"/>
        <v>4427</v>
      </c>
      <c r="G9910" s="436">
        <f>SUM(C9910,C9886,C9862,C9838,C9814,C9790,C9766,C9742,C9718,C9694,C9670,C9646,C9622,C9598)/POBLA!$B$21*100000</f>
        <v>551.09435592738191</v>
      </c>
      <c r="H9910" s="441">
        <f t="shared" si="895"/>
        <v>2.2334402933761175</v>
      </c>
      <c r="I9910" s="445">
        <f t="shared" si="893"/>
        <v>1230.8363399803743</v>
      </c>
      <c r="J9910" s="310">
        <f t="shared" si="894"/>
        <v>1564</v>
      </c>
      <c r="K9910" s="445">
        <f>J9910/POBLA!$B$21*100000</f>
        <v>44.225541211474436</v>
      </c>
    </row>
    <row r="9911" spans="1:11" s="393" customFormat="1" x14ac:dyDescent="0.25">
      <c r="A9911" s="402" t="s">
        <v>38</v>
      </c>
      <c r="B9911" s="2">
        <v>44305</v>
      </c>
      <c r="C9911" s="42">
        <v>172</v>
      </c>
      <c r="D9911" s="39">
        <f t="shared" si="896"/>
        <v>28408</v>
      </c>
      <c r="E9911" s="1">
        <v>2</v>
      </c>
      <c r="F9911" s="39">
        <f t="shared" si="892"/>
        <v>326</v>
      </c>
      <c r="G9911" s="436">
        <f>SUM(C9911,C9887,C9863,C9839,C9815,C9791,C9767,C9743,C9719,C9695,C9671,C9647,C9623,C9599)/POBLA!$B$22*100000</f>
        <v>270.87445429019141</v>
      </c>
      <c r="H9911" s="441">
        <f t="shared" si="895"/>
        <v>1.6814720812182742</v>
      </c>
      <c r="I9911" s="445">
        <f t="shared" si="893"/>
        <v>455.46783240419245</v>
      </c>
      <c r="J9911" s="310">
        <f t="shared" si="894"/>
        <v>208.85714285714286</v>
      </c>
      <c r="K9911" s="445">
        <f>J9911/POBLA!$B$22*100000</f>
        <v>21.348703621146079</v>
      </c>
    </row>
    <row r="9912" spans="1:11" s="393" customFormat="1" x14ac:dyDescent="0.25">
      <c r="A9912" s="402" t="s">
        <v>39</v>
      </c>
      <c r="B9912" s="2">
        <v>44305</v>
      </c>
      <c r="C9912" s="42">
        <v>28</v>
      </c>
      <c r="D9912" s="39">
        <f t="shared" si="896"/>
        <v>25491</v>
      </c>
      <c r="E9912" s="1"/>
      <c r="F9912" s="39">
        <f t="shared" si="892"/>
        <v>375</v>
      </c>
      <c r="G9912" s="436">
        <f>SUM(C9912,C9888,C9864,C9840,C9816,C9792,C9768,C9744,C9720,C9696,C9672,C9648,C9624,C9600)/POBLA!$B$23*100000</f>
        <v>637.33529378499122</v>
      </c>
      <c r="H9912" s="441">
        <f t="shared" si="895"/>
        <v>1.5147849462365592</v>
      </c>
      <c r="I9912" s="445">
        <f t="shared" si="893"/>
        <v>965.4259087307596</v>
      </c>
      <c r="J9912" s="310">
        <f t="shared" si="894"/>
        <v>76.857142857142861</v>
      </c>
      <c r="K9912" s="445">
        <f>J9912/POBLA!$B$23*100000</f>
        <v>43.463859558413652</v>
      </c>
    </row>
    <row r="9913" spans="1:11" s="393" customFormat="1" ht="15.75" thickBot="1" x14ac:dyDescent="0.3">
      <c r="A9913" s="404" t="s">
        <v>40</v>
      </c>
      <c r="B9913" s="2">
        <v>44305</v>
      </c>
      <c r="C9913" s="42">
        <v>809</v>
      </c>
      <c r="D9913" s="177">
        <f t="shared" si="896"/>
        <v>98331</v>
      </c>
      <c r="E9913" s="1">
        <v>7</v>
      </c>
      <c r="F9913" s="177">
        <f t="shared" si="892"/>
        <v>1576</v>
      </c>
      <c r="G9913" s="439">
        <f>SUM(C9913,C9889,C9865,C9841,C9817,C9793,C9769,C9745,C9721,C9697,C9673,C9649,C9625,C9601)/POBLA!$B$24*100000</f>
        <v>514.97177008195172</v>
      </c>
      <c r="H9913" s="442">
        <f t="shared" si="895"/>
        <v>1.626048071548351</v>
      </c>
      <c r="I9913" s="445">
        <f t="shared" si="893"/>
        <v>837.36885364359841</v>
      </c>
      <c r="J9913" s="310">
        <f t="shared" si="894"/>
        <v>637.42857142857144</v>
      </c>
      <c r="K9913" s="445">
        <f>J9913/POBLA!$B$24*100000</f>
        <v>37.614039157715276</v>
      </c>
    </row>
    <row r="9914" spans="1:11" s="393" customFormat="1" x14ac:dyDescent="0.25">
      <c r="A9914" s="409" t="s">
        <v>16</v>
      </c>
      <c r="B9914" s="2">
        <v>44306</v>
      </c>
      <c r="C9914" s="42">
        <v>14665</v>
      </c>
      <c r="D9914" s="264">
        <f t="shared" si="896"/>
        <v>1187837</v>
      </c>
      <c r="E9914" s="1">
        <v>170</v>
      </c>
      <c r="F9914" s="264">
        <f t="shared" ref="F9914:F9937" si="897">E9914+F9890</f>
        <v>30471</v>
      </c>
      <c r="G9914" s="454">
        <f>SUM(C9914,C9890,C9866,C9842,C9818,C9794,C9770,C9746,C9722,C9698,C9674,C9650,C9626,C9602)/POBLA!$B$1*100000</f>
        <v>917.5115803470253</v>
      </c>
      <c r="H9914" s="455">
        <f t="shared" si="895"/>
        <v>1.9953383999305718</v>
      </c>
      <c r="I9914" s="445">
        <f>G9914*H9914</f>
        <v>1830.7460886474037</v>
      </c>
      <c r="J9914" s="310">
        <f>AVERAGE(C9914,C9890,C9866,C9842,C9818,C9794,C9770)</f>
        <v>11974.428571428571</v>
      </c>
      <c r="K9914" s="445">
        <f>J9914/POBLA!$B$1*100000</f>
        <v>68.264821378658155</v>
      </c>
    </row>
    <row r="9915" spans="1:11" s="393" customFormat="1" x14ac:dyDescent="0.25">
      <c r="A9915" s="402" t="s">
        <v>43</v>
      </c>
      <c r="B9915" s="2">
        <v>44306</v>
      </c>
      <c r="C9915" s="42">
        <v>3345</v>
      </c>
      <c r="D9915" s="39">
        <f t="shared" si="896"/>
        <v>313245</v>
      </c>
      <c r="E9915" s="1">
        <v>36</v>
      </c>
      <c r="F9915" s="39">
        <f t="shared" si="897"/>
        <v>7299</v>
      </c>
      <c r="G9915" s="436">
        <f>SUM(C9915,C9891,C9867,C9843,C9819,C9795,C9771,C9747,C9723,C9699,C9675,C9651,C9627,C9603)/POBLA!$B$2*100000</f>
        <v>1303.6610845331354</v>
      </c>
      <c r="H9915" s="441">
        <f t="shared" si="895"/>
        <v>1.7531371605963884</v>
      </c>
      <c r="I9915" s="445">
        <f t="shared" ref="I9915:I9937" si="898">G9915*H9915</f>
        <v>2285.4966921184291</v>
      </c>
      <c r="J9915" s="310">
        <f t="shared" ref="J9915:J9937" si="899">AVERAGE(C9915,C9891,C9867,C9843,C9819,C9795,C9771)</f>
        <v>3025.2857142857142</v>
      </c>
      <c r="K9915" s="445">
        <f>J9915/POBLA!$B$2*100000</f>
        <v>98.362611116029413</v>
      </c>
    </row>
    <row r="9916" spans="1:11" s="393" customFormat="1" x14ac:dyDescent="0.25">
      <c r="A9916" s="402" t="s">
        <v>28</v>
      </c>
      <c r="B9916" s="2">
        <v>44306</v>
      </c>
      <c r="C9916" s="42">
        <v>187</v>
      </c>
      <c r="D9916" s="39">
        <f t="shared" si="896"/>
        <v>13156</v>
      </c>
      <c r="E9916" s="1"/>
      <c r="F9916" s="39">
        <f t="shared" si="897"/>
        <v>19</v>
      </c>
      <c r="G9916" s="436">
        <f>SUM(C9916,C9892,C9868,C9844,C9820,C9796,C9772,C9748,C9724,C9700,C9676,C9652,C9628,C9604)/POBLA!$B$3*100000</f>
        <v>520.65530837333131</v>
      </c>
      <c r="H9916" s="441">
        <f t="shared" si="895"/>
        <v>1.8825065274151436</v>
      </c>
      <c r="I9916" s="445">
        <f t="shared" si="898"/>
        <v>980.13701654614067</v>
      </c>
      <c r="J9916" s="310">
        <f t="shared" si="899"/>
        <v>162.57142857142858</v>
      </c>
      <c r="K9916" s="445">
        <f>J9916/POBLA!$B$3*100000</f>
        <v>39.132536881900208</v>
      </c>
    </row>
    <row r="9917" spans="1:11" s="393" customFormat="1" x14ac:dyDescent="0.25">
      <c r="A9917" s="402" t="s">
        <v>15</v>
      </c>
      <c r="B9917" s="2">
        <v>44306</v>
      </c>
      <c r="C9917" s="42">
        <v>253</v>
      </c>
      <c r="D9917" s="39">
        <f t="shared" si="896"/>
        <v>42518</v>
      </c>
      <c r="E9917" s="1">
        <v>2</v>
      </c>
      <c r="F9917" s="39">
        <f t="shared" si="897"/>
        <v>998</v>
      </c>
      <c r="G9917" s="436">
        <f>SUM(C9917,C9893,C9869,C9845,C9821,C9797,C9773,C9749,C9725,C9701,C9677,C9653,C9629,C9605)/POBLA!$B$4*100000</f>
        <v>263.91795713055848</v>
      </c>
      <c r="H9917" s="441">
        <f t="shared" si="895"/>
        <v>1.4827425373134329</v>
      </c>
      <c r="I9917" s="445">
        <f t="shared" si="898"/>
        <v>391.32238139834209</v>
      </c>
      <c r="J9917" s="310">
        <f t="shared" si="899"/>
        <v>241</v>
      </c>
      <c r="K9917" s="445">
        <f>J9917/POBLA!$B$4*100000</f>
        <v>20.007621160259387</v>
      </c>
    </row>
    <row r="9918" spans="1:11" s="393" customFormat="1" x14ac:dyDescent="0.25">
      <c r="A9918" s="402" t="s">
        <v>29</v>
      </c>
      <c r="B9918" s="2">
        <v>44306</v>
      </c>
      <c r="C9918" s="42">
        <v>270</v>
      </c>
      <c r="D9918" s="39">
        <f t="shared" si="896"/>
        <v>53013</v>
      </c>
      <c r="E9918" s="1">
        <v>4</v>
      </c>
      <c r="F9918" s="39">
        <f t="shared" si="897"/>
        <v>895</v>
      </c>
      <c r="G9918" s="436">
        <f>SUM(C9918,C9894,C9870,C9846,C9822,C9798,C9774,C9750,C9726,C9702,C9678,C9654,C9630,C9606)/POBLA!$B$5*100000</f>
        <v>382.87931708546449</v>
      </c>
      <c r="H9918" s="441">
        <f t="shared" si="895"/>
        <v>1.4584615384615385</v>
      </c>
      <c r="I9918" s="445">
        <f t="shared" si="898"/>
        <v>558.41475784156978</v>
      </c>
      <c r="J9918" s="310">
        <f t="shared" si="899"/>
        <v>183.71428571428572</v>
      </c>
      <c r="K9918" s="445">
        <f>J9918/POBLA!$B$5*100000</f>
        <v>29.679493777691821</v>
      </c>
    </row>
    <row r="9919" spans="1:11" s="393" customFormat="1" x14ac:dyDescent="0.25">
      <c r="A9919" s="402" t="s">
        <v>30</v>
      </c>
      <c r="B9919" s="2">
        <v>44306</v>
      </c>
      <c r="C9919" s="42">
        <v>289</v>
      </c>
      <c r="D9919" s="39">
        <f t="shared" si="896"/>
        <v>35142</v>
      </c>
      <c r="E9919" s="1">
        <v>13</v>
      </c>
      <c r="F9919" s="39">
        <f t="shared" si="897"/>
        <v>410</v>
      </c>
      <c r="G9919" s="436">
        <f>SUM(C9919,C9895,C9871,C9847,C9823,C9799,C9775,C9751,C9727,C9703,C9679,C9655,C9631,C9607)/POBLA!$B$6*100000</f>
        <v>333.95758925982403</v>
      </c>
      <c r="H9919" s="441">
        <f t="shared" si="895"/>
        <v>0.8051193805119381</v>
      </c>
      <c r="I9919" s="445">
        <f t="shared" si="898"/>
        <v>268.87572738212981</v>
      </c>
      <c r="J9919" s="310">
        <f t="shared" si="899"/>
        <v>200</v>
      </c>
      <c r="K9919" s="445">
        <f>J9919/POBLA!$B$6*100000</f>
        <v>17.844380938275393</v>
      </c>
    </row>
    <row r="9920" spans="1:11" s="393" customFormat="1" x14ac:dyDescent="0.25">
      <c r="A9920" s="402" t="s">
        <v>20</v>
      </c>
      <c r="B9920" s="2">
        <v>44306</v>
      </c>
      <c r="C9920" s="42">
        <v>2261</v>
      </c>
      <c r="D9920" s="39">
        <f t="shared" si="896"/>
        <v>210424</v>
      </c>
      <c r="E9920" s="1">
        <v>19</v>
      </c>
      <c r="F9920" s="39">
        <f t="shared" si="897"/>
        <v>3210</v>
      </c>
      <c r="G9920" s="436">
        <f>SUM(C9920,C9896,C9872,C9848,C9824,C9800,C9776,C9752,C9728,C9704,C9680,C9656,C9632,C9608)/POBLA!$B$7*100000</f>
        <v>629.41935140741134</v>
      </c>
      <c r="H9920" s="441">
        <f t="shared" si="895"/>
        <v>1.8030776262664736</v>
      </c>
      <c r="I9920" s="445">
        <f t="shared" si="898"/>
        <v>1134.8919500618586</v>
      </c>
      <c r="J9920" s="310">
        <f t="shared" si="899"/>
        <v>1661.2857142857142</v>
      </c>
      <c r="K9920" s="445">
        <f>J9920/POBLA!$B$7*100000</f>
        <v>44.17784345718502</v>
      </c>
    </row>
    <row r="9921" spans="1:11" x14ac:dyDescent="0.25">
      <c r="A9921" s="402" t="s">
        <v>31</v>
      </c>
      <c r="B9921" s="2">
        <v>44306</v>
      </c>
      <c r="C9921" s="42">
        <v>602</v>
      </c>
      <c r="D9921" s="39">
        <f t="shared" si="896"/>
        <v>57255</v>
      </c>
      <c r="E9921" s="1">
        <v>5</v>
      </c>
      <c r="F9921" s="39">
        <f t="shared" si="897"/>
        <v>1015</v>
      </c>
      <c r="G9921" s="169">
        <f>SUM(C9921,C9897,C9873,C9849,C9825,C9801,C9777,C9753,C9729,C9705,C9681,C9657,C9633,C9609)/POBLA!$B$8*100000</f>
        <v>442.50884404395214</v>
      </c>
      <c r="H9921" s="518">
        <f t="shared" si="895"/>
        <v>2.3187145557655953</v>
      </c>
      <c r="I9921" s="310">
        <f t="shared" si="898"/>
        <v>1026.0516977397197</v>
      </c>
      <c r="J9921" s="310">
        <f t="shared" si="899"/>
        <v>473.85714285714283</v>
      </c>
      <c r="K9921" s="310">
        <f>J9921/POBLA!$B$8*100000</f>
        <v>34.189789096312438</v>
      </c>
    </row>
    <row r="9922" spans="1:11" s="393" customFormat="1" x14ac:dyDescent="0.25">
      <c r="A9922" s="402" t="s">
        <v>41</v>
      </c>
      <c r="B9922" s="2">
        <v>44306</v>
      </c>
      <c r="C9922" s="42">
        <v>125</v>
      </c>
      <c r="D9922" s="39">
        <f t="shared" si="896"/>
        <v>3627</v>
      </c>
      <c r="E9922" s="1"/>
      <c r="F9922" s="39">
        <f t="shared" si="897"/>
        <v>61</v>
      </c>
      <c r="G9922" s="436">
        <f>SUM(C9922,C9898,C9874,C9850,C9826,C9802,C9778,C9754,C9730,C9706,C9682,C9658,C9634,C9610)/POBLA!$B$9*100000</f>
        <v>196.4662512619941</v>
      </c>
      <c r="H9922" s="441">
        <f t="shared" si="895"/>
        <v>1.725689404934688</v>
      </c>
      <c r="I9922" s="445">
        <f t="shared" si="898"/>
        <v>339.0397282300595</v>
      </c>
      <c r="J9922" s="310">
        <f t="shared" si="899"/>
        <v>70.571428571428569</v>
      </c>
      <c r="K9922" s="445">
        <f>J9922/POBLA!$B$9*100000</f>
        <v>11.660978988757069</v>
      </c>
    </row>
    <row r="9923" spans="1:11" s="393" customFormat="1" x14ac:dyDescent="0.25">
      <c r="A9923" s="402" t="s">
        <v>32</v>
      </c>
      <c r="B9923" s="2">
        <v>44306</v>
      </c>
      <c r="C9923" s="42">
        <v>124</v>
      </c>
      <c r="D9923" s="39">
        <f t="shared" si="896"/>
        <v>23876</v>
      </c>
      <c r="E9923" s="1">
        <v>2</v>
      </c>
      <c r="F9923" s="39">
        <f t="shared" si="897"/>
        <v>1005</v>
      </c>
      <c r="G9923" s="436">
        <f>SUM(C9923,C9899,C9875,C9851,C9827,C9803,C9779,C9755,C9731,C9707,C9683,C9659,C9635,C9611)/POBLA!$B$10*100000</f>
        <v>142.95332223780323</v>
      </c>
      <c r="H9923" s="441">
        <f t="shared" si="895"/>
        <v>1.6134699853587116</v>
      </c>
      <c r="I9923" s="445">
        <f t="shared" si="898"/>
        <v>230.65089473800757</v>
      </c>
      <c r="J9923" s="310">
        <f t="shared" si="899"/>
        <v>96.285714285714292</v>
      </c>
      <c r="K9923" s="445">
        <f>J9923/POBLA!$B$10*100000</f>
        <v>12.490347315047886</v>
      </c>
    </row>
    <row r="9924" spans="1:11" s="393" customFormat="1" x14ac:dyDescent="0.25">
      <c r="A9924" s="402" t="s">
        <v>33</v>
      </c>
      <c r="B9924" s="2">
        <v>44306</v>
      </c>
      <c r="C9924" s="42">
        <v>308</v>
      </c>
      <c r="D9924" s="39">
        <f t="shared" si="896"/>
        <v>24491</v>
      </c>
      <c r="E9924" s="1">
        <v>1</v>
      </c>
      <c r="F9924" s="39">
        <f t="shared" si="897"/>
        <v>341</v>
      </c>
      <c r="G9924" s="436">
        <f>SUM(C9924,C9900,C9876,C9852,C9828,C9804,C9780,C9756,C9732,C9708,C9684,C9660,C9636,C9612)/POBLA!$B$11*100000</f>
        <v>721.48381264856539</v>
      </c>
      <c r="H9924" s="441">
        <f t="shared" si="895"/>
        <v>2.0605577689243026</v>
      </c>
      <c r="I9924" s="445">
        <f t="shared" si="898"/>
        <v>1486.6590753061275</v>
      </c>
      <c r="J9924" s="310">
        <f t="shared" si="899"/>
        <v>225.42857142857142</v>
      </c>
      <c r="K9924" s="445">
        <f>J9924/POBLA!$B$11*100000</f>
        <v>62.893683369762243</v>
      </c>
    </row>
    <row r="9925" spans="1:11" s="393" customFormat="1" x14ac:dyDescent="0.25">
      <c r="A9925" s="402" t="s">
        <v>21</v>
      </c>
      <c r="B9925" s="2">
        <v>44306</v>
      </c>
      <c r="C9925" s="42">
        <v>105</v>
      </c>
      <c r="D9925" s="39">
        <f t="shared" si="896"/>
        <v>12663</v>
      </c>
      <c r="E9925" s="1"/>
      <c r="F9925" s="39">
        <f t="shared" si="897"/>
        <v>458</v>
      </c>
      <c r="G9925" s="436">
        <f>SUM(C9925,C9901,C9877,C9853,C9829,C9805,C9781,C9757,C9733,C9709,C9685,C9661,C9637,C9613)/POBLA!$B$12*100000</f>
        <v>300.86575136393321</v>
      </c>
      <c r="H9925" s="441">
        <f t="shared" si="895"/>
        <v>1.5913978494623655</v>
      </c>
      <c r="I9925" s="445">
        <f t="shared" si="898"/>
        <v>478.79710969744207</v>
      </c>
      <c r="J9925" s="310">
        <f t="shared" si="899"/>
        <v>80.428571428571431</v>
      </c>
      <c r="K9925" s="445">
        <f>J9925/POBLA!$B$12*100000</f>
        <v>20.437671092892664</v>
      </c>
    </row>
    <row r="9926" spans="1:11" s="393" customFormat="1" x14ac:dyDescent="0.25">
      <c r="A9926" s="402" t="s">
        <v>17</v>
      </c>
      <c r="B9926" s="2">
        <v>44306</v>
      </c>
      <c r="C9926" s="42">
        <v>1155</v>
      </c>
      <c r="D9926" s="39">
        <f t="shared" si="896"/>
        <v>88067</v>
      </c>
      <c r="E9926" s="1">
        <v>14</v>
      </c>
      <c r="F9926" s="39">
        <f t="shared" si="897"/>
        <v>1666</v>
      </c>
      <c r="G9926" s="436">
        <f>SUM(C9926,C9902,C9878,C9854,C9830,C9806,C9782,C9758,C9734,C9710,C9686,C9662,C9638,C9614)/POBLA!$B$13*100000</f>
        <v>619.39228412460602</v>
      </c>
      <c r="H9926" s="441">
        <f t="shared" si="895"/>
        <v>2.5092611439039283</v>
      </c>
      <c r="I9926" s="445">
        <f t="shared" si="898"/>
        <v>1554.2169913877758</v>
      </c>
      <c r="J9926" s="310">
        <f t="shared" si="899"/>
        <v>917</v>
      </c>
      <c r="K9926" s="445">
        <f>J9926/POBLA!$B$13*100000</f>
        <v>46.072576617639818</v>
      </c>
    </row>
    <row r="9927" spans="1:11" s="393" customFormat="1" x14ac:dyDescent="0.25">
      <c r="A9927" s="402" t="s">
        <v>23</v>
      </c>
      <c r="B9927" s="2">
        <v>44306</v>
      </c>
      <c r="C9927" s="42">
        <v>114</v>
      </c>
      <c r="D9927" s="39">
        <f t="shared" si="896"/>
        <v>14482</v>
      </c>
      <c r="E9927" s="1"/>
      <c r="F9927" s="39">
        <f t="shared" si="897"/>
        <v>229</v>
      </c>
      <c r="G9927" s="436">
        <f>SUM(C9927,C9903,C9879,C9855,C9831,C9807,C9783,C9759,C9735,C9711,C9687,C9663,C9639,C9615)/POBLA!$B$14*100000</f>
        <v>148.10186998431769</v>
      </c>
      <c r="H9927" s="441">
        <f t="shared" si="895"/>
        <v>1.1763224181360201</v>
      </c>
      <c r="I9927" s="445">
        <f t="shared" si="898"/>
        <v>174.21554983041904</v>
      </c>
      <c r="J9927" s="310">
        <f t="shared" si="899"/>
        <v>118.85714285714286</v>
      </c>
      <c r="K9927" s="445">
        <f>J9927/POBLA!$B$14*100000</f>
        <v>9.4234288640985273</v>
      </c>
    </row>
    <row r="9928" spans="1:11" s="393" customFormat="1" x14ac:dyDescent="0.25">
      <c r="A9928" s="402" t="s">
        <v>19</v>
      </c>
      <c r="B9928" s="2">
        <v>44306</v>
      </c>
      <c r="C9928" s="42">
        <v>269</v>
      </c>
      <c r="D9928" s="39">
        <f t="shared" si="896"/>
        <v>68221</v>
      </c>
      <c r="E9928" s="1"/>
      <c r="F9928" s="39">
        <f t="shared" si="897"/>
        <v>1036</v>
      </c>
      <c r="G9928" s="436">
        <f>SUM(C9928,C9904,C9880,C9856,C9832,C9808,C9784,C9760,C9736,C9712,C9688,C9664,C9640,C9616)/POBLA!$B$15*100000</f>
        <v>355.69235773435111</v>
      </c>
      <c r="H9928" s="441">
        <f t="shared" si="895"/>
        <v>1.5529257067718607</v>
      </c>
      <c r="I9928" s="445">
        <f t="shared" si="898"/>
        <v>552.36380602796669</v>
      </c>
      <c r="J9928" s="310">
        <f t="shared" si="899"/>
        <v>188.85714285714286</v>
      </c>
      <c r="K9928" s="445">
        <f>J9928/POBLA!$B$15*100000</f>
        <v>28.439899414830784</v>
      </c>
    </row>
    <row r="9929" spans="1:11" s="393" customFormat="1" x14ac:dyDescent="0.25">
      <c r="A9929" s="402" t="s">
        <v>18</v>
      </c>
      <c r="B9929" s="2">
        <v>44306</v>
      </c>
      <c r="C9929" s="42">
        <v>300</v>
      </c>
      <c r="D9929" s="39">
        <f t="shared" si="896"/>
        <v>58631</v>
      </c>
      <c r="E9929" s="1">
        <v>1</v>
      </c>
      <c r="F9929" s="39">
        <f t="shared" si="897"/>
        <v>1319</v>
      </c>
      <c r="G9929" s="436">
        <f>SUM(C9929,C9905,C9881,C9857,C9833,C9809,C9785,C9761,C9737,C9713,C9689,C9665,C9641,C9617)/POBLA!$B$16*100000</f>
        <v>339.6155749655569</v>
      </c>
      <c r="H9929" s="441">
        <f t="shared" si="895"/>
        <v>1.7213559322033898</v>
      </c>
      <c r="I9929" s="445">
        <f t="shared" si="898"/>
        <v>584.59928463562642</v>
      </c>
      <c r="J9929" s="310">
        <f t="shared" si="899"/>
        <v>205.71428571428572</v>
      </c>
      <c r="K9929" s="445">
        <f>J9929/POBLA!$B$16*100000</f>
        <v>27.516256566162266</v>
      </c>
    </row>
    <row r="9930" spans="1:11" s="393" customFormat="1" x14ac:dyDescent="0.25">
      <c r="A9930" s="402" t="s">
        <v>34</v>
      </c>
      <c r="B9930" s="2">
        <v>44306</v>
      </c>
      <c r="C9930" s="42">
        <v>262</v>
      </c>
      <c r="D9930" s="39">
        <f t="shared" si="896"/>
        <v>32713</v>
      </c>
      <c r="E9930" s="1">
        <v>3</v>
      </c>
      <c r="F9930" s="39">
        <f t="shared" si="897"/>
        <v>1261</v>
      </c>
      <c r="G9930" s="436">
        <f>SUM(C9930,C9906,C9882,C9858,C9834,C9810,C9786,C9762,C9738,C9714,C9690,C9666,C9642,C9618)/POBLA!$B$17*100000</f>
        <v>185.55220208972639</v>
      </c>
      <c r="H9930" s="441">
        <f t="shared" ref="H9930:H9953" si="900">SUM(C9930,C9906,C9882,C9858,C9834,C9810,C9786,C9762,C9738,C9714,C9690,C9666,C9642,C9618)/SUM(C9594,C9570,C9546,C9522,C9498,C9474,C9450,C9426,C9402,C9378,C9354,C9330,C9306,C9282)</f>
        <v>1.7128969539857422</v>
      </c>
      <c r="I9930" s="445">
        <f t="shared" si="898"/>
        <v>317.83180176483921</v>
      </c>
      <c r="J9930" s="310">
        <f t="shared" si="899"/>
        <v>195.85714285714286</v>
      </c>
      <c r="K9930" s="445">
        <f>J9930/POBLA!$B$17*100000</f>
        <v>13.750179399222469</v>
      </c>
    </row>
    <row r="9931" spans="1:11" s="393" customFormat="1" x14ac:dyDescent="0.25">
      <c r="A9931" s="402" t="s">
        <v>35</v>
      </c>
      <c r="B9931" s="2">
        <v>44306</v>
      </c>
      <c r="C9931" s="42">
        <v>310</v>
      </c>
      <c r="D9931" s="39">
        <f t="shared" si="896"/>
        <v>20687</v>
      </c>
      <c r="E9931" s="1">
        <v>3</v>
      </c>
      <c r="F9931" s="39">
        <f t="shared" si="897"/>
        <v>251</v>
      </c>
      <c r="G9931" s="436">
        <f>SUM(C9931,C9907,C9883,C9859,C9835,C9811,C9787,C9763,C9739,C9715,C9691,C9667,C9643,C9619)/POBLA!$B$18*100000</f>
        <v>360.33522055971645</v>
      </c>
      <c r="H9931" s="441">
        <f t="shared" si="900"/>
        <v>2.0266378689704823</v>
      </c>
      <c r="I9931" s="445">
        <f t="shared" si="898"/>
        <v>730.2690035101524</v>
      </c>
      <c r="J9931" s="310">
        <f t="shared" si="899"/>
        <v>199.71428571428572</v>
      </c>
      <c r="K9931" s="445">
        <f>J9931/POBLA!$B$18*100000</f>
        <v>25.564508416264076</v>
      </c>
    </row>
    <row r="9932" spans="1:11" s="393" customFormat="1" x14ac:dyDescent="0.25">
      <c r="A9932" s="402" t="s">
        <v>36</v>
      </c>
      <c r="B9932" s="2">
        <v>44306</v>
      </c>
      <c r="C9932" s="42">
        <v>629</v>
      </c>
      <c r="D9932" s="39">
        <f t="shared" si="896"/>
        <v>31181</v>
      </c>
      <c r="E9932" s="1">
        <v>6</v>
      </c>
      <c r="F9932" s="39">
        <f t="shared" si="897"/>
        <v>455</v>
      </c>
      <c r="G9932" s="436">
        <f>SUM(C9932,C9908,C9884,C9860,C9836,C9812,C9788,C9764,C9740,C9716,C9692,C9668,C9644,C9620)/POBLA!$B$19*100000</f>
        <v>1355.6207802835963</v>
      </c>
      <c r="H9932" s="441">
        <f t="shared" si="900"/>
        <v>2.5186403508771931</v>
      </c>
      <c r="I9932" s="445">
        <f t="shared" si="898"/>
        <v>3414.3211977098913</v>
      </c>
      <c r="J9932" s="310">
        <f t="shared" si="899"/>
        <v>535.85714285714289</v>
      </c>
      <c r="K9932" s="445">
        <f>J9932/POBLA!$B$19*100000</f>
        <v>105.41562590633271</v>
      </c>
    </row>
    <row r="9933" spans="1:11" s="393" customFormat="1" x14ac:dyDescent="0.25">
      <c r="A9933" s="402" t="s">
        <v>37</v>
      </c>
      <c r="B9933" s="2">
        <v>44306</v>
      </c>
      <c r="C9933" s="42">
        <v>237</v>
      </c>
      <c r="D9933" s="39">
        <f t="shared" si="896"/>
        <v>42696</v>
      </c>
      <c r="E9933" s="1">
        <v>2</v>
      </c>
      <c r="F9933" s="39">
        <f t="shared" si="897"/>
        <v>685</v>
      </c>
      <c r="G9933" s="436">
        <f>SUM(C9933,C9909,C9885,C9861,C9837,C9813,C9789,C9765,C9741,C9717,C9693,C9669,C9645,C9621)/POBLA!$B$20*100000</f>
        <v>699.75772358612846</v>
      </c>
      <c r="H9933" s="441">
        <f t="shared" si="900"/>
        <v>1.4800462695199537</v>
      </c>
      <c r="I9933" s="445">
        <f t="shared" si="898"/>
        <v>1035.6738083614243</v>
      </c>
      <c r="J9933" s="310">
        <f t="shared" si="899"/>
        <v>192</v>
      </c>
      <c r="K9933" s="445">
        <f>J9933/POBLA!$B$20*100000</f>
        <v>52.502337994738831</v>
      </c>
    </row>
    <row r="9934" spans="1:11" s="393" customFormat="1" x14ac:dyDescent="0.25">
      <c r="A9934" s="402" t="s">
        <v>22</v>
      </c>
      <c r="B9934" s="2">
        <v>44306</v>
      </c>
      <c r="C9934" s="42">
        <v>2144</v>
      </c>
      <c r="D9934" s="39">
        <f t="shared" si="896"/>
        <v>256274</v>
      </c>
      <c r="E9934" s="1">
        <v>27</v>
      </c>
      <c r="F9934" s="39">
        <f t="shared" si="897"/>
        <v>4454</v>
      </c>
      <c r="G9934" s="436">
        <f>SUM(C9934,C9910,C9886,C9862,C9838,C9814,C9790,C9766,C9742,C9718,C9694,C9670,C9646,C9622)/POBLA!$B$21*100000</f>
        <v>575.07342175048313</v>
      </c>
      <c r="H9934" s="441">
        <f t="shared" si="900"/>
        <v>2.1713645099295324</v>
      </c>
      <c r="I9934" s="445">
        <f t="shared" si="898"/>
        <v>1248.6940185927372</v>
      </c>
      <c r="J9934" s="310">
        <f t="shared" si="899"/>
        <v>1618.5714285714287</v>
      </c>
      <c r="K9934" s="445">
        <f>J9934/POBLA!$B$21*100000</f>
        <v>45.768668425831699</v>
      </c>
    </row>
    <row r="9935" spans="1:11" s="393" customFormat="1" x14ac:dyDescent="0.25">
      <c r="A9935" s="402" t="s">
        <v>38</v>
      </c>
      <c r="B9935" s="2">
        <v>44306</v>
      </c>
      <c r="C9935" s="42">
        <v>144</v>
      </c>
      <c r="D9935" s="39">
        <f t="shared" si="896"/>
        <v>28552</v>
      </c>
      <c r="E9935" s="1">
        <v>1</v>
      </c>
      <c r="F9935" s="39">
        <f t="shared" si="897"/>
        <v>327</v>
      </c>
      <c r="G9935" s="436">
        <f>SUM(C9935,C9911,C9887,C9863,C9839,C9815,C9791,C9767,C9743,C9719,C9695,C9671,C9647,C9623)/POBLA!$B$22*100000</f>
        <v>274.96312529834523</v>
      </c>
      <c r="H9935" s="441">
        <f t="shared" si="900"/>
        <v>1.6543665436654367</v>
      </c>
      <c r="I9935" s="445">
        <f t="shared" si="898"/>
        <v>454.88979523526979</v>
      </c>
      <c r="J9935" s="310">
        <f t="shared" si="899"/>
        <v>209.85714285714286</v>
      </c>
      <c r="K9935" s="445">
        <f>J9935/POBLA!$B$22*100000</f>
        <v>21.450920396349925</v>
      </c>
    </row>
    <row r="9936" spans="1:11" s="393" customFormat="1" x14ac:dyDescent="0.25">
      <c r="A9936" s="402" t="s">
        <v>39</v>
      </c>
      <c r="B9936" s="2">
        <v>44306</v>
      </c>
      <c r="C9936" s="42">
        <v>104</v>
      </c>
      <c r="D9936" s="39">
        <f t="shared" si="896"/>
        <v>25595</v>
      </c>
      <c r="E9936" s="1"/>
      <c r="F9936" s="39">
        <f t="shared" si="897"/>
        <v>375</v>
      </c>
      <c r="G9936" s="436">
        <f>SUM(C9936,C9912,C9888,C9864,C9840,C9816,C9792,C9768,C9744,C9720,C9696,C9672,C9648,C9624)/POBLA!$B$23*100000</f>
        <v>653.73522592320307</v>
      </c>
      <c r="H9936" s="441">
        <f t="shared" si="900"/>
        <v>1.4877734877734878</v>
      </c>
      <c r="I9936" s="445">
        <f t="shared" si="898"/>
        <v>972.60993715215284</v>
      </c>
      <c r="J9936" s="310">
        <f t="shared" si="899"/>
        <v>76.857142857142861</v>
      </c>
      <c r="K9936" s="445">
        <f>J9936/POBLA!$B$23*100000</f>
        <v>43.463859558413652</v>
      </c>
    </row>
    <row r="9937" spans="1:11" s="393" customFormat="1" ht="15.75" thickBot="1" x14ac:dyDescent="0.3">
      <c r="A9937" s="404" t="s">
        <v>40</v>
      </c>
      <c r="B9937" s="2">
        <v>44306</v>
      </c>
      <c r="C9937" s="42">
        <v>943</v>
      </c>
      <c r="D9937" s="177">
        <f t="shared" si="896"/>
        <v>99274</v>
      </c>
      <c r="E9937" s="1">
        <v>7</v>
      </c>
      <c r="F9937" s="177">
        <f t="shared" si="897"/>
        <v>1583</v>
      </c>
      <c r="G9937" s="439">
        <f>SUM(C9937,C9913,C9889,C9865,C9841,C9817,C9793,C9769,C9745,C9721,C9697,C9673,C9649,C9625)/POBLA!$B$24*100000</f>
        <v>533.85465840855022</v>
      </c>
      <c r="H9937" s="442">
        <f t="shared" si="900"/>
        <v>1.6303838529464769</v>
      </c>
      <c r="I9937" s="445">
        <f t="shared" si="898"/>
        <v>870.38801488955744</v>
      </c>
      <c r="J9937" s="310">
        <f t="shared" si="899"/>
        <v>663.14285714285711</v>
      </c>
      <c r="K9937" s="445">
        <f>J9937/POBLA!$B$24*100000</f>
        <v>39.131414112531218</v>
      </c>
    </row>
    <row r="9938" spans="1:11" s="393" customFormat="1" x14ac:dyDescent="0.25">
      <c r="A9938" s="409" t="s">
        <v>16</v>
      </c>
      <c r="B9938" s="2">
        <v>44307</v>
      </c>
      <c r="C9938" s="1">
        <v>12884</v>
      </c>
      <c r="D9938" s="264">
        <f t="shared" si="896"/>
        <v>1200721</v>
      </c>
      <c r="E9938" s="1">
        <v>177</v>
      </c>
      <c r="F9938" s="264">
        <f t="shared" ref="F9938:F9961" si="901">E9938+F9914</f>
        <v>30648</v>
      </c>
      <c r="G9938" s="454">
        <f>SUM(C9938,C9914,C9890,C9866,C9842,C9818,C9794,C9770,C9746,C9722,C9698,C9674,C9650,C9626)/POBLA!$B$1*100000</f>
        <v>927.91569259947221</v>
      </c>
      <c r="H9938" s="455">
        <f t="shared" si="900"/>
        <v>1.8535005010476451</v>
      </c>
      <c r="I9938" s="445">
        <f>G9938*H9938</f>
        <v>1719.8922011630943</v>
      </c>
      <c r="J9938" s="310">
        <f>AVERAGE(C9938,C9914,C9890,C9866,C9842,C9818,C9794)</f>
        <v>11923.428571428571</v>
      </c>
      <c r="K9938" s="445">
        <f>J9938/POBLA!$B$1*100000</f>
        <v>67.974076323932238</v>
      </c>
    </row>
    <row r="9939" spans="1:11" s="393" customFormat="1" x14ac:dyDescent="0.25">
      <c r="A9939" s="402" t="s">
        <v>43</v>
      </c>
      <c r="B9939" s="2">
        <v>44307</v>
      </c>
      <c r="C9939" s="1">
        <v>2489</v>
      </c>
      <c r="D9939" s="39">
        <f t="shared" si="896"/>
        <v>315734</v>
      </c>
      <c r="E9939" s="1">
        <v>25</v>
      </c>
      <c r="F9939" s="39">
        <f t="shared" si="901"/>
        <v>7324</v>
      </c>
      <c r="G9939" s="436">
        <f>SUM(C9939,C9915,C9891,C9867,C9843,C9819,C9795,C9771,C9747,C9723,C9699,C9675,C9651,C9627)/POBLA!$B$2*100000</f>
        <v>1303.9537059856693</v>
      </c>
      <c r="H9939" s="441">
        <f t="shared" si="900"/>
        <v>1.6404875853888004</v>
      </c>
      <c r="I9939" s="445">
        <f t="shared" ref="I9939:I9961" si="902">G9939*H9939</f>
        <v>2139.1198665912084</v>
      </c>
      <c r="J9939" s="310">
        <f t="shared" ref="J9939:J9961" si="903">AVERAGE(C9939,C9915,C9891,C9867,C9843,C9819,C9795)</f>
        <v>3001.1428571428573</v>
      </c>
      <c r="K9939" s="445">
        <f>J9939/POBLA!$B$2*100000</f>
        <v>97.577642457644913</v>
      </c>
    </row>
    <row r="9940" spans="1:11" s="393" customFormat="1" x14ac:dyDescent="0.25">
      <c r="A9940" s="402" t="s">
        <v>28</v>
      </c>
      <c r="B9940" s="2">
        <v>44307</v>
      </c>
      <c r="C9940" s="1">
        <v>169</v>
      </c>
      <c r="D9940" s="39">
        <f t="shared" si="896"/>
        <v>13325</v>
      </c>
      <c r="E9940" s="1"/>
      <c r="F9940" s="39">
        <f t="shared" si="901"/>
        <v>19</v>
      </c>
      <c r="G9940" s="436">
        <f>SUM(C9940,C9916,C9892,C9868,C9844,C9820,C9796,C9772,C9748,C9724,C9700,C9676,C9652,C9628)/POBLA!$B$3*100000</f>
        <v>531.72795940669846</v>
      </c>
      <c r="H9940" s="441">
        <f t="shared" si="900"/>
        <v>1.8377703826955074</v>
      </c>
      <c r="I9940" s="445">
        <f t="shared" si="902"/>
        <v>977.19389544874946</v>
      </c>
      <c r="J9940" s="310">
        <f t="shared" si="903"/>
        <v>162.85714285714286</v>
      </c>
      <c r="K9940" s="445">
        <f>J9940/POBLA!$B$3*100000</f>
        <v>39.201311111921122</v>
      </c>
    </row>
    <row r="9941" spans="1:11" s="393" customFormat="1" x14ac:dyDescent="0.25">
      <c r="A9941" s="402" t="s">
        <v>15</v>
      </c>
      <c r="B9941" s="2">
        <v>44307</v>
      </c>
      <c r="C9941" s="1">
        <v>250</v>
      </c>
      <c r="D9941" s="39">
        <f t="shared" si="896"/>
        <v>42768</v>
      </c>
      <c r="E9941" s="1">
        <v>3</v>
      </c>
      <c r="F9941" s="39">
        <f t="shared" si="901"/>
        <v>1001</v>
      </c>
      <c r="G9941" s="436">
        <f>SUM(C9941,C9917,C9893,C9869,C9845,C9821,C9797,C9773,C9749,C9725,C9701,C9677,C9653,C9629)/POBLA!$B$4*100000</f>
        <v>269.31420350158277</v>
      </c>
      <c r="H9941" s="441">
        <f t="shared" si="900"/>
        <v>1.5095393206142391</v>
      </c>
      <c r="I9941" s="445">
        <f t="shared" si="902"/>
        <v>406.54037978554419</v>
      </c>
      <c r="J9941" s="310">
        <f t="shared" si="903"/>
        <v>241.42857142857142</v>
      </c>
      <c r="K9941" s="445">
        <f>J9941/POBLA!$B$4*100000</f>
        <v>20.043200806661741</v>
      </c>
    </row>
    <row r="9942" spans="1:11" s="393" customFormat="1" x14ac:dyDescent="0.25">
      <c r="A9942" s="402" t="s">
        <v>29</v>
      </c>
      <c r="B9942" s="2">
        <v>44307</v>
      </c>
      <c r="C9942" s="1">
        <v>224</v>
      </c>
      <c r="D9942" s="39">
        <f t="shared" si="896"/>
        <v>53237</v>
      </c>
      <c r="E9942" s="1">
        <v>5</v>
      </c>
      <c r="F9942" s="39">
        <f t="shared" si="901"/>
        <v>900</v>
      </c>
      <c r="G9942" s="436">
        <f>SUM(C9942,C9918,C9894,C9870,C9846,C9822,C9798,C9774,C9750,C9726,C9702,C9678,C9654,C9630)/POBLA!$B$5*100000</f>
        <v>387.88744317392417</v>
      </c>
      <c r="H9942" s="441">
        <f t="shared" si="900"/>
        <v>1.3983692486895749</v>
      </c>
      <c r="I9942" s="445">
        <f t="shared" si="902"/>
        <v>542.40987248724048</v>
      </c>
      <c r="J9942" s="310">
        <f t="shared" si="903"/>
        <v>178.42857142857142</v>
      </c>
      <c r="K9942" s="445">
        <f>J9942/POBLA!$B$5*100000</f>
        <v>28.82557366122635</v>
      </c>
    </row>
    <row r="9943" spans="1:11" s="393" customFormat="1" x14ac:dyDescent="0.25">
      <c r="A9943" s="402" t="s">
        <v>30</v>
      </c>
      <c r="B9943" s="2">
        <v>44307</v>
      </c>
      <c r="C9943" s="1">
        <v>206</v>
      </c>
      <c r="D9943" s="39">
        <f t="shared" si="896"/>
        <v>35348</v>
      </c>
      <c r="E9943" s="1">
        <v>10</v>
      </c>
      <c r="F9943" s="39">
        <f t="shared" si="901"/>
        <v>420</v>
      </c>
      <c r="G9943" s="436">
        <f>SUM(C9943,C9919,C9895,C9871,C9847,C9823,C9799,C9775,C9751,C9727,C9703,C9679,C9655,C9631)/POBLA!$B$6*100000</f>
        <v>313.70421689488143</v>
      </c>
      <c r="H9943" s="441">
        <f t="shared" si="900"/>
        <v>0.74208526804558883</v>
      </c>
      <c r="I9943" s="445">
        <f t="shared" si="902"/>
        <v>232.79527788146962</v>
      </c>
      <c r="J9943" s="310">
        <f t="shared" si="903"/>
        <v>205.85714285714286</v>
      </c>
      <c r="K9943" s="445">
        <f>J9943/POBLA!$B$6*100000</f>
        <v>18.366966380039173</v>
      </c>
    </row>
    <row r="9944" spans="1:11" s="393" customFormat="1" x14ac:dyDescent="0.25">
      <c r="A9944" s="402" t="s">
        <v>20</v>
      </c>
      <c r="B9944" s="2">
        <v>44307</v>
      </c>
      <c r="C9944" s="1">
        <v>2357</v>
      </c>
      <c r="D9944" s="39">
        <f t="shared" si="896"/>
        <v>212781</v>
      </c>
      <c r="E9944" s="1">
        <v>20</v>
      </c>
      <c r="F9944" s="39">
        <f t="shared" si="901"/>
        <v>3230</v>
      </c>
      <c r="G9944" s="436">
        <f>SUM(C9944,C9920,C9896,C9872,C9848,C9824,C9800,C9776,C9752,C9728,C9704,C9680,C9656,C9632)/POBLA!$B$7*100000</f>
        <v>636.01430679838847</v>
      </c>
      <c r="H9944" s="441">
        <f t="shared" si="900"/>
        <v>1.6532107555125457</v>
      </c>
      <c r="I9944" s="445">
        <f t="shared" si="902"/>
        <v>1051.4656926589519</v>
      </c>
      <c r="J9944" s="310">
        <f t="shared" si="903"/>
        <v>1735</v>
      </c>
      <c r="K9944" s="445">
        <f>J9944/POBLA!$B$7*100000</f>
        <v>46.138095174779615</v>
      </c>
    </row>
    <row r="9945" spans="1:11" x14ac:dyDescent="0.25">
      <c r="A9945" s="402" t="s">
        <v>31</v>
      </c>
      <c r="B9945" s="2">
        <v>44307</v>
      </c>
      <c r="C9945" s="1">
        <v>607</v>
      </c>
      <c r="D9945" s="39">
        <f t="shared" si="896"/>
        <v>57862</v>
      </c>
      <c r="E9945" s="1">
        <v>6</v>
      </c>
      <c r="F9945" s="39">
        <f t="shared" si="901"/>
        <v>1021</v>
      </c>
      <c r="G9945" s="169">
        <f>SUM(C9945,C9921,C9897,C9873,C9849,C9825,C9801,C9777,C9753,C9729,C9705,C9681,C9657,C9633)/POBLA!$B$8*100000</f>
        <v>456.65065611514325</v>
      </c>
      <c r="H9945" s="518">
        <f t="shared" si="900"/>
        <v>2.1608057357459884</v>
      </c>
      <c r="I9945" s="310">
        <f t="shared" si="902"/>
        <v>986.73335696577044</v>
      </c>
      <c r="J9945" s="310">
        <f t="shared" si="903"/>
        <v>473.57142857142856</v>
      </c>
      <c r="K9945" s="310">
        <f>J9945/POBLA!$B$8*100000</f>
        <v>34.16917420991129</v>
      </c>
    </row>
    <row r="9946" spans="1:11" s="393" customFormat="1" x14ac:dyDescent="0.25">
      <c r="A9946" s="402" t="s">
        <v>41</v>
      </c>
      <c r="B9946" s="2">
        <v>44307</v>
      </c>
      <c r="C9946" s="1">
        <v>107</v>
      </c>
      <c r="D9946" s="39">
        <f t="shared" si="896"/>
        <v>3734</v>
      </c>
      <c r="E9946" s="1"/>
      <c r="F9946" s="39">
        <f t="shared" si="901"/>
        <v>61</v>
      </c>
      <c r="G9946" s="436">
        <f>SUM(C9946,C9922,C9898,C9874,C9850,C9826,C9802,C9778,C9754,C9730,C9706,C9682,C9658,C9634)/POBLA!$B$9*100000</f>
        <v>199.1100359719957</v>
      </c>
      <c r="H9946" s="441">
        <f t="shared" si="900"/>
        <v>1.5855263157894737</v>
      </c>
      <c r="I9946" s="445">
        <f t="shared" si="902"/>
        <v>315.6942017713879</v>
      </c>
      <c r="J9946" s="310">
        <f t="shared" si="903"/>
        <v>72.714285714285708</v>
      </c>
      <c r="K9946" s="445">
        <f>J9946/POBLA!$B$9*100000</f>
        <v>12.015057298132284</v>
      </c>
    </row>
    <row r="9947" spans="1:11" s="393" customFormat="1" x14ac:dyDescent="0.25">
      <c r="A9947" s="402" t="s">
        <v>32</v>
      </c>
      <c r="B9947" s="2">
        <v>44307</v>
      </c>
      <c r="C9947" s="1">
        <v>117</v>
      </c>
      <c r="D9947" s="39">
        <f t="shared" si="896"/>
        <v>23993</v>
      </c>
      <c r="E9947" s="1">
        <v>3</v>
      </c>
      <c r="F9947" s="39">
        <f t="shared" si="901"/>
        <v>1008</v>
      </c>
      <c r="G9947" s="436">
        <f>SUM(C9947,C9923,C9899,C9875,C9851,C9827,C9803,C9779,C9755,C9731,C9707,C9683,C9659,C9635)/POBLA!$B$10*100000</f>
        <v>151.90412009116844</v>
      </c>
      <c r="H9947" s="441">
        <f t="shared" si="900"/>
        <v>1.6539548022598871</v>
      </c>
      <c r="I9947" s="445">
        <f t="shared" si="902"/>
        <v>251.24254890785065</v>
      </c>
      <c r="J9947" s="310">
        <f t="shared" si="903"/>
        <v>102.14285714285714</v>
      </c>
      <c r="K9947" s="445">
        <f>J9947/POBLA!$B$10*100000</f>
        <v>13.250145890592339</v>
      </c>
    </row>
    <row r="9948" spans="1:11" s="393" customFormat="1" x14ac:dyDescent="0.25">
      <c r="A9948" s="402" t="s">
        <v>33</v>
      </c>
      <c r="B9948" s="2">
        <v>44307</v>
      </c>
      <c r="C9948" s="1">
        <v>433</v>
      </c>
      <c r="D9948" s="39">
        <f t="shared" si="896"/>
        <v>24924</v>
      </c>
      <c r="E9948" s="1"/>
      <c r="F9948" s="39">
        <f t="shared" si="901"/>
        <v>341</v>
      </c>
      <c r="G9948" s="436">
        <f>SUM(C9948,C9924,C9900,C9876,C9852,C9828,C9804,C9780,C9756,C9732,C9708,C9684,C9660,C9636)/POBLA!$B$11*100000</f>
        <v>794.0227883982277</v>
      </c>
      <c r="H9948" s="441">
        <f t="shared" si="900"/>
        <v>2.091109478324761</v>
      </c>
      <c r="I9948" s="445">
        <f t="shared" si="902"/>
        <v>1660.3885788253901</v>
      </c>
      <c r="J9948" s="310">
        <f t="shared" si="903"/>
        <v>257.71428571428572</v>
      </c>
      <c r="K9948" s="445">
        <f>J9948/POBLA!$B$11*100000</f>
        <v>71.901270468346709</v>
      </c>
    </row>
    <row r="9949" spans="1:11" s="393" customFormat="1" x14ac:dyDescent="0.25">
      <c r="A9949" s="402" t="s">
        <v>21</v>
      </c>
      <c r="B9949" s="2">
        <v>44307</v>
      </c>
      <c r="C9949" s="1">
        <v>105</v>
      </c>
      <c r="D9949" s="39">
        <f t="shared" si="896"/>
        <v>12768</v>
      </c>
      <c r="E9949" s="1"/>
      <c r="F9949" s="39">
        <f t="shared" si="901"/>
        <v>458</v>
      </c>
      <c r="G9949" s="436">
        <f>SUM(C9949,C9925,C9901,C9877,C9853,C9829,C9805,C9781,C9757,C9733,C9709,C9685,C9661,C9637)/POBLA!$B$12*100000</f>
        <v>295.52945003062018</v>
      </c>
      <c r="H9949" s="441">
        <f t="shared" si="900"/>
        <v>1.3763313609467456</v>
      </c>
      <c r="I9949" s="445">
        <f t="shared" si="902"/>
        <v>406.74645016048669</v>
      </c>
      <c r="J9949" s="310">
        <f t="shared" si="903"/>
        <v>84.142857142857139</v>
      </c>
      <c r="K9949" s="445">
        <f>J9949/POBLA!$B$12*100000</f>
        <v>21.381506702866393</v>
      </c>
    </row>
    <row r="9950" spans="1:11" s="393" customFormat="1" x14ac:dyDescent="0.25">
      <c r="A9950" s="402" t="s">
        <v>17</v>
      </c>
      <c r="B9950" s="2">
        <v>44307</v>
      </c>
      <c r="C9950" s="1">
        <v>905</v>
      </c>
      <c r="D9950" s="39">
        <f t="shared" si="896"/>
        <v>88972</v>
      </c>
      <c r="E9950" s="1">
        <v>8</v>
      </c>
      <c r="F9950" s="39">
        <f t="shared" si="901"/>
        <v>1674</v>
      </c>
      <c r="G9950" s="436">
        <f>SUM(C9950,C9926,C9902,C9878,C9854,C9830,C9806,C9782,C9758,C9734,C9710,C9686,C9662,C9638)/POBLA!$B$13*100000</f>
        <v>614.36801186532136</v>
      </c>
      <c r="H9950" s="441">
        <f t="shared" si="900"/>
        <v>2.1269786049747781</v>
      </c>
      <c r="I9950" s="445">
        <f t="shared" si="902"/>
        <v>1306.7476168184292</v>
      </c>
      <c r="J9950" s="310">
        <f t="shared" si="903"/>
        <v>908.28571428571433</v>
      </c>
      <c r="K9950" s="445">
        <f>J9950/POBLA!$B$13*100000</f>
        <v>45.634747177902163</v>
      </c>
    </row>
    <row r="9951" spans="1:11" s="393" customFormat="1" x14ac:dyDescent="0.25">
      <c r="A9951" s="402" t="s">
        <v>23</v>
      </c>
      <c r="B9951" s="2">
        <v>44307</v>
      </c>
      <c r="C9951" s="1">
        <v>78</v>
      </c>
      <c r="D9951" s="39">
        <f t="shared" si="896"/>
        <v>14560</v>
      </c>
      <c r="E9951" s="1">
        <v>3</v>
      </c>
      <c r="F9951" s="39">
        <f t="shared" si="901"/>
        <v>232</v>
      </c>
      <c r="G9951" s="436">
        <f>SUM(C9951,C9927,C9903,C9879,C9855,C9831,C9807,C9783,C9759,C9735,C9711,C9687,C9663,C9639)/POBLA!$B$14*100000</f>
        <v>146.2783458892217</v>
      </c>
      <c r="H9951" s="441">
        <f t="shared" si="900"/>
        <v>1.1895551257253385</v>
      </c>
      <c r="I9951" s="445">
        <f t="shared" si="902"/>
        <v>174.00615613514768</v>
      </c>
      <c r="J9951" s="310">
        <f t="shared" si="903"/>
        <v>111.71428571428571</v>
      </c>
      <c r="K9951" s="445">
        <f>J9951/POBLA!$B$14*100000</f>
        <v>8.8571170333233731</v>
      </c>
    </row>
    <row r="9952" spans="1:11" s="393" customFormat="1" x14ac:dyDescent="0.25">
      <c r="A9952" s="402" t="s">
        <v>19</v>
      </c>
      <c r="B9952" s="2">
        <v>44307</v>
      </c>
      <c r="C9952" s="1">
        <v>211</v>
      </c>
      <c r="D9952" s="39">
        <f t="shared" si="896"/>
        <v>68432</v>
      </c>
      <c r="E9952" s="1">
        <v>2</v>
      </c>
      <c r="F9952" s="39">
        <f t="shared" si="901"/>
        <v>1038</v>
      </c>
      <c r="G9952" s="436">
        <f>SUM(C9952,C9928,C9904,C9880,C9856,C9832,C9808,C9784,C9760,C9736,C9712,C9688,C9664,C9640)/POBLA!$B$15*100000</f>
        <v>359.90886324517322</v>
      </c>
      <c r="H9952" s="441">
        <f t="shared" si="900"/>
        <v>1.5203562340966921</v>
      </c>
      <c r="I9952" s="445">
        <f t="shared" si="902"/>
        <v>547.18968394145293</v>
      </c>
      <c r="J9952" s="310">
        <f t="shared" si="903"/>
        <v>192.85714285714286</v>
      </c>
      <c r="K9952" s="445">
        <f>J9952/POBLA!$B$15*100000</f>
        <v>29.042257344948226</v>
      </c>
    </row>
    <row r="9953" spans="1:11" s="393" customFormat="1" x14ac:dyDescent="0.25">
      <c r="A9953" s="402" t="s">
        <v>18</v>
      </c>
      <c r="B9953" s="2">
        <v>44307</v>
      </c>
      <c r="C9953" s="1">
        <v>255</v>
      </c>
      <c r="D9953" s="39">
        <f t="shared" si="896"/>
        <v>58886</v>
      </c>
      <c r="E9953" s="1">
        <v>6</v>
      </c>
      <c r="F9953" s="39">
        <f t="shared" si="901"/>
        <v>1325</v>
      </c>
      <c r="G9953" s="436">
        <f>SUM(C9953,C9929,C9905,C9881,C9857,C9833,C9809,C9785,C9761,C9737,C9713,C9689,C9665,C9641)/POBLA!$B$16*100000</f>
        <v>356.20176295127141</v>
      </c>
      <c r="H9953" s="441">
        <f t="shared" si="900"/>
        <v>1.7508218277449046</v>
      </c>
      <c r="I9953" s="445">
        <f t="shared" si="902"/>
        <v>623.64582165630225</v>
      </c>
      <c r="J9953" s="310">
        <f t="shared" si="903"/>
        <v>206</v>
      </c>
      <c r="K9953" s="445">
        <f>J9953/POBLA!$B$16*100000</f>
        <v>27.554473589170826</v>
      </c>
    </row>
    <row r="9954" spans="1:11" s="393" customFormat="1" x14ac:dyDescent="0.25">
      <c r="A9954" s="402" t="s">
        <v>34</v>
      </c>
      <c r="B9954" s="2">
        <v>44307</v>
      </c>
      <c r="C9954" s="1">
        <v>249</v>
      </c>
      <c r="D9954" s="39">
        <f t="shared" si="896"/>
        <v>32962</v>
      </c>
      <c r="E9954" s="1">
        <v>3</v>
      </c>
      <c r="F9954" s="39">
        <f t="shared" si="901"/>
        <v>1264</v>
      </c>
      <c r="G9954" s="436">
        <f>SUM(C9954,C9930,C9906,C9882,C9858,C9834,C9810,C9786,C9762,C9738,C9714,C9690,C9666,C9642)/POBLA!$B$17*100000</f>
        <v>189.48369029140051</v>
      </c>
      <c r="H9954" s="441">
        <f t="shared" ref="H9954:H9977" si="904">SUM(C9954,C9930,C9906,C9882,C9858,C9834,C9810,C9786,C9762,C9738,C9714,C9690,C9666,C9642)/SUM(C9618,C9594,C9570,C9546,C9522,C9498,C9474,C9450,C9426,C9402,C9378,C9354,C9330,C9306)</f>
        <v>1.6387370977534912</v>
      </c>
      <c r="I9954" s="445">
        <f t="shared" si="902"/>
        <v>310.51395269975103</v>
      </c>
      <c r="J9954" s="310">
        <f t="shared" si="903"/>
        <v>194.14285714285714</v>
      </c>
      <c r="K9954" s="445">
        <f>J9954/POBLA!$B$17*100000</f>
        <v>13.629827719579383</v>
      </c>
    </row>
    <row r="9955" spans="1:11" s="393" customFormat="1" x14ac:dyDescent="0.25">
      <c r="A9955" s="402" t="s">
        <v>35</v>
      </c>
      <c r="B9955" s="2">
        <v>44307</v>
      </c>
      <c r="C9955" s="1">
        <v>341</v>
      </c>
      <c r="D9955" s="39">
        <f t="shared" si="896"/>
        <v>21028</v>
      </c>
      <c r="E9955" s="1">
        <v>2</v>
      </c>
      <c r="F9955" s="39">
        <f t="shared" si="901"/>
        <v>253</v>
      </c>
      <c r="G9955" s="436">
        <f>SUM(C9955,C9931,C9907,C9883,C9859,C9835,C9811,C9787,C9763,C9739,C9715,C9691,C9667,C9643)/POBLA!$B$18*100000</f>
        <v>370.95966933643274</v>
      </c>
      <c r="H9955" s="441">
        <f t="shared" si="904"/>
        <v>1.8022388059701493</v>
      </c>
      <c r="I9955" s="445">
        <f t="shared" si="902"/>
        <v>668.55791152797394</v>
      </c>
      <c r="J9955" s="310">
        <f t="shared" si="903"/>
        <v>215.14285714285714</v>
      </c>
      <c r="K9955" s="445">
        <f>J9955/POBLA!$B$18*100000</f>
        <v>27.539448980610651</v>
      </c>
    </row>
    <row r="9956" spans="1:11" s="393" customFormat="1" x14ac:dyDescent="0.25">
      <c r="A9956" s="402" t="s">
        <v>36</v>
      </c>
      <c r="B9956" s="2">
        <v>44307</v>
      </c>
      <c r="C9956" s="1">
        <v>707</v>
      </c>
      <c r="D9956" s="39">
        <f t="shared" si="896"/>
        <v>31888</v>
      </c>
      <c r="E9956" s="1">
        <v>2</v>
      </c>
      <c r="F9956" s="39">
        <f t="shared" si="901"/>
        <v>457</v>
      </c>
      <c r="G9956" s="436">
        <f>SUM(C9956,C9932,C9908,C9884,C9860,C9836,C9812,C9788,C9764,C9740,C9716,C9692,C9668,C9644)/POBLA!$B$19*100000</f>
        <v>1426.6379188240664</v>
      </c>
      <c r="H9956" s="441">
        <f t="shared" si="904"/>
        <v>2.3537812398571893</v>
      </c>
      <c r="I9956" s="445">
        <f t="shared" si="902"/>
        <v>3357.9935693969915</v>
      </c>
      <c r="J9956" s="310">
        <f t="shared" si="903"/>
        <v>567.42857142857144</v>
      </c>
      <c r="K9956" s="445">
        <f>J9956/POBLA!$B$19*100000</f>
        <v>111.62646390294681</v>
      </c>
    </row>
    <row r="9957" spans="1:11" s="393" customFormat="1" x14ac:dyDescent="0.25">
      <c r="A9957" s="402" t="s">
        <v>37</v>
      </c>
      <c r="B9957" s="2">
        <v>44307</v>
      </c>
      <c r="C9957" s="1">
        <v>227</v>
      </c>
      <c r="D9957" s="39">
        <f t="shared" si="896"/>
        <v>42923</v>
      </c>
      <c r="E9957" s="1">
        <v>1</v>
      </c>
      <c r="F9957" s="39">
        <f t="shared" si="901"/>
        <v>686</v>
      </c>
      <c r="G9957" s="436">
        <f>SUM(C9957,C9933,C9909,C9885,C9861,C9837,C9813,C9789,C9765,C9741,C9717,C9693,C9669,C9645)/POBLA!$B$20*100000</f>
        <v>710.42226099130983</v>
      </c>
      <c r="H9957" s="441">
        <f t="shared" si="904"/>
        <v>1.4433333333333334</v>
      </c>
      <c r="I9957" s="445">
        <f t="shared" si="902"/>
        <v>1025.3761300307906</v>
      </c>
      <c r="J9957" s="310">
        <f t="shared" si="903"/>
        <v>189.71428571428572</v>
      </c>
      <c r="K9957" s="445">
        <f>J9957/POBLA!$B$20*100000</f>
        <v>51.877310161468131</v>
      </c>
    </row>
    <row r="9958" spans="1:11" s="393" customFormat="1" x14ac:dyDescent="0.25">
      <c r="A9958" s="402" t="s">
        <v>22</v>
      </c>
      <c r="B9958" s="2">
        <v>44307</v>
      </c>
      <c r="C9958" s="1">
        <v>1941</v>
      </c>
      <c r="D9958" s="39">
        <f t="shared" si="896"/>
        <v>258215</v>
      </c>
      <c r="E9958" s="1">
        <v>7</v>
      </c>
      <c r="F9958" s="39">
        <f t="shared" si="901"/>
        <v>4461</v>
      </c>
      <c r="G9958" s="436">
        <f>SUM(C9958,C9934,C9910,C9886,C9862,C9838,C9814,C9790,C9766,C9742,C9718,C9694,C9670,C9646)/POBLA!$B$21*100000</f>
        <v>593.31221592017687</v>
      </c>
      <c r="H9958" s="441">
        <f t="shared" si="904"/>
        <v>2.0790725326991675</v>
      </c>
      <c r="I9958" s="445">
        <f t="shared" si="902"/>
        <v>1233.5391314345175</v>
      </c>
      <c r="J9958" s="310">
        <f t="shared" si="903"/>
        <v>1653.4285714285713</v>
      </c>
      <c r="K9958" s="445">
        <f>J9958/POBLA!$B$21*100000</f>
        <v>46.754330835002293</v>
      </c>
    </row>
    <row r="9959" spans="1:11" s="393" customFormat="1" x14ac:dyDescent="0.25">
      <c r="A9959" s="402" t="s">
        <v>38</v>
      </c>
      <c r="B9959" s="2">
        <v>44307</v>
      </c>
      <c r="C9959" s="1">
        <v>235</v>
      </c>
      <c r="D9959" s="39">
        <f t="shared" si="896"/>
        <v>28787</v>
      </c>
      <c r="E9959" s="1"/>
      <c r="F9959" s="39">
        <f t="shared" si="901"/>
        <v>327</v>
      </c>
      <c r="G9959" s="436">
        <f>SUM(C9959,C9935,C9911,C9887,C9863,C9839,C9815,C9791,C9767,C9743,C9719,C9695,C9671,C9647)/POBLA!$B$22*100000</f>
        <v>280.99391503537214</v>
      </c>
      <c r="H9959" s="441">
        <f t="shared" si="904"/>
        <v>1.613262910798122</v>
      </c>
      <c r="I9959" s="445">
        <f t="shared" si="902"/>
        <v>453.31706128652462</v>
      </c>
      <c r="J9959" s="310">
        <f t="shared" si="903"/>
        <v>211.57142857142858</v>
      </c>
      <c r="K9959" s="445">
        <f>J9959/POBLA!$B$22*100000</f>
        <v>21.626149153842235</v>
      </c>
    </row>
    <row r="9960" spans="1:11" s="393" customFormat="1" x14ac:dyDescent="0.25">
      <c r="A9960" s="402" t="s">
        <v>39</v>
      </c>
      <c r="B9960" s="2">
        <v>44307</v>
      </c>
      <c r="C9960" s="1">
        <v>65</v>
      </c>
      <c r="D9960" s="39">
        <f t="shared" si="896"/>
        <v>25660</v>
      </c>
      <c r="E9960" s="1"/>
      <c r="F9960" s="39">
        <f t="shared" si="901"/>
        <v>375</v>
      </c>
      <c r="G9960" s="436">
        <f>SUM(C9960,C9936,C9912,C9888,C9864,C9840,C9816,C9792,C9768,C9744,C9720,C9696,C9672,C9648)/POBLA!$B$23*100000</f>
        <v>664.48000904823834</v>
      </c>
      <c r="H9960" s="441">
        <f t="shared" si="904"/>
        <v>1.5440210249671484</v>
      </c>
      <c r="I9960" s="445">
        <f t="shared" si="902"/>
        <v>1025.9711046408411</v>
      </c>
      <c r="J9960" s="310">
        <f t="shared" si="903"/>
        <v>69</v>
      </c>
      <c r="K9960" s="445">
        <f>J9960/POBLA!$B$23*100000</f>
        <v>39.02052819091783</v>
      </c>
    </row>
    <row r="9961" spans="1:11" s="393" customFormat="1" ht="15.75" thickBot="1" x14ac:dyDescent="0.3">
      <c r="A9961" s="404" t="s">
        <v>40</v>
      </c>
      <c r="B9961" s="2">
        <v>44307</v>
      </c>
      <c r="C9961" s="1">
        <v>770</v>
      </c>
      <c r="D9961" s="177">
        <f t="shared" si="896"/>
        <v>100044</v>
      </c>
      <c r="E9961" s="1">
        <v>8</v>
      </c>
      <c r="F9961" s="177">
        <f t="shared" si="901"/>
        <v>1591</v>
      </c>
      <c r="G9961" s="439">
        <f>SUM(C9961,C9937,C9913,C9889,C9865,C9841,C9817,C9793,C9769,C9745,C9721,C9697,C9673,C9649)/POBLA!$B$24*100000</f>
        <v>538.87042562030285</v>
      </c>
      <c r="H9961" s="442">
        <f t="shared" si="904"/>
        <v>1.5306738183037212</v>
      </c>
      <c r="I9961" s="445">
        <f t="shared" si="902"/>
        <v>824.8348519551804</v>
      </c>
      <c r="J9961" s="310">
        <f t="shared" si="903"/>
        <v>670.14285714285711</v>
      </c>
      <c r="K9961" s="445">
        <f>J9961/POBLA!$B$24*100000</f>
        <v>39.544477294675566</v>
      </c>
    </row>
    <row r="9962" spans="1:11" s="393" customFormat="1" x14ac:dyDescent="0.25">
      <c r="A9962" s="409" t="s">
        <v>16</v>
      </c>
      <c r="B9962" s="2">
        <v>44308</v>
      </c>
      <c r="C9962" s="42">
        <v>12949</v>
      </c>
      <c r="D9962" s="264">
        <f t="shared" si="896"/>
        <v>1213670</v>
      </c>
      <c r="E9962" s="1">
        <v>327</v>
      </c>
      <c r="F9962" s="264">
        <f t="shared" ref="F9962:F9985" si="905">E9962+F9938</f>
        <v>30975</v>
      </c>
      <c r="G9962" s="454">
        <f>SUM(C9962,C9938,C9914,C9890,C9866,C9842,C9818,C9794,C9770,C9746,C9722,C9698,C9674,C9650)/POBLA!$B$1*100000</f>
        <v>933.17760800166877</v>
      </c>
      <c r="H9962" s="455">
        <f t="shared" si="904"/>
        <v>1.7026211774495528</v>
      </c>
      <c r="I9962" s="445">
        <f>G9962*H9962</f>
        <v>1588.8479577053586</v>
      </c>
      <c r="J9962" s="310">
        <f>AVERAGE(C9962,C9938,C9914,C9890,C9866,C9842,C9818)</f>
        <v>11931.714285714286</v>
      </c>
      <c r="K9962" s="445">
        <f>J9962/POBLA!$B$1*100000</f>
        <v>68.021312215176224</v>
      </c>
    </row>
    <row r="9963" spans="1:11" s="393" customFormat="1" x14ac:dyDescent="0.25">
      <c r="A9963" s="402" t="s">
        <v>43</v>
      </c>
      <c r="B9963" s="2">
        <v>44308</v>
      </c>
      <c r="C9963" s="42">
        <v>3560</v>
      </c>
      <c r="D9963" s="39">
        <f t="shared" si="896"/>
        <v>319294</v>
      </c>
      <c r="E9963" s="1">
        <v>58</v>
      </c>
      <c r="F9963" s="39">
        <f t="shared" si="905"/>
        <v>7382</v>
      </c>
      <c r="G9963" s="436">
        <f>SUM(C9963,C9939,C9915,C9891,C9867,C9843,C9819,C9795,C9771,C9747,C9723,C9699,C9675,C9651)/POBLA!$B$2*100000</f>
        <v>1342.8398456779487</v>
      </c>
      <c r="H9963" s="441">
        <f t="shared" si="904"/>
        <v>1.6251918309526621</v>
      </c>
      <c r="I9963" s="445">
        <f t="shared" ref="I9963:I9985" si="906">G9963*H9963</f>
        <v>2182.3723474735357</v>
      </c>
      <c r="J9963" s="310">
        <f t="shared" ref="J9963:J9985" si="907">AVERAGE(C9963,C9939,C9915,C9891,C9867,C9843,C9819)</f>
        <v>3103.5714285714284</v>
      </c>
      <c r="K9963" s="445">
        <f>J9963/POBLA!$B$2*100000</f>
        <v>100.90795327457803</v>
      </c>
    </row>
    <row r="9964" spans="1:11" s="393" customFormat="1" x14ac:dyDescent="0.25">
      <c r="A9964" s="402" t="s">
        <v>28</v>
      </c>
      <c r="B9964" s="2">
        <v>44308</v>
      </c>
      <c r="C9964" s="42">
        <v>203</v>
      </c>
      <c r="D9964" s="39">
        <f t="shared" si="896"/>
        <v>13528</v>
      </c>
      <c r="E9964" s="1"/>
      <c r="F9964" s="39">
        <f t="shared" si="905"/>
        <v>19</v>
      </c>
      <c r="G9964" s="436">
        <f>SUM(C9964,C9940,C9916,C9892,C9868,C9844,C9820,C9796,C9772,C9748,C9724,C9700,C9676,C9652)/POBLA!$B$3*100000</f>
        <v>539.4306731690408</v>
      </c>
      <c r="H9964" s="441">
        <f t="shared" si="904"/>
        <v>1.7372093023255815</v>
      </c>
      <c r="I9964" s="445">
        <f t="shared" si="906"/>
        <v>937.10398338900814</v>
      </c>
      <c r="J9964" s="310">
        <f t="shared" si="907"/>
        <v>168.57142857142858</v>
      </c>
      <c r="K9964" s="445">
        <f>J9964/POBLA!$B$3*100000</f>
        <v>40.576795712339404</v>
      </c>
    </row>
    <row r="9965" spans="1:11" s="393" customFormat="1" x14ac:dyDescent="0.25">
      <c r="A9965" s="402" t="s">
        <v>15</v>
      </c>
      <c r="B9965" s="2">
        <v>44308</v>
      </c>
      <c r="C9965" s="42">
        <v>183</v>
      </c>
      <c r="D9965" s="39">
        <f t="shared" si="896"/>
        <v>42951</v>
      </c>
      <c r="E9965" s="1">
        <v>6</v>
      </c>
      <c r="F9965" s="39">
        <f t="shared" si="905"/>
        <v>1007</v>
      </c>
      <c r="G9965" s="436">
        <f>SUM(C9965,C9941,C9917,C9893,C9869,C9845,C9821,C9797,C9773,C9749,C9725,C9701,C9677,C9653)/POBLA!$B$4*100000</f>
        <v>262.92172703129239</v>
      </c>
      <c r="H9965" s="441">
        <f t="shared" si="904"/>
        <v>1.3866024518388791</v>
      </c>
      <c r="I9965" s="445">
        <f t="shared" si="906"/>
        <v>364.56791134330251</v>
      </c>
      <c r="J9965" s="310">
        <f t="shared" si="907"/>
        <v>218</v>
      </c>
      <c r="K9965" s="445">
        <f>J9965/POBLA!$B$4*100000</f>
        <v>18.098180136666166</v>
      </c>
    </row>
    <row r="9966" spans="1:11" s="393" customFormat="1" x14ac:dyDescent="0.25">
      <c r="A9966" s="402" t="s">
        <v>29</v>
      </c>
      <c r="B9966" s="2">
        <v>44308</v>
      </c>
      <c r="C9966" s="42">
        <v>227</v>
      </c>
      <c r="D9966" s="39">
        <f t="shared" si="896"/>
        <v>53464</v>
      </c>
      <c r="E9966" s="1"/>
      <c r="F9966" s="39">
        <f t="shared" si="905"/>
        <v>900</v>
      </c>
      <c r="G9966" s="436">
        <f>SUM(C9966,C9942,C9918,C9894,C9870,C9846,C9822,C9798,C9774,C9750,C9726,C9702,C9678,C9654)/POBLA!$B$5*100000</f>
        <v>395.96506589724618</v>
      </c>
      <c r="H9966" s="441">
        <f t="shared" si="904"/>
        <v>1.3886685552407931</v>
      </c>
      <c r="I9966" s="445">
        <f t="shared" si="906"/>
        <v>549.8642359853543</v>
      </c>
      <c r="J9966" s="310">
        <f t="shared" si="907"/>
        <v>184.42857142857142</v>
      </c>
      <c r="K9966" s="445">
        <f>J9966/POBLA!$B$5*100000</f>
        <v>29.79488838802499</v>
      </c>
    </row>
    <row r="9967" spans="1:11" s="393" customFormat="1" x14ac:dyDescent="0.25">
      <c r="A9967" s="402" t="s">
        <v>30</v>
      </c>
      <c r="B9967" s="2">
        <v>44308</v>
      </c>
      <c r="C9967" s="42">
        <v>337</v>
      </c>
      <c r="D9967" s="39">
        <f t="shared" si="896"/>
        <v>35685</v>
      </c>
      <c r="E9967" s="1">
        <v>16</v>
      </c>
      <c r="F9967" s="39">
        <f t="shared" si="905"/>
        <v>436</v>
      </c>
      <c r="G9967" s="436">
        <f>SUM(C9967,C9943,C9919,C9895,C9871,C9847,C9823,C9799,C9775,C9751,C9727,C9703,C9679,C9655)/POBLA!$B$6*100000</f>
        <v>298.3580492879646</v>
      </c>
      <c r="H9967" s="441">
        <f t="shared" si="904"/>
        <v>0.64073577313661623</v>
      </c>
      <c r="I9967" s="445">
        <f t="shared" si="906"/>
        <v>191.16867538205665</v>
      </c>
      <c r="J9967" s="310">
        <f t="shared" si="907"/>
        <v>230.14285714285714</v>
      </c>
      <c r="K9967" s="445">
        <f>J9967/POBLA!$B$6*100000</f>
        <v>20.533784065401186</v>
      </c>
    </row>
    <row r="9968" spans="1:11" s="393" customFormat="1" x14ac:dyDescent="0.25">
      <c r="A9968" s="402" t="s">
        <v>20</v>
      </c>
      <c r="B9968" s="2">
        <v>44308</v>
      </c>
      <c r="C9968" s="42">
        <v>1805</v>
      </c>
      <c r="D9968" s="39">
        <f t="shared" si="896"/>
        <v>214586</v>
      </c>
      <c r="E9968" s="1">
        <v>18</v>
      </c>
      <c r="F9968" s="39">
        <f t="shared" si="905"/>
        <v>3248</v>
      </c>
      <c r="G9968" s="436">
        <f>SUM(C9968,C9944,C9920,C9896,C9872,C9848,C9824,C9800,C9776,C9752,C9728,C9704,C9680,C9656)/POBLA!$B$7*100000</f>
        <v>625.80276296719808</v>
      </c>
      <c r="H9968" s="441">
        <f t="shared" si="904"/>
        <v>1.4769974267244084</v>
      </c>
      <c r="I9968" s="445">
        <f t="shared" si="906"/>
        <v>924.3090705395764</v>
      </c>
      <c r="J9968" s="310">
        <f t="shared" si="907"/>
        <v>1763.5714285714287</v>
      </c>
      <c r="K9968" s="445">
        <f>J9968/POBLA!$B$7*100000</f>
        <v>46.897882662219381</v>
      </c>
    </row>
    <row r="9969" spans="1:11" x14ac:dyDescent="0.25">
      <c r="A9969" s="402" t="s">
        <v>31</v>
      </c>
      <c r="B9969" s="2">
        <v>44308</v>
      </c>
      <c r="C9969" s="42">
        <v>640</v>
      </c>
      <c r="D9969" s="39">
        <f t="shared" si="896"/>
        <v>58502</v>
      </c>
      <c r="E9969" s="1">
        <v>7</v>
      </c>
      <c r="F9969" s="39">
        <f t="shared" si="905"/>
        <v>1028</v>
      </c>
      <c r="G9969" s="169">
        <f>SUM(C9969,C9945,C9921,C9897,C9873,C9849,C9825,C9801,C9777,C9753,C9729,C9705,C9681,C9657)/POBLA!$B$8*100000</f>
        <v>471.29753290316251</v>
      </c>
      <c r="H9969" s="518">
        <f t="shared" si="904"/>
        <v>2.0222910216718266</v>
      </c>
      <c r="I9969" s="310">
        <f t="shared" si="906"/>
        <v>953.10076932614777</v>
      </c>
      <c r="J9969" s="310">
        <f t="shared" si="907"/>
        <v>490.14285714285717</v>
      </c>
      <c r="K9969" s="310">
        <f>J9969/POBLA!$B$8*100000</f>
        <v>35.364837621178168</v>
      </c>
    </row>
    <row r="9970" spans="1:11" s="393" customFormat="1" x14ac:dyDescent="0.25">
      <c r="A9970" s="402" t="s">
        <v>41</v>
      </c>
      <c r="B9970" s="2">
        <v>44308</v>
      </c>
      <c r="C9970" s="42">
        <v>127</v>
      </c>
      <c r="D9970" s="39">
        <f t="shared" si="896"/>
        <v>3861</v>
      </c>
      <c r="E9970" s="1">
        <v>2</v>
      </c>
      <c r="F9970" s="39">
        <f t="shared" si="905"/>
        <v>63</v>
      </c>
      <c r="G9970" s="436">
        <f>SUM(C9970,C9946,C9922,C9898,C9874,C9850,C9826,C9802,C9778,C9754,C9730,C9706,C9682,C9658)/POBLA!$B$9*100000</f>
        <v>218.11223857513221</v>
      </c>
      <c r="H9970" s="441">
        <f t="shared" si="904"/>
        <v>1.8461538461538463</v>
      </c>
      <c r="I9970" s="445">
        <f t="shared" si="906"/>
        <v>402.66874813870567</v>
      </c>
      <c r="J9970" s="310">
        <f t="shared" si="907"/>
        <v>77.428571428571431</v>
      </c>
      <c r="K9970" s="445">
        <f>J9970/POBLA!$B$9*100000</f>
        <v>12.794029578757756</v>
      </c>
    </row>
    <row r="9971" spans="1:11" s="393" customFormat="1" x14ac:dyDescent="0.25">
      <c r="A9971" s="402" t="s">
        <v>32</v>
      </c>
      <c r="B9971" s="2">
        <v>44308</v>
      </c>
      <c r="C9971" s="42">
        <v>105</v>
      </c>
      <c r="D9971" s="39">
        <f t="shared" ref="D9971:D10034" si="908">C9971+D9947</f>
        <v>24098</v>
      </c>
      <c r="E9971" s="1">
        <v>6</v>
      </c>
      <c r="F9971" s="39">
        <f t="shared" si="905"/>
        <v>1014</v>
      </c>
      <c r="G9971" s="436">
        <f>SUM(C9971,C9947,C9923,C9899,C9875,C9851,C9827,C9803,C9779,C9755,C9731,C9707,C9683,C9659)/POBLA!$B$10*100000</f>
        <v>156.70382328790046</v>
      </c>
      <c r="H9971" s="441">
        <f t="shared" si="904"/>
        <v>1.6368563685636857</v>
      </c>
      <c r="I9971" s="445">
        <f t="shared" si="906"/>
        <v>256.50165112707828</v>
      </c>
      <c r="J9971" s="310">
        <f t="shared" si="907"/>
        <v>105.57142857142857</v>
      </c>
      <c r="K9971" s="445">
        <f>J9971/POBLA!$B$10*100000</f>
        <v>13.694906032374462</v>
      </c>
    </row>
    <row r="9972" spans="1:11" s="393" customFormat="1" x14ac:dyDescent="0.25">
      <c r="A9972" s="402" t="s">
        <v>33</v>
      </c>
      <c r="B9972" s="2">
        <v>44308</v>
      </c>
      <c r="C9972" s="42">
        <v>260</v>
      </c>
      <c r="D9972" s="39">
        <f t="shared" si="908"/>
        <v>25184</v>
      </c>
      <c r="E9972" s="1">
        <v>6</v>
      </c>
      <c r="F9972" s="39">
        <f t="shared" si="905"/>
        <v>347</v>
      </c>
      <c r="G9972" s="436">
        <f>SUM(C9972,C9948,C9924,C9900,C9876,C9852,C9828,C9804,C9780,C9756,C9732,C9708,C9684,C9660)/POBLA!$B$11*100000</f>
        <v>816.90046536542911</v>
      </c>
      <c r="H9972" s="441">
        <f t="shared" si="904"/>
        <v>2.0165289256198347</v>
      </c>
      <c r="I9972" s="445">
        <f t="shared" si="906"/>
        <v>1647.3034177616917</v>
      </c>
      <c r="J9972" s="310">
        <f t="shared" si="907"/>
        <v>265.28571428571428</v>
      </c>
      <c r="K9972" s="445">
        <f>J9972/POBLA!$B$11*100000</f>
        <v>74.013669212704997</v>
      </c>
    </row>
    <row r="9973" spans="1:11" s="393" customFormat="1" x14ac:dyDescent="0.25">
      <c r="A9973" s="402" t="s">
        <v>21</v>
      </c>
      <c r="B9973" s="2">
        <v>44308</v>
      </c>
      <c r="C9973" s="42">
        <v>73</v>
      </c>
      <c r="D9973" s="39">
        <f t="shared" si="908"/>
        <v>12841</v>
      </c>
      <c r="E9973" s="1">
        <v>1</v>
      </c>
      <c r="F9973" s="39">
        <f t="shared" si="905"/>
        <v>459</v>
      </c>
      <c r="G9973" s="436">
        <f>SUM(C9973,C9949,C9925,C9901,C9877,C9853,C9829,C9805,C9781,C9757,C9733,C9709,C9685,C9661)/POBLA!$B$12*100000</f>
        <v>286.38150488779792</v>
      </c>
      <c r="H9973" s="441">
        <f t="shared" si="904"/>
        <v>1.2303493449781659</v>
      </c>
      <c r="I9973" s="445">
        <f t="shared" si="906"/>
        <v>352.34929695256358</v>
      </c>
      <c r="J9973" s="310">
        <f t="shared" si="907"/>
        <v>78.857142857142861</v>
      </c>
      <c r="K9973" s="445">
        <f>J9973/POBLA!$B$12*100000</f>
        <v>20.038356027134547</v>
      </c>
    </row>
    <row r="9974" spans="1:11" s="393" customFormat="1" x14ac:dyDescent="0.25">
      <c r="A9974" s="402" t="s">
        <v>17</v>
      </c>
      <c r="B9974" s="2">
        <v>44308</v>
      </c>
      <c r="C9974" s="42">
        <v>1036</v>
      </c>
      <c r="D9974" s="39">
        <f t="shared" si="908"/>
        <v>90008</v>
      </c>
      <c r="E9974" s="1">
        <v>19</v>
      </c>
      <c r="F9974" s="39">
        <f t="shared" si="905"/>
        <v>1693</v>
      </c>
      <c r="G9974" s="436">
        <f>SUM(C9974,C9950,C9926,C9902,C9878,C9854,C9830,C9806,C9782,C9758,C9734,C9710,C9686,C9662)/POBLA!$B$13*100000</f>
        <v>613.86558463939286</v>
      </c>
      <c r="H9974" s="441">
        <f t="shared" si="904"/>
        <v>1.8489709443099274</v>
      </c>
      <c r="I9974" s="445">
        <f t="shared" si="906"/>
        <v>1135.0196297100638</v>
      </c>
      <c r="J9974" s="310">
        <f t="shared" si="907"/>
        <v>906.28571428571433</v>
      </c>
      <c r="K9974" s="445">
        <f>J9974/POBLA!$B$13*100000</f>
        <v>45.534261732716473</v>
      </c>
    </row>
    <row r="9975" spans="1:11" s="393" customFormat="1" x14ac:dyDescent="0.25">
      <c r="A9975" s="402" t="s">
        <v>23</v>
      </c>
      <c r="B9975" s="2">
        <v>44308</v>
      </c>
      <c r="C9975" s="42">
        <v>168</v>
      </c>
      <c r="D9975" s="39">
        <f t="shared" si="908"/>
        <v>14728</v>
      </c>
      <c r="E9975" s="1">
        <v>4</v>
      </c>
      <c r="F9975" s="39">
        <f t="shared" si="905"/>
        <v>236</v>
      </c>
      <c r="G9975" s="436">
        <f>SUM(C9975,C9951,C9927,C9903,C9879,C9855,C9831,C9807,C9783,C9759,C9735,C9711,C9687,C9663)/POBLA!$B$14*100000</f>
        <v>147.46760073384954</v>
      </c>
      <c r="H9975" s="441">
        <f t="shared" si="904"/>
        <v>1.1764705882352942</v>
      </c>
      <c r="I9975" s="445">
        <f t="shared" si="906"/>
        <v>173.49129498099947</v>
      </c>
      <c r="J9975" s="310">
        <f t="shared" si="907"/>
        <v>121.57142857142857</v>
      </c>
      <c r="K9975" s="445">
        <f>J9975/POBLA!$B$14*100000</f>
        <v>9.6386273597930838</v>
      </c>
    </row>
    <row r="9976" spans="1:11" s="393" customFormat="1" x14ac:dyDescent="0.25">
      <c r="A9976" s="402" t="s">
        <v>19</v>
      </c>
      <c r="B9976" s="2">
        <v>44308</v>
      </c>
      <c r="C9976" s="42">
        <v>231</v>
      </c>
      <c r="D9976" s="39">
        <f t="shared" si="908"/>
        <v>68663</v>
      </c>
      <c r="E9976" s="1">
        <v>8</v>
      </c>
      <c r="F9976" s="39">
        <f t="shared" si="905"/>
        <v>1046</v>
      </c>
      <c r="G9976" s="436">
        <f>SUM(C9976,C9952,C9928,C9904,C9880,C9856,C9832,C9808,C9784,C9760,C9736,C9712,C9688,C9664)/POBLA!$B$15*100000</f>
        <v>374.96781149810937</v>
      </c>
      <c r="H9976" s="441">
        <f t="shared" si="904"/>
        <v>1.534195933456562</v>
      </c>
      <c r="I9976" s="445">
        <f t="shared" si="906"/>
        <v>575.27409157750606</v>
      </c>
      <c r="J9976" s="310">
        <f t="shared" si="907"/>
        <v>196.42857142857142</v>
      </c>
      <c r="K9976" s="445">
        <f>J9976/POBLA!$B$15*100000</f>
        <v>29.580076925410228</v>
      </c>
    </row>
    <row r="9977" spans="1:11" s="393" customFormat="1" x14ac:dyDescent="0.25">
      <c r="A9977" s="402" t="s">
        <v>18</v>
      </c>
      <c r="B9977" s="2">
        <v>44308</v>
      </c>
      <c r="C9977" s="42">
        <v>316</v>
      </c>
      <c r="D9977" s="39">
        <f t="shared" si="908"/>
        <v>59202</v>
      </c>
      <c r="E9977" s="1">
        <v>5</v>
      </c>
      <c r="F9977" s="39">
        <f t="shared" si="905"/>
        <v>1330</v>
      </c>
      <c r="G9977" s="436">
        <f>SUM(C9977,C9953,C9929,C9905,C9881,C9857,C9833,C9809,C9785,C9761,C9737,C9713,C9689,C9665)/POBLA!$B$16*100000</f>
        <v>376.66697877235453</v>
      </c>
      <c r="H9977" s="441">
        <f t="shared" si="904"/>
        <v>1.76</v>
      </c>
      <c r="I9977" s="445">
        <f t="shared" si="906"/>
        <v>662.93388263934401</v>
      </c>
      <c r="J9977" s="310">
        <f t="shared" si="907"/>
        <v>222.28571428571428</v>
      </c>
      <c r="K9977" s="445">
        <f>J9977/POBLA!$B$16*100000</f>
        <v>29.732843900658668</v>
      </c>
    </row>
    <row r="9978" spans="1:11" s="393" customFormat="1" x14ac:dyDescent="0.25">
      <c r="A9978" s="402" t="s">
        <v>34</v>
      </c>
      <c r="B9978" s="2">
        <v>44308</v>
      </c>
      <c r="C9978" s="42">
        <v>262</v>
      </c>
      <c r="D9978" s="39">
        <f t="shared" si="908"/>
        <v>33224</v>
      </c>
      <c r="E9978" s="1">
        <v>2</v>
      </c>
      <c r="F9978" s="39">
        <f t="shared" si="905"/>
        <v>1266</v>
      </c>
      <c r="G9978" s="436">
        <f>SUM(C9978,C9954,C9930,C9906,C9882,C9858,C9834,C9810,C9786,C9762,C9738,C9714,C9690,C9666)/POBLA!$B$17*100000</f>
        <v>192.15148585682221</v>
      </c>
      <c r="H9978" s="441">
        <f t="shared" ref="H9978:H10001" si="909">SUM(C9978,C9954,C9930,C9906,C9882,C9858,C9834,C9810,C9786,C9762,C9738,C9714,C9690,C9666)/SUM(C9642,C9618,C9594,C9570,C9546,C9522,C9498,C9474,C9450,C9426,C9402,C9378,C9354,C9330)</f>
        <v>1.5197112715158245</v>
      </c>
      <c r="I9978" s="445">
        <f t="shared" si="906"/>
        <v>292.01477889512626</v>
      </c>
      <c r="J9978" s="310">
        <f t="shared" si="907"/>
        <v>193.28571428571428</v>
      </c>
      <c r="K9978" s="445">
        <f>J9978/POBLA!$B$17*100000</f>
        <v>13.569651879757838</v>
      </c>
    </row>
    <row r="9979" spans="1:11" s="393" customFormat="1" x14ac:dyDescent="0.25">
      <c r="A9979" s="402" t="s">
        <v>35</v>
      </c>
      <c r="B9979" s="2">
        <v>44308</v>
      </c>
      <c r="C9979" s="42">
        <v>347</v>
      </c>
      <c r="D9979" s="39">
        <f t="shared" si="908"/>
        <v>21375</v>
      </c>
      <c r="E9979" s="1">
        <v>2</v>
      </c>
      <c r="F9979" s="39">
        <f t="shared" si="905"/>
        <v>255</v>
      </c>
      <c r="G9979" s="436">
        <f>SUM(C9979,C9955,C9931,C9907,C9883,C9859,C9835,C9811,C9787,C9763,C9739,C9715,C9691,C9667)/POBLA!$B$18*100000</f>
        <v>373.00775584760703</v>
      </c>
      <c r="H9979" s="441">
        <f t="shared" si="909"/>
        <v>1.5776935571196535</v>
      </c>
      <c r="I9979" s="445">
        <f t="shared" si="906"/>
        <v>588.49193315643038</v>
      </c>
      <c r="J9979" s="310">
        <f t="shared" si="907"/>
        <v>226</v>
      </c>
      <c r="K9979" s="445">
        <f>J9979/POBLA!$B$18*100000</f>
        <v>28.92922197033603</v>
      </c>
    </row>
    <row r="9980" spans="1:11" s="393" customFormat="1" x14ac:dyDescent="0.25">
      <c r="A9980" s="402" t="s">
        <v>36</v>
      </c>
      <c r="B9980" s="2">
        <v>44308</v>
      </c>
      <c r="C9980" s="42">
        <v>783</v>
      </c>
      <c r="D9980" s="39">
        <f t="shared" si="908"/>
        <v>32671</v>
      </c>
      <c r="E9980" s="1">
        <v>3</v>
      </c>
      <c r="F9980" s="39">
        <f t="shared" si="905"/>
        <v>460</v>
      </c>
      <c r="G9980" s="436">
        <f>SUM(C9980,C9956,C9932,C9908,C9884,C9860,C9836,C9812,C9788,C9764,C9740,C9716,C9692,C9668)/POBLA!$B$19*100000</f>
        <v>1477.7859964432414</v>
      </c>
      <c r="H9980" s="441">
        <f t="shared" si="909"/>
        <v>2.1377347751849745</v>
      </c>
      <c r="I9980" s="445">
        <f t="shared" si="906"/>
        <v>3159.1145148780961</v>
      </c>
      <c r="J9980" s="310">
        <f t="shared" si="907"/>
        <v>617.42857142857144</v>
      </c>
      <c r="K9980" s="445">
        <f>J9980/POBLA!$B$19*100000</f>
        <v>121.46263267586508</v>
      </c>
    </row>
    <row r="9981" spans="1:11" s="393" customFormat="1" x14ac:dyDescent="0.25">
      <c r="A9981" s="402" t="s">
        <v>37</v>
      </c>
      <c r="B9981" s="2">
        <v>44308</v>
      </c>
      <c r="C9981" s="42">
        <v>197</v>
      </c>
      <c r="D9981" s="39">
        <f t="shared" si="908"/>
        <v>43120</v>
      </c>
      <c r="E9981" s="1">
        <v>3</v>
      </c>
      <c r="F9981" s="39">
        <f t="shared" si="905"/>
        <v>689</v>
      </c>
      <c r="G9981" s="436">
        <f>SUM(C9981,C9957,C9933,C9909,C9885,C9861,C9837,C9813,C9789,C9765,C9741,C9717,C9693,C9669)/POBLA!$B$20*100000</f>
        <v>715.07090550126065</v>
      </c>
      <c r="H9981" s="441">
        <f t="shared" si="909"/>
        <v>1.3770405476566614</v>
      </c>
      <c r="I9981" s="445">
        <f t="shared" si="906"/>
        <v>984.68163132480072</v>
      </c>
      <c r="J9981" s="310">
        <f t="shared" si="907"/>
        <v>190.85714285714286</v>
      </c>
      <c r="K9981" s="445">
        <f>J9981/POBLA!$B$20*100000</f>
        <v>52.189824078103477</v>
      </c>
    </row>
    <row r="9982" spans="1:11" s="393" customFormat="1" x14ac:dyDescent="0.25">
      <c r="A9982" s="402" t="s">
        <v>22</v>
      </c>
      <c r="B9982" s="2">
        <v>44308</v>
      </c>
      <c r="C9982" s="42">
        <v>2059</v>
      </c>
      <c r="D9982" s="39">
        <f t="shared" si="908"/>
        <v>260274</v>
      </c>
      <c r="E9982" s="1">
        <v>37</v>
      </c>
      <c r="F9982" s="39">
        <f t="shared" si="905"/>
        <v>4498</v>
      </c>
      <c r="G9982" s="436">
        <f>SUM(C9982,C9958,C9934,C9910,C9886,C9862,C9838,C9814,C9790,C9766,C9742,C9718,C9694,C9670)/POBLA!$B$21*100000</f>
        <v>612.93659290276207</v>
      </c>
      <c r="H9982" s="441">
        <f t="shared" si="909"/>
        <v>1.9682193770997911</v>
      </c>
      <c r="I9982" s="445">
        <f t="shared" si="906"/>
        <v>1206.3936790847426</v>
      </c>
      <c r="J9982" s="310">
        <f t="shared" si="907"/>
        <v>1660.1428571428571</v>
      </c>
      <c r="K9982" s="445">
        <f>J9982/POBLA!$B$21*100000</f>
        <v>46.944192036768762</v>
      </c>
    </row>
    <row r="9983" spans="1:11" s="393" customFormat="1" x14ac:dyDescent="0.25">
      <c r="A9983" s="402" t="s">
        <v>38</v>
      </c>
      <c r="B9983" s="2">
        <v>44308</v>
      </c>
      <c r="C9983" s="42">
        <v>297</v>
      </c>
      <c r="D9983" s="39">
        <f t="shared" si="908"/>
        <v>29084</v>
      </c>
      <c r="E9983" s="1">
        <v>1</v>
      </c>
      <c r="F9983" s="39">
        <f t="shared" si="905"/>
        <v>328</v>
      </c>
      <c r="G9983" s="436">
        <f>SUM(C9983,C9959,C9935,C9911,C9887,C9863,C9839,C9815,C9791,C9767,C9743,C9719,C9695,C9671)/POBLA!$B$22*100000</f>
        <v>294.07766226146441</v>
      </c>
      <c r="H9983" s="441">
        <f t="shared" si="909"/>
        <v>1.6543990799309949</v>
      </c>
      <c r="I9983" s="445">
        <f t="shared" si="906"/>
        <v>486.52181387362458</v>
      </c>
      <c r="J9983" s="310">
        <f t="shared" si="907"/>
        <v>225.28571428571428</v>
      </c>
      <c r="K9983" s="445">
        <f>J9983/POBLA!$B$22*100000</f>
        <v>23.027979213780689</v>
      </c>
    </row>
    <row r="9984" spans="1:11" s="393" customFormat="1" x14ac:dyDescent="0.25">
      <c r="A9984" s="402" t="s">
        <v>39</v>
      </c>
      <c r="B9984" s="2">
        <v>44308</v>
      </c>
      <c r="C9984" s="42">
        <v>136</v>
      </c>
      <c r="D9984" s="39">
        <f t="shared" si="908"/>
        <v>25796</v>
      </c>
      <c r="E9984" s="1">
        <v>6</v>
      </c>
      <c r="F9984" s="39">
        <f t="shared" si="905"/>
        <v>381</v>
      </c>
      <c r="G9984" s="436">
        <f>SUM(C9984,C9960,C9936,C9912,C9888,C9864,C9840,C9816,C9792,C9768,C9744,C9720,C9696,C9672)/POBLA!$B$23*100000</f>
        <v>702.36950743652096</v>
      </c>
      <c r="H9984" s="441">
        <f t="shared" si="909"/>
        <v>1.5821656050955415</v>
      </c>
      <c r="I9984" s="445">
        <f t="shared" si="906"/>
        <v>1111.2648767339606</v>
      </c>
      <c r="J9984" s="310">
        <f t="shared" si="907"/>
        <v>80.714285714285708</v>
      </c>
      <c r="K9984" s="445">
        <f>J9984/POBLA!$B$23*100000</f>
        <v>45.645131320638868</v>
      </c>
    </row>
    <row r="9985" spans="1:11" s="393" customFormat="1" ht="15.75" thickBot="1" x14ac:dyDescent="0.3">
      <c r="A9985" s="404" t="s">
        <v>40</v>
      </c>
      <c r="B9985" s="2">
        <v>44308</v>
      </c>
      <c r="C9985" s="42">
        <v>915</v>
      </c>
      <c r="D9985" s="177">
        <f t="shared" si="908"/>
        <v>100959</v>
      </c>
      <c r="E9985" s="1"/>
      <c r="F9985" s="177">
        <f t="shared" si="905"/>
        <v>1591</v>
      </c>
      <c r="G9985" s="439">
        <f>SUM(C9985,C9961,C9937,C9913,C9889,C9865,C9841,C9817,C9793,C9769,C9745,C9721,C9697,C9673)/POBLA!$B$24*100000</f>
        <v>543.94520185807619</v>
      </c>
      <c r="H9985" s="442">
        <f t="shared" si="909"/>
        <v>1.4114224467922216</v>
      </c>
      <c r="I9985" s="445">
        <f t="shared" si="906"/>
        <v>767.73646772741483</v>
      </c>
      <c r="J9985" s="310">
        <f t="shared" si="907"/>
        <v>687</v>
      </c>
      <c r="K9985" s="445">
        <f>J9985/POBLA!$B$24*100000</f>
        <v>40.539200876166021</v>
      </c>
    </row>
    <row r="9986" spans="1:11" s="393" customFormat="1" x14ac:dyDescent="0.25">
      <c r="A9986" s="409" t="s">
        <v>16</v>
      </c>
      <c r="B9986" s="2">
        <v>44309</v>
      </c>
      <c r="C9986" s="42">
        <v>14233</v>
      </c>
      <c r="D9986" s="264">
        <f t="shared" si="908"/>
        <v>1227903</v>
      </c>
      <c r="E9986" s="1">
        <v>393</v>
      </c>
      <c r="F9986" s="264">
        <f t="shared" ref="F9986:F10009" si="910">E9986+F9962</f>
        <v>31368</v>
      </c>
      <c r="G9986" s="454">
        <f>SUM(C9986,C9962,C9938,C9914,C9890,C9866,C9842,C9818,C9794,C9770,C9746,C9722,C9698,C9674)/POBLA!$B$1*100000</f>
        <v>943.33088138337189</v>
      </c>
      <c r="H9986" s="455">
        <f t="shared" si="909"/>
        <v>1.6079820418634483</v>
      </c>
      <c r="I9986" s="445">
        <f>G9986*H9986</f>
        <v>1516.8591167996806</v>
      </c>
      <c r="J9986" s="310">
        <f>AVERAGE(C9986,C9962,C9938,C9914,C9890,C9866,C9842)</f>
        <v>11798.428571428571</v>
      </c>
      <c r="K9986" s="445">
        <f>J9986/POBLA!$B$1*100000</f>
        <v>67.261465895682448</v>
      </c>
    </row>
    <row r="9987" spans="1:11" s="393" customFormat="1" x14ac:dyDescent="0.25">
      <c r="A9987" s="402" t="s">
        <v>43</v>
      </c>
      <c r="B9987" s="2">
        <v>44309</v>
      </c>
      <c r="C9987" s="42">
        <v>2929</v>
      </c>
      <c r="D9987" s="39">
        <f t="shared" si="908"/>
        <v>322223</v>
      </c>
      <c r="E9987" s="1">
        <v>40</v>
      </c>
      <c r="F9987" s="39">
        <f t="shared" si="910"/>
        <v>7422</v>
      </c>
      <c r="G9987" s="436">
        <f>SUM(C9987,C9963,C9939,C9915,C9891,C9867,C9843,C9819,C9795,C9771,C9747,C9723,C9699,C9675)/POBLA!$B$2*100000</f>
        <v>1353.5042719480721</v>
      </c>
      <c r="H9987" s="441">
        <f t="shared" si="909"/>
        <v>1.5644706678191589</v>
      </c>
      <c r="I9987" s="445">
        <f t="shared" ref="I9987:I10009" si="911">G9987*H9987</f>
        <v>2117.5177322306849</v>
      </c>
      <c r="J9987" s="310">
        <f t="shared" ref="J9987:J10009" si="912">AVERAGE(C9987,C9963,C9939,C9915,C9891,C9867,C9843)</f>
        <v>3048.7142857142858</v>
      </c>
      <c r="K9987" s="445">
        <f>J9987/POBLA!$B$2*100000</f>
        <v>99.124355849609671</v>
      </c>
    </row>
    <row r="9988" spans="1:11" s="393" customFormat="1" x14ac:dyDescent="0.25">
      <c r="A9988" s="402" t="s">
        <v>28</v>
      </c>
      <c r="B9988" s="2">
        <v>44309</v>
      </c>
      <c r="C9988" s="42">
        <v>201</v>
      </c>
      <c r="D9988" s="39">
        <f t="shared" si="908"/>
        <v>13729</v>
      </c>
      <c r="E9988" s="1"/>
      <c r="F9988" s="39">
        <f t="shared" si="910"/>
        <v>19</v>
      </c>
      <c r="G9988" s="436">
        <f>SUM(C9988,C9964,C9940,C9916,C9892,C9868,C9844,C9820,C9796,C9772,C9748,C9724,C9700,C9676)/POBLA!$B$3*100000</f>
        <v>557.00248893938453</v>
      </c>
      <c r="H9988" s="441">
        <f t="shared" si="909"/>
        <v>1.7530303030303029</v>
      </c>
      <c r="I9988" s="445">
        <f t="shared" si="911"/>
        <v>976.44224197404219</v>
      </c>
      <c r="J9988" s="310">
        <f t="shared" si="912"/>
        <v>176.71428571428572</v>
      </c>
      <c r="K9988" s="445">
        <f>J9988/POBLA!$B$3*100000</f>
        <v>42.536861267935457</v>
      </c>
    </row>
    <row r="9989" spans="1:11" s="393" customFormat="1" x14ac:dyDescent="0.25">
      <c r="A9989" s="402" t="s">
        <v>15</v>
      </c>
      <c r="B9989" s="2">
        <v>44309</v>
      </c>
      <c r="C9989" s="42">
        <v>251</v>
      </c>
      <c r="D9989" s="39">
        <f t="shared" si="908"/>
        <v>43202</v>
      </c>
      <c r="E9989" s="1">
        <v>6</v>
      </c>
      <c r="F9989" s="39">
        <f t="shared" si="910"/>
        <v>1013</v>
      </c>
      <c r="G9989" s="436">
        <f>SUM(C9989,C9965,C9941,C9917,C9893,C9869,C9845,C9821,C9797,C9773,C9749,C9725,C9701,C9677)/POBLA!$B$4*100000</f>
        <v>265.16324475464097</v>
      </c>
      <c r="H9989" s="441">
        <f t="shared" si="909"/>
        <v>1.3597275436355896</v>
      </c>
      <c r="I9989" s="445">
        <f t="shared" si="911"/>
        <v>360.54976745267061</v>
      </c>
      <c r="J9989" s="310">
        <f t="shared" si="912"/>
        <v>209.71428571428572</v>
      </c>
      <c r="K9989" s="445">
        <f>J9989/POBLA!$B$4*100000</f>
        <v>17.410306972887245</v>
      </c>
    </row>
    <row r="9990" spans="1:11" s="393" customFormat="1" x14ac:dyDescent="0.25">
      <c r="A9990" s="402" t="s">
        <v>29</v>
      </c>
      <c r="B9990" s="2">
        <v>44309</v>
      </c>
      <c r="C9990" s="42">
        <v>295</v>
      </c>
      <c r="D9990" s="39">
        <f t="shared" si="908"/>
        <v>53759</v>
      </c>
      <c r="E9990" s="1"/>
      <c r="F9990" s="39">
        <f t="shared" si="910"/>
        <v>900</v>
      </c>
      <c r="G9990" s="436">
        <f>SUM(C9990,C9966,C9942,C9918,C9894,C9870,C9846,C9822,C9798,C9774,C9750,C9726,C9702,C9678)/POBLA!$B$5*100000</f>
        <v>412.44341625282311</v>
      </c>
      <c r="H9990" s="441">
        <f t="shared" si="909"/>
        <v>1.415973377703827</v>
      </c>
      <c r="I9990" s="445">
        <f t="shared" si="911"/>
        <v>584.0088972232154</v>
      </c>
      <c r="J9990" s="310">
        <f t="shared" si="912"/>
        <v>187.71428571428572</v>
      </c>
      <c r="K9990" s="445">
        <f>J9990/POBLA!$B$5*100000</f>
        <v>30.325703595557584</v>
      </c>
    </row>
    <row r="9991" spans="1:11" s="393" customFormat="1" x14ac:dyDescent="0.25">
      <c r="A9991" s="402" t="s">
        <v>30</v>
      </c>
      <c r="B9991" s="2">
        <v>44309</v>
      </c>
      <c r="C9991" s="42">
        <v>372</v>
      </c>
      <c r="D9991" s="39">
        <f t="shared" si="908"/>
        <v>36057</v>
      </c>
      <c r="E9991" s="1">
        <v>12</v>
      </c>
      <c r="F9991" s="39">
        <f t="shared" si="910"/>
        <v>448</v>
      </c>
      <c r="G9991" s="436">
        <f>SUM(C9991,C9967,C9943,C9919,C9895,C9871,C9847,C9823,C9799,C9775,C9751,C9727,C9703,C9679)/POBLA!$B$6*100000</f>
        <v>292.91551310179057</v>
      </c>
      <c r="H9991" s="441">
        <f t="shared" si="909"/>
        <v>0.67260807211636964</v>
      </c>
      <c r="I9991" s="445">
        <f t="shared" si="911"/>
        <v>197.01733856037256</v>
      </c>
      <c r="J9991" s="310">
        <f t="shared" si="912"/>
        <v>256.28571428571428</v>
      </c>
      <c r="K9991" s="445">
        <f>J9991/POBLA!$B$6*100000</f>
        <v>22.866299573761466</v>
      </c>
    </row>
    <row r="9992" spans="1:11" s="393" customFormat="1" x14ac:dyDescent="0.25">
      <c r="A9992" s="402" t="s">
        <v>20</v>
      </c>
      <c r="B9992" s="2">
        <v>44309</v>
      </c>
      <c r="C9992" s="42">
        <v>1850</v>
      </c>
      <c r="D9992" s="39">
        <f t="shared" si="908"/>
        <v>216436</v>
      </c>
      <c r="E9992" s="1">
        <v>24</v>
      </c>
      <c r="F9992" s="39">
        <f t="shared" si="910"/>
        <v>3272</v>
      </c>
      <c r="G9992" s="436">
        <f>SUM(C9992,C9968,C9944,C9920,C9896,C9872,C9848,C9824,C9800,C9776,C9752,C9728,C9704,C9680)/POBLA!$B$7*100000</f>
        <v>625.35068941217139</v>
      </c>
      <c r="H9992" s="441">
        <f t="shared" si="909"/>
        <v>1.408565438754118</v>
      </c>
      <c r="I9992" s="445">
        <f t="shared" si="911"/>
        <v>880.84736820704541</v>
      </c>
      <c r="J9992" s="310">
        <f t="shared" si="912"/>
        <v>1694.7142857142858</v>
      </c>
      <c r="K9992" s="445">
        <f>J9992/POBLA!$B$7*100000</f>
        <v>45.066794817489551</v>
      </c>
    </row>
    <row r="9993" spans="1:11" x14ac:dyDescent="0.25">
      <c r="A9993" s="402" t="s">
        <v>31</v>
      </c>
      <c r="B9993" s="2">
        <v>44309</v>
      </c>
      <c r="C9993" s="42">
        <v>671</v>
      </c>
      <c r="D9993" s="39">
        <f t="shared" si="908"/>
        <v>59173</v>
      </c>
      <c r="E9993" s="1">
        <v>2</v>
      </c>
      <c r="F9993" s="39">
        <f t="shared" si="910"/>
        <v>1030</v>
      </c>
      <c r="G9993" s="169">
        <f>SUM(C9993,C9969,C9945,C9921,C9897,C9873,C9849,C9825,C9801,C9777,C9753,C9729,C9705,C9681)/POBLA!$B$8*100000</f>
        <v>487.09884332964634</v>
      </c>
      <c r="H9993" s="518">
        <f t="shared" si="909"/>
        <v>1.9545454545454546</v>
      </c>
      <c r="I9993" s="310">
        <f t="shared" si="911"/>
        <v>952.05683014430883</v>
      </c>
      <c r="J9993" s="310">
        <f t="shared" si="912"/>
        <v>496.57142857142856</v>
      </c>
      <c r="K9993" s="310">
        <f>J9993/POBLA!$B$8*100000</f>
        <v>35.828672565204108</v>
      </c>
    </row>
    <row r="9994" spans="1:11" s="393" customFormat="1" x14ac:dyDescent="0.25">
      <c r="A9994" s="402" t="s">
        <v>41</v>
      </c>
      <c r="B9994" s="2">
        <v>44309</v>
      </c>
      <c r="C9994" s="42">
        <v>112</v>
      </c>
      <c r="D9994" s="39">
        <f t="shared" si="908"/>
        <v>3973</v>
      </c>
      <c r="E9994" s="1">
        <v>6</v>
      </c>
      <c r="F9994" s="39">
        <f t="shared" si="910"/>
        <v>69</v>
      </c>
      <c r="G9994" s="436">
        <f>SUM(C9994,C9970,C9946,C9922,C9898,C9874,C9850,C9826,C9802,C9778,C9754,C9730,C9706,C9682)/POBLA!$B$9*100000</f>
        <v>220.09507710763344</v>
      </c>
      <c r="H9994" s="441">
        <f t="shared" si="909"/>
        <v>1.834710743801653</v>
      </c>
      <c r="I9994" s="445">
        <f t="shared" si="911"/>
        <v>403.81080262722833</v>
      </c>
      <c r="J9994" s="310">
        <f t="shared" si="912"/>
        <v>80.142857142857139</v>
      </c>
      <c r="K9994" s="445">
        <f>J9994/POBLA!$B$9*100000</f>
        <v>13.242528770633028</v>
      </c>
    </row>
    <row r="9995" spans="1:11" s="393" customFormat="1" x14ac:dyDescent="0.25">
      <c r="A9995" s="402" t="s">
        <v>32</v>
      </c>
      <c r="B9995" s="2">
        <v>44309</v>
      </c>
      <c r="C9995" s="42">
        <v>74</v>
      </c>
      <c r="D9995" s="39">
        <f t="shared" si="908"/>
        <v>24172</v>
      </c>
      <c r="E9995" s="1"/>
      <c r="F9995" s="39">
        <f t="shared" si="910"/>
        <v>1014</v>
      </c>
      <c r="G9995" s="436">
        <f>SUM(C9995,C9971,C9947,C9923,C9899,C9875,C9851,C9827,C9803,C9779,C9755,C9731,C9707,C9683)/POBLA!$B$10*100000</f>
        <v>159.29825744829617</v>
      </c>
      <c r="H9995" s="441">
        <f t="shared" si="909"/>
        <v>1.6684782608695652</v>
      </c>
      <c r="I9995" s="445">
        <f t="shared" si="911"/>
        <v>265.78567954688543</v>
      </c>
      <c r="J9995" s="310">
        <f t="shared" si="912"/>
        <v>100</v>
      </c>
      <c r="K9995" s="445">
        <f>J9995/POBLA!$B$10*100000</f>
        <v>12.972170801978514</v>
      </c>
    </row>
    <row r="9996" spans="1:11" s="393" customFormat="1" x14ac:dyDescent="0.25">
      <c r="A9996" s="402" t="s">
        <v>33</v>
      </c>
      <c r="B9996" s="2">
        <v>44309</v>
      </c>
      <c r="C9996" s="42">
        <v>181</v>
      </c>
      <c r="D9996" s="39">
        <f t="shared" si="908"/>
        <v>25365</v>
      </c>
      <c r="E9996" s="1"/>
      <c r="F9996" s="39">
        <f t="shared" si="910"/>
        <v>347</v>
      </c>
      <c r="G9996" s="436">
        <f>SUM(C9996,C9972,C9948,C9924,C9900,C9876,C9852,C9828,C9804,C9780,C9756,C9732,C9708,C9684)/POBLA!$B$11*100000</f>
        <v>807.69359536643333</v>
      </c>
      <c r="H9996" s="441">
        <f t="shared" si="909"/>
        <v>1.8486590038314177</v>
      </c>
      <c r="I9996" s="445">
        <f t="shared" si="911"/>
        <v>1493.1500374111267</v>
      </c>
      <c r="J9996" s="310">
        <f t="shared" si="912"/>
        <v>233.14285714285714</v>
      </c>
      <c r="K9996" s="445">
        <f>J9996/POBLA!$B$11*100000</f>
        <v>65.045938694202789</v>
      </c>
    </row>
    <row r="9997" spans="1:11" s="393" customFormat="1" x14ac:dyDescent="0.25">
      <c r="A9997" s="402" t="s">
        <v>21</v>
      </c>
      <c r="B9997" s="2">
        <v>44309</v>
      </c>
      <c r="C9997" s="42">
        <v>64</v>
      </c>
      <c r="D9997" s="39">
        <f t="shared" si="908"/>
        <v>12905</v>
      </c>
      <c r="E9997" s="1">
        <v>6</v>
      </c>
      <c r="F9997" s="39">
        <f t="shared" si="910"/>
        <v>465</v>
      </c>
      <c r="G9997" s="436">
        <f>SUM(C9997,C9973,C9949,C9925,C9901,C9877,C9853,C9829,C9805,C9781,C9757,C9733,C9709,C9685)/POBLA!$B$12*100000</f>
        <v>287.39794323700039</v>
      </c>
      <c r="H9997" s="441">
        <f t="shared" si="909"/>
        <v>1.1917808219178083</v>
      </c>
      <c r="I9997" s="445">
        <f t="shared" si="911"/>
        <v>342.51535700847995</v>
      </c>
      <c r="J9997" s="310">
        <f t="shared" si="912"/>
        <v>73.142857142857139</v>
      </c>
      <c r="K9997" s="445">
        <f>J9997/POBLA!$B$12*100000</f>
        <v>18.586301242559578</v>
      </c>
    </row>
    <row r="9998" spans="1:11" s="393" customFormat="1" x14ac:dyDescent="0.25">
      <c r="A9998" s="402" t="s">
        <v>17</v>
      </c>
      <c r="B9998" s="2">
        <v>44309</v>
      </c>
      <c r="C9998" s="42">
        <v>1106</v>
      </c>
      <c r="D9998" s="39">
        <f t="shared" si="908"/>
        <v>91114</v>
      </c>
      <c r="E9998" s="1">
        <v>19</v>
      </c>
      <c r="F9998" s="39">
        <f t="shared" si="910"/>
        <v>1712</v>
      </c>
      <c r="G9998" s="436">
        <f>SUM(C9998,C9974,C9950,C9926,C9902,C9878,C9854,C9830,C9806,C9782,C9758,C9734,C9710,C9686)/POBLA!$B$13*100000</f>
        <v>616.37772076903525</v>
      </c>
      <c r="H9998" s="441">
        <f t="shared" si="909"/>
        <v>1.6741266375545851</v>
      </c>
      <c r="I9998" s="445">
        <f t="shared" si="911"/>
        <v>1031.894361134624</v>
      </c>
      <c r="J9998" s="310">
        <f t="shared" si="912"/>
        <v>900</v>
      </c>
      <c r="K9998" s="445">
        <f>J9998/POBLA!$B$13*100000</f>
        <v>45.218450333561435</v>
      </c>
    </row>
    <row r="9999" spans="1:11" s="393" customFormat="1" x14ac:dyDescent="0.25">
      <c r="A9999" s="402" t="s">
        <v>23</v>
      </c>
      <c r="B9999" s="2">
        <v>44309</v>
      </c>
      <c r="C9999" s="42">
        <v>110</v>
      </c>
      <c r="D9999" s="39">
        <f t="shared" si="908"/>
        <v>14838</v>
      </c>
      <c r="E9999" s="1">
        <v>1</v>
      </c>
      <c r="F9999" s="39">
        <f t="shared" si="910"/>
        <v>237</v>
      </c>
      <c r="G9999" s="436">
        <f>SUM(C9999,C9975,C9951,C9927,C9903,C9879,C9855,C9831,C9807,C9783,C9759,C9735,C9711,C9687)/POBLA!$B$14*100000</f>
        <v>142.71058135533826</v>
      </c>
      <c r="H9999" s="441">
        <f t="shared" si="909"/>
        <v>1.1242973141786383</v>
      </c>
      <c r="I9999" s="445">
        <f t="shared" si="911"/>
        <v>160.44912332267887</v>
      </c>
      <c r="J9999" s="310">
        <f t="shared" si="912"/>
        <v>110.28571428571429</v>
      </c>
      <c r="K9999" s="445">
        <f>J9999/POBLA!$B$14*100000</f>
        <v>8.7438546671683444</v>
      </c>
    </row>
    <row r="10000" spans="1:11" s="393" customFormat="1" x14ac:dyDescent="0.25">
      <c r="A10000" s="402" t="s">
        <v>19</v>
      </c>
      <c r="B10000" s="2">
        <v>44309</v>
      </c>
      <c r="C10000" s="42">
        <v>331</v>
      </c>
      <c r="D10000" s="39">
        <f t="shared" si="908"/>
        <v>68994</v>
      </c>
      <c r="E10000" s="1">
        <v>7</v>
      </c>
      <c r="F10000" s="39">
        <f t="shared" si="910"/>
        <v>1053</v>
      </c>
      <c r="G10000" s="436">
        <f>SUM(C10000,C9976,C9952,C9928,C9904,C9880,C9856,C9832,C9808,C9784,C9760,C9736,C9712,C9688)/POBLA!$B$15*100000</f>
        <v>398.45977077268975</v>
      </c>
      <c r="H10000" s="441">
        <f t="shared" si="909"/>
        <v>1.6036363636363635</v>
      </c>
      <c r="I10000" s="445">
        <f t="shared" si="911"/>
        <v>638.98457785729511</v>
      </c>
      <c r="J10000" s="310">
        <f t="shared" si="912"/>
        <v>201.57142857142858</v>
      </c>
      <c r="K10000" s="445">
        <f>J10000/POBLA!$B$15*100000</f>
        <v>30.35453712127552</v>
      </c>
    </row>
    <row r="10001" spans="1:11" s="393" customFormat="1" x14ac:dyDescent="0.25">
      <c r="A10001" s="402" t="s">
        <v>18</v>
      </c>
      <c r="B10001" s="2">
        <v>44309</v>
      </c>
      <c r="C10001" s="42">
        <v>299</v>
      </c>
      <c r="D10001" s="39">
        <f t="shared" si="908"/>
        <v>59501</v>
      </c>
      <c r="E10001" s="1">
        <v>4</v>
      </c>
      <c r="F10001" s="39">
        <f t="shared" si="910"/>
        <v>1334</v>
      </c>
      <c r="G10001" s="436">
        <f>SUM(C10001,C9977,C9953,C9929,C9905,C9881,C9857,C9833,C9809,C9785,C9761,C9737,C9713,C9689)/POBLA!$B$16*100000</f>
        <v>388.83910060058048</v>
      </c>
      <c r="H10001" s="441">
        <f t="shared" si="909"/>
        <v>1.7252225519287834</v>
      </c>
      <c r="I10001" s="445">
        <f t="shared" si="911"/>
        <v>670.83398542782641</v>
      </c>
      <c r="J10001" s="310">
        <f t="shared" si="912"/>
        <v>237</v>
      </c>
      <c r="K10001" s="445">
        <f>J10001/POBLA!$B$16*100000</f>
        <v>31.701020585599441</v>
      </c>
    </row>
    <row r="10002" spans="1:11" s="393" customFormat="1" x14ac:dyDescent="0.25">
      <c r="A10002" s="402" t="s">
        <v>34</v>
      </c>
      <c r="B10002" s="2">
        <v>44309</v>
      </c>
      <c r="C10002" s="42">
        <v>249</v>
      </c>
      <c r="D10002" s="39">
        <f t="shared" si="908"/>
        <v>33473</v>
      </c>
      <c r="E10002" s="1">
        <v>8</v>
      </c>
      <c r="F10002" s="39">
        <f t="shared" si="910"/>
        <v>1274</v>
      </c>
      <c r="G10002" s="436">
        <f>SUM(C10002,C9978,C9954,C9930,C9906,C9882,C9858,C9834,C9810,C9786,C9762,C9738,C9714,C9690)/POBLA!$B$17*100000</f>
        <v>192.29189614973916</v>
      </c>
      <c r="H10002" s="441">
        <f t="shared" ref="H10002:H10025" si="913">SUM(C10002,C9978,C9954,C9930,C9906,C9882,C9858,C9834,C9810,C9786,C9762,C9738,C9714,C9690)/SUM(C9666,C9642,C9618,C9594,C9570,C9546,C9522,C9498,C9474,C9450,C9426,C9402,C9378,C9354)</f>
        <v>1.4325313807531381</v>
      </c>
      <c r="I10002" s="445">
        <f t="shared" si="911"/>
        <v>275.46417549902486</v>
      </c>
      <c r="J10002" s="310">
        <f t="shared" si="912"/>
        <v>188.85714285714286</v>
      </c>
      <c r="K10002" s="445">
        <f>J10002/POBLA!$B$17*100000</f>
        <v>13.258743374013203</v>
      </c>
    </row>
    <row r="10003" spans="1:11" s="393" customFormat="1" x14ac:dyDescent="0.25">
      <c r="A10003" s="402" t="s">
        <v>35</v>
      </c>
      <c r="B10003" s="2">
        <v>44309</v>
      </c>
      <c r="C10003" s="42">
        <v>367</v>
      </c>
      <c r="D10003" s="39">
        <f t="shared" si="908"/>
        <v>21742</v>
      </c>
      <c r="E10003" s="1"/>
      <c r="F10003" s="39">
        <f t="shared" si="910"/>
        <v>255</v>
      </c>
      <c r="G10003" s="436">
        <f>SUM(C10003,C9979,C9955,C9931,C9907,C9883,C9859,C9835,C9811,C9787,C9763,C9739,C9715,C9691)/POBLA!$B$18*100000</f>
        <v>391.05651822732995</v>
      </c>
      <c r="H10003" s="441">
        <f t="shared" si="913"/>
        <v>1.5953002610966058</v>
      </c>
      <c r="I10003" s="445">
        <f t="shared" si="911"/>
        <v>623.85256563158907</v>
      </c>
      <c r="J10003" s="310">
        <f t="shared" si="912"/>
        <v>245</v>
      </c>
      <c r="K10003" s="445">
        <f>J10003/POBLA!$B$18*100000</f>
        <v>31.361324702355425</v>
      </c>
    </row>
    <row r="10004" spans="1:11" s="393" customFormat="1" x14ac:dyDescent="0.25">
      <c r="A10004" s="402" t="s">
        <v>36</v>
      </c>
      <c r="B10004" s="2">
        <v>44309</v>
      </c>
      <c r="C10004" s="42">
        <v>720</v>
      </c>
      <c r="D10004" s="39">
        <f t="shared" si="908"/>
        <v>33391</v>
      </c>
      <c r="E10004" s="1">
        <v>4</v>
      </c>
      <c r="F10004" s="39">
        <f t="shared" si="910"/>
        <v>464</v>
      </c>
      <c r="G10004" s="436">
        <f>SUM(C10004,C9980,C9956,C9932,C9908,C9884,C9860,C9836,C9812,C9788,C9764,C9740,C9716,C9692)/POBLA!$B$19*100000</f>
        <v>1532.2783714452084</v>
      </c>
      <c r="H10004" s="441">
        <f t="shared" si="913"/>
        <v>2.2002824858757064</v>
      </c>
      <c r="I10004" s="445">
        <f t="shared" si="911"/>
        <v>3371.4452641770422</v>
      </c>
      <c r="J10004" s="310">
        <f t="shared" si="912"/>
        <v>612</v>
      </c>
      <c r="K10004" s="445">
        <f>J10004/POBLA!$B$19*100000</f>
        <v>120.39470578051967</v>
      </c>
    </row>
    <row r="10005" spans="1:11" s="393" customFormat="1" x14ac:dyDescent="0.25">
      <c r="A10005" s="402" t="s">
        <v>37</v>
      </c>
      <c r="B10005" s="2">
        <v>44309</v>
      </c>
      <c r="C10005" s="42">
        <v>204</v>
      </c>
      <c r="D10005" s="39">
        <f t="shared" si="908"/>
        <v>43324</v>
      </c>
      <c r="E10005" s="1">
        <v>1</v>
      </c>
      <c r="F10005" s="39">
        <f t="shared" si="910"/>
        <v>690</v>
      </c>
      <c r="G10005" s="436">
        <f>SUM(C10005,C9981,C9957,C9933,C9909,C9885,C9861,C9837,C9813,C9789,C9765,C9741,C9717,C9693)/POBLA!$B$20*100000</f>
        <v>722.72749645882664</v>
      </c>
      <c r="H10005" s="441">
        <f t="shared" si="913"/>
        <v>1.3409436834094368</v>
      </c>
      <c r="I10005" s="445">
        <f t="shared" si="911"/>
        <v>969.13687120277973</v>
      </c>
      <c r="J10005" s="310">
        <f t="shared" si="912"/>
        <v>197.57142857142858</v>
      </c>
      <c r="K10005" s="445">
        <f>J10005/POBLA!$B$20*100000</f>
        <v>54.025843338336159</v>
      </c>
    </row>
    <row r="10006" spans="1:11" s="393" customFormat="1" x14ac:dyDescent="0.25">
      <c r="A10006" s="402" t="s">
        <v>22</v>
      </c>
      <c r="B10006" s="2">
        <v>44309</v>
      </c>
      <c r="C10006" s="42">
        <v>1928</v>
      </c>
      <c r="D10006" s="39">
        <f t="shared" si="908"/>
        <v>262202</v>
      </c>
      <c r="E10006" s="1">
        <v>19</v>
      </c>
      <c r="F10006" s="39">
        <f t="shared" si="910"/>
        <v>4517</v>
      </c>
      <c r="G10006" s="436">
        <f>SUM(C10006,C9982,C9958,C9934,C9910,C9886,C9862,C9838,C9814,C9790,C9766,C9742,C9718,C9694)/POBLA!$B$21*100000</f>
        <v>627.10347023457064</v>
      </c>
      <c r="H10006" s="441">
        <f t="shared" si="913"/>
        <v>1.8813199864268748</v>
      </c>
      <c r="I10006" s="445">
        <f t="shared" si="911"/>
        <v>1179.7822921099485</v>
      </c>
      <c r="J10006" s="310">
        <f t="shared" si="912"/>
        <v>1656.4285714285713</v>
      </c>
      <c r="K10006" s="445">
        <f>J10006/POBLA!$B$21*100000</f>
        <v>46.839162435791565</v>
      </c>
    </row>
    <row r="10007" spans="1:11" s="393" customFormat="1" x14ac:dyDescent="0.25">
      <c r="A10007" s="402" t="s">
        <v>38</v>
      </c>
      <c r="B10007" s="2">
        <v>44309</v>
      </c>
      <c r="C10007" s="42">
        <v>245</v>
      </c>
      <c r="D10007" s="39">
        <f t="shared" si="908"/>
        <v>29329</v>
      </c>
      <c r="E10007" s="1"/>
      <c r="F10007" s="39">
        <f t="shared" si="910"/>
        <v>328</v>
      </c>
      <c r="G10007" s="436">
        <f>SUM(C10007,C9983,C9959,C9935,C9911,C9887,C9863,C9839,C9815,C9791,C9767,C9743,C9719,C9695)/POBLA!$B$22*100000</f>
        <v>296.32643131594898</v>
      </c>
      <c r="H10007" s="441">
        <f t="shared" si="913"/>
        <v>1.5602798708288481</v>
      </c>
      <c r="I10007" s="445">
        <f t="shared" si="911"/>
        <v>462.35216597682239</v>
      </c>
      <c r="J10007" s="310">
        <f t="shared" si="912"/>
        <v>223.42857142857142</v>
      </c>
      <c r="K10007" s="445">
        <f>J10007/POBLA!$B$22*100000</f>
        <v>22.83814805983069</v>
      </c>
    </row>
    <row r="10008" spans="1:11" s="393" customFormat="1" x14ac:dyDescent="0.25">
      <c r="A10008" s="402" t="s">
        <v>39</v>
      </c>
      <c r="B10008" s="2">
        <v>44309</v>
      </c>
      <c r="C10008" s="42">
        <v>145</v>
      </c>
      <c r="D10008" s="39">
        <f t="shared" si="908"/>
        <v>25941</v>
      </c>
      <c r="E10008" s="1">
        <v>1</v>
      </c>
      <c r="F10008" s="39">
        <f t="shared" si="910"/>
        <v>382</v>
      </c>
      <c r="G10008" s="436">
        <f>SUM(C10008,C9984,C9960,C9936,C9912,C9888,C9864,C9840,C9816,C9792,C9768,C9744,C9720,C9696)/POBLA!$B$23*100000</f>
        <v>698.97641802861506</v>
      </c>
      <c r="H10008" s="441">
        <f t="shared" si="913"/>
        <v>1.3934611048478016</v>
      </c>
      <c r="I10008" s="445">
        <f t="shared" si="911"/>
        <v>973.99645172871283</v>
      </c>
      <c r="J10008" s="310">
        <f t="shared" si="912"/>
        <v>87</v>
      </c>
      <c r="K10008" s="445">
        <f>J10008/POBLA!$B$23*100000</f>
        <v>49.199796414635529</v>
      </c>
    </row>
    <row r="10009" spans="1:11" s="393" customFormat="1" ht="15.75" thickBot="1" x14ac:dyDescent="0.3">
      <c r="A10009" s="404" t="s">
        <v>40</v>
      </c>
      <c r="B10009" s="2">
        <v>44309</v>
      </c>
      <c r="C10009" s="42">
        <v>947</v>
      </c>
      <c r="D10009" s="177">
        <f t="shared" si="908"/>
        <v>101906</v>
      </c>
      <c r="E10009" s="1">
        <v>4</v>
      </c>
      <c r="F10009" s="177">
        <f t="shared" si="910"/>
        <v>1595</v>
      </c>
      <c r="G10009" s="439">
        <f>SUM(C10009,C9985,C9961,C9937,C9913,C9889,C9865,C9841,C9817,C9793,C9769,C9745,C9721,C9697)/POBLA!$B$24*100000</f>
        <v>549.66907738207635</v>
      </c>
      <c r="H10009" s="442">
        <f t="shared" si="913"/>
        <v>1.3900910311893748</v>
      </c>
      <c r="I10009" s="445">
        <f t="shared" si="911"/>
        <v>764.09005459096284</v>
      </c>
      <c r="J10009" s="310">
        <f t="shared" si="912"/>
        <v>703.28571428571433</v>
      </c>
      <c r="K10009" s="445">
        <f>J10009/POBLA!$B$24*100000</f>
        <v>41.500205014216121</v>
      </c>
    </row>
    <row r="10010" spans="1:11" s="393" customFormat="1" x14ac:dyDescent="0.25">
      <c r="A10010" s="409" t="s">
        <v>16</v>
      </c>
      <c r="B10010" s="2">
        <v>44310</v>
      </c>
      <c r="C10010" s="1">
        <v>10156</v>
      </c>
      <c r="D10010" s="264">
        <f t="shared" si="908"/>
        <v>1238059</v>
      </c>
      <c r="E10010" s="1">
        <v>231</v>
      </c>
      <c r="F10010" s="264">
        <v>31571</v>
      </c>
      <c r="G10010" s="454">
        <f>SUM(C10010,C9986,C9962,C9938,C9914,C9890,C9866,C9842,C9818,C9794,C9770,C9746,C9722,C9698)/POBLA!$B$1*100000</f>
        <v>942.23061088215422</v>
      </c>
      <c r="H10010" s="455">
        <f t="shared" si="913"/>
        <v>1.5313443898823311</v>
      </c>
      <c r="I10010" s="445">
        <f>G10010*H10010</f>
        <v>1442.8795599497887</v>
      </c>
      <c r="J10010" s="310">
        <f>AVERAGE(C10010,C9986,C9962,C9938,C9914,C9890,C9866)</f>
        <v>11909.857142857143</v>
      </c>
      <c r="K10010" s="445">
        <f>J10010/POBLA!$B$1*100000</f>
        <v>67.896707191722271</v>
      </c>
    </row>
    <row r="10011" spans="1:11" s="393" customFormat="1" x14ac:dyDescent="0.25">
      <c r="A10011" s="402" t="s">
        <v>43</v>
      </c>
      <c r="B10011" s="2">
        <v>44310</v>
      </c>
      <c r="C10011" s="1">
        <v>3008</v>
      </c>
      <c r="D10011" s="39">
        <f t="shared" si="908"/>
        <v>325231</v>
      </c>
      <c r="E10011" s="1">
        <v>30</v>
      </c>
      <c r="F10011" s="39">
        <v>7479</v>
      </c>
      <c r="G10011" s="436">
        <f>SUM(C10011,C9987,C9963,C9939,C9915,C9891,C9867,C9843,C9819,C9795,C9771,C9747,C9723,C9699)/POBLA!$B$2*100000</f>
        <v>1370.3137487214069</v>
      </c>
      <c r="H10011" s="441">
        <f t="shared" si="913"/>
        <v>1.5257022878656241</v>
      </c>
      <c r="I10011" s="445">
        <f t="shared" ref="I10011:I10033" si="914">G10011*H10011</f>
        <v>2090.6908215179706</v>
      </c>
      <c r="J10011" s="310">
        <f t="shared" ref="J10011:J10033" si="915">AVERAGE(C10011,C9987,C9963,C9939,C9915,C9891,C9867)</f>
        <v>3073.7142857142858</v>
      </c>
      <c r="K10011" s="445">
        <f>J10011/POBLA!$B$2*100000</f>
        <v>99.937193217759315</v>
      </c>
    </row>
    <row r="10012" spans="1:11" s="393" customFormat="1" x14ac:dyDescent="0.25">
      <c r="A10012" s="402" t="s">
        <v>28</v>
      </c>
      <c r="B10012" s="2">
        <v>44310</v>
      </c>
      <c r="C10012" s="1">
        <v>145</v>
      </c>
      <c r="D10012" s="39">
        <f t="shared" si="908"/>
        <v>13874</v>
      </c>
      <c r="E10012" s="1"/>
      <c r="F10012" s="39">
        <v>19</v>
      </c>
      <c r="G10012" s="436">
        <f>SUM(C10012,C9988,C9964,C9940,C9916,C9892,C9868,C9844,C9820,C9796,C9772,C9748,C9724,C9700)/POBLA!$B$3*100000</f>
        <v>553.63255166835972</v>
      </c>
      <c r="H10012" s="441">
        <f t="shared" si="913"/>
        <v>1.6106442577030813</v>
      </c>
      <c r="I10012" s="445">
        <f t="shared" si="914"/>
        <v>891.70509022214799</v>
      </c>
      <c r="J10012" s="310">
        <f t="shared" si="915"/>
        <v>175.57142857142858</v>
      </c>
      <c r="K10012" s="445">
        <f>J10012/POBLA!$B$3*100000</f>
        <v>42.261764347851802</v>
      </c>
    </row>
    <row r="10013" spans="1:11" s="393" customFormat="1" x14ac:dyDescent="0.25">
      <c r="A10013" s="402" t="s">
        <v>15</v>
      </c>
      <c r="B10013" s="2">
        <v>44310</v>
      </c>
      <c r="C10013" s="1">
        <v>240</v>
      </c>
      <c r="D10013" s="39">
        <f t="shared" si="908"/>
        <v>43442</v>
      </c>
      <c r="E10013" s="1">
        <v>1</v>
      </c>
      <c r="F10013" s="39">
        <v>1013</v>
      </c>
      <c r="G10013" s="436">
        <f>SUM(C10013,C9989,C9965,C9941,C9917,C9893,C9869,C9845,C9821,C9797,C9773,C9749,C9725,C9701)/POBLA!$B$4*100000</f>
        <v>268.81608845194972</v>
      </c>
      <c r="H10013" s="441">
        <f t="shared" si="913"/>
        <v>1.3981001727115716</v>
      </c>
      <c r="I10013" s="445">
        <f t="shared" si="914"/>
        <v>375.83181969232004</v>
      </c>
      <c r="J10013" s="310">
        <f t="shared" si="915"/>
        <v>208.57142857142858</v>
      </c>
      <c r="K10013" s="445">
        <f>J10013/POBLA!$B$4*100000</f>
        <v>17.315427915814286</v>
      </c>
    </row>
    <row r="10014" spans="1:11" s="393" customFormat="1" x14ac:dyDescent="0.25">
      <c r="A10014" s="402" t="s">
        <v>29</v>
      </c>
      <c r="B10014" s="2">
        <v>44310</v>
      </c>
      <c r="C10014" s="1">
        <v>97</v>
      </c>
      <c r="D10014" s="39">
        <f t="shared" si="908"/>
        <v>53856</v>
      </c>
      <c r="E10014" s="1">
        <v>1</v>
      </c>
      <c r="F10014" s="39">
        <v>900</v>
      </c>
      <c r="G10014" s="436">
        <f>SUM(C10014,C9990,C9966,C9942,C9918,C9894,C9870,C9846,C9822,C9798,C9774,C9750,C9726,C9702)/POBLA!$B$5*100000</f>
        <v>413.89738834302108</v>
      </c>
      <c r="H10014" s="441">
        <f t="shared" si="913"/>
        <v>1.4217536071032186</v>
      </c>
      <c r="I10014" s="445">
        <f t="shared" si="914"/>
        <v>588.46010484729186</v>
      </c>
      <c r="J10014" s="310">
        <f t="shared" si="915"/>
        <v>189.28571428571428</v>
      </c>
      <c r="K10014" s="445">
        <f>J10014/POBLA!$B$5*100000</f>
        <v>30.579571738290561</v>
      </c>
    </row>
    <row r="10015" spans="1:11" s="393" customFormat="1" x14ac:dyDescent="0.25">
      <c r="A10015" s="402" t="s">
        <v>30</v>
      </c>
      <c r="B10015" s="2">
        <v>44310</v>
      </c>
      <c r="C10015" s="1">
        <v>340</v>
      </c>
      <c r="D10015" s="39">
        <f t="shared" si="908"/>
        <v>36397</v>
      </c>
      <c r="E10015" s="1">
        <v>5</v>
      </c>
      <c r="F10015" s="39">
        <v>448</v>
      </c>
      <c r="G10015" s="436">
        <f>SUM(C10015,C9991,C9967,C9943,C9919,C9895,C9871,C9847,C9823,C9799,C9775,C9751,C9727,C9703)/POBLA!$B$6*100000</f>
        <v>302.01614738031105</v>
      </c>
      <c r="H10015" s="441">
        <f t="shared" si="913"/>
        <v>0.66359537345618502</v>
      </c>
      <c r="I10015" s="445">
        <f t="shared" si="914"/>
        <v>200.41651811063574</v>
      </c>
      <c r="J10015" s="310">
        <f t="shared" si="915"/>
        <v>265.57142857142856</v>
      </c>
      <c r="K10015" s="445">
        <f>J10015/POBLA!$B$6*100000</f>
        <v>23.694788688752826</v>
      </c>
    </row>
    <row r="10016" spans="1:11" s="393" customFormat="1" x14ac:dyDescent="0.25">
      <c r="A10016" s="402" t="s">
        <v>20</v>
      </c>
      <c r="B10016" s="2">
        <v>44310</v>
      </c>
      <c r="C10016" s="1">
        <v>1195</v>
      </c>
      <c r="D10016" s="39">
        <f t="shared" si="908"/>
        <v>217631</v>
      </c>
      <c r="E10016" s="1">
        <v>7</v>
      </c>
      <c r="F10016" s="39">
        <v>3285</v>
      </c>
      <c r="G10016" s="436">
        <f>SUM(C10016,C9992,C9968,C9944,C9920,C9896,C9872,C9848,C9824,C9800,C9776,C9752,C9728,C9704)/POBLA!$B$7*100000</f>
        <v>624.8986158571447</v>
      </c>
      <c r="H10016" s="441">
        <f t="shared" si="913"/>
        <v>1.3738891487371374</v>
      </c>
      <c r="I10016" s="445">
        <f t="shared" si="914"/>
        <v>858.54142738698795</v>
      </c>
      <c r="J10016" s="310">
        <f t="shared" si="915"/>
        <v>1687.2857142857142</v>
      </c>
      <c r="K10016" s="445">
        <f>J10016/POBLA!$B$7*100000</f>
        <v>44.869250070755207</v>
      </c>
    </row>
    <row r="10017" spans="1:11" x14ac:dyDescent="0.25">
      <c r="A10017" s="402" t="s">
        <v>31</v>
      </c>
      <c r="B10017" s="2">
        <v>44310</v>
      </c>
      <c r="C10017" s="1">
        <v>569</v>
      </c>
      <c r="D10017" s="39">
        <f t="shared" si="908"/>
        <v>59742</v>
      </c>
      <c r="E10017" s="1">
        <v>2</v>
      </c>
      <c r="F10017" s="39">
        <v>1031</v>
      </c>
      <c r="G10017" s="169">
        <f>SUM(C10017,C9993,C9969,C9945,C9921,C9897,C9873,C9849,C9825,C9801,C9777,C9753,C9729,C9705)/POBLA!$B$8*100000</f>
        <v>496.26216033495893</v>
      </c>
      <c r="H10017" s="518">
        <f t="shared" si="913"/>
        <v>1.8454521062516769</v>
      </c>
      <c r="I10017" s="310">
        <f t="shared" si="914"/>
        <v>915.82804904315731</v>
      </c>
      <c r="J10017" s="310">
        <f t="shared" si="915"/>
        <v>503.71428571428572</v>
      </c>
      <c r="K10017" s="310">
        <f>J10017/POBLA!$B$8*100000</f>
        <v>36.344044725232941</v>
      </c>
    </row>
    <row r="10018" spans="1:11" s="393" customFormat="1" x14ac:dyDescent="0.25">
      <c r="A10018" s="402" t="s">
        <v>41</v>
      </c>
      <c r="B10018" s="2">
        <v>44310</v>
      </c>
      <c r="C10018" s="1">
        <v>113</v>
      </c>
      <c r="D10018" s="39">
        <f t="shared" si="908"/>
        <v>4086</v>
      </c>
      <c r="E10018" s="1"/>
      <c r="F10018" s="39">
        <v>67</v>
      </c>
      <c r="G10018" s="436">
        <f>SUM(C10018,C9994,C9970,C9946,C9922,C9898,C9874,C9850,C9826,C9802,C9778,C9754,C9730,C9706)/POBLA!$B$9*100000</f>
        <v>237.61015081139405</v>
      </c>
      <c r="H10018" s="441">
        <f t="shared" si="913"/>
        <v>2.0513552068473611</v>
      </c>
      <c r="I10018" s="445">
        <f t="shared" si="914"/>
        <v>487.42282006673992</v>
      </c>
      <c r="J10018" s="310">
        <f t="shared" si="915"/>
        <v>94.142857142857139</v>
      </c>
      <c r="K10018" s="445">
        <f>J10018/POBLA!$B$9*100000</f>
        <v>15.555840391884431</v>
      </c>
    </row>
    <row r="10019" spans="1:11" s="393" customFormat="1" x14ac:dyDescent="0.25">
      <c r="A10019" s="402" t="s">
        <v>32</v>
      </c>
      <c r="B10019" s="2">
        <v>44310</v>
      </c>
      <c r="C10019" s="1">
        <v>90</v>
      </c>
      <c r="D10019" s="39">
        <f t="shared" si="908"/>
        <v>24262</v>
      </c>
      <c r="E10019" s="1">
        <v>3</v>
      </c>
      <c r="F10019" s="39">
        <v>1016</v>
      </c>
      <c r="G10019" s="436">
        <f>SUM(C10019,C9995,C9971,C9947,C9923,C9899,C9875,C9851,C9827,C9803,C9779,C9755,C9731,C9707)/POBLA!$B$10*100000</f>
        <v>166.30322968136457</v>
      </c>
      <c r="H10019" s="441">
        <f t="shared" si="913"/>
        <v>1.7537619699042408</v>
      </c>
      <c r="I10019" s="445">
        <f t="shared" si="914"/>
        <v>291.65627968742734</v>
      </c>
      <c r="J10019" s="310">
        <f t="shared" si="915"/>
        <v>92.857142857142861</v>
      </c>
      <c r="K10019" s="445">
        <f>J10019/POBLA!$B$10*100000</f>
        <v>12.045587173265766</v>
      </c>
    </row>
    <row r="10020" spans="1:11" s="393" customFormat="1" x14ac:dyDescent="0.25">
      <c r="A10020" s="402" t="s">
        <v>33</v>
      </c>
      <c r="B10020" s="2">
        <v>44310</v>
      </c>
      <c r="C10020" s="1">
        <v>182</v>
      </c>
      <c r="D10020" s="39">
        <f t="shared" si="908"/>
        <v>25547</v>
      </c>
      <c r="E10020" s="1"/>
      <c r="F10020" s="39">
        <v>346</v>
      </c>
      <c r="G10020" s="436">
        <f>SUM(C10020,C9996,C9972,C9948,C9924,C9900,C9876,C9852,C9828,C9804,C9780,C9756,C9732,C9708)/POBLA!$B$11*100000</f>
        <v>819.13243385003409</v>
      </c>
      <c r="H10020" s="441">
        <f t="shared" si="913"/>
        <v>1.8338538413491567</v>
      </c>
      <c r="I10020" s="445">
        <f t="shared" si="914"/>
        <v>1502.169160389569</v>
      </c>
      <c r="J10020" s="310">
        <f t="shared" si="915"/>
        <v>237.28571428571428</v>
      </c>
      <c r="K10020" s="445">
        <f>J10020/POBLA!$B$11*100000</f>
        <v>66.201779516587507</v>
      </c>
    </row>
    <row r="10021" spans="1:11" s="393" customFormat="1" x14ac:dyDescent="0.25">
      <c r="A10021" s="402" t="s">
        <v>21</v>
      </c>
      <c r="B10021" s="2">
        <v>44310</v>
      </c>
      <c r="C10021" s="1">
        <v>118</v>
      </c>
      <c r="D10021" s="39">
        <f t="shared" si="908"/>
        <v>13023</v>
      </c>
      <c r="E10021" s="1"/>
      <c r="F10021" s="39">
        <v>464</v>
      </c>
      <c r="G10021" s="436">
        <f>SUM(C10021,C9997,C9973,C9949,C9925,C9901,C9877,C9853,C9829,C9805,C9781,C9757,C9733,C9709)/POBLA!$B$12*100000</f>
        <v>285.11095695129484</v>
      </c>
      <c r="H10021" s="441">
        <f t="shared" si="913"/>
        <v>1.0726577437858509</v>
      </c>
      <c r="I10021" s="445">
        <f t="shared" si="914"/>
        <v>305.82647581200075</v>
      </c>
      <c r="J10021" s="310">
        <f t="shared" si="915"/>
        <v>89.714285714285708</v>
      </c>
      <c r="K10021" s="445">
        <f>J10021/POBLA!$B$12*100000</f>
        <v>22.797260117826983</v>
      </c>
    </row>
    <row r="10022" spans="1:11" s="393" customFormat="1" x14ac:dyDescent="0.25">
      <c r="A10022" s="402" t="s">
        <v>17</v>
      </c>
      <c r="B10022" s="2">
        <v>44310</v>
      </c>
      <c r="C10022" s="1">
        <v>730</v>
      </c>
      <c r="D10022" s="39">
        <f t="shared" si="908"/>
        <v>91844</v>
      </c>
      <c r="E10022" s="1">
        <v>9</v>
      </c>
      <c r="F10022" s="39">
        <v>1720</v>
      </c>
      <c r="G10022" s="436">
        <f>SUM(C10022,C9998,C9974,C9950,C9926,C9902,C9878,C9854,C9830,C9806,C9782,C9758,C9734,C9710)/POBLA!$B$13*100000</f>
        <v>614.92068181384263</v>
      </c>
      <c r="H10022" s="441">
        <f t="shared" si="913"/>
        <v>1.5533697169691585</v>
      </c>
      <c r="I10022" s="445">
        <f t="shared" si="914"/>
        <v>955.19916546765069</v>
      </c>
      <c r="J10022" s="310">
        <f t="shared" si="915"/>
        <v>895.28571428571433</v>
      </c>
      <c r="K10022" s="445">
        <f>J10022/POBLA!$B$13*100000</f>
        <v>44.981591784195167</v>
      </c>
    </row>
    <row r="10023" spans="1:11" s="393" customFormat="1" x14ac:dyDescent="0.25">
      <c r="A10023" s="402" t="s">
        <v>23</v>
      </c>
      <c r="B10023" s="2">
        <v>44310</v>
      </c>
      <c r="C10023" s="1">
        <v>145</v>
      </c>
      <c r="D10023" s="39">
        <f t="shared" si="908"/>
        <v>14983</v>
      </c>
      <c r="E10023" s="1">
        <v>1</v>
      </c>
      <c r="F10023" s="39">
        <v>237</v>
      </c>
      <c r="G10023" s="436">
        <f>SUM(C10023,C9999,C9975,C9951,C9927,C9903,C9879,C9855,C9831,C9807,C9783,C9759,C9735,C9711)/POBLA!$B$14*100000</f>
        <v>139.38066779038036</v>
      </c>
      <c r="H10023" s="441">
        <f t="shared" si="913"/>
        <v>1.0533253445176753</v>
      </c>
      <c r="I10023" s="445">
        <f t="shared" si="914"/>
        <v>146.81318991940606</v>
      </c>
      <c r="J10023" s="310">
        <f t="shared" si="915"/>
        <v>110.42857142857143</v>
      </c>
      <c r="K10023" s="445">
        <f>J10023/POBLA!$B$14*100000</f>
        <v>8.7551809037838453</v>
      </c>
    </row>
    <row r="10024" spans="1:11" s="393" customFormat="1" x14ac:dyDescent="0.25">
      <c r="A10024" s="402" t="s">
        <v>19</v>
      </c>
      <c r="B10024" s="2">
        <v>44310</v>
      </c>
      <c r="C10024" s="1">
        <v>180</v>
      </c>
      <c r="D10024" s="39">
        <f t="shared" si="908"/>
        <v>69174</v>
      </c>
      <c r="E10024" s="1"/>
      <c r="F10024" s="39">
        <v>1049</v>
      </c>
      <c r="G10024" s="436">
        <f>SUM(C10024,C10000,C9976,C9952,C9928,C9904,C9880,C9856,C9832,C9808,C9784,C9760,C9736,C9712)/POBLA!$B$15*100000</f>
        <v>403.73040266121734</v>
      </c>
      <c r="H10024" s="441">
        <f t="shared" si="913"/>
        <v>1.5826446280991735</v>
      </c>
      <c r="I10024" s="445">
        <f t="shared" si="914"/>
        <v>638.96175297209186</v>
      </c>
      <c r="J10024" s="310">
        <f t="shared" si="915"/>
        <v>216.57142857142858</v>
      </c>
      <c r="K10024" s="445">
        <f>J10024/POBLA!$B$15*100000</f>
        <v>32.613379359215934</v>
      </c>
    </row>
    <row r="10025" spans="1:11" s="393" customFormat="1" x14ac:dyDescent="0.25">
      <c r="A10025" s="402" t="s">
        <v>18</v>
      </c>
      <c r="B10025" s="2">
        <v>44310</v>
      </c>
      <c r="C10025" s="1">
        <v>209</v>
      </c>
      <c r="D10025" s="39">
        <f t="shared" si="908"/>
        <v>59710</v>
      </c>
      <c r="E10025" s="1"/>
      <c r="F10025" s="39">
        <v>1336</v>
      </c>
      <c r="G10025" s="436">
        <f>SUM(C10025,C10001,C9977,C9953,C9929,C9905,C9881,C9857,C9833,C9809,C9785,C9761,C9737,C9713)/POBLA!$B$16*100000</f>
        <v>402.08129907304607</v>
      </c>
      <c r="H10025" s="441">
        <f t="shared" si="913"/>
        <v>1.7486910994764397</v>
      </c>
      <c r="I10025" s="445">
        <f t="shared" si="914"/>
        <v>703.11598895496013</v>
      </c>
      <c r="J10025" s="310">
        <f t="shared" si="915"/>
        <v>244.14285714285714</v>
      </c>
      <c r="K10025" s="445">
        <f>J10025/POBLA!$B$16*100000</f>
        <v>32.65644616081341</v>
      </c>
    </row>
    <row r="10026" spans="1:11" s="393" customFormat="1" x14ac:dyDescent="0.25">
      <c r="A10026" s="402" t="s">
        <v>34</v>
      </c>
      <c r="B10026" s="2">
        <v>44310</v>
      </c>
      <c r="C10026" s="1">
        <v>142</v>
      </c>
      <c r="D10026" s="39">
        <f t="shared" si="908"/>
        <v>33615</v>
      </c>
      <c r="E10026" s="1"/>
      <c r="F10026" s="39">
        <v>1250</v>
      </c>
      <c r="G10026" s="436">
        <f>SUM(C10026,C10002,C9978,C9954,C9930,C9906,C9882,C9858,C9834,C9810,C9786,C9762,C9738,C9714)/POBLA!$B$17*100000</f>
        <v>186.67548443306185</v>
      </c>
      <c r="H10026" s="441">
        <f t="shared" ref="H10026:H10049" si="916">SUM(C10026,C10002,C9978,C9954,C9930,C9906,C9882,C9858,C9834,C9810,C9786,C9762,C9738,C9714)/SUM(C9690,C9666,C9642,C9618,C9594,C9570,C9546,C9522,C9498,C9474,C9450,C9426,C9402,C9378)</f>
        <v>1.3085629921259843</v>
      </c>
      <c r="I10026" s="445">
        <f t="shared" si="914"/>
        <v>244.27663046629502</v>
      </c>
      <c r="J10026" s="310">
        <f t="shared" si="915"/>
        <v>194.71428571428572</v>
      </c>
      <c r="K10026" s="445">
        <f>J10026/POBLA!$B$17*100000</f>
        <v>13.669944946127078</v>
      </c>
    </row>
    <row r="10027" spans="1:11" s="393" customFormat="1" x14ac:dyDescent="0.25">
      <c r="A10027" s="402" t="s">
        <v>35</v>
      </c>
      <c r="B10027" s="2">
        <v>44310</v>
      </c>
      <c r="C10027" s="1">
        <v>178</v>
      </c>
      <c r="D10027" s="39">
        <f t="shared" si="908"/>
        <v>21920</v>
      </c>
      <c r="E10027" s="1"/>
      <c r="F10027" s="39">
        <v>255</v>
      </c>
      <c r="G10027" s="436">
        <f>SUM(C10027,C10003,C9979,C9955,C9931,C9907,C9883,C9859,C9835,C9811,C9787,C9763,C9739,C9715)/POBLA!$B$18*100000</f>
        <v>407.44121031672381</v>
      </c>
      <c r="H10027" s="441">
        <f t="shared" si="916"/>
        <v>1.6466632177961718</v>
      </c>
      <c r="I10027" s="445">
        <f t="shared" si="914"/>
        <v>670.91845444290323</v>
      </c>
      <c r="J10027" s="310">
        <f t="shared" si="915"/>
        <v>260.42857142857144</v>
      </c>
      <c r="K10027" s="445">
        <f>J10027/POBLA!$B$18*100000</f>
        <v>33.336265266702014</v>
      </c>
    </row>
    <row r="10028" spans="1:11" s="393" customFormat="1" x14ac:dyDescent="0.25">
      <c r="A10028" s="402" t="s">
        <v>36</v>
      </c>
      <c r="B10028" s="2">
        <v>44310</v>
      </c>
      <c r="C10028" s="1">
        <v>771</v>
      </c>
      <c r="D10028" s="39">
        <f t="shared" si="908"/>
        <v>34162</v>
      </c>
      <c r="E10028" s="1">
        <v>2</v>
      </c>
      <c r="F10028" s="39">
        <v>468</v>
      </c>
      <c r="G10028" s="436">
        <f>SUM(C10028,C10004,C9980,C9956,C9932,C9908,C9884,C9860,C9836,C9812,C9788,C9764,C9740,C9716)/POBLA!$B$19*100000</f>
        <v>1606.836530743929</v>
      </c>
      <c r="H10028" s="441">
        <f t="shared" si="916"/>
        <v>2.1226611226611225</v>
      </c>
      <c r="I10028" s="445">
        <f t="shared" si="914"/>
        <v>3410.7694342818118</v>
      </c>
      <c r="J10028" s="310">
        <f t="shared" si="915"/>
        <v>648.42857142857144</v>
      </c>
      <c r="K10028" s="445">
        <f>J10028/POBLA!$B$19*100000</f>
        <v>127.56105731507441</v>
      </c>
    </row>
    <row r="10029" spans="1:11" s="393" customFormat="1" x14ac:dyDescent="0.25">
      <c r="A10029" s="402" t="s">
        <v>37</v>
      </c>
      <c r="B10029" s="2">
        <v>44310</v>
      </c>
      <c r="C10029" s="1">
        <v>188</v>
      </c>
      <c r="D10029" s="39">
        <f t="shared" si="908"/>
        <v>43512</v>
      </c>
      <c r="E10029" s="1"/>
      <c r="F10029" s="39">
        <v>690</v>
      </c>
      <c r="G10029" s="436">
        <f>SUM(C10029,C10005,C9981,C9957,C9933,C9909,C9885,C9861,C9837,C9813,C9789,C9765,C9741,C9717)/POBLA!$B$20*100000</f>
        <v>721.36024807354704</v>
      </c>
      <c r="H10029" s="441">
        <f t="shared" si="916"/>
        <v>1.305940594059406</v>
      </c>
      <c r="I10029" s="445">
        <f t="shared" si="914"/>
        <v>942.05363090000844</v>
      </c>
      <c r="J10029" s="310">
        <f t="shared" si="915"/>
        <v>202.28571428571428</v>
      </c>
      <c r="K10029" s="445">
        <f>J10029/POBLA!$B$20*100000</f>
        <v>55.314963244456976</v>
      </c>
    </row>
    <row r="10030" spans="1:11" s="393" customFormat="1" x14ac:dyDescent="0.25">
      <c r="A10030" s="402" t="s">
        <v>22</v>
      </c>
      <c r="B10030" s="2">
        <v>44310</v>
      </c>
      <c r="C10030" s="1">
        <v>1777</v>
      </c>
      <c r="D10030" s="39">
        <f t="shared" si="908"/>
        <v>263979</v>
      </c>
      <c r="E10030" s="1">
        <v>5</v>
      </c>
      <c r="F10030" s="39">
        <v>4524</v>
      </c>
      <c r="G10030" s="436">
        <f>SUM(C10030,C10006,C9982,C9958,C9934,C9910,C9886,C9862,C9838,C9814,C9790,C9766,C9742,C9718)/POBLA!$B$21*100000</f>
        <v>643.84357279032054</v>
      </c>
      <c r="H10030" s="441">
        <f t="shared" si="916"/>
        <v>1.8530967689427851</v>
      </c>
      <c r="I10030" s="445">
        <f t="shared" si="914"/>
        <v>1193.1044444423219</v>
      </c>
      <c r="J10030" s="310">
        <f t="shared" si="915"/>
        <v>1704.4285714285713</v>
      </c>
      <c r="K10030" s="445">
        <f>J10030/POBLA!$B$21*100000</f>
        <v>48.196468048419938</v>
      </c>
    </row>
    <row r="10031" spans="1:11" s="393" customFormat="1" x14ac:dyDescent="0.25">
      <c r="A10031" s="402" t="s">
        <v>38</v>
      </c>
      <c r="B10031" s="2">
        <v>44310</v>
      </c>
      <c r="C10031" s="1">
        <v>232</v>
      </c>
      <c r="D10031" s="39">
        <f t="shared" si="908"/>
        <v>29561</v>
      </c>
      <c r="E10031" s="1"/>
      <c r="F10031" s="39">
        <v>328</v>
      </c>
      <c r="G10031" s="436">
        <f>SUM(C10031,C10007,C9983,C9959,C9935,C9911,C9887,C9863,C9839,C9815,C9791,C9767,C9743,C9719)/POBLA!$B$22*100000</f>
        <v>298.88185069604515</v>
      </c>
      <c r="H10031" s="441">
        <f t="shared" si="916"/>
        <v>1.5111111111111111</v>
      </c>
      <c r="I10031" s="445">
        <f t="shared" si="914"/>
        <v>451.64368549624601</v>
      </c>
      <c r="J10031" s="310">
        <f t="shared" si="915"/>
        <v>220.14285714285714</v>
      </c>
      <c r="K10031" s="445">
        <f>J10031/POBLA!$B$22*100000</f>
        <v>22.502292941303768</v>
      </c>
    </row>
    <row r="10032" spans="1:11" s="393" customFormat="1" x14ac:dyDescent="0.25">
      <c r="A10032" s="402" t="s">
        <v>39</v>
      </c>
      <c r="B10032" s="2">
        <v>44310</v>
      </c>
      <c r="C10032" s="1">
        <v>55</v>
      </c>
      <c r="D10032" s="39">
        <f t="shared" si="908"/>
        <v>25996</v>
      </c>
      <c r="E10032" s="1"/>
      <c r="F10032" s="39">
        <v>375</v>
      </c>
      <c r="G10032" s="436">
        <f>SUM(C10032,C10008,C9984,C9960,C9936,C9912,C9888,C9864,C9840,C9816,C9792,C9768,C9744,C9720)/POBLA!$B$23*100000</f>
        <v>691.05920941016802</v>
      </c>
      <c r="H10032" s="441">
        <f t="shared" si="916"/>
        <v>1.3369803063457331</v>
      </c>
      <c r="I10032" s="445">
        <f t="shared" si="914"/>
        <v>923.93255350024651</v>
      </c>
      <c r="J10032" s="310">
        <f t="shared" si="915"/>
        <v>83.428571428571431</v>
      </c>
      <c r="K10032" s="445">
        <f>J10032/POBLA!$B$23*100000</f>
        <v>47.180100338501063</v>
      </c>
    </row>
    <row r="10033" spans="1:12" s="393" customFormat="1" ht="15.75" thickBot="1" x14ac:dyDescent="0.3">
      <c r="A10033" s="403" t="s">
        <v>40</v>
      </c>
      <c r="B10033" s="34">
        <v>44310</v>
      </c>
      <c r="C10033" s="234">
        <v>360</v>
      </c>
      <c r="D10033" s="67">
        <f t="shared" si="908"/>
        <v>102266</v>
      </c>
      <c r="E10033" s="234">
        <v>1</v>
      </c>
      <c r="F10033" s="67">
        <v>1600</v>
      </c>
      <c r="G10033" s="446">
        <f>SUM(C10033,C10009,C9985,C9961,C9937,C9913,C9889,C9865,C9841,C9817,C9793,C9769,C9745,C9721)/POBLA!$B$24*100000</f>
        <v>546.48258997696291</v>
      </c>
      <c r="H10033" s="447">
        <f t="shared" si="916"/>
        <v>1.3480349344978166</v>
      </c>
      <c r="I10033" s="445">
        <f t="shared" si="914"/>
        <v>736.67762238379237</v>
      </c>
      <c r="J10033" s="310">
        <f t="shared" si="915"/>
        <v>710</v>
      </c>
      <c r="K10033" s="445">
        <f>J10033/POBLA!$B$24*100000</f>
        <v>41.896408474640282</v>
      </c>
    </row>
    <row r="10034" spans="1:12" s="393" customFormat="1" x14ac:dyDescent="0.25">
      <c r="A10034" s="397" t="s">
        <v>16</v>
      </c>
      <c r="B10034" s="267">
        <v>44311</v>
      </c>
      <c r="C10034" s="389">
        <v>6820</v>
      </c>
      <c r="D10034" s="175">
        <f t="shared" si="908"/>
        <v>1244879</v>
      </c>
      <c r="E10034" s="43">
        <v>138</v>
      </c>
      <c r="F10034" s="175">
        <f t="shared" ref="F10034:F10057" si="917">E10034+F10010</f>
        <v>31709</v>
      </c>
      <c r="G10034" s="410">
        <f>SUM(C10034,C10010,C9986,C9962,C9938,C9914,C9890,C9866,C9842,C9818,C9794,C9770,C9746,C9722)/POBLA!$B$1*100000</f>
        <v>937.2366370009795</v>
      </c>
      <c r="H10034" s="456">
        <f t="shared" si="916"/>
        <v>1.4630547570949284</v>
      </c>
      <c r="I10034" s="445">
        <f>G10034*H10034</f>
        <v>1371.2285202879357</v>
      </c>
      <c r="J10034" s="310">
        <f>AVERAGE(C10034,C10010,C9986,C9962,C9938,C9914,C9890)</f>
        <v>11746</v>
      </c>
      <c r="K10034" s="445">
        <f>J10034/POBLA!$B$1*100000</f>
        <v>66.962576721776543</v>
      </c>
      <c r="L10034" s="457"/>
    </row>
    <row r="10035" spans="1:12" s="393" customFormat="1" x14ac:dyDescent="0.25">
      <c r="A10035" s="458" t="s">
        <v>43</v>
      </c>
      <c r="B10035" s="2">
        <v>44311</v>
      </c>
      <c r="C10035" s="4">
        <v>2701</v>
      </c>
      <c r="D10035" s="39">
        <f t="shared" ref="D10035:D10098" si="918">C10035+D10011</f>
        <v>327932</v>
      </c>
      <c r="E10035" s="1">
        <v>17</v>
      </c>
      <c r="F10035" s="39">
        <f t="shared" si="917"/>
        <v>7496</v>
      </c>
      <c r="G10035" s="436">
        <f>SUM(C10035,C10011,C9987,C9963,C9939,C9915,C9891,C9867,C9843,C9819,C9795,C9771,C9747,C9723)/POBLA!$B$2*100000</f>
        <v>1370.6388836686665</v>
      </c>
      <c r="H10035" s="459">
        <f t="shared" si="916"/>
        <v>1.4401967817976837</v>
      </c>
      <c r="I10035" s="445">
        <f t="shared" ref="I10035:I10057" si="919">G10035*H10035</f>
        <v>1973.9897092663832</v>
      </c>
      <c r="J10035" s="310">
        <f t="shared" ref="J10035:J10057" si="920">AVERAGE(C10035,C10011,C9987,C9963,C9939,C9915,C9891)</f>
        <v>3004</v>
      </c>
      <c r="K10035" s="445">
        <f>J10035/POBLA!$B$2*100000</f>
        <v>97.670538156862008</v>
      </c>
      <c r="L10035" s="457"/>
    </row>
    <row r="10036" spans="1:12" s="393" customFormat="1" x14ac:dyDescent="0.25">
      <c r="A10036" s="402" t="s">
        <v>28</v>
      </c>
      <c r="B10036" s="2">
        <v>44311</v>
      </c>
      <c r="C10036" s="4">
        <v>151</v>
      </c>
      <c r="D10036" s="39">
        <f t="shared" si="918"/>
        <v>14025</v>
      </c>
      <c r="E10036" s="1"/>
      <c r="F10036" s="39">
        <f t="shared" si="917"/>
        <v>19</v>
      </c>
      <c r="G10036" s="436">
        <f>SUM(C10036,C10012,C9988,C9964,C9940,C9916,C9892,C9868,C9844,C9820,C9796,C9772,C9748,C9724)/POBLA!$B$3*100000</f>
        <v>565.66804192201971</v>
      </c>
      <c r="H10036" s="459">
        <f t="shared" si="916"/>
        <v>1.621808143547274</v>
      </c>
      <c r="I10036" s="445">
        <f t="shared" si="919"/>
        <v>917.40503693357232</v>
      </c>
      <c r="J10036" s="310">
        <f t="shared" si="920"/>
        <v>179.28571428571428</v>
      </c>
      <c r="K10036" s="445">
        <f>J10036/POBLA!$B$3*100000</f>
        <v>43.155829338123688</v>
      </c>
      <c r="L10036" s="457"/>
    </row>
    <row r="10037" spans="1:12" s="393" customFormat="1" x14ac:dyDescent="0.25">
      <c r="A10037" s="402" t="s">
        <v>15</v>
      </c>
      <c r="B10037" s="2">
        <v>44311</v>
      </c>
      <c r="C10037" s="4">
        <v>165</v>
      </c>
      <c r="D10037" s="39">
        <f t="shared" si="918"/>
        <v>43607</v>
      </c>
      <c r="E10037" s="1">
        <v>1</v>
      </c>
      <c r="F10037" s="39">
        <f t="shared" si="917"/>
        <v>1014</v>
      </c>
      <c r="G10037" s="436">
        <f>SUM(C10037,C10013,C9989,C9965,C9941,C9917,C9893,C9869,C9845,C9821,C9797,C9773,C9749,C9725)/POBLA!$B$4*100000</f>
        <v>271.22364452517598</v>
      </c>
      <c r="H10037" s="459">
        <f t="shared" si="916"/>
        <v>1.3860840050912175</v>
      </c>
      <c r="I10037" s="445">
        <f t="shared" si="919"/>
        <v>375.93875547889263</v>
      </c>
      <c r="J10037" s="310">
        <f t="shared" si="920"/>
        <v>214.85714285714286</v>
      </c>
      <c r="K10037" s="445">
        <f>J10037/POBLA!$B$4*100000</f>
        <v>17.83726272971554</v>
      </c>
      <c r="L10037" s="457"/>
    </row>
    <row r="10038" spans="1:12" s="393" customFormat="1" x14ac:dyDescent="0.25">
      <c r="A10038" s="402" t="s">
        <v>29</v>
      </c>
      <c r="B10038" s="2">
        <v>44311</v>
      </c>
      <c r="C10038" s="4">
        <v>78</v>
      </c>
      <c r="D10038" s="39">
        <f t="shared" si="918"/>
        <v>53934</v>
      </c>
      <c r="E10038" s="1"/>
      <c r="F10038" s="39">
        <f t="shared" si="917"/>
        <v>900</v>
      </c>
      <c r="G10038" s="436">
        <f>SUM(C10038,C10014,C9990,C9966,C9942,C9918,C9894,C9870,C9846,C9822,C9798,C9774,C9750,C9726)/POBLA!$B$5*100000</f>
        <v>418.58240952254789</v>
      </c>
      <c r="H10038" s="459">
        <f t="shared" si="916"/>
        <v>1.454800673778776</v>
      </c>
      <c r="I10038" s="445">
        <f t="shared" si="919"/>
        <v>608.95397140534624</v>
      </c>
      <c r="J10038" s="310">
        <f t="shared" si="920"/>
        <v>191.28571428571428</v>
      </c>
      <c r="K10038" s="445">
        <f>J10038/POBLA!$B$5*100000</f>
        <v>30.902676647223444</v>
      </c>
      <c r="L10038" s="457"/>
    </row>
    <row r="10039" spans="1:12" s="393" customFormat="1" x14ac:dyDescent="0.25">
      <c r="A10039" s="402" t="s">
        <v>30</v>
      </c>
      <c r="B10039" s="2">
        <v>44311</v>
      </c>
      <c r="C10039" s="4">
        <v>193</v>
      </c>
      <c r="D10039" s="39">
        <f t="shared" si="918"/>
        <v>36590</v>
      </c>
      <c r="E10039" s="1"/>
      <c r="F10039" s="39">
        <f t="shared" si="917"/>
        <v>448</v>
      </c>
      <c r="G10039" s="436">
        <f>SUM(C10039,C10015,C9991,C9967,C9943,C9919,C9895,C9871,C9847,C9823,C9799,C9775,C9751,C9727)/POBLA!$B$6*100000</f>
        <v>299.69637785833521</v>
      </c>
      <c r="H10039" s="459">
        <f t="shared" si="916"/>
        <v>0.69343517753922379</v>
      </c>
      <c r="I10039" s="445">
        <f t="shared" si="919"/>
        <v>207.82001098805696</v>
      </c>
      <c r="J10039" s="310">
        <f t="shared" si="920"/>
        <v>265.28571428571428</v>
      </c>
      <c r="K10039" s="445">
        <f>J10039/POBLA!$B$6*100000</f>
        <v>23.669296715983862</v>
      </c>
      <c r="L10039" s="457"/>
    </row>
    <row r="10040" spans="1:12" s="393" customFormat="1" x14ac:dyDescent="0.25">
      <c r="A10040" s="402" t="s">
        <v>20</v>
      </c>
      <c r="B10040" s="2">
        <v>44311</v>
      </c>
      <c r="C10040" s="4">
        <v>893</v>
      </c>
      <c r="D10040" s="39">
        <f t="shared" si="918"/>
        <v>218524</v>
      </c>
      <c r="E10040" s="1">
        <v>2</v>
      </c>
      <c r="F10040" s="39">
        <f t="shared" si="917"/>
        <v>3287</v>
      </c>
      <c r="G10040" s="436">
        <f>SUM(C10040,C10016,C9992,C9968,C9944,C9920,C9896,C9872,C9848,C9824,C9800,C9776,C9752,C9728)/POBLA!$B$7*100000</f>
        <v>619.52691832094558</v>
      </c>
      <c r="H10040" s="459">
        <f t="shared" si="916"/>
        <v>1.3120635278215815</v>
      </c>
      <c r="I10040" s="445">
        <f t="shared" si="919"/>
        <v>812.85867403261261</v>
      </c>
      <c r="J10040" s="310">
        <f t="shared" si="920"/>
        <v>1671.5714285714287</v>
      </c>
      <c r="K10040" s="445">
        <f>J10040/POBLA!$B$7*100000</f>
        <v>44.451366952663342</v>
      </c>
      <c r="L10040" s="457"/>
    </row>
    <row r="10041" spans="1:12" x14ac:dyDescent="0.25">
      <c r="A10041" s="402" t="s">
        <v>31</v>
      </c>
      <c r="B10041" s="2">
        <v>44311</v>
      </c>
      <c r="C10041" s="4">
        <v>220</v>
      </c>
      <c r="D10041" s="39">
        <f t="shared" si="918"/>
        <v>59962</v>
      </c>
      <c r="F10041" s="39">
        <f t="shared" si="917"/>
        <v>1031</v>
      </c>
      <c r="G10041" s="169">
        <f>SUM(C10041,C10017,C9993,C9969,C9945,C9921,C9897,C9873,C9849,C9825,C9801,C9777,C9753,C9729)/POBLA!$B$8*100000</f>
        <v>497.12798556380739</v>
      </c>
      <c r="H10041" s="519">
        <f t="shared" si="916"/>
        <v>1.788681204569055</v>
      </c>
      <c r="I10041" s="310">
        <f t="shared" si="919"/>
        <v>889.20348404325875</v>
      </c>
      <c r="J10041" s="310">
        <f t="shared" si="920"/>
        <v>502.14285714285717</v>
      </c>
      <c r="K10041" s="310">
        <f>J10041/POBLA!$B$8*100000</f>
        <v>36.230662850026597</v>
      </c>
      <c r="L10041" s="539"/>
    </row>
    <row r="10042" spans="1:12" s="393" customFormat="1" x14ac:dyDescent="0.25">
      <c r="A10042" s="402" t="s">
        <v>41</v>
      </c>
      <c r="B10042" s="2">
        <v>44311</v>
      </c>
      <c r="C10042" s="4">
        <v>120</v>
      </c>
      <c r="D10042" s="39">
        <f t="shared" si="918"/>
        <v>4206</v>
      </c>
      <c r="E10042" s="1"/>
      <c r="F10042" s="39">
        <f t="shared" si="917"/>
        <v>67</v>
      </c>
      <c r="G10042" s="436">
        <f>SUM(C10042,C10018,C9994,C9970,C9946,C9922,C9898,C9874,C9850,C9826,C9802,C9778,C9754,C9730)/POBLA!$B$9*100000</f>
        <v>256.44711687015547</v>
      </c>
      <c r="H10042" s="459">
        <f t="shared" si="916"/>
        <v>2.2992592592592591</v>
      </c>
      <c r="I10042" s="445">
        <f t="shared" si="919"/>
        <v>589.63840797404634</v>
      </c>
      <c r="J10042" s="310">
        <f t="shared" si="920"/>
        <v>106.28571428571429</v>
      </c>
      <c r="K10042" s="445">
        <f>J10042/POBLA!$B$9*100000</f>
        <v>17.562284145010647</v>
      </c>
      <c r="L10042" s="457"/>
    </row>
    <row r="10043" spans="1:12" s="393" customFormat="1" x14ac:dyDescent="0.25">
      <c r="A10043" s="402" t="s">
        <v>32</v>
      </c>
      <c r="B10043" s="2">
        <v>44311</v>
      </c>
      <c r="C10043" s="4">
        <v>82</v>
      </c>
      <c r="D10043" s="39">
        <f t="shared" si="918"/>
        <v>24344</v>
      </c>
      <c r="E10043" s="1">
        <v>2</v>
      </c>
      <c r="F10043" s="39">
        <f t="shared" si="917"/>
        <v>1018</v>
      </c>
      <c r="G10043" s="436">
        <f>SUM(C10043,C10019,C9995,C9971,C9947,C9923,C9899,C9875,C9851,C9827,C9803,C9779,C9755,C9731)/POBLA!$B$10*100000</f>
        <v>169.54627238185918</v>
      </c>
      <c r="H10043" s="459">
        <f t="shared" si="916"/>
        <v>1.7638326585695008</v>
      </c>
      <c r="I10043" s="445">
        <f t="shared" si="919"/>
        <v>299.05125236584342</v>
      </c>
      <c r="J10043" s="310">
        <f t="shared" si="920"/>
        <v>94</v>
      </c>
      <c r="K10043" s="445">
        <f>J10043/POBLA!$B$10*100000</f>
        <v>12.193840553859804</v>
      </c>
      <c r="L10043" s="457"/>
    </row>
    <row r="10044" spans="1:12" s="393" customFormat="1" x14ac:dyDescent="0.25">
      <c r="A10044" s="458" t="s">
        <v>33</v>
      </c>
      <c r="B10044" s="2">
        <v>44311</v>
      </c>
      <c r="C10044" s="4">
        <v>220</v>
      </c>
      <c r="D10044" s="39">
        <f t="shared" si="918"/>
        <v>25767</v>
      </c>
      <c r="E10044" s="1"/>
      <c r="F10044" s="39">
        <f t="shared" si="917"/>
        <v>346</v>
      </c>
      <c r="G10044" s="436">
        <f>SUM(C10044,C10020,C9996,C9972,C9948,C9924,C9900,C9876,C9852,C9828,C9804,C9780,C9756,C9732)/POBLA!$B$11*100000</f>
        <v>846.19505172586969</v>
      </c>
      <c r="H10044" s="459">
        <f t="shared" si="916"/>
        <v>1.8075089392133492</v>
      </c>
      <c r="I10044" s="445">
        <f t="shared" si="919"/>
        <v>1529.5051203126118</v>
      </c>
      <c r="J10044" s="310">
        <f t="shared" si="920"/>
        <v>248.42857142857142</v>
      </c>
      <c r="K10044" s="445">
        <f>J10044/POBLA!$B$11*100000</f>
        <v>69.310592763001623</v>
      </c>
      <c r="L10044" s="457"/>
    </row>
    <row r="10045" spans="1:12" s="393" customFormat="1" x14ac:dyDescent="0.25">
      <c r="A10045" s="402" t="s">
        <v>21</v>
      </c>
      <c r="B10045" s="2">
        <v>44311</v>
      </c>
      <c r="C10045" s="4">
        <v>50</v>
      </c>
      <c r="D10045" s="39">
        <f t="shared" si="918"/>
        <v>13073</v>
      </c>
      <c r="E10045" s="1"/>
      <c r="F10045" s="39">
        <f t="shared" si="917"/>
        <v>464</v>
      </c>
      <c r="G10045" s="436">
        <f>SUM(C10045,C10021,C9997,C9973,C9949,C9925,C9901,C9877,C9853,C9829,C9805,C9781,C9757,C9733)/POBLA!$B$12*100000</f>
        <v>265.29040914184651</v>
      </c>
      <c r="H10045" s="459">
        <f t="shared" si="916"/>
        <v>0.92635314995563445</v>
      </c>
      <c r="I10045" s="445">
        <f t="shared" si="919"/>
        <v>245.75260616156856</v>
      </c>
      <c r="J10045" s="310">
        <f t="shared" si="920"/>
        <v>90.285714285714292</v>
      </c>
      <c r="K10045" s="445">
        <f>J10045/POBLA!$B$12*100000</f>
        <v>22.942465596284485</v>
      </c>
      <c r="L10045" s="457"/>
    </row>
    <row r="10046" spans="1:12" s="393" customFormat="1" x14ac:dyDescent="0.25">
      <c r="A10046" s="402" t="s">
        <v>17</v>
      </c>
      <c r="B10046" s="2">
        <v>44311</v>
      </c>
      <c r="C10046" s="4">
        <v>452</v>
      </c>
      <c r="D10046" s="39">
        <f t="shared" si="918"/>
        <v>92296</v>
      </c>
      <c r="E10046" s="1">
        <v>5</v>
      </c>
      <c r="F10046" s="39">
        <f t="shared" si="917"/>
        <v>1725</v>
      </c>
      <c r="G10046" s="436">
        <f>SUM(C10046,C10022,C9998,C9974,C9950,C9926,C9902,C9878,C9854,C9830,C9806,C9782,C9758,C9734)/POBLA!$B$13*100000</f>
        <v>614.97092453643552</v>
      </c>
      <c r="H10046" s="459">
        <f t="shared" si="916"/>
        <v>1.4901387874360847</v>
      </c>
      <c r="I10046" s="445">
        <f t="shared" si="919"/>
        <v>916.39202779717198</v>
      </c>
      <c r="J10046" s="310">
        <f t="shared" si="920"/>
        <v>879</v>
      </c>
      <c r="K10046" s="445">
        <f>J10046/POBLA!$B$13*100000</f>
        <v>44.163353159111672</v>
      </c>
      <c r="L10046" s="457"/>
    </row>
    <row r="10047" spans="1:12" s="393" customFormat="1" x14ac:dyDescent="0.25">
      <c r="A10047" s="402" t="s">
        <v>23</v>
      </c>
      <c r="B10047" s="2">
        <v>44311</v>
      </c>
      <c r="C10047" s="4">
        <v>129</v>
      </c>
      <c r="D10047" s="39">
        <f t="shared" si="918"/>
        <v>15112</v>
      </c>
      <c r="E10047" s="1"/>
      <c r="F10047" s="39">
        <f t="shared" si="917"/>
        <v>237</v>
      </c>
      <c r="G10047" s="436">
        <f>SUM(C10047,C10023,C9999,C9975,C9951,C9927,C9903,C9879,C9855,C9831,C9807,C9783,C9759,C9735)/POBLA!$B$14*100000</f>
        <v>138.66711488360366</v>
      </c>
      <c r="H10047" s="459">
        <f t="shared" si="916"/>
        <v>1.0504504504504504</v>
      </c>
      <c r="I10047" s="445">
        <f t="shared" si="919"/>
        <v>145.66293329214582</v>
      </c>
      <c r="J10047" s="310">
        <f t="shared" si="920"/>
        <v>116.28571428571429</v>
      </c>
      <c r="K10047" s="445">
        <f>J10047/POBLA!$B$14*100000</f>
        <v>9.2195566050194717</v>
      </c>
      <c r="L10047" s="457"/>
    </row>
    <row r="10048" spans="1:12" s="393" customFormat="1" x14ac:dyDescent="0.25">
      <c r="A10048" s="402" t="s">
        <v>19</v>
      </c>
      <c r="B10048" s="2">
        <v>44311</v>
      </c>
      <c r="C10048" s="4">
        <v>177</v>
      </c>
      <c r="D10048" s="39">
        <f t="shared" si="918"/>
        <v>69351</v>
      </c>
      <c r="E10048" s="1"/>
      <c r="F10048" s="39">
        <f t="shared" si="917"/>
        <v>1049</v>
      </c>
      <c r="G10048" s="436">
        <f>SUM(C10048,C10024,C10000,C9976,C9952,C9928,C9904,C9880,C9856,C9832,C9808,C9784,C9760,C9736)/POBLA!$B$15*100000</f>
        <v>420.89760366956455</v>
      </c>
      <c r="H10048" s="459">
        <f t="shared" si="916"/>
        <v>1.6587537091988132</v>
      </c>
      <c r="I10048" s="445">
        <f t="shared" si="919"/>
        <v>698.16546127978222</v>
      </c>
      <c r="J10048" s="310">
        <f t="shared" si="920"/>
        <v>225.71428571428572</v>
      </c>
      <c r="K10048" s="445">
        <f>J10048/POBLA!$B$15*100000</f>
        <v>33.990197485198664</v>
      </c>
      <c r="L10048" s="457"/>
    </row>
    <row r="10049" spans="1:12" s="393" customFormat="1" x14ac:dyDescent="0.25">
      <c r="A10049" s="402" t="s">
        <v>18</v>
      </c>
      <c r="B10049" s="2">
        <v>44311</v>
      </c>
      <c r="C10049" s="4">
        <v>128</v>
      </c>
      <c r="D10049" s="39">
        <f t="shared" si="918"/>
        <v>59838</v>
      </c>
      <c r="E10049" s="1"/>
      <c r="F10049" s="39">
        <f t="shared" si="917"/>
        <v>1336</v>
      </c>
      <c r="G10049" s="436">
        <f>SUM(C10049,C10025,C10001,C9977,C9953,C9929,C9905,C9881,C9857,C9833,C9809,C9785,C9761,C9737)/POBLA!$B$16*100000</f>
        <v>409.03679726060375</v>
      </c>
      <c r="H10049" s="459">
        <f t="shared" si="916"/>
        <v>1.7474285714285713</v>
      </c>
      <c r="I10049" s="445">
        <f t="shared" si="919"/>
        <v>714.76258629881499</v>
      </c>
      <c r="J10049" s="310">
        <f t="shared" si="920"/>
        <v>243.57142857142858</v>
      </c>
      <c r="K10049" s="445">
        <f>J10049/POBLA!$B$16*100000</f>
        <v>32.580012114796297</v>
      </c>
      <c r="L10049" s="457"/>
    </row>
    <row r="10050" spans="1:12" s="393" customFormat="1" x14ac:dyDescent="0.25">
      <c r="A10050" s="402" t="s">
        <v>34</v>
      </c>
      <c r="B10050" s="2">
        <v>44311</v>
      </c>
      <c r="C10050" s="4">
        <v>55</v>
      </c>
      <c r="D10050" s="39">
        <f t="shared" si="918"/>
        <v>33670</v>
      </c>
      <c r="E10050" s="1"/>
      <c r="F10050" s="39">
        <f t="shared" si="917"/>
        <v>1250</v>
      </c>
      <c r="G10050" s="436">
        <f>SUM(C10050,C10026,C10002,C9978,C9954,C9930,C9906,C9882,C9858,C9834,C9810,C9786,C9762,C9738)/POBLA!$B$17*100000</f>
        <v>186.60527928660338</v>
      </c>
      <c r="H10050" s="459">
        <f t="shared" ref="H10050:H10073" si="921">SUM(C10050,C10026,C10002,C9978,C9954,C9930,C9906,C9882,C9858,C9834,C9810,C9786,C9762,C9738)/SUM(C9714,C9690,C9666,C9642,C9618,C9594,C9570,C9546,C9522,C9498,C9474,C9450,C9426,C9402)</f>
        <v>1.3067846607669618</v>
      </c>
      <c r="I10050" s="445">
        <f t="shared" si="919"/>
        <v>243.85291658986816</v>
      </c>
      <c r="J10050" s="310">
        <f t="shared" si="920"/>
        <v>193</v>
      </c>
      <c r="K10050" s="445">
        <f>J10050/POBLA!$B$17*100000</f>
        <v>13.549593266483994</v>
      </c>
      <c r="L10050" s="457"/>
    </row>
    <row r="10051" spans="1:12" s="393" customFormat="1" x14ac:dyDescent="0.25">
      <c r="A10051" s="402" t="s">
        <v>35</v>
      </c>
      <c r="B10051" s="2">
        <v>44311</v>
      </c>
      <c r="C10051" s="4">
        <v>59</v>
      </c>
      <c r="D10051" s="39">
        <f t="shared" si="918"/>
        <v>21979</v>
      </c>
      <c r="E10051" s="1"/>
      <c r="F10051" s="39">
        <f t="shared" si="917"/>
        <v>255</v>
      </c>
      <c r="G10051" s="436">
        <f>SUM(C10051,C10027,C10003,C9979,C9955,C9931,C9907,C9883,C9859,C9835,C9811,C9787,C9763,C9739)/POBLA!$B$18*100000</f>
        <v>408.97727520010443</v>
      </c>
      <c r="H10051" s="459">
        <f t="shared" si="921"/>
        <v>1.6317671092951991</v>
      </c>
      <c r="I10051" s="445">
        <f t="shared" si="919"/>
        <v>667.35566612070147</v>
      </c>
      <c r="J10051" s="310">
        <f t="shared" si="920"/>
        <v>260.14285714285717</v>
      </c>
      <c r="K10051" s="445">
        <f>J10051/POBLA!$B$18*100000</f>
        <v>33.299692293288189</v>
      </c>
      <c r="L10051" s="457"/>
    </row>
    <row r="10052" spans="1:12" s="393" customFormat="1" x14ac:dyDescent="0.25">
      <c r="A10052" s="458" t="s">
        <v>36</v>
      </c>
      <c r="B10052" s="2">
        <v>44311</v>
      </c>
      <c r="C10052" s="4">
        <v>607</v>
      </c>
      <c r="D10052" s="39">
        <f t="shared" si="918"/>
        <v>34769</v>
      </c>
      <c r="E10052" s="1"/>
      <c r="F10052" s="39">
        <f t="shared" si="917"/>
        <v>468</v>
      </c>
      <c r="G10052" s="436">
        <f>SUM(C10052,C10028,C10004,C9980,C9956,C9932,C9908,C9884,C9860,C9836,C9812,C9788,C9764,C9740)/POBLA!$B$19*100000</f>
        <v>1654.6403109803118</v>
      </c>
      <c r="H10052" s="459">
        <f t="shared" si="921"/>
        <v>2.0980294337740086</v>
      </c>
      <c r="I10052" s="445">
        <f t="shared" si="919"/>
        <v>3471.4840747456733</v>
      </c>
      <c r="J10052" s="310">
        <f t="shared" si="920"/>
        <v>665.85714285714289</v>
      </c>
      <c r="K10052" s="445">
        <f>J10052/POBLA!$B$19*100000</f>
        <v>130.98966471592021</v>
      </c>
      <c r="L10052" s="457"/>
    </row>
    <row r="10053" spans="1:12" s="393" customFormat="1" x14ac:dyDescent="0.25">
      <c r="A10053" s="402" t="s">
        <v>37</v>
      </c>
      <c r="B10053" s="2">
        <v>44311</v>
      </c>
      <c r="C10053" s="4">
        <v>138</v>
      </c>
      <c r="D10053" s="39">
        <f t="shared" si="918"/>
        <v>43650</v>
      </c>
      <c r="E10053" s="1">
        <v>3</v>
      </c>
      <c r="F10053" s="39">
        <f t="shared" si="917"/>
        <v>693</v>
      </c>
      <c r="G10053" s="436">
        <f>SUM(C10053,C10029,C10005,C9981,C9957,C9933,C9909,C9885,C9861,C9837,C9813,C9789,C9765,C9741)/POBLA!$B$20*100000</f>
        <v>726.00889258349787</v>
      </c>
      <c r="H10053" s="459">
        <f t="shared" si="921"/>
        <v>1.3008329250367467</v>
      </c>
      <c r="I10053" s="445">
        <f t="shared" si="919"/>
        <v>944.41627134208079</v>
      </c>
      <c r="J10053" s="310">
        <f t="shared" si="920"/>
        <v>199</v>
      </c>
      <c r="K10053" s="445">
        <f>J10053/POBLA!$B$20*100000</f>
        <v>54.416485734130347</v>
      </c>
      <c r="L10053" s="457"/>
    </row>
    <row r="10054" spans="1:12" s="393" customFormat="1" x14ac:dyDescent="0.25">
      <c r="A10054" s="402" t="s">
        <v>22</v>
      </c>
      <c r="B10054" s="2">
        <v>44311</v>
      </c>
      <c r="C10054" s="4">
        <v>1143</v>
      </c>
      <c r="D10054" s="39">
        <f t="shared" si="918"/>
        <v>265122</v>
      </c>
      <c r="E10054" s="1">
        <v>1</v>
      </c>
      <c r="F10054" s="39">
        <f t="shared" si="917"/>
        <v>4525</v>
      </c>
      <c r="G10054" s="436">
        <f>SUM(C10054,C10030,C10006,C9982,C9958,C9934,C9910,C9886,C9862,C9838,C9814,C9790,C9766,C9742)/POBLA!$B$21*100000</f>
        <v>651.61980286267067</v>
      </c>
      <c r="H10054" s="459">
        <f t="shared" si="921"/>
        <v>1.7834532930887703</v>
      </c>
      <c r="I10054" s="445">
        <f t="shared" si="919"/>
        <v>1162.1334832572854</v>
      </c>
      <c r="J10054" s="310">
        <f t="shared" si="920"/>
        <v>1737.8571428571429</v>
      </c>
      <c r="K10054" s="445">
        <f>J10054/POBLA!$B$21*100000</f>
        <v>49.141734457214703</v>
      </c>
      <c r="L10054" s="457"/>
    </row>
    <row r="10055" spans="1:12" s="393" customFormat="1" x14ac:dyDescent="0.25">
      <c r="A10055" s="402" t="s">
        <v>38</v>
      </c>
      <c r="B10055" s="2">
        <v>44311</v>
      </c>
      <c r="C10055" s="4">
        <v>234</v>
      </c>
      <c r="D10055" s="39">
        <f t="shared" si="918"/>
        <v>29795</v>
      </c>
      <c r="E10055" s="1"/>
      <c r="F10055" s="39">
        <f t="shared" si="917"/>
        <v>328</v>
      </c>
      <c r="G10055" s="436">
        <f>SUM(C10055,C10031,C10007,C9983,C9959,C9935,C9911,C9887,C9863,C9839,C9815,C9791,C9767,C9743)/POBLA!$B$22*100000</f>
        <v>303.37938880501434</v>
      </c>
      <c r="H10055" s="459">
        <f t="shared" si="921"/>
        <v>1.4922071392659628</v>
      </c>
      <c r="I10055" s="445">
        <f t="shared" si="919"/>
        <v>452.70488988098674</v>
      </c>
      <c r="J10055" s="310">
        <f t="shared" si="920"/>
        <v>222.71428571428572</v>
      </c>
      <c r="K10055" s="445">
        <f>J10055/POBLA!$B$22*100000</f>
        <v>22.76513607754223</v>
      </c>
      <c r="L10055" s="457"/>
    </row>
    <row r="10056" spans="1:12" s="393" customFormat="1" x14ac:dyDescent="0.25">
      <c r="A10056" s="402" t="s">
        <v>39</v>
      </c>
      <c r="B10056" s="2">
        <v>44311</v>
      </c>
      <c r="C10056" s="4">
        <v>50</v>
      </c>
      <c r="D10056" s="39">
        <f t="shared" si="918"/>
        <v>26046</v>
      </c>
      <c r="E10056" s="1">
        <v>1</v>
      </c>
      <c r="F10056" s="39">
        <f t="shared" si="917"/>
        <v>376</v>
      </c>
      <c r="G10056" s="436">
        <f>SUM(C10056,C10032,C10008,C9984,C9960,C9936,C9912,C9888,C9864,C9840,C9816,C9792,C9768,C9744)/POBLA!$B$23*100000</f>
        <v>676.92133687722674</v>
      </c>
      <c r="H10056" s="459">
        <f t="shared" si="921"/>
        <v>1.303921568627451</v>
      </c>
      <c r="I10056" s="445">
        <f t="shared" si="919"/>
        <v>882.65233141834472</v>
      </c>
      <c r="J10056" s="310">
        <f t="shared" si="920"/>
        <v>83.285714285714292</v>
      </c>
      <c r="K10056" s="445">
        <f>J10056/POBLA!$B$23*100000</f>
        <v>47.099312495455685</v>
      </c>
      <c r="L10056" s="457"/>
    </row>
    <row r="10057" spans="1:12" s="393" customFormat="1" ht="15.75" thickBot="1" x14ac:dyDescent="0.3">
      <c r="A10057" s="404" t="s">
        <v>40</v>
      </c>
      <c r="B10057" s="268">
        <v>44311</v>
      </c>
      <c r="C10057" s="390">
        <v>147</v>
      </c>
      <c r="D10057" s="177">
        <f t="shared" si="918"/>
        <v>102413</v>
      </c>
      <c r="E10057" s="44"/>
      <c r="F10057" s="177">
        <f t="shared" si="917"/>
        <v>1600</v>
      </c>
      <c r="G10057" s="439">
        <f>SUM(C10057,C10033,C10009,C9985,C9961,C9937,C9913,C9889,C9865,C9841,C9817,C9793,C9769,C9745)/POBLA!$B$24*100000</f>
        <v>537.21817289172543</v>
      </c>
      <c r="H10057" s="460">
        <f t="shared" si="921"/>
        <v>1.3230635082110158</v>
      </c>
      <c r="I10057" s="445">
        <f t="shared" si="919"/>
        <v>710.77376050083831</v>
      </c>
      <c r="J10057" s="310">
        <f t="shared" si="920"/>
        <v>698.71428571428567</v>
      </c>
      <c r="K10057" s="445">
        <f>J10057/POBLA!$B$24*100000</f>
        <v>41.23044946669328</v>
      </c>
      <c r="L10057" s="457"/>
    </row>
    <row r="10058" spans="1:12" s="393" customFormat="1" ht="15.75" thickBot="1" x14ac:dyDescent="0.3">
      <c r="A10058" s="397" t="s">
        <v>16</v>
      </c>
      <c r="B10058" s="268">
        <v>44312</v>
      </c>
      <c r="C10058" s="227">
        <v>8884</v>
      </c>
      <c r="D10058" s="175">
        <f t="shared" si="918"/>
        <v>1253763</v>
      </c>
      <c r="E10058" s="227">
        <v>288</v>
      </c>
      <c r="F10058" s="175">
        <f t="shared" ref="F10058:F10081" si="922">E10058+F10034</f>
        <v>31997</v>
      </c>
      <c r="G10058" s="410">
        <f>SUM(C10058,C10034,C10010,C9986,C9962,C9938,C9914,C9890,C9866,C9842,C9818,C9794,C9770,C9746)/POBLA!$B$1*100000</f>
        <v>933.52536189065461</v>
      </c>
      <c r="H10058" s="456">
        <f t="shared" si="921"/>
        <v>1.4183961610422009</v>
      </c>
      <c r="I10058" s="445">
        <f>G10058*H10058</f>
        <v>1324.1087895412359</v>
      </c>
      <c r="J10058" s="310">
        <f>AVERAGE(C10058,C10034,C10010,C9986,C9962,C9938,C9914)</f>
        <v>11513</v>
      </c>
      <c r="K10058" s="445">
        <f>J10058/POBLA!$B$1*100000</f>
        <v>65.634270883518923</v>
      </c>
    </row>
    <row r="10059" spans="1:12" s="393" customFormat="1" ht="15.75" thickBot="1" x14ac:dyDescent="0.3">
      <c r="A10059" s="458" t="s">
        <v>43</v>
      </c>
      <c r="B10059" s="268">
        <v>44312</v>
      </c>
      <c r="C10059" s="42">
        <v>2854</v>
      </c>
      <c r="D10059" s="39">
        <f t="shared" si="918"/>
        <v>330786</v>
      </c>
      <c r="E10059" s="1">
        <v>32</v>
      </c>
      <c r="F10059" s="39">
        <f t="shared" si="922"/>
        <v>7528</v>
      </c>
      <c r="G10059" s="436">
        <f>SUM(C10059,C10035,C10011,C9987,C9963,C9939,C9915,C9891,C9867,C9843,C9819,C9795,C9771,C9747)/POBLA!$B$2*100000</f>
        <v>1354.2520823267698</v>
      </c>
      <c r="H10059" s="459">
        <f t="shared" si="921"/>
        <v>1.3647444298820446</v>
      </c>
      <c r="I10059" s="445">
        <f t="shared" ref="I10059:I10081" si="923">G10059*H10059</f>
        <v>1848.2079860116191</v>
      </c>
      <c r="J10059" s="310">
        <f t="shared" ref="J10059:J10081" si="924">AVERAGE(C10059,C10035,C10011,C9987,C9963,C9939,C9915)</f>
        <v>2983.7142857142858</v>
      </c>
      <c r="K10059" s="445">
        <f>J10059/POBLA!$B$2*100000</f>
        <v>97.010978692420579</v>
      </c>
    </row>
    <row r="10060" spans="1:12" s="393" customFormat="1" ht="15.75" thickBot="1" x14ac:dyDescent="0.3">
      <c r="A10060" s="402" t="s">
        <v>28</v>
      </c>
      <c r="B10060" s="268">
        <v>44312</v>
      </c>
      <c r="C10060" s="42">
        <v>210</v>
      </c>
      <c r="D10060" s="39">
        <f t="shared" si="918"/>
        <v>14235</v>
      </c>
      <c r="E10060" s="1"/>
      <c r="F10060" s="39">
        <f t="shared" si="922"/>
        <v>19</v>
      </c>
      <c r="G10060" s="436">
        <f>SUM(C10060,C10036,C10012,C9988,C9964,C9940,C9916,C9892,C9868,C9844,C9820,C9796,C9772,C9748)/POBLA!$B$3*100000</f>
        <v>570.96365763363008</v>
      </c>
      <c r="H10060" s="459">
        <f t="shared" si="921"/>
        <v>1.527366387636832</v>
      </c>
      <c r="I10060" s="445">
        <f t="shared" si="923"/>
        <v>872.0706992317904</v>
      </c>
      <c r="J10060" s="310">
        <f t="shared" si="924"/>
        <v>180.85714285714286</v>
      </c>
      <c r="K10060" s="445">
        <f>J10060/POBLA!$B$3*100000</f>
        <v>43.534087603238717</v>
      </c>
    </row>
    <row r="10061" spans="1:12" s="393" customFormat="1" ht="15.75" thickBot="1" x14ac:dyDescent="0.3">
      <c r="A10061" s="402" t="s">
        <v>15</v>
      </c>
      <c r="B10061" s="268">
        <v>44312</v>
      </c>
      <c r="C10061" s="42">
        <v>157</v>
      </c>
      <c r="D10061" s="39">
        <f t="shared" si="918"/>
        <v>43764</v>
      </c>
      <c r="E10061" s="1">
        <v>5</v>
      </c>
      <c r="F10061" s="39">
        <f t="shared" si="922"/>
        <v>1019</v>
      </c>
      <c r="G10061" s="436">
        <f>SUM(C10061,C10037,C10013,C9989,C9965,C9941,C9917,C9893,C9869,C9845,C9821,C9797,C9773,C9749)/POBLA!$B$4*100000</f>
        <v>264.25003383031378</v>
      </c>
      <c r="H10061" s="459">
        <f t="shared" si="921"/>
        <v>1.3487288135593221</v>
      </c>
      <c r="I10061" s="445">
        <f t="shared" si="923"/>
        <v>356.40163461096984</v>
      </c>
      <c r="J10061" s="310">
        <f t="shared" si="924"/>
        <v>214.14285714285714</v>
      </c>
      <c r="K10061" s="445">
        <f>J10061/POBLA!$B$4*100000</f>
        <v>17.777963319044943</v>
      </c>
    </row>
    <row r="10062" spans="1:12" s="393" customFormat="1" ht="15.75" thickBot="1" x14ac:dyDescent="0.3">
      <c r="A10062" s="402" t="s">
        <v>29</v>
      </c>
      <c r="B10062" s="268">
        <v>44312</v>
      </c>
      <c r="C10062" s="42">
        <v>185</v>
      </c>
      <c r="D10062" s="39">
        <f t="shared" si="918"/>
        <v>54119</v>
      </c>
      <c r="E10062" s="1">
        <v>3</v>
      </c>
      <c r="F10062" s="39">
        <f t="shared" si="922"/>
        <v>903</v>
      </c>
      <c r="G10062" s="436">
        <f>SUM(C10062,C10038,C10014,C9990,C9966,C9942,C9918,C9894,C9870,C9846,C9822,C9798,C9774,C9750)/POBLA!$B$5*100000</f>
        <v>421.97501106634309</v>
      </c>
      <c r="H10062" s="459">
        <f t="shared" si="921"/>
        <v>1.5002871912693854</v>
      </c>
      <c r="I10062" s="445">
        <f t="shared" si="923"/>
        <v>633.08370413859166</v>
      </c>
      <c r="J10062" s="310">
        <f t="shared" si="924"/>
        <v>196.57142857142858</v>
      </c>
      <c r="K10062" s="445">
        <f>J10062/POBLA!$B$5*100000</f>
        <v>31.756596763688918</v>
      </c>
    </row>
    <row r="10063" spans="1:12" s="393" customFormat="1" ht="15.75" thickBot="1" x14ac:dyDescent="0.3">
      <c r="A10063" s="402" t="s">
        <v>30</v>
      </c>
      <c r="B10063" s="268">
        <v>44312</v>
      </c>
      <c r="C10063" s="42">
        <v>127</v>
      </c>
      <c r="D10063" s="39">
        <f t="shared" si="918"/>
        <v>36717</v>
      </c>
      <c r="E10063" s="1">
        <v>9</v>
      </c>
      <c r="F10063" s="39">
        <f t="shared" si="922"/>
        <v>457</v>
      </c>
      <c r="G10063" s="436">
        <f>SUM(C10063,C10039,C10015,C9991,C9967,C9943,C9919,C9895,C9871,C9847,C9823,C9799,C9775,C9751)/POBLA!$B$6*100000</f>
        <v>304.78202642574371</v>
      </c>
      <c r="H10063" s="459">
        <f t="shared" si="921"/>
        <v>0.77250113071008597</v>
      </c>
      <c r="I10063" s="445">
        <f t="shared" si="923"/>
        <v>235.44446003399833</v>
      </c>
      <c r="J10063" s="310">
        <f t="shared" si="924"/>
        <v>266.28571428571428</v>
      </c>
      <c r="K10063" s="445">
        <f>J10063/POBLA!$B$6*100000</f>
        <v>23.75851862067524</v>
      </c>
    </row>
    <row r="10064" spans="1:12" s="393" customFormat="1" ht="15.75" thickBot="1" x14ac:dyDescent="0.3">
      <c r="A10064" s="402" t="s">
        <v>20</v>
      </c>
      <c r="B10064" s="268">
        <v>44312</v>
      </c>
      <c r="C10064" s="42">
        <v>968</v>
      </c>
      <c r="D10064" s="39">
        <f t="shared" si="918"/>
        <v>219492</v>
      </c>
      <c r="E10064" s="1">
        <v>16</v>
      </c>
      <c r="F10064" s="39">
        <f t="shared" si="922"/>
        <v>3303</v>
      </c>
      <c r="G10064" s="436">
        <f>SUM(C10064,C10040,C10016,C9992,C9968,C9944,C9920,C9896,C9872,C9848,C9824,C9800,C9776,C9752)/POBLA!$B$7*100000</f>
        <v>610.69818771689552</v>
      </c>
      <c r="H10064" s="459">
        <f t="shared" si="921"/>
        <v>1.2772525027808677</v>
      </c>
      <c r="I10064" s="445">
        <f t="shared" si="923"/>
        <v>780.01578870514493</v>
      </c>
      <c r="J10064" s="310">
        <f t="shared" si="924"/>
        <v>1618.4285714285713</v>
      </c>
      <c r="K10064" s="445">
        <f>J10064/POBLA!$B$7*100000</f>
        <v>43.038162226025378</v>
      </c>
    </row>
    <row r="10065" spans="1:11" ht="15.75" thickBot="1" x14ac:dyDescent="0.3">
      <c r="A10065" s="402" t="s">
        <v>31</v>
      </c>
      <c r="B10065" s="268">
        <v>44312</v>
      </c>
      <c r="C10065" s="557">
        <v>364</v>
      </c>
      <c r="D10065" s="39">
        <f t="shared" si="918"/>
        <v>60326</v>
      </c>
      <c r="E10065" s="1">
        <v>9</v>
      </c>
      <c r="F10065" s="39">
        <f t="shared" si="922"/>
        <v>1040</v>
      </c>
      <c r="G10065" s="169">
        <f>SUM(C10065,C10041,C10017,C9993,C9969,C9945,C9921,C9897,C9873,C9849,C9825,C9801,C9777,C9753)/POBLA!$B$8*100000</f>
        <v>506.72421518354412</v>
      </c>
      <c r="H10065" s="519">
        <f t="shared" si="921"/>
        <v>1.8156670113753879</v>
      </c>
      <c r="I10065" s="310">
        <f t="shared" si="923"/>
        <v>920.04244137384444</v>
      </c>
      <c r="J10065" s="310">
        <f t="shared" si="924"/>
        <v>524.71428571428567</v>
      </c>
      <c r="K10065" s="310">
        <f>J10065/POBLA!$B$8*100000</f>
        <v>37.859238875717693</v>
      </c>
    </row>
    <row r="10066" spans="1:11" s="393" customFormat="1" ht="15.75" thickBot="1" x14ac:dyDescent="0.3">
      <c r="A10066" s="402" t="s">
        <v>41</v>
      </c>
      <c r="B10066" s="268">
        <v>44312</v>
      </c>
      <c r="C10066" s="42">
        <v>81</v>
      </c>
      <c r="D10066" s="39">
        <f t="shared" si="918"/>
        <v>4287</v>
      </c>
      <c r="E10066" s="1">
        <v>2</v>
      </c>
      <c r="F10066" s="39">
        <f t="shared" si="922"/>
        <v>69</v>
      </c>
      <c r="G10066" s="436">
        <f>SUM(C10066,C10042,C10018,C9994,C9970,C9946,C9922,C9898,C9874,C9850,C9826,C9802,C9778,C9754)/POBLA!$B$9*100000</f>
        <v>212.32895952200374</v>
      </c>
      <c r="H10066" s="459">
        <f t="shared" si="921"/>
        <v>1.3554852320675106</v>
      </c>
      <c r="I10066" s="445">
        <f t="shared" si="923"/>
        <v>287.80876897233628</v>
      </c>
      <c r="J10066" s="310">
        <f t="shared" si="924"/>
        <v>112.14285714285714</v>
      </c>
      <c r="K10066" s="445">
        <f>J10066/POBLA!$B$9*100000</f>
        <v>18.530098190636231</v>
      </c>
    </row>
    <row r="10067" spans="1:11" s="393" customFormat="1" ht="15.75" thickBot="1" x14ac:dyDescent="0.3">
      <c r="A10067" s="402" t="s">
        <v>32</v>
      </c>
      <c r="B10067" s="268">
        <v>44312</v>
      </c>
      <c r="C10067" s="42">
        <v>97</v>
      </c>
      <c r="D10067" s="39">
        <f t="shared" si="918"/>
        <v>24441</v>
      </c>
      <c r="E10067" s="1">
        <v>3</v>
      </c>
      <c r="F10067" s="39">
        <f t="shared" si="922"/>
        <v>1021</v>
      </c>
      <c r="G10067" s="436">
        <f>SUM(C10067,C10043,C10019,C9995,C9971,C9947,C9923,C9899,C9875,C9851,C9827,C9803,C9779,C9755)/POBLA!$B$10*100000</f>
        <v>172.78931508235382</v>
      </c>
      <c r="H10067" s="459">
        <f t="shared" si="921"/>
        <v>1.6968152866242039</v>
      </c>
      <c r="I10067" s="445">
        <f t="shared" si="923"/>
        <v>293.19155119706409</v>
      </c>
      <c r="J10067" s="310">
        <f t="shared" si="924"/>
        <v>98.428571428571431</v>
      </c>
      <c r="K10067" s="445">
        <f>J10067/POBLA!$B$10*100000</f>
        <v>12.76832240366171</v>
      </c>
    </row>
    <row r="10068" spans="1:11" s="393" customFormat="1" ht="15.75" thickBot="1" x14ac:dyDescent="0.3">
      <c r="A10068" s="458" t="s">
        <v>33</v>
      </c>
      <c r="B10068" s="268">
        <v>44312</v>
      </c>
      <c r="C10068" s="42">
        <v>179</v>
      </c>
      <c r="D10068" s="39">
        <f t="shared" si="918"/>
        <v>25946</v>
      </c>
      <c r="E10068" s="1">
        <v>10</v>
      </c>
      <c r="F10068" s="39">
        <f t="shared" si="922"/>
        <v>356</v>
      </c>
      <c r="G10068" s="436">
        <f>SUM(C10068,C10044,C10020,C9996,C9972,C9948,C9924,C9900,C9876,C9852,C9828,C9804,C9780,C9756)/POBLA!$B$11*100000</f>
        <v>876.88461838918829</v>
      </c>
      <c r="H10068" s="459">
        <f t="shared" si="921"/>
        <v>1.9106382978723404</v>
      </c>
      <c r="I10068" s="445">
        <f t="shared" si="923"/>
        <v>1675.4093347095554</v>
      </c>
      <c r="J10068" s="310">
        <f t="shared" si="924"/>
        <v>251.85714285714286</v>
      </c>
      <c r="K10068" s="445">
        <f>J10068/POBLA!$B$11*100000</f>
        <v>70.267150684975178</v>
      </c>
    </row>
    <row r="10069" spans="1:11" s="393" customFormat="1" ht="15.75" thickBot="1" x14ac:dyDescent="0.3">
      <c r="A10069" s="402" t="s">
        <v>21</v>
      </c>
      <c r="B10069" s="268">
        <v>44312</v>
      </c>
      <c r="C10069" s="42">
        <v>46</v>
      </c>
      <c r="D10069" s="39">
        <f t="shared" si="918"/>
        <v>13119</v>
      </c>
      <c r="E10069" s="1">
        <v>3</v>
      </c>
      <c r="F10069" s="39">
        <f t="shared" si="922"/>
        <v>467</v>
      </c>
      <c r="G10069" s="436">
        <f>SUM(C10069,C10045,C10021,C9997,C9973,C9949,C9925,C9901,C9877,C9853,C9829,C9805,C9781,C9757)/POBLA!$B$12*100000</f>
        <v>273.93013511006757</v>
      </c>
      <c r="H10069" s="459">
        <f t="shared" si="921"/>
        <v>1.0435624394966119</v>
      </c>
      <c r="I10069" s="445">
        <f t="shared" si="923"/>
        <v>285.86320004709859</v>
      </c>
      <c r="J10069" s="310">
        <f t="shared" si="924"/>
        <v>80.142857142857139</v>
      </c>
      <c r="K10069" s="445">
        <f>J10069/POBLA!$B$12*100000</f>
        <v>20.365068353663915</v>
      </c>
    </row>
    <row r="10070" spans="1:11" s="393" customFormat="1" ht="15.75" thickBot="1" x14ac:dyDescent="0.3">
      <c r="A10070" s="402" t="s">
        <v>17</v>
      </c>
      <c r="B10070" s="268">
        <v>44312</v>
      </c>
      <c r="C10070" s="42">
        <v>715</v>
      </c>
      <c r="D10070" s="39">
        <f t="shared" si="918"/>
        <v>93011</v>
      </c>
      <c r="E10070" s="1">
        <v>19</v>
      </c>
      <c r="F10070" s="39">
        <f t="shared" si="922"/>
        <v>1744</v>
      </c>
      <c r="G10070" s="436">
        <f>SUM(C10070,C10046,C10022,C9998,C9974,C9950,C9926,C9902,C9878,C9854,C9830,C9806,C9782,C9758)/POBLA!$B$13*100000</f>
        <v>618.78937145349175</v>
      </c>
      <c r="H10070" s="459">
        <f t="shared" si="921"/>
        <v>1.4523584905660378</v>
      </c>
      <c r="I10070" s="445">
        <f t="shared" si="923"/>
        <v>898.70399750250056</v>
      </c>
      <c r="J10070" s="310">
        <f t="shared" si="924"/>
        <v>871.28571428571433</v>
      </c>
      <c r="K10070" s="445">
        <f>J10070/POBLA!$B$13*100000</f>
        <v>43.775766441966859</v>
      </c>
    </row>
    <row r="10071" spans="1:11" s="393" customFormat="1" ht="15.75" thickBot="1" x14ac:dyDescent="0.3">
      <c r="A10071" s="402" t="s">
        <v>23</v>
      </c>
      <c r="B10071" s="268">
        <v>44312</v>
      </c>
      <c r="C10071" s="42">
        <v>98</v>
      </c>
      <c r="D10071" s="39">
        <f t="shared" si="918"/>
        <v>15210</v>
      </c>
      <c r="E10071" s="1"/>
      <c r="F10071" s="39">
        <f t="shared" si="922"/>
        <v>237</v>
      </c>
      <c r="G10071" s="436">
        <f>SUM(C10071,C10047,C10023,C9999,C9975,C9951,C9927,C9903,C9879,C9855,C9831,C9807,C9783,C9759)/POBLA!$B$14*100000</f>
        <v>137.16072541374177</v>
      </c>
      <c r="H10071" s="459">
        <f t="shared" si="921"/>
        <v>1.0446859903381642</v>
      </c>
      <c r="I10071" s="445">
        <f t="shared" si="923"/>
        <v>143.28988826435582</v>
      </c>
      <c r="J10071" s="310">
        <f t="shared" si="924"/>
        <v>120.28571428571429</v>
      </c>
      <c r="K10071" s="445">
        <f>J10071/POBLA!$B$14*100000</f>
        <v>9.536691230253556</v>
      </c>
    </row>
    <row r="10072" spans="1:11" s="393" customFormat="1" ht="15.75" thickBot="1" x14ac:dyDescent="0.3">
      <c r="A10072" s="402" t="s">
        <v>19</v>
      </c>
      <c r="B10072" s="268">
        <v>44312</v>
      </c>
      <c r="C10072" s="42">
        <v>228</v>
      </c>
      <c r="D10072" s="39">
        <f t="shared" si="918"/>
        <v>69579</v>
      </c>
      <c r="E10072" s="1">
        <v>2</v>
      </c>
      <c r="F10072" s="39">
        <f t="shared" si="922"/>
        <v>1051</v>
      </c>
      <c r="G10072" s="436">
        <f>SUM(C10072,C10048,C10024,C10000,C9976,C9952,C9928,C9904,C9880,C9856,C9832,C9808,C9784,C9760)/POBLA!$B$15*100000</f>
        <v>439.87187846826401</v>
      </c>
      <c r="H10072" s="459">
        <f t="shared" si="921"/>
        <v>1.7533013205282113</v>
      </c>
      <c r="I10072" s="445">
        <f t="shared" si="923"/>
        <v>771.22794538163214</v>
      </c>
      <c r="J10072" s="310">
        <f t="shared" si="924"/>
        <v>232.42857142857142</v>
      </c>
      <c r="K10072" s="445">
        <f>J10072/POBLA!$B$15*100000</f>
        <v>35.001298296467233</v>
      </c>
    </row>
    <row r="10073" spans="1:11" s="393" customFormat="1" ht="15.75" thickBot="1" x14ac:dyDescent="0.3">
      <c r="A10073" s="402" t="s">
        <v>18</v>
      </c>
      <c r="B10073" s="268">
        <v>44312</v>
      </c>
      <c r="C10073" s="42">
        <v>268</v>
      </c>
      <c r="D10073" s="39">
        <f t="shared" si="918"/>
        <v>60106</v>
      </c>
      <c r="E10073" s="1">
        <v>3</v>
      </c>
      <c r="F10073" s="39">
        <f t="shared" si="922"/>
        <v>1339</v>
      </c>
      <c r="G10073" s="436">
        <f>SUM(C10073,C10049,C10025,C10001,C9977,C9953,C9929,C9905,C9881,C9857,C9833,C9809,C9785,C9761)/POBLA!$B$16*100000</f>
        <v>423.21531279677907</v>
      </c>
      <c r="H10073" s="459">
        <f t="shared" si="921"/>
        <v>1.8080000000000001</v>
      </c>
      <c r="I10073" s="445">
        <f t="shared" si="923"/>
        <v>765.1732855365766</v>
      </c>
      <c r="J10073" s="310">
        <f t="shared" si="924"/>
        <v>253.57142857142858</v>
      </c>
      <c r="K10073" s="445">
        <f>J10073/POBLA!$B$16*100000</f>
        <v>33.917607920095854</v>
      </c>
    </row>
    <row r="10074" spans="1:11" s="393" customFormat="1" ht="15.75" thickBot="1" x14ac:dyDescent="0.3">
      <c r="A10074" s="402" t="s">
        <v>34</v>
      </c>
      <c r="B10074" s="268">
        <v>44312</v>
      </c>
      <c r="C10074" s="42">
        <v>157</v>
      </c>
      <c r="D10074" s="39">
        <f t="shared" si="918"/>
        <v>33827</v>
      </c>
      <c r="E10074" s="1"/>
      <c r="F10074" s="39">
        <f t="shared" si="922"/>
        <v>1250</v>
      </c>
      <c r="G10074" s="436">
        <f>SUM(C10074,C10050,C10026,C10002,C9978,C9954,C9930,C9906,C9882,C9858,C9834,C9810,C9786,C9762)/POBLA!$B$17*100000</f>
        <v>190.74738292765289</v>
      </c>
      <c r="H10074" s="459">
        <f t="shared" ref="H10074:H10097" si="925">SUM(C10074,C10050,C10026,C10002,C9978,C9954,C9930,C9906,C9882,C9858,C9834,C9810,C9786,C9762)/SUM(C9738,C9714,C9690,C9666,C9642,C9618,C9594,C9570,C9546,C9522,C9498,C9474,C9450,C9426)</f>
        <v>1.3687657430730478</v>
      </c>
      <c r="I10074" s="445">
        <f t="shared" si="923"/>
        <v>261.088483332208</v>
      </c>
      <c r="J10074" s="310">
        <f t="shared" si="924"/>
        <v>196.57142857142858</v>
      </c>
      <c r="K10074" s="445">
        <f>J10074/POBLA!$B$17*100000</f>
        <v>13.800325932407089</v>
      </c>
    </row>
    <row r="10075" spans="1:11" s="393" customFormat="1" ht="15.75" thickBot="1" x14ac:dyDescent="0.3">
      <c r="A10075" s="402" t="s">
        <v>35</v>
      </c>
      <c r="B10075" s="268">
        <v>44312</v>
      </c>
      <c r="C10075" s="42">
        <v>237</v>
      </c>
      <c r="D10075" s="39">
        <f t="shared" si="918"/>
        <v>22216</v>
      </c>
      <c r="E10075" s="1">
        <v>2</v>
      </c>
      <c r="F10075" s="39">
        <f t="shared" si="922"/>
        <v>257</v>
      </c>
      <c r="G10075" s="436">
        <f>SUM(C10075,C10051,C10027,C10003,C9979,C9955,C9931,C9907,C9883,C9859,C9835,C9811,C9787,C9763)/POBLA!$B$18*100000</f>
        <v>417.16962124480142</v>
      </c>
      <c r="H10075" s="459">
        <f t="shared" si="925"/>
        <v>1.6517992904206791</v>
      </c>
      <c r="I10075" s="445">
        <f t="shared" si="923"/>
        <v>689.0804843572264</v>
      </c>
      <c r="J10075" s="310">
        <f t="shared" si="924"/>
        <v>262.71428571428572</v>
      </c>
      <c r="K10075" s="445">
        <f>J10075/POBLA!$B$18*100000</f>
        <v>33.628849054012612</v>
      </c>
    </row>
    <row r="10076" spans="1:11" s="393" customFormat="1" ht="15.75" thickBot="1" x14ac:dyDescent="0.3">
      <c r="A10076" s="458" t="s">
        <v>36</v>
      </c>
      <c r="B10076" s="268">
        <v>44312</v>
      </c>
      <c r="C10076" s="42">
        <v>481</v>
      </c>
      <c r="D10076" s="39">
        <f t="shared" si="918"/>
        <v>35250</v>
      </c>
      <c r="E10076" s="1">
        <v>7</v>
      </c>
      <c r="F10076" s="39">
        <f t="shared" si="922"/>
        <v>475</v>
      </c>
      <c r="G10076" s="436">
        <f>SUM(C10076,C10052,C10028,C10004,C9980,C9956,C9932,C9908,C9884,C9860,C9836,C9812,C9788,C9764)/POBLA!$B$19*100000</f>
        <v>1639.8860578209346</v>
      </c>
      <c r="H10076" s="459">
        <f t="shared" si="925"/>
        <v>1.9058070416095108</v>
      </c>
      <c r="I10076" s="445">
        <f t="shared" si="923"/>
        <v>3125.3063964323987</v>
      </c>
      <c r="J10076" s="310">
        <f t="shared" si="924"/>
        <v>671.14285714285711</v>
      </c>
      <c r="K10076" s="445">
        <f>J10076/POBLA!$B$19*100000</f>
        <v>132.0294882719144</v>
      </c>
    </row>
    <row r="10077" spans="1:11" s="393" customFormat="1" ht="15.75" thickBot="1" x14ac:dyDescent="0.3">
      <c r="A10077" s="402" t="s">
        <v>37</v>
      </c>
      <c r="B10077" s="268">
        <v>44312</v>
      </c>
      <c r="C10077" s="42">
        <v>230</v>
      </c>
      <c r="D10077" s="39">
        <f t="shared" si="918"/>
        <v>43880</v>
      </c>
      <c r="E10077" s="1">
        <v>5</v>
      </c>
      <c r="F10077" s="39">
        <f t="shared" si="922"/>
        <v>698</v>
      </c>
      <c r="G10077" s="436">
        <f>SUM(C10077,C10053,C10029,C10005,C9981,C9957,C9933,C9909,C9885,C9861,C9837,C9813,C9789,C9765)/POBLA!$B$20*100000</f>
        <v>757.45560544493003</v>
      </c>
      <c r="H10077" s="459">
        <f t="shared" si="925"/>
        <v>1.3975782038345106</v>
      </c>
      <c r="I10077" s="445">
        <f t="shared" si="923"/>
        <v>1058.6034445421071</v>
      </c>
      <c r="J10077" s="310">
        <f t="shared" si="924"/>
        <v>203</v>
      </c>
      <c r="K10077" s="445">
        <f>J10077/POBLA!$B$20*100000</f>
        <v>55.510284442354077</v>
      </c>
    </row>
    <row r="10078" spans="1:11" s="393" customFormat="1" ht="15.75" thickBot="1" x14ac:dyDescent="0.3">
      <c r="A10078" s="402" t="s">
        <v>22</v>
      </c>
      <c r="B10078" s="268">
        <v>44312</v>
      </c>
      <c r="C10078" s="42">
        <v>1078</v>
      </c>
      <c r="D10078" s="39">
        <f t="shared" si="918"/>
        <v>266200</v>
      </c>
      <c r="E10078" s="1">
        <v>18</v>
      </c>
      <c r="F10078" s="39">
        <f t="shared" si="922"/>
        <v>4543</v>
      </c>
      <c r="G10078" s="436">
        <f>SUM(C10078,C10054,C10030,C10006,C9982,C9958,C9934,C9910,C9886,C9862,C9838,C9814,C9790,C9766)/POBLA!$B$21*100000</f>
        <v>650.88459565583037</v>
      </c>
      <c r="H10078" s="459">
        <f t="shared" si="925"/>
        <v>1.7496199452721193</v>
      </c>
      <c r="I10078" s="445">
        <f t="shared" si="923"/>
        <v>1138.8006706298195</v>
      </c>
      <c r="J10078" s="310">
        <f t="shared" si="924"/>
        <v>1724.2857142857142</v>
      </c>
      <c r="K10078" s="445">
        <f>J10078/POBLA!$B$21*100000</f>
        <v>48.757972453644172</v>
      </c>
    </row>
    <row r="10079" spans="1:11" s="393" customFormat="1" ht="15.75" thickBot="1" x14ac:dyDescent="0.3">
      <c r="A10079" s="402" t="s">
        <v>38</v>
      </c>
      <c r="B10079" s="268">
        <v>44312</v>
      </c>
      <c r="C10079" s="42">
        <v>111</v>
      </c>
      <c r="D10079" s="39">
        <f t="shared" si="918"/>
        <v>29906</v>
      </c>
      <c r="E10079" s="1">
        <v>3</v>
      </c>
      <c r="F10079" s="39">
        <f t="shared" si="922"/>
        <v>331</v>
      </c>
      <c r="G10079" s="436">
        <f>SUM(C10079,C10055,C10031,C10007,C9983,C9959,C9935,C9911,C9887,C9863,C9839,C9815,C9791,C9767)/POBLA!$B$22*100000</f>
        <v>302.5616546033836</v>
      </c>
      <c r="H10079" s="459">
        <f t="shared" si="925"/>
        <v>1.4689826302729529</v>
      </c>
      <c r="I10079" s="445">
        <f t="shared" si="923"/>
        <v>444.45781519901516</v>
      </c>
      <c r="J10079" s="310">
        <f t="shared" si="924"/>
        <v>214</v>
      </c>
      <c r="K10079" s="445">
        <f>J10079/POBLA!$B$22*100000</f>
        <v>21.874389893623</v>
      </c>
    </row>
    <row r="10080" spans="1:11" s="393" customFormat="1" ht="15.75" thickBot="1" x14ac:dyDescent="0.3">
      <c r="A10080" s="402" t="s">
        <v>39</v>
      </c>
      <c r="B10080" s="268">
        <v>44312</v>
      </c>
      <c r="C10080" s="42">
        <v>54</v>
      </c>
      <c r="D10080" s="39">
        <f t="shared" si="918"/>
        <v>26100</v>
      </c>
      <c r="E10080" s="1">
        <v>3</v>
      </c>
      <c r="F10080" s="39">
        <f t="shared" si="922"/>
        <v>379</v>
      </c>
      <c r="G10080" s="436">
        <f>SUM(C10080,C10056,C10032,C10008,C9984,C9960,C9936,C9912,C9888,C9864,C9840,C9816,C9792,C9768)/POBLA!$B$23*100000</f>
        <v>648.64559181134427</v>
      </c>
      <c r="H10080" s="459">
        <f t="shared" si="925"/>
        <v>1.1849173553719008</v>
      </c>
      <c r="I10080" s="445">
        <f t="shared" si="923"/>
        <v>768.59141922273955</v>
      </c>
      <c r="J10080" s="310">
        <f t="shared" si="924"/>
        <v>87</v>
      </c>
      <c r="K10080" s="445">
        <f>J10080/POBLA!$B$23*100000</f>
        <v>49.199796414635529</v>
      </c>
    </row>
    <row r="10081" spans="1:11" s="393" customFormat="1" ht="15.75" thickBot="1" x14ac:dyDescent="0.3">
      <c r="A10081" s="403" t="s">
        <v>40</v>
      </c>
      <c r="B10081" s="34">
        <v>44312</v>
      </c>
      <c r="C10081" s="42">
        <v>984</v>
      </c>
      <c r="D10081" s="67">
        <f t="shared" si="918"/>
        <v>103397</v>
      </c>
      <c r="E10081" s="234"/>
      <c r="F10081" s="67">
        <f t="shared" si="922"/>
        <v>1600</v>
      </c>
      <c r="G10081" s="446">
        <f>SUM(C10081,C10057,C10033,C10009,C9985,C9961,C9937,C9913,C9889,C9865,C9841,C9817,C9793,C9769)/POBLA!$B$24*100000</f>
        <v>562.23799992446845</v>
      </c>
      <c r="H10081" s="461">
        <f t="shared" si="925"/>
        <v>1.3457627118644069</v>
      </c>
      <c r="I10081" s="462">
        <f t="shared" si="923"/>
        <v>756.63893549157285</v>
      </c>
      <c r="J10081" s="312">
        <f t="shared" si="924"/>
        <v>723.71428571428567</v>
      </c>
      <c r="K10081" s="462">
        <f>J10081/POBLA!$B$24*100000</f>
        <v>42.705675117208784</v>
      </c>
    </row>
    <row r="10082" spans="1:11" s="393" customFormat="1" x14ac:dyDescent="0.25">
      <c r="A10082" s="463" t="s">
        <v>16</v>
      </c>
      <c r="B10082" s="267">
        <v>44313</v>
      </c>
      <c r="C10082" s="43">
        <v>12410</v>
      </c>
      <c r="D10082" s="175">
        <f t="shared" si="918"/>
        <v>1266173</v>
      </c>
      <c r="E10082" s="43">
        <v>314</v>
      </c>
      <c r="F10082" s="175">
        <f t="shared" ref="F10082:F10105" si="926">E10082+F10058</f>
        <v>32311</v>
      </c>
      <c r="G10082" s="410">
        <f>SUM(C10082,C10058,C10034,C10010,C9986,C9962,C9938,C9914,C9890,C9866,C9842,C9818,C9794,C9770)/POBLA!$B$1*100000</f>
        <v>924.43815370961329</v>
      </c>
      <c r="H10082" s="464">
        <f t="shared" si="925"/>
        <v>1.3023403366743769</v>
      </c>
      <c r="I10082" s="465">
        <f>G10082*H10082</f>
        <v>1203.9330963368172</v>
      </c>
      <c r="J10082" s="314">
        <f>AVERAGE(C10082,C10058,C10034,C10010,C9986,C9962,C9938)</f>
        <v>11190.857142857143</v>
      </c>
      <c r="K10082" s="466">
        <f>J10082/POBLA!$B$1*100000</f>
        <v>63.797772008429455</v>
      </c>
    </row>
    <row r="10083" spans="1:11" s="393" customFormat="1" x14ac:dyDescent="0.25">
      <c r="A10083" s="458" t="s">
        <v>43</v>
      </c>
      <c r="B10083" s="2">
        <v>44313</v>
      </c>
      <c r="C10083" s="1">
        <v>2752</v>
      </c>
      <c r="D10083" s="39">
        <f t="shared" si="918"/>
        <v>333538</v>
      </c>
      <c r="E10083" s="1">
        <v>51</v>
      </c>
      <c r="F10083" s="39">
        <f t="shared" si="926"/>
        <v>7579</v>
      </c>
      <c r="G10083" s="436">
        <f>SUM(C10083,C10059,C10035,C10011,C9987,C9963,C9939,C9915,C9891,C9867,C9843,C9819,C9795,C9771)/POBLA!$B$2*100000</f>
        <v>1348.3346262866403</v>
      </c>
      <c r="H10083" s="452">
        <f t="shared" si="925"/>
        <v>1.2782812403674249</v>
      </c>
      <c r="I10083" s="445">
        <f t="shared" ref="I10083:I10105" si="927">G10083*H10083</f>
        <v>1723.5508585200348</v>
      </c>
      <c r="J10083" s="310">
        <f t="shared" ref="J10083:J10105" si="928">AVERAGE(C10083,C10059,C10035,C10011,C9987,C9963,C9939)</f>
        <v>2899</v>
      </c>
      <c r="K10083" s="467">
        <f>J10083/POBLA!$B$2*100000</f>
        <v>94.256621210633469</v>
      </c>
    </row>
    <row r="10084" spans="1:11" s="393" customFormat="1" x14ac:dyDescent="0.25">
      <c r="A10084" s="468" t="s">
        <v>28</v>
      </c>
      <c r="B10084" s="2">
        <v>44313</v>
      </c>
      <c r="C10084" s="1">
        <v>209</v>
      </c>
      <c r="D10084" s="39">
        <f t="shared" si="918"/>
        <v>14444</v>
      </c>
      <c r="E10084" s="1"/>
      <c r="F10084" s="39">
        <f t="shared" si="926"/>
        <v>19</v>
      </c>
      <c r="G10084" s="436">
        <f>SUM(C10084,C10060,C10036,C10012,C9988,C9964,C9940,C9916,C9892,C9868,C9844,C9820,C9796,C9772)/POBLA!$B$3*100000</f>
        <v>583.9619871075829</v>
      </c>
      <c r="H10084" s="452">
        <f t="shared" si="925"/>
        <v>1.481979230299328</v>
      </c>
      <c r="I10084" s="445">
        <f t="shared" si="927"/>
        <v>865.41953617776176</v>
      </c>
      <c r="J10084" s="310">
        <f t="shared" si="928"/>
        <v>184</v>
      </c>
      <c r="K10084" s="467">
        <f>J10084/POBLA!$B$3*100000</f>
        <v>44.290604133468776</v>
      </c>
    </row>
    <row r="10085" spans="1:11" s="393" customFormat="1" x14ac:dyDescent="0.25">
      <c r="A10085" s="468" t="s">
        <v>15</v>
      </c>
      <c r="B10085" s="2">
        <v>44313</v>
      </c>
      <c r="C10085" s="1">
        <v>174</v>
      </c>
      <c r="D10085" s="39">
        <f t="shared" si="918"/>
        <v>43938</v>
      </c>
      <c r="E10085" s="1">
        <v>7</v>
      </c>
      <c r="F10085" s="39">
        <f t="shared" si="926"/>
        <v>1026</v>
      </c>
      <c r="G10085" s="436">
        <f>SUM(C10085,C10061,C10037,C10013,C9989,C9965,C9941,C9917,C9893,C9869,C9845,C9821,C9797,C9773)/POBLA!$B$4*100000</f>
        <v>257.9405765349623</v>
      </c>
      <c r="H10085" s="452">
        <f t="shared" si="925"/>
        <v>1.2358790771678601</v>
      </c>
      <c r="I10085" s="445">
        <f t="shared" si="927"/>
        <v>318.78336169217499</v>
      </c>
      <c r="J10085" s="310">
        <f t="shared" si="928"/>
        <v>202.85714285714286</v>
      </c>
      <c r="K10085" s="467">
        <f>J10085/POBLA!$B$4*100000</f>
        <v>16.841032630449511</v>
      </c>
    </row>
    <row r="10086" spans="1:11" s="393" customFormat="1" x14ac:dyDescent="0.25">
      <c r="A10086" s="468" t="s">
        <v>29</v>
      </c>
      <c r="B10086" s="2">
        <v>44313</v>
      </c>
      <c r="C10086" s="1">
        <v>166</v>
      </c>
      <c r="D10086" s="39">
        <f t="shared" si="918"/>
        <v>54285</v>
      </c>
      <c r="E10086" s="1"/>
      <c r="F10086" s="39">
        <f t="shared" si="926"/>
        <v>903</v>
      </c>
      <c r="G10086" s="436">
        <f>SUM(C10086,C10062,C10038,C10014,C9990,C9966,C9942,C9918,C9894,C9870,C9846,C9822,C9798,C9774)/POBLA!$B$5*100000</f>
        <v>413.2511785251553</v>
      </c>
      <c r="H10086" s="452">
        <f t="shared" si="925"/>
        <v>1.3985784581738654</v>
      </c>
      <c r="I10086" s="445">
        <f t="shared" si="927"/>
        <v>577.96419610024452</v>
      </c>
      <c r="J10086" s="310">
        <f t="shared" si="928"/>
        <v>181.71428571428572</v>
      </c>
      <c r="K10086" s="467">
        <f>J10086/POBLA!$B$5*100000</f>
        <v>29.356388868758945</v>
      </c>
    </row>
    <row r="10087" spans="1:11" s="393" customFormat="1" x14ac:dyDescent="0.25">
      <c r="A10087" s="468" t="s">
        <v>30</v>
      </c>
      <c r="B10087" s="2">
        <v>44313</v>
      </c>
      <c r="C10087" s="1">
        <v>135</v>
      </c>
      <c r="D10087" s="39">
        <f t="shared" si="918"/>
        <v>36852</v>
      </c>
      <c r="E10087" s="1">
        <v>20</v>
      </c>
      <c r="F10087" s="39">
        <f t="shared" si="926"/>
        <v>477</v>
      </c>
      <c r="G10087" s="436">
        <f>SUM(C10087,C10063,C10039,C10015,C9991,C9967,C9943,C9919,C9895,C9871,C9847,C9823,C9799,C9775)/POBLA!$B$6*100000</f>
        <v>277.48012359018236</v>
      </c>
      <c r="H10087" s="452">
        <f t="shared" si="925"/>
        <v>0.78199647975861197</v>
      </c>
      <c r="I10087" s="445">
        <f t="shared" si="927"/>
        <v>216.98847985050719</v>
      </c>
      <c r="J10087" s="310">
        <f t="shared" si="928"/>
        <v>244.28571428571428</v>
      </c>
      <c r="K10087" s="467">
        <f>J10087/POBLA!$B$6*100000</f>
        <v>21.795636717464948</v>
      </c>
    </row>
    <row r="10088" spans="1:11" s="393" customFormat="1" x14ac:dyDescent="0.25">
      <c r="A10088" s="468" t="s">
        <v>20</v>
      </c>
      <c r="B10088" s="2">
        <v>44313</v>
      </c>
      <c r="C10088" s="1">
        <v>2123</v>
      </c>
      <c r="D10088" s="39">
        <f t="shared" si="918"/>
        <v>221615</v>
      </c>
      <c r="E10088" s="1">
        <v>30</v>
      </c>
      <c r="F10088" s="39">
        <f t="shared" si="926"/>
        <v>3333</v>
      </c>
      <c r="G10088" s="436">
        <f>SUM(C10088,C10064,C10040,C10016,C9992,C9968,C9944,C9920,C9896,C9872,C9848,C9824,C9800,C9776)/POBLA!$B$7*100000</f>
        <v>606.84226621813878</v>
      </c>
      <c r="H10088" s="452">
        <f t="shared" si="925"/>
        <v>1.1749562351971992</v>
      </c>
      <c r="I10088" s="445">
        <f t="shared" si="927"/>
        <v>713.01310447420076</v>
      </c>
      <c r="J10088" s="310">
        <f t="shared" si="928"/>
        <v>1598.7142857142858</v>
      </c>
      <c r="K10088" s="467">
        <f>J10088/POBLA!$B$7*100000</f>
        <v>42.513908859691945</v>
      </c>
    </row>
    <row r="10089" spans="1:11" x14ac:dyDescent="0.25">
      <c r="A10089" s="468" t="s">
        <v>31</v>
      </c>
      <c r="B10089" s="2">
        <v>44313</v>
      </c>
      <c r="C10089" s="1">
        <v>653</v>
      </c>
      <c r="D10089" s="39">
        <f t="shared" si="918"/>
        <v>60979</v>
      </c>
      <c r="E10089" s="1">
        <v>5</v>
      </c>
      <c r="F10089" s="39">
        <f t="shared" si="926"/>
        <v>1045</v>
      </c>
      <c r="G10089" s="169">
        <f>SUM(C10089,C10065,C10041,C10017,C9993,C9969,C9945,C9921,C9897,C9873,C9849,C9825,C9801,C9777)/POBLA!$B$8*100000</f>
        <v>508.02295302681677</v>
      </c>
      <c r="H10089" s="258">
        <f t="shared" si="925"/>
        <v>1.6382038157282457</v>
      </c>
      <c r="I10089" s="310">
        <f t="shared" si="927"/>
        <v>832.24514012606255</v>
      </c>
      <c r="J10089" s="310">
        <f t="shared" si="928"/>
        <v>532</v>
      </c>
      <c r="K10089" s="540">
        <f>J10089/POBLA!$B$8*100000</f>
        <v>38.3849184789471</v>
      </c>
    </row>
    <row r="10090" spans="1:11" s="393" customFormat="1" x14ac:dyDescent="0.25">
      <c r="A10090" s="468" t="s">
        <v>41</v>
      </c>
      <c r="B10090" s="2">
        <v>44313</v>
      </c>
      <c r="C10090" s="1">
        <v>118</v>
      </c>
      <c r="D10090" s="39">
        <f t="shared" si="918"/>
        <v>4405</v>
      </c>
      <c r="E10090" s="1">
        <v>7</v>
      </c>
      <c r="F10090" s="39">
        <f t="shared" si="926"/>
        <v>76</v>
      </c>
      <c r="G10090" s="436">
        <f>SUM(C10090,C10066,C10042,C10018,C9994,C9970,C9946,C9922,C9898,C9874,C9850,C9826,C9802,C9778)/POBLA!$B$9*100000</f>
        <v>210.18088444512742</v>
      </c>
      <c r="H10090" s="452">
        <f t="shared" si="925"/>
        <v>1.2102759276879163</v>
      </c>
      <c r="I10090" s="445">
        <f t="shared" si="927"/>
        <v>254.37686490409331</v>
      </c>
      <c r="J10090" s="310">
        <f t="shared" si="928"/>
        <v>111.14285714285714</v>
      </c>
      <c r="K10090" s="467">
        <f>J10090/POBLA!$B$9*100000</f>
        <v>18.364861646261133</v>
      </c>
    </row>
    <row r="10091" spans="1:11" s="393" customFormat="1" x14ac:dyDescent="0.25">
      <c r="A10091" s="468" t="s">
        <v>32</v>
      </c>
      <c r="B10091" s="2">
        <v>44313</v>
      </c>
      <c r="C10091" s="1">
        <v>113</v>
      </c>
      <c r="D10091" s="39">
        <f t="shared" si="918"/>
        <v>24554</v>
      </c>
      <c r="E10091" s="1">
        <v>3</v>
      </c>
      <c r="F10091" s="39">
        <f t="shared" si="926"/>
        <v>1024</v>
      </c>
      <c r="G10091" s="436">
        <f>SUM(C10091,C10067,C10043,C10019,C9995,C9971,C9947,C9923,C9899,C9875,C9851,C9827,C9803,C9779)/POBLA!$B$10*100000</f>
        <v>175.38374924274953</v>
      </c>
      <c r="H10091" s="452">
        <f t="shared" si="925"/>
        <v>1.6308805790108565</v>
      </c>
      <c r="I10091" s="445">
        <f t="shared" si="927"/>
        <v>286.02995051411023</v>
      </c>
      <c r="J10091" s="310">
        <f t="shared" si="928"/>
        <v>96.857142857142861</v>
      </c>
      <c r="K10091" s="467">
        <f>J10091/POBLA!$B$10*100000</f>
        <v>12.564474005344906</v>
      </c>
    </row>
    <row r="10092" spans="1:11" s="393" customFormat="1" x14ac:dyDescent="0.25">
      <c r="A10092" s="458" t="s">
        <v>33</v>
      </c>
      <c r="B10092" s="2">
        <v>44313</v>
      </c>
      <c r="C10092" s="1">
        <v>327</v>
      </c>
      <c r="D10092" s="39">
        <f t="shared" si="918"/>
        <v>26273</v>
      </c>
      <c r="E10092" s="1">
        <v>8</v>
      </c>
      <c r="F10092" s="39">
        <f t="shared" si="926"/>
        <v>364</v>
      </c>
      <c r="G10092" s="436">
        <f>SUM(C10092,C10068,C10044,C10020,C9996,C9972,C9948,C9924,C9900,C9876,C9852,C9828,C9804,C9780)/POBLA!$B$11*100000</f>
        <v>937.42676353409888</v>
      </c>
      <c r="H10092" s="452">
        <f t="shared" si="925"/>
        <v>1.9626168224299065</v>
      </c>
      <c r="I10092" s="445">
        <f t="shared" si="927"/>
        <v>1839.8095359080446</v>
      </c>
      <c r="J10092" s="310">
        <f t="shared" si="928"/>
        <v>254.57142857142858</v>
      </c>
      <c r="K10092" s="467">
        <f>J10092/POBLA!$B$11*100000</f>
        <v>71.024425706537599</v>
      </c>
    </row>
    <row r="10093" spans="1:11" s="393" customFormat="1" x14ac:dyDescent="0.25">
      <c r="A10093" s="468" t="s">
        <v>21</v>
      </c>
      <c r="B10093" s="2">
        <v>44313</v>
      </c>
      <c r="C10093" s="1">
        <v>70</v>
      </c>
      <c r="D10093" s="39">
        <f t="shared" si="918"/>
        <v>13189</v>
      </c>
      <c r="E10093" s="1">
        <v>2</v>
      </c>
      <c r="F10093" s="39">
        <f t="shared" si="926"/>
        <v>469</v>
      </c>
      <c r="G10093" s="436">
        <f>SUM(C10093,C10069,C10045,C10021,C9997,C9973,C9949,C9925,C9901,C9877,C9853,C9829,C9805,C9781)/POBLA!$B$12*100000</f>
        <v>276.72534057037439</v>
      </c>
      <c r="H10093" s="452">
        <f t="shared" si="925"/>
        <v>1.0139664804469273</v>
      </c>
      <c r="I10093" s="445">
        <f t="shared" si="927"/>
        <v>280.59021962861982</v>
      </c>
      <c r="J10093" s="310">
        <f t="shared" si="928"/>
        <v>75.142857142857139</v>
      </c>
      <c r="K10093" s="467">
        <f>J10093/POBLA!$B$12*100000</f>
        <v>19.094520417160819</v>
      </c>
    </row>
    <row r="10094" spans="1:11" s="393" customFormat="1" x14ac:dyDescent="0.25">
      <c r="A10094" s="468" t="s">
        <v>17</v>
      </c>
      <c r="B10094" s="2">
        <v>44313</v>
      </c>
      <c r="C10094" s="1">
        <v>998</v>
      </c>
      <c r="D10094" s="39">
        <f t="shared" si="918"/>
        <v>94009</v>
      </c>
      <c r="E10094" s="1">
        <v>17</v>
      </c>
      <c r="F10094" s="39">
        <f t="shared" si="926"/>
        <v>1761</v>
      </c>
      <c r="G10094" s="436">
        <f>SUM(C10094,C10070,C10046,C10022,C9998,C9974,C9950,C9926,C9902,C9878,C9854,C9830,C9806,C9782)/POBLA!$B$13*100000</f>
        <v>621.05029397016995</v>
      </c>
      <c r="H10094" s="452">
        <f t="shared" si="925"/>
        <v>1.3491595721458196</v>
      </c>
      <c r="I10094" s="445">
        <f t="shared" si="927"/>
        <v>837.89594889383</v>
      </c>
      <c r="J10094" s="310">
        <f t="shared" si="928"/>
        <v>848.85714285714289</v>
      </c>
      <c r="K10094" s="467">
        <f>J10094/POBLA!$B$13*100000</f>
        <v>42.648893949527313</v>
      </c>
    </row>
    <row r="10095" spans="1:11" s="393" customFormat="1" x14ac:dyDescent="0.25">
      <c r="A10095" s="468" t="s">
        <v>23</v>
      </c>
      <c r="B10095" s="2">
        <v>44313</v>
      </c>
      <c r="C10095" s="1">
        <v>76</v>
      </c>
      <c r="D10095" s="39">
        <f t="shared" si="918"/>
        <v>15286</v>
      </c>
      <c r="E10095" s="1"/>
      <c r="F10095" s="39">
        <f t="shared" si="926"/>
        <v>237</v>
      </c>
      <c r="G10095" s="436">
        <f>SUM(C10095,C10071,C10047,C10023,C9999,C9975,C9951,C9927,C9903,C9879,C9855,C9831,C9807,C9783)/POBLA!$B$14*100000</f>
        <v>129.70806172074077</v>
      </c>
      <c r="H10095" s="452">
        <f t="shared" si="925"/>
        <v>0.95560747663551404</v>
      </c>
      <c r="I10095" s="445">
        <f t="shared" si="927"/>
        <v>123.9499935602406</v>
      </c>
      <c r="J10095" s="310">
        <f t="shared" si="928"/>
        <v>114.85714285714286</v>
      </c>
      <c r="K10095" s="467">
        <f>J10095/POBLA!$B$14*100000</f>
        <v>9.1062942388644412</v>
      </c>
    </row>
    <row r="10096" spans="1:11" s="393" customFormat="1" x14ac:dyDescent="0.25">
      <c r="A10096" s="468" t="s">
        <v>19</v>
      </c>
      <c r="B10096" s="2">
        <v>44313</v>
      </c>
      <c r="C10096" s="1">
        <v>484</v>
      </c>
      <c r="D10096" s="39">
        <f t="shared" si="918"/>
        <v>70063</v>
      </c>
      <c r="E10096" s="1">
        <v>1</v>
      </c>
      <c r="F10096" s="39">
        <f t="shared" si="926"/>
        <v>1052</v>
      </c>
      <c r="G10096" s="436">
        <f>SUM(C10096,C10072,C10048,C10024,C10000,C9976,C9952,C9928,C9904,C9880,C9856,C9832,C9808,C9784)/POBLA!$B$15*100000</f>
        <v>476.4651227228988</v>
      </c>
      <c r="H10096" s="452">
        <f t="shared" si="925"/>
        <v>1.7336986301369863</v>
      </c>
      <c r="I10096" s="445">
        <f t="shared" si="927"/>
        <v>826.04693057274073</v>
      </c>
      <c r="J10096" s="310">
        <f t="shared" si="928"/>
        <v>263.14285714285717</v>
      </c>
      <c r="K10096" s="467">
        <f>J10096/POBLA!$B$15*100000</f>
        <v>39.626546688440477</v>
      </c>
    </row>
    <row r="10097" spans="1:11" s="393" customFormat="1" x14ac:dyDescent="0.25">
      <c r="A10097" s="468" t="s">
        <v>18</v>
      </c>
      <c r="B10097" s="2">
        <v>44313</v>
      </c>
      <c r="C10097" s="1">
        <v>393</v>
      </c>
      <c r="D10097" s="39">
        <f t="shared" si="918"/>
        <v>60499</v>
      </c>
      <c r="E10097" s="1">
        <v>4</v>
      </c>
      <c r="F10097" s="39">
        <f t="shared" si="926"/>
        <v>1343</v>
      </c>
      <c r="G10097" s="436">
        <f>SUM(C10097,C10073,C10049,C10025,C10001,C9977,C9953,C9929,C9905,C9881,C9857,C9833,C9809,C9785)/POBLA!$B$16*100000</f>
        <v>442.47669239309266</v>
      </c>
      <c r="H10097" s="452">
        <f t="shared" si="925"/>
        <v>1.7265135699373695</v>
      </c>
      <c r="I10097" s="445">
        <f t="shared" si="927"/>
        <v>763.94201379767776</v>
      </c>
      <c r="J10097" s="310">
        <f t="shared" si="928"/>
        <v>266.85714285714283</v>
      </c>
      <c r="K10097" s="467">
        <f>J10097/POBLA!$B$16*100000</f>
        <v>35.694699489993823</v>
      </c>
    </row>
    <row r="10098" spans="1:11" s="393" customFormat="1" x14ac:dyDescent="0.25">
      <c r="A10098" s="468" t="s">
        <v>34</v>
      </c>
      <c r="B10098" s="2">
        <v>44313</v>
      </c>
      <c r="C10098" s="1">
        <v>216</v>
      </c>
      <c r="D10098" s="39">
        <f t="shared" si="918"/>
        <v>34043</v>
      </c>
      <c r="E10098" s="1">
        <v>5</v>
      </c>
      <c r="F10098" s="39">
        <f t="shared" si="926"/>
        <v>1255</v>
      </c>
      <c r="G10098" s="436">
        <f>SUM(C10098,C10074,C10050,C10026,C10002,C9978,C9954,C9930,C9906,C9882,C9858,C9834,C9810,C9786)/POBLA!$B$17*100000</f>
        <v>189.62410058431743</v>
      </c>
      <c r="H10098" s="452">
        <f t="shared" ref="H10098:H10121" si="929">SUM(C10098,C10074,C10050,C10026,C10002,C9978,C9954,C9930,C9906,C9882,C9858,C9834,C9810,C9786)/SUM(C9762,C9738,C9714,C9690,C9666,C9642,C9618,C9594,C9570,C9546,C9522,C9498,C9474,C9450)</f>
        <v>1.2662916080637601</v>
      </c>
      <c r="I10098" s="445">
        <f t="shared" si="927"/>
        <v>240.1194072565595</v>
      </c>
      <c r="J10098" s="310">
        <f t="shared" si="928"/>
        <v>190</v>
      </c>
      <c r="K10098" s="467">
        <f>J10098/POBLA!$B$17*100000</f>
        <v>13.338977827108593</v>
      </c>
    </row>
    <row r="10099" spans="1:11" s="393" customFormat="1" x14ac:dyDescent="0.25">
      <c r="A10099" s="468" t="s">
        <v>35</v>
      </c>
      <c r="B10099" s="2">
        <v>44313</v>
      </c>
      <c r="C10099" s="1">
        <v>463</v>
      </c>
      <c r="D10099" s="39">
        <f t="shared" ref="D10099:D10162" si="930">C10099+D10075</f>
        <v>22679</v>
      </c>
      <c r="E10099" s="1">
        <v>6</v>
      </c>
      <c r="F10099" s="39">
        <f t="shared" si="926"/>
        <v>263</v>
      </c>
      <c r="G10099" s="436">
        <f>SUM(C10099,C10075,C10051,C10027,C10003,C9979,C9955,C9931,C9907,C9883,C9859,C9835,C9811,C9787)/POBLA!$B$18*100000</f>
        <v>433.93832955504041</v>
      </c>
      <c r="H10099" s="452">
        <f t="shared" si="929"/>
        <v>1.5650969529085872</v>
      </c>
      <c r="I10099" s="445">
        <f t="shared" si="927"/>
        <v>679.15555733683607</v>
      </c>
      <c r="J10099" s="310">
        <f t="shared" si="928"/>
        <v>284.57142857142856</v>
      </c>
      <c r="K10099" s="467">
        <f>J10099/POBLA!$B$18*100000</f>
        <v>36.426681520170263</v>
      </c>
    </row>
    <row r="10100" spans="1:11" s="393" customFormat="1" x14ac:dyDescent="0.25">
      <c r="A10100" s="458" t="s">
        <v>36</v>
      </c>
      <c r="B10100" s="2">
        <v>44313</v>
      </c>
      <c r="C10100" s="1">
        <v>605</v>
      </c>
      <c r="D10100" s="39">
        <f t="shared" si="930"/>
        <v>35855</v>
      </c>
      <c r="E10100" s="1">
        <v>1</v>
      </c>
      <c r="F10100" s="39">
        <f t="shared" si="926"/>
        <v>476</v>
      </c>
      <c r="G10100" s="436">
        <f>SUM(C10100,C10076,C10052,C10028,C10004,C9980,C9956,C9932,C9908,C9884,C9860,C9836,C9812,C9788)/POBLA!$B$19*100000</f>
        <v>1657.394438236729</v>
      </c>
      <c r="H10100" s="452">
        <f t="shared" si="929"/>
        <v>1.7443064182194616</v>
      </c>
      <c r="I10100" s="445">
        <f t="shared" si="927"/>
        <v>2891.0037561375657</v>
      </c>
      <c r="J10100" s="310">
        <f t="shared" si="928"/>
        <v>667.71428571428567</v>
      </c>
      <c r="K10100" s="467">
        <f>J10100/POBLA!$B$19*100000</f>
        <v>131.35500812748572</v>
      </c>
    </row>
    <row r="10101" spans="1:11" s="393" customFormat="1" x14ac:dyDescent="0.25">
      <c r="A10101" s="468" t="s">
        <v>37</v>
      </c>
      <c r="B10101" s="2">
        <v>44313</v>
      </c>
      <c r="C10101" s="1">
        <v>172</v>
      </c>
      <c r="D10101" s="39">
        <f t="shared" si="930"/>
        <v>44052</v>
      </c>
      <c r="E10101" s="1">
        <v>2</v>
      </c>
      <c r="F10101" s="39">
        <f t="shared" si="926"/>
        <v>700</v>
      </c>
      <c r="G10101" s="436">
        <f>SUM(C10101,C10077,C10053,C10029,C10005,C9981,C9957,C9933,C9909,C9885,C9861,C9837,C9813,C9789)/POBLA!$B$20*100000</f>
        <v>738.31412805101479</v>
      </c>
      <c r="H10101" s="452">
        <f t="shared" si="929"/>
        <v>1.2605042016806722</v>
      </c>
      <c r="I10101" s="445">
        <f t="shared" si="927"/>
        <v>930.64806056850603</v>
      </c>
      <c r="J10101" s="310">
        <f t="shared" si="928"/>
        <v>193.71428571428572</v>
      </c>
      <c r="K10101" s="467">
        <f>J10101/POBLA!$B$20*100000</f>
        <v>52.971108869691861</v>
      </c>
    </row>
    <row r="10102" spans="1:11" s="393" customFormat="1" x14ac:dyDescent="0.25">
      <c r="A10102" s="469" t="s">
        <v>22</v>
      </c>
      <c r="B10102" s="2">
        <v>44313</v>
      </c>
      <c r="C10102" s="1">
        <v>2002</v>
      </c>
      <c r="D10102" s="39">
        <f t="shared" si="930"/>
        <v>268202</v>
      </c>
      <c r="E10102" s="1">
        <v>30</v>
      </c>
      <c r="F10102" s="39">
        <f t="shared" si="926"/>
        <v>4573</v>
      </c>
      <c r="G10102" s="436">
        <f>SUM(C10102,C10078,C10054,C10030,C10006,C9982,C9958,C9934,C9910,C9886,C9862,C9838,C9814,C9790)/POBLA!$B$21*100000</f>
        <v>657.67112371897213</v>
      </c>
      <c r="H10102" s="452">
        <f t="shared" si="929"/>
        <v>1.6185107863604733</v>
      </c>
      <c r="I10102" s="445">
        <f t="shared" si="927"/>
        <v>1064.4478076169696</v>
      </c>
      <c r="J10102" s="310">
        <f t="shared" si="928"/>
        <v>1704</v>
      </c>
      <c r="K10102" s="467">
        <f>J10102/POBLA!$B$21*100000</f>
        <v>48.184349248307186</v>
      </c>
    </row>
    <row r="10103" spans="1:11" s="393" customFormat="1" x14ac:dyDescent="0.25">
      <c r="A10103" s="468" t="s">
        <v>38</v>
      </c>
      <c r="B10103" s="2">
        <v>44313</v>
      </c>
      <c r="C10103" s="1">
        <v>122</v>
      </c>
      <c r="D10103" s="39">
        <f t="shared" si="930"/>
        <v>30028</v>
      </c>
      <c r="E10103" s="1">
        <v>2</v>
      </c>
      <c r="F10103" s="39">
        <f t="shared" si="926"/>
        <v>333</v>
      </c>
      <c r="G10103" s="436">
        <f>SUM(C10103,C10079,C10055,C10031,C10007,C9983,C9959,C9935,C9911,C9887,C9863,C9839,C9815,C9791)/POBLA!$B$22*100000</f>
        <v>301.02840297532589</v>
      </c>
      <c r="H10103" s="452">
        <f t="shared" si="929"/>
        <v>1.401713469776297</v>
      </c>
      <c r="I10103" s="445">
        <f t="shared" si="927"/>
        <v>421.95556723576141</v>
      </c>
      <c r="J10103" s="310">
        <f t="shared" si="928"/>
        <v>210.85714285714286</v>
      </c>
      <c r="K10103" s="467">
        <f>J10103/POBLA!$B$22*100000</f>
        <v>21.553137171553772</v>
      </c>
    </row>
    <row r="10104" spans="1:11" s="393" customFormat="1" x14ac:dyDescent="0.25">
      <c r="A10104" s="468" t="s">
        <v>39</v>
      </c>
      <c r="B10104" s="2">
        <v>44313</v>
      </c>
      <c r="C10104" s="1">
        <v>74</v>
      </c>
      <c r="D10104" s="39">
        <f t="shared" si="930"/>
        <v>26174</v>
      </c>
      <c r="E10104" s="1">
        <v>1</v>
      </c>
      <c r="F10104" s="39">
        <f t="shared" si="926"/>
        <v>380</v>
      </c>
      <c r="G10104" s="436">
        <f>SUM(C10104,C10080,C10056,C10032,C10008,C9984,C9960,C9936,C9912,C9888,C9864,C9840,C9816,C9792)/POBLA!$B$23*100000</f>
        <v>631.68014477181475</v>
      </c>
      <c r="H10104" s="452">
        <f t="shared" si="929"/>
        <v>1.0607787274453941</v>
      </c>
      <c r="I10104" s="445">
        <f t="shared" si="927"/>
        <v>670.07286012356803</v>
      </c>
      <c r="J10104" s="310">
        <f t="shared" si="928"/>
        <v>82.714285714285708</v>
      </c>
      <c r="K10104" s="467">
        <f>J10104/POBLA!$B$23*100000</f>
        <v>46.776161123274164</v>
      </c>
    </row>
    <row r="10105" spans="1:11" s="393" customFormat="1" ht="15.75" thickBot="1" x14ac:dyDescent="0.3">
      <c r="A10105" s="470" t="s">
        <v>40</v>
      </c>
      <c r="B10105" s="34">
        <v>44313</v>
      </c>
      <c r="C10105" s="234">
        <v>640</v>
      </c>
      <c r="D10105" s="67">
        <f t="shared" si="930"/>
        <v>104037</v>
      </c>
      <c r="E10105" s="234"/>
      <c r="F10105" s="67">
        <f t="shared" si="926"/>
        <v>1600</v>
      </c>
      <c r="G10105" s="446">
        <f>SUM(C10105,C10081,C10057,C10033,C10009,C9985,C9961,C9937,C9913,C9889,C9865,C9841,C9817,C9793)/POBLA!$B$24*100000</f>
        <v>554.97988972393216</v>
      </c>
      <c r="H10105" s="453">
        <f t="shared" si="929"/>
        <v>1.249335812964931</v>
      </c>
      <c r="I10105" s="462">
        <f t="shared" si="927"/>
        <v>693.35625170743651</v>
      </c>
      <c r="J10105" s="312">
        <f t="shared" si="928"/>
        <v>680.42857142857144</v>
      </c>
      <c r="K10105" s="471">
        <f>J10105/POBLA!$B$24*100000</f>
        <v>40.151427276601943</v>
      </c>
    </row>
    <row r="10106" spans="1:11" s="393" customFormat="1" x14ac:dyDescent="0.25">
      <c r="A10106" s="472" t="s">
        <v>16</v>
      </c>
      <c r="B10106" s="330">
        <v>44314</v>
      </c>
      <c r="C10106" s="391">
        <v>11057</v>
      </c>
      <c r="D10106" s="331">
        <f t="shared" si="930"/>
        <v>1277230</v>
      </c>
      <c r="E10106" s="332">
        <v>174</v>
      </c>
      <c r="F10106" s="331">
        <f t="shared" ref="F10106:F10129" si="931">E10106+F10082</f>
        <v>32485</v>
      </c>
      <c r="G10106" s="473">
        <f>SUM(C10106,C10082,C10058,C10034,C10010,C9986,C9962,C9938,C9914,C9890,C9866,C9842,C9818,C9794)/POBLA!$B$1*100000</f>
        <v>911.98742430723291</v>
      </c>
      <c r="H10106" s="474">
        <f t="shared" si="929"/>
        <v>1.2335029686174723</v>
      </c>
      <c r="I10106" s="475">
        <f>G10106*H10106</f>
        <v>1124.939195224774</v>
      </c>
      <c r="J10106" s="335">
        <f>AVERAGE(C10106,C10082,C10058,C10034,C10010,C9986,C9962)</f>
        <v>10929.857142857143</v>
      </c>
      <c r="K10106" s="476">
        <f>J10106/POBLA!$B$1*100000</f>
        <v>62.309841434243893</v>
      </c>
    </row>
    <row r="10107" spans="1:11" s="393" customFormat="1" x14ac:dyDescent="0.25">
      <c r="A10107" s="477" t="s">
        <v>43</v>
      </c>
      <c r="B10107" s="324">
        <v>44314</v>
      </c>
      <c r="C10107" s="111">
        <v>2909</v>
      </c>
      <c r="D10107" s="325">
        <f t="shared" si="930"/>
        <v>336447</v>
      </c>
      <c r="E10107" s="326">
        <v>57</v>
      </c>
      <c r="F10107" s="325">
        <f t="shared" si="931"/>
        <v>7636</v>
      </c>
      <c r="G10107" s="478">
        <f>SUM(C10107,C10083,C10059,C10035,C10011,C9987,C9963,C9939,C9915,C9891,C9867,C9843,C9819,C9795)/POBLA!$B$2*100000</f>
        <v>1356.4955134628628</v>
      </c>
      <c r="H10107" s="479">
        <f t="shared" si="929"/>
        <v>1.2493935854819873</v>
      </c>
      <c r="I10107" s="480">
        <f t="shared" ref="I10107:I10129" si="932">G10107*H10107</f>
        <v>1694.7967932555955</v>
      </c>
      <c r="J10107" s="329">
        <f t="shared" ref="J10107:J10129" si="933">AVERAGE(C10107,C10083,C10059,C10035,C10011,C9987,C9963)</f>
        <v>2959</v>
      </c>
      <c r="K10107" s="481">
        <f>J10107/POBLA!$B$2*100000</f>
        <v>96.20743089419264</v>
      </c>
    </row>
    <row r="10108" spans="1:11" s="393" customFormat="1" x14ac:dyDescent="0.25">
      <c r="A10108" s="482" t="s">
        <v>28</v>
      </c>
      <c r="B10108" s="324">
        <v>44314</v>
      </c>
      <c r="C10108" s="111">
        <v>111</v>
      </c>
      <c r="D10108" s="325">
        <f t="shared" si="930"/>
        <v>14555</v>
      </c>
      <c r="E10108" s="326"/>
      <c r="F10108" s="325">
        <f t="shared" si="931"/>
        <v>19</v>
      </c>
      <c r="G10108" s="478">
        <f>SUM(C10108,C10084,C10060,C10036,C10012,C9988,C9964,C9940,C9916,C9892,C9868,C9844,C9820,C9796)/POBLA!$B$3*100000</f>
        <v>570.48223802348366</v>
      </c>
      <c r="H10108" s="479">
        <f t="shared" si="929"/>
        <v>1.3739130434782609</v>
      </c>
      <c r="I10108" s="480">
        <f t="shared" si="932"/>
        <v>783.79298789313407</v>
      </c>
      <c r="J10108" s="329">
        <f t="shared" si="933"/>
        <v>175.71428571428572</v>
      </c>
      <c r="K10108" s="481">
        <f>J10108/POBLA!$B$3*100000</f>
        <v>42.296151462862262</v>
      </c>
    </row>
    <row r="10109" spans="1:11" s="393" customFormat="1" x14ac:dyDescent="0.25">
      <c r="A10109" s="482" t="s">
        <v>15</v>
      </c>
      <c r="B10109" s="324">
        <v>44314</v>
      </c>
      <c r="C10109" s="111">
        <v>263</v>
      </c>
      <c r="D10109" s="325">
        <f t="shared" si="930"/>
        <v>44201</v>
      </c>
      <c r="E10109" s="326">
        <v>6</v>
      </c>
      <c r="F10109" s="325">
        <f t="shared" si="931"/>
        <v>1032</v>
      </c>
      <c r="G10109" s="478">
        <f>SUM(C10109,C10085,C10061,C10037,C10013,C9989,C9965,C9941,C9917,C9893,C9869,C9845,C9821,C9797)/POBLA!$B$4*100000</f>
        <v>259.26888333398364</v>
      </c>
      <c r="H10109" s="479">
        <f t="shared" si="929"/>
        <v>1.2076566125290022</v>
      </c>
      <c r="I10109" s="480">
        <f t="shared" si="932"/>
        <v>313.10778138129575</v>
      </c>
      <c r="J10109" s="329">
        <f t="shared" si="933"/>
        <v>204.71428571428572</v>
      </c>
      <c r="K10109" s="481">
        <f>J10109/POBLA!$B$4*100000</f>
        <v>16.995211098193064</v>
      </c>
    </row>
    <row r="10110" spans="1:11" s="393" customFormat="1" x14ac:dyDescent="0.25">
      <c r="A10110" s="482" t="s">
        <v>29</v>
      </c>
      <c r="B10110" s="324">
        <v>44314</v>
      </c>
      <c r="C10110" s="111">
        <v>236</v>
      </c>
      <c r="D10110" s="325">
        <f t="shared" si="930"/>
        <v>54521</v>
      </c>
      <c r="E10110" s="326">
        <v>12</v>
      </c>
      <c r="F10110" s="325">
        <f t="shared" si="931"/>
        <v>915</v>
      </c>
      <c r="G10110" s="478">
        <f>SUM(C10110,C10086,C10062,C10038,C10014,C9990,C9966,C9942,C9918,C9894,C9870,C9846,C9822,C9798)/POBLA!$B$5*100000</f>
        <v>409.21236716349432</v>
      </c>
      <c r="H10110" s="479">
        <f t="shared" si="929"/>
        <v>1.3509333333333333</v>
      </c>
      <c r="I10110" s="480">
        <f t="shared" si="932"/>
        <v>552.81862721340326</v>
      </c>
      <c r="J10110" s="329">
        <f t="shared" si="933"/>
        <v>183.42857142857142</v>
      </c>
      <c r="K10110" s="481">
        <f>J10110/POBLA!$B$5*100000</f>
        <v>29.633335933558552</v>
      </c>
    </row>
    <row r="10111" spans="1:11" s="393" customFormat="1" x14ac:dyDescent="0.25">
      <c r="A10111" s="482" t="s">
        <v>30</v>
      </c>
      <c r="B10111" s="324">
        <v>44314</v>
      </c>
      <c r="C10111" s="111">
        <v>335</v>
      </c>
      <c r="D10111" s="325">
        <f t="shared" si="930"/>
        <v>37187</v>
      </c>
      <c r="E10111" s="326">
        <v>5</v>
      </c>
      <c r="F10111" s="325">
        <f t="shared" si="931"/>
        <v>482</v>
      </c>
      <c r="G10111" s="478">
        <f>SUM(C10111,C10087,C10063,C10039,C10015,C9991,C9967,C9943,C9919,C9895,C9871,C9847,C9823,C9799)/POBLA!$B$6*100000</f>
        <v>292.64784738771647</v>
      </c>
      <c r="H10111" s="479">
        <f t="shared" si="929"/>
        <v>0.85172682420150614</v>
      </c>
      <c r="I10111" s="480">
        <f t="shared" si="932"/>
        <v>249.25602166494679</v>
      </c>
      <c r="J10111" s="329">
        <f t="shared" si="933"/>
        <v>262.71428571428572</v>
      </c>
      <c r="K10111" s="481">
        <f>J10111/POBLA!$B$6*100000</f>
        <v>23.43986896106318</v>
      </c>
    </row>
    <row r="10112" spans="1:11" s="393" customFormat="1" x14ac:dyDescent="0.25">
      <c r="A10112" s="482" t="s">
        <v>20</v>
      </c>
      <c r="B10112" s="324">
        <v>44314</v>
      </c>
      <c r="C10112" s="111">
        <v>1746</v>
      </c>
      <c r="D10112" s="325">
        <f t="shared" si="930"/>
        <v>223361</v>
      </c>
      <c r="E10112" s="326">
        <v>11</v>
      </c>
      <c r="F10112" s="325">
        <f t="shared" si="931"/>
        <v>3344</v>
      </c>
      <c r="G10112" s="478">
        <f>SUM(C10112,C10088,C10064,C10040,C10016,C9992,C9968,C9944,C9920,C9896,C9872,C9848,C9824,C9800)/POBLA!$B$7*100000</f>
        <v>604.31597282240159</v>
      </c>
      <c r="H10112" s="479">
        <f t="shared" si="929"/>
        <v>1.1360795880617907</v>
      </c>
      <c r="I10112" s="480">
        <f t="shared" si="932"/>
        <v>686.55104146323424</v>
      </c>
      <c r="J10112" s="329">
        <f t="shared" si="933"/>
        <v>1511.4285714285713</v>
      </c>
      <c r="K10112" s="481">
        <f>J10112/POBLA!$B$7*100000</f>
        <v>40.192758085563462</v>
      </c>
    </row>
    <row r="10113" spans="1:11" x14ac:dyDescent="0.25">
      <c r="A10113" s="482" t="s">
        <v>31</v>
      </c>
      <c r="B10113" s="324">
        <v>44314</v>
      </c>
      <c r="C10113" s="111">
        <v>635</v>
      </c>
      <c r="D10113" s="325">
        <f t="shared" si="930"/>
        <v>61614</v>
      </c>
      <c r="E10113" s="326">
        <v>2</v>
      </c>
      <c r="F10113" s="325">
        <f t="shared" si="931"/>
        <v>1047</v>
      </c>
      <c r="G10113" s="327">
        <f>SUM(C10113,C10089,C10065,C10041,C10017,C9993,C9969,C9945,C9921,C9897,C9873,C9849,C9825,C9801)/POBLA!$B$8*100000</f>
        <v>509.89890768932173</v>
      </c>
      <c r="H10113" s="328">
        <f t="shared" si="929"/>
        <v>1.5336371527777777</v>
      </c>
      <c r="I10113" s="329">
        <f t="shared" si="932"/>
        <v>781.99990899315026</v>
      </c>
      <c r="J10113" s="329">
        <f t="shared" si="933"/>
        <v>536</v>
      </c>
      <c r="K10113" s="337">
        <f>J10113/POBLA!$B$8*100000</f>
        <v>38.673526888563245</v>
      </c>
    </row>
    <row r="10114" spans="1:11" s="393" customFormat="1" x14ac:dyDescent="0.25">
      <c r="A10114" s="482" t="s">
        <v>41</v>
      </c>
      <c r="B10114" s="324">
        <v>44314</v>
      </c>
      <c r="C10114" s="111">
        <v>97</v>
      </c>
      <c r="D10114" s="325">
        <f t="shared" si="930"/>
        <v>4502</v>
      </c>
      <c r="E10114" s="326">
        <v>4</v>
      </c>
      <c r="F10114" s="325">
        <f t="shared" si="931"/>
        <v>80</v>
      </c>
      <c r="G10114" s="478">
        <f>SUM(C10114,C10090,C10066,C10042,C10018,C9994,C9970,C9946,C9922,C9898,C9874,C9850,C9826,C9802)/POBLA!$B$9*100000</f>
        <v>211.00706716700293</v>
      </c>
      <c r="H10114" s="479">
        <f t="shared" si="929"/>
        <v>1.3192148760330578</v>
      </c>
      <c r="I10114" s="480">
        <f t="shared" si="932"/>
        <v>278.36366195481685</v>
      </c>
      <c r="J10114" s="329">
        <f t="shared" si="933"/>
        <v>109.71428571428571</v>
      </c>
      <c r="K10114" s="481">
        <f>J10114/POBLA!$B$9*100000</f>
        <v>18.12880944001099</v>
      </c>
    </row>
    <row r="10115" spans="1:11" s="393" customFormat="1" x14ac:dyDescent="0.25">
      <c r="A10115" s="482" t="s">
        <v>32</v>
      </c>
      <c r="B10115" s="324">
        <v>44314</v>
      </c>
      <c r="C10115" s="111">
        <v>96</v>
      </c>
      <c r="D10115" s="325">
        <f t="shared" si="930"/>
        <v>24650</v>
      </c>
      <c r="E10115" s="326">
        <v>4</v>
      </c>
      <c r="F10115" s="325">
        <f t="shared" si="931"/>
        <v>1028</v>
      </c>
      <c r="G10115" s="478">
        <f>SUM(C10115,C10091,C10067,C10043,C10019,C9995,C9971,C9947,C9923,C9899,C9875,C9851,C9827,C9803)/POBLA!$B$10*100000</f>
        <v>177.97818340314521</v>
      </c>
      <c r="H10115" s="479">
        <f t="shared" si="929"/>
        <v>1.6550060313630881</v>
      </c>
      <c r="I10115" s="480">
        <f t="shared" si="932"/>
        <v>294.55496698325118</v>
      </c>
      <c r="J10115" s="329">
        <f t="shared" si="933"/>
        <v>93.857142857142861</v>
      </c>
      <c r="K10115" s="481">
        <f>J10115/POBLA!$B$10*100000</f>
        <v>12.175308881285551</v>
      </c>
    </row>
    <row r="10116" spans="1:11" s="393" customFormat="1" x14ac:dyDescent="0.25">
      <c r="A10116" s="477" t="s">
        <v>33</v>
      </c>
      <c r="B10116" s="324">
        <v>44314</v>
      </c>
      <c r="C10116" s="111">
        <v>232</v>
      </c>
      <c r="D10116" s="325">
        <f t="shared" si="930"/>
        <v>26505</v>
      </c>
      <c r="E10116" s="326">
        <v>1</v>
      </c>
      <c r="F10116" s="325">
        <f t="shared" si="931"/>
        <v>365</v>
      </c>
      <c r="G10116" s="478">
        <f>SUM(C10116,C10092,C10068,C10044,C10020,C9996,C9972,C9948,C9924,C9900,C9876,C9852,C9828,C9804)/POBLA!$B$11*100000</f>
        <v>944.40166504848946</v>
      </c>
      <c r="H10116" s="479">
        <f t="shared" si="929"/>
        <v>1.8497267759562841</v>
      </c>
      <c r="I10116" s="480">
        <f t="shared" si="932"/>
        <v>1746.8850470978889</v>
      </c>
      <c r="J10116" s="329">
        <f t="shared" si="933"/>
        <v>225.85714285714286</v>
      </c>
      <c r="K10116" s="481">
        <f>J10116/POBLA!$B$11*100000</f>
        <v>63.013253110008939</v>
      </c>
    </row>
    <row r="10117" spans="1:11" s="393" customFormat="1" x14ac:dyDescent="0.25">
      <c r="A10117" s="482" t="s">
        <v>21</v>
      </c>
      <c r="B10117" s="324">
        <v>44314</v>
      </c>
      <c r="C10117" s="111">
        <v>90</v>
      </c>
      <c r="D10117" s="325">
        <f t="shared" si="930"/>
        <v>13279</v>
      </c>
      <c r="E10117" s="326"/>
      <c r="F10117" s="325">
        <f t="shared" si="931"/>
        <v>469</v>
      </c>
      <c r="G10117" s="478">
        <f>SUM(C10117,C10093,C10069,C10045,C10021,C9997,C9973,C9949,C9925,C9901,C9877,C9853,C9829,C9805)/POBLA!$B$12*100000</f>
        <v>279.5205460306812</v>
      </c>
      <c r="H10117" s="479">
        <f t="shared" si="929"/>
        <v>1.0175763182238668</v>
      </c>
      <c r="I10117" s="480">
        <f t="shared" si="932"/>
        <v>284.43348809782549</v>
      </c>
      <c r="J10117" s="329">
        <f t="shared" si="933"/>
        <v>73</v>
      </c>
      <c r="K10117" s="481">
        <f>J10117/POBLA!$B$12*100000</f>
        <v>18.549999872945204</v>
      </c>
    </row>
    <row r="10118" spans="1:11" s="393" customFormat="1" x14ac:dyDescent="0.25">
      <c r="A10118" s="482" t="s">
        <v>17</v>
      </c>
      <c r="B10118" s="324">
        <v>44314</v>
      </c>
      <c r="C10118" s="111">
        <v>794</v>
      </c>
      <c r="D10118" s="325">
        <f t="shared" si="930"/>
        <v>94803</v>
      </c>
      <c r="E10118" s="326">
        <v>13</v>
      </c>
      <c r="F10118" s="325">
        <f t="shared" si="931"/>
        <v>1774</v>
      </c>
      <c r="G10118" s="478">
        <f>SUM(C10118,C10094,C10070,C10046,C10022,C9998,C9974,C9950,C9926,C9902,C9878,C9854,C9830,C9806)/POBLA!$B$13*100000</f>
        <v>612.40854568420036</v>
      </c>
      <c r="H10118" s="479">
        <f t="shared" si="929"/>
        <v>1.2687623607785989</v>
      </c>
      <c r="I10118" s="480">
        <f t="shared" si="932"/>
        <v>777.00091218327452</v>
      </c>
      <c r="J10118" s="329">
        <f t="shared" si="933"/>
        <v>833</v>
      </c>
      <c r="K10118" s="481">
        <f>J10118/POBLA!$B$13*100000</f>
        <v>41.852187919840752</v>
      </c>
    </row>
    <row r="10119" spans="1:11" s="393" customFormat="1" x14ac:dyDescent="0.25">
      <c r="A10119" s="482" t="s">
        <v>23</v>
      </c>
      <c r="B10119" s="324">
        <v>44314</v>
      </c>
      <c r="C10119" s="111">
        <v>75</v>
      </c>
      <c r="D10119" s="325">
        <f t="shared" si="930"/>
        <v>15361</v>
      </c>
      <c r="E10119" s="326"/>
      <c r="F10119" s="325">
        <f t="shared" si="931"/>
        <v>237</v>
      </c>
      <c r="G10119" s="478">
        <f>SUM(C10119,C10095,C10071,C10047,C10023,C9999,C9975,C9951,C9927,C9903,C9879,C9855,C9831,C9807)/POBLA!$B$14*100000</f>
        <v>125.50602793638913</v>
      </c>
      <c r="H10119" s="479">
        <f t="shared" si="929"/>
        <v>0.92790152403282533</v>
      </c>
      <c r="I10119" s="480">
        <f t="shared" si="932"/>
        <v>116.45723459748183</v>
      </c>
      <c r="J10119" s="329">
        <f t="shared" si="933"/>
        <v>114.42857142857143</v>
      </c>
      <c r="K10119" s="481">
        <f>J10119/POBLA!$B$14*100000</f>
        <v>9.0723155290179314</v>
      </c>
    </row>
    <row r="10120" spans="1:11" s="393" customFormat="1" x14ac:dyDescent="0.25">
      <c r="A10120" s="482" t="s">
        <v>19</v>
      </c>
      <c r="B10120" s="324">
        <v>44314</v>
      </c>
      <c r="C10120" s="111">
        <v>337</v>
      </c>
      <c r="D10120" s="325">
        <f t="shared" si="930"/>
        <v>70400</v>
      </c>
      <c r="E10120" s="326">
        <v>8</v>
      </c>
      <c r="F10120" s="325">
        <f t="shared" si="931"/>
        <v>1060</v>
      </c>
      <c r="G10120" s="478">
        <f>SUM(C10120,C10096,C10072,C10048,C10024,C10000,C9976,C9952,C9928,C9904,C9880,C9856,C9832,C9808)/POBLA!$B$15*100000</f>
        <v>499.65590303242044</v>
      </c>
      <c r="H10120" s="479">
        <f t="shared" si="929"/>
        <v>1.7762312633832977</v>
      </c>
      <c r="I10120" s="480">
        <f t="shared" si="932"/>
        <v>887.5044359001987</v>
      </c>
      <c r="J10120" s="329">
        <f t="shared" si="933"/>
        <v>281.14285714285717</v>
      </c>
      <c r="K10120" s="481">
        <f>J10120/POBLA!$B$15*100000</f>
        <v>42.337157373968978</v>
      </c>
    </row>
    <row r="10121" spans="1:11" s="393" customFormat="1" x14ac:dyDescent="0.25">
      <c r="A10121" s="482" t="s">
        <v>18</v>
      </c>
      <c r="B10121" s="324">
        <v>44314</v>
      </c>
      <c r="C10121" s="111">
        <v>320</v>
      </c>
      <c r="D10121" s="325">
        <f t="shared" si="930"/>
        <v>60819</v>
      </c>
      <c r="E10121" s="326">
        <v>3</v>
      </c>
      <c r="F10121" s="325">
        <f t="shared" si="931"/>
        <v>1346</v>
      </c>
      <c r="G10121" s="478">
        <f>SUM(C10121,C10097,C10073,C10049,C10025,C10001,C9977,C9953,C9929,C9905,C9881,C9857,C9833,C9809)/POBLA!$B$16*100000</f>
        <v>451.43858428859966</v>
      </c>
      <c r="H10121" s="479">
        <f t="shared" si="929"/>
        <v>1.6716196136701338</v>
      </c>
      <c r="I10121" s="480">
        <f t="shared" si="932"/>
        <v>754.63359186430114</v>
      </c>
      <c r="J10121" s="329">
        <f t="shared" si="933"/>
        <v>276.14285714285717</v>
      </c>
      <c r="K10121" s="481">
        <f>J10121/POBLA!$B$16*100000</f>
        <v>36.93675273777199</v>
      </c>
    </row>
    <row r="10122" spans="1:11" s="393" customFormat="1" x14ac:dyDescent="0.25">
      <c r="A10122" s="482" t="s">
        <v>34</v>
      </c>
      <c r="B10122" s="324">
        <v>44314</v>
      </c>
      <c r="C10122" s="111">
        <v>212</v>
      </c>
      <c r="D10122" s="325">
        <f t="shared" si="930"/>
        <v>34255</v>
      </c>
      <c r="E10122" s="326">
        <v>6</v>
      </c>
      <c r="F10122" s="325">
        <f t="shared" si="931"/>
        <v>1261</v>
      </c>
      <c r="G10122" s="478">
        <f>SUM(C10122,C10098,C10074,C10050,C10026,C10002,C9978,C9954,C9930,C9906,C9882,C9858,C9834,C9810)/POBLA!$B$17*100000</f>
        <v>186.18404840785257</v>
      </c>
      <c r="H10122" s="479">
        <f t="shared" ref="H10122:H10145" si="934">SUM(C10122,C10098,C10074,C10050,C10026,C10002,C9978,C9954,C9930,C9906,C9882,C9858,C9834,C9810)/SUM(C9786,C9762,C9738,C9714,C9690,C9666,C9642,C9618,C9594,C9570,C9546,C9522,C9498,C9474)</f>
        <v>1.1834002677376172</v>
      </c>
      <c r="I10122" s="480">
        <f t="shared" si="932"/>
        <v>220.33025273432622</v>
      </c>
      <c r="J10122" s="329">
        <f t="shared" si="933"/>
        <v>184.71428571428572</v>
      </c>
      <c r="K10122" s="481">
        <f>J10122/POBLA!$B$17*100000</f>
        <v>12.967893481542417</v>
      </c>
    </row>
    <row r="10123" spans="1:11" s="393" customFormat="1" x14ac:dyDescent="0.25">
      <c r="A10123" s="482" t="s">
        <v>35</v>
      </c>
      <c r="B10123" s="324">
        <v>44314</v>
      </c>
      <c r="C10123" s="111">
        <v>311</v>
      </c>
      <c r="D10123" s="325">
        <f t="shared" si="930"/>
        <v>22990</v>
      </c>
      <c r="E10123" s="326">
        <v>5</v>
      </c>
      <c r="F10123" s="325">
        <f t="shared" si="931"/>
        <v>268</v>
      </c>
      <c r="G10123" s="478">
        <f>SUM(C10123,C10099,C10075,C10051,C10027,C10003,C9979,C9955,C9931,C9907,C9883,C9859,C9835,C9811)/POBLA!$B$18*100000</f>
        <v>443.92275129701477</v>
      </c>
      <c r="H10123" s="479">
        <f t="shared" si="934"/>
        <v>1.5621621621621622</v>
      </c>
      <c r="I10123" s="480">
        <f t="shared" si="932"/>
        <v>693.47932499912042</v>
      </c>
      <c r="J10123" s="329">
        <f t="shared" si="933"/>
        <v>280.28571428571428</v>
      </c>
      <c r="K10123" s="481">
        <f>J10123/POBLA!$B$18*100000</f>
        <v>35.878086918962886</v>
      </c>
    </row>
    <row r="10124" spans="1:11" s="393" customFormat="1" x14ac:dyDescent="0.25">
      <c r="A10124" s="483" t="s">
        <v>36</v>
      </c>
      <c r="B10124" s="324">
        <v>44314</v>
      </c>
      <c r="C10124" s="111">
        <v>565</v>
      </c>
      <c r="D10124" s="325">
        <f t="shared" si="930"/>
        <v>36420</v>
      </c>
      <c r="E10124" s="326"/>
      <c r="F10124" s="325">
        <f t="shared" si="931"/>
        <v>476</v>
      </c>
      <c r="G10124" s="478">
        <f>SUM(C10124,C10100,C10076,C10052,C10028,C10004,C9980,C9956,C9932,C9908,C9884,C9860,C9836,C9812)/POBLA!$B$19*100000</f>
        <v>1672.9355848979399</v>
      </c>
      <c r="H10124" s="479">
        <f t="shared" si="934"/>
        <v>1.6632114218658323</v>
      </c>
      <c r="I10124" s="480">
        <f t="shared" si="932"/>
        <v>2782.4455728480502</v>
      </c>
      <c r="J10124" s="329">
        <f t="shared" si="933"/>
        <v>647.42857142857144</v>
      </c>
      <c r="K10124" s="481">
        <f>J10124/POBLA!$B$19*100000</f>
        <v>127.36433393961603</v>
      </c>
    </row>
    <row r="10125" spans="1:11" s="393" customFormat="1" x14ac:dyDescent="0.25">
      <c r="A10125" s="482" t="s">
        <v>37</v>
      </c>
      <c r="B10125" s="324">
        <v>44314</v>
      </c>
      <c r="C10125" s="111">
        <v>209</v>
      </c>
      <c r="D10125" s="325">
        <f t="shared" si="930"/>
        <v>44261</v>
      </c>
      <c r="E10125" s="326">
        <v>2</v>
      </c>
      <c r="F10125" s="325">
        <f t="shared" si="931"/>
        <v>702</v>
      </c>
      <c r="G10125" s="478">
        <f>SUM(C10125,C10101,C10077,C10053,C10029,C10005,C9981,C9957,C9933,C9909,C9885,C9861,C9837,C9813)/POBLA!$B$20*100000</f>
        <v>729.01683903111314</v>
      </c>
      <c r="H10125" s="479">
        <f t="shared" si="934"/>
        <v>1.2173515981735159</v>
      </c>
      <c r="I10125" s="480">
        <f t="shared" si="932"/>
        <v>887.46981408993031</v>
      </c>
      <c r="J10125" s="329">
        <f t="shared" si="933"/>
        <v>191.14285714285714</v>
      </c>
      <c r="K10125" s="481">
        <f>J10125/POBLA!$B$20*100000</f>
        <v>52.267952557262312</v>
      </c>
    </row>
    <row r="10126" spans="1:11" s="393" customFormat="1" x14ac:dyDescent="0.25">
      <c r="A10126" s="482" t="s">
        <v>22</v>
      </c>
      <c r="B10126" s="324">
        <v>44314</v>
      </c>
      <c r="C10126" s="111">
        <v>1896</v>
      </c>
      <c r="D10126" s="325">
        <f t="shared" si="930"/>
        <v>270098</v>
      </c>
      <c r="E10126" s="326">
        <v>24</v>
      </c>
      <c r="F10126" s="325">
        <f t="shared" si="931"/>
        <v>4597</v>
      </c>
      <c r="G10126" s="478">
        <f>SUM(C10126,C10102,C10078,C10054,C10030,C10006,C9982,C9958,C9934,C9910,C9886,C9862,C9838,C9814)/POBLA!$B$21*100000</f>
        <v>663.29828657132725</v>
      </c>
      <c r="H10126" s="479">
        <f t="shared" si="934"/>
        <v>1.5486234897999605</v>
      </c>
      <c r="I10126" s="480">
        <f t="shared" si="932"/>
        <v>1027.1993073284229</v>
      </c>
      <c r="J10126" s="329">
        <f t="shared" si="933"/>
        <v>1697.5714285714287</v>
      </c>
      <c r="K10126" s="481">
        <f>J10126/POBLA!$B$21*100000</f>
        <v>48.002567246615889</v>
      </c>
    </row>
    <row r="10127" spans="1:11" s="393" customFormat="1" x14ac:dyDescent="0.25">
      <c r="A10127" s="482" t="s">
        <v>38</v>
      </c>
      <c r="B10127" s="324">
        <v>44314</v>
      </c>
      <c r="C10127" s="111">
        <v>220</v>
      </c>
      <c r="D10127" s="325">
        <f t="shared" si="930"/>
        <v>30248</v>
      </c>
      <c r="E10127" s="326">
        <v>4</v>
      </c>
      <c r="F10127" s="325">
        <f t="shared" si="931"/>
        <v>337</v>
      </c>
      <c r="G10127" s="478">
        <f>SUM(C10127,C10103,C10079,C10055,C10031,C10007,C9983,C9959,C9935,C9911,C9887,C9863,C9839,C9815)/POBLA!$B$22*100000</f>
        <v>300.72175264971435</v>
      </c>
      <c r="H10127" s="479">
        <f t="shared" si="934"/>
        <v>1.3397085610200363</v>
      </c>
      <c r="I10127" s="480">
        <f t="shared" si="932"/>
        <v>402.87950650977211</v>
      </c>
      <c r="J10127" s="329">
        <f t="shared" si="933"/>
        <v>208.71428571428572</v>
      </c>
      <c r="K10127" s="481">
        <f>J10127/POBLA!$B$22*100000</f>
        <v>21.334101224688389</v>
      </c>
    </row>
    <row r="10128" spans="1:11" s="393" customFormat="1" x14ac:dyDescent="0.25">
      <c r="A10128" s="482" t="s">
        <v>39</v>
      </c>
      <c r="B10128" s="324">
        <v>44314</v>
      </c>
      <c r="C10128" s="111">
        <v>102</v>
      </c>
      <c r="D10128" s="325">
        <f t="shared" si="930"/>
        <v>26276</v>
      </c>
      <c r="E10128" s="326">
        <v>3</v>
      </c>
      <c r="F10128" s="325">
        <f t="shared" si="931"/>
        <v>383</v>
      </c>
      <c r="G10128" s="478">
        <f>SUM(C10128,C10104,C10080,C10056,C10032,C10008,C9984,C9960,C9936,C9912,C9888,C9864,C9840,C9816)/POBLA!$B$23*100000</f>
        <v>621.50087654809704</v>
      </c>
      <c r="H10128" s="479">
        <f t="shared" si="934"/>
        <v>1.0091827364554637</v>
      </c>
      <c r="I10128" s="480">
        <f t="shared" si="932"/>
        <v>627.2079553042779</v>
      </c>
      <c r="J10128" s="329">
        <f t="shared" si="933"/>
        <v>88</v>
      </c>
      <c r="K10128" s="481">
        <f>J10128/POBLA!$B$23*100000</f>
        <v>49.765311315953177</v>
      </c>
    </row>
    <row r="10129" spans="1:11" s="393" customFormat="1" ht="15.75" thickBot="1" x14ac:dyDescent="0.3">
      <c r="A10129" s="484" t="s">
        <v>40</v>
      </c>
      <c r="B10129" s="364">
        <v>44314</v>
      </c>
      <c r="C10129" s="115">
        <v>870</v>
      </c>
      <c r="D10129" s="365">
        <f t="shared" si="930"/>
        <v>104907</v>
      </c>
      <c r="E10129" s="366">
        <v>4</v>
      </c>
      <c r="F10129" s="365">
        <f t="shared" si="931"/>
        <v>1604</v>
      </c>
      <c r="G10129" s="485">
        <f>SUM(C10129,C10105,C10081,C10057,C10033,C10009,C9985,C9961,C9937,C9913,C9889,C9865,C9841,C9817)/POBLA!$B$24*100000</f>
        <v>563.77223460100458</v>
      </c>
      <c r="H10129" s="486">
        <f t="shared" si="934"/>
        <v>1.2736968404212772</v>
      </c>
      <c r="I10129" s="487">
        <f t="shared" si="932"/>
        <v>718.07491392854263</v>
      </c>
      <c r="J10129" s="369">
        <f t="shared" si="933"/>
        <v>694.71428571428567</v>
      </c>
      <c r="K10129" s="488">
        <f>J10129/POBLA!$B$24*100000</f>
        <v>40.9944133626108</v>
      </c>
    </row>
    <row r="10130" spans="1:11" s="393" customFormat="1" x14ac:dyDescent="0.25">
      <c r="A10130" s="472" t="s">
        <v>16</v>
      </c>
      <c r="B10130" s="330">
        <v>44315</v>
      </c>
      <c r="C10130" s="332">
        <v>12208</v>
      </c>
      <c r="D10130" s="331">
        <f t="shared" si="930"/>
        <v>1289438</v>
      </c>
      <c r="E10130" s="332">
        <v>335</v>
      </c>
      <c r="F10130" s="331">
        <f t="shared" ref="F10130:F10153" si="935">E10130+F10106</f>
        <v>32820</v>
      </c>
      <c r="G10130" s="473">
        <f>SUM(C10130,C10106,C10082,C10058,C10034,C10010,C9986,C9962,C9938,C9914,C9890,C9866,C9842,C9818)/POBLA!$B$1*100000</f>
        <v>908.09372092727608</v>
      </c>
      <c r="H10130" s="474">
        <f t="shared" si="934"/>
        <v>1.1756240128714186</v>
      </c>
      <c r="I10130" s="475">
        <f>G10130*H10130</f>
        <v>1067.5767842598625</v>
      </c>
      <c r="J10130" s="335">
        <f>AVERAGE(C10130,C10106,C10082,C10058,C10034,C10010,C9986)</f>
        <v>10824</v>
      </c>
      <c r="K10130" s="476">
        <f>J10130/POBLA!$B$1*100000</f>
        <v>61.706362203006066</v>
      </c>
    </row>
    <row r="10131" spans="1:11" s="393" customFormat="1" x14ac:dyDescent="0.25">
      <c r="A10131" s="477" t="s">
        <v>43</v>
      </c>
      <c r="B10131" s="324">
        <v>44315</v>
      </c>
      <c r="C10131" s="326">
        <v>2972</v>
      </c>
      <c r="D10131" s="325">
        <f t="shared" si="930"/>
        <v>339419</v>
      </c>
      <c r="E10131" s="326">
        <v>60</v>
      </c>
      <c r="F10131" s="325">
        <f t="shared" si="935"/>
        <v>7696</v>
      </c>
      <c r="G10131" s="478">
        <f>SUM(C10131,C10107,C10083,C10059,C10035,C10011,C9987,C9963,C9939,C9915,C9891,C9867,C9843,C9819)/POBLA!$B$2*100000</f>
        <v>1360.689754282515</v>
      </c>
      <c r="H10131" s="479">
        <f t="shared" si="934"/>
        <v>1.2074437391806117</v>
      </c>
      <c r="I10131" s="480">
        <f t="shared" ref="I10131:I10153" si="936">G10131*H10131</f>
        <v>1642.9563247756275</v>
      </c>
      <c r="J10131" s="329">
        <f t="shared" ref="J10131:J10153" si="937">AVERAGE(C10131,C10107,C10083,C10059,C10035,C10011,C9987)</f>
        <v>2875</v>
      </c>
      <c r="K10131" s="481">
        <f>J10131/POBLA!$B$2*100000</f>
        <v>93.476297337209814</v>
      </c>
    </row>
    <row r="10132" spans="1:11" s="393" customFormat="1" x14ac:dyDescent="0.25">
      <c r="A10132" s="482" t="s">
        <v>28</v>
      </c>
      <c r="B10132" s="324">
        <v>44315</v>
      </c>
      <c r="C10132" s="326">
        <v>155</v>
      </c>
      <c r="D10132" s="325">
        <f t="shared" si="930"/>
        <v>14710</v>
      </c>
      <c r="E10132" s="326"/>
      <c r="F10132" s="325">
        <f t="shared" si="935"/>
        <v>19</v>
      </c>
      <c r="G10132" s="327">
        <f>SUM(C10132,C10108,C10084,C10060,C10036,C10012,C9988,C9964,C9940,C9916,C9892,C9868,C9844,C9820)/POBLA!$B$3*100000</f>
        <v>568.5565595828981</v>
      </c>
      <c r="H10132" s="328">
        <f t="shared" si="934"/>
        <v>1.2992299229922992</v>
      </c>
      <c r="I10132" s="329">
        <f t="shared" si="936"/>
        <v>738.68569512365525</v>
      </c>
      <c r="J10132" s="329">
        <f t="shared" si="937"/>
        <v>168.85714285714286</v>
      </c>
      <c r="K10132" s="337">
        <f>J10132/POBLA!$B$3*100000</f>
        <v>40.645569942360318</v>
      </c>
    </row>
    <row r="10133" spans="1:11" s="393" customFormat="1" x14ac:dyDescent="0.25">
      <c r="A10133" s="482" t="s">
        <v>15</v>
      </c>
      <c r="B10133" s="324">
        <v>44315</v>
      </c>
      <c r="C10133" s="326">
        <v>400</v>
      </c>
      <c r="D10133" s="325">
        <f t="shared" si="930"/>
        <v>44601</v>
      </c>
      <c r="E10133" s="326">
        <v>6</v>
      </c>
      <c r="F10133" s="325">
        <f t="shared" si="935"/>
        <v>1038</v>
      </c>
      <c r="G10133" s="327">
        <f>SUM(C10133,C10109,C10085,C10061,C10037,C10013,C9989,C9965,C9941,C9917,C9893,C9869,C9845,C9821)/POBLA!$B$4*100000</f>
        <v>263.66889960574196</v>
      </c>
      <c r="H10133" s="328">
        <f t="shared" si="934"/>
        <v>1.1536505630221576</v>
      </c>
      <c r="I10133" s="329">
        <f t="shared" si="936"/>
        <v>304.18177448159696</v>
      </c>
      <c r="J10133" s="329">
        <f t="shared" si="937"/>
        <v>235.71428571428572</v>
      </c>
      <c r="K10133" s="337">
        <f>J10133/POBLA!$B$4*100000</f>
        <v>19.568805521296969</v>
      </c>
    </row>
    <row r="10134" spans="1:11" s="393" customFormat="1" x14ac:dyDescent="0.25">
      <c r="A10134" s="482" t="s">
        <v>29</v>
      </c>
      <c r="B10134" s="324">
        <v>44315</v>
      </c>
      <c r="C10134" s="326">
        <v>235</v>
      </c>
      <c r="D10134" s="325">
        <f t="shared" si="930"/>
        <v>54756</v>
      </c>
      <c r="E10134" s="326">
        <v>1</v>
      </c>
      <c r="F10134" s="325">
        <f t="shared" si="935"/>
        <v>916</v>
      </c>
      <c r="G10134" s="327">
        <f>SUM(C10134,C10110,C10086,C10062,C10038,C10014,C9990,C9966,C9942,C9918,C9894,C9870,C9846,C9822)/POBLA!$B$5*100000</f>
        <v>417.28998988681639</v>
      </c>
      <c r="H10134" s="328">
        <f t="shared" si="934"/>
        <v>1.3252950230887635</v>
      </c>
      <c r="I10134" s="329">
        <f t="shared" si="936"/>
        <v>553.03234678175818</v>
      </c>
      <c r="J10134" s="329">
        <f t="shared" si="937"/>
        <v>184.57142857142858</v>
      </c>
      <c r="K10134" s="337">
        <f>J10134/POBLA!$B$5*100000</f>
        <v>29.817967310091628</v>
      </c>
    </row>
    <row r="10135" spans="1:11" s="393" customFormat="1" x14ac:dyDescent="0.25">
      <c r="A10135" s="482" t="s">
        <v>30</v>
      </c>
      <c r="B10135" s="324">
        <v>44315</v>
      </c>
      <c r="C10135" s="326">
        <v>198</v>
      </c>
      <c r="D10135" s="325">
        <f t="shared" si="930"/>
        <v>37385</v>
      </c>
      <c r="E10135" s="326">
        <v>13</v>
      </c>
      <c r="F10135" s="325">
        <f t="shared" si="935"/>
        <v>495</v>
      </c>
      <c r="G10135" s="327">
        <f>SUM(C10135,C10111,C10087,C10063,C10039,C10015,C9991,C9967,C9943,C9919,C9895,C9871,C9847,C9823)/POBLA!$B$6*100000</f>
        <v>295.41372643314912</v>
      </c>
      <c r="H10135" s="328">
        <f t="shared" si="934"/>
        <v>0.9207452725250278</v>
      </c>
      <c r="I10135" s="329">
        <f t="shared" si="936"/>
        <v>272.0007920523239</v>
      </c>
      <c r="J10135" s="329">
        <f t="shared" si="937"/>
        <v>242.85714285714286</v>
      </c>
      <c r="K10135" s="337">
        <f>J10135/POBLA!$B$6*100000</f>
        <v>21.668176853620121</v>
      </c>
    </row>
    <row r="10136" spans="1:11" s="393" customFormat="1" x14ac:dyDescent="0.25">
      <c r="A10136" s="482" t="s">
        <v>20</v>
      </c>
      <c r="B10136" s="324">
        <v>44315</v>
      </c>
      <c r="C10136" s="326">
        <v>2099</v>
      </c>
      <c r="D10136" s="325">
        <f t="shared" si="930"/>
        <v>225460</v>
      </c>
      <c r="E10136" s="326">
        <v>19</v>
      </c>
      <c r="F10136" s="325">
        <f t="shared" si="935"/>
        <v>3363</v>
      </c>
      <c r="G10136" s="327">
        <f>SUM(C10136,C10112,C10088,C10064,C10040,C10016,C9992,C9968,C9944,C9920,C9896,C9872,C9848,C9824)/POBLA!$B$7*100000</f>
        <v>617.45269848023509</v>
      </c>
      <c r="H10136" s="328">
        <f t="shared" si="934"/>
        <v>1.1374057019692367</v>
      </c>
      <c r="I10136" s="329">
        <f t="shared" si="936"/>
        <v>702.29421994771121</v>
      </c>
      <c r="J10136" s="329">
        <f t="shared" si="937"/>
        <v>1553.4285714285713</v>
      </c>
      <c r="K10136" s="337">
        <f>J10136/POBLA!$B$7*100000</f>
        <v>41.30964569209992</v>
      </c>
    </row>
    <row r="10137" spans="1:11" x14ac:dyDescent="0.25">
      <c r="A10137" s="482" t="s">
        <v>31</v>
      </c>
      <c r="B10137" s="324">
        <v>44315</v>
      </c>
      <c r="C10137" s="326">
        <v>763</v>
      </c>
      <c r="D10137" s="325">
        <f t="shared" si="930"/>
        <v>62377</v>
      </c>
      <c r="E10137" s="326">
        <v>10</v>
      </c>
      <c r="F10137" s="325">
        <f t="shared" si="935"/>
        <v>1057</v>
      </c>
      <c r="G10137" s="327">
        <f>SUM(C10137,C10113,C10089,C10065,C10041,C10017,C9993,C9969,C9945,C9921,C9897,C9873,C9849,C9825)/POBLA!$B$8*100000</f>
        <v>527.14326016388634</v>
      </c>
      <c r="H10137" s="328">
        <f t="shared" si="934"/>
        <v>1.4922385620915033</v>
      </c>
      <c r="I10137" s="329">
        <f t="shared" si="936"/>
        <v>786.62350056318496</v>
      </c>
      <c r="J10137" s="329">
        <f t="shared" si="937"/>
        <v>553.57142857142856</v>
      </c>
      <c r="K10137" s="337">
        <f>J10137/POBLA!$B$8*100000</f>
        <v>39.941342402234156</v>
      </c>
    </row>
    <row r="10138" spans="1:11" s="393" customFormat="1" x14ac:dyDescent="0.25">
      <c r="A10138" s="482" t="s">
        <v>41</v>
      </c>
      <c r="B10138" s="324">
        <v>44315</v>
      </c>
      <c r="C10138" s="326">
        <v>11</v>
      </c>
      <c r="D10138" s="325">
        <f t="shared" si="930"/>
        <v>4513</v>
      </c>
      <c r="E10138" s="326">
        <v>7</v>
      </c>
      <c r="F10138" s="325">
        <f t="shared" si="935"/>
        <v>87</v>
      </c>
      <c r="G10138" s="327">
        <f>SUM(C10138,C10114,C10090,C10066,C10042,C10018,C9994,C9970,C9946,C9922,C9898,C9874,C9850,C9826)/POBLA!$B$9*100000</f>
        <v>197.29243398386961</v>
      </c>
      <c r="H10138" s="328">
        <f t="shared" si="934"/>
        <v>1.1648780487804877</v>
      </c>
      <c r="I10138" s="329">
        <f t="shared" si="936"/>
        <v>229.82162553828323</v>
      </c>
      <c r="J10138" s="329">
        <f t="shared" si="937"/>
        <v>93.142857142857139</v>
      </c>
      <c r="K10138" s="337">
        <f>J10138/POBLA!$B$9*100000</f>
        <v>15.390603847509329</v>
      </c>
    </row>
    <row r="10139" spans="1:11" s="393" customFormat="1" x14ac:dyDescent="0.25">
      <c r="A10139" s="482" t="s">
        <v>32</v>
      </c>
      <c r="B10139" s="324">
        <v>44315</v>
      </c>
      <c r="C10139" s="326">
        <v>128</v>
      </c>
      <c r="D10139" s="325">
        <f t="shared" si="930"/>
        <v>24778</v>
      </c>
      <c r="E10139" s="326">
        <v>2</v>
      </c>
      <c r="F10139" s="325">
        <f t="shared" si="935"/>
        <v>1030</v>
      </c>
      <c r="G10139" s="327">
        <f>SUM(C10139,C10115,C10091,C10067,C10043,C10019,C9995,C9971,C9947,C9923,C9899,C9875,C9851,C9827)/POBLA!$B$10*100000</f>
        <v>184.07510368007513</v>
      </c>
      <c r="H10139" s="328">
        <f t="shared" si="934"/>
        <v>1.7179176755447942</v>
      </c>
      <c r="I10139" s="329">
        <f t="shared" si="936"/>
        <v>316.22587423974164</v>
      </c>
      <c r="J10139" s="329">
        <f t="shared" si="937"/>
        <v>97.142857142857139</v>
      </c>
      <c r="K10139" s="337">
        <f>J10139/POBLA!$B$10*100000</f>
        <v>12.601537350493414</v>
      </c>
    </row>
    <row r="10140" spans="1:11" s="393" customFormat="1" x14ac:dyDescent="0.25">
      <c r="A10140" s="477" t="s">
        <v>33</v>
      </c>
      <c r="B10140" s="324">
        <v>44315</v>
      </c>
      <c r="C10140" s="326">
        <v>313</v>
      </c>
      <c r="D10140" s="325">
        <f t="shared" si="930"/>
        <v>26818</v>
      </c>
      <c r="E10140" s="326">
        <v>1</v>
      </c>
      <c r="F10140" s="325">
        <f t="shared" si="935"/>
        <v>366</v>
      </c>
      <c r="G10140" s="327">
        <f>SUM(C10140,C10116,C10092,C10068,C10044,C10020,C9996,C9972,C9948,C9924,C9900,C9876,C9852,C9828)/POBLA!$B$11*100000</f>
        <v>973.97524746950569</v>
      </c>
      <c r="H10140" s="328">
        <f t="shared" si="934"/>
        <v>1.7976313079299691</v>
      </c>
      <c r="I10140" s="329">
        <f t="shared" si="936"/>
        <v>1750.8483980000228</v>
      </c>
      <c r="J10140" s="329">
        <f t="shared" si="937"/>
        <v>233.42857142857142</v>
      </c>
      <c r="K10140" s="337">
        <f>J10140/POBLA!$B$11*100000</f>
        <v>65.125651854367248</v>
      </c>
    </row>
    <row r="10141" spans="1:11" s="393" customFormat="1" x14ac:dyDescent="0.25">
      <c r="A10141" s="482" t="s">
        <v>21</v>
      </c>
      <c r="B10141" s="324">
        <v>44315</v>
      </c>
      <c r="C10141" s="326">
        <v>46</v>
      </c>
      <c r="D10141" s="325">
        <f t="shared" si="930"/>
        <v>13325</v>
      </c>
      <c r="E10141" s="326">
        <v>3</v>
      </c>
      <c r="F10141" s="325">
        <f t="shared" si="935"/>
        <v>472</v>
      </c>
      <c r="G10141" s="327">
        <f>SUM(C10141,C10117,C10093,C10069,C10045,C10021,C9997,C9973,C9949,C9925,C9901,C9877,C9853,C9829)/POBLA!$B$12*100000</f>
        <v>263.25753244344156</v>
      </c>
      <c r="H10141" s="328">
        <f t="shared" si="934"/>
        <v>0.9119718309859155</v>
      </c>
      <c r="I10141" s="329">
        <f t="shared" si="936"/>
        <v>240.08345388327945</v>
      </c>
      <c r="J10141" s="329">
        <f t="shared" si="937"/>
        <v>69.142857142857139</v>
      </c>
      <c r="K10141" s="337">
        <f>J10141/POBLA!$B$12*100000</f>
        <v>17.569862893357104</v>
      </c>
    </row>
    <row r="10142" spans="1:11" s="393" customFormat="1" x14ac:dyDescent="0.25">
      <c r="A10142" s="482" t="s">
        <v>17</v>
      </c>
      <c r="B10142" s="324">
        <v>44315</v>
      </c>
      <c r="C10142" s="326">
        <v>879</v>
      </c>
      <c r="D10142" s="325">
        <f t="shared" si="930"/>
        <v>95682</v>
      </c>
      <c r="E10142" s="326">
        <v>42</v>
      </c>
      <c r="F10142" s="325">
        <f t="shared" si="935"/>
        <v>1816</v>
      </c>
      <c r="G10142" s="327">
        <f>SUM(C10142,C10118,C10094,C10070,C10046,C10022,C9998,C9974,C9950,C9926,C9902,C9878,C9854,C9830)/POBLA!$B$13*100000</f>
        <v>603.81704012082366</v>
      </c>
      <c r="H10142" s="328">
        <f t="shared" si="934"/>
        <v>1.1818271216442129</v>
      </c>
      <c r="I10142" s="329">
        <f t="shared" si="936"/>
        <v>713.60735452572123</v>
      </c>
      <c r="J10142" s="329">
        <f t="shared" si="937"/>
        <v>810.57142857142856</v>
      </c>
      <c r="K10142" s="337">
        <f>J10142/POBLA!$B$13*100000</f>
        <v>40.725315427401199</v>
      </c>
    </row>
    <row r="10143" spans="1:11" s="393" customFormat="1" x14ac:dyDescent="0.25">
      <c r="A10143" s="482" t="s">
        <v>23</v>
      </c>
      <c r="B10143" s="324">
        <v>44315</v>
      </c>
      <c r="C10143" s="326">
        <v>156</v>
      </c>
      <c r="D10143" s="325">
        <f t="shared" si="930"/>
        <v>15517</v>
      </c>
      <c r="E10143" s="326">
        <v>1</v>
      </c>
      <c r="F10143" s="325">
        <f t="shared" si="935"/>
        <v>238</v>
      </c>
      <c r="G10143" s="327">
        <f>SUM(C10143,C10119,C10095,C10071,C10047,C10023,C9999,C9975,C9951,C9927,C9903,C9879,C9855,C9831)/POBLA!$B$14*100000</f>
        <v>130.02519634597485</v>
      </c>
      <c r="H10143" s="328">
        <f t="shared" si="934"/>
        <v>0.9518282066163668</v>
      </c>
      <c r="I10143" s="329">
        <f t="shared" si="936"/>
        <v>123.76164945293021</v>
      </c>
      <c r="J10143" s="329">
        <f t="shared" si="937"/>
        <v>112.71428571428571</v>
      </c>
      <c r="K10143" s="337">
        <f>J10143/POBLA!$B$14*100000</f>
        <v>8.9364006896318937</v>
      </c>
    </row>
    <row r="10144" spans="1:11" s="393" customFormat="1" x14ac:dyDescent="0.25">
      <c r="A10144" s="482" t="s">
        <v>19</v>
      </c>
      <c r="B10144" s="324">
        <v>44315</v>
      </c>
      <c r="C10144" s="326">
        <v>370</v>
      </c>
      <c r="D10144" s="325">
        <f t="shared" si="930"/>
        <v>70770</v>
      </c>
      <c r="E10144" s="326">
        <v>8</v>
      </c>
      <c r="F10144" s="325">
        <f t="shared" si="935"/>
        <v>1068</v>
      </c>
      <c r="G10144" s="327">
        <f>SUM(C10144,C10120,C10096,C10072,C10048,C10024,C10000,C9976,C9952,C9928,C9904,C9880,C9856,C9832)/POBLA!$B$15*100000</f>
        <v>524.35257816723572</v>
      </c>
      <c r="H10144" s="328">
        <f t="shared" si="934"/>
        <v>1.7612544258978249</v>
      </c>
      <c r="I10144" s="329">
        <f t="shared" si="936"/>
        <v>923.51829902797908</v>
      </c>
      <c r="J10144" s="329">
        <f t="shared" si="937"/>
        <v>301</v>
      </c>
      <c r="K10144" s="337">
        <f>J10144/POBLA!$B$15*100000</f>
        <v>45.327434241337713</v>
      </c>
    </row>
    <row r="10145" spans="1:13" s="393" customFormat="1" x14ac:dyDescent="0.25">
      <c r="A10145" s="482" t="s">
        <v>18</v>
      </c>
      <c r="B10145" s="324">
        <v>44315</v>
      </c>
      <c r="C10145" s="326">
        <v>347</v>
      </c>
      <c r="D10145" s="325">
        <f t="shared" si="930"/>
        <v>61166</v>
      </c>
      <c r="E10145" s="326">
        <v>7</v>
      </c>
      <c r="F10145" s="325">
        <f t="shared" si="935"/>
        <v>1353</v>
      </c>
      <c r="G10145" s="327">
        <f>SUM(C10145,C10121,C10097,C10073,C10049,C10025,C10001,C9977,C9953,C9929,C9905,C9881,C9857,C9833)/POBLA!$B$16*100000</f>
        <v>470.8337234654432</v>
      </c>
      <c r="H10145" s="328">
        <f t="shared" si="934"/>
        <v>1.68179646440516</v>
      </c>
      <c r="I10145" s="329">
        <f t="shared" si="936"/>
        <v>791.84649144689922</v>
      </c>
      <c r="J10145" s="329">
        <f t="shared" si="937"/>
        <v>280.57142857142856</v>
      </c>
      <c r="K10145" s="337">
        <f>J10145/POBLA!$B$16*100000</f>
        <v>37.529116594404641</v>
      </c>
    </row>
    <row r="10146" spans="1:13" s="393" customFormat="1" x14ac:dyDescent="0.25">
      <c r="A10146" s="482" t="s">
        <v>34</v>
      </c>
      <c r="B10146" s="324">
        <v>44315</v>
      </c>
      <c r="C10146" s="326">
        <v>265</v>
      </c>
      <c r="D10146" s="325">
        <f t="shared" si="930"/>
        <v>34520</v>
      </c>
      <c r="E10146" s="326">
        <v>4</v>
      </c>
      <c r="F10146" s="325">
        <f t="shared" si="935"/>
        <v>1265</v>
      </c>
      <c r="G10146" s="327">
        <f>SUM(C10146,C10122,C10098,C10074,C10050,C10026,C10002,C9978,C9954,C9930,C9906,C9882,C9858,C9834)/POBLA!$B$17*100000</f>
        <v>185.9734329684772</v>
      </c>
      <c r="H10146" s="328">
        <f t="shared" ref="H10146:H10169" si="938">SUM(C10146,C10122,C10098,C10074,C10050,C10026,C10002,C9978,C9954,C9930,C9906,C9882,C9858,C9834)/SUM(C9810,C9786,C9762,C9738,C9714,C9690,C9666,C9642,C9618,C9594,C9570,C9546,C9522,C9498)</f>
        <v>1.129156010230179</v>
      </c>
      <c r="I10146" s="329">
        <f t="shared" si="936"/>
        <v>209.99301957949535</v>
      </c>
      <c r="J10146" s="329">
        <f t="shared" si="937"/>
        <v>185.14285714285714</v>
      </c>
      <c r="K10146" s="337">
        <f>J10146/POBLA!$B$17*100000</f>
        <v>12.997981401453186</v>
      </c>
    </row>
    <row r="10147" spans="1:13" s="393" customFormat="1" x14ac:dyDescent="0.25">
      <c r="A10147" s="482" t="s">
        <v>35</v>
      </c>
      <c r="B10147" s="324">
        <v>44315</v>
      </c>
      <c r="C10147" s="326">
        <v>336</v>
      </c>
      <c r="D10147" s="325">
        <f t="shared" si="930"/>
        <v>23326</v>
      </c>
      <c r="E10147" s="326">
        <v>4</v>
      </c>
      <c r="F10147" s="325">
        <f t="shared" si="935"/>
        <v>272</v>
      </c>
      <c r="G10147" s="327">
        <f>SUM(C10147,C10123,C10099,C10075,C10051,C10027,C10003,C9979,C9955,C9931,C9907,C9883,C9859,C9835)/POBLA!$B$18*100000</f>
        <v>452.24310274866008</v>
      </c>
      <c r="H10147" s="328">
        <f t="shared" si="938"/>
        <v>1.4720833333333334</v>
      </c>
      <c r="I10147" s="329">
        <f t="shared" si="936"/>
        <v>665.73953417125676</v>
      </c>
      <c r="J10147" s="329">
        <f t="shared" si="937"/>
        <v>278.71428571428572</v>
      </c>
      <c r="K10147" s="337">
        <f>J10147/POBLA!$B$18*100000</f>
        <v>35.676935565186845</v>
      </c>
    </row>
    <row r="10148" spans="1:13" s="393" customFormat="1" x14ac:dyDescent="0.25">
      <c r="A10148" s="483" t="s">
        <v>36</v>
      </c>
      <c r="B10148" s="324">
        <v>44315</v>
      </c>
      <c r="C10148" s="326">
        <v>532</v>
      </c>
      <c r="D10148" s="325">
        <f t="shared" si="930"/>
        <v>36952</v>
      </c>
      <c r="E10148" s="326">
        <v>2</v>
      </c>
      <c r="F10148" s="325">
        <f t="shared" si="935"/>
        <v>478</v>
      </c>
      <c r="G10148" s="327">
        <f>SUM(C10148,C10124,C10100,C10076,C10052,C10028,C10004,C9980,C9956,C9932,C9908,C9884,C9860,C9836)/POBLA!$B$19*100000</f>
        <v>1692.411199068318</v>
      </c>
      <c r="H10148" s="328">
        <f t="shared" si="938"/>
        <v>1.6232075471698113</v>
      </c>
      <c r="I10148" s="329">
        <f t="shared" si="936"/>
        <v>2747.1346312424034</v>
      </c>
      <c r="J10148" s="329">
        <f t="shared" si="937"/>
        <v>611.57142857142856</v>
      </c>
      <c r="K10148" s="337">
        <f>J10148/POBLA!$B$19*100000</f>
        <v>120.31039576246609</v>
      </c>
    </row>
    <row r="10149" spans="1:13" s="393" customFormat="1" x14ac:dyDescent="0.25">
      <c r="A10149" s="482" t="s">
        <v>37</v>
      </c>
      <c r="B10149" s="324">
        <v>44315</v>
      </c>
      <c r="C10149" s="326">
        <v>231</v>
      </c>
      <c r="D10149" s="325">
        <f t="shared" si="930"/>
        <v>44492</v>
      </c>
      <c r="E10149" s="326">
        <v>3</v>
      </c>
      <c r="F10149" s="325">
        <f t="shared" si="935"/>
        <v>705</v>
      </c>
      <c r="G10149" s="327">
        <f>SUM(C10149,C10125,C10101,C10077,C10053,C10029,C10005,C9981,C9957,C9933,C9909,C9885,C9861,C9837)/POBLA!$B$20*100000</f>
        <v>740.50172546746228</v>
      </c>
      <c r="H10149" s="328">
        <f t="shared" si="938"/>
        <v>1.230349840981372</v>
      </c>
      <c r="I10149" s="329">
        <f t="shared" si="936"/>
        <v>911.07618017532377</v>
      </c>
      <c r="J10149" s="329">
        <f t="shared" si="937"/>
        <v>196</v>
      </c>
      <c r="K10149" s="337">
        <f>J10149/POBLA!$B$20*100000</f>
        <v>53.596136702962546</v>
      </c>
    </row>
    <row r="10150" spans="1:13" s="393" customFormat="1" x14ac:dyDescent="0.25">
      <c r="A10150" s="482" t="s">
        <v>22</v>
      </c>
      <c r="B10150" s="324">
        <v>44315</v>
      </c>
      <c r="C10150" s="326">
        <v>2327</v>
      </c>
      <c r="D10150" s="325">
        <f t="shared" si="930"/>
        <v>272425</v>
      </c>
      <c r="E10150" s="326">
        <v>13</v>
      </c>
      <c r="F10150" s="325">
        <f t="shared" si="935"/>
        <v>4610</v>
      </c>
      <c r="G10150" s="327">
        <f>SUM(C10150,C10126,C10102,C10078,C10054,C10030,C10006,C9982,C9958,C9934,C9910,C9886,C9862,C9838)/POBLA!$B$21*100000</f>
        <v>672.2056046542009</v>
      </c>
      <c r="H10150" s="328">
        <f t="shared" si="938"/>
        <v>1.473136270682283</v>
      </c>
      <c r="I10150" s="329">
        <f t="shared" si="936"/>
        <v>990.2504575720186</v>
      </c>
      <c r="J10150" s="329">
        <f t="shared" si="937"/>
        <v>1735.8571428571429</v>
      </c>
      <c r="K10150" s="337">
        <f>J10150/POBLA!$B$21*100000</f>
        <v>49.085180056688522</v>
      </c>
    </row>
    <row r="10151" spans="1:13" s="393" customFormat="1" x14ac:dyDescent="0.25">
      <c r="A10151" s="482" t="s">
        <v>38</v>
      </c>
      <c r="B10151" s="324">
        <v>44315</v>
      </c>
      <c r="C10151" s="326">
        <v>235</v>
      </c>
      <c r="D10151" s="325">
        <f t="shared" si="930"/>
        <v>30483</v>
      </c>
      <c r="E10151" s="326">
        <v>4</v>
      </c>
      <c r="F10151" s="325">
        <f t="shared" si="935"/>
        <v>341</v>
      </c>
      <c r="G10151" s="327">
        <f>SUM(C10151,C10127,C10103,C10079,C10055,C10031,C10007,C9983,C9959,C9935,C9911,C9887,C9863,C9839)/POBLA!$B$22*100000</f>
        <v>304.19712300664514</v>
      </c>
      <c r="H10151" s="328">
        <f t="shared" si="938"/>
        <v>1.3490480507706255</v>
      </c>
      <c r="I10151" s="329">
        <f t="shared" si="936"/>
        <v>410.37653584214684</v>
      </c>
      <c r="J10151" s="329">
        <f t="shared" si="937"/>
        <v>199.85714285714286</v>
      </c>
      <c r="K10151" s="337">
        <f>J10151/POBLA!$B$22*100000</f>
        <v>20.428752644311469</v>
      </c>
    </row>
    <row r="10152" spans="1:13" s="393" customFormat="1" x14ac:dyDescent="0.25">
      <c r="A10152" s="482" t="s">
        <v>39</v>
      </c>
      <c r="B10152" s="324">
        <v>44315</v>
      </c>
      <c r="C10152" s="326">
        <v>95</v>
      </c>
      <c r="D10152" s="325">
        <f t="shared" si="930"/>
        <v>26371</v>
      </c>
      <c r="E10152" s="326">
        <v>4</v>
      </c>
      <c r="F10152" s="325">
        <f t="shared" si="935"/>
        <v>387</v>
      </c>
      <c r="G10152" s="327">
        <f>SUM(C10152,C10128,C10104,C10080,C10056,C10032,C10008,C9984,C9960,C9936,C9912,C9888,C9864,C9840)/POBLA!$B$23*100000</f>
        <v>644.6869875021207</v>
      </c>
      <c r="H10152" s="328">
        <f t="shared" si="938"/>
        <v>1.0497237569060773</v>
      </c>
      <c r="I10152" s="329">
        <f t="shared" si="936"/>
        <v>676.74324654918746</v>
      </c>
      <c r="J10152" s="329">
        <f t="shared" si="937"/>
        <v>82.142857142857139</v>
      </c>
      <c r="K10152" s="337">
        <f>J10152/POBLA!$B$23*100000</f>
        <v>46.453009751092651</v>
      </c>
    </row>
    <row r="10153" spans="1:13" s="393" customFormat="1" ht="15.75" thickBot="1" x14ac:dyDescent="0.3">
      <c r="A10153" s="489" t="s">
        <v>40</v>
      </c>
      <c r="B10153" s="338">
        <v>44315</v>
      </c>
      <c r="C10153" s="340">
        <v>752</v>
      </c>
      <c r="D10153" s="339">
        <f t="shared" si="930"/>
        <v>105659</v>
      </c>
      <c r="E10153" s="340">
        <v>12</v>
      </c>
      <c r="F10153" s="339">
        <f t="shared" si="935"/>
        <v>1616</v>
      </c>
      <c r="G10153" s="341">
        <f>SUM(C10153,C10129,C10105,C10081,C10057,C10033,C10009,C9985,C9961,C9937,C9913,C9889,C9865,C9841)/POBLA!$B$24*100000</f>
        <v>561.11682843007668</v>
      </c>
      <c r="H10153" s="342">
        <f t="shared" si="938"/>
        <v>1.2257025006444959</v>
      </c>
      <c r="I10153" s="343">
        <f t="shared" si="936"/>
        <v>687.76229976045363</v>
      </c>
      <c r="J10153" s="343">
        <f t="shared" si="937"/>
        <v>671.42857142857144</v>
      </c>
      <c r="K10153" s="344">
        <f>J10153/POBLA!$B$24*100000</f>
        <v>39.620346042416358</v>
      </c>
    </row>
    <row r="10154" spans="1:13" s="393" customFormat="1" x14ac:dyDescent="0.25">
      <c r="A10154" s="490" t="s">
        <v>16</v>
      </c>
      <c r="B10154" s="269">
        <v>44316</v>
      </c>
      <c r="C10154" s="227">
        <v>10470</v>
      </c>
      <c r="D10154" s="331">
        <f t="shared" si="930"/>
        <v>1299908</v>
      </c>
      <c r="E10154" s="227">
        <v>156</v>
      </c>
      <c r="F10154" s="331">
        <v>32975</v>
      </c>
      <c r="G10154" s="333">
        <f>SUM(C10154,C10130,C10106,C10082,C10058,C10034,C10010,C9986,C9962,C9938,C9914,C9890,C9866,C9842)/POBLA!$B$1*100000</f>
        <v>881.3223723587879</v>
      </c>
      <c r="H10154" s="334">
        <f t="shared" si="938"/>
        <v>1.0614512097992366</v>
      </c>
      <c r="I10154" s="335">
        <f>G10154*H10154</f>
        <v>935.48069836336867</v>
      </c>
      <c r="J10154" s="335">
        <f>AVERAGE(C10154,C10130,C10106,C10082,C10058,C10034,C10010)</f>
        <v>10286.428571428571</v>
      </c>
      <c r="K10154" s="336">
        <f>J10154/POBLA!$B$1*100000</f>
        <v>58.641730155572951</v>
      </c>
      <c r="M10154" s="393" t="s">
        <v>269</v>
      </c>
    </row>
    <row r="10155" spans="1:13" s="393" customFormat="1" x14ac:dyDescent="0.25">
      <c r="A10155" s="491" t="s">
        <v>43</v>
      </c>
      <c r="B10155" s="269">
        <v>44316</v>
      </c>
      <c r="C10155" s="1">
        <v>2721</v>
      </c>
      <c r="D10155" s="325">
        <f t="shared" si="930"/>
        <v>342140</v>
      </c>
      <c r="E10155" s="1">
        <v>56</v>
      </c>
      <c r="F10155" s="325">
        <f t="shared" ref="F10155:F10177" si="939">E10155+F10131</f>
        <v>7752</v>
      </c>
      <c r="G10155" s="327">
        <f>SUM(C10155,C10131,C10107,C10083,C10059,C10035,C10011,C9987,C9963,C9939,C9915,C9891,C9867,C9843)/POBLA!$B$2*100000</f>
        <v>1341.4417654047313</v>
      </c>
      <c r="H10155" s="328">
        <f t="shared" si="938"/>
        <v>1.1373986877653415</v>
      </c>
      <c r="I10155" s="329">
        <f t="shared" ref="I10155:I10177" si="940">G10155*H10155</f>
        <v>1525.7541036849645</v>
      </c>
      <c r="J10155" s="329">
        <f t="shared" ref="J10155:J10177" si="941">AVERAGE(C10155,C10131,C10107,C10083,C10059,C10035,C10011)</f>
        <v>2845.2857142857142</v>
      </c>
      <c r="K10155" s="337">
        <f>J10155/POBLA!$B$2*100000</f>
        <v>92.510182065351927</v>
      </c>
      <c r="M10155" s="393" t="s">
        <v>43</v>
      </c>
    </row>
    <row r="10156" spans="1:13" s="393" customFormat="1" x14ac:dyDescent="0.25">
      <c r="A10156" s="491" t="s">
        <v>28</v>
      </c>
      <c r="B10156" s="269">
        <v>44316</v>
      </c>
      <c r="C10156" s="1">
        <v>189</v>
      </c>
      <c r="D10156" s="325">
        <f t="shared" si="930"/>
        <v>14899</v>
      </c>
      <c r="E10156" s="1"/>
      <c r="F10156" s="325">
        <f t="shared" si="939"/>
        <v>19</v>
      </c>
      <c r="G10156" s="327">
        <f>SUM(C10156,C10132,C10108,C10084,C10060,C10036,C10012,C9988,C9964,C9940,C9916,C9892,C9868,C9844)/POBLA!$B$3*100000</f>
        <v>579.38850081119199</v>
      </c>
      <c r="H10156" s="328">
        <f t="shared" si="938"/>
        <v>1.2885438972162742</v>
      </c>
      <c r="I10156" s="329">
        <f t="shared" si="940"/>
        <v>746.56751683754771</v>
      </c>
      <c r="J10156" s="329">
        <f t="shared" si="941"/>
        <v>167.14285714285714</v>
      </c>
      <c r="K10156" s="337">
        <f>J10156/POBLA!$B$3*100000</f>
        <v>40.232924562234828</v>
      </c>
      <c r="M10156" s="393" t="s">
        <v>28</v>
      </c>
    </row>
    <row r="10157" spans="1:13" s="393" customFormat="1" x14ac:dyDescent="0.25">
      <c r="A10157" s="491" t="s">
        <v>15</v>
      </c>
      <c r="B10157" s="269">
        <v>44316</v>
      </c>
      <c r="C10157" s="1">
        <v>203</v>
      </c>
      <c r="D10157" s="325">
        <f t="shared" si="930"/>
        <v>44804</v>
      </c>
      <c r="E10157" s="1">
        <v>2</v>
      </c>
      <c r="F10157" s="325">
        <f t="shared" si="939"/>
        <v>1040</v>
      </c>
      <c r="G10157" s="327">
        <f>SUM(C10157,C10133,C10109,C10085,C10061,C10037,C10013,C9989,C9965,C9941,C9917,C9893,C9869,C9845)/POBLA!$B$4*100000</f>
        <v>254.86886706222538</v>
      </c>
      <c r="H10157" s="328">
        <f t="shared" si="938"/>
        <v>1.0685694396101635</v>
      </c>
      <c r="I10157" s="329">
        <f t="shared" si="940"/>
        <v>272.34508245075943</v>
      </c>
      <c r="J10157" s="329">
        <f t="shared" si="941"/>
        <v>228.85714285714286</v>
      </c>
      <c r="K10157" s="337">
        <f>J10157/POBLA!$B$4*100000</f>
        <v>18.99953117885924</v>
      </c>
      <c r="M10157" s="393" t="s">
        <v>15</v>
      </c>
    </row>
    <row r="10158" spans="1:13" s="393" customFormat="1" x14ac:dyDescent="0.25">
      <c r="A10158" s="491" t="s">
        <v>29</v>
      </c>
      <c r="B10158" s="269">
        <v>44316</v>
      </c>
      <c r="C10158" s="1">
        <v>120</v>
      </c>
      <c r="D10158" s="325">
        <f t="shared" si="930"/>
        <v>54876</v>
      </c>
      <c r="E10158" s="1">
        <v>10</v>
      </c>
      <c r="F10158" s="325">
        <f t="shared" si="939"/>
        <v>926</v>
      </c>
      <c r="G10158" s="327">
        <f>SUM(C10158,C10134,C10110,C10086,C10062,C10038,C10014,C9990,C9966,C9942,C9918,C9894,C9870,C9846)/POBLA!$B$5*100000</f>
        <v>392.73401680791733</v>
      </c>
      <c r="H10158" s="328">
        <f t="shared" si="938"/>
        <v>1.1187298665439485</v>
      </c>
      <c r="I10158" s="329">
        <f t="shared" si="940"/>
        <v>439.36327421079017</v>
      </c>
      <c r="J10158" s="329">
        <f t="shared" si="941"/>
        <v>159.57142857142858</v>
      </c>
      <c r="K10158" s="337">
        <f>J10158/POBLA!$B$5*100000</f>
        <v>25.77915594843061</v>
      </c>
      <c r="M10158" s="393" t="s">
        <v>29</v>
      </c>
    </row>
    <row r="10159" spans="1:13" s="393" customFormat="1" x14ac:dyDescent="0.25">
      <c r="A10159" s="491" t="s">
        <v>30</v>
      </c>
      <c r="B10159" s="269">
        <v>44316</v>
      </c>
      <c r="C10159" s="1">
        <v>114</v>
      </c>
      <c r="D10159" s="325">
        <f t="shared" si="930"/>
        <v>37499</v>
      </c>
      <c r="E10159" s="1"/>
      <c r="F10159" s="325">
        <f t="shared" si="939"/>
        <v>495</v>
      </c>
      <c r="G10159" s="327">
        <f>SUM(C10159,C10135,C10111,C10087,C10063,C10039,C10015,C9991,C9967,C9943,C9919,C9895,C9871,C9847)/POBLA!$B$6*100000</f>
        <v>288.72208358129586</v>
      </c>
      <c r="H10159" s="328">
        <f t="shared" si="938"/>
        <v>0.90114174324700635</v>
      </c>
      <c r="I10159" s="329">
        <f t="shared" si="940"/>
        <v>260.1795217123568</v>
      </c>
      <c r="J10159" s="329">
        <f t="shared" si="941"/>
        <v>206</v>
      </c>
      <c r="K10159" s="337">
        <f>J10159/POBLA!$B$6*100000</f>
        <v>18.379712366423657</v>
      </c>
      <c r="M10159" s="393" t="s">
        <v>30</v>
      </c>
    </row>
    <row r="10160" spans="1:13" s="393" customFormat="1" x14ac:dyDescent="0.25">
      <c r="A10160" s="491" t="s">
        <v>20</v>
      </c>
      <c r="B10160" s="269">
        <v>44316</v>
      </c>
      <c r="C10160" s="1">
        <v>1850</v>
      </c>
      <c r="D10160" s="325">
        <f t="shared" si="930"/>
        <v>227310</v>
      </c>
      <c r="E10160" s="1">
        <v>16</v>
      </c>
      <c r="F10160" s="325">
        <f t="shared" si="939"/>
        <v>3379</v>
      </c>
      <c r="G10160" s="327">
        <f>SUM(C10160,C10136,C10112,C10088,C10064,C10040,C10016,C9992,C9968,C9944,C9920,C9896,C9872,C9848)/POBLA!$B$7*100000</f>
        <v>604.63508356712634</v>
      </c>
      <c r="H10160" s="328">
        <f t="shared" si="938"/>
        <v>1.0312032291713911</v>
      </c>
      <c r="I10160" s="329">
        <f t="shared" si="940"/>
        <v>623.50165064473458</v>
      </c>
      <c r="J10160" s="329">
        <f t="shared" si="941"/>
        <v>1553.4285714285713</v>
      </c>
      <c r="K10160" s="337">
        <f>J10160/POBLA!$B$7*100000</f>
        <v>41.30964569209992</v>
      </c>
      <c r="M10160" s="393" t="s">
        <v>20</v>
      </c>
    </row>
    <row r="10161" spans="1:13" x14ac:dyDescent="0.25">
      <c r="A10161" s="491" t="s">
        <v>31</v>
      </c>
      <c r="B10161" s="269">
        <v>44316</v>
      </c>
      <c r="C10161" s="1">
        <v>565</v>
      </c>
      <c r="D10161" s="325">
        <f t="shared" si="930"/>
        <v>62942</v>
      </c>
      <c r="E10161" s="1">
        <v>9</v>
      </c>
      <c r="F10161" s="325">
        <f t="shared" si="939"/>
        <v>1066</v>
      </c>
      <c r="G10161" s="327">
        <f>SUM(C10161,C10137,C10113,C10089,C10065,C10041,C10017,C9993,C9969,C9945,C9921,C9897,C9873,C9849)/POBLA!$B$8*100000</f>
        <v>522.74198191724008</v>
      </c>
      <c r="H10161" s="328">
        <f t="shared" si="938"/>
        <v>1.3511749347258486</v>
      </c>
      <c r="I10161" s="329">
        <f t="shared" si="940"/>
        <v>706.31586329548759</v>
      </c>
      <c r="J10161" s="329">
        <f t="shared" si="941"/>
        <v>538.42857142857144</v>
      </c>
      <c r="K10161" s="337">
        <f>J10161/POBLA!$B$8*100000</f>
        <v>38.848753422973047</v>
      </c>
      <c r="M10161" s="42" t="s">
        <v>31</v>
      </c>
    </row>
    <row r="10162" spans="1:13" s="393" customFormat="1" x14ac:dyDescent="0.25">
      <c r="A10162" s="491" t="s">
        <v>41</v>
      </c>
      <c r="B10162" s="269">
        <v>44316</v>
      </c>
      <c r="C10162" s="1">
        <v>11</v>
      </c>
      <c r="D10162" s="325">
        <f t="shared" si="930"/>
        <v>4524</v>
      </c>
      <c r="E10162" s="1">
        <v>9</v>
      </c>
      <c r="F10162" s="325">
        <f t="shared" si="939"/>
        <v>96</v>
      </c>
      <c r="G10162" s="327">
        <f>SUM(C10162,C10138,C10114,C10090,C10066,C10042,C10018,C9994,C9970,C9946,C9922,C9898,C9874,C9850)/POBLA!$B$9*100000</f>
        <v>183.74303734511139</v>
      </c>
      <c r="H10162" s="328">
        <f t="shared" si="938"/>
        <v>0.99463327370304111</v>
      </c>
      <c r="I10162" s="329">
        <f t="shared" si="940"/>
        <v>182.75693875470827</v>
      </c>
      <c r="J10162" s="329">
        <f t="shared" si="941"/>
        <v>78.714285714285708</v>
      </c>
      <c r="K10162" s="337">
        <f>J10162/POBLA!$B$9*100000</f>
        <v>13.006476564382885</v>
      </c>
      <c r="M10162" s="393" t="s">
        <v>41</v>
      </c>
    </row>
    <row r="10163" spans="1:13" s="393" customFormat="1" x14ac:dyDescent="0.25">
      <c r="A10163" s="491" t="s">
        <v>32</v>
      </c>
      <c r="B10163" s="269">
        <v>44316</v>
      </c>
      <c r="C10163" s="1">
        <v>89</v>
      </c>
      <c r="D10163" s="325">
        <f t="shared" ref="D10163:D10226" si="942">C10163+D10139</f>
        <v>24867</v>
      </c>
      <c r="E10163" s="1">
        <v>6</v>
      </c>
      <c r="F10163" s="325">
        <f t="shared" si="939"/>
        <v>1036</v>
      </c>
      <c r="G10163" s="327">
        <f>SUM(C10163,C10139,C10115,C10091,C10067,C10043,C10019,C9995,C9971,C9947,C9923,C9899,C9875,C9851)/POBLA!$B$10*100000</f>
        <v>180.96178268760028</v>
      </c>
      <c r="H10163" s="328">
        <f t="shared" si="938"/>
        <v>1.5727170236753101</v>
      </c>
      <c r="I10163" s="329">
        <f t="shared" si="940"/>
        <v>284.60167626742094</v>
      </c>
      <c r="J10163" s="329">
        <f t="shared" si="941"/>
        <v>99.285714285714292</v>
      </c>
      <c r="K10163" s="337">
        <f>J10163/POBLA!$B$10*100000</f>
        <v>12.879512439107241</v>
      </c>
      <c r="M10163" s="393" t="s">
        <v>32</v>
      </c>
    </row>
    <row r="10164" spans="1:13" s="393" customFormat="1" x14ac:dyDescent="0.25">
      <c r="A10164" s="491" t="s">
        <v>33</v>
      </c>
      <c r="B10164" s="269">
        <v>44316</v>
      </c>
      <c r="C10164" s="1">
        <v>312</v>
      </c>
      <c r="D10164" s="325">
        <f t="shared" si="942"/>
        <v>27130</v>
      </c>
      <c r="E10164" s="1">
        <v>6</v>
      </c>
      <c r="F10164" s="325">
        <f t="shared" si="939"/>
        <v>372</v>
      </c>
      <c r="G10164" s="327">
        <f>SUM(C10164,C10140,C10116,C10092,C10068,C10044,C10020,C9996,C9972,C9948,C9924,C9900,C9876,C9852)/POBLA!$B$11*100000</f>
        <v>947.74961777539693</v>
      </c>
      <c r="H10164" s="328">
        <f t="shared" si="938"/>
        <v>1.48925909688733</v>
      </c>
      <c r="I10164" s="329">
        <f t="shared" si="940"/>
        <v>1411.4447398435</v>
      </c>
      <c r="J10164" s="329">
        <f t="shared" si="941"/>
        <v>252.14285714285714</v>
      </c>
      <c r="K10164" s="337">
        <f>J10164/POBLA!$B$11*100000</f>
        <v>70.346863845139652</v>
      </c>
      <c r="M10164" s="393" t="s">
        <v>33</v>
      </c>
    </row>
    <row r="10165" spans="1:13" s="393" customFormat="1" x14ac:dyDescent="0.25">
      <c r="A10165" s="491" t="s">
        <v>21</v>
      </c>
      <c r="B10165" s="269">
        <v>44316</v>
      </c>
      <c r="C10165" s="1">
        <v>45</v>
      </c>
      <c r="D10165" s="325">
        <f t="shared" si="942"/>
        <v>13370</v>
      </c>
      <c r="E10165" s="1">
        <v>1</v>
      </c>
      <c r="F10165" s="325">
        <f t="shared" si="939"/>
        <v>473</v>
      </c>
      <c r="G10165" s="327">
        <f>SUM(C10165,C10141,C10117,C10093,C10069,C10045,C10021,C9997,C9973,C9949,C9925,C9901,C9877,C9853)/POBLA!$B$12*100000</f>
        <v>248.26506679270503</v>
      </c>
      <c r="H10165" s="328">
        <f t="shared" si="938"/>
        <v>0.82169890664423884</v>
      </c>
      <c r="I10165" s="329">
        <f t="shared" si="940"/>
        <v>203.99913394152466</v>
      </c>
      <c r="J10165" s="329">
        <f t="shared" si="941"/>
        <v>66.428571428571431</v>
      </c>
      <c r="K10165" s="337">
        <f>J10165/POBLA!$B$12*100000</f>
        <v>16.880136870683994</v>
      </c>
      <c r="M10165" s="393" t="s">
        <v>21</v>
      </c>
    </row>
    <row r="10166" spans="1:13" s="393" customFormat="1" x14ac:dyDescent="0.25">
      <c r="A10166" s="491" t="s">
        <v>17</v>
      </c>
      <c r="B10166" s="269">
        <v>44316</v>
      </c>
      <c r="C10166" s="1">
        <v>820</v>
      </c>
      <c r="D10166" s="325">
        <f t="shared" si="942"/>
        <v>96502</v>
      </c>
      <c r="E10166" s="1">
        <v>10</v>
      </c>
      <c r="F10166" s="325">
        <f t="shared" si="939"/>
        <v>1826</v>
      </c>
      <c r="G10166" s="327">
        <f>SUM(C10166,C10142,C10118,C10094,C10070,C10046,C10022,C9998,C9974,C9950,C9926,C9902,C9878,C9854)/POBLA!$B$13*100000</f>
        <v>587.23694166518442</v>
      </c>
      <c r="H10166" s="328">
        <f t="shared" si="938"/>
        <v>1.0544929628293036</v>
      </c>
      <c r="I10166" s="329">
        <f t="shared" si="940"/>
        <v>619.23722249933928</v>
      </c>
      <c r="J10166" s="329">
        <f t="shared" si="941"/>
        <v>769.71428571428567</v>
      </c>
      <c r="K10166" s="337">
        <f>J10166/POBLA!$B$13*100000</f>
        <v>38.672541332893495</v>
      </c>
      <c r="M10166" s="393" t="s">
        <v>17</v>
      </c>
    </row>
    <row r="10167" spans="1:13" s="393" customFormat="1" x14ac:dyDescent="0.25">
      <c r="A10167" s="491" t="s">
        <v>23</v>
      </c>
      <c r="B10167" s="269">
        <v>44316</v>
      </c>
      <c r="C10167" s="1">
        <v>112</v>
      </c>
      <c r="D10167" s="325">
        <f t="shared" si="942"/>
        <v>15629</v>
      </c>
      <c r="E10167" s="1">
        <v>1</v>
      </c>
      <c r="F10167" s="325">
        <f t="shared" si="939"/>
        <v>239</v>
      </c>
      <c r="G10167" s="327">
        <f>SUM(C10167,C10143,C10119,C10095,C10071,C10047,C10023,C9999,C9975,C9951,C9927,C9903,C9879,C9855)/POBLA!$B$14*100000</f>
        <v>123.9203548102187</v>
      </c>
      <c r="H10167" s="328">
        <f t="shared" si="938"/>
        <v>0.85737794843664294</v>
      </c>
      <c r="I10167" s="329">
        <f t="shared" si="940"/>
        <v>106.24657957672619</v>
      </c>
      <c r="J10167" s="329">
        <f t="shared" si="941"/>
        <v>113</v>
      </c>
      <c r="K10167" s="337">
        <f>J10167/POBLA!$B$14*100000</f>
        <v>8.9590531628629009</v>
      </c>
      <c r="M10167" s="393" t="s">
        <v>23</v>
      </c>
    </row>
    <row r="10168" spans="1:13" s="393" customFormat="1" x14ac:dyDescent="0.25">
      <c r="A10168" s="491" t="s">
        <v>19</v>
      </c>
      <c r="B10168" s="269">
        <v>44316</v>
      </c>
      <c r="C10168" s="1">
        <v>347</v>
      </c>
      <c r="D10168" s="325">
        <f t="shared" si="942"/>
        <v>71117</v>
      </c>
      <c r="E10168" s="1">
        <v>3</v>
      </c>
      <c r="F10168" s="325">
        <f t="shared" si="939"/>
        <v>1071</v>
      </c>
      <c r="G10168" s="327">
        <f>SUM(C10168,C10144,C10120,C10096,C10072,C10048,C10024,C10000,C9976,C9952,C9928,C9904,C9880,C9856)/POBLA!$B$15*100000</f>
        <v>532.18323125876248</v>
      </c>
      <c r="H10168" s="328">
        <f t="shared" si="938"/>
        <v>1.5976491862567812</v>
      </c>
      <c r="I10168" s="329">
        <f t="shared" si="940"/>
        <v>850.24210636006626</v>
      </c>
      <c r="J10168" s="329">
        <f t="shared" si="941"/>
        <v>303.28571428571428</v>
      </c>
      <c r="K10168" s="337">
        <f>J10168/POBLA!$B$15*100000</f>
        <v>45.671638772833397</v>
      </c>
      <c r="M10168" s="393" t="s">
        <v>19</v>
      </c>
    </row>
    <row r="10169" spans="1:13" s="393" customFormat="1" x14ac:dyDescent="0.25">
      <c r="A10169" s="491" t="s">
        <v>18</v>
      </c>
      <c r="B10169" s="269">
        <v>44316</v>
      </c>
      <c r="C10169" s="1">
        <v>287</v>
      </c>
      <c r="D10169" s="325">
        <f t="shared" si="942"/>
        <v>61453</v>
      </c>
      <c r="E10169" s="1">
        <v>11</v>
      </c>
      <c r="F10169" s="325">
        <f t="shared" si="939"/>
        <v>1364</v>
      </c>
      <c r="G10169" s="327">
        <f>SUM(C10169,C10145,C10121,C10097,C10073,C10049,C10025,C10001,C9977,C9953,C9929,C9905,C9881,C9857)/POBLA!$B$16*100000</f>
        <v>483.00584529366915</v>
      </c>
      <c r="H10169" s="328">
        <f t="shared" si="938"/>
        <v>1.602751886373724</v>
      </c>
      <c r="I10169" s="329">
        <f t="shared" si="940"/>
        <v>774.13852967396338</v>
      </c>
      <c r="J10169" s="329">
        <f t="shared" si="941"/>
        <v>278.85714285714283</v>
      </c>
      <c r="K10169" s="337">
        <f>J10169/POBLA!$B$16*100000</f>
        <v>37.299814456353289</v>
      </c>
      <c r="M10169" s="393" t="s">
        <v>18</v>
      </c>
    </row>
    <row r="10170" spans="1:13" s="393" customFormat="1" x14ac:dyDescent="0.25">
      <c r="A10170" s="491" t="s">
        <v>34</v>
      </c>
      <c r="B10170" s="269">
        <v>44316</v>
      </c>
      <c r="C10170" s="1">
        <v>265</v>
      </c>
      <c r="D10170" s="325">
        <f t="shared" si="942"/>
        <v>34785</v>
      </c>
      <c r="E10170" s="1">
        <v>5</v>
      </c>
      <c r="F10170" s="325">
        <f t="shared" si="939"/>
        <v>1270</v>
      </c>
      <c r="G10170" s="327">
        <f>SUM(C10170,C10146,C10122,C10098,C10074,C10050,C10026,C10002,C9978,C9954,C9930,C9906,C9882,C9858)/POBLA!$B$17*100000</f>
        <v>184.92035577160019</v>
      </c>
      <c r="H10170" s="328">
        <f t="shared" ref="H10170:H10193" si="943">SUM(C10170,C10146,C10122,C10098,C10074,C10050,C10026,C10002,C9978,C9954,C9930,C9906,C9882,C9858)/SUM(C9834,C9810,C9786,C9762,C9738,C9714,C9690,C9666,C9642,C9618,C9594,C9570,C9546,C9522)</f>
        <v>1.0293083235638922</v>
      </c>
      <c r="I10170" s="329">
        <f t="shared" si="940"/>
        <v>190.3400613921043</v>
      </c>
      <c r="J10170" s="329">
        <f t="shared" si="941"/>
        <v>187.42857142857142</v>
      </c>
      <c r="K10170" s="337">
        <f>J10170/POBLA!$B$17*100000</f>
        <v>13.158450307643966</v>
      </c>
      <c r="M10170" s="393" t="s">
        <v>34</v>
      </c>
    </row>
    <row r="10171" spans="1:13" s="393" customFormat="1" x14ac:dyDescent="0.25">
      <c r="A10171" s="491" t="s">
        <v>35</v>
      </c>
      <c r="B10171" s="269">
        <v>44316</v>
      </c>
      <c r="C10171" s="1">
        <v>298</v>
      </c>
      <c r="D10171" s="325">
        <f t="shared" si="942"/>
        <v>23624</v>
      </c>
      <c r="E10171" s="1">
        <v>7</v>
      </c>
      <c r="F10171" s="325">
        <f t="shared" si="939"/>
        <v>279</v>
      </c>
      <c r="G10171" s="327">
        <f>SUM(C10171,C10147,C10123,C10099,C10075,C10051,C10027,C10003,C9979,C9955,C9931,C9907,C9883,C9859)/POBLA!$B$18*100000</f>
        <v>460.43544879335701</v>
      </c>
      <c r="H10171" s="328">
        <f t="shared" si="943"/>
        <v>1.3882670783481281</v>
      </c>
      <c r="I10171" s="329">
        <f t="shared" si="940"/>
        <v>639.20737526426285</v>
      </c>
      <c r="J10171" s="329">
        <f t="shared" si="941"/>
        <v>268.85714285714283</v>
      </c>
      <c r="K10171" s="337">
        <f>J10171/POBLA!$B$18*100000</f>
        <v>34.415167982409862</v>
      </c>
      <c r="M10171" s="393" t="s">
        <v>35</v>
      </c>
    </row>
    <row r="10172" spans="1:13" s="393" customFormat="1" x14ac:dyDescent="0.25">
      <c r="A10172" s="491" t="s">
        <v>36</v>
      </c>
      <c r="B10172" s="269">
        <v>44316</v>
      </c>
      <c r="C10172" s="1">
        <v>522</v>
      </c>
      <c r="D10172" s="325">
        <f t="shared" si="942"/>
        <v>37474</v>
      </c>
      <c r="E10172" s="1">
        <v>5</v>
      </c>
      <c r="F10172" s="325">
        <f t="shared" si="939"/>
        <v>483</v>
      </c>
      <c r="G10172" s="327">
        <f>SUM(C10172,C10148,C10124,C10100,C10076,C10052,C10028,C10004,C9980,C9956,C9932,C9908,C9884,C9860)/POBLA!$B$19*100000</f>
        <v>1645.9844824601437</v>
      </c>
      <c r="H10172" s="328">
        <f t="shared" si="943"/>
        <v>1.4140611796518505</v>
      </c>
      <c r="I10172" s="329">
        <f t="shared" si="940"/>
        <v>2327.5227589562314</v>
      </c>
      <c r="J10172" s="329">
        <f t="shared" si="941"/>
        <v>583.28571428571433</v>
      </c>
      <c r="K10172" s="337">
        <f>J10172/POBLA!$B$19*100000</f>
        <v>114.74593457092948</v>
      </c>
      <c r="M10172" s="393" t="s">
        <v>36</v>
      </c>
    </row>
    <row r="10173" spans="1:13" s="393" customFormat="1" x14ac:dyDescent="0.25">
      <c r="A10173" s="491" t="s">
        <v>37</v>
      </c>
      <c r="B10173" s="269">
        <v>44316</v>
      </c>
      <c r="C10173" s="1">
        <v>270</v>
      </c>
      <c r="D10173" s="325">
        <f t="shared" si="942"/>
        <v>44762</v>
      </c>
      <c r="E10173" s="1">
        <v>1</v>
      </c>
      <c r="F10173" s="325">
        <f t="shared" si="939"/>
        <v>706</v>
      </c>
      <c r="G10173" s="327">
        <f>SUM(C10173,C10149,C10125,C10101,C10077,C10053,C10029,C10005,C9981,C9957,C9933,C9909,C9885,C9861)/POBLA!$B$20*100000</f>
        <v>771.40153897478251</v>
      </c>
      <c r="H10173" s="328">
        <f t="shared" si="943"/>
        <v>1.2265217391304348</v>
      </c>
      <c r="I10173" s="329">
        <f t="shared" si="940"/>
        <v>946.1407571512442</v>
      </c>
      <c r="J10173" s="329">
        <f t="shared" si="941"/>
        <v>205.42857142857142</v>
      </c>
      <c r="K10173" s="337">
        <f>J10173/POBLA!$B$20*100000</f>
        <v>56.174376515204187</v>
      </c>
      <c r="M10173" s="393" t="s">
        <v>37</v>
      </c>
    </row>
    <row r="10174" spans="1:13" s="393" customFormat="1" x14ac:dyDescent="0.25">
      <c r="A10174" s="491" t="s">
        <v>22</v>
      </c>
      <c r="B10174" s="269">
        <v>44316</v>
      </c>
      <c r="C10174" s="1">
        <v>1945</v>
      </c>
      <c r="D10174" s="325">
        <f t="shared" si="942"/>
        <v>274370</v>
      </c>
      <c r="E10174" s="1">
        <v>13</v>
      </c>
      <c r="F10174" s="325">
        <f t="shared" si="939"/>
        <v>4623</v>
      </c>
      <c r="G10174" s="327">
        <f>SUM(C10174,C10150,C10126,C10102,C10078,C10054,C10030,C10006,C9982,C9958,C9934,C9910,C9886,C9862)/POBLA!$B$21*100000</f>
        <v>671.95110985183317</v>
      </c>
      <c r="H10174" s="328">
        <f t="shared" si="943"/>
        <v>1.3484848484848484</v>
      </c>
      <c r="I10174" s="329">
        <f t="shared" si="940"/>
        <v>906.11589055777495</v>
      </c>
      <c r="J10174" s="329">
        <f t="shared" si="941"/>
        <v>1738.2857142857142</v>
      </c>
      <c r="K10174" s="337">
        <f>J10174/POBLA!$B$21*100000</f>
        <v>49.153853257327448</v>
      </c>
      <c r="M10174" s="393" t="s">
        <v>22</v>
      </c>
    </row>
    <row r="10175" spans="1:13" s="393" customFormat="1" x14ac:dyDescent="0.25">
      <c r="A10175" s="491" t="s">
        <v>38</v>
      </c>
      <c r="B10175" s="269">
        <v>44316</v>
      </c>
      <c r="C10175" s="1">
        <v>160</v>
      </c>
      <c r="D10175" s="325">
        <f t="shared" si="942"/>
        <v>30643</v>
      </c>
      <c r="E10175" s="1">
        <v>6</v>
      </c>
      <c r="F10175" s="325">
        <f t="shared" si="939"/>
        <v>347</v>
      </c>
      <c r="G10175" s="327">
        <f>SUM(C10175,C10151,C10127,C10103,C10079,C10055,C10031,C10007,C9983,C9959,C9935,C9911,C9887,C9863)/POBLA!$B$22*100000</f>
        <v>294.17987903666818</v>
      </c>
      <c r="H10175" s="328">
        <f t="shared" si="943"/>
        <v>1.2194915254237289</v>
      </c>
      <c r="I10175" s="329">
        <f t="shared" si="940"/>
        <v>358.74986943539449</v>
      </c>
      <c r="J10175" s="329">
        <f t="shared" si="941"/>
        <v>187.71428571428572</v>
      </c>
      <c r="K10175" s="337">
        <f>J10175/POBLA!$B$22*100000</f>
        <v>19.187548945407627</v>
      </c>
      <c r="M10175" s="393" t="s">
        <v>38</v>
      </c>
    </row>
    <row r="10176" spans="1:13" s="393" customFormat="1" x14ac:dyDescent="0.25">
      <c r="A10176" s="491" t="s">
        <v>39</v>
      </c>
      <c r="B10176" s="269">
        <v>44316</v>
      </c>
      <c r="C10176" s="1">
        <v>64</v>
      </c>
      <c r="D10176" s="325">
        <f t="shared" si="942"/>
        <v>26435</v>
      </c>
      <c r="E10176" s="1"/>
      <c r="F10176" s="325">
        <f t="shared" si="939"/>
        <v>387</v>
      </c>
      <c r="G10176" s="327">
        <f>SUM(C10176,C10152,C10128,C10104,C10080,C10056,C10032,C10008,C9984,C9960,C9936,C9912,C9888,C9864)/POBLA!$B$23*100000</f>
        <v>623.7629361533676</v>
      </c>
      <c r="H10176" s="328">
        <f t="shared" si="943"/>
        <v>0.98570151921358351</v>
      </c>
      <c r="I10176" s="329">
        <f t="shared" si="940"/>
        <v>614.84407379549998</v>
      </c>
      <c r="J10176" s="329">
        <f t="shared" si="941"/>
        <v>70.571428571428569</v>
      </c>
      <c r="K10176" s="337">
        <f>J10176/POBLA!$B$23*100000</f>
        <v>39.909194464416991</v>
      </c>
      <c r="M10176" s="393" t="s">
        <v>39</v>
      </c>
    </row>
    <row r="10177" spans="1:13" s="393" customFormat="1" ht="15.75" thickBot="1" x14ac:dyDescent="0.3">
      <c r="A10177" s="492" t="s">
        <v>40</v>
      </c>
      <c r="B10177" s="269">
        <v>44316</v>
      </c>
      <c r="C10177" s="1">
        <v>641</v>
      </c>
      <c r="D10177" s="339">
        <f t="shared" si="942"/>
        <v>106300</v>
      </c>
      <c r="E10177" s="1">
        <v>24</v>
      </c>
      <c r="F10177" s="339">
        <f t="shared" si="939"/>
        <v>1640</v>
      </c>
      <c r="G10177" s="341">
        <f>SUM(C10177,C10153,C10129,C10105,C10081,C10057,C10033,C10009,C9985,C9961,C9937,C9913,C9889,C9865)/POBLA!$B$24*100000</f>
        <v>549.78709543411753</v>
      </c>
      <c r="H10177" s="342">
        <f t="shared" si="943"/>
        <v>1.1190247417727601</v>
      </c>
      <c r="I10177" s="343">
        <f t="shared" si="940"/>
        <v>615.22536249815914</v>
      </c>
      <c r="J10177" s="343">
        <f t="shared" si="941"/>
        <v>627.71428571428567</v>
      </c>
      <c r="K10177" s="344">
        <f>J10177/POBLA!$B$24*100000</f>
        <v>37.040808619229253</v>
      </c>
      <c r="M10177" s="393" t="s">
        <v>40</v>
      </c>
    </row>
    <row r="10178" spans="1:13" s="393" customFormat="1" x14ac:dyDescent="0.25">
      <c r="A10178" s="490" t="s">
        <v>16</v>
      </c>
      <c r="B10178" s="269">
        <v>44317</v>
      </c>
      <c r="C10178" s="42">
        <v>7508</v>
      </c>
      <c r="D10178" s="331">
        <f t="shared" si="942"/>
        <v>1307416</v>
      </c>
      <c r="E10178" s="1">
        <v>137</v>
      </c>
      <c r="F10178" s="331">
        <f t="shared" ref="F10178:F10201" si="944">E10178+F10154</f>
        <v>33112</v>
      </c>
      <c r="G10178" s="333">
        <f>SUM(C10178,C10154,C10130,C10106,C10082,C10058,C10034,C10010,C9986,C9962,C9938,C9914,C9890,C9866)/POBLA!$B$1*100000</f>
        <v>870.67312211902299</v>
      </c>
      <c r="H10178" s="334">
        <f t="shared" si="943"/>
        <v>1.020118359004502</v>
      </c>
      <c r="I10178" s="335">
        <f>G10178*H10178</f>
        <v>888.18963656538415</v>
      </c>
      <c r="J10178" s="335">
        <f>AVERAGE(C10178,C10154,C10130,C10106,C10082,C10058,C10034)</f>
        <v>9908.1428571428569</v>
      </c>
      <c r="K10178" s="336">
        <f>J10178/POBLA!$B$1*100000</f>
        <v>56.485167396709578</v>
      </c>
      <c r="L10178" s="68">
        <f>1-SUM(C10178,C10154,C10130,C10106,C10082,C10058,C10034)/SUM(C10010,C9986,C9962,C9938,C9914,C9890,C9866)</f>
        <v>0.16807206515611317</v>
      </c>
      <c r="M10178" s="23">
        <f>SUM(C10178,C10154,C10130,C10106,C10082,C10058,C10034)/POBLA!$B$1*100000</f>
        <v>395.39617177696709</v>
      </c>
    </row>
    <row r="10179" spans="1:13" s="393" customFormat="1" x14ac:dyDescent="0.25">
      <c r="A10179" s="491" t="s">
        <v>43</v>
      </c>
      <c r="B10179" s="269">
        <v>44317</v>
      </c>
      <c r="C10179" s="42">
        <v>2383</v>
      </c>
      <c r="D10179" s="325">
        <f t="shared" si="942"/>
        <v>344523</v>
      </c>
      <c r="E10179" s="1">
        <v>42</v>
      </c>
      <c r="F10179" s="325">
        <f t="shared" si="944"/>
        <v>7794</v>
      </c>
      <c r="G10179" s="327">
        <f>SUM(C10179,C10155,C10131,C10107,C10083,C10059,C10035,C10011,C9987,C9963,C9939,C9915,C9891,C9867)/POBLA!$B$2*100000</f>
        <v>1326.8106927780375</v>
      </c>
      <c r="H10179" s="328">
        <f t="shared" si="943"/>
        <v>1.0964292431285096</v>
      </c>
      <c r="I10179" s="329">
        <f t="shared" ref="I10179:I10201" si="945">G10179*H10179</f>
        <v>1454.7540436574373</v>
      </c>
      <c r="J10179" s="329">
        <f t="shared" ref="J10179:J10201" si="946">AVERAGE(C10179,C10155,C10131,C10107,C10083,C10059,C10035)</f>
        <v>2756</v>
      </c>
      <c r="K10179" s="337">
        <f>J10179/POBLA!$B$2*100000</f>
        <v>89.607191464817475</v>
      </c>
      <c r="L10179" s="68">
        <f t="shared" ref="L10179:L10242" si="947">1-SUM(C10179,C10155,C10131,C10107,C10083,C10059,C10035)/SUM(C10011,C9987,C9963,C9939,C9915,C9891,C9867)</f>
        <v>0.10336493772076594</v>
      </c>
      <c r="M10179" s="23">
        <f>SUM(C10179,C10155,C10131,C10107,C10083,C10059,C10035)/POBLA!$B$2*100000</f>
        <v>627.25034025372224</v>
      </c>
    </row>
    <row r="10180" spans="1:13" s="393" customFormat="1" x14ac:dyDescent="0.25">
      <c r="A10180" s="491" t="s">
        <v>28</v>
      </c>
      <c r="B10180" s="269">
        <v>44317</v>
      </c>
      <c r="C10180" s="42">
        <v>38</v>
      </c>
      <c r="D10180" s="325">
        <f t="shared" si="942"/>
        <v>14937</v>
      </c>
      <c r="E10180" s="1"/>
      <c r="F10180" s="325">
        <f t="shared" si="944"/>
        <v>19</v>
      </c>
      <c r="G10180" s="327">
        <f>SUM(C10180,C10156,C10132,C10108,C10084,C10060,C10036,C10012,C9988,C9964,C9940,C9916,C9892,C9868)/POBLA!$B$3*100000</f>
        <v>551.70687322777405</v>
      </c>
      <c r="H10180" s="328">
        <f t="shared" si="943"/>
        <v>1.1826625386996905</v>
      </c>
      <c r="I10180" s="329">
        <f t="shared" si="945"/>
        <v>652.48305130962763</v>
      </c>
      <c r="J10180" s="329">
        <f t="shared" si="946"/>
        <v>151.85714285714286</v>
      </c>
      <c r="K10180" s="337">
        <f>J10180/POBLA!$B$3*100000</f>
        <v>36.553503256115924</v>
      </c>
      <c r="L10180" s="68">
        <f t="shared" si="947"/>
        <v>0.13506916192026042</v>
      </c>
      <c r="M10180" s="23">
        <f>SUM(C10180,C10156,C10132,C10108,C10084,C10060,C10036)/POBLA!$B$3*100000</f>
        <v>255.87452279281146</v>
      </c>
    </row>
    <row r="10181" spans="1:13" s="393" customFormat="1" x14ac:dyDescent="0.25">
      <c r="A10181" s="491" t="s">
        <v>15</v>
      </c>
      <c r="B10181" s="269">
        <v>44317</v>
      </c>
      <c r="C10181" s="42">
        <v>224</v>
      </c>
      <c r="D10181" s="325">
        <f t="shared" si="942"/>
        <v>45028</v>
      </c>
      <c r="E10181" s="1">
        <v>5</v>
      </c>
      <c r="F10181" s="325">
        <f t="shared" si="944"/>
        <v>1045</v>
      </c>
      <c r="G10181" s="327">
        <f>SUM(C10181,C10157,C10133,C10109,C10085,C10061,C10037,C10013,C9989,C9965,C9941,C9917,C9893,C9869)/POBLA!$B$4*100000</f>
        <v>252.87640686369332</v>
      </c>
      <c r="H10181" s="328">
        <f t="shared" si="943"/>
        <v>1.0029634507737899</v>
      </c>
      <c r="I10181" s="329">
        <f t="shared" si="945"/>
        <v>253.62579364728674</v>
      </c>
      <c r="J10181" s="329">
        <f t="shared" si="946"/>
        <v>226.57142857142858</v>
      </c>
      <c r="K10181" s="337">
        <f>J10181/POBLA!$B$4*100000</f>
        <v>18.80977306471333</v>
      </c>
      <c r="L10181" s="68">
        <f t="shared" si="947"/>
        <v>-8.6301369863013733E-2</v>
      </c>
      <c r="M10181" s="23">
        <f>SUM(C10181,C10157,C10133,C10109,C10085,C10061,C10037)/POBLA!$B$4*100000</f>
        <v>131.6684114529933</v>
      </c>
    </row>
    <row r="10182" spans="1:13" s="393" customFormat="1" x14ac:dyDescent="0.25">
      <c r="A10182" s="491" t="s">
        <v>29</v>
      </c>
      <c r="B10182" s="269">
        <v>44317</v>
      </c>
      <c r="C10182" s="42">
        <v>112</v>
      </c>
      <c r="D10182" s="325">
        <f t="shared" si="942"/>
        <v>54988</v>
      </c>
      <c r="E10182" s="1"/>
      <c r="F10182" s="325">
        <f t="shared" si="944"/>
        <v>926</v>
      </c>
      <c r="G10182" s="327">
        <f>SUM(C10182,C10158,C10134,C10110,C10086,C10062,C10038,C10014,C9990,C9966,C9942,C9918,C9894,C9870)/POBLA!$B$5*100000</f>
        <v>396.93438062404476</v>
      </c>
      <c r="H10182" s="328">
        <f t="shared" si="943"/>
        <v>1.1077547339945897</v>
      </c>
      <c r="I10182" s="329">
        <f t="shared" si="945"/>
        <v>439.7059392214959</v>
      </c>
      <c r="J10182" s="329">
        <f t="shared" si="946"/>
        <v>161.71428571428572</v>
      </c>
      <c r="K10182" s="337">
        <f>J10182/POBLA!$B$5*100000</f>
        <v>26.125339779430128</v>
      </c>
      <c r="L10182" s="68">
        <f t="shared" si="947"/>
        <v>0.14566037735849058</v>
      </c>
      <c r="M10182" s="23">
        <f>SUM(C10182,C10158,C10134,C10110,C10086,C10062,C10038)/POBLA!$B$5*100000</f>
        <v>182.87737845601089</v>
      </c>
    </row>
    <row r="10183" spans="1:13" s="393" customFormat="1" x14ac:dyDescent="0.25">
      <c r="A10183" s="491" t="s">
        <v>30</v>
      </c>
      <c r="B10183" s="269">
        <v>44317</v>
      </c>
      <c r="C10183" s="42">
        <v>148</v>
      </c>
      <c r="D10183" s="325">
        <f t="shared" si="942"/>
        <v>37647</v>
      </c>
      <c r="E10183" s="1">
        <v>1</v>
      </c>
      <c r="F10183" s="325">
        <f t="shared" si="944"/>
        <v>496</v>
      </c>
      <c r="G10183" s="327">
        <f>SUM(C10183,C10159,C10135,C10111,C10087,C10063,C10039,C10015,C9991,C9967,C9943,C9919,C9895,C9871)/POBLA!$B$6*100000</f>
        <v>277.39090168549097</v>
      </c>
      <c r="H10183" s="328">
        <f t="shared" si="943"/>
        <v>0.84644704601143483</v>
      </c>
      <c r="I10183" s="329">
        <f t="shared" si="945"/>
        <v>234.79670932213219</v>
      </c>
      <c r="J10183" s="329">
        <f t="shared" si="946"/>
        <v>178.57142857142858</v>
      </c>
      <c r="K10183" s="337">
        <f>J10183/POBLA!$B$6*100000</f>
        <v>15.93248298060303</v>
      </c>
      <c r="L10183" s="68">
        <f t="shared" si="947"/>
        <v>0.32759548144163531</v>
      </c>
      <c r="M10183" s="23">
        <f>SUM(C10183,C10159,C10135,C10111,C10087,C10063,C10039)/POBLA!$B$6*100000</f>
        <v>111.52738086422121</v>
      </c>
    </row>
    <row r="10184" spans="1:13" s="393" customFormat="1" x14ac:dyDescent="0.25">
      <c r="A10184" s="491" t="s">
        <v>20</v>
      </c>
      <c r="B10184" s="269">
        <v>44317</v>
      </c>
      <c r="C10184" s="42">
        <v>1239</v>
      </c>
      <c r="D10184" s="325">
        <f t="shared" si="942"/>
        <v>228549</v>
      </c>
      <c r="E10184" s="1">
        <v>6</v>
      </c>
      <c r="F10184" s="325">
        <f t="shared" si="944"/>
        <v>3385</v>
      </c>
      <c r="G10184" s="327">
        <f>SUM(C10184,C10160,C10136,C10112,C10088,C10064,C10040,C10016,C9992,C9968,C9944,C9920,C9896,C9872)/POBLA!$B$7*100000</f>
        <v>604.42234307064314</v>
      </c>
      <c r="H10184" s="328">
        <f t="shared" si="943"/>
        <v>1.0007925674783145</v>
      </c>
      <c r="I10184" s="329">
        <f t="shared" si="945"/>
        <v>604.90138856292754</v>
      </c>
      <c r="J10184" s="329">
        <f t="shared" si="946"/>
        <v>1559.7142857142858</v>
      </c>
      <c r="K10184" s="337">
        <f>J10184/POBLA!$B$7*100000</f>
        <v>41.476798939336668</v>
      </c>
      <c r="L10184" s="68">
        <f t="shared" si="947"/>
        <v>7.5607484548302462E-2</v>
      </c>
      <c r="M10184" s="23">
        <f>SUM(C10184,C10160,C10136,C10112,C10088,C10064,C10040)/POBLA!$B$7*100000</f>
        <v>290.33759257535667</v>
      </c>
    </row>
    <row r="10185" spans="1:13" x14ac:dyDescent="0.25">
      <c r="A10185" s="491" t="s">
        <v>31</v>
      </c>
      <c r="B10185" s="269">
        <v>44317</v>
      </c>
      <c r="C10185" s="42">
        <v>386</v>
      </c>
      <c r="D10185" s="325">
        <f t="shared" si="942"/>
        <v>63328</v>
      </c>
      <c r="E10185" s="1">
        <v>1</v>
      </c>
      <c r="F10185" s="325">
        <f t="shared" si="944"/>
        <v>1067</v>
      </c>
      <c r="G10185" s="327">
        <f>SUM(C10185,C10161,C10137,C10113,C10089,C10065,C10041,C10017,C9993,C9969,C9945,C9921,C9897,C9873)/POBLA!$B$8*100000</f>
        <v>513.14575229750335</v>
      </c>
      <c r="H10185" s="328">
        <f t="shared" si="943"/>
        <v>1.2321552321552323</v>
      </c>
      <c r="I10185" s="329">
        <f t="shared" si="945"/>
        <v>632.27522355160158</v>
      </c>
      <c r="J10185" s="329">
        <f t="shared" si="946"/>
        <v>512.28571428571433</v>
      </c>
      <c r="K10185" s="337">
        <f>J10185/POBLA!$B$8*100000</f>
        <v>36.962491317267535</v>
      </c>
      <c r="L10185" s="68">
        <f t="shared" si="947"/>
        <v>-1.7016449234259712E-2</v>
      </c>
      <c r="M10185" s="23">
        <f>SUM(C10185,C10161,C10137,C10113,C10089,C10065,C10041)/POBLA!$B$8*100000</f>
        <v>258.73743922087272</v>
      </c>
    </row>
    <row r="10186" spans="1:13" s="393" customFormat="1" x14ac:dyDescent="0.25">
      <c r="A10186" s="491" t="s">
        <v>41</v>
      </c>
      <c r="B10186" s="269">
        <v>44317</v>
      </c>
      <c r="C10186" s="42">
        <v>10</v>
      </c>
      <c r="D10186" s="325">
        <f t="shared" si="942"/>
        <v>4534</v>
      </c>
      <c r="E10186" s="1"/>
      <c r="F10186" s="325">
        <f t="shared" si="944"/>
        <v>96</v>
      </c>
      <c r="G10186" s="327">
        <f>SUM(C10186,C10162,C10138,C10114,C10090,C10066,C10042,C10018,C9994,C9970,C9946,C9922,C9898,C9874)/POBLA!$B$9*100000</f>
        <v>182.91685462323591</v>
      </c>
      <c r="H10186" s="328">
        <f t="shared" si="943"/>
        <v>0.98051372896368472</v>
      </c>
      <c r="I10186" s="329">
        <f t="shared" si="945"/>
        <v>179.35248721693725</v>
      </c>
      <c r="J10186" s="329">
        <f t="shared" si="946"/>
        <v>64</v>
      </c>
      <c r="K10186" s="337">
        <f>J10186/POBLA!$B$9*100000</f>
        <v>10.575138840006412</v>
      </c>
      <c r="L10186" s="68">
        <f t="shared" si="947"/>
        <v>0.32018209408194231</v>
      </c>
      <c r="M10186" s="23">
        <f>SUM(C10186,C10162,C10138,C10114,C10090,C10066,C10042)/POBLA!$B$9*100000</f>
        <v>74.025971880044878</v>
      </c>
    </row>
    <row r="10187" spans="1:13" s="393" customFormat="1" x14ac:dyDescent="0.25">
      <c r="A10187" s="491" t="s">
        <v>32</v>
      </c>
      <c r="B10187" s="269">
        <v>44317</v>
      </c>
      <c r="C10187" s="42">
        <v>59</v>
      </c>
      <c r="D10187" s="325">
        <f t="shared" si="942"/>
        <v>24926</v>
      </c>
      <c r="E10187" s="1">
        <v>2</v>
      </c>
      <c r="F10187" s="325">
        <f t="shared" si="944"/>
        <v>1038</v>
      </c>
      <c r="G10187" s="327">
        <f>SUM(C10187,C10163,C10139,C10115,C10091,C10067,C10043,C10019,C9995,C9971,C9947,C9923,C9899,C9875)/POBLA!$B$10*100000</f>
        <v>170.45432433799769</v>
      </c>
      <c r="H10187" s="328">
        <f t="shared" si="943"/>
        <v>1.3140000000000001</v>
      </c>
      <c r="I10187" s="329">
        <f t="shared" si="945"/>
        <v>223.97698218012897</v>
      </c>
      <c r="J10187" s="329">
        <f t="shared" si="946"/>
        <v>94.857142857142861</v>
      </c>
      <c r="K10187" s="337">
        <f>J10187/POBLA!$B$10*100000</f>
        <v>12.305030589305336</v>
      </c>
      <c r="L10187" s="68">
        <f t="shared" si="947"/>
        <v>-2.1538461538461506E-2</v>
      </c>
      <c r="M10187" s="23">
        <f>SUM(C10187,C10163,C10139,C10115,C10091,C10067,C10043)/POBLA!$B$10*100000</f>
        <v>86.135214125137352</v>
      </c>
    </row>
    <row r="10188" spans="1:13" s="393" customFormat="1" x14ac:dyDescent="0.25">
      <c r="A10188" s="491" t="s">
        <v>33</v>
      </c>
      <c r="B10188" s="269">
        <v>44317</v>
      </c>
      <c r="C10188" s="42">
        <v>278</v>
      </c>
      <c r="D10188" s="325">
        <f t="shared" si="942"/>
        <v>27408</v>
      </c>
      <c r="E10188" s="1">
        <v>2</v>
      </c>
      <c r="F10188" s="325">
        <f t="shared" si="944"/>
        <v>374</v>
      </c>
      <c r="G10188" s="327">
        <f>SUM(C10188,C10164,C10140,C10116,C10092,C10068,C10044,C10020,C9996,C9972,C9948,C9924,C9900,C9876)/POBLA!$B$11*100000</f>
        <v>982.62412534735006</v>
      </c>
      <c r="H10188" s="328">
        <f t="shared" si="943"/>
        <v>1.4860759493670885</v>
      </c>
      <c r="I10188" s="329">
        <f t="shared" si="945"/>
        <v>1460.2540799465683</v>
      </c>
      <c r="J10188" s="329">
        <f t="shared" si="946"/>
        <v>265.85714285714283</v>
      </c>
      <c r="K10188" s="337">
        <f>J10188/POBLA!$B$11*100000</f>
        <v>74.17309553303393</v>
      </c>
      <c r="L10188" s="68">
        <f t="shared" si="947"/>
        <v>-0.12040939193257083</v>
      </c>
      <c r="M10188" s="23">
        <f>SUM(C10188,C10164,C10140,C10116,C10092,C10068,C10044)/POBLA!$B$11*100000</f>
        <v>519.21166873123752</v>
      </c>
    </row>
    <row r="10189" spans="1:13" s="393" customFormat="1" x14ac:dyDescent="0.25">
      <c r="A10189" s="491" t="s">
        <v>21</v>
      </c>
      <c r="B10189" s="269">
        <v>44317</v>
      </c>
      <c r="C10189" s="42">
        <v>84</v>
      </c>
      <c r="D10189" s="325">
        <f t="shared" si="942"/>
        <v>13454</v>
      </c>
      <c r="E10189" s="1"/>
      <c r="F10189" s="325">
        <f t="shared" si="944"/>
        <v>473</v>
      </c>
      <c r="G10189" s="327">
        <f>SUM(C10189,C10165,C10141,C10117,C10093,C10069,C10045,C10021,C9997,C9973,C9949,C9925,C9901,C9877)/POBLA!$B$12*100000</f>
        <v>269.1020529513558</v>
      </c>
      <c r="H10189" s="328">
        <f t="shared" si="943"/>
        <v>0.96800731261425965</v>
      </c>
      <c r="I10189" s="329">
        <f t="shared" si="945"/>
        <v>260.49275509642212</v>
      </c>
      <c r="J10189" s="329">
        <f t="shared" si="946"/>
        <v>61.571428571428569</v>
      </c>
      <c r="K10189" s="337">
        <f>J10189/POBLA!$B$12*100000</f>
        <v>15.645890303795271</v>
      </c>
      <c r="L10189" s="68">
        <f t="shared" si="947"/>
        <v>0.31369426751592355</v>
      </c>
      <c r="M10189" s="23">
        <f>SUM(C10189,C10165,C10141,C10117,C10093,C10069,C10045)/POBLA!$B$12*100000</f>
        <v>109.5212321265669</v>
      </c>
    </row>
    <row r="10190" spans="1:13" s="393" customFormat="1" x14ac:dyDescent="0.25">
      <c r="A10190" s="491" t="s">
        <v>17</v>
      </c>
      <c r="B10190" s="269">
        <v>44317</v>
      </c>
      <c r="C10190" s="42">
        <v>484</v>
      </c>
      <c r="D10190" s="325">
        <f t="shared" si="942"/>
        <v>96986</v>
      </c>
      <c r="E10190" s="1">
        <v>16</v>
      </c>
      <c r="F10190" s="325">
        <f t="shared" si="944"/>
        <v>1842</v>
      </c>
      <c r="G10190" s="327">
        <f>SUM(C10190,C10166,C10142,C10118,C10094,C10070,C10046,C10022,C9998,C9974,C9950,C9926,C9902,C9878)/POBLA!$B$13*100000</f>
        <v>573.21922206178044</v>
      </c>
      <c r="H10190" s="328">
        <f t="shared" si="943"/>
        <v>0.98557360055286802</v>
      </c>
      <c r="I10190" s="329">
        <f t="shared" si="945"/>
        <v>564.94973259354299</v>
      </c>
      <c r="J10190" s="329">
        <f t="shared" si="946"/>
        <v>734.57142857142856</v>
      </c>
      <c r="K10190" s="337">
        <f>J10190/POBLA!$B$13*100000</f>
        <v>36.9068685103449</v>
      </c>
      <c r="L10190" s="68">
        <f t="shared" si="947"/>
        <v>0.17951172809956917</v>
      </c>
      <c r="M10190" s="23">
        <f>SUM(C10190,C10166,C10142,C10118,C10094,C10070,C10046)/POBLA!$B$13*100000</f>
        <v>258.34807957241435</v>
      </c>
    </row>
    <row r="10191" spans="1:13" s="393" customFormat="1" x14ac:dyDescent="0.25">
      <c r="A10191" s="491" t="s">
        <v>23</v>
      </c>
      <c r="B10191" s="269">
        <v>44317</v>
      </c>
      <c r="C10191" s="42">
        <v>105</v>
      </c>
      <c r="D10191" s="325">
        <f t="shared" si="942"/>
        <v>15734</v>
      </c>
      <c r="E10191" s="1"/>
      <c r="F10191" s="325">
        <f t="shared" si="944"/>
        <v>239</v>
      </c>
      <c r="G10191" s="327">
        <f>SUM(C10191,C10167,C10143,C10119,C10095,C10071,C10047,C10023,C9999,C9975,C9951,C9927,C9903,C9879)/POBLA!$B$14*100000</f>
        <v>120.82829221418639</v>
      </c>
      <c r="H10191" s="328">
        <f t="shared" si="943"/>
        <v>0.80042016806722693</v>
      </c>
      <c r="I10191" s="329">
        <f t="shared" si="945"/>
        <v>96.713401961355075</v>
      </c>
      <c r="J10191" s="329">
        <f t="shared" si="946"/>
        <v>107.28571428571429</v>
      </c>
      <c r="K10191" s="337">
        <f>J10191/POBLA!$B$14*100000</f>
        <v>8.5060036982427789</v>
      </c>
      <c r="L10191" s="68">
        <f t="shared" si="947"/>
        <v>2.8460543337645583E-2</v>
      </c>
      <c r="M10191" s="23">
        <f>SUM(C10191,C10167,C10143,C10119,C10095,C10071,C10047)/POBLA!$B$14*100000</f>
        <v>59.542025887699452</v>
      </c>
    </row>
    <row r="10192" spans="1:13" s="393" customFormat="1" x14ac:dyDescent="0.25">
      <c r="A10192" s="491" t="s">
        <v>19</v>
      </c>
      <c r="B10192" s="269">
        <v>44317</v>
      </c>
      <c r="C10192" s="42">
        <v>338</v>
      </c>
      <c r="D10192" s="325">
        <f t="shared" si="942"/>
        <v>71455</v>
      </c>
      <c r="E10192" s="1"/>
      <c r="F10192" s="325">
        <f t="shared" si="944"/>
        <v>1071</v>
      </c>
      <c r="G10192" s="327">
        <f>SUM(C10192,C10168,C10144,C10120,C10096,C10072,C10048,C10024,C10000,C9976,C9952,C9928,C9904,C9880)/POBLA!$B$15*100000</f>
        <v>571.78826516398442</v>
      </c>
      <c r="H10192" s="328">
        <f t="shared" si="943"/>
        <v>1.7072841726618706</v>
      </c>
      <c r="I10192" s="329">
        <f t="shared" si="945"/>
        <v>976.20505522825943</v>
      </c>
      <c r="J10192" s="329">
        <f t="shared" si="946"/>
        <v>325.85714285714283</v>
      </c>
      <c r="K10192" s="337">
        <f>J10192/POBLA!$B$15*100000</f>
        <v>49.070658521353259</v>
      </c>
      <c r="L10192" s="68">
        <f t="shared" si="947"/>
        <v>-0.50461741424802109</v>
      </c>
      <c r="M10192" s="23">
        <f>SUM(C10192,C10168,C10144,C10120,C10096,C10072,C10048)/POBLA!$B$15*100000</f>
        <v>343.49460964947286</v>
      </c>
    </row>
    <row r="10193" spans="1:13" s="393" customFormat="1" x14ac:dyDescent="0.25">
      <c r="A10193" s="491" t="s">
        <v>18</v>
      </c>
      <c r="B10193" s="269">
        <v>44317</v>
      </c>
      <c r="C10193" s="42">
        <v>167</v>
      </c>
      <c r="D10193" s="325">
        <f t="shared" si="942"/>
        <v>61620</v>
      </c>
      <c r="E10193" s="1">
        <v>2</v>
      </c>
      <c r="F10193" s="325">
        <f t="shared" si="944"/>
        <v>1366</v>
      </c>
      <c r="G10193" s="327">
        <f>SUM(C10193,C10169,C10145,C10121,C10097,C10073,C10049,C10025,C10001,C9977,C9953,C9929,C9905,C9881)/POBLA!$B$16*100000</f>
        <v>484.07592193790879</v>
      </c>
      <c r="H10193" s="328">
        <f t="shared" si="943"/>
        <v>1.5727944372012168</v>
      </c>
      <c r="I10193" s="329">
        <f t="shared" si="945"/>
        <v>761.35191720699345</v>
      </c>
      <c r="J10193" s="329">
        <f t="shared" si="946"/>
        <v>272.85714285714283</v>
      </c>
      <c r="K10193" s="337">
        <f>J10193/POBLA!$B$16*100000</f>
        <v>36.497256973173556</v>
      </c>
      <c r="L10193" s="68">
        <f t="shared" si="947"/>
        <v>-0.11761263897015795</v>
      </c>
      <c r="M10193" s="23">
        <f>SUM(C10193,C10169,C10145,C10121,C10097,C10073,C10049)/POBLA!$B$16*100000</f>
        <v>255.48079881221494</v>
      </c>
    </row>
    <row r="10194" spans="1:13" s="393" customFormat="1" x14ac:dyDescent="0.25">
      <c r="A10194" s="491" t="s">
        <v>34</v>
      </c>
      <c r="B10194" s="269">
        <v>44317</v>
      </c>
      <c r="C10194" s="42">
        <v>128</v>
      </c>
      <c r="D10194" s="325">
        <f t="shared" si="942"/>
        <v>34913</v>
      </c>
      <c r="E10194" s="1"/>
      <c r="F10194" s="325">
        <f t="shared" si="944"/>
        <v>1270</v>
      </c>
      <c r="G10194" s="327">
        <f>SUM(C10194,C10170,C10146,C10122,C10098,C10074,C10050,C10026,C10002,C9978,C9954,C9930,C9906,C9882)/POBLA!$B$17*100000</f>
        <v>186.81589472597878</v>
      </c>
      <c r="H10194" s="328">
        <f t="shared" ref="H10194:H10217" si="948">SUM(C10194,C10170,C10146,C10122,C10098,C10074,C10050,C10026,C10002,C9978,C9954,C9930,C9906,C9882)/SUM(C9858,C9834,C9810,C9786,C9762,C9738,C9714,C9690,C9666,C9642,C9618,C9594,C9570,C9546)</f>
        <v>1.0290023201856149</v>
      </c>
      <c r="I10194" s="329">
        <f t="shared" si="945"/>
        <v>192.23398912058374</v>
      </c>
      <c r="J10194" s="329">
        <f t="shared" si="946"/>
        <v>185.42857142857142</v>
      </c>
      <c r="K10194" s="337">
        <f>J10194/POBLA!$B$17*100000</f>
        <v>13.018040014727033</v>
      </c>
      <c r="L10194" s="68">
        <f t="shared" si="947"/>
        <v>4.7688921496698455E-2</v>
      </c>
      <c r="M10194" s="23">
        <f>SUM(C10194,C10170,C10146,C10122,C10098,C10074,C10050)/POBLA!$B$17*100000</f>
        <v>91.126280103089243</v>
      </c>
    </row>
    <row r="10195" spans="1:13" s="393" customFormat="1" x14ac:dyDescent="0.25">
      <c r="A10195" s="491" t="s">
        <v>35</v>
      </c>
      <c r="B10195" s="269">
        <v>44317</v>
      </c>
      <c r="C10195" s="42">
        <v>112</v>
      </c>
      <c r="D10195" s="325">
        <f t="shared" si="942"/>
        <v>23736</v>
      </c>
      <c r="E10195" s="1"/>
      <c r="F10195" s="325">
        <f t="shared" si="944"/>
        <v>279</v>
      </c>
      <c r="G10195" s="327">
        <f>SUM(C10195,C10171,C10147,C10123,C10099,C10075,C10051,C10027,C10003,C9979,C9955,C9931,C9907,C9883)/POBLA!$B$18*100000</f>
        <v>465.8116758851894</v>
      </c>
      <c r="H10195" s="328">
        <f t="shared" si="948"/>
        <v>1.3747638836418588</v>
      </c>
      <c r="I10195" s="329">
        <f t="shared" si="945"/>
        <v>640.38106858564572</v>
      </c>
      <c r="J10195" s="329">
        <f t="shared" si="946"/>
        <v>259.42857142857144</v>
      </c>
      <c r="K10195" s="337">
        <f>J10195/POBLA!$B$18*100000</f>
        <v>33.208259859753625</v>
      </c>
      <c r="L10195" s="68">
        <f t="shared" si="947"/>
        <v>3.8398244651672853E-3</v>
      </c>
      <c r="M10195" s="23">
        <f>SUM(C10195,C10171,C10147,C10123,C10099,C10075,C10051)/POBLA!$B$18*100000</f>
        <v>232.4578190182753</v>
      </c>
    </row>
    <row r="10196" spans="1:13" s="393" customFormat="1" x14ac:dyDescent="0.25">
      <c r="A10196" s="491" t="s">
        <v>36</v>
      </c>
      <c r="B10196" s="269">
        <v>44317</v>
      </c>
      <c r="C10196" s="42">
        <v>527</v>
      </c>
      <c r="D10196" s="325">
        <f t="shared" si="942"/>
        <v>38001</v>
      </c>
      <c r="E10196" s="1">
        <v>3</v>
      </c>
      <c r="F10196" s="325">
        <f t="shared" si="944"/>
        <v>486</v>
      </c>
      <c r="G10196" s="327">
        <f>SUM(C10196,C10172,C10148,C10124,C10100,C10076,C10052,C10028,C10004,C9980,C9956,C9932,C9908,C9884)/POBLA!$B$19*100000</f>
        <v>1648.1484395901857</v>
      </c>
      <c r="H10196" s="328">
        <f t="shared" si="948"/>
        <v>1.3534733441033926</v>
      </c>
      <c r="I10196" s="329">
        <f t="shared" si="945"/>
        <v>2230.7249801109169</v>
      </c>
      <c r="J10196" s="329">
        <f t="shared" si="946"/>
        <v>548.42857142857144</v>
      </c>
      <c r="K10196" s="337">
        <f>J10196/POBLA!$B$19*100000</f>
        <v>107.88871976923787</v>
      </c>
      <c r="L10196" s="68">
        <f t="shared" si="947"/>
        <v>0.1542189909671734</v>
      </c>
      <c r="M10196" s="23">
        <f>SUM(C10196,C10172,C10148,C10124,C10100,C10076,C10052)/POBLA!$B$19*100000</f>
        <v>755.22103838466501</v>
      </c>
    </row>
    <row r="10197" spans="1:13" s="393" customFormat="1" x14ac:dyDescent="0.25">
      <c r="A10197" s="491" t="s">
        <v>37</v>
      </c>
      <c r="B10197" s="269">
        <v>44317</v>
      </c>
      <c r="C10197" s="42">
        <v>134</v>
      </c>
      <c r="D10197" s="325">
        <f t="shared" si="942"/>
        <v>44896</v>
      </c>
      <c r="E10197" s="1">
        <v>2</v>
      </c>
      <c r="F10197" s="325">
        <f t="shared" si="944"/>
        <v>708</v>
      </c>
      <c r="G10197" s="327">
        <f>SUM(C10197,C10173,C10149,C10125,C10101,C10077,C10053,C10029,C10005,C9981,C9957,C9933,C9909,C9885)/POBLA!$B$20*100000</f>
        <v>765.65909575660794</v>
      </c>
      <c r="H10197" s="328">
        <f t="shared" si="948"/>
        <v>1.1740041928721174</v>
      </c>
      <c r="I10197" s="329">
        <f t="shared" si="945"/>
        <v>898.88698872893178</v>
      </c>
      <c r="J10197" s="329">
        <f t="shared" si="946"/>
        <v>197.71428571428572</v>
      </c>
      <c r="K10197" s="337">
        <f>J10197/POBLA!$B$20*100000</f>
        <v>54.064907577915577</v>
      </c>
      <c r="L10197" s="68">
        <f t="shared" si="947"/>
        <v>2.2598870056497189E-2</v>
      </c>
      <c r="M10197" s="23">
        <f>SUM(C10197,C10173,C10149,C10125,C10101,C10077,C10053)/POBLA!$B$20*100000</f>
        <v>378.45435304540905</v>
      </c>
    </row>
    <row r="10198" spans="1:13" s="393" customFormat="1" x14ac:dyDescent="0.25">
      <c r="A10198" s="491" t="s">
        <v>22</v>
      </c>
      <c r="B10198" s="269">
        <v>44317</v>
      </c>
      <c r="C10198" s="42">
        <v>1456</v>
      </c>
      <c r="D10198" s="325">
        <f t="shared" si="942"/>
        <v>275826</v>
      </c>
      <c r="E10198" s="1">
        <v>6</v>
      </c>
      <c r="F10198" s="325">
        <f t="shared" si="944"/>
        <v>4629</v>
      </c>
      <c r="G10198" s="327">
        <f>SUM(C10198,C10174,C10150,C10126,C10102,C10078,C10054,C10030,C10006,C9982,C9958,C9934,C9910,C9886)/POBLA!$B$21*100000</f>
        <v>672.3752678557795</v>
      </c>
      <c r="H10198" s="328">
        <f t="shared" si="948"/>
        <v>1.280590262817751</v>
      </c>
      <c r="I10198" s="329">
        <f t="shared" si="945"/>
        <v>861.03722097558841</v>
      </c>
      <c r="J10198" s="329">
        <f t="shared" si="946"/>
        <v>1692.4285714285713</v>
      </c>
      <c r="K10198" s="337">
        <f>J10198/POBLA!$B$21*100000</f>
        <v>47.857141645262843</v>
      </c>
      <c r="L10198" s="68">
        <f t="shared" si="947"/>
        <v>7.0404827759618094E-3</v>
      </c>
      <c r="M10198" s="23">
        <f>SUM(C10198,C10174,C10150,C10126,C10102,C10078,C10054)/POBLA!$B$21*100000</f>
        <v>334.99999151683994</v>
      </c>
    </row>
    <row r="10199" spans="1:13" s="393" customFormat="1" x14ac:dyDescent="0.25">
      <c r="A10199" s="491" t="s">
        <v>38</v>
      </c>
      <c r="B10199" s="269">
        <v>44317</v>
      </c>
      <c r="C10199" s="42">
        <v>211</v>
      </c>
      <c r="D10199" s="325">
        <f t="shared" si="942"/>
        <v>30854</v>
      </c>
      <c r="E10199" s="1">
        <v>4</v>
      </c>
      <c r="F10199" s="325">
        <f t="shared" si="944"/>
        <v>351</v>
      </c>
      <c r="G10199" s="327">
        <f>SUM(C10199,C10175,C10151,C10127,C10103,C10079,C10055,C10031,C10007,C9983,C9959,C9935,C9911,C9887)/POBLA!$B$22*100000</f>
        <v>289.68234092769899</v>
      </c>
      <c r="H10199" s="328">
        <f t="shared" si="948"/>
        <v>1.1459765467044076</v>
      </c>
      <c r="I10199" s="329">
        <f t="shared" si="945"/>
        <v>331.96916869757337</v>
      </c>
      <c r="J10199" s="329">
        <f t="shared" si="946"/>
        <v>184.71428571428572</v>
      </c>
      <c r="K10199" s="337">
        <f>J10199/POBLA!$B$22*100000</f>
        <v>18.880898619796092</v>
      </c>
      <c r="L10199" s="68">
        <f t="shared" si="947"/>
        <v>0.16093445814406226</v>
      </c>
      <c r="M10199" s="23">
        <f>SUM(C10199,C10175,C10151,C10127,C10103,C10079,C10055)/POBLA!$B$22*100000</f>
        <v>132.16629033857262</v>
      </c>
    </row>
    <row r="10200" spans="1:13" s="393" customFormat="1" x14ac:dyDescent="0.25">
      <c r="A10200" s="491" t="s">
        <v>39</v>
      </c>
      <c r="B10200" s="269">
        <v>44317</v>
      </c>
      <c r="C10200" s="42">
        <v>62</v>
      </c>
      <c r="D10200" s="325">
        <f t="shared" si="942"/>
        <v>26497</v>
      </c>
      <c r="E10200" s="1">
        <v>2</v>
      </c>
      <c r="F10200" s="325">
        <f t="shared" si="944"/>
        <v>389</v>
      </c>
      <c r="G10200" s="327">
        <f>SUM(C10200,C10176,C10152,C10128,C10104,C10080,C10056,C10032,C10008,C9984,C9960,C9936,C9912,C9888)/POBLA!$B$23*100000</f>
        <v>613.58366792965001</v>
      </c>
      <c r="H10200" s="328">
        <f t="shared" si="948"/>
        <v>0.91871295512277729</v>
      </c>
      <c r="I10200" s="329">
        <f t="shared" si="945"/>
        <v>563.70726477872165</v>
      </c>
      <c r="J10200" s="329">
        <f t="shared" si="946"/>
        <v>71.571428571428569</v>
      </c>
      <c r="K10200" s="337">
        <f>J10200/POBLA!$B$23*100000</f>
        <v>40.47470936573464</v>
      </c>
      <c r="L10200" s="68">
        <f t="shared" si="947"/>
        <v>0.14212328767123283</v>
      </c>
      <c r="M10200" s="23">
        <f>SUM(C10200,C10176,C10152,C10128,C10104,C10080,C10056)/POBLA!$B$23*100000</f>
        <v>283.32296556014251</v>
      </c>
    </row>
    <row r="10201" spans="1:13" s="393" customFormat="1" ht="15.75" thickBot="1" x14ac:dyDescent="0.3">
      <c r="A10201" s="493" t="s">
        <v>40</v>
      </c>
      <c r="B10201" s="270">
        <v>44317</v>
      </c>
      <c r="C10201" s="42">
        <v>309</v>
      </c>
      <c r="D10201" s="365">
        <f t="shared" si="942"/>
        <v>106609</v>
      </c>
      <c r="E10201" s="234"/>
      <c r="F10201" s="365">
        <f t="shared" si="944"/>
        <v>1640</v>
      </c>
      <c r="G10201" s="367">
        <f>SUM(C10201,C10177,C10153,C10129,C10105,C10081,C10057,C10033,C10009,C9985,C9961,C9937,C9913,C9889)/POBLA!$B$24*100000</f>
        <v>549.55105933003506</v>
      </c>
      <c r="H10201" s="368">
        <f t="shared" si="948"/>
        <v>1.1220481927710844</v>
      </c>
      <c r="I10201" s="369">
        <f t="shared" si="945"/>
        <v>616.62277295670083</v>
      </c>
      <c r="J10201" s="369">
        <f t="shared" si="946"/>
        <v>620.42857142857144</v>
      </c>
      <c r="K10201" s="370">
        <f>J10201/POBLA!$B$24*100000</f>
        <v>36.610885715364738</v>
      </c>
      <c r="L10201" s="68">
        <f t="shared" si="947"/>
        <v>0.12615694164989943</v>
      </c>
      <c r="M10201" s="23">
        <f>SUM(C10201,C10177,C10153,C10129,C10105,C10081,C10057)/POBLA!$B$24*100000</f>
        <v>256.27620000755314</v>
      </c>
    </row>
    <row r="10202" spans="1:13" s="393" customFormat="1" x14ac:dyDescent="0.25">
      <c r="A10202" s="494" t="s">
        <v>16</v>
      </c>
      <c r="B10202" s="267">
        <v>44318</v>
      </c>
      <c r="C10202" s="389">
        <v>5102</v>
      </c>
      <c r="D10202" s="383">
        <f t="shared" si="942"/>
        <v>1312518</v>
      </c>
      <c r="E10202" s="43">
        <v>61</v>
      </c>
      <c r="F10202" s="384">
        <f t="shared" ref="F10202:F10225" si="949">E10202+F10178</f>
        <v>33173</v>
      </c>
      <c r="G10202" s="385">
        <f>SUM(C10202,C10178,C10154,C10130,C10106,C10082,C10058,C10034,C10010,C9986,C9962,C9938,C9914,C9890)/POBLA!$B$1*100000</f>
        <v>854.3400911035377</v>
      </c>
      <c r="H10202" s="386">
        <f t="shared" si="948"/>
        <v>0.98329473055699546</v>
      </c>
      <c r="I10202" s="387">
        <f>G10202*H10202</f>
        <v>840.06810968569209</v>
      </c>
      <c r="J10202" s="387">
        <f>AVERAGE(C10202,C10178,C10154,C10130,C10106,C10082,C10058)</f>
        <v>9662.7142857142862</v>
      </c>
      <c r="K10202" s="501">
        <f>J10202/POBLA!$B$1*100000</f>
        <v>55.086007721585993</v>
      </c>
      <c r="L10202" s="68">
        <f t="shared" si="947"/>
        <v>0.17736129016564905</v>
      </c>
      <c r="M10202" s="7">
        <f>SUM(C10202,C10178,C10154,C10130,C10106,C10082,C10058)/POBLA!$B$1*100000</f>
        <v>385.6020540511019</v>
      </c>
    </row>
    <row r="10203" spans="1:13" s="393" customFormat="1" x14ac:dyDescent="0.25">
      <c r="A10203" s="495" t="s">
        <v>43</v>
      </c>
      <c r="B10203" s="269">
        <v>44318</v>
      </c>
      <c r="C10203" s="4">
        <v>1700</v>
      </c>
      <c r="D10203" s="382">
        <f t="shared" si="942"/>
        <v>346223</v>
      </c>
      <c r="E10203" s="1">
        <v>38</v>
      </c>
      <c r="F10203" s="325">
        <f t="shared" si="949"/>
        <v>7832</v>
      </c>
      <c r="G10203" s="327">
        <f>SUM(C10203,C10179,C10155,C10131,C10107,C10083,C10059,C10035,C10011,C9987,C9963,C9939,C9915,C9891)/POBLA!$B$2*100000</f>
        <v>1278.3980991310443</v>
      </c>
      <c r="H10203" s="328">
        <f t="shared" si="948"/>
        <v>1.0222285773710482</v>
      </c>
      <c r="I10203" s="329">
        <f t="shared" ref="I10203:I10225" si="950">G10203*H10203</f>
        <v>1306.8150701885797</v>
      </c>
      <c r="J10203" s="329">
        <f t="shared" ref="J10203:J10225" si="951">AVERAGE(C10203,C10179,C10155,C10131,C10107,C10083,C10059)</f>
        <v>2613</v>
      </c>
      <c r="K10203" s="502">
        <f>J10203/POBLA!$B$2*100000</f>
        <v>84.957761719001468</v>
      </c>
      <c r="L10203" s="68">
        <f t="shared" si="947"/>
        <v>0.13015978695073238</v>
      </c>
      <c r="M10203" s="7">
        <f>SUM(C10203,C10179,C10155,C10131,C10107,C10083,C10059)/POBLA!$B$2*100000</f>
        <v>594.70433203301025</v>
      </c>
    </row>
    <row r="10204" spans="1:13" s="393" customFormat="1" x14ac:dyDescent="0.25">
      <c r="A10204" s="496" t="s">
        <v>28</v>
      </c>
      <c r="B10204" s="269">
        <v>44318</v>
      </c>
      <c r="C10204" s="4">
        <v>62</v>
      </c>
      <c r="D10204" s="382">
        <f t="shared" si="942"/>
        <v>14999</v>
      </c>
      <c r="E10204" s="1"/>
      <c r="F10204" s="325">
        <f t="shared" si="949"/>
        <v>19</v>
      </c>
      <c r="G10204" s="327">
        <f>SUM(C10204,C10180,C10156,C10132,C10108,C10084,C10060,C10036,C10012,C9988,C9964,C9940,C9916,C9892)/POBLA!$B$3*100000</f>
        <v>536.54215550816241</v>
      </c>
      <c r="H10204" s="328">
        <f t="shared" si="948"/>
        <v>1.1084037792143213</v>
      </c>
      <c r="I10204" s="329">
        <f t="shared" si="950"/>
        <v>594.70535287304529</v>
      </c>
      <c r="J10204" s="329">
        <f t="shared" si="951"/>
        <v>139.14285714285714</v>
      </c>
      <c r="K10204" s="502">
        <f>J10204/POBLA!$B$3*100000</f>
        <v>33.493050020185237</v>
      </c>
      <c r="L10204" s="68">
        <f t="shared" si="947"/>
        <v>0.22390438247011957</v>
      </c>
      <c r="M10204" s="7">
        <f>SUM(C10204,C10180,C10156,C10132,C10108,C10084,C10060)/POBLA!$B$3*100000</f>
        <v>234.45135014129667</v>
      </c>
    </row>
    <row r="10205" spans="1:13" s="393" customFormat="1" x14ac:dyDescent="0.25">
      <c r="A10205" s="496" t="s">
        <v>15</v>
      </c>
      <c r="B10205" s="269">
        <v>44318</v>
      </c>
      <c r="C10205" s="4">
        <v>152</v>
      </c>
      <c r="D10205" s="382">
        <f t="shared" si="942"/>
        <v>45180</v>
      </c>
      <c r="E10205" s="1">
        <v>5</v>
      </c>
      <c r="F10205" s="325">
        <f t="shared" si="949"/>
        <v>1050</v>
      </c>
      <c r="G10205" s="327">
        <f>SUM(C10205,C10181,C10157,C10133,C10109,C10085,C10061,C10037,C10013,C9989,C9965,C9941,C9917,C9893)/POBLA!$B$4*100000</f>
        <v>255.45000128679723</v>
      </c>
      <c r="H10205" s="328">
        <f t="shared" si="948"/>
        <v>0.99805384365877392</v>
      </c>
      <c r="I10205" s="329">
        <f t="shared" si="950"/>
        <v>254.95285564692671</v>
      </c>
      <c r="J10205" s="329">
        <f t="shared" si="951"/>
        <v>224.71428571428572</v>
      </c>
      <c r="K10205" s="502">
        <f>J10205/POBLA!$B$4*100000</f>
        <v>18.655594596969777</v>
      </c>
      <c r="L10205" s="68">
        <f t="shared" si="947"/>
        <v>-4.5877659574468099E-2</v>
      </c>
      <c r="M10205" s="7">
        <f>SUM(C10205,C10181,C10157,C10133,C10109,C10085,C10061)/POBLA!$B$4*100000</f>
        <v>130.58916217878843</v>
      </c>
    </row>
    <row r="10206" spans="1:13" s="393" customFormat="1" x14ac:dyDescent="0.25">
      <c r="A10206" s="496" t="s">
        <v>29</v>
      </c>
      <c r="B10206" s="269">
        <v>44318</v>
      </c>
      <c r="C10206" s="4">
        <v>67</v>
      </c>
      <c r="D10206" s="382">
        <f t="shared" si="942"/>
        <v>55055</v>
      </c>
      <c r="E10206" s="1">
        <v>2</v>
      </c>
      <c r="F10206" s="325">
        <f t="shared" si="949"/>
        <v>928</v>
      </c>
      <c r="G10206" s="327">
        <f>SUM(C10206,C10182,C10158,C10134,C10110,C10086,C10062,C10038,C10014,C9990,C9966,C9942,C9918,C9894)/POBLA!$B$5*100000</f>
        <v>397.41903798744414</v>
      </c>
      <c r="H10206" s="328">
        <f t="shared" si="948"/>
        <v>1.0884955752212389</v>
      </c>
      <c r="I10206" s="329">
        <f t="shared" si="950"/>
        <v>432.5888643580144</v>
      </c>
      <c r="J10206" s="329">
        <f t="shared" si="951"/>
        <v>160.14285714285714</v>
      </c>
      <c r="K10206" s="502">
        <f>J10206/POBLA!$B$5*100000</f>
        <v>25.871471636697148</v>
      </c>
      <c r="L10206" s="68">
        <f t="shared" si="947"/>
        <v>0.16280806572068707</v>
      </c>
      <c r="M10206" s="7">
        <f>SUM(C10206,C10182,C10158,C10134,C10110,C10086,C10062)/POBLA!$B$5*100000</f>
        <v>181.10030145688003</v>
      </c>
    </row>
    <row r="10207" spans="1:13" s="393" customFormat="1" x14ac:dyDescent="0.25">
      <c r="A10207" s="496" t="s">
        <v>30</v>
      </c>
      <c r="B10207" s="269">
        <v>44318</v>
      </c>
      <c r="C10207" s="4">
        <v>142</v>
      </c>
      <c r="D10207" s="382">
        <f t="shared" si="942"/>
        <v>37789</v>
      </c>
      <c r="E10207" s="1"/>
      <c r="F10207" s="325">
        <f t="shared" si="949"/>
        <v>496</v>
      </c>
      <c r="G10207" s="327">
        <f>SUM(C10207,C10183,C10159,C10135,C10111,C10087,C10063,C10039,C10015,C9991,C9967,C9943,C9919,C9895)/POBLA!$B$6*100000</f>
        <v>272.66214073684802</v>
      </c>
      <c r="H10207" s="328">
        <f t="shared" si="948"/>
        <v>0.79150479150479147</v>
      </c>
      <c r="I10207" s="329">
        <f t="shared" si="950"/>
        <v>215.81339085516899</v>
      </c>
      <c r="J10207" s="329">
        <f t="shared" si="951"/>
        <v>171.28571428571428</v>
      </c>
      <c r="K10207" s="502">
        <f>J10207/POBLA!$B$6*100000</f>
        <v>15.282437674994426</v>
      </c>
      <c r="L10207" s="68">
        <f t="shared" si="947"/>
        <v>0.35433494884221861</v>
      </c>
      <c r="M10207" s="7">
        <f>SUM(C10207,C10183,C10159,C10135,C10111,C10087,C10063)/POBLA!$B$6*100000</f>
        <v>106.97706372496098</v>
      </c>
    </row>
    <row r="10208" spans="1:13" s="393" customFormat="1" x14ac:dyDescent="0.25">
      <c r="A10208" s="496" t="s">
        <v>20</v>
      </c>
      <c r="B10208" s="269">
        <v>44318</v>
      </c>
      <c r="C10208" s="4">
        <v>969</v>
      </c>
      <c r="D10208" s="382">
        <f t="shared" si="942"/>
        <v>229518</v>
      </c>
      <c r="E10208" s="1">
        <v>3</v>
      </c>
      <c r="F10208" s="325">
        <f t="shared" si="949"/>
        <v>3388</v>
      </c>
      <c r="G10208" s="327">
        <f>SUM(C10208,C10184,C10160,C10136,C10112,C10088,C10064,C10040,C10016,C9992,C9968,C9944,C9920,C9896)/POBLA!$B$7*100000</f>
        <v>603.51819596058976</v>
      </c>
      <c r="H10208" s="328">
        <f t="shared" si="948"/>
        <v>0.98850124134326411</v>
      </c>
      <c r="I10208" s="329">
        <f t="shared" si="950"/>
        <v>596.57848588029026</v>
      </c>
      <c r="J10208" s="329">
        <f t="shared" si="951"/>
        <v>1570.5714285714287</v>
      </c>
      <c r="K10208" s="502">
        <f>J10208/POBLA!$B$7*100000</f>
        <v>41.765518184563781</v>
      </c>
      <c r="L10208" s="68">
        <f t="shared" si="947"/>
        <v>6.0422186137936928E-2</v>
      </c>
      <c r="M10208" s="7">
        <f>SUM(C10208,C10184,C10160,C10136,C10112,C10088,C10064)/POBLA!$B$7*100000</f>
        <v>292.35862729194645</v>
      </c>
    </row>
    <row r="10209" spans="1:13" x14ac:dyDescent="0.25">
      <c r="A10209" s="497" t="s">
        <v>31</v>
      </c>
      <c r="B10209" s="269">
        <v>44318</v>
      </c>
      <c r="C10209" s="4">
        <v>207</v>
      </c>
      <c r="D10209" s="382">
        <f t="shared" si="942"/>
        <v>63535</v>
      </c>
      <c r="E10209" s="1">
        <v>2</v>
      </c>
      <c r="F10209" s="325">
        <f t="shared" si="949"/>
        <v>1069</v>
      </c>
      <c r="G10209" s="327">
        <f>SUM(C10209,C10185,C10161,C10137,C10113,C10089,C10065,C10041,C10017,C9993,C9969,C9945,C9921,C9897)/POBLA!$B$8*100000</f>
        <v>511.41410183980645</v>
      </c>
      <c r="H10209" s="328">
        <f t="shared" si="948"/>
        <v>1.2122455960321532</v>
      </c>
      <c r="I10209" s="329">
        <f t="shared" si="950"/>
        <v>619.95949270404446</v>
      </c>
      <c r="J10209" s="329">
        <f t="shared" si="951"/>
        <v>510.42857142857144</v>
      </c>
      <c r="K10209" s="502">
        <f>J10209/POBLA!$B$8*100000</f>
        <v>36.828494555660036</v>
      </c>
      <c r="L10209" s="68">
        <f t="shared" si="947"/>
        <v>-1.6500711237553256E-2</v>
      </c>
      <c r="M10209" s="7">
        <f>SUM(C10209,C10185,C10161,C10137,C10113,C10089,C10065)/POBLA!$B$8*100000</f>
        <v>257.79946188962026</v>
      </c>
    </row>
    <row r="10210" spans="1:13" s="393" customFormat="1" x14ac:dyDescent="0.25">
      <c r="A10210" s="496" t="s">
        <v>41</v>
      </c>
      <c r="B10210" s="269">
        <v>44318</v>
      </c>
      <c r="C10210" s="4">
        <v>5</v>
      </c>
      <c r="D10210" s="382">
        <f t="shared" si="942"/>
        <v>4539</v>
      </c>
      <c r="E10210" s="1">
        <v>6</v>
      </c>
      <c r="F10210" s="325">
        <f t="shared" si="949"/>
        <v>102</v>
      </c>
      <c r="G10210" s="327">
        <f>SUM(C10210,C10186,C10162,C10138,C10114,C10090,C10066,C10042,C10018,C9994,C9970,C9946,C9922,C9898)/POBLA!$B$9*100000</f>
        <v>177.95975829198289</v>
      </c>
      <c r="H10210" s="328">
        <f t="shared" si="948"/>
        <v>0.94225721784776906</v>
      </c>
      <c r="I10210" s="329">
        <f t="shared" si="950"/>
        <v>167.68386673706524</v>
      </c>
      <c r="J10210" s="329">
        <f t="shared" si="951"/>
        <v>47.571428571428569</v>
      </c>
      <c r="K10210" s="502">
        <f>J10210/POBLA!$B$9*100000</f>
        <v>7.8605384681297652</v>
      </c>
      <c r="L10210" s="68">
        <f t="shared" si="947"/>
        <v>0.55241935483870974</v>
      </c>
      <c r="M10210" s="7">
        <f>SUM(C10210,C10186,C10162,C10138,C10114,C10090,C10066)/POBLA!$B$9*100000</f>
        <v>55.023769276908361</v>
      </c>
    </row>
    <row r="10211" spans="1:13" s="393" customFormat="1" x14ac:dyDescent="0.25">
      <c r="A10211" s="497" t="s">
        <v>32</v>
      </c>
      <c r="B10211" s="269">
        <v>44318</v>
      </c>
      <c r="C10211" s="4">
        <v>62</v>
      </c>
      <c r="D10211" s="382">
        <f t="shared" si="942"/>
        <v>24988</v>
      </c>
      <c r="E10211" s="1">
        <v>2</v>
      </c>
      <c r="F10211" s="325">
        <f t="shared" si="949"/>
        <v>1040</v>
      </c>
      <c r="G10211" s="327">
        <f>SUM(C10211,C10187,C10163,C10139,C10115,C10091,C10067,C10043,C10019,C9995,C9971,C9947,C9923,C9899)/POBLA!$B$10*100000</f>
        <v>168.89766384176028</v>
      </c>
      <c r="H10211" s="328">
        <f t="shared" si="948"/>
        <v>1.2531280076997113</v>
      </c>
      <c r="I10211" s="329">
        <f t="shared" si="950"/>
        <v>211.65039299516062</v>
      </c>
      <c r="J10211" s="329">
        <f t="shared" si="951"/>
        <v>92</v>
      </c>
      <c r="K10211" s="502">
        <f>J10211/POBLA!$B$10*100000</f>
        <v>11.934397137820234</v>
      </c>
      <c r="L10211" s="68">
        <f t="shared" si="947"/>
        <v>2.1276595744680882E-2</v>
      </c>
      <c r="M10211" s="7">
        <f>SUM(C10211,C10187,C10163,C10139,C10115,C10091,C10067)/POBLA!$B$10*100000</f>
        <v>83.540779964741631</v>
      </c>
    </row>
    <row r="10212" spans="1:13" s="393" customFormat="1" x14ac:dyDescent="0.25">
      <c r="A10212" s="498" t="s">
        <v>33</v>
      </c>
      <c r="B10212" s="269">
        <v>44318</v>
      </c>
      <c r="C10212" s="4">
        <v>196</v>
      </c>
      <c r="D10212" s="382">
        <f t="shared" si="942"/>
        <v>27604</v>
      </c>
      <c r="E10212" s="1">
        <v>1</v>
      </c>
      <c r="F10212" s="325">
        <f t="shared" si="949"/>
        <v>375</v>
      </c>
      <c r="G10212" s="327">
        <f>SUM(C10212,C10188,C10164,C10140,C10116,C10092,C10068,C10044,C10020,C9996,C9972,C9948,C9924,C9900)/POBLA!$B$11*100000</f>
        <v>997.68991261843382</v>
      </c>
      <c r="H10212" s="328">
        <f t="shared" si="948"/>
        <v>1.4740313272877164</v>
      </c>
      <c r="I10212" s="329">
        <f t="shared" si="950"/>
        <v>1470.6261861185158</v>
      </c>
      <c r="J10212" s="329">
        <f t="shared" si="951"/>
        <v>262.42857142857144</v>
      </c>
      <c r="K10212" s="502">
        <f>J10212/POBLA!$B$11*100000</f>
        <v>73.21653761106036</v>
      </c>
      <c r="L10212" s="68">
        <f t="shared" si="947"/>
        <v>-5.6354226566992516E-2</v>
      </c>
      <c r="M10212" s="7">
        <f>SUM(C10212,C10188,C10164,C10140,C10116,C10092,C10068)/POBLA!$B$11*100000</f>
        <v>512.51576327742248</v>
      </c>
    </row>
    <row r="10213" spans="1:13" s="393" customFormat="1" x14ac:dyDescent="0.25">
      <c r="A10213" s="496" t="s">
        <v>21</v>
      </c>
      <c r="B10213" s="269">
        <v>44318</v>
      </c>
      <c r="C10213" s="4">
        <v>91</v>
      </c>
      <c r="D10213" s="382">
        <f t="shared" si="942"/>
        <v>13545</v>
      </c>
      <c r="E10213" s="1">
        <v>6</v>
      </c>
      <c r="F10213" s="325">
        <f t="shared" si="949"/>
        <v>479</v>
      </c>
      <c r="G10213" s="327">
        <f>SUM(C10213,C10189,C10165,C10141,C10117,C10093,C10069,C10045,C10021,C9997,C9973,C9949,C9925,C9901)/POBLA!$B$12*100000</f>
        <v>280.53698437988368</v>
      </c>
      <c r="H10213" s="328">
        <f t="shared" si="948"/>
        <v>1.0222222222222221</v>
      </c>
      <c r="I10213" s="329">
        <f t="shared" si="950"/>
        <v>286.77113958832552</v>
      </c>
      <c r="J10213" s="329">
        <f t="shared" si="951"/>
        <v>67.428571428571431</v>
      </c>
      <c r="K10213" s="502">
        <f>J10213/POBLA!$B$12*100000</f>
        <v>17.134246457984613</v>
      </c>
      <c r="L10213" s="68">
        <f t="shared" si="947"/>
        <v>0.25316455696202533</v>
      </c>
      <c r="M10213" s="7">
        <f>SUM(C10213,C10189,C10165,C10141,C10117,C10093,C10069)/POBLA!$B$12*100000</f>
        <v>119.93972520589229</v>
      </c>
    </row>
    <row r="10214" spans="1:13" s="393" customFormat="1" x14ac:dyDescent="0.25">
      <c r="A10214" s="496" t="s">
        <v>17</v>
      </c>
      <c r="B10214" s="269">
        <v>44318</v>
      </c>
      <c r="C10214" s="4">
        <v>328</v>
      </c>
      <c r="D10214" s="382">
        <f t="shared" si="942"/>
        <v>97314</v>
      </c>
      <c r="E10214" s="1">
        <v>13</v>
      </c>
      <c r="F10214" s="325">
        <f t="shared" si="949"/>
        <v>1855</v>
      </c>
      <c r="G10214" s="327">
        <f>SUM(C10214,C10190,C10166,C10142,C10118,C10094,C10070,C10046,C10022,C9998,C9974,C9950,C9926,C9902)/POBLA!$B$13*100000</f>
        <v>561.26145408468312</v>
      </c>
      <c r="H10214" s="328">
        <f t="shared" si="948"/>
        <v>0.94781944680128971</v>
      </c>
      <c r="I10214" s="329">
        <f t="shared" si="950"/>
        <v>531.9745209214318</v>
      </c>
      <c r="J10214" s="329">
        <f t="shared" si="951"/>
        <v>716.85714285714289</v>
      </c>
      <c r="K10214" s="502">
        <f>J10214/POBLA!$B$13*100000</f>
        <v>36.016854567271636</v>
      </c>
      <c r="L10214" s="68">
        <f t="shared" si="947"/>
        <v>0.18446286364375097</v>
      </c>
      <c r="M10214" s="7">
        <f>SUM(C10214,C10190,C10166,C10142,C10118,C10094,C10070)/POBLA!$B$13*100000</f>
        <v>252.11798197090144</v>
      </c>
    </row>
    <row r="10215" spans="1:13" s="393" customFormat="1" x14ac:dyDescent="0.25">
      <c r="A10215" s="499" t="s">
        <v>23</v>
      </c>
      <c r="B10215" s="269">
        <v>44318</v>
      </c>
      <c r="C10215" s="4">
        <v>102</v>
      </c>
      <c r="D10215" s="382">
        <f t="shared" si="942"/>
        <v>15836</v>
      </c>
      <c r="E10215" s="1"/>
      <c r="F10215" s="325">
        <f t="shared" si="949"/>
        <v>239</v>
      </c>
      <c r="G10215" s="327">
        <f>SUM(C10215,C10191,C10167,C10143,C10119,C10095,C10071,C10047,C10023,C9999,C9975,C9951,C9927,C9903)/POBLA!$B$14*100000</f>
        <v>121.93826340250568</v>
      </c>
      <c r="H10215" s="328">
        <f t="shared" si="948"/>
        <v>0.77325289089994975</v>
      </c>
      <c r="I10215" s="329">
        <f t="shared" si="950"/>
        <v>94.289114687307062</v>
      </c>
      <c r="J10215" s="329">
        <f t="shared" si="951"/>
        <v>103.42857142857143</v>
      </c>
      <c r="K10215" s="502">
        <f>J10215/POBLA!$B$14*100000</f>
        <v>8.2001953096241973</v>
      </c>
      <c r="L10215" s="68">
        <f t="shared" si="947"/>
        <v>0.11056511056511054</v>
      </c>
      <c r="M10215" s="7">
        <f>SUM(C10215,C10191,C10167,C10143,C10119,C10095,C10071)/POBLA!$B$14*100000</f>
        <v>57.401367167369386</v>
      </c>
    </row>
    <row r="10216" spans="1:13" s="393" customFormat="1" x14ac:dyDescent="0.25">
      <c r="A10216" s="495" t="s">
        <v>19</v>
      </c>
      <c r="B10216" s="269">
        <v>44318</v>
      </c>
      <c r="C10216" s="4">
        <v>156</v>
      </c>
      <c r="D10216" s="382">
        <f t="shared" si="942"/>
        <v>71611</v>
      </c>
      <c r="E10216" s="1">
        <v>1</v>
      </c>
      <c r="F10216" s="325">
        <f t="shared" si="949"/>
        <v>1072</v>
      </c>
      <c r="G10216" s="327">
        <f>SUM(C10216,C10192,C10168,C10144,C10120,C10096,C10072,C10048,C10024,C10000,C9976,C9952,C9928,C9904)/POBLA!$B$15*100000</f>
        <v>578.26361291274702</v>
      </c>
      <c r="H10216" s="328">
        <f t="shared" si="948"/>
        <v>1.6893972723273207</v>
      </c>
      <c r="I10216" s="329">
        <f t="shared" si="950"/>
        <v>976.91697034093647</v>
      </c>
      <c r="J10216" s="329">
        <f t="shared" si="951"/>
        <v>322.85714285714283</v>
      </c>
      <c r="K10216" s="502">
        <f>J10216/POBLA!$B$15*100000</f>
        <v>48.618890073765179</v>
      </c>
      <c r="L10216" s="68">
        <f t="shared" si="947"/>
        <v>-0.43037974683544311</v>
      </c>
      <c r="M10216" s="7">
        <f>SUM(C10216,C10192,C10168,C10144,C10120,C10096,C10072)/POBLA!$B$15*100000</f>
        <v>340.33223051635628</v>
      </c>
    </row>
    <row r="10217" spans="1:13" s="393" customFormat="1" x14ac:dyDescent="0.25">
      <c r="A10217" s="497" t="s">
        <v>18</v>
      </c>
      <c r="B10217" s="269">
        <v>44318</v>
      </c>
      <c r="C10217" s="4">
        <v>104</v>
      </c>
      <c r="D10217" s="382">
        <f t="shared" si="942"/>
        <v>61724</v>
      </c>
      <c r="E10217" s="1">
        <v>1</v>
      </c>
      <c r="F10217" s="325">
        <f t="shared" si="949"/>
        <v>1367</v>
      </c>
      <c r="G10217" s="327">
        <f>SUM(C10217,C10193,C10169,C10145,C10121,C10097,C10073,C10049,C10025,C10001,C9977,C9953,C9929,C9905)/POBLA!$B$16*100000</f>
        <v>480.33065368307007</v>
      </c>
      <c r="H10217" s="328">
        <f t="shared" si="948"/>
        <v>1.4950041631973356</v>
      </c>
      <c r="I10217" s="329">
        <f t="shared" si="950"/>
        <v>718.09632696748736</v>
      </c>
      <c r="J10217" s="329">
        <f t="shared" si="951"/>
        <v>269.42857142857144</v>
      </c>
      <c r="K10217" s="502">
        <f>J10217/POBLA!$B$16*100000</f>
        <v>36.038652697070859</v>
      </c>
      <c r="L10217" s="68">
        <f t="shared" si="947"/>
        <v>-0.10615835777126104</v>
      </c>
      <c r="M10217" s="7">
        <f>SUM(C10217,C10193,C10169,C10145,C10121,C10097,C10073)/POBLA!$B$16*100000</f>
        <v>252.27056887949598</v>
      </c>
    </row>
    <row r="10218" spans="1:13" s="393" customFormat="1" x14ac:dyDescent="0.25">
      <c r="A10218" s="496" t="s">
        <v>34</v>
      </c>
      <c r="B10218" s="269">
        <v>44318</v>
      </c>
      <c r="C10218" s="4">
        <v>37</v>
      </c>
      <c r="D10218" s="382">
        <f t="shared" si="942"/>
        <v>34950</v>
      </c>
      <c r="E10218" s="1">
        <v>1</v>
      </c>
      <c r="F10218" s="325">
        <f t="shared" si="949"/>
        <v>1271</v>
      </c>
      <c r="G10218" s="327">
        <f>SUM(C10218,C10194,C10170,C10146,C10122,C10098,C10074,C10050,C10026,C10002,C9978,C9954,C9930,C9906)/POBLA!$B$17*100000</f>
        <v>184.70974033222481</v>
      </c>
      <c r="H10218" s="328">
        <f t="shared" ref="H10218:H10241" si="952">SUM(C10218,C10194,C10170,C10146,C10122,C10098,C10074,C10050,C10026,C10002,C9978,C9954,C9930,C9906)/SUM(C9882,C9858,C9834,C9810,C9786,C9762,C9738,C9714,C9690,C9666,C9642,C9618,C9594,C9570)</f>
        <v>1.020954598370198</v>
      </c>
      <c r="I10218" s="329">
        <f t="shared" si="950"/>
        <v>188.58025875595013</v>
      </c>
      <c r="J10218" s="329">
        <f t="shared" si="951"/>
        <v>182.85714285714286</v>
      </c>
      <c r="K10218" s="502">
        <f>J10218/POBLA!$B$17*100000</f>
        <v>12.837512495262406</v>
      </c>
      <c r="L10218" s="68">
        <f t="shared" si="947"/>
        <v>5.2553663952627727E-2</v>
      </c>
      <c r="M10218" s="7">
        <f>SUM(C10218,C10194,C10170,C10146,C10122,C10098,C10074)/POBLA!$B$17*100000</f>
        <v>89.862587466836843</v>
      </c>
    </row>
    <row r="10219" spans="1:13" s="393" customFormat="1" x14ac:dyDescent="0.25">
      <c r="A10219" s="497" t="s">
        <v>35</v>
      </c>
      <c r="B10219" s="269">
        <v>44318</v>
      </c>
      <c r="C10219" s="4">
        <v>49</v>
      </c>
      <c r="D10219" s="382">
        <f t="shared" si="942"/>
        <v>23785</v>
      </c>
      <c r="E10219" s="1">
        <v>1</v>
      </c>
      <c r="F10219" s="325">
        <f t="shared" si="949"/>
        <v>280</v>
      </c>
      <c r="G10219" s="327">
        <f>SUM(C10219,C10195,C10171,C10147,C10123,C10099,C10075,C10051,C10027,C10003,C9979,C9955,C9931,C9907)/POBLA!$B$18*100000</f>
        <v>464.27561100180873</v>
      </c>
      <c r="H10219" s="328">
        <f t="shared" si="952"/>
        <v>1.3528534129056322</v>
      </c>
      <c r="I10219" s="329">
        <f t="shared" si="950"/>
        <v>628.09684487264462</v>
      </c>
      <c r="J10219" s="329">
        <f t="shared" si="951"/>
        <v>258</v>
      </c>
      <c r="K10219" s="502">
        <f>J10219/POBLA!$B$18*100000</f>
        <v>33.02539499268449</v>
      </c>
      <c r="L10219" s="68">
        <f t="shared" si="947"/>
        <v>8.2372322899505468E-3</v>
      </c>
      <c r="M10219" s="7">
        <f>SUM(C10219,C10195,C10171,C10147,C10123,C10099,C10075)/POBLA!$B$18*100000</f>
        <v>231.17776494879146</v>
      </c>
    </row>
    <row r="10220" spans="1:13" s="393" customFormat="1" x14ac:dyDescent="0.25">
      <c r="A10220" s="498" t="s">
        <v>36</v>
      </c>
      <c r="B10220" s="269">
        <v>44318</v>
      </c>
      <c r="C10220" s="4">
        <v>415</v>
      </c>
      <c r="D10220" s="382">
        <f t="shared" si="942"/>
        <v>38416</v>
      </c>
      <c r="E10220" s="1"/>
      <c r="F10220" s="325">
        <f t="shared" si="949"/>
        <v>486</v>
      </c>
      <c r="G10220" s="327">
        <f>SUM(C10220,C10196,C10172,C10148,C10124,C10100,C10076,C10052,C10028,C10004,C9980,C9956,C9932,C9908)/POBLA!$B$19*100000</f>
        <v>1634.3778033081003</v>
      </c>
      <c r="H10220" s="328">
        <f t="shared" si="952"/>
        <v>1.2801232665639446</v>
      </c>
      <c r="I10220" s="329">
        <f t="shared" si="950"/>
        <v>2092.2050523703697</v>
      </c>
      <c r="J10220" s="329">
        <f t="shared" si="951"/>
        <v>521</v>
      </c>
      <c r="K10220" s="502">
        <f>J10220/POBLA!$B$19*100000</f>
        <v>102.49287861380841</v>
      </c>
      <c r="L10220" s="68">
        <f t="shared" si="947"/>
        <v>0.21754988199957093</v>
      </c>
      <c r="M10220" s="7">
        <f>SUM(C10220,C10196,C10172,C10148,C10124,C10100,C10076)/POBLA!$B$19*100000</f>
        <v>717.45015029665888</v>
      </c>
    </row>
    <row r="10221" spans="1:13" s="393" customFormat="1" x14ac:dyDescent="0.25">
      <c r="A10221" s="497" t="s">
        <v>37</v>
      </c>
      <c r="B10221" s="269">
        <v>44318</v>
      </c>
      <c r="C10221" s="4">
        <v>152</v>
      </c>
      <c r="D10221" s="382">
        <f t="shared" si="942"/>
        <v>45048</v>
      </c>
      <c r="E10221" s="1">
        <v>1</v>
      </c>
      <c r="F10221" s="325">
        <f t="shared" si="949"/>
        <v>709</v>
      </c>
      <c r="G10221" s="327">
        <f>SUM(C10221,C10197,C10173,C10149,C10125,C10101,C10077,C10053,C10029,C10005,C9981,C9957,C9933,C9909)/POBLA!$B$20*100000</f>
        <v>763.19804866310449</v>
      </c>
      <c r="H10221" s="328">
        <f t="shared" si="952"/>
        <v>1.130417172944512</v>
      </c>
      <c r="I10221" s="329">
        <f t="shared" si="950"/>
        <v>862.73218056651467</v>
      </c>
      <c r="J10221" s="329">
        <f t="shared" si="951"/>
        <v>199.71428571428572</v>
      </c>
      <c r="K10221" s="502">
        <f>J10221/POBLA!$B$20*100000</f>
        <v>54.611806932027442</v>
      </c>
      <c r="L10221" s="68">
        <f t="shared" si="947"/>
        <v>-3.5893754486719942E-3</v>
      </c>
      <c r="M10221" s="7">
        <f>SUM(C10221,C10197,C10173,C10149,C10125,C10101,C10077)/POBLA!$B$20*100000</f>
        <v>382.2826485241921</v>
      </c>
    </row>
    <row r="10222" spans="1:13" s="393" customFormat="1" x14ac:dyDescent="0.25">
      <c r="A10222" s="497" t="s">
        <v>22</v>
      </c>
      <c r="B10222" s="269">
        <v>44318</v>
      </c>
      <c r="C10222" s="4">
        <v>813</v>
      </c>
      <c r="D10222" s="382">
        <f t="shared" si="942"/>
        <v>276639</v>
      </c>
      <c r="E10222" s="1">
        <v>11</v>
      </c>
      <c r="F10222" s="325">
        <f t="shared" si="949"/>
        <v>4640</v>
      </c>
      <c r="G10222" s="327">
        <f>SUM(C10222,C10198,C10174,C10150,C10126,C10102,C10078,C10054,C10030,C10006,C9982,C9958,C9934,C9910)/POBLA!$B$21*100000</f>
        <v>669.66065663052279</v>
      </c>
      <c r="H10222" s="328">
        <f t="shared" si="952"/>
        <v>1.2360770395114569</v>
      </c>
      <c r="I10222" s="329">
        <f t="shared" si="950"/>
        <v>827.75216192515484</v>
      </c>
      <c r="J10222" s="329">
        <f t="shared" si="951"/>
        <v>1645.2857142857142</v>
      </c>
      <c r="K10222" s="502">
        <f>J10222/POBLA!$B$21*100000</f>
        <v>46.524073632859981</v>
      </c>
      <c r="L10222" s="68">
        <f t="shared" si="947"/>
        <v>5.3267570900123351E-2</v>
      </c>
      <c r="M10222" s="7">
        <f>SUM(C10222,C10198,C10174,C10150,C10126,C10102,C10078)/POBLA!$B$21*100000</f>
        <v>325.66851543001985</v>
      </c>
    </row>
    <row r="10223" spans="1:13" s="393" customFormat="1" x14ac:dyDescent="0.25">
      <c r="A10223" s="496" t="s">
        <v>38</v>
      </c>
      <c r="B10223" s="269">
        <v>44318</v>
      </c>
      <c r="C10223" s="4">
        <v>209</v>
      </c>
      <c r="D10223" s="382">
        <f t="shared" si="942"/>
        <v>31063</v>
      </c>
      <c r="E10223" s="1">
        <v>1</v>
      </c>
      <c r="F10223" s="325">
        <f t="shared" si="949"/>
        <v>352</v>
      </c>
      <c r="G10223" s="327">
        <f>SUM(C10223,C10199,C10175,C10151,C10127,C10103,C10079,C10055,C10031,C10007,C9983,C9959,C9935,C9911)/POBLA!$B$22*100000</f>
        <v>288.96682350127207</v>
      </c>
      <c r="H10223" s="328">
        <f t="shared" si="952"/>
        <v>1.0873076923076923</v>
      </c>
      <c r="I10223" s="329">
        <f t="shared" si="950"/>
        <v>314.19585001465236</v>
      </c>
      <c r="J10223" s="329">
        <f t="shared" si="951"/>
        <v>181.14285714285714</v>
      </c>
      <c r="K10223" s="502">
        <f>J10223/POBLA!$B$22*100000</f>
        <v>18.515838708353783</v>
      </c>
      <c r="L10223" s="68">
        <f t="shared" si="947"/>
        <v>0.18665811417575373</v>
      </c>
      <c r="M10223" s="7">
        <f>SUM(C10223,C10199,C10175,C10151,C10127,C10103,C10079)/POBLA!$B$22*100000</f>
        <v>129.61087095847648</v>
      </c>
    </row>
    <row r="10224" spans="1:13" s="393" customFormat="1" x14ac:dyDescent="0.25">
      <c r="A10224" s="496" t="s">
        <v>39</v>
      </c>
      <c r="B10224" s="269">
        <v>44318</v>
      </c>
      <c r="C10224" s="4">
        <v>44</v>
      </c>
      <c r="D10224" s="382">
        <f t="shared" si="942"/>
        <v>26541</v>
      </c>
      <c r="E10224" s="1"/>
      <c r="F10224" s="325">
        <f t="shared" si="949"/>
        <v>389</v>
      </c>
      <c r="G10224" s="327">
        <f>SUM(C10224,C10200,C10176,C10152,C10128,C10104,C10080,C10056,C10032,C10008,C9984,C9960,C9936,C9912)/POBLA!$B$23*100000</f>
        <v>609.62506362042643</v>
      </c>
      <c r="H10224" s="328">
        <f t="shared" si="952"/>
        <v>0.93091537132987912</v>
      </c>
      <c r="I10224" s="329">
        <f t="shared" si="950"/>
        <v>567.50934247221051</v>
      </c>
      <c r="J10224" s="329">
        <f t="shared" si="951"/>
        <v>70.714285714285708</v>
      </c>
      <c r="K10224" s="502">
        <f>J10224/POBLA!$B$23*100000</f>
        <v>39.98998230746237</v>
      </c>
      <c r="L10224" s="68">
        <f t="shared" si="947"/>
        <v>0.15094339622641506</v>
      </c>
      <c r="M10224" s="7">
        <f>SUM(C10224,C10200,C10176,C10152,C10128,C10104,C10080)/POBLA!$B$23*100000</f>
        <v>279.9298761522366</v>
      </c>
    </row>
    <row r="10225" spans="1:13" s="393" customFormat="1" x14ac:dyDescent="0.25">
      <c r="A10225" s="506" t="s">
        <v>40</v>
      </c>
      <c r="B10225" s="270">
        <v>44318</v>
      </c>
      <c r="C10225" s="27">
        <v>230</v>
      </c>
      <c r="D10225" s="507">
        <f t="shared" si="942"/>
        <v>106839</v>
      </c>
      <c r="E10225" s="234"/>
      <c r="F10225" s="365">
        <f t="shared" si="949"/>
        <v>1640</v>
      </c>
      <c r="G10225" s="367">
        <f>SUM(C10225,C10201,C10177,C10153,C10129,C10105,C10081,C10057,C10033,C10009,C9985,C9961,C9937,C9913)/POBLA!$B$24*100000</f>
        <v>549.78709543411753</v>
      </c>
      <c r="H10225" s="368">
        <f t="shared" si="952"/>
        <v>1.1147403685092128</v>
      </c>
      <c r="I10225" s="369">
        <f t="shared" si="950"/>
        <v>612.86986936583787</v>
      </c>
      <c r="J10225" s="369">
        <f t="shared" si="951"/>
        <v>632.28571428571433</v>
      </c>
      <c r="K10225" s="508">
        <f>J10225/POBLA!$B$24*100000</f>
        <v>37.310564166752094</v>
      </c>
      <c r="L10225" s="68">
        <f t="shared" si="947"/>
        <v>9.5072582294009389E-2</v>
      </c>
      <c r="M10225" s="7">
        <f>SUM(C10225,C10201,C10177,C10153,C10129,C10105,C10081)/POBLA!$B$24*100000</f>
        <v>261.17394916726465</v>
      </c>
    </row>
    <row r="10226" spans="1:13" s="393" customFormat="1" x14ac:dyDescent="0.25">
      <c r="A10226" s="394" t="s">
        <v>16</v>
      </c>
      <c r="B10226" s="2">
        <v>44319</v>
      </c>
      <c r="C10226" s="4">
        <v>7025</v>
      </c>
      <c r="D10226" s="39">
        <f t="shared" si="942"/>
        <v>1319543</v>
      </c>
      <c r="E10226" s="1">
        <v>278</v>
      </c>
      <c r="F10226" s="39">
        <f t="shared" ref="F10226:F10249" si="953">E10226+F10202</f>
        <v>33451</v>
      </c>
      <c r="G10226" s="169">
        <f>SUM(C10226,C10202,C10178,C10154,C10130,C10106,C10082,C10058,C10034,C10010,C9986,C9962,C9938,C9914)/POBLA!$B$1*100000</f>
        <v>834.44400794680348</v>
      </c>
      <c r="H10226" s="258">
        <f t="shared" si="952"/>
        <v>0.93420943457642691</v>
      </c>
      <c r="I10226" s="310">
        <f>G10226*H10226</f>
        <v>779.54546484967079</v>
      </c>
      <c r="J10226" s="310">
        <f>AVERAGE(C10226,C10202,C10178,C10154,C10130,C10106,C10082)</f>
        <v>9397.1428571428569</v>
      </c>
      <c r="K10226" s="310">
        <f>J10226/POBLA!$B$1*100000</f>
        <v>53.572015966024431</v>
      </c>
      <c r="L10226" s="68">
        <f t="shared" si="947"/>
        <v>0.1837798265314986</v>
      </c>
      <c r="M10226" s="7">
        <f>SUM(C10226,C10202,C10178,C10154,C10130,C10106,C10082)/POBLA!$B$1*100000</f>
        <v>375.00411176217102</v>
      </c>
    </row>
    <row r="10227" spans="1:13" s="393" customFormat="1" x14ac:dyDescent="0.25">
      <c r="A10227" s="394" t="s">
        <v>43</v>
      </c>
      <c r="B10227" s="2">
        <v>44319</v>
      </c>
      <c r="C10227" s="4">
        <v>1839</v>
      </c>
      <c r="D10227" s="39">
        <f t="shared" ref="D10227:D10290" si="954">C10227+D10203</f>
        <v>348062</v>
      </c>
      <c r="E10227" s="1">
        <v>71</v>
      </c>
      <c r="F10227" s="39">
        <f t="shared" si="953"/>
        <v>7903</v>
      </c>
      <c r="G10227" s="169">
        <f>SUM(C10227,C10203,C10179,C10155,C10131,C10107,C10083,C10059,C10035,C10011,C9987,C9963,C9939,C9915)/POBLA!$B$2*100000</f>
        <v>1240.7799857330785</v>
      </c>
      <c r="H10227" s="258">
        <f t="shared" si="952"/>
        <v>0.9777105964336954</v>
      </c>
      <c r="I10227" s="310">
        <f t="shared" ref="I10227:I10249" si="955">G10227*H10227</f>
        <v>1213.1237398940802</v>
      </c>
      <c r="J10227" s="310">
        <f t="shared" ref="J10227:J10249" si="956">AVERAGE(C10227,C10203,C10179,C10155,C10131,C10107,C10083)</f>
        <v>2468</v>
      </c>
      <c r="K10227" s="310">
        <f>J10227/POBLA!$B$2*100000</f>
        <v>80.243304983733495</v>
      </c>
      <c r="L10227" s="68">
        <f t="shared" si="947"/>
        <v>0.17284305276261613</v>
      </c>
      <c r="M10227" s="7">
        <f>SUM(C10227,C10203,C10179,C10155,C10131,C10107,C10083)/POBLA!$B$2*100000</f>
        <v>561.70313488613454</v>
      </c>
    </row>
    <row r="10228" spans="1:13" s="393" customFormat="1" x14ac:dyDescent="0.25">
      <c r="A10228" s="394" t="s">
        <v>28</v>
      </c>
      <c r="B10228" s="2">
        <v>44319</v>
      </c>
      <c r="C10228" s="4">
        <v>176</v>
      </c>
      <c r="D10228" s="39">
        <f t="shared" si="954"/>
        <v>15175</v>
      </c>
      <c r="E10228" s="1">
        <v>1</v>
      </c>
      <c r="F10228" s="39">
        <f t="shared" si="953"/>
        <v>20</v>
      </c>
      <c r="G10228" s="169">
        <f>SUM(C10228,C10204,C10180,C10156,C10132,C10108,C10084,C10060,C10036,C10012,C9988,C9964,C9940,C9916)/POBLA!$B$3*100000</f>
        <v>531.00582999147889</v>
      </c>
      <c r="H10228" s="258">
        <f t="shared" si="952"/>
        <v>1.0504761904761906</v>
      </c>
      <c r="I10228" s="310">
        <f t="shared" si="955"/>
        <v>557.80898141009641</v>
      </c>
      <c r="J10228" s="310">
        <f t="shared" si="956"/>
        <v>134.28571428571428</v>
      </c>
      <c r="K10228" s="310">
        <f>J10228/POBLA!$B$3*100000</f>
        <v>32.323888109829689</v>
      </c>
      <c r="L10228" s="68">
        <f t="shared" si="947"/>
        <v>0.25750394944707744</v>
      </c>
      <c r="M10228" s="7">
        <f>SUM(C10228,C10204,C10180,C10156,C10132,C10108,C10084)/POBLA!$B$3*100000</f>
        <v>226.26721676880786</v>
      </c>
    </row>
    <row r="10229" spans="1:13" s="393" customFormat="1" x14ac:dyDescent="0.25">
      <c r="A10229" s="394" t="s">
        <v>15</v>
      </c>
      <c r="B10229" s="2">
        <v>44319</v>
      </c>
      <c r="C10229" s="4">
        <v>194</v>
      </c>
      <c r="D10229" s="39">
        <f t="shared" si="954"/>
        <v>45374</v>
      </c>
      <c r="E10229" s="1">
        <v>8</v>
      </c>
      <c r="F10229" s="39">
        <f t="shared" si="953"/>
        <v>1058</v>
      </c>
      <c r="G10229" s="169">
        <f>SUM(C10229,C10205,C10181,C10157,C10133,C10109,C10085,C10061,C10037,C10013,C9989,C9965,C9941,C9917)/POBLA!$B$4*100000</f>
        <v>258.10661488483998</v>
      </c>
      <c r="H10229" s="258">
        <f t="shared" si="952"/>
        <v>0.98541996830427891</v>
      </c>
      <c r="I10229" s="310">
        <f t="shared" si="955"/>
        <v>254.34341225894374</v>
      </c>
      <c r="J10229" s="310">
        <f t="shared" si="956"/>
        <v>230</v>
      </c>
      <c r="K10229" s="310">
        <f>J10229/POBLA!$B$4*100000</f>
        <v>19.094410235932195</v>
      </c>
      <c r="L10229" s="68">
        <f t="shared" si="947"/>
        <v>-7.4049366244162806E-2</v>
      </c>
      <c r="M10229" s="7">
        <f>SUM(C10229,C10205,C10181,C10157,C10133,C10109,C10085)/POBLA!$B$4*100000</f>
        <v>133.66087165152535</v>
      </c>
    </row>
    <row r="10230" spans="1:13" s="393" customFormat="1" x14ac:dyDescent="0.25">
      <c r="A10230" s="394" t="s">
        <v>29</v>
      </c>
      <c r="B10230" s="2">
        <v>44319</v>
      </c>
      <c r="C10230" s="4">
        <v>125</v>
      </c>
      <c r="D10230" s="39">
        <f t="shared" si="954"/>
        <v>55180</v>
      </c>
      <c r="E10230" s="1"/>
      <c r="F10230" s="39">
        <f t="shared" si="953"/>
        <v>928</v>
      </c>
      <c r="G10230" s="169">
        <f>SUM(C10230,C10206,C10182,C10158,C10134,C10110,C10086,C10062,C10038,C10014,C9990,C9966,C9942,C9918)/POBLA!$B$5*100000</f>
        <v>393.70333153471603</v>
      </c>
      <c r="H10230" s="258">
        <f t="shared" si="952"/>
        <v>1.0811889973380657</v>
      </c>
      <c r="I10230" s="310">
        <f t="shared" si="955"/>
        <v>425.66771027067568</v>
      </c>
      <c r="J10230" s="310">
        <f t="shared" si="956"/>
        <v>151.57142857142858</v>
      </c>
      <c r="K10230" s="310">
        <f>J10230/POBLA!$B$5*100000</f>
        <v>24.48673631269909</v>
      </c>
      <c r="L10230" s="68">
        <f t="shared" si="947"/>
        <v>0.22892441860465118</v>
      </c>
      <c r="M10230" s="7">
        <f>SUM(C10230,C10206,C10182,C10158,C10134,C10110,C10086)/POBLA!$B$5*100000</f>
        <v>171.4071541888936</v>
      </c>
    </row>
    <row r="10231" spans="1:13" s="393" customFormat="1" x14ac:dyDescent="0.25">
      <c r="A10231" s="394" t="s">
        <v>30</v>
      </c>
      <c r="B10231" s="2">
        <v>44319</v>
      </c>
      <c r="C10231" s="4">
        <v>117</v>
      </c>
      <c r="D10231" s="39">
        <f t="shared" si="954"/>
        <v>37906</v>
      </c>
      <c r="E10231" s="1"/>
      <c r="F10231" s="39">
        <f t="shared" si="953"/>
        <v>496</v>
      </c>
      <c r="G10231" s="169">
        <f>SUM(C10231,C10207,C10183,C10159,C10135,C10111,C10087,C10063,C10039,C10015,C9991,C9967,C9943,C9919)/POBLA!$B$6*100000</f>
        <v>272.39447502277386</v>
      </c>
      <c r="H10231" s="258">
        <f t="shared" si="952"/>
        <v>0.7786279010456516</v>
      </c>
      <c r="I10231" s="310">
        <f t="shared" si="955"/>
        <v>212.09393834341458</v>
      </c>
      <c r="J10231" s="310">
        <f t="shared" si="956"/>
        <v>169.85714285714286</v>
      </c>
      <c r="K10231" s="310">
        <f>J10231/POBLA!$B$6*100000</f>
        <v>15.154977811149603</v>
      </c>
      <c r="L10231" s="68">
        <f t="shared" si="947"/>
        <v>0.36212446351931327</v>
      </c>
      <c r="M10231" s="7">
        <f>SUM(C10231,C10207,C10183,C10159,C10135,C10111,C10087)/POBLA!$B$6*100000</f>
        <v>106.0848446780472</v>
      </c>
    </row>
    <row r="10232" spans="1:13" s="393" customFormat="1" x14ac:dyDescent="0.25">
      <c r="A10232" s="394" t="s">
        <v>20</v>
      </c>
      <c r="B10232" s="2">
        <v>44319</v>
      </c>
      <c r="C10232" s="4">
        <v>1206</v>
      </c>
      <c r="D10232" s="39">
        <f t="shared" si="954"/>
        <v>230724</v>
      </c>
      <c r="E10232" s="1">
        <v>25</v>
      </c>
      <c r="F10232" s="39">
        <f t="shared" si="953"/>
        <v>3413</v>
      </c>
      <c r="G10232" s="169">
        <f>SUM(C10232,C10208,C10184,C10160,C10136,C10112,C10088,C10064,C10040,C10016,C9992,C9968,C9944,C9920)/POBLA!$B$7*100000</f>
        <v>599.95479264449739</v>
      </c>
      <c r="H10232" s="258">
        <f t="shared" si="952"/>
        <v>0.97032385703840696</v>
      </c>
      <c r="I10232" s="310">
        <f t="shared" si="955"/>
        <v>582.15044844748638</v>
      </c>
      <c r="J10232" s="310">
        <f t="shared" si="956"/>
        <v>1604.5714285714287</v>
      </c>
      <c r="K10232" s="310">
        <f>J10232/POBLA!$B$7*100000</f>
        <v>42.669665294617097</v>
      </c>
      <c r="L10232" s="68">
        <f t="shared" si="947"/>
        <v>8.5620972724865796E-3</v>
      </c>
      <c r="M10232" s="7">
        <f>SUM(C10232,C10208,C10184,C10160,C10136,C10112,C10088)/POBLA!$B$7*100000</f>
        <v>298.68765706231966</v>
      </c>
    </row>
    <row r="10233" spans="1:13" x14ac:dyDescent="0.25">
      <c r="A10233" s="394" t="s">
        <v>31</v>
      </c>
      <c r="B10233" s="2">
        <v>44319</v>
      </c>
      <c r="C10233" s="298">
        <v>305</v>
      </c>
      <c r="D10233" s="39">
        <f t="shared" si="954"/>
        <v>63840</v>
      </c>
      <c r="E10233" s="1">
        <v>10</v>
      </c>
      <c r="F10233" s="39">
        <f t="shared" si="953"/>
        <v>1079</v>
      </c>
      <c r="G10233" s="169">
        <f>SUM(C10233,C10209,C10185,C10161,C10137,C10113,C10089,C10065,C10041,C10017,C9993,C9969,C9945,C9921)/POBLA!$B$8*100000</f>
        <v>518.55715997780601</v>
      </c>
      <c r="H10233" s="258">
        <f t="shared" si="952"/>
        <v>1.208711738984191</v>
      </c>
      <c r="I10233" s="310">
        <f t="shared" si="955"/>
        <v>626.78612659947726</v>
      </c>
      <c r="J10233" s="310">
        <f t="shared" si="956"/>
        <v>502</v>
      </c>
      <c r="K10233" s="310">
        <f>J10233/POBLA!$B$8*100000</f>
        <v>36.220355406826023</v>
      </c>
      <c r="L10233" s="68">
        <f t="shared" si="947"/>
        <v>4.328886468826576E-2</v>
      </c>
      <c r="M10233" s="7">
        <f>SUM(C10233,C10209,C10185,C10161,C10137,C10113,C10089)/POBLA!$B$8*100000</f>
        <v>253.54248784778213</v>
      </c>
    </row>
    <row r="10234" spans="1:13" s="393" customFormat="1" x14ac:dyDescent="0.25">
      <c r="A10234" s="394" t="s">
        <v>41</v>
      </c>
      <c r="B10234" s="2">
        <v>44319</v>
      </c>
      <c r="C10234" s="4">
        <v>86</v>
      </c>
      <c r="D10234" s="39">
        <f t="shared" si="954"/>
        <v>4625</v>
      </c>
      <c r="E10234" s="1"/>
      <c r="F10234" s="39">
        <f t="shared" si="953"/>
        <v>102</v>
      </c>
      <c r="G10234" s="169">
        <f>SUM(C10234,C10210,C10186,C10162,C10138,C10114,C10090,C10066,C10042,C10018,C9994,C9970,C9946,C9922)/POBLA!$B$9*100000</f>
        <v>185.5606393332375</v>
      </c>
      <c r="H10234" s="258">
        <f t="shared" si="952"/>
        <v>0.97398091934084996</v>
      </c>
      <c r="I10234" s="310">
        <f t="shared" si="955"/>
        <v>180.73252209126255</v>
      </c>
      <c r="J10234" s="310">
        <f t="shared" si="956"/>
        <v>48.285714285714285</v>
      </c>
      <c r="K10234" s="310">
        <f>J10234/POBLA!$B$9*100000</f>
        <v>7.9785645712548368</v>
      </c>
      <c r="L10234" s="68">
        <f t="shared" si="947"/>
        <v>0.56942675159235667</v>
      </c>
      <c r="M10234" s="7">
        <f>SUM(C10234,C10210,C10186,C10162,C10138,C10114,C10090)/POBLA!$B$9*100000</f>
        <v>55.849951998783858</v>
      </c>
    </row>
    <row r="10235" spans="1:13" s="393" customFormat="1" x14ac:dyDescent="0.25">
      <c r="A10235" s="394" t="s">
        <v>32</v>
      </c>
      <c r="B10235" s="2">
        <v>44319</v>
      </c>
      <c r="C10235" s="4">
        <v>80</v>
      </c>
      <c r="D10235" s="39">
        <f t="shared" si="954"/>
        <v>25068</v>
      </c>
      <c r="E10235" s="1">
        <v>2</v>
      </c>
      <c r="F10235" s="39">
        <f t="shared" si="953"/>
        <v>1042</v>
      </c>
      <c r="G10235" s="169">
        <f>SUM(C10235,C10211,C10187,C10163,C10139,C10115,C10091,C10067,C10043,C10019,C9995,C9971,C9947,C9923)/POBLA!$B$10*100000</f>
        <v>170.71376775403726</v>
      </c>
      <c r="H10235" s="258">
        <f t="shared" si="952"/>
        <v>1.242681775259679</v>
      </c>
      <c r="I10235" s="310">
        <f t="shared" si="955"/>
        <v>212.14288797385558</v>
      </c>
      <c r="J10235" s="310">
        <f t="shared" si="956"/>
        <v>89.571428571428569</v>
      </c>
      <c r="K10235" s="310">
        <f>J10235/POBLA!$B$10*100000</f>
        <v>11.619358704057898</v>
      </c>
      <c r="L10235" s="68">
        <f t="shared" si="947"/>
        <v>8.9985486211901278E-2</v>
      </c>
      <c r="M10235" s="7">
        <f>SUM(C10235,C10211,C10187,C10163,C10139,C10115,C10091)/POBLA!$B$10*100000</f>
        <v>81.335510928405299</v>
      </c>
    </row>
    <row r="10236" spans="1:13" s="393" customFormat="1" x14ac:dyDescent="0.25">
      <c r="A10236" s="394" t="s">
        <v>33</v>
      </c>
      <c r="B10236" s="2">
        <v>44319</v>
      </c>
      <c r="C10236" s="4">
        <v>221</v>
      </c>
      <c r="D10236" s="39">
        <f t="shared" si="954"/>
        <v>27825</v>
      </c>
      <c r="E10236" s="1">
        <v>18</v>
      </c>
      <c r="F10236" s="39">
        <f t="shared" si="953"/>
        <v>393</v>
      </c>
      <c r="G10236" s="169">
        <f>SUM(C10236,C10212,C10188,C10164,C10140,C10116,C10092,C10068,C10044,C10020,C9996,C9972,C9948,C9924)/POBLA!$B$11*100000</f>
        <v>1016.1036526164251</v>
      </c>
      <c r="H10236" s="258">
        <f t="shared" si="952"/>
        <v>1.4907900122799835</v>
      </c>
      <c r="I10236" s="310">
        <f t="shared" si="955"/>
        <v>1514.7971767617764</v>
      </c>
      <c r="J10236" s="310">
        <f t="shared" si="956"/>
        <v>268.42857142857144</v>
      </c>
      <c r="K10236" s="310">
        <f>J10236/POBLA!$B$11*100000</f>
        <v>74.890513974514121</v>
      </c>
      <c r="L10236" s="68">
        <f t="shared" si="947"/>
        <v>-6.5796937039137804E-2</v>
      </c>
      <c r="M10236" s="7">
        <f>SUM(C10236,C10212,C10188,C10164,C10140,C10116,C10092)/POBLA!$B$11*100000</f>
        <v>524.23359782159878</v>
      </c>
    </row>
    <row r="10237" spans="1:13" s="393" customFormat="1" x14ac:dyDescent="0.25">
      <c r="A10237" s="394" t="s">
        <v>21</v>
      </c>
      <c r="B10237" s="2">
        <v>44319</v>
      </c>
      <c r="C10237" s="4">
        <v>226</v>
      </c>
      <c r="D10237" s="39">
        <f t="shared" si="954"/>
        <v>13771</v>
      </c>
      <c r="E10237" s="1"/>
      <c r="F10237" s="39">
        <f t="shared" si="953"/>
        <v>479</v>
      </c>
      <c r="G10237" s="169">
        <f>SUM(C10237,C10213,C10189,C10165,C10141,C10117,C10093,C10069,C10045,C10021,C9997,C9973,C9949,C9925)/POBLA!$B$12*100000</f>
        <v>308.23492939565119</v>
      </c>
      <c r="H10237" s="258">
        <f t="shared" si="952"/>
        <v>1.0511265164644714</v>
      </c>
      <c r="I10237" s="310">
        <f t="shared" si="955"/>
        <v>323.99390758832311</v>
      </c>
      <c r="J10237" s="310">
        <f t="shared" si="956"/>
        <v>93.142857142857139</v>
      </c>
      <c r="K10237" s="310">
        <f>J10237/POBLA!$B$12*100000</f>
        <v>23.668492988571963</v>
      </c>
      <c r="L10237" s="68">
        <f t="shared" si="947"/>
        <v>-0.16221033868092682</v>
      </c>
      <c r="M10237" s="7">
        <f>SUM(C10237,C10213,C10189,C10165,C10141,C10117,C10093)/POBLA!$B$12*100000</f>
        <v>165.67945092000377</v>
      </c>
    </row>
    <row r="10238" spans="1:13" s="393" customFormat="1" x14ac:dyDescent="0.25">
      <c r="A10238" s="394" t="s">
        <v>17</v>
      </c>
      <c r="B10238" s="2">
        <v>44319</v>
      </c>
      <c r="C10238" s="4">
        <v>609</v>
      </c>
      <c r="D10238" s="39">
        <f t="shared" si="954"/>
        <v>97923</v>
      </c>
      <c r="E10238" s="1">
        <v>11</v>
      </c>
      <c r="F10238" s="39">
        <f t="shared" si="953"/>
        <v>1866</v>
      </c>
      <c r="G10238" s="169">
        <f>SUM(C10238,C10214,C10190,C10166,C10142,C10118,C10094,C10070,C10046,C10022,C9998,C9974,C9950,C9926)/POBLA!$B$13*100000</f>
        <v>553.22261846982769</v>
      </c>
      <c r="H10238" s="258">
        <f t="shared" si="952"/>
        <v>0.92080615487539719</v>
      </c>
      <c r="I10238" s="310">
        <f t="shared" si="955"/>
        <v>509.41079210330093</v>
      </c>
      <c r="J10238" s="310">
        <f t="shared" si="956"/>
        <v>701.71428571428567</v>
      </c>
      <c r="K10238" s="310">
        <f>J10238/POBLA!$B$13*100000</f>
        <v>35.256036196579956</v>
      </c>
      <c r="L10238" s="68">
        <f t="shared" si="947"/>
        <v>0.1946220691916708</v>
      </c>
      <c r="M10238" s="7">
        <f>SUM(C10238,C10214,C10190,C10166,C10142,C10118,C10094)/POBLA!$B$13*100000</f>
        <v>246.79225337605973</v>
      </c>
    </row>
    <row r="10239" spans="1:13" s="393" customFormat="1" x14ac:dyDescent="0.25">
      <c r="A10239" s="394" t="s">
        <v>23</v>
      </c>
      <c r="B10239" s="2">
        <v>44319</v>
      </c>
      <c r="C10239" s="4">
        <v>99</v>
      </c>
      <c r="D10239" s="39">
        <f t="shared" si="954"/>
        <v>15935</v>
      </c>
      <c r="E10239" s="1"/>
      <c r="F10239" s="39">
        <f t="shared" si="953"/>
        <v>239</v>
      </c>
      <c r="G10239" s="169">
        <f>SUM(C10239,C10215,C10191,C10167,C10143,C10119,C10095,C10071,C10047,C10023,C9999,C9975,C9951,C9927)/POBLA!$B$14*100000</f>
        <v>124.2374894354528</v>
      </c>
      <c r="H10239" s="258">
        <f t="shared" si="952"/>
        <v>0.79462474645030423</v>
      </c>
      <c r="I10239" s="310">
        <f t="shared" si="955"/>
        <v>98.722183542269036</v>
      </c>
      <c r="J10239" s="310">
        <f t="shared" si="956"/>
        <v>103.57142857142857</v>
      </c>
      <c r="K10239" s="310">
        <f>J10239/POBLA!$B$14*100000</f>
        <v>8.2115215462397018</v>
      </c>
      <c r="L10239" s="68">
        <f t="shared" si="947"/>
        <v>0.13895486935866985</v>
      </c>
      <c r="M10239" s="7">
        <f>SUM(C10239,C10215,C10191,C10167,C10143,C10119,C10095)/POBLA!$B$14*100000</f>
        <v>57.480650823677905</v>
      </c>
    </row>
    <row r="10240" spans="1:13" s="393" customFormat="1" x14ac:dyDescent="0.25">
      <c r="A10240" s="394" t="s">
        <v>19</v>
      </c>
      <c r="B10240" s="2">
        <v>44319</v>
      </c>
      <c r="C10240" s="4">
        <v>323</v>
      </c>
      <c r="D10240" s="39">
        <f t="shared" si="954"/>
        <v>71934</v>
      </c>
      <c r="E10240" s="1">
        <v>8</v>
      </c>
      <c r="F10240" s="39">
        <f t="shared" si="953"/>
        <v>1080</v>
      </c>
      <c r="G10240" s="169">
        <f>SUM(C10240,C10216,C10192,C10168,C10144,C10120,C10096,C10072,C10048,C10024,C10000,C9976,C9952,C9928)/POBLA!$B$15*100000</f>
        <v>599.64731943191623</v>
      </c>
      <c r="H10240" s="258">
        <f t="shared" si="952"/>
        <v>1.7603890362511052</v>
      </c>
      <c r="I10240" s="310">
        <f t="shared" si="955"/>
        <v>1055.6125667453096</v>
      </c>
      <c r="J10240" s="310">
        <f t="shared" si="956"/>
        <v>336.42857142857144</v>
      </c>
      <c r="K10240" s="310">
        <f>J10240/POBLA!$B$15*100000</f>
        <v>50.662604479520809</v>
      </c>
      <c r="L10240" s="68">
        <f t="shared" si="947"/>
        <v>-0.44744929317762749</v>
      </c>
      <c r="M10240" s="7">
        <f>SUM(C10240,C10216,C10192,C10168,C10144,C10120,C10096)/POBLA!$B$15*100000</f>
        <v>354.63823135664563</v>
      </c>
    </row>
    <row r="10241" spans="1:13" s="393" customFormat="1" x14ac:dyDescent="0.25">
      <c r="A10241" s="394" t="s">
        <v>18</v>
      </c>
      <c r="B10241" s="2">
        <v>44319</v>
      </c>
      <c r="C10241" s="4">
        <v>322</v>
      </c>
      <c r="D10241" s="39">
        <f t="shared" si="954"/>
        <v>62046</v>
      </c>
      <c r="E10241" s="1">
        <v>4</v>
      </c>
      <c r="F10241" s="39">
        <f t="shared" si="953"/>
        <v>1371</v>
      </c>
      <c r="G10241" s="169">
        <f>SUM(C10241,C10217,C10193,C10169,C10145,C10121,C10097,C10073,C10049,C10025,C10001,C9977,C9953,C9929)/POBLA!$B$16*100000</f>
        <v>496.91684166878451</v>
      </c>
      <c r="H10241" s="258">
        <f t="shared" si="952"/>
        <v>1.5144720750101917</v>
      </c>
      <c r="I10241" s="310">
        <f t="shared" si="955"/>
        <v>752.56668030963499</v>
      </c>
      <c r="J10241" s="310">
        <f t="shared" si="956"/>
        <v>277.14285714285717</v>
      </c>
      <c r="K10241" s="310">
        <f>J10241/POBLA!$B$16*100000</f>
        <v>37.070512318301944</v>
      </c>
      <c r="L10241" s="68">
        <f t="shared" si="947"/>
        <v>-9.2957746478873338E-2</v>
      </c>
      <c r="M10241" s="7">
        <f>SUM(C10241,C10217,C10193,C10169,C10145,C10121,C10097)/POBLA!$B$16*100000</f>
        <v>259.4935862281136</v>
      </c>
    </row>
    <row r="10242" spans="1:13" s="393" customFormat="1" x14ac:dyDescent="0.25">
      <c r="A10242" s="394" t="s">
        <v>34</v>
      </c>
      <c r="B10242" s="2">
        <v>44319</v>
      </c>
      <c r="C10242" s="4">
        <v>156</v>
      </c>
      <c r="D10242" s="39">
        <f t="shared" si="954"/>
        <v>35106</v>
      </c>
      <c r="E10242" s="1">
        <v>12</v>
      </c>
      <c r="F10242" s="39">
        <f t="shared" si="953"/>
        <v>1283</v>
      </c>
      <c r="G10242" s="169">
        <f>SUM(C10242,C10218,C10194,C10170,C10146,C10122,C10098,C10074,C10050,C10026,C10002,C9978,C9954,C9930)/POBLA!$B$17*100000</f>
        <v>186.39466384722797</v>
      </c>
      <c r="H10242" s="258">
        <f t="shared" ref="H10242:H10265" si="957">SUM(C10242,C10218,C10194,C10170,C10146,C10122,C10098,C10074,C10050,C10026,C10002,C9978,C9954,C9930)/SUM(C9906,C9882,C9858,C9834,C9810,C9786,C9762,C9738,C9714,C9690,C9666,C9642,C9618,C9594)</f>
        <v>1.0106585458698134</v>
      </c>
      <c r="I10242" s="310">
        <f t="shared" si="955"/>
        <v>188.3813599217321</v>
      </c>
      <c r="J10242" s="310">
        <f t="shared" si="956"/>
        <v>182.71428571428572</v>
      </c>
      <c r="K10242" s="310">
        <f>J10242/POBLA!$B$17*100000</f>
        <v>12.827483188625484</v>
      </c>
      <c r="L10242" s="68">
        <f t="shared" si="947"/>
        <v>7.0494186046511587E-2</v>
      </c>
      <c r="M10242" s="7">
        <f>SUM(C10242,C10218,C10194,C10170,C10146,C10122,C10098)/POBLA!$B$17*100000</f>
        <v>89.79238232037838</v>
      </c>
    </row>
    <row r="10243" spans="1:13" s="393" customFormat="1" x14ac:dyDescent="0.25">
      <c r="A10243" s="394" t="s">
        <v>35</v>
      </c>
      <c r="B10243" s="2">
        <v>44319</v>
      </c>
      <c r="C10243" s="4">
        <v>268</v>
      </c>
      <c r="D10243" s="39">
        <f t="shared" si="954"/>
        <v>24053</v>
      </c>
      <c r="E10243" s="1">
        <v>5</v>
      </c>
      <c r="F10243" s="39">
        <f t="shared" si="953"/>
        <v>285</v>
      </c>
      <c r="G10243" s="169">
        <f>SUM(C10243,C10219,C10195,C10171,C10147,C10123,C10099,C10075,C10051,C10027,C10003,C9979,C9955,C9931)/POBLA!$B$18*100000</f>
        <v>470.5478759422798</v>
      </c>
      <c r="H10243" s="258">
        <f t="shared" si="957"/>
        <v>1.3338171262699565</v>
      </c>
      <c r="I10243" s="310">
        <f t="shared" si="955"/>
        <v>627.62481566176371</v>
      </c>
      <c r="J10243" s="310">
        <f t="shared" si="956"/>
        <v>262.42857142857144</v>
      </c>
      <c r="K10243" s="310">
        <f>J10243/POBLA!$B$18*100000</f>
        <v>33.592276080598786</v>
      </c>
      <c r="L10243" s="68">
        <f t="shared" ref="L10243:L10306" si="958">1-SUM(C10243,C10219,C10195,C10171,C10147,C10123,C10099)/SUM(C10075,C10051,C10027,C10003,C9979,C9955,C9931)</f>
        <v>1.0875475802066825E-3</v>
      </c>
      <c r="M10243" s="7">
        <f>SUM(C10243,C10219,C10195,C10171,C10147,C10123,C10099)/POBLA!$B$18*100000</f>
        <v>235.1459325641915</v>
      </c>
    </row>
    <row r="10244" spans="1:13" s="393" customFormat="1" x14ac:dyDescent="0.25">
      <c r="A10244" s="394" t="s">
        <v>36</v>
      </c>
      <c r="B10244" s="2">
        <v>44319</v>
      </c>
      <c r="C10244" s="4">
        <v>423</v>
      </c>
      <c r="D10244" s="39">
        <f t="shared" si="954"/>
        <v>38839</v>
      </c>
      <c r="E10244" s="1">
        <v>11</v>
      </c>
      <c r="F10244" s="39">
        <f t="shared" si="953"/>
        <v>497</v>
      </c>
      <c r="G10244" s="169">
        <f>SUM(C10244,C10220,C10196,C10172,C10148,C10124,C10100,C10076,C10052,C10028,C10004,C9980,C9956,C9932)/POBLA!$B$19*100000</f>
        <v>1630.2466124234745</v>
      </c>
      <c r="H10244" s="258">
        <f t="shared" si="957"/>
        <v>1.243547418967587</v>
      </c>
      <c r="I10244" s="310">
        <f t="shared" si="955"/>
        <v>2027.2889671598639</v>
      </c>
      <c r="J10244" s="310">
        <f t="shared" si="956"/>
        <v>512.71428571428567</v>
      </c>
      <c r="K10244" s="310">
        <f>J10244/POBLA!$B$19*100000</f>
        <v>100.86288493143908</v>
      </c>
      <c r="L10244" s="68">
        <f t="shared" si="958"/>
        <v>0.23605789697743718</v>
      </c>
      <c r="M10244" s="7">
        <f>SUM(C10244,C10220,C10196,C10172,C10148,C10124,C10100)/POBLA!$B$19*100000</f>
        <v>706.04019452007367</v>
      </c>
    </row>
    <row r="10245" spans="1:13" s="393" customFormat="1" x14ac:dyDescent="0.25">
      <c r="A10245" s="394" t="s">
        <v>37</v>
      </c>
      <c r="B10245" s="2">
        <v>44319</v>
      </c>
      <c r="C10245" s="4">
        <v>151</v>
      </c>
      <c r="D10245" s="39">
        <f t="shared" si="954"/>
        <v>45199</v>
      </c>
      <c r="E10245" s="1">
        <v>8</v>
      </c>
      <c r="F10245" s="39">
        <f t="shared" si="953"/>
        <v>717</v>
      </c>
      <c r="G10245" s="169">
        <f>SUM(C10245,C10221,C10197,C10173,C10149,C10125,C10101,C10077,C10053,C10029,C10005,C9981,C9957,C9933)/POBLA!$B$20*100000</f>
        <v>749.252115133252</v>
      </c>
      <c r="H10245" s="258">
        <f t="shared" si="957"/>
        <v>1.1030595813204509</v>
      </c>
      <c r="I10245" s="310">
        <f t="shared" si="955"/>
        <v>826.46972442234721</v>
      </c>
      <c r="J10245" s="310">
        <f t="shared" si="956"/>
        <v>188.42857142857142</v>
      </c>
      <c r="K10245" s="310">
        <f>J10245/POBLA!$B$20*100000</f>
        <v>51.52573200525336</v>
      </c>
      <c r="L10245" s="68">
        <f t="shared" si="958"/>
        <v>7.1780436312456009E-2</v>
      </c>
      <c r="M10245" s="7">
        <f>SUM(C10245,C10221,C10197,C10173,C10149,C10125,C10101)/POBLA!$B$20*100000</f>
        <v>360.68012403677352</v>
      </c>
    </row>
    <row r="10246" spans="1:13" s="393" customFormat="1" x14ac:dyDescent="0.25">
      <c r="A10246" s="394" t="s">
        <v>22</v>
      </c>
      <c r="B10246" s="2">
        <v>44319</v>
      </c>
      <c r="C10246" s="4">
        <v>1317</v>
      </c>
      <c r="D10246" s="39">
        <f t="shared" si="954"/>
        <v>277956</v>
      </c>
      <c r="E10246" s="1">
        <v>42</v>
      </c>
      <c r="F10246" s="39">
        <f t="shared" si="953"/>
        <v>4682</v>
      </c>
      <c r="G10246" s="169">
        <f>SUM(C10246,C10222,C10198,C10174,C10150,C10126,C10102,C10078,C10054,C10030,C10006,C9982,C9958,C9934)/POBLA!$B$21*100000</f>
        <v>673.73257346840785</v>
      </c>
      <c r="H10246" s="258">
        <f t="shared" si="957"/>
        <v>1.2225357894196727</v>
      </c>
      <c r="I10246" s="310">
        <f t="shared" si="955"/>
        <v>823.66218356294758</v>
      </c>
      <c r="J10246" s="310">
        <f t="shared" si="956"/>
        <v>1679.4285714285713</v>
      </c>
      <c r="K10246" s="310">
        <f>J10246/POBLA!$B$21*100000</f>
        <v>47.489538041842657</v>
      </c>
      <c r="L10246" s="68">
        <f t="shared" si="958"/>
        <v>2.6014913007456508E-2</v>
      </c>
      <c r="M10246" s="7">
        <f>SUM(C10246,C10222,C10198,C10174,C10150,C10126,C10102)/POBLA!$B$21*100000</f>
        <v>332.42676629289866</v>
      </c>
    </row>
    <row r="10247" spans="1:13" s="393" customFormat="1" x14ac:dyDescent="0.25">
      <c r="A10247" s="394" t="s">
        <v>38</v>
      </c>
      <c r="B10247" s="2">
        <v>44319</v>
      </c>
      <c r="C10247" s="4">
        <v>105</v>
      </c>
      <c r="D10247" s="39">
        <f t="shared" si="954"/>
        <v>31168</v>
      </c>
      <c r="E10247" s="1">
        <v>6</v>
      </c>
      <c r="F10247" s="39">
        <f t="shared" si="953"/>
        <v>358</v>
      </c>
      <c r="G10247" s="169">
        <f>SUM(C10247,C10223,C10199,C10175,C10151,C10127,C10103,C10079,C10055,C10031,C10007,C9983,C9959,C9935)/POBLA!$B$22*100000</f>
        <v>282.11829956261442</v>
      </c>
      <c r="H10247" s="258">
        <f t="shared" si="957"/>
        <v>1.0415094339622641</v>
      </c>
      <c r="I10247" s="310">
        <f t="shared" si="955"/>
        <v>293.828870487855</v>
      </c>
      <c r="J10247" s="310">
        <f t="shared" si="956"/>
        <v>180.28571428571428</v>
      </c>
      <c r="K10247" s="310">
        <f>J10247/POBLA!$B$22*100000</f>
        <v>18.42822432960763</v>
      </c>
      <c r="L10247" s="68">
        <f t="shared" si="958"/>
        <v>0.157543391188251</v>
      </c>
      <c r="M10247" s="7">
        <f>SUM(C10247,C10223,C10199,C10175,C10151,C10127,C10103)/POBLA!$B$22*100000</f>
        <v>128.9975703072534</v>
      </c>
    </row>
    <row r="10248" spans="1:13" s="393" customFormat="1" x14ac:dyDescent="0.25">
      <c r="A10248" s="394" t="s">
        <v>39</v>
      </c>
      <c r="B10248" s="2">
        <v>44319</v>
      </c>
      <c r="C10248" s="4">
        <v>39</v>
      </c>
      <c r="D10248" s="39">
        <f t="shared" si="954"/>
        <v>26580</v>
      </c>
      <c r="E10248" s="1">
        <v>1</v>
      </c>
      <c r="F10248" s="39">
        <f t="shared" si="953"/>
        <v>390</v>
      </c>
      <c r="G10248" s="169">
        <f>SUM(C10248,C10224,C10200,C10176,C10152,C10128,C10104,C10080,C10056,C10032,C10008,C9984,C9960,C9936)/POBLA!$B$23*100000</f>
        <v>615.84572753492057</v>
      </c>
      <c r="H10248" s="258">
        <f t="shared" si="957"/>
        <v>0.96628216503992903</v>
      </c>
      <c r="I10248" s="310">
        <f t="shared" si="955"/>
        <v>595.08074293303332</v>
      </c>
      <c r="J10248" s="310">
        <f t="shared" si="956"/>
        <v>68.571428571428569</v>
      </c>
      <c r="K10248" s="310">
        <f>J10248/POBLA!$B$23*100000</f>
        <v>38.778164661781695</v>
      </c>
      <c r="L10248" s="68">
        <f t="shared" si="958"/>
        <v>0.21182266009852213</v>
      </c>
      <c r="M10248" s="7">
        <f>SUM(C10248,C10224,C10200,C10176,C10152,C10128,C10104)/POBLA!$B$23*100000</f>
        <v>271.44715263247184</v>
      </c>
    </row>
    <row r="10249" spans="1:13" s="393" customFormat="1" ht="15.75" thickBot="1" x14ac:dyDescent="0.3">
      <c r="A10249" s="392" t="s">
        <v>40</v>
      </c>
      <c r="B10249" s="34">
        <v>44319</v>
      </c>
      <c r="C10249" s="27">
        <v>508</v>
      </c>
      <c r="D10249" s="67">
        <f t="shared" si="954"/>
        <v>107347</v>
      </c>
      <c r="E10249" s="234">
        <v>19</v>
      </c>
      <c r="F10249" s="67">
        <f t="shared" si="953"/>
        <v>1659</v>
      </c>
      <c r="G10249" s="257">
        <f>SUM(C10249,C10225,C10201,C10177,C10153,C10129,C10105,C10081,C10057,C10033,C10009,C9985,C9961,C9937)/POBLA!$B$24*100000</f>
        <v>532.02537860191092</v>
      </c>
      <c r="H10249" s="259">
        <f t="shared" si="957"/>
        <v>1.0331156181964021</v>
      </c>
      <c r="I10249" s="312">
        <f t="shared" si="955"/>
        <v>549.64372791048811</v>
      </c>
      <c r="J10249" s="312">
        <f t="shared" si="956"/>
        <v>564.28571428571433</v>
      </c>
      <c r="K10249" s="312">
        <f>J10249/POBLA!$B$24*100000</f>
        <v>33.297950397349922</v>
      </c>
      <c r="L10249" s="68">
        <f t="shared" si="958"/>
        <v>0.22029214370311878</v>
      </c>
      <c r="M10249" s="30">
        <f>SUM(C10249,C10225,C10201,C10177,C10153,C10129,C10105)/POBLA!$B$24*100000</f>
        <v>233.08565278144945</v>
      </c>
    </row>
    <row r="10250" spans="1:13" s="393" customFormat="1" x14ac:dyDescent="0.25">
      <c r="A10250" s="397" t="s">
        <v>16</v>
      </c>
      <c r="B10250" s="267">
        <v>44320</v>
      </c>
      <c r="C10250" s="4">
        <v>12211</v>
      </c>
      <c r="D10250" s="39">
        <f t="shared" si="954"/>
        <v>1331754</v>
      </c>
      <c r="E10250" s="1">
        <v>193</v>
      </c>
      <c r="F10250" s="175">
        <f t="shared" ref="F10250:F10273" si="959">E10250+F10226</f>
        <v>33644</v>
      </c>
      <c r="G10250" s="176">
        <f>SUM(C10250,C10226,C10202,C10178,C10154,C10130,C10106,C10082,C10058,C10034,C10010,C9986,C9962,C9938)/POBLA!$B$1*100000</f>
        <v>820.45404001940358</v>
      </c>
      <c r="H10250" s="313">
        <f t="shared" si="957"/>
        <v>0.89421655006151279</v>
      </c>
      <c r="I10250" s="314">
        <f>G10250*H10250</f>
        <v>733.66358115018147</v>
      </c>
      <c r="J10250" s="314">
        <f>AVERAGE(C10250,C10226,C10202,C10178,C10154,C10130,C10106)</f>
        <v>9368.7142857142862</v>
      </c>
      <c r="K10250" s="314">
        <f>J10250/POBLA!$B$1*100000</f>
        <v>53.409947994342474</v>
      </c>
      <c r="L10250" s="68">
        <f t="shared" si="958"/>
        <v>0.1628242442810458</v>
      </c>
      <c r="M10250" s="511">
        <f>SUM(C10250,C10226,C10202,C10178,C10154,C10130,C10106)/POBLA!$B$1*100000</f>
        <v>373.86963596039732</v>
      </c>
    </row>
    <row r="10251" spans="1:13" s="393" customFormat="1" x14ac:dyDescent="0.25">
      <c r="A10251" s="402" t="s">
        <v>43</v>
      </c>
      <c r="B10251" s="2">
        <v>44320</v>
      </c>
      <c r="C10251" s="4">
        <v>3170</v>
      </c>
      <c r="D10251" s="39">
        <f t="shared" si="954"/>
        <v>351232</v>
      </c>
      <c r="E10251" s="1">
        <v>36</v>
      </c>
      <c r="F10251" s="39">
        <f t="shared" si="959"/>
        <v>7939</v>
      </c>
      <c r="G10251" s="169">
        <f>SUM(C10251,C10227,C10203,C10179,C10155,C10131,C10107,C10083,C10059,C10035,C10011,C9987,C9963,C9939)/POBLA!$B$2*100000</f>
        <v>1235.0901241560309</v>
      </c>
      <c r="H10251" s="258">
        <f t="shared" si="957"/>
        <v>0.94740123703112533</v>
      </c>
      <c r="I10251" s="310">
        <f t="shared" ref="I10251:I10273" si="960">G10251*H10251</f>
        <v>1170.1259114703498</v>
      </c>
      <c r="J10251" s="310">
        <f t="shared" ref="J10251:J10273" si="961">AVERAGE(C10251,C10227,C10203,C10179,C10155,C10131,C10107)</f>
        <v>2527.7142857142858</v>
      </c>
      <c r="K10251" s="310">
        <f>J10251/POBLA!$B$2*100000</f>
        <v>82.184825097370947</v>
      </c>
      <c r="L10251" s="68">
        <f t="shared" si="958"/>
        <v>0.12807372000197115</v>
      </c>
      <c r="M10251" s="512">
        <f>SUM(C10251,C10227,C10203,C10179,C10155,C10131,C10107)/POBLA!$B$2*100000</f>
        <v>575.29377568159668</v>
      </c>
    </row>
    <row r="10252" spans="1:13" s="393" customFormat="1" x14ac:dyDescent="0.25">
      <c r="A10252" s="402" t="s">
        <v>28</v>
      </c>
      <c r="B10252" s="2">
        <v>44320</v>
      </c>
      <c r="C10252" s="4">
        <v>181</v>
      </c>
      <c r="D10252" s="39">
        <f t="shared" si="954"/>
        <v>15356</v>
      </c>
      <c r="E10252" s="1">
        <v>15</v>
      </c>
      <c r="F10252" s="39">
        <f t="shared" si="959"/>
        <v>35</v>
      </c>
      <c r="G10252" s="169">
        <f>SUM(C10252,C10228,C10204,C10180,C10156,C10132,C10108,C10084,C10060,C10036,C10012,C9988,C9964,C9940)/POBLA!$B$3*100000</f>
        <v>529.56157116103964</v>
      </c>
      <c r="H10252" s="258">
        <f t="shared" si="957"/>
        <v>1.0171058714748036</v>
      </c>
      <c r="I10252" s="310">
        <f t="shared" si="960"/>
        <v>538.62018333531546</v>
      </c>
      <c r="J10252" s="310">
        <f t="shared" si="961"/>
        <v>130.28571428571428</v>
      </c>
      <c r="K10252" s="310">
        <f>J10252/POBLA!$B$3*100000</f>
        <v>31.361048889536892</v>
      </c>
      <c r="L10252" s="68">
        <f t="shared" si="958"/>
        <v>0.29192546583850931</v>
      </c>
      <c r="M10252" s="512">
        <f>SUM(C10252,C10228,C10204,C10180,C10156,C10132,C10108)/POBLA!$B$3*100000</f>
        <v>219.52734222675826</v>
      </c>
    </row>
    <row r="10253" spans="1:13" s="393" customFormat="1" x14ac:dyDescent="0.25">
      <c r="A10253" s="402" t="s">
        <v>15</v>
      </c>
      <c r="B10253" s="2">
        <v>44320</v>
      </c>
      <c r="C10253" s="4">
        <v>286</v>
      </c>
      <c r="D10253" s="39">
        <f t="shared" si="954"/>
        <v>45660</v>
      </c>
      <c r="E10253" s="1"/>
      <c r="F10253" s="39">
        <f t="shared" si="959"/>
        <v>1058</v>
      </c>
      <c r="G10253" s="169">
        <f>SUM(C10253,C10229,C10205,C10181,C10157,C10133,C10109,C10085,C10061,C10037,C10013,C9989,C9965,C9941)/POBLA!$B$4*100000</f>
        <v>260.84624765782155</v>
      </c>
      <c r="H10253" s="258">
        <f t="shared" si="957"/>
        <v>0.9883611198490091</v>
      </c>
      <c r="I10253" s="310">
        <f t="shared" si="960"/>
        <v>257.81028944349646</v>
      </c>
      <c r="J10253" s="310">
        <f t="shared" si="961"/>
        <v>246</v>
      </c>
      <c r="K10253" s="310">
        <f>J10253/POBLA!$B$4*100000</f>
        <v>20.422717034953564</v>
      </c>
      <c r="L10253" s="68">
        <f t="shared" si="958"/>
        <v>-0.21267605633802811</v>
      </c>
      <c r="M10253" s="512">
        <f>SUM(C10253,C10229,C10205,C10181,C10157,C10133,C10109)/POBLA!$B$4*100000</f>
        <v>142.95901924467495</v>
      </c>
    </row>
    <row r="10254" spans="1:13" s="393" customFormat="1" x14ac:dyDescent="0.25">
      <c r="A10254" s="402" t="s">
        <v>29</v>
      </c>
      <c r="B10254" s="2">
        <v>44320</v>
      </c>
      <c r="C10254" s="4">
        <v>160</v>
      </c>
      <c r="D10254" s="39">
        <f t="shared" si="954"/>
        <v>55340</v>
      </c>
      <c r="E10254" s="1">
        <v>2</v>
      </c>
      <c r="F10254" s="39">
        <f t="shared" si="959"/>
        <v>930</v>
      </c>
      <c r="G10254" s="169">
        <f>SUM(C10254,C10230,C10206,C10182,C10158,C10134,C10110,C10086,C10062,C10038,C10014,C9990,C9966,C9942)/POBLA!$B$5*100000</f>
        <v>375.93256154340753</v>
      </c>
      <c r="H10254" s="258">
        <f t="shared" si="957"/>
        <v>0.98185654008438816</v>
      </c>
      <c r="I10254" s="310">
        <f t="shared" si="960"/>
        <v>369.11184418207142</v>
      </c>
      <c r="J10254" s="310">
        <f t="shared" si="961"/>
        <v>150.71428571428572</v>
      </c>
      <c r="K10254" s="310">
        <f>J10254/POBLA!$B$5*100000</f>
        <v>24.348262780299279</v>
      </c>
      <c r="L10254" s="68">
        <f t="shared" si="958"/>
        <v>0.17059748427672961</v>
      </c>
      <c r="M10254" s="512">
        <f>SUM(C10254,C10230,C10206,C10182,C10158,C10134,C10110)/POBLA!$B$5*100000</f>
        <v>170.43783946209496</v>
      </c>
    </row>
    <row r="10255" spans="1:13" s="393" customFormat="1" x14ac:dyDescent="0.25">
      <c r="A10255" s="402" t="s">
        <v>30</v>
      </c>
      <c r="B10255" s="2">
        <v>44320</v>
      </c>
      <c r="C10255" s="4">
        <v>315</v>
      </c>
      <c r="D10255" s="39">
        <f t="shared" si="954"/>
        <v>38221</v>
      </c>
      <c r="E10255" s="1">
        <v>2</v>
      </c>
      <c r="F10255" s="39">
        <f t="shared" si="959"/>
        <v>498</v>
      </c>
      <c r="G10255" s="169">
        <f>SUM(C10255,C10231,C10207,C10183,C10159,C10135,C10111,C10087,C10063,C10039,C10015,C9991,C9967,C9943)/POBLA!$B$6*100000</f>
        <v>274.7142445447497</v>
      </c>
      <c r="H10255" s="258">
        <f t="shared" si="957"/>
        <v>0.82260219075607799</v>
      </c>
      <c r="I10255" s="310">
        <f t="shared" si="960"/>
        <v>225.98053939441206</v>
      </c>
      <c r="J10255" s="310">
        <f t="shared" si="961"/>
        <v>195.57142857142858</v>
      </c>
      <c r="K10255" s="310">
        <f>J10255/POBLA!$B$6*100000</f>
        <v>17.449255360356442</v>
      </c>
      <c r="L10255" s="68">
        <f t="shared" si="958"/>
        <v>0.1994152046783626</v>
      </c>
      <c r="M10255" s="512">
        <f>SUM(C10255,C10231,C10207,C10183,C10159,C10135,C10111)/POBLA!$B$6*100000</f>
        <v>122.14478752249508</v>
      </c>
    </row>
    <row r="10256" spans="1:13" s="393" customFormat="1" x14ac:dyDescent="0.25">
      <c r="A10256" s="402" t="s">
        <v>20</v>
      </c>
      <c r="B10256" s="2">
        <v>44320</v>
      </c>
      <c r="C10256" s="4">
        <v>1847</v>
      </c>
      <c r="D10256" s="39">
        <f t="shared" si="954"/>
        <v>232571</v>
      </c>
      <c r="E10256" s="1">
        <v>32</v>
      </c>
      <c r="F10256" s="39">
        <f t="shared" si="959"/>
        <v>3445</v>
      </c>
      <c r="G10256" s="169">
        <f>SUM(C10256,C10232,C10208,C10184,C10160,C10136,C10112,C10088,C10064,C10040,C10016,C9992,C9968,C9944)/POBLA!$B$7*100000</f>
        <v>588.94547195149516</v>
      </c>
      <c r="H10256" s="258">
        <f t="shared" si="957"/>
        <v>0.93569648062867039</v>
      </c>
      <c r="I10256" s="310">
        <f t="shared" si="960"/>
        <v>551.07420538720532</v>
      </c>
      <c r="J10256" s="310">
        <f t="shared" si="961"/>
        <v>1565.1428571428571</v>
      </c>
      <c r="K10256" s="310">
        <f>J10256/POBLA!$B$7*100000</f>
        <v>41.621158561950217</v>
      </c>
      <c r="L10256" s="68">
        <f t="shared" si="958"/>
        <v>2.0999017067286241E-2</v>
      </c>
      <c r="M10256" s="512">
        <f>SUM(C10256,C10232,C10208,C10184,C10160,C10136,C10112)/POBLA!$B$7*100000</f>
        <v>291.34810993365153</v>
      </c>
    </row>
    <row r="10257" spans="1:17" x14ac:dyDescent="0.25">
      <c r="A10257" s="402" t="s">
        <v>31</v>
      </c>
      <c r="B10257" s="2">
        <v>44320</v>
      </c>
      <c r="C10257" s="4">
        <v>589</v>
      </c>
      <c r="D10257" s="39">
        <f t="shared" si="954"/>
        <v>64429</v>
      </c>
      <c r="E10257" s="1">
        <v>5</v>
      </c>
      <c r="F10257" s="39">
        <f t="shared" si="959"/>
        <v>1084</v>
      </c>
      <c r="G10257" s="169">
        <f>SUM(C10257,C10233,C10209,C10185,C10161,C10137,C10113,C10089,C10065,C10041,C10017,C9993,C9969,C9945)/POBLA!$B$8*100000</f>
        <v>517.61918264655355</v>
      </c>
      <c r="H10257" s="258">
        <f t="shared" si="957"/>
        <v>1.1697374857329204</v>
      </c>
      <c r="I10257" s="310">
        <f t="shared" si="960"/>
        <v>605.47856127610885</v>
      </c>
      <c r="J10257" s="310">
        <f t="shared" si="961"/>
        <v>492.85714285714283</v>
      </c>
      <c r="K10257" s="310">
        <f>J10257/POBLA!$B$8*100000</f>
        <v>35.560679041989125</v>
      </c>
      <c r="L10257" s="68">
        <f t="shared" si="958"/>
        <v>7.3576799140708915E-2</v>
      </c>
      <c r="M10257" s="512">
        <f>SUM(C10257,C10233,C10209,C10185,C10161,C10137,C10113)/POBLA!$B$8*100000</f>
        <v>248.92475329392389</v>
      </c>
    </row>
    <row r="10258" spans="1:17" s="393" customFormat="1" x14ac:dyDescent="0.25">
      <c r="A10258" s="402" t="s">
        <v>41</v>
      </c>
      <c r="B10258" s="2">
        <v>44320</v>
      </c>
      <c r="C10258" s="4">
        <v>166</v>
      </c>
      <c r="D10258" s="39">
        <f t="shared" si="954"/>
        <v>4791</v>
      </c>
      <c r="E10258" s="1">
        <v>1</v>
      </c>
      <c r="F10258" s="39">
        <f t="shared" si="959"/>
        <v>103</v>
      </c>
      <c r="G10258" s="169">
        <f>SUM(C10258,C10234,C10210,C10186,C10162,C10138,C10114,C10090,C10066,C10042,C10018,C9994,C9970,C9946)/POBLA!$B$9*100000</f>
        <v>192.3353376526166</v>
      </c>
      <c r="H10258" s="258">
        <f t="shared" si="957"/>
        <v>0.97897392767031122</v>
      </c>
      <c r="I10258" s="310">
        <f t="shared" si="960"/>
        <v>188.29128093157757</v>
      </c>
      <c r="J10258" s="310">
        <f t="shared" si="961"/>
        <v>55.142857142857146</v>
      </c>
      <c r="K10258" s="310">
        <f>J10258/POBLA!$B$9*100000</f>
        <v>9.111615161255525</v>
      </c>
      <c r="L10258" s="68">
        <f t="shared" si="958"/>
        <v>0.50385604113110538</v>
      </c>
      <c r="M10258" s="512">
        <f>SUM(C10258,C10234,C10210,C10186,C10162,C10138,C10114)/POBLA!$B$9*100000</f>
        <v>63.781306128788664</v>
      </c>
    </row>
    <row r="10259" spans="1:17" s="393" customFormat="1" x14ac:dyDescent="0.25">
      <c r="A10259" s="402" t="s">
        <v>32</v>
      </c>
      <c r="B10259" s="2">
        <v>44320</v>
      </c>
      <c r="C10259" s="4">
        <v>140</v>
      </c>
      <c r="D10259" s="39">
        <f t="shared" si="954"/>
        <v>25208</v>
      </c>
      <c r="E10259" s="1"/>
      <c r="F10259" s="39">
        <f t="shared" si="959"/>
        <v>1042</v>
      </c>
      <c r="G10259" s="169">
        <f>SUM(C10259,C10235,C10211,C10187,C10163,C10139,C10115,C10091,C10067,C10043,C10019,C9995,C9971,C9947)/POBLA!$B$10*100000</f>
        <v>172.78931508235382</v>
      </c>
      <c r="H10259" s="258">
        <f t="shared" si="957"/>
        <v>1.2087114337568059</v>
      </c>
      <c r="I10259" s="310">
        <f t="shared" si="960"/>
        <v>208.85242077104837</v>
      </c>
      <c r="J10259" s="310">
        <f t="shared" si="961"/>
        <v>93.428571428571431</v>
      </c>
      <c r="K10259" s="310">
        <f>J10259/POBLA!$B$10*100000</f>
        <v>12.119713863562785</v>
      </c>
      <c r="L10259" s="68">
        <f t="shared" si="958"/>
        <v>3.539823008849563E-2</v>
      </c>
      <c r="M10259" s="512">
        <f>SUM(C10259,C10235,C10211,C10187,C10163,C10139,C10115)/POBLA!$B$10*100000</f>
        <v>84.837997044939485</v>
      </c>
    </row>
    <row r="10260" spans="1:17" s="393" customFormat="1" x14ac:dyDescent="0.25">
      <c r="A10260" s="402" t="s">
        <v>33</v>
      </c>
      <c r="B10260" s="2">
        <v>44320</v>
      </c>
      <c r="C10260" s="4">
        <v>433</v>
      </c>
      <c r="D10260" s="39">
        <f t="shared" si="954"/>
        <v>28258</v>
      </c>
      <c r="E10260" s="1">
        <v>1</v>
      </c>
      <c r="F10260" s="39">
        <f t="shared" si="959"/>
        <v>394</v>
      </c>
      <c r="G10260" s="169">
        <f>SUM(C10260,C10236,C10212,C10188,C10164,C10140,C10116,C10092,C10068,C10044,C10020,C9996,C9972,C9948)/POBLA!$B$11*100000</f>
        <v>1050.9781601883781</v>
      </c>
      <c r="H10260" s="258">
        <f t="shared" si="957"/>
        <v>1.4566898685228151</v>
      </c>
      <c r="I10260" s="310">
        <f t="shared" si="960"/>
        <v>1530.9492379851586</v>
      </c>
      <c r="J10260" s="310">
        <f t="shared" si="961"/>
        <v>283.57142857142856</v>
      </c>
      <c r="K10260" s="310">
        <f>J10260/POBLA!$B$11*100000</f>
        <v>79.115311463230711</v>
      </c>
      <c r="L10260" s="68">
        <f t="shared" si="958"/>
        <v>-0.11391694725028056</v>
      </c>
      <c r="M10260" s="512">
        <f>SUM(C10260,C10236,C10212,C10188,C10164,C10140,C10116)/POBLA!$B$11*100000</f>
        <v>553.807180242615</v>
      </c>
    </row>
    <row r="10261" spans="1:17" s="393" customFormat="1" x14ac:dyDescent="0.25">
      <c r="A10261" s="402" t="s">
        <v>21</v>
      </c>
      <c r="B10261" s="2">
        <v>44320</v>
      </c>
      <c r="C10261" s="4">
        <v>74</v>
      </c>
      <c r="D10261" s="39">
        <f t="shared" si="954"/>
        <v>13845</v>
      </c>
      <c r="E10261" s="1">
        <v>7</v>
      </c>
      <c r="F10261" s="39">
        <f t="shared" si="959"/>
        <v>486</v>
      </c>
      <c r="G10261" s="169">
        <f>SUM(C10261,C10237,C10213,C10189,C10165,C10141,C10117,C10093,C10069,C10045,C10021,C9997,C9973,C9949)/POBLA!$B$12*100000</f>
        <v>300.35753218933201</v>
      </c>
      <c r="H10261" s="258">
        <f t="shared" si="957"/>
        <v>0.99831081081081086</v>
      </c>
      <c r="I10261" s="310">
        <f t="shared" si="960"/>
        <v>299.85017149306623</v>
      </c>
      <c r="J10261" s="310">
        <f t="shared" si="961"/>
        <v>93.714285714285708</v>
      </c>
      <c r="K10261" s="310">
        <f>J10261/POBLA!$B$12*100000</f>
        <v>23.813698467029461</v>
      </c>
      <c r="L10261" s="68">
        <f t="shared" si="958"/>
        <v>-0.24714828897338403</v>
      </c>
      <c r="M10261" s="512">
        <f>SUM(C10261,C10237,C10213,C10189,C10165,C10141,C10117)/POBLA!$B$12*100000</f>
        <v>166.69588926920625</v>
      </c>
    </row>
    <row r="10262" spans="1:17" s="393" customFormat="1" x14ac:dyDescent="0.25">
      <c r="A10262" s="402" t="s">
        <v>17</v>
      </c>
      <c r="B10262" s="2">
        <v>44320</v>
      </c>
      <c r="C10262" s="4">
        <v>1030</v>
      </c>
      <c r="D10262" s="39">
        <f t="shared" si="954"/>
        <v>98953</v>
      </c>
      <c r="E10262" s="1">
        <v>23</v>
      </c>
      <c r="F10262" s="39">
        <f t="shared" si="959"/>
        <v>1889</v>
      </c>
      <c r="G10262" s="169">
        <f>SUM(C10262,C10238,C10214,C10190,C10166,C10142,C10118,C10094,C10070,C10046,C10022,C9998,C9974,C9950)/POBLA!$B$13*100000</f>
        <v>546.94227814572196</v>
      </c>
      <c r="H10262" s="258">
        <f t="shared" si="957"/>
        <v>0.88303049967553537</v>
      </c>
      <c r="I10262" s="310">
        <f t="shared" si="960"/>
        <v>482.96671316469252</v>
      </c>
      <c r="J10262" s="310">
        <f t="shared" si="961"/>
        <v>706.28571428571433</v>
      </c>
      <c r="K10262" s="310">
        <f>J10262/POBLA!$B$13*100000</f>
        <v>35.485717214147257</v>
      </c>
      <c r="L10262" s="68">
        <f t="shared" si="958"/>
        <v>0.16795691686300906</v>
      </c>
      <c r="M10262" s="512">
        <f>SUM(C10262,C10238,C10214,C10190,C10166,C10142,C10118)/POBLA!$B$13*100000</f>
        <v>248.40002049903083</v>
      </c>
    </row>
    <row r="10263" spans="1:17" s="393" customFormat="1" x14ac:dyDescent="0.25">
      <c r="A10263" s="402" t="s">
        <v>23</v>
      </c>
      <c r="B10263" s="2">
        <v>44320</v>
      </c>
      <c r="C10263" s="4">
        <v>82</v>
      </c>
      <c r="D10263" s="39">
        <f t="shared" si="954"/>
        <v>16017</v>
      </c>
      <c r="E10263" s="1"/>
      <c r="F10263" s="39">
        <f t="shared" si="959"/>
        <v>239</v>
      </c>
      <c r="G10263" s="169">
        <f>SUM(C10263,C10239,C10215,C10191,C10167,C10143,C10119,C10095,C10071,C10047,C10023,C9999,C9975,C9951)/POBLA!$B$14*100000</f>
        <v>121.70041243358013</v>
      </c>
      <c r="H10263" s="258">
        <f t="shared" si="957"/>
        <v>0.82173447537473232</v>
      </c>
      <c r="I10263" s="310">
        <f t="shared" si="960"/>
        <v>100.00542456399651</v>
      </c>
      <c r="J10263" s="310">
        <f t="shared" si="961"/>
        <v>104.42857142857143</v>
      </c>
      <c r="K10263" s="310">
        <f>J10263/POBLA!$B$14*100000</f>
        <v>8.2794789659327197</v>
      </c>
      <c r="L10263" s="68">
        <f t="shared" si="958"/>
        <v>9.079601990049746E-2</v>
      </c>
      <c r="M10263" s="512">
        <f>SUM(C10263,C10239,C10215,C10191,C10167,C10143,C10119)/POBLA!$B$14*100000</f>
        <v>57.956352761529025</v>
      </c>
    </row>
    <row r="10264" spans="1:17" s="393" customFormat="1" x14ac:dyDescent="0.25">
      <c r="A10264" s="402" t="s">
        <v>19</v>
      </c>
      <c r="B10264" s="2">
        <v>44320</v>
      </c>
      <c r="C10264" s="4">
        <v>531</v>
      </c>
      <c r="D10264" s="39">
        <f t="shared" si="954"/>
        <v>72465</v>
      </c>
      <c r="E10264" s="1">
        <v>2</v>
      </c>
      <c r="F10264" s="39">
        <f t="shared" si="959"/>
        <v>1082</v>
      </c>
      <c r="G10264" s="169">
        <f>SUM(C10264,C10240,C10216,C10192,C10168,C10144,C10120,C10096,C10072,C10048,C10024,C10000,C9976,C9952)/POBLA!$B$15*100000</f>
        <v>639.10176385460886</v>
      </c>
      <c r="H10264" s="258">
        <f t="shared" si="957"/>
        <v>1.7967823878069433</v>
      </c>
      <c r="I10264" s="310">
        <f t="shared" si="960"/>
        <v>1148.3267933103134</v>
      </c>
      <c r="J10264" s="310">
        <f t="shared" si="961"/>
        <v>343.14285714285717</v>
      </c>
      <c r="K10264" s="310">
        <f>J10264/POBLA!$B$15*100000</f>
        <v>51.673705290789371</v>
      </c>
      <c r="L10264" s="68">
        <f t="shared" si="958"/>
        <v>-0.30401737242128113</v>
      </c>
      <c r="M10264" s="512">
        <f>SUM(C10264,C10240,C10216,C10192,C10168,C10144,C10120)/POBLA!$B$15*100000</f>
        <v>361.71593703552554</v>
      </c>
    </row>
    <row r="10265" spans="1:17" s="393" customFormat="1" x14ac:dyDescent="0.25">
      <c r="A10265" s="402" t="s">
        <v>18</v>
      </c>
      <c r="B10265" s="2">
        <v>44320</v>
      </c>
      <c r="C10265" s="4">
        <v>330</v>
      </c>
      <c r="D10265" s="39">
        <f t="shared" si="954"/>
        <v>62376</v>
      </c>
      <c r="E10265" s="1">
        <v>5</v>
      </c>
      <c r="F10265" s="39">
        <f t="shared" si="959"/>
        <v>1376</v>
      </c>
      <c r="G10265" s="169">
        <f>SUM(C10265,C10241,C10217,C10193,C10169,C10145,C10121,C10097,C10073,C10049,C10025,C10001,C9977,C9953)/POBLA!$B$16*100000</f>
        <v>500.9296290846832</v>
      </c>
      <c r="H10265" s="258">
        <f t="shared" si="957"/>
        <v>1.4749901536037811</v>
      </c>
      <c r="I10265" s="310">
        <f t="shared" si="960"/>
        <v>738.86627054830194</v>
      </c>
      <c r="J10265" s="310">
        <f t="shared" si="961"/>
        <v>268.14285714285717</v>
      </c>
      <c r="K10265" s="310">
        <f>J10265/POBLA!$B$16*100000</f>
        <v>35.866676093532341</v>
      </c>
      <c r="L10265" s="68">
        <f t="shared" si="958"/>
        <v>-4.8179871520341866E-3</v>
      </c>
      <c r="M10265" s="512">
        <f>SUM(C10265,C10241,C10217,C10193,C10169,C10145,C10121)/POBLA!$B$16*100000</f>
        <v>251.06673265472639</v>
      </c>
    </row>
    <row r="10266" spans="1:17" s="393" customFormat="1" x14ac:dyDescent="0.25">
      <c r="A10266" s="402" t="s">
        <v>34</v>
      </c>
      <c r="B10266" s="2">
        <v>44320</v>
      </c>
      <c r="C10266" s="4">
        <v>212</v>
      </c>
      <c r="D10266" s="39">
        <f t="shared" si="954"/>
        <v>35318</v>
      </c>
      <c r="E10266" s="1">
        <v>7</v>
      </c>
      <c r="F10266" s="39">
        <f t="shared" si="959"/>
        <v>1290</v>
      </c>
      <c r="G10266" s="169">
        <f>SUM(C10266,C10242,C10218,C10194,C10170,C10146,C10122,C10098,C10074,C10050,C10026,C10002,C9978,C9954)/POBLA!$B$17*100000</f>
        <v>182.88440652430467</v>
      </c>
      <c r="H10266" s="258">
        <f t="shared" ref="H10266:H10289" si="962">SUM(C10266,C10242,C10218,C10194,C10170,C10146,C10122,C10098,C10074,C10050,C10026,C10002,C9978,C9954)/SUM(C9930,C9906,C9882,C9858,C9834,C9810,C9786,C9762,C9738,C9714,C9690,C9666,C9642,C9618)</f>
        <v>0.98562239878925462</v>
      </c>
      <c r="I10266" s="310">
        <f t="shared" si="960"/>
        <v>180.25496745963437</v>
      </c>
      <c r="J10266" s="310">
        <f t="shared" si="961"/>
        <v>182.14285714285714</v>
      </c>
      <c r="K10266" s="310">
        <f>J10266/POBLA!$B$17*100000</f>
        <v>12.787365962077788</v>
      </c>
      <c r="L10266" s="68">
        <f t="shared" si="958"/>
        <v>4.1353383458646586E-2</v>
      </c>
      <c r="M10266" s="512">
        <f>SUM(C10266,C10242,C10218,C10194,C10170,C10146,C10122)/POBLA!$B$17*100000</f>
        <v>89.511561734544514</v>
      </c>
      <c r="P10266" s="576"/>
      <c r="Q10266" s="576"/>
    </row>
    <row r="10267" spans="1:17" s="393" customFormat="1" x14ac:dyDescent="0.25">
      <c r="A10267" s="402" t="s">
        <v>35</v>
      </c>
      <c r="B10267" s="2">
        <v>44320</v>
      </c>
      <c r="C10267" s="4">
        <v>424</v>
      </c>
      <c r="D10267" s="39">
        <f t="shared" si="954"/>
        <v>24477</v>
      </c>
      <c r="E10267" s="1">
        <v>6</v>
      </c>
      <c r="F10267" s="39">
        <f t="shared" si="959"/>
        <v>291</v>
      </c>
      <c r="G10267" s="169">
        <f>SUM(C10267,C10243,C10219,C10195,C10171,C10147,C10123,C10099,C10075,C10051,C10027,C10003,C9979,C9955)/POBLA!$B$18*100000</f>
        <v>485.14049233439624</v>
      </c>
      <c r="H10267" s="258">
        <f t="shared" si="962"/>
        <v>1.3463587921847247</v>
      </c>
      <c r="I10267" s="310">
        <f t="shared" si="960"/>
        <v>653.17316729924039</v>
      </c>
      <c r="J10267" s="310">
        <f t="shared" si="961"/>
        <v>256.85714285714283</v>
      </c>
      <c r="K10267" s="310">
        <f>J10267/POBLA!$B$18*100000</f>
        <v>32.879103099029187</v>
      </c>
      <c r="L10267" s="68">
        <f t="shared" si="958"/>
        <v>9.7389558232931717E-2</v>
      </c>
      <c r="M10267" s="512">
        <f>SUM(C10267,C10243,C10219,C10195,C10171,C10147,C10123)/POBLA!$B$18*100000</f>
        <v>230.15372169320432</v>
      </c>
    </row>
    <row r="10268" spans="1:17" s="393" customFormat="1" x14ac:dyDescent="0.25">
      <c r="A10268" s="402" t="s">
        <v>36</v>
      </c>
      <c r="B10268" s="2">
        <v>44320</v>
      </c>
      <c r="C10268" s="4">
        <v>474</v>
      </c>
      <c r="D10268" s="39">
        <f t="shared" si="954"/>
        <v>39313</v>
      </c>
      <c r="E10268" s="1">
        <v>14</v>
      </c>
      <c r="F10268" s="39">
        <f t="shared" si="959"/>
        <v>511</v>
      </c>
      <c r="G10268" s="169">
        <f>SUM(C10268,C10244,C10220,C10196,C10172,C10148,C10124,C10100,C10076,C10052,C10028,C10004,C9980,C9956)/POBLA!$B$19*100000</f>
        <v>1599.7544892274282</v>
      </c>
      <c r="H10268" s="258">
        <f t="shared" si="962"/>
        <v>1.1800899724278044</v>
      </c>
      <c r="I10268" s="310">
        <f t="shared" si="960"/>
        <v>1887.8542310836522</v>
      </c>
      <c r="J10268" s="310">
        <f t="shared" si="961"/>
        <v>494</v>
      </c>
      <c r="K10268" s="310">
        <f>J10268/POBLA!$B$19*100000</f>
        <v>97.181347476432535</v>
      </c>
      <c r="L10268" s="68">
        <f t="shared" si="958"/>
        <v>0.26016260162601623</v>
      </c>
      <c r="M10268" s="512">
        <f>SUM(C10268,C10244,C10220,C10196,C10172,C10148,C10124)/POBLA!$B$19*100000</f>
        <v>680.26943233502777</v>
      </c>
    </row>
    <row r="10269" spans="1:17" s="393" customFormat="1" x14ac:dyDescent="0.25">
      <c r="A10269" s="402" t="s">
        <v>37</v>
      </c>
      <c r="B10269" s="2">
        <v>44320</v>
      </c>
      <c r="C10269" s="4">
        <v>226</v>
      </c>
      <c r="D10269" s="39">
        <f t="shared" si="954"/>
        <v>45425</v>
      </c>
      <c r="E10269" s="1">
        <v>5</v>
      </c>
      <c r="F10269" s="39">
        <f t="shared" si="959"/>
        <v>722</v>
      </c>
      <c r="G10269" s="169">
        <f>SUM(C10269,C10245,C10221,C10197,C10173,C10149,C10125,C10101,C10077,C10053,C10029,C10005,C9981,C9957)/POBLA!$B$20*100000</f>
        <v>746.24416868563685</v>
      </c>
      <c r="H10269" s="258">
        <f t="shared" si="962"/>
        <v>1.0664322000781554</v>
      </c>
      <c r="I10269" s="310">
        <f t="shared" si="960"/>
        <v>795.81881060691785</v>
      </c>
      <c r="J10269" s="310">
        <f t="shared" si="961"/>
        <v>196.14285714285714</v>
      </c>
      <c r="K10269" s="310">
        <f>J10269/POBLA!$B$20*100000</f>
        <v>53.635200942541971</v>
      </c>
      <c r="L10269" s="68">
        <f t="shared" si="958"/>
        <v>-1.2536873156342221E-2</v>
      </c>
      <c r="M10269" s="512">
        <f>SUM(C10269,C10245,C10221,C10197,C10173,C10149,C10125)/POBLA!$B$20*100000</f>
        <v>375.44640659779384</v>
      </c>
    </row>
    <row r="10270" spans="1:17" s="393" customFormat="1" x14ac:dyDescent="0.25">
      <c r="A10270" s="402" t="s">
        <v>22</v>
      </c>
      <c r="B10270" s="2">
        <v>44320</v>
      </c>
      <c r="C10270" s="4">
        <v>2258</v>
      </c>
      <c r="D10270" s="39">
        <f t="shared" si="954"/>
        <v>280214</v>
      </c>
      <c r="E10270" s="1">
        <v>41</v>
      </c>
      <c r="F10270" s="39">
        <f t="shared" si="959"/>
        <v>4723</v>
      </c>
      <c r="G10270" s="169">
        <f>SUM(C10270,C10246,C10222,C10198,C10174,C10150,C10126,C10102,C10078,C10054,C10030,C10006,C9982,C9958)/POBLA!$B$21*100000</f>
        <v>676.95617429840024</v>
      </c>
      <c r="H10270" s="258">
        <f t="shared" si="962"/>
        <v>1.1771647735654227</v>
      </c>
      <c r="I10270" s="310">
        <f t="shared" si="960"/>
        <v>796.88896163169113</v>
      </c>
      <c r="J10270" s="310">
        <f t="shared" si="961"/>
        <v>1716</v>
      </c>
      <c r="K10270" s="310">
        <f>J10270/POBLA!$B$21*100000</f>
        <v>48.523675651464274</v>
      </c>
      <c r="L10270" s="68">
        <f t="shared" si="958"/>
        <v>-7.0422535211267512E-3</v>
      </c>
      <c r="M10270" s="512">
        <f>SUM(C10270,C10246,C10222,C10198,C10174,C10150,C10126)/POBLA!$B$21*100000</f>
        <v>339.66572956024993</v>
      </c>
    </row>
    <row r="10271" spans="1:17" s="393" customFormat="1" x14ac:dyDescent="0.25">
      <c r="A10271" s="402" t="s">
        <v>38</v>
      </c>
      <c r="B10271" s="2">
        <v>44320</v>
      </c>
      <c r="C10271" s="4">
        <v>139</v>
      </c>
      <c r="D10271" s="39">
        <f t="shared" si="954"/>
        <v>31307</v>
      </c>
      <c r="E10271" s="1">
        <v>3</v>
      </c>
      <c r="F10271" s="39">
        <f t="shared" si="959"/>
        <v>361</v>
      </c>
      <c r="G10271" s="169">
        <f>SUM(C10271,C10247,C10223,C10199,C10175,C10151,C10127,C10103,C10079,C10055,C10031,C10007,C9983,C9959)/POBLA!$B$22*100000</f>
        <v>281.60721568659517</v>
      </c>
      <c r="H10271" s="258">
        <f t="shared" si="962"/>
        <v>1.0241635687732342</v>
      </c>
      <c r="I10271" s="310">
        <f t="shared" si="960"/>
        <v>288.41185100987724</v>
      </c>
      <c r="J10271" s="310">
        <f t="shared" si="961"/>
        <v>182.71428571428572</v>
      </c>
      <c r="K10271" s="310">
        <f>J10271/POBLA!$B$22*100000</f>
        <v>18.676465069388399</v>
      </c>
      <c r="L10271" s="68">
        <f t="shared" si="958"/>
        <v>0.13346883468834692</v>
      </c>
      <c r="M10271" s="512">
        <f>SUM(C10271,C10247,C10223,C10199,C10175,C10151,C10127)/POBLA!$B$22*100000</f>
        <v>130.7352554857188</v>
      </c>
    </row>
    <row r="10272" spans="1:17" s="393" customFormat="1" x14ac:dyDescent="0.25">
      <c r="A10272" s="402" t="s">
        <v>39</v>
      </c>
      <c r="B10272" s="2">
        <v>44320</v>
      </c>
      <c r="C10272" s="4">
        <v>76</v>
      </c>
      <c r="D10272" s="39">
        <f t="shared" si="954"/>
        <v>26656</v>
      </c>
      <c r="E10272" s="1">
        <v>1</v>
      </c>
      <c r="F10272" s="39">
        <f t="shared" si="959"/>
        <v>391</v>
      </c>
      <c r="G10272" s="169">
        <f>SUM(C10272,C10248,C10224,C10200,C10176,C10152,C10128,C10104,C10080,C10056,C10032,C10008,C9984,C9960)/POBLA!$B$23*100000</f>
        <v>600.01131029802639</v>
      </c>
      <c r="H10272" s="258">
        <f t="shared" si="962"/>
        <v>0.91782006920415227</v>
      </c>
      <c r="I10272" s="310">
        <f t="shared" si="960"/>
        <v>550.70242234100863</v>
      </c>
      <c r="J10272" s="310">
        <f t="shared" si="961"/>
        <v>68.857142857142861</v>
      </c>
      <c r="K10272" s="310">
        <f>J10272/POBLA!$B$23*100000</f>
        <v>38.939740347872451</v>
      </c>
      <c r="L10272" s="68">
        <f t="shared" si="958"/>
        <v>0.16753022452504318</v>
      </c>
      <c r="M10272" s="512">
        <f>SUM(C10272,C10248,C10224,C10200,C10176,C10152,C10128)/POBLA!$B$23*100000</f>
        <v>272.57818243510718</v>
      </c>
    </row>
    <row r="10273" spans="1:16" s="393" customFormat="1" ht="15.75" thickBot="1" x14ac:dyDescent="0.3">
      <c r="A10273" s="403" t="s">
        <v>40</v>
      </c>
      <c r="B10273" s="34">
        <v>44320</v>
      </c>
      <c r="C10273" s="27">
        <v>884</v>
      </c>
      <c r="D10273" s="67">
        <f t="shared" si="954"/>
        <v>108231</v>
      </c>
      <c r="E10273" s="234">
        <v>10</v>
      </c>
      <c r="F10273" s="67">
        <f t="shared" si="959"/>
        <v>1669</v>
      </c>
      <c r="G10273" s="257">
        <f>SUM(C10273,C10249,C10225,C10201,C10177,C10153,C10129,C10105,C10081,C10057,C10033,C10009,C9985,C9961)/POBLA!$B$24*100000</f>
        <v>528.54384606669441</v>
      </c>
      <c r="H10273" s="259">
        <f t="shared" si="962"/>
        <v>0.99005195092295784</v>
      </c>
      <c r="I10273" s="312">
        <f t="shared" si="960"/>
        <v>523.28586594665433</v>
      </c>
      <c r="J10273" s="312">
        <f t="shared" si="961"/>
        <v>599.14285714285711</v>
      </c>
      <c r="K10273" s="312">
        <f>J10273/POBLA!$B$24*100000</f>
        <v>35.354836447211532</v>
      </c>
      <c r="L10273" s="68">
        <f t="shared" si="958"/>
        <v>0.11946252361956755</v>
      </c>
      <c r="M10273" s="517">
        <f>SUM(C10273,C10249,C10225,C10201,C10177,C10153,C10129)/POBLA!$B$24*100000</f>
        <v>247.48385513048075</v>
      </c>
    </row>
    <row r="10274" spans="1:16" s="393" customFormat="1" x14ac:dyDescent="0.25">
      <c r="A10274" s="397" t="s">
        <v>16</v>
      </c>
      <c r="B10274" s="267">
        <v>44321</v>
      </c>
      <c r="C10274" s="43">
        <v>10883</v>
      </c>
      <c r="D10274" s="175">
        <f t="shared" si="954"/>
        <v>1342637</v>
      </c>
      <c r="E10274" s="43">
        <v>352</v>
      </c>
      <c r="F10274" s="175">
        <f t="shared" ref="F10274:F10297" si="963">E10274+F10250</f>
        <v>33996</v>
      </c>
      <c r="G10274" s="176">
        <f>SUM(C10274,C10250,C10226,C10202,C10178,C10154,C10130,C10106,C10082,C10058,C10034,C10010,C9986,C9962)/POBLA!$B$1*100000</f>
        <v>809.04657228398082</v>
      </c>
      <c r="H10274" s="313">
        <f t="shared" si="962"/>
        <v>0.8718966375248054</v>
      </c>
      <c r="I10274" s="314">
        <f>G10274*H10274</f>
        <v>705.40498597537226</v>
      </c>
      <c r="J10274" s="314">
        <f>AVERAGE(C10274,C10250,C10226,C10202,C10178,C10154,C10130)</f>
        <v>9343.8571428571431</v>
      </c>
      <c r="K10274" s="314">
        <f>J10274/POBLA!$B$1*100000</f>
        <v>53.268240320610516</v>
      </c>
      <c r="L10274" s="68">
        <f t="shared" si="958"/>
        <v>0.14510711158164402</v>
      </c>
      <c r="M10274" s="511">
        <f>SUM(C10274,C10250,C10226,C10202,C10178,C10154,C10130)/POBLA!$B$1*100000</f>
        <v>372.87768224427361</v>
      </c>
      <c r="N10274" s="393" t="s">
        <v>270</v>
      </c>
      <c r="O10274" s="393">
        <v>10883</v>
      </c>
      <c r="P10274" s="393">
        <v>1342637</v>
      </c>
    </row>
    <row r="10275" spans="1:16" s="393" customFormat="1" x14ac:dyDescent="0.25">
      <c r="A10275" s="402" t="s">
        <v>43</v>
      </c>
      <c r="B10275" s="2">
        <v>44321</v>
      </c>
      <c r="C10275" s="1">
        <v>2138</v>
      </c>
      <c r="D10275" s="39">
        <f t="shared" si="954"/>
        <v>353370</v>
      </c>
      <c r="E10275" s="1">
        <v>33</v>
      </c>
      <c r="F10275" s="39">
        <f t="shared" si="963"/>
        <v>7972</v>
      </c>
      <c r="G10275" s="169">
        <f>SUM(C10275,C10251,C10227,C10203,C10179,C10155,C10131,C10107,C10083,C10059,C10035,C10011,C9987,C9963)/POBLA!$B$2*100000</f>
        <v>1223.6778875072098</v>
      </c>
      <c r="H10275" s="258">
        <f t="shared" si="962"/>
        <v>0.93843660391472383</v>
      </c>
      <c r="I10275" s="310">
        <f t="shared" ref="I10275:I10297" si="964">G10275*H10275</f>
        <v>1148.3441210378094</v>
      </c>
      <c r="J10275" s="310">
        <f t="shared" ref="J10275:J10297" si="965">AVERAGE(C10275,C10251,C10227,C10203,C10179,C10155,C10131)</f>
        <v>2417.5714285714284</v>
      </c>
      <c r="K10275" s="310">
        <f>J10275/POBLA!$B$2*100000</f>
        <v>78.603695892551627</v>
      </c>
      <c r="L10275" s="68">
        <f t="shared" si="958"/>
        <v>0.18297687442668853</v>
      </c>
      <c r="M10275" s="512">
        <f>SUM(C10275,C10251,C10227,C10203,C10179,C10155,C10131)/POBLA!$B$2*100000</f>
        <v>550.22587124786151</v>
      </c>
      <c r="N10275" s="393" t="s">
        <v>43</v>
      </c>
      <c r="O10275" s="393">
        <v>2138</v>
      </c>
      <c r="P10275" s="393">
        <v>353370</v>
      </c>
    </row>
    <row r="10276" spans="1:16" s="393" customFormat="1" x14ac:dyDescent="0.25">
      <c r="A10276" s="402" t="s">
        <v>28</v>
      </c>
      <c r="B10276" s="2">
        <v>44321</v>
      </c>
      <c r="C10276" s="1">
        <v>195</v>
      </c>
      <c r="D10276" s="39">
        <f t="shared" si="954"/>
        <v>15551</v>
      </c>
      <c r="E10276" s="1">
        <v>40</v>
      </c>
      <c r="F10276" s="39">
        <f t="shared" si="963"/>
        <v>75</v>
      </c>
      <c r="G10276" s="169">
        <f>SUM(C10276,C10252,C10228,C10204,C10180,C10156,C10132,C10108,C10084,C10060,C10036,C10012,C9988,C9964)/POBLA!$B$3*100000</f>
        <v>535.82002609294284</v>
      </c>
      <c r="H10276" s="258">
        <f t="shared" si="962"/>
        <v>1.0076957899502037</v>
      </c>
      <c r="I10276" s="310">
        <f t="shared" si="964"/>
        <v>539.94358446486683</v>
      </c>
      <c r="J10276" s="310">
        <f t="shared" si="965"/>
        <v>142.28571428571428</v>
      </c>
      <c r="K10276" s="310">
        <f>J10276/POBLA!$B$3*100000</f>
        <v>34.249566550415295</v>
      </c>
      <c r="L10276" s="68">
        <f t="shared" si="958"/>
        <v>0.19024390243902434</v>
      </c>
      <c r="M10276" s="512">
        <f>SUM(C10276,C10252,C10228,C10204,C10180,C10156,C10132)/POBLA!$B$3*100000</f>
        <v>239.74696585290704</v>
      </c>
      <c r="N10276" s="393" t="s">
        <v>28</v>
      </c>
      <c r="O10276" s="393">
        <v>195</v>
      </c>
      <c r="P10276" s="393">
        <v>15551</v>
      </c>
    </row>
    <row r="10277" spans="1:16" s="393" customFormat="1" x14ac:dyDescent="0.25">
      <c r="A10277" s="402" t="s">
        <v>15</v>
      </c>
      <c r="B10277" s="2">
        <v>44321</v>
      </c>
      <c r="C10277" s="1">
        <v>334</v>
      </c>
      <c r="D10277" s="39">
        <f t="shared" si="954"/>
        <v>45994</v>
      </c>
      <c r="E10277" s="1">
        <v>7</v>
      </c>
      <c r="F10277" s="39">
        <f t="shared" si="963"/>
        <v>1065</v>
      </c>
      <c r="G10277" s="169">
        <f>SUM(C10277,C10253,C10229,C10205,C10181,C10157,C10133,C10109,C10085,C10061,C10037,C10013,C9989,C9965)/POBLA!$B$4*100000</f>
        <v>267.8198583526837</v>
      </c>
      <c r="H10277" s="258">
        <f t="shared" si="962"/>
        <v>0.99445129469790383</v>
      </c>
      <c r="I10277" s="310">
        <f t="shared" si="964"/>
        <v>266.33380488463553</v>
      </c>
      <c r="J10277" s="310">
        <f t="shared" si="965"/>
        <v>256.14285714285717</v>
      </c>
      <c r="K10277" s="310">
        <f>J10277/POBLA!$B$4*100000</f>
        <v>21.264768666476041</v>
      </c>
      <c r="L10277" s="68">
        <f t="shared" si="958"/>
        <v>-0.25122121423586874</v>
      </c>
      <c r="M10277" s="512">
        <f>SUM(C10277,C10253,C10229,C10205,C10181,C10157,C10133)/POBLA!$B$4*100000</f>
        <v>148.85338066533228</v>
      </c>
      <c r="N10277" s="393" t="s">
        <v>15</v>
      </c>
      <c r="O10277" s="393">
        <v>334</v>
      </c>
      <c r="P10277" s="393">
        <v>45994</v>
      </c>
    </row>
    <row r="10278" spans="1:16" s="393" customFormat="1" x14ac:dyDescent="0.25">
      <c r="A10278" s="402" t="s">
        <v>29</v>
      </c>
      <c r="B10278" s="2">
        <v>44321</v>
      </c>
      <c r="C10278" s="1">
        <v>312</v>
      </c>
      <c r="D10278" s="39">
        <f t="shared" si="954"/>
        <v>55652</v>
      </c>
      <c r="E10278" s="1"/>
      <c r="F10278" s="39">
        <f t="shared" si="963"/>
        <v>930</v>
      </c>
      <c r="G10278" s="169">
        <f>SUM(C10278,C10254,C10230,C10206,C10182,C10158,C10134,C10110,C10086,C10062,C10038,C10014,C9990,C9966)/POBLA!$B$5*100000</f>
        <v>390.14917753645432</v>
      </c>
      <c r="H10278" s="258">
        <f t="shared" si="962"/>
        <v>1.0058309037900874</v>
      </c>
      <c r="I10278" s="310">
        <f t="shared" si="964"/>
        <v>392.42409985445113</v>
      </c>
      <c r="J10278" s="310">
        <f t="shared" si="965"/>
        <v>161.57142857142858</v>
      </c>
      <c r="K10278" s="310">
        <f>J10278/POBLA!$B$5*100000</f>
        <v>26.102260857363493</v>
      </c>
      <c r="L10278" s="68">
        <f t="shared" si="958"/>
        <v>0.11915887850467288</v>
      </c>
      <c r="M10278" s="512">
        <f>SUM(C10278,C10254,C10230,C10206,C10182,C10158,C10134)/POBLA!$B$5*100000</f>
        <v>182.71582600154446</v>
      </c>
      <c r="N10278" s="393" t="s">
        <v>29</v>
      </c>
      <c r="O10278" s="393">
        <v>312</v>
      </c>
      <c r="P10278" s="393">
        <v>55652</v>
      </c>
    </row>
    <row r="10279" spans="1:16" s="393" customFormat="1" x14ac:dyDescent="0.25">
      <c r="A10279" s="402" t="s">
        <v>30</v>
      </c>
      <c r="B10279" s="2">
        <v>44321</v>
      </c>
      <c r="C10279" s="1">
        <v>136</v>
      </c>
      <c r="D10279" s="39">
        <f t="shared" si="954"/>
        <v>38357</v>
      </c>
      <c r="E10279" s="1">
        <v>9</v>
      </c>
      <c r="F10279" s="39">
        <f t="shared" si="963"/>
        <v>507</v>
      </c>
      <c r="G10279" s="169">
        <f>SUM(C10279,C10255,C10231,C10207,C10183,C10159,C10135,C10111,C10087,C10063,C10039,C10015,C9991,C9967)/POBLA!$B$6*100000</f>
        <v>268.46871121635331</v>
      </c>
      <c r="H10279" s="258">
        <f t="shared" si="962"/>
        <v>0.85580204778156999</v>
      </c>
      <c r="I10279" s="310">
        <f t="shared" si="964"/>
        <v>229.75607282423411</v>
      </c>
      <c r="J10279" s="310">
        <f t="shared" si="965"/>
        <v>167.14285714285714</v>
      </c>
      <c r="K10279" s="310">
        <f>J10279/POBLA!$B$6*100000</f>
        <v>14.912804069844437</v>
      </c>
      <c r="L10279" s="68">
        <f t="shared" si="958"/>
        <v>0.36378466557911904</v>
      </c>
      <c r="M10279" s="512">
        <f>SUM(C10279,C10255,C10231,C10207,C10183,C10159,C10135)/POBLA!$B$6*100000</f>
        <v>104.38962848891104</v>
      </c>
      <c r="N10279" s="393" t="s">
        <v>30</v>
      </c>
      <c r="O10279" s="393">
        <v>136</v>
      </c>
      <c r="P10279" s="393">
        <v>38357</v>
      </c>
    </row>
    <row r="10280" spans="1:16" s="393" customFormat="1" x14ac:dyDescent="0.25">
      <c r="A10280" s="402" t="s">
        <v>20</v>
      </c>
      <c r="B10280" s="2">
        <v>44321</v>
      </c>
      <c r="C10280" s="1">
        <v>1810</v>
      </c>
      <c r="D10280" s="39">
        <f t="shared" si="954"/>
        <v>234381</v>
      </c>
      <c r="E10280" s="1">
        <v>21</v>
      </c>
      <c r="F10280" s="39">
        <f t="shared" si="963"/>
        <v>3466</v>
      </c>
      <c r="G10280" s="169">
        <f>SUM(C10280,C10256,C10232,C10208,C10184,C10160,C10136,C10112,C10088,C10064,C10040,C10016,C9992,C9968)/POBLA!$B$7*100000</f>
        <v>574.39934050446095</v>
      </c>
      <c r="H10280" s="258">
        <f t="shared" si="962"/>
        <v>0.90312330141740182</v>
      </c>
      <c r="I10280" s="310">
        <f t="shared" si="964"/>
        <v>518.75342872836711</v>
      </c>
      <c r="J10280" s="310">
        <f t="shared" si="965"/>
        <v>1574.2857142857142</v>
      </c>
      <c r="K10280" s="310">
        <f>J10280/POBLA!$B$7*100000</f>
        <v>41.864290557930943</v>
      </c>
      <c r="L10280" s="68">
        <f t="shared" si="958"/>
        <v>-4.1587901701323204E-2</v>
      </c>
      <c r="M10280" s="512">
        <f>SUM(C10280,C10256,C10232,C10208,C10184,C10160,C10136)/POBLA!$B$7*100000</f>
        <v>293.05003390551661</v>
      </c>
      <c r="N10280" s="393" t="s">
        <v>20</v>
      </c>
      <c r="O10280" s="393">
        <v>1810</v>
      </c>
      <c r="P10280" s="393">
        <v>234381</v>
      </c>
    </row>
    <row r="10281" spans="1:16" x14ac:dyDescent="0.25">
      <c r="A10281" s="402" t="s">
        <v>31</v>
      </c>
      <c r="B10281" s="2">
        <v>44321</v>
      </c>
      <c r="C10281" s="1">
        <v>844</v>
      </c>
      <c r="D10281" s="39">
        <f t="shared" si="954"/>
        <v>65273</v>
      </c>
      <c r="E10281" s="1">
        <v>3</v>
      </c>
      <c r="F10281" s="39">
        <f t="shared" si="963"/>
        <v>1087</v>
      </c>
      <c r="G10281" s="169">
        <f>SUM(C10281,C10257,C10233,C10209,C10185,C10161,C10137,C10113,C10089,C10065,C10041,C10017,C9993,C9969)/POBLA!$B$8*100000</f>
        <v>534.71923091631004</v>
      </c>
      <c r="H10281" s="258">
        <f t="shared" si="962"/>
        <v>1.1709590772633907</v>
      </c>
      <c r="I10281" s="310">
        <f t="shared" si="964"/>
        <v>626.13433722875232</v>
      </c>
      <c r="J10281" s="310">
        <f t="shared" si="965"/>
        <v>522.71428571428567</v>
      </c>
      <c r="K10281" s="310">
        <f>J10281/POBLA!$B$8*100000</f>
        <v>37.714934670909621</v>
      </c>
      <c r="L10281" s="68">
        <f t="shared" si="958"/>
        <v>2.4786780383795337E-2</v>
      </c>
      <c r="M10281" s="512">
        <f>SUM(C10281,C10257,C10233,C10209,C10185,C10161,C10137)/POBLA!$B$8*100000</f>
        <v>264.00454269636737</v>
      </c>
      <c r="N10281" s="42" t="s">
        <v>31</v>
      </c>
      <c r="O10281" s="42">
        <v>844</v>
      </c>
      <c r="P10281" s="42">
        <v>65273</v>
      </c>
    </row>
    <row r="10282" spans="1:16" s="393" customFormat="1" x14ac:dyDescent="0.25">
      <c r="A10282" s="402" t="s">
        <v>41</v>
      </c>
      <c r="B10282" s="2">
        <v>44321</v>
      </c>
      <c r="C10282" s="1">
        <v>295</v>
      </c>
      <c r="D10282" s="39">
        <f t="shared" si="954"/>
        <v>5086</v>
      </c>
      <c r="E10282" s="1"/>
      <c r="F10282" s="39">
        <f t="shared" si="963"/>
        <v>103</v>
      </c>
      <c r="G10282" s="169">
        <f>SUM(C10282,C10258,C10234,C10210,C10186,C10162,C10138,C10114,C10090,C10066,C10042,C10018,C9994,C9970)/POBLA!$B$9*100000</f>
        <v>223.39980799513543</v>
      </c>
      <c r="H10282" s="258">
        <f t="shared" si="962"/>
        <v>1.1219917012448133</v>
      </c>
      <c r="I10282" s="310">
        <f t="shared" si="964"/>
        <v>250.65273063022664</v>
      </c>
      <c r="J10282" s="310">
        <f t="shared" si="965"/>
        <v>83.428571428571431</v>
      </c>
      <c r="K10282" s="310">
        <f>J10282/POBLA!$B$9*100000</f>
        <v>13.785448845008357</v>
      </c>
      <c r="L10282" s="68">
        <f t="shared" si="958"/>
        <v>0.23958333333333337</v>
      </c>
      <c r="M10282" s="512">
        <f>SUM(C10282,C10258,C10234,C10210,C10186,C10162,C10138)/POBLA!$B$9*100000</f>
        <v>96.498141915058511</v>
      </c>
      <c r="N10282" s="393" t="s">
        <v>41</v>
      </c>
      <c r="O10282" s="393">
        <v>295</v>
      </c>
      <c r="P10282" s="393">
        <v>5086</v>
      </c>
    </row>
    <row r="10283" spans="1:16" s="393" customFormat="1" x14ac:dyDescent="0.25">
      <c r="A10283" s="402" t="s">
        <v>32</v>
      </c>
      <c r="B10283" s="2">
        <v>44321</v>
      </c>
      <c r="C10283" s="1">
        <v>82</v>
      </c>
      <c r="D10283" s="39">
        <f t="shared" si="954"/>
        <v>25290</v>
      </c>
      <c r="E10283" s="1">
        <v>4</v>
      </c>
      <c r="F10283" s="39">
        <f t="shared" si="963"/>
        <v>1046</v>
      </c>
      <c r="G10283" s="169">
        <f>SUM(C10283,C10259,C10235,C10211,C10187,C10163,C10139,C10115,C10091,C10067,C10043,C10019,C9995,C9971)/POBLA!$B$10*100000</f>
        <v>168.24905530166134</v>
      </c>
      <c r="H10283" s="258">
        <f t="shared" si="962"/>
        <v>1.1076003415883859</v>
      </c>
      <c r="I10283" s="310">
        <f t="shared" si="964"/>
        <v>186.35271112404334</v>
      </c>
      <c r="J10283" s="310">
        <f t="shared" si="965"/>
        <v>91.428571428571431</v>
      </c>
      <c r="K10283" s="310">
        <f>J10283/POBLA!$B$10*100000</f>
        <v>11.860270447523213</v>
      </c>
      <c r="L10283" s="68">
        <f t="shared" si="958"/>
        <v>2.5875190258751957E-2</v>
      </c>
      <c r="M10283" s="512">
        <f>SUM(C10283,C10259,C10235,C10211,C10187,C10163,C10139)/POBLA!$B$10*100000</f>
        <v>83.021893132662498</v>
      </c>
      <c r="N10283" s="393" t="s">
        <v>32</v>
      </c>
      <c r="O10283" s="393">
        <v>82</v>
      </c>
      <c r="P10283" s="393">
        <v>25290</v>
      </c>
    </row>
    <row r="10284" spans="1:16" s="393" customFormat="1" x14ac:dyDescent="0.25">
      <c r="A10284" s="402" t="s">
        <v>33</v>
      </c>
      <c r="B10284" s="2">
        <v>44321</v>
      </c>
      <c r="C10284" s="1">
        <v>386</v>
      </c>
      <c r="D10284" s="39">
        <f t="shared" si="954"/>
        <v>28644</v>
      </c>
      <c r="E10284" s="1">
        <v>5</v>
      </c>
      <c r="F10284" s="39">
        <f t="shared" si="963"/>
        <v>399</v>
      </c>
      <c r="G10284" s="169">
        <f>SUM(C10284,C10260,C10236,C10212,C10188,C10164,C10140,C10116,C10092,C10068,C10044,C10020,C9996,C9972)/POBLA!$B$11*100000</f>
        <v>1037.8653453413237</v>
      </c>
      <c r="H10284" s="258">
        <f t="shared" si="962"/>
        <v>1.3070976809557273</v>
      </c>
      <c r="I10284" s="310">
        <f t="shared" si="964"/>
        <v>1356.5913860399594</v>
      </c>
      <c r="J10284" s="310">
        <f t="shared" si="965"/>
        <v>305.57142857142856</v>
      </c>
      <c r="K10284" s="310">
        <f>J10284/POBLA!$B$11*100000</f>
        <v>85.253224795894454</v>
      </c>
      <c r="L10284" s="68">
        <f t="shared" si="958"/>
        <v>-0.35294117647058831</v>
      </c>
      <c r="M10284" s="512">
        <f>SUM(C10284,C10260,C10236,C10212,C10188,C10164,C10140)/POBLA!$B$11*100000</f>
        <v>596.7725735712612</v>
      </c>
      <c r="N10284" s="393" t="s">
        <v>33</v>
      </c>
      <c r="O10284" s="393">
        <v>386</v>
      </c>
      <c r="P10284" s="393">
        <v>28644</v>
      </c>
    </row>
    <row r="10285" spans="1:16" s="393" customFormat="1" x14ac:dyDescent="0.25">
      <c r="A10285" s="402" t="s">
        <v>21</v>
      </c>
      <c r="B10285" s="2">
        <v>44321</v>
      </c>
      <c r="C10285" s="1">
        <v>76</v>
      </c>
      <c r="D10285" s="39">
        <f t="shared" si="954"/>
        <v>13921</v>
      </c>
      <c r="E10285" s="1">
        <v>2</v>
      </c>
      <c r="F10285" s="39">
        <f t="shared" si="963"/>
        <v>488</v>
      </c>
      <c r="G10285" s="169">
        <f>SUM(C10285,C10261,C10237,C10213,C10189,C10165,C10141,C10117,C10093,C10069,C10045,C10021,C9997,C9973)/POBLA!$B$12*100000</f>
        <v>292.98835415761403</v>
      </c>
      <c r="H10285" s="258">
        <f t="shared" si="962"/>
        <v>0.99140154772141009</v>
      </c>
      <c r="I10285" s="310">
        <f t="shared" si="964"/>
        <v>290.46910777620718</v>
      </c>
      <c r="J10285" s="310">
        <f t="shared" si="965"/>
        <v>91.714285714285708</v>
      </c>
      <c r="K10285" s="310">
        <f>J10285/POBLA!$B$12*100000</f>
        <v>23.305479292428224</v>
      </c>
      <c r="L10285" s="68">
        <f t="shared" si="958"/>
        <v>-0.25636007827788654</v>
      </c>
      <c r="M10285" s="512">
        <f>SUM(C10285,C10261,C10237,C10213,C10189,C10165,C10141)/POBLA!$B$12*100000</f>
        <v>163.13835504699756</v>
      </c>
      <c r="N10285" s="393" t="s">
        <v>21</v>
      </c>
      <c r="O10285" s="393">
        <v>76</v>
      </c>
      <c r="P10285" s="393">
        <v>13921</v>
      </c>
    </row>
    <row r="10286" spans="1:16" s="393" customFormat="1" x14ac:dyDescent="0.25">
      <c r="A10286" s="402" t="s">
        <v>17</v>
      </c>
      <c r="B10286" s="2">
        <v>44321</v>
      </c>
      <c r="C10286" s="1">
        <v>973</v>
      </c>
      <c r="D10286" s="39">
        <f t="shared" si="954"/>
        <v>99926</v>
      </c>
      <c r="E10286" s="1">
        <v>34</v>
      </c>
      <c r="F10286" s="39">
        <f t="shared" si="963"/>
        <v>1923</v>
      </c>
      <c r="G10286" s="169">
        <f>SUM(C10286,C10262,C10238,C10214,C10190,C10166,C10142,C10118,C10094,C10070,C10046,C10022,C9998,C9974)/POBLA!$B$13*100000</f>
        <v>550.35878328203546</v>
      </c>
      <c r="H10286" s="258">
        <f t="shared" si="962"/>
        <v>0.89581288845273144</v>
      </c>
      <c r="I10286" s="310">
        <f t="shared" si="964"/>
        <v>493.018491337211</v>
      </c>
      <c r="J10286" s="310">
        <f t="shared" si="965"/>
        <v>731.85714285714289</v>
      </c>
      <c r="K10286" s="310">
        <f>J10286/POBLA!$B$13*100000</f>
        <v>36.770495406164322</v>
      </c>
      <c r="L10286" s="68">
        <f t="shared" si="958"/>
        <v>0.12141999657005664</v>
      </c>
      <c r="M10286" s="512">
        <f>SUM(C10286,C10262,C10238,C10214,C10190,C10166,C10142)/POBLA!$B$13*100000</f>
        <v>257.39346784315029</v>
      </c>
      <c r="N10286" s="393" t="s">
        <v>17</v>
      </c>
      <c r="O10286" s="393">
        <v>973</v>
      </c>
      <c r="P10286" s="393">
        <v>99926</v>
      </c>
    </row>
    <row r="10287" spans="1:16" s="393" customFormat="1" x14ac:dyDescent="0.25">
      <c r="A10287" s="402" t="s">
        <v>23</v>
      </c>
      <c r="B10287" s="2">
        <v>44321</v>
      </c>
      <c r="C10287" s="1">
        <v>181</v>
      </c>
      <c r="D10287" s="39">
        <f t="shared" si="954"/>
        <v>16198</v>
      </c>
      <c r="E10287" s="1"/>
      <c r="F10287" s="39">
        <f t="shared" si="963"/>
        <v>239</v>
      </c>
      <c r="G10287" s="169">
        <f>SUM(C10287,C10263,C10239,C10215,C10191,C10167,C10143,C10119,C10095,C10071,C10047,C10023,C9999,C9975)/POBLA!$B$14*100000</f>
        <v>129.86662903335781</v>
      </c>
      <c r="H10287" s="258">
        <f t="shared" si="962"/>
        <v>0.8878048780487805</v>
      </c>
      <c r="I10287" s="310">
        <f t="shared" si="964"/>
        <v>115.29622675156645</v>
      </c>
      <c r="J10287" s="310">
        <f t="shared" si="965"/>
        <v>119.57142857142857</v>
      </c>
      <c r="K10287" s="310">
        <f>J10287/POBLA!$B$14*100000</f>
        <v>9.4800600471760408</v>
      </c>
      <c r="L10287" s="68">
        <f t="shared" si="958"/>
        <v>-4.4943820224719211E-2</v>
      </c>
      <c r="M10287" s="512">
        <f>SUM(C10287,C10263,C10239,C10215,C10191,C10167,C10143)/POBLA!$B$14*100000</f>
        <v>66.360420330232287</v>
      </c>
      <c r="N10287" s="393" t="s">
        <v>23</v>
      </c>
      <c r="O10287" s="393">
        <v>181</v>
      </c>
      <c r="P10287" s="393">
        <v>16198</v>
      </c>
    </row>
    <row r="10288" spans="1:16" s="393" customFormat="1" x14ac:dyDescent="0.25">
      <c r="A10288" s="402" t="s">
        <v>19</v>
      </c>
      <c r="B10288" s="2">
        <v>44321</v>
      </c>
      <c r="C10288" s="1">
        <v>492</v>
      </c>
      <c r="D10288" s="39">
        <f t="shared" si="954"/>
        <v>72957</v>
      </c>
      <c r="E10288" s="1"/>
      <c r="F10288" s="39">
        <f t="shared" si="963"/>
        <v>1082</v>
      </c>
      <c r="G10288" s="169">
        <f>SUM(C10288,C10264,C10240,C10216,C10192,C10168,C10144,C10120,C10096,C10072,C10048,C10024,C10000,C9976)/POBLA!$B$15*100000</f>
        <v>681.41740844535934</v>
      </c>
      <c r="H10288" s="258">
        <f t="shared" si="962"/>
        <v>1.893305439330544</v>
      </c>
      <c r="I10288" s="310">
        <f t="shared" si="964"/>
        <v>1290.1312858641218</v>
      </c>
      <c r="J10288" s="310">
        <f t="shared" si="965"/>
        <v>365.28571428571428</v>
      </c>
      <c r="K10288" s="310">
        <f>J10288/POBLA!$B$15*100000</f>
        <v>55.008186689653797</v>
      </c>
      <c r="L10288" s="68">
        <f t="shared" si="958"/>
        <v>-0.29928861788617889</v>
      </c>
      <c r="M10288" s="512">
        <f>SUM(C10288,C10264,C10240,C10216,C10192,C10168,C10144)/POBLA!$B$15*100000</f>
        <v>385.05730682757655</v>
      </c>
      <c r="N10288" s="393" t="s">
        <v>19</v>
      </c>
      <c r="O10288" s="393">
        <v>492</v>
      </c>
      <c r="P10288" s="393">
        <v>72957</v>
      </c>
    </row>
    <row r="10289" spans="1:16" s="393" customFormat="1" x14ac:dyDescent="0.25">
      <c r="A10289" s="402" t="s">
        <v>18</v>
      </c>
      <c r="B10289" s="2">
        <v>44321</v>
      </c>
      <c r="C10289" s="1">
        <v>377</v>
      </c>
      <c r="D10289" s="39">
        <f t="shared" si="954"/>
        <v>62753</v>
      </c>
      <c r="E10289" s="1">
        <v>5</v>
      </c>
      <c r="F10289" s="39">
        <f t="shared" si="963"/>
        <v>1381</v>
      </c>
      <c r="G10289" s="169">
        <f>SUM(C10289,C10265,C10241,C10217,C10193,C10169,C10145,C10121,C10097,C10073,C10049,C10025,C10001,C9977)/POBLA!$B$16*100000</f>
        <v>517.24829790933779</v>
      </c>
      <c r="H10289" s="258">
        <f t="shared" si="962"/>
        <v>1.4521216672925272</v>
      </c>
      <c r="I10289" s="310">
        <f t="shared" si="964"/>
        <v>751.1074607643294</v>
      </c>
      <c r="J10289" s="310">
        <f t="shared" si="965"/>
        <v>276.28571428571428</v>
      </c>
      <c r="K10289" s="310">
        <f>J10289/POBLA!$B$16*100000</f>
        <v>36.955861249276268</v>
      </c>
      <c r="L10289" s="68">
        <f t="shared" si="958"/>
        <v>-5.1733057423697382E-4</v>
      </c>
      <c r="M10289" s="512">
        <f>SUM(C10289,C10265,C10241,C10217,C10193,C10169,C10145)/POBLA!$B$16*100000</f>
        <v>258.69102874493387</v>
      </c>
      <c r="N10289" s="393" t="s">
        <v>18</v>
      </c>
      <c r="O10289" s="393">
        <v>377</v>
      </c>
      <c r="P10289" s="393">
        <v>62753</v>
      </c>
    </row>
    <row r="10290" spans="1:16" s="393" customFormat="1" x14ac:dyDescent="0.25">
      <c r="A10290" s="402" t="s">
        <v>34</v>
      </c>
      <c r="B10290" s="2">
        <v>44321</v>
      </c>
      <c r="C10290" s="1">
        <v>309</v>
      </c>
      <c r="D10290" s="39">
        <f t="shared" si="954"/>
        <v>35627</v>
      </c>
      <c r="E10290" s="1">
        <v>4</v>
      </c>
      <c r="F10290" s="39">
        <f t="shared" si="963"/>
        <v>1294</v>
      </c>
      <c r="G10290" s="169">
        <f>SUM(C10290,C10266,C10242,C10218,C10194,C10170,C10146,C10122,C10098,C10074,C10050,C10026,C10002,C9978)/POBLA!$B$17*100000</f>
        <v>187.09671531181266</v>
      </c>
      <c r="H10290" s="258">
        <f t="shared" ref="H10290:H10313" si="966">SUM(C10290,C10266,C10242,C10218,C10194,C10170,C10146,C10122,C10098,C10074,C10050,C10026,C10002,C9978)/SUM(C9954,C9930,C9906,C9882,C9858,C9834,C9810,C9786,C9762,C9738,C9714,C9690,C9666,C9642)</f>
        <v>0.98740274175620601</v>
      </c>
      <c r="I10290" s="310">
        <f t="shared" si="964"/>
        <v>184.73980967246416</v>
      </c>
      <c r="J10290" s="310">
        <f t="shared" si="965"/>
        <v>196</v>
      </c>
      <c r="K10290" s="310">
        <f>J10290/POBLA!$B$17*100000</f>
        <v>13.760208705859391</v>
      </c>
      <c r="L10290" s="68">
        <f t="shared" si="958"/>
        <v>-6.1098221191028701E-2</v>
      </c>
      <c r="M10290" s="512">
        <f>SUM(C10290,C10266,C10242,C10218,C10194,C10170,C10146)/POBLA!$B$17*100000</f>
        <v>96.321460941015744</v>
      </c>
      <c r="N10290" s="393" t="s">
        <v>34</v>
      </c>
      <c r="O10290" s="393">
        <v>309</v>
      </c>
      <c r="P10290" s="393">
        <v>35627</v>
      </c>
    </row>
    <row r="10291" spans="1:16" s="393" customFormat="1" x14ac:dyDescent="0.25">
      <c r="A10291" s="402" t="s">
        <v>35</v>
      </c>
      <c r="B10291" s="2">
        <v>44321</v>
      </c>
      <c r="C10291" s="1">
        <v>574</v>
      </c>
      <c r="D10291" s="39">
        <f t="shared" ref="D10291:D10354" si="967">C10291+D10267</f>
        <v>25051</v>
      </c>
      <c r="E10291" s="1">
        <v>96</v>
      </c>
      <c r="F10291" s="39">
        <f t="shared" si="963"/>
        <v>387</v>
      </c>
      <c r="G10291" s="169">
        <f>SUM(C10291,C10267,C10243,C10219,C10195,C10171,C10147,C10123,C10099,C10075,C10051,C10027,C10003,C9979)/POBLA!$B$18*100000</f>
        <v>514.965752153371</v>
      </c>
      <c r="H10291" s="258">
        <f t="shared" si="966"/>
        <v>1.3881987577639752</v>
      </c>
      <c r="I10291" s="310">
        <f t="shared" si="964"/>
        <v>714.87481743030071</v>
      </c>
      <c r="J10291" s="310">
        <f t="shared" si="965"/>
        <v>294.42857142857144</v>
      </c>
      <c r="K10291" s="310">
        <f>J10291/POBLA!$B$18*100000</f>
        <v>37.688449102947253</v>
      </c>
      <c r="L10291" s="68">
        <f t="shared" si="958"/>
        <v>-5.0458715596330306E-2</v>
      </c>
      <c r="M10291" s="512">
        <f>SUM(C10291,C10267,C10243,C10219,C10195,C10171,C10147)/POBLA!$B$18*100000</f>
        <v>263.81914372063073</v>
      </c>
      <c r="N10291" s="393" t="s">
        <v>35</v>
      </c>
      <c r="O10291" s="393">
        <v>574</v>
      </c>
      <c r="P10291" s="393">
        <v>25051</v>
      </c>
    </row>
    <row r="10292" spans="1:16" s="393" customFormat="1" x14ac:dyDescent="0.25">
      <c r="A10292" s="402" t="s">
        <v>36</v>
      </c>
      <c r="B10292" s="2">
        <v>44321</v>
      </c>
      <c r="C10292" s="1">
        <v>294</v>
      </c>
      <c r="D10292" s="39">
        <f t="shared" si="967"/>
        <v>39607</v>
      </c>
      <c r="E10292" s="1">
        <v>8</v>
      </c>
      <c r="F10292" s="39">
        <f t="shared" si="963"/>
        <v>519</v>
      </c>
      <c r="G10292" s="169">
        <f>SUM(C10292,C10268,C10244,C10220,C10196,C10172,C10148,C10124,C10100,C10076,C10052,C10028,C10004,C9980)/POBLA!$B$19*100000</f>
        <v>1518.507735163123</v>
      </c>
      <c r="H10292" s="258">
        <f t="shared" si="966"/>
        <v>1.0643960286817429</v>
      </c>
      <c r="I10292" s="310">
        <f t="shared" si="964"/>
        <v>1616.2936028301358</v>
      </c>
      <c r="J10292" s="310">
        <f t="shared" si="965"/>
        <v>455.28571428571428</v>
      </c>
      <c r="K10292" s="310">
        <f>J10292/POBLA!$B$19*100000</f>
        <v>89.565342512258667</v>
      </c>
      <c r="L10292" s="68">
        <f t="shared" si="958"/>
        <v>0.29677846425419241</v>
      </c>
      <c r="M10292" s="512">
        <f>SUM(C10292,C10268,C10244,C10220,C10196,C10172,C10148)/POBLA!$B$19*100000</f>
        <v>626.95739758581078</v>
      </c>
      <c r="N10292" s="393" t="s">
        <v>36</v>
      </c>
      <c r="O10292" s="393">
        <v>294</v>
      </c>
      <c r="P10292" s="393">
        <v>39607</v>
      </c>
    </row>
    <row r="10293" spans="1:16" s="393" customFormat="1" x14ac:dyDescent="0.25">
      <c r="A10293" s="402" t="s">
        <v>37</v>
      </c>
      <c r="B10293" s="2">
        <v>44321</v>
      </c>
      <c r="C10293" s="1">
        <v>223</v>
      </c>
      <c r="D10293" s="39">
        <f t="shared" si="967"/>
        <v>45648</v>
      </c>
      <c r="E10293" s="1"/>
      <c r="F10293" s="39">
        <f t="shared" si="963"/>
        <v>722</v>
      </c>
      <c r="G10293" s="169">
        <f>SUM(C10293,C10269,C10245,C10221,C10197,C10173,C10149,C10125,C10101,C10077,C10053,C10029,C10005,C9981)/POBLA!$B$20*100000</f>
        <v>745.15036997741311</v>
      </c>
      <c r="H10293" s="258">
        <f t="shared" si="966"/>
        <v>1.0488837567359508</v>
      </c>
      <c r="I10293" s="310">
        <f t="shared" si="964"/>
        <v>781.57611939509275</v>
      </c>
      <c r="J10293" s="310">
        <f t="shared" si="965"/>
        <v>198.14285714285714</v>
      </c>
      <c r="K10293" s="310">
        <f>J10293/POBLA!$B$20*100000</f>
        <v>54.182100296653829</v>
      </c>
      <c r="L10293" s="68">
        <f t="shared" si="958"/>
        <v>-3.6621823617339233E-2</v>
      </c>
      <c r="M10293" s="512">
        <f>SUM(C10293,C10269,C10245,C10221,C10197,C10173,C10149)/POBLA!$B$20*100000</f>
        <v>379.27470207657683</v>
      </c>
      <c r="N10293" s="393" t="s">
        <v>37</v>
      </c>
      <c r="O10293" s="393">
        <v>223</v>
      </c>
      <c r="P10293" s="393">
        <v>45648</v>
      </c>
    </row>
    <row r="10294" spans="1:16" s="393" customFormat="1" x14ac:dyDescent="0.25">
      <c r="A10294" s="402" t="s">
        <v>22</v>
      </c>
      <c r="B10294" s="2">
        <v>44321</v>
      </c>
      <c r="C10294" s="1">
        <v>2293</v>
      </c>
      <c r="D10294" s="39">
        <f t="shared" si="967"/>
        <v>282507</v>
      </c>
      <c r="E10294" s="1">
        <v>19</v>
      </c>
      <c r="F10294" s="39">
        <f t="shared" si="963"/>
        <v>4742</v>
      </c>
      <c r="G10294" s="169">
        <f>SUM(C10294,C10270,C10246,C10222,C10198,C10174,C10150,C10126,C10102,C10078,C10054,C10030,C10006,C9982)/POBLA!$B$21*100000</f>
        <v>686.90974879100827</v>
      </c>
      <c r="H10294" s="258">
        <f t="shared" si="966"/>
        <v>1.157754265560957</v>
      </c>
      <c r="I10294" s="310">
        <f t="shared" si="964"/>
        <v>795.27269171819523</v>
      </c>
      <c r="J10294" s="310">
        <f t="shared" si="965"/>
        <v>1772.7142857142858</v>
      </c>
      <c r="K10294" s="310">
        <f>J10294/POBLA!$B$21*100000</f>
        <v>50.127396866385304</v>
      </c>
      <c r="L10294" s="68">
        <f t="shared" si="958"/>
        <v>-4.4264916266935961E-2</v>
      </c>
      <c r="M10294" s="512">
        <f>SUM(C10294,C10270,C10246,C10222,C10198,C10174,C10150)/POBLA!$B$21*100000</f>
        <v>350.89177806469712</v>
      </c>
      <c r="N10294" s="393" t="s">
        <v>22</v>
      </c>
      <c r="O10294" s="393">
        <v>2293</v>
      </c>
      <c r="P10294" s="393">
        <v>282507</v>
      </c>
    </row>
    <row r="10295" spans="1:16" s="393" customFormat="1" x14ac:dyDescent="0.25">
      <c r="A10295" s="402" t="s">
        <v>38</v>
      </c>
      <c r="B10295" s="2">
        <v>44321</v>
      </c>
      <c r="C10295" s="1">
        <v>254</v>
      </c>
      <c r="D10295" s="39">
        <f t="shared" si="967"/>
        <v>31561</v>
      </c>
      <c r="E10295" s="1">
        <v>2</v>
      </c>
      <c r="F10295" s="39">
        <f t="shared" si="963"/>
        <v>363</v>
      </c>
      <c r="G10295" s="169">
        <f>SUM(C10295,C10271,C10247,C10223,C10199,C10175,C10151,C10127,C10103,C10079,C10055,C10031,C10007,C9983)/POBLA!$B$22*100000</f>
        <v>283.54933441546825</v>
      </c>
      <c r="H10295" s="258">
        <f t="shared" si="966"/>
        <v>1.0090942160785741</v>
      </c>
      <c r="I10295" s="310">
        <f t="shared" si="964"/>
        <v>286.12799333157841</v>
      </c>
      <c r="J10295" s="310">
        <f t="shared" si="965"/>
        <v>187.57142857142858</v>
      </c>
      <c r="K10295" s="310">
        <f>J10295/POBLA!$B$22*100000</f>
        <v>19.172946548949934</v>
      </c>
      <c r="L10295" s="68">
        <f t="shared" si="958"/>
        <v>0.10130047912388773</v>
      </c>
      <c r="M10295" s="512">
        <f>SUM(C10295,C10271,C10247,C10223,C10199,C10175,C10151)/POBLA!$B$22*100000</f>
        <v>134.21062584264956</v>
      </c>
      <c r="N10295" s="393" t="s">
        <v>38</v>
      </c>
      <c r="O10295" s="393">
        <v>254</v>
      </c>
      <c r="P10295" s="393">
        <v>31561</v>
      </c>
    </row>
    <row r="10296" spans="1:16" s="393" customFormat="1" x14ac:dyDescent="0.25">
      <c r="A10296" s="402" t="s">
        <v>39</v>
      </c>
      <c r="B10296" s="2">
        <v>44321</v>
      </c>
      <c r="C10296" s="1">
        <v>104</v>
      </c>
      <c r="D10296" s="39">
        <f t="shared" si="967"/>
        <v>26760</v>
      </c>
      <c r="E10296" s="1">
        <v>2</v>
      </c>
      <c r="F10296" s="39">
        <f t="shared" si="963"/>
        <v>393</v>
      </c>
      <c r="G10296" s="169">
        <f>SUM(C10296,C10272,C10248,C10224,C10200,C10176,C10152,C10128,C10104,C10080,C10056,C10032,C10008,C9984)/POBLA!$B$23*100000</f>
        <v>622.06639144941471</v>
      </c>
      <c r="H10296" s="258">
        <f t="shared" si="966"/>
        <v>0.93617021276595747</v>
      </c>
      <c r="I10296" s="310">
        <f t="shared" si="964"/>
        <v>582.36002603775</v>
      </c>
      <c r="J10296" s="310">
        <f t="shared" si="965"/>
        <v>69.142857142857139</v>
      </c>
      <c r="K10296" s="310">
        <f>J10296/POBLA!$B$23*100000</f>
        <v>39.101316033963208</v>
      </c>
      <c r="L10296" s="68">
        <f t="shared" si="958"/>
        <v>0.2142857142857143</v>
      </c>
      <c r="M10296" s="512">
        <f>SUM(C10296,C10272,C10248,C10224,C10200,C10176,C10152)/POBLA!$B$23*100000</f>
        <v>273.70921223774246</v>
      </c>
      <c r="N10296" s="393" t="s">
        <v>39</v>
      </c>
      <c r="O10296" s="393">
        <v>104</v>
      </c>
      <c r="P10296" s="393">
        <v>26760</v>
      </c>
    </row>
    <row r="10297" spans="1:16" s="393" customFormat="1" ht="15.75" thickBot="1" x14ac:dyDescent="0.3">
      <c r="A10297" s="404" t="s">
        <v>40</v>
      </c>
      <c r="B10297" s="268">
        <v>44321</v>
      </c>
      <c r="C10297" s="44">
        <v>514</v>
      </c>
      <c r="D10297" s="177">
        <f t="shared" si="967"/>
        <v>108745</v>
      </c>
      <c r="E10297" s="44">
        <v>15</v>
      </c>
      <c r="F10297" s="177">
        <f t="shared" si="963"/>
        <v>1684</v>
      </c>
      <c r="G10297" s="178">
        <f>SUM(C10297,C10273,C10249,C10225,C10201,C10177,C10153,C10129,C10105,C10081,C10057,C10033,C10009,C9985)/POBLA!$B$24*100000</f>
        <v>513.43753540541559</v>
      </c>
      <c r="H10297" s="513">
        <f t="shared" si="966"/>
        <v>0.9528033289531318</v>
      </c>
      <c r="I10297" s="514">
        <f t="shared" si="964"/>
        <v>489.20499294377146</v>
      </c>
      <c r="J10297" s="514">
        <f t="shared" si="965"/>
        <v>548.28571428571433</v>
      </c>
      <c r="K10297" s="514">
        <f>J10297/POBLA!$B$24*100000</f>
        <v>32.353805981020002</v>
      </c>
      <c r="L10297" s="68">
        <f t="shared" si="958"/>
        <v>0.21077524162039896</v>
      </c>
      <c r="M10297" s="516">
        <f>SUM(C10297,C10273,C10249,C10225,C10201,C10177,C10153)/POBLA!$B$24*100000</f>
        <v>226.47664186714002</v>
      </c>
      <c r="N10297" s="393" t="s">
        <v>40</v>
      </c>
      <c r="O10297" s="393">
        <v>514</v>
      </c>
      <c r="P10297" s="393">
        <v>108745</v>
      </c>
    </row>
    <row r="10298" spans="1:16" s="393" customFormat="1" x14ac:dyDescent="0.25">
      <c r="A10298" s="397" t="s">
        <v>16</v>
      </c>
      <c r="B10298" s="276">
        <v>44322</v>
      </c>
      <c r="C10298" s="43">
        <v>10739</v>
      </c>
      <c r="D10298" s="175">
        <f t="shared" si="967"/>
        <v>1353376</v>
      </c>
      <c r="E10298" s="43">
        <v>148</v>
      </c>
      <c r="F10298" s="175">
        <f t="shared" ref="F10298:F10321" si="968">E10298+F10274</f>
        <v>34144</v>
      </c>
      <c r="G10298" s="176">
        <f>SUM(C10298,C10274,C10250,C10226,C10202,C10178,C10154,C10130,C10106,C10082,C10058,C10034,C10010,C9986)/POBLA!$B$1*100000</f>
        <v>796.4476199125246</v>
      </c>
      <c r="H10298" s="313">
        <f t="shared" si="966"/>
        <v>0.85347913739385428</v>
      </c>
      <c r="I10298" s="314">
        <f>G10298*H10298</f>
        <v>679.75142762232986</v>
      </c>
      <c r="J10298" s="314">
        <f>AVERAGE(C10298,C10274,C10250,C10226,C10202,C10178,C10154)</f>
        <v>9134</v>
      </c>
      <c r="K10298" s="314">
        <f>J10298/POBLA!$B$1*100000</f>
        <v>52.071869213068865</v>
      </c>
      <c r="L10298" s="68">
        <f t="shared" si="958"/>
        <v>0.15613451589061345</v>
      </c>
      <c r="M10298" s="511">
        <f>SUM(C10298,C10274,C10250,C10226,C10202,C10178,C10154)/POBLA!$B$1*100000</f>
        <v>364.50308449148207</v>
      </c>
      <c r="N10298" s="393" t="s">
        <v>270</v>
      </c>
      <c r="O10298" s="393">
        <v>10739</v>
      </c>
      <c r="P10298" s="393">
        <v>1353376</v>
      </c>
    </row>
    <row r="10299" spans="1:16" s="393" customFormat="1" x14ac:dyDescent="0.25">
      <c r="A10299" s="402" t="s">
        <v>43</v>
      </c>
      <c r="B10299" s="2">
        <v>44322</v>
      </c>
      <c r="C10299" s="1">
        <v>2800</v>
      </c>
      <c r="D10299" s="39">
        <f t="shared" si="967"/>
        <v>356170</v>
      </c>
      <c r="E10299" s="1">
        <v>55</v>
      </c>
      <c r="F10299" s="39">
        <f t="shared" si="968"/>
        <v>8027</v>
      </c>
      <c r="G10299" s="169">
        <f>SUM(C10299,C10275,C10251,C10227,C10203,C10179,C10155,C10131,C10107,C10083,C10059,C10035,C10011,C9987)/POBLA!$B$2*100000</f>
        <v>1198.9676315154604</v>
      </c>
      <c r="H10299" s="258">
        <f t="shared" si="966"/>
        <v>0.89285973705237165</v>
      </c>
      <c r="I10299" s="310">
        <f t="shared" ref="I10299:I10321" si="969">G10299*H10299</f>
        <v>1070.5099242091987</v>
      </c>
      <c r="J10299" s="310">
        <f t="shared" ref="J10299:J10321" si="970">AVERAGE(C10299,C10275,C10251,C10227,C10203,C10179,C10155)</f>
        <v>2393</v>
      </c>
      <c r="K10299" s="310">
        <f>J10299/POBLA!$B$2*100000</f>
        <v>77.804792879284548</v>
      </c>
      <c r="L10299" s="68">
        <f>(SUM(C10299,C10275,C10251,C10227,C10203,C10179,C10155)/SUM(C10131,C10107,C10083,C10059,C10035,C10011,C9987))-1</f>
        <v>-0.16765217391304343</v>
      </c>
      <c r="M10299" s="512">
        <f>SUM(C10299,C10275,C10251,C10227,C10203,C10179,C10155)/POBLA!$B$2*100000</f>
        <v>544.63355015499178</v>
      </c>
      <c r="N10299" s="393" t="s">
        <v>43</v>
      </c>
      <c r="O10299" s="393">
        <v>2800</v>
      </c>
      <c r="P10299" s="393">
        <v>356170</v>
      </c>
    </row>
    <row r="10300" spans="1:16" s="393" customFormat="1" x14ac:dyDescent="0.25">
      <c r="A10300" s="402" t="s">
        <v>28</v>
      </c>
      <c r="B10300" s="2">
        <v>44322</v>
      </c>
      <c r="C10300" s="1">
        <v>146</v>
      </c>
      <c r="D10300" s="39">
        <f t="shared" si="967"/>
        <v>15697</v>
      </c>
      <c r="E10300" s="1">
        <v>31</v>
      </c>
      <c r="F10300" s="39">
        <f t="shared" si="968"/>
        <v>106</v>
      </c>
      <c r="G10300" s="169">
        <f>SUM(C10300,C10276,C10252,C10228,C10204,C10180,C10156,C10132,C10108,C10084,C10060,C10036,C10012,C9988)/POBLA!$B$3*100000</f>
        <v>522.09956720377045</v>
      </c>
      <c r="H10300" s="258">
        <f t="shared" si="966"/>
        <v>0.96787148594377514</v>
      </c>
      <c r="I10300" s="310">
        <f t="shared" si="969"/>
        <v>505.32528392011517</v>
      </c>
      <c r="J10300" s="310">
        <f t="shared" si="970"/>
        <v>141</v>
      </c>
      <c r="K10300" s="310">
        <f>J10300/POBLA!$B$3*100000</f>
        <v>33.94008251532118</v>
      </c>
      <c r="L10300" s="68">
        <f t="shared" si="958"/>
        <v>0.1649746192893401</v>
      </c>
      <c r="M10300" s="512">
        <f>SUM(C10300,C10276,C10252,C10228,C10204,C10180,C10156)/POBLA!$B$3*100000</f>
        <v>237.58057760724827</v>
      </c>
      <c r="N10300" s="393" t="s">
        <v>28</v>
      </c>
      <c r="O10300" s="393">
        <v>146</v>
      </c>
      <c r="P10300" s="393">
        <v>15697</v>
      </c>
    </row>
    <row r="10301" spans="1:16" s="393" customFormat="1" x14ac:dyDescent="0.25">
      <c r="A10301" s="402" t="s">
        <v>15</v>
      </c>
      <c r="B10301" s="2">
        <v>44322</v>
      </c>
      <c r="C10301" s="1">
        <v>293</v>
      </c>
      <c r="D10301" s="39">
        <f t="shared" si="967"/>
        <v>46287</v>
      </c>
      <c r="E10301" s="1">
        <v>3</v>
      </c>
      <c r="F10301" s="39">
        <f t="shared" si="968"/>
        <v>1068</v>
      </c>
      <c r="G10301" s="169">
        <f>SUM(C10301,C10277,C10253,C10229,C10205,C10181,C10157,C10133,C10109,C10085,C10061,C10037,C10013,C9989)/POBLA!$B$4*100000</f>
        <v>276.95196759595564</v>
      </c>
      <c r="H10301" s="258">
        <f t="shared" si="966"/>
        <v>1.0533628039153773</v>
      </c>
      <c r="I10301" s="310">
        <f t="shared" si="969"/>
        <v>291.73090113675653</v>
      </c>
      <c r="J10301" s="310">
        <f t="shared" si="970"/>
        <v>240.85714285714286</v>
      </c>
      <c r="K10301" s="310">
        <f>J10301/POBLA!$B$4*100000</f>
        <v>19.995761278125268</v>
      </c>
      <c r="L10301" s="68">
        <f t="shared" si="958"/>
        <v>-2.1818181818181737E-2</v>
      </c>
      <c r="M10301" s="512">
        <f>SUM(C10301,C10277,C10253,C10229,C10205,C10181,C10157)/POBLA!$B$4*100000</f>
        <v>139.97032894687686</v>
      </c>
      <c r="N10301" s="393" t="s">
        <v>15</v>
      </c>
      <c r="O10301" s="393">
        <v>293</v>
      </c>
      <c r="P10301" s="393">
        <v>46287</v>
      </c>
    </row>
    <row r="10302" spans="1:16" s="393" customFormat="1" x14ac:dyDescent="0.25">
      <c r="A10302" s="402" t="s">
        <v>29</v>
      </c>
      <c r="B10302" s="2">
        <v>44322</v>
      </c>
      <c r="C10302" s="1">
        <v>192</v>
      </c>
      <c r="D10302" s="39">
        <f t="shared" si="967"/>
        <v>55844</v>
      </c>
      <c r="E10302" s="1"/>
      <c r="F10302" s="39">
        <f t="shared" si="968"/>
        <v>930</v>
      </c>
      <c r="G10302" s="169">
        <f>SUM(C10302,C10278,C10254,C10230,C10206,C10182,C10158,C10134,C10110,C10086,C10062,C10038,C10014,C9990)/POBLA!$B$5*100000</f>
        <v>384.49484163012892</v>
      </c>
      <c r="H10302" s="258">
        <f t="shared" si="966"/>
        <v>0.97103223174214603</v>
      </c>
      <c r="I10302" s="310">
        <f t="shared" si="969"/>
        <v>373.35688416144706</v>
      </c>
      <c r="J10302" s="310">
        <f t="shared" si="970"/>
        <v>155.42857142857142</v>
      </c>
      <c r="K10302" s="310">
        <f>J10302/POBLA!$B$5*100000</f>
        <v>25.109867208498212</v>
      </c>
      <c r="L10302" s="68">
        <f t="shared" si="958"/>
        <v>0.15789473684210531</v>
      </c>
      <c r="M10302" s="512">
        <f>SUM(C10302,C10278,C10254,C10230,C10206,C10182,C10158)/POBLA!$B$5*100000</f>
        <v>175.76907045948749</v>
      </c>
      <c r="N10302" s="393" t="s">
        <v>29</v>
      </c>
      <c r="O10302" s="393">
        <v>192</v>
      </c>
      <c r="P10302" s="393">
        <v>55844</v>
      </c>
    </row>
    <row r="10303" spans="1:16" s="393" customFormat="1" x14ac:dyDescent="0.25">
      <c r="A10303" s="402" t="s">
        <v>30</v>
      </c>
      <c r="B10303" s="2">
        <v>44322</v>
      </c>
      <c r="C10303" s="1">
        <v>225</v>
      </c>
      <c r="D10303" s="39">
        <f t="shared" si="967"/>
        <v>38582</v>
      </c>
      <c r="E10303" s="1">
        <v>6</v>
      </c>
      <c r="F10303" s="39">
        <f t="shared" si="968"/>
        <v>513</v>
      </c>
      <c r="G10303" s="169">
        <f>SUM(C10303,C10279,C10255,C10231,C10207,C10183,C10159,C10135,C10111,C10087,C10063,C10039,C10015,C9991)/POBLA!$B$6*100000</f>
        <v>258.47585789091909</v>
      </c>
      <c r="H10303" s="258">
        <f t="shared" si="966"/>
        <v>0.86632775119617222</v>
      </c>
      <c r="I10303" s="310">
        <f t="shared" si="969"/>
        <v>223.92480870514132</v>
      </c>
      <c r="J10303" s="310">
        <f t="shared" si="970"/>
        <v>171</v>
      </c>
      <c r="K10303" s="310">
        <f>J10303/POBLA!$B$6*100000</f>
        <v>15.256945702225462</v>
      </c>
      <c r="L10303" s="68">
        <f t="shared" si="958"/>
        <v>0.29588235294117649</v>
      </c>
      <c r="M10303" s="512">
        <f>SUM(C10303,C10279,C10255,C10231,C10207,C10183,C10159)/POBLA!$B$6*100000</f>
        <v>106.79861991557823</v>
      </c>
      <c r="N10303" s="393" t="s">
        <v>30</v>
      </c>
      <c r="O10303" s="393">
        <v>225</v>
      </c>
      <c r="P10303" s="393">
        <v>38582</v>
      </c>
    </row>
    <row r="10304" spans="1:16" s="393" customFormat="1" x14ac:dyDescent="0.25">
      <c r="A10304" s="402" t="s">
        <v>20</v>
      </c>
      <c r="B10304" s="2">
        <v>44322</v>
      </c>
      <c r="C10304" s="1">
        <v>1866</v>
      </c>
      <c r="D10304" s="39">
        <f t="shared" si="967"/>
        <v>236247</v>
      </c>
      <c r="E10304" s="1">
        <v>13</v>
      </c>
      <c r="F10304" s="39">
        <f t="shared" si="968"/>
        <v>3479</v>
      </c>
      <c r="G10304" s="169">
        <f>SUM(C10304,C10280,C10256,C10232,C10208,C10184,C10160,C10136,C10112,C10088,C10064,C10040,C10016,C9992)/POBLA!$B$7*100000</f>
        <v>576.02148679014488</v>
      </c>
      <c r="H10304" s="258">
        <f t="shared" si="966"/>
        <v>0.92045213105001489</v>
      </c>
      <c r="I10304" s="310">
        <f t="shared" si="969"/>
        <v>530.2002050465868</v>
      </c>
      <c r="J10304" s="310">
        <f t="shared" si="970"/>
        <v>1541</v>
      </c>
      <c r="K10304" s="310">
        <f>J10304/POBLA!$B$7*100000</f>
        <v>40.979138135063621</v>
      </c>
      <c r="L10304" s="68">
        <f t="shared" si="958"/>
        <v>8.0007356998345047E-3</v>
      </c>
      <c r="M10304" s="512">
        <f>SUM(C10304,C10280,C10256,C10232,C10208,C10184,C10160)/POBLA!$B$7*100000</f>
        <v>286.85396694544534</v>
      </c>
      <c r="N10304" s="393" t="s">
        <v>20</v>
      </c>
      <c r="O10304" s="393">
        <v>1866</v>
      </c>
      <c r="P10304" s="393">
        <v>236247</v>
      </c>
    </row>
    <row r="10305" spans="1:16" x14ac:dyDescent="0.25">
      <c r="A10305" s="402" t="s">
        <v>31</v>
      </c>
      <c r="B10305" s="2">
        <v>44322</v>
      </c>
      <c r="C10305" s="1">
        <v>726</v>
      </c>
      <c r="D10305" s="39">
        <f t="shared" si="967"/>
        <v>65999</v>
      </c>
      <c r="E10305" s="1">
        <v>3</v>
      </c>
      <c r="F10305" s="39">
        <f t="shared" si="968"/>
        <v>1090</v>
      </c>
      <c r="G10305" s="169">
        <f>SUM(C10305,C10281,C10257,C10233,C10209,C10185,C10161,C10137,C10113,C10089,C10065,C10041,C10017,C9993)/POBLA!$B$8*100000</f>
        <v>540.92431172305714</v>
      </c>
      <c r="H10305" s="258">
        <f t="shared" si="966"/>
        <v>1.1477342314758114</v>
      </c>
      <c r="I10305" s="310">
        <f t="shared" si="969"/>
        <v>620.83734920204529</v>
      </c>
      <c r="J10305" s="310">
        <f t="shared" si="970"/>
        <v>517.42857142857144</v>
      </c>
      <c r="K10305" s="310">
        <f>J10305/POBLA!$B$8*100000</f>
        <v>37.333559272488294</v>
      </c>
      <c r="L10305" s="68">
        <f t="shared" si="958"/>
        <v>6.5290322580645155E-2</v>
      </c>
      <c r="M10305" s="512">
        <f>SUM(C10305,C10281,C10257,C10233,C10209,C10185,C10161)/POBLA!$B$8*100000</f>
        <v>261.33491490741801</v>
      </c>
      <c r="N10305" s="42" t="s">
        <v>31</v>
      </c>
      <c r="O10305" s="42">
        <v>726</v>
      </c>
      <c r="P10305" s="42">
        <v>65999</v>
      </c>
    </row>
    <row r="10306" spans="1:16" s="393" customFormat="1" x14ac:dyDescent="0.25">
      <c r="A10306" s="402" t="s">
        <v>41</v>
      </c>
      <c r="B10306" s="2">
        <v>44322</v>
      </c>
      <c r="C10306" s="1">
        <v>353</v>
      </c>
      <c r="D10306" s="39">
        <f t="shared" si="967"/>
        <v>5439</v>
      </c>
      <c r="E10306" s="1">
        <v>1</v>
      </c>
      <c r="F10306" s="39">
        <f t="shared" si="968"/>
        <v>104</v>
      </c>
      <c r="G10306" s="169">
        <f>SUM(C10306,C10282,C10258,C10234,C10210,C10186,C10162,C10138,C10114,C10090,C10066,C10042,C10018,C9994)/POBLA!$B$9*100000</f>
        <v>260.74326702390806</v>
      </c>
      <c r="H10306" s="258">
        <f t="shared" si="966"/>
        <v>1.1954545454545455</v>
      </c>
      <c r="I10306" s="310">
        <f t="shared" si="969"/>
        <v>311.7067237603992</v>
      </c>
      <c r="J10306" s="310">
        <f t="shared" si="970"/>
        <v>132.28571428571428</v>
      </c>
      <c r="K10306" s="310">
        <f>J10306/POBLA!$B$9*100000</f>
        <v>21.85843429876325</v>
      </c>
      <c r="L10306" s="68">
        <f t="shared" si="958"/>
        <v>-0.42024539877300615</v>
      </c>
      <c r="M10306" s="512">
        <f>SUM(C10306,C10282,C10258,C10234,C10210,C10186,C10162)/POBLA!$B$9*100000</f>
        <v>153.00904009134277</v>
      </c>
      <c r="N10306" s="393" t="s">
        <v>41</v>
      </c>
      <c r="O10306" s="393">
        <v>353</v>
      </c>
      <c r="P10306" s="393">
        <v>5439</v>
      </c>
    </row>
    <row r="10307" spans="1:16" s="393" customFormat="1" x14ac:dyDescent="0.25">
      <c r="A10307" s="402" t="s">
        <v>32</v>
      </c>
      <c r="B10307" s="2">
        <v>44322</v>
      </c>
      <c r="C10307" s="1">
        <v>91</v>
      </c>
      <c r="D10307" s="39">
        <f t="shared" si="967"/>
        <v>25381</v>
      </c>
      <c r="E10307" s="1">
        <v>5</v>
      </c>
      <c r="F10307" s="39">
        <f t="shared" si="968"/>
        <v>1051</v>
      </c>
      <c r="G10307" s="169">
        <f>SUM(C10307,C10283,C10259,C10235,C10211,C10187,C10163,C10139,C10115,C10091,C10067,C10043,C10019,C9995)/POBLA!$B$10*100000</f>
        <v>166.43295138938436</v>
      </c>
      <c r="H10307" s="258">
        <f t="shared" si="966"/>
        <v>1.0620860927152318</v>
      </c>
      <c r="I10307" s="310">
        <f t="shared" si="969"/>
        <v>176.76612304021535</v>
      </c>
      <c r="J10307" s="310">
        <f t="shared" si="970"/>
        <v>86.142857142857139</v>
      </c>
      <c r="K10307" s="310">
        <f>J10307/POBLA!$B$10*100000</f>
        <v>11.174598562275778</v>
      </c>
      <c r="L10307" s="68">
        <f t="shared" ref="L10307:L10370" si="971">1-SUM(C10307,C10283,C10259,C10235,C10211,C10187,C10163)/SUM(C10139,C10115,C10091,C10067,C10043,C10019,C9995)</f>
        <v>0.1132352941176471</v>
      </c>
      <c r="M10307" s="512">
        <f>SUM(C10307,C10283,C10259,C10235,C10211,C10187,C10163)/POBLA!$B$10*100000</f>
        <v>78.222189935930459</v>
      </c>
      <c r="N10307" s="393" t="s">
        <v>32</v>
      </c>
      <c r="O10307" s="393">
        <v>91</v>
      </c>
      <c r="P10307" s="393">
        <v>25381</v>
      </c>
    </row>
    <row r="10308" spans="1:16" s="393" customFormat="1" x14ac:dyDescent="0.25">
      <c r="A10308" s="402" t="s">
        <v>33</v>
      </c>
      <c r="B10308" s="2">
        <v>44322</v>
      </c>
      <c r="C10308" s="1">
        <v>392</v>
      </c>
      <c r="D10308" s="39">
        <f t="shared" si="967"/>
        <v>29036</v>
      </c>
      <c r="E10308" s="1"/>
      <c r="F10308" s="39">
        <f t="shared" si="968"/>
        <v>399</v>
      </c>
      <c r="G10308" s="169">
        <f>SUM(C10308,C10284,C10260,C10236,C10212,C10188,C10164,C10140,C10116,C10092,C10068,C10044,C10020,C9996)/POBLA!$B$11*100000</f>
        <v>1074.6928253373064</v>
      </c>
      <c r="H10308" s="258">
        <f t="shared" si="966"/>
        <v>1.3155737704918034</v>
      </c>
      <c r="I10308" s="310">
        <f t="shared" si="969"/>
        <v>1413.8376923494893</v>
      </c>
      <c r="J10308" s="310">
        <f t="shared" si="970"/>
        <v>316.85714285714283</v>
      </c>
      <c r="K10308" s="310">
        <f>J10308/POBLA!$B$11*100000</f>
        <v>88.401894622390785</v>
      </c>
      <c r="L10308" s="68">
        <f t="shared" si="971"/>
        <v>-0.35740514075887386</v>
      </c>
      <c r="M10308" s="512">
        <f>SUM(C10308,C10284,C10260,C10236,C10212,C10188,C10164)/POBLA!$B$11*100000</f>
        <v>618.81326235673555</v>
      </c>
      <c r="N10308" s="393" t="s">
        <v>33</v>
      </c>
      <c r="O10308" s="393">
        <v>392</v>
      </c>
      <c r="P10308" s="393">
        <v>29036</v>
      </c>
    </row>
    <row r="10309" spans="1:16" s="393" customFormat="1" x14ac:dyDescent="0.25">
      <c r="A10309" s="402" t="s">
        <v>21</v>
      </c>
      <c r="B10309" s="2">
        <v>44322</v>
      </c>
      <c r="C10309" s="1">
        <v>78</v>
      </c>
      <c r="D10309" s="39">
        <f t="shared" si="967"/>
        <v>13999</v>
      </c>
      <c r="E10309" s="1">
        <v>10</v>
      </c>
      <c r="F10309" s="39">
        <f t="shared" si="968"/>
        <v>498</v>
      </c>
      <c r="G10309" s="169">
        <f>SUM(C10309,C10285,C10261,C10237,C10213,C10189,C10165,C10141,C10117,C10093,C10069,C10045,C10021,C9997)/POBLA!$B$12*100000</f>
        <v>294.2589020941171</v>
      </c>
      <c r="H10309" s="258">
        <f t="shared" si="966"/>
        <v>1.0275066548358474</v>
      </c>
      <c r="I10309" s="310">
        <f t="shared" si="969"/>
        <v>302.3529801463954</v>
      </c>
      <c r="J10309" s="310">
        <f t="shared" si="970"/>
        <v>96.285714285714292</v>
      </c>
      <c r="K10309" s="310">
        <f>J10309/POBLA!$B$12*100000</f>
        <v>24.467123120088196</v>
      </c>
      <c r="L10309" s="68">
        <f t="shared" si="971"/>
        <v>-0.39256198347107429</v>
      </c>
      <c r="M10309" s="512">
        <f>SUM(C10309,C10285,C10261,C10237,C10213,C10189,C10165)/POBLA!$B$12*100000</f>
        <v>171.26986184061738</v>
      </c>
      <c r="N10309" s="393" t="s">
        <v>21</v>
      </c>
      <c r="O10309" s="393">
        <v>78</v>
      </c>
      <c r="P10309" s="393">
        <v>13999</v>
      </c>
    </row>
    <row r="10310" spans="1:16" s="393" customFormat="1" x14ac:dyDescent="0.25">
      <c r="A10310" s="402" t="s">
        <v>17</v>
      </c>
      <c r="B10310" s="2">
        <v>44322</v>
      </c>
      <c r="C10310" s="1">
        <v>767</v>
      </c>
      <c r="D10310" s="39">
        <f t="shared" si="967"/>
        <v>100693</v>
      </c>
      <c r="E10310" s="1">
        <v>28</v>
      </c>
      <c r="F10310" s="39">
        <f t="shared" si="968"/>
        <v>1951</v>
      </c>
      <c r="G10310" s="169">
        <f>SUM(C10310,C10286,C10262,C10238,C10214,C10190,C10166,C10142,C10118,C10094,C10070,C10046,C10022,C9998)/POBLA!$B$13*100000</f>
        <v>536.84349090455987</v>
      </c>
      <c r="H10310" s="258">
        <f t="shared" si="966"/>
        <v>0.87452938287772142</v>
      </c>
      <c r="I10310" s="310">
        <f t="shared" si="969"/>
        <v>469.48540680268638</v>
      </c>
      <c r="J10310" s="310">
        <f t="shared" si="970"/>
        <v>715.85714285714289</v>
      </c>
      <c r="K10310" s="310">
        <f>J10310/POBLA!$B$13*100000</f>
        <v>35.966611844678788</v>
      </c>
      <c r="L10310" s="68">
        <f t="shared" si="971"/>
        <v>0.11684878392668308</v>
      </c>
      <c r="M10310" s="512">
        <f>SUM(C10310,C10286,C10262,C10238,C10214,C10190,C10166)/POBLA!$B$13*100000</f>
        <v>251.76628291275148</v>
      </c>
      <c r="N10310" s="393" t="s">
        <v>17</v>
      </c>
      <c r="O10310" s="393">
        <v>767</v>
      </c>
      <c r="P10310" s="393">
        <v>100693</v>
      </c>
    </row>
    <row r="10311" spans="1:16" s="393" customFormat="1" x14ac:dyDescent="0.25">
      <c r="A10311" s="402" t="s">
        <v>23</v>
      </c>
      <c r="B10311" s="2">
        <v>44322</v>
      </c>
      <c r="C10311" s="1">
        <v>157</v>
      </c>
      <c r="D10311" s="39">
        <f t="shared" si="967"/>
        <v>16355</v>
      </c>
      <c r="E10311" s="1">
        <v>1</v>
      </c>
      <c r="F10311" s="39">
        <f t="shared" si="968"/>
        <v>240</v>
      </c>
      <c r="G10311" s="169">
        <f>SUM(C10311,C10287,C10263,C10239,C10215,C10191,C10167,C10143,C10119,C10095,C10071,C10047,C10023,C9999)/POBLA!$B$14*100000</f>
        <v>128.99450881396407</v>
      </c>
      <c r="H10311" s="258">
        <f t="shared" si="966"/>
        <v>0.87473118279569895</v>
      </c>
      <c r="I10311" s="310">
        <f t="shared" si="969"/>
        <v>112.835519268989</v>
      </c>
      <c r="J10311" s="310">
        <f t="shared" si="970"/>
        <v>119.71428571428571</v>
      </c>
      <c r="K10311" s="310">
        <f>J10311/POBLA!$B$14*100000</f>
        <v>9.4913862837915435</v>
      </c>
      <c r="L10311" s="68">
        <f t="shared" si="971"/>
        <v>-6.2103929024081017E-2</v>
      </c>
      <c r="M10311" s="512">
        <f>SUM(C10311,C10287,C10263,C10239,C10215,C10191,C10167)/POBLA!$B$14*100000</f>
        <v>66.439703986540806</v>
      </c>
      <c r="N10311" s="393" t="s">
        <v>23</v>
      </c>
      <c r="O10311" s="393">
        <v>157</v>
      </c>
      <c r="P10311" s="393">
        <v>16355</v>
      </c>
    </row>
    <row r="10312" spans="1:16" s="393" customFormat="1" x14ac:dyDescent="0.25">
      <c r="A10312" s="402" t="s">
        <v>19</v>
      </c>
      <c r="B10312" s="2">
        <v>44322</v>
      </c>
      <c r="C10312" s="1">
        <v>484</v>
      </c>
      <c r="D10312" s="39">
        <f t="shared" si="967"/>
        <v>73441</v>
      </c>
      <c r="E10312" s="1">
        <v>22</v>
      </c>
      <c r="F10312" s="39">
        <f t="shared" si="968"/>
        <v>1104</v>
      </c>
      <c r="G10312" s="169">
        <f>SUM(C10312,C10288,C10264,C10240,C10216,C10192,C10168,C10144,C10120,C10096,C10072,C10048,C10024,C10000)/POBLA!$B$15*100000</f>
        <v>719.51654752528782</v>
      </c>
      <c r="H10312" s="258">
        <f t="shared" si="966"/>
        <v>1.9188755020080321</v>
      </c>
      <c r="I10312" s="310">
        <f t="shared" si="969"/>
        <v>1380.6626763356728</v>
      </c>
      <c r="J10312" s="310">
        <f t="shared" si="970"/>
        <v>381.57142857142856</v>
      </c>
      <c r="K10312" s="310">
        <f>J10312/POBLA!$B$15*100000</f>
        <v>57.460643976560533</v>
      </c>
      <c r="L10312" s="68">
        <f t="shared" si="971"/>
        <v>-0.26767916468913144</v>
      </c>
      <c r="M10312" s="512">
        <f>SUM(C10312,C10288,C10264,C10240,C10216,C10192,C10168)/POBLA!$B$15*100000</f>
        <v>402.22450783592376</v>
      </c>
      <c r="N10312" s="393" t="s">
        <v>19</v>
      </c>
      <c r="O10312" s="393">
        <v>484</v>
      </c>
      <c r="P10312" s="393">
        <v>73441</v>
      </c>
    </row>
    <row r="10313" spans="1:16" s="393" customFormat="1" x14ac:dyDescent="0.25">
      <c r="A10313" s="402" t="s">
        <v>18</v>
      </c>
      <c r="B10313" s="2">
        <v>44322</v>
      </c>
      <c r="C10313" s="1">
        <v>364</v>
      </c>
      <c r="D10313" s="39">
        <f t="shared" si="967"/>
        <v>63117</v>
      </c>
      <c r="E10313" s="1">
        <v>5</v>
      </c>
      <c r="F10313" s="39">
        <f t="shared" si="968"/>
        <v>1386</v>
      </c>
      <c r="G10313" s="169">
        <f>SUM(C10313,C10289,C10265,C10241,C10217,C10193,C10169,C10145,C10121,C10097,C10073,C10049,C10025,C10001)/POBLA!$B$16*100000</f>
        <v>523.6687577747756</v>
      </c>
      <c r="H10313" s="258">
        <f t="shared" si="966"/>
        <v>1.3902698863636365</v>
      </c>
      <c r="I10313" s="310">
        <f t="shared" si="969"/>
        <v>728.04090436372394</v>
      </c>
      <c r="J10313" s="310">
        <f t="shared" si="970"/>
        <v>278.71428571428572</v>
      </c>
      <c r="K10313" s="310">
        <f>J10313/POBLA!$B$16*100000</f>
        <v>37.280705944849011</v>
      </c>
      <c r="L10313" s="68">
        <f t="shared" si="971"/>
        <v>6.6191446028512901E-3</v>
      </c>
      <c r="M10313" s="512">
        <f>SUM(C10313,C10289,C10265,C10241,C10217,C10193,C10169)/POBLA!$B$16*100000</f>
        <v>260.9649416139431</v>
      </c>
      <c r="N10313" s="393" t="s">
        <v>18</v>
      </c>
      <c r="O10313" s="393">
        <v>364</v>
      </c>
      <c r="P10313" s="393">
        <v>63117</v>
      </c>
    </row>
    <row r="10314" spans="1:16" s="393" customFormat="1" x14ac:dyDescent="0.25">
      <c r="A10314" s="402" t="s">
        <v>34</v>
      </c>
      <c r="B10314" s="2">
        <v>44322</v>
      </c>
      <c r="C10314" s="1">
        <v>262</v>
      </c>
      <c r="D10314" s="39">
        <f t="shared" si="967"/>
        <v>35889</v>
      </c>
      <c r="E10314" s="1">
        <v>3</v>
      </c>
      <c r="F10314" s="39">
        <f t="shared" si="968"/>
        <v>1297</v>
      </c>
      <c r="G10314" s="169">
        <f>SUM(C10314,C10290,C10266,C10242,C10218,C10194,C10170,C10146,C10122,C10098,C10074,C10050,C10026,C10002)/POBLA!$B$17*100000</f>
        <v>187.09671531181266</v>
      </c>
      <c r="H10314" s="258">
        <f t="shared" ref="H10314:H10337" si="972">SUM(C10314,C10290,C10266,C10242,C10218,C10194,C10170,C10146,C10122,C10098,C10074,C10050,C10026,C10002)/SUM(C9978,C9954,C9930,C9906,C9882,C9858,C9834,C9810,C9786,C9762,C9738,C9714,C9690,C9666)</f>
        <v>0.9736938253562295</v>
      </c>
      <c r="I10314" s="310">
        <f t="shared" si="969"/>
        <v>182.1749164435443</v>
      </c>
      <c r="J10314" s="310">
        <f t="shared" si="970"/>
        <v>195.57142857142858</v>
      </c>
      <c r="K10314" s="310">
        <f>J10314/POBLA!$B$17*100000</f>
        <v>13.730120785948621</v>
      </c>
      <c r="L10314" s="68">
        <f t="shared" si="971"/>
        <v>-5.6327160493827133E-2</v>
      </c>
      <c r="M10314" s="512">
        <f>SUM(C10314,C10290,C10266,C10242,C10218,C10194,C10170)/POBLA!$B$17*100000</f>
        <v>96.110845501640341</v>
      </c>
      <c r="N10314" s="393" t="s">
        <v>34</v>
      </c>
      <c r="O10314" s="393">
        <v>262</v>
      </c>
      <c r="P10314" s="393">
        <v>35889</v>
      </c>
    </row>
    <row r="10315" spans="1:16" s="393" customFormat="1" x14ac:dyDescent="0.25">
      <c r="A10315" s="402" t="s">
        <v>35</v>
      </c>
      <c r="B10315" s="2">
        <v>44322</v>
      </c>
      <c r="C10315" s="1">
        <v>431</v>
      </c>
      <c r="D10315" s="39">
        <f t="shared" si="967"/>
        <v>25482</v>
      </c>
      <c r="E10315" s="1">
        <v>23</v>
      </c>
      <c r="F10315" s="39">
        <f t="shared" si="968"/>
        <v>410</v>
      </c>
      <c r="G10315" s="169">
        <f>SUM(C10315,C10291,C10267,C10243,C10219,C10195,C10171,C10147,C10123,C10099,C10075,C10051,C10027,C10003)/POBLA!$B$18*100000</f>
        <v>525.71820633703567</v>
      </c>
      <c r="H10315" s="258">
        <f t="shared" si="972"/>
        <v>1.4094028826355525</v>
      </c>
      <c r="I10315" s="310">
        <f t="shared" si="969"/>
        <v>740.94875546541027</v>
      </c>
      <c r="J10315" s="310">
        <f t="shared" si="970"/>
        <v>308</v>
      </c>
      <c r="K10315" s="310">
        <f>J10315/POBLA!$B$18*100000</f>
        <v>39.425665340103969</v>
      </c>
      <c r="L10315" s="68">
        <f t="shared" si="971"/>
        <v>-0.10507432086109691</v>
      </c>
      <c r="M10315" s="512">
        <f>SUM(C10315,C10291,C10267,C10243,C10219,C10195,C10171)/POBLA!$B$18*100000</f>
        <v>275.97965738072776</v>
      </c>
      <c r="N10315" s="393" t="s">
        <v>35</v>
      </c>
      <c r="O10315" s="393">
        <v>431</v>
      </c>
      <c r="P10315" s="393">
        <v>25482</v>
      </c>
    </row>
    <row r="10316" spans="1:16" s="393" customFormat="1" x14ac:dyDescent="0.25">
      <c r="A10316" s="402" t="s">
        <v>36</v>
      </c>
      <c r="B10316" s="2">
        <v>44322</v>
      </c>
      <c r="C10316" s="1">
        <v>379</v>
      </c>
      <c r="D10316" s="39">
        <f t="shared" si="967"/>
        <v>39986</v>
      </c>
      <c r="E10316" s="1">
        <v>4</v>
      </c>
      <c r="F10316" s="39">
        <f t="shared" si="968"/>
        <v>523</v>
      </c>
      <c r="G10316" s="169">
        <f>SUM(C10316,C10292,C10268,C10244,C10220,C10196,C10172,C10148,C10124,C10100,C10076,C10052,C10028,C10004)/POBLA!$B$19*100000</f>
        <v>1439.0314914779433</v>
      </c>
      <c r="H10316" s="258">
        <f t="shared" si="972"/>
        <v>0.97377529286474973</v>
      </c>
      <c r="I10316" s="310">
        <f t="shared" si="969"/>
        <v>1401.2933120555319</v>
      </c>
      <c r="J10316" s="310">
        <f t="shared" si="970"/>
        <v>433.42857142857144</v>
      </c>
      <c r="K10316" s="310">
        <f>J10316/POBLA!$B$19*100000</f>
        <v>85.265531591525843</v>
      </c>
      <c r="L10316" s="68">
        <f t="shared" si="971"/>
        <v>0.29128708245736978</v>
      </c>
      <c r="M10316" s="512">
        <f>SUM(C10316,C10292,C10268,C10244,C10220,C10196,C10172)/POBLA!$B$19*100000</f>
        <v>596.85872114068081</v>
      </c>
      <c r="N10316" s="393" t="s">
        <v>36</v>
      </c>
      <c r="O10316" s="393">
        <v>379</v>
      </c>
      <c r="P10316" s="393">
        <v>39986</v>
      </c>
    </row>
    <row r="10317" spans="1:16" s="393" customFormat="1" x14ac:dyDescent="0.25">
      <c r="A10317" s="402" t="s">
        <v>37</v>
      </c>
      <c r="B10317" s="2">
        <v>44322</v>
      </c>
      <c r="C10317" s="1">
        <v>335</v>
      </c>
      <c r="D10317" s="39">
        <f t="shared" si="967"/>
        <v>45983</v>
      </c>
      <c r="E10317" s="1">
        <v>7</v>
      </c>
      <c r="F10317" s="39">
        <f t="shared" si="968"/>
        <v>729</v>
      </c>
      <c r="G10317" s="169">
        <f>SUM(C10317,C10293,C10269,C10245,C10221,C10197,C10173,C10149,C10125,C10101,C10077,C10053,C10029,C10005)/POBLA!$B$20*100000</f>
        <v>782.88642541113165</v>
      </c>
      <c r="H10317" s="258">
        <f t="shared" si="972"/>
        <v>1.0948374760994264</v>
      </c>
      <c r="I10317" s="310">
        <f t="shared" si="969"/>
        <v>857.13339806962517</v>
      </c>
      <c r="J10317" s="310">
        <f t="shared" si="970"/>
        <v>213</v>
      </c>
      <c r="K10317" s="310">
        <f>J10317/POBLA!$B$20*100000</f>
        <v>58.244781212913381</v>
      </c>
      <c r="L10317" s="68">
        <f t="shared" si="971"/>
        <v>-8.6734693877551061E-2</v>
      </c>
      <c r="M10317" s="512">
        <f>SUM(C10317,C10293,C10269,C10245,C10221,C10197,C10173)/POBLA!$B$20*100000</f>
        <v>407.71346849039372</v>
      </c>
      <c r="N10317" s="393" t="s">
        <v>37</v>
      </c>
      <c r="O10317" s="393">
        <v>335</v>
      </c>
      <c r="P10317" s="393">
        <v>45983</v>
      </c>
    </row>
    <row r="10318" spans="1:16" s="393" customFormat="1" x14ac:dyDescent="0.25">
      <c r="A10318" s="402" t="s">
        <v>22</v>
      </c>
      <c r="B10318" s="2">
        <v>44322</v>
      </c>
      <c r="C10318" s="1">
        <v>1996</v>
      </c>
      <c r="D10318" s="39">
        <f t="shared" si="967"/>
        <v>284503</v>
      </c>
      <c r="E10318" s="1">
        <v>21</v>
      </c>
      <c r="F10318" s="39">
        <f t="shared" si="968"/>
        <v>4763</v>
      </c>
      <c r="G10318" s="169">
        <f>SUM(C10318,C10294,C10270,C10246,C10222,C10198,C10174,C10150,C10126,C10102,C10078,C10054,C10030,C10006)/POBLA!$B$21*100000</f>
        <v>685.12828517443359</v>
      </c>
      <c r="H10318" s="258">
        <f t="shared" si="972"/>
        <v>1.1177800332164607</v>
      </c>
      <c r="I10318" s="310">
        <f t="shared" si="969"/>
        <v>765.8227173598151</v>
      </c>
      <c r="J10318" s="310">
        <f t="shared" si="970"/>
        <v>1725.4285714285713</v>
      </c>
      <c r="K10318" s="310">
        <f>J10318/POBLA!$B$21*100000</f>
        <v>48.790289253944849</v>
      </c>
      <c r="L10318" s="68">
        <f t="shared" si="971"/>
        <v>6.0077359888075499E-3</v>
      </c>
      <c r="M10318" s="512">
        <f>SUM(C10318,C10294,C10270,C10246,C10222,C10198,C10174)/POBLA!$B$21*100000</f>
        <v>341.53202477761397</v>
      </c>
      <c r="N10318" s="393" t="s">
        <v>22</v>
      </c>
      <c r="O10318" s="393">
        <v>1996</v>
      </c>
      <c r="P10318" s="393">
        <v>284503</v>
      </c>
    </row>
    <row r="10319" spans="1:16" s="393" customFormat="1" x14ac:dyDescent="0.25">
      <c r="A10319" s="402" t="s">
        <v>38</v>
      </c>
      <c r="B10319" s="2">
        <v>44322</v>
      </c>
      <c r="C10319" s="1">
        <v>345</v>
      </c>
      <c r="D10319" s="39">
        <f t="shared" si="967"/>
        <v>31906</v>
      </c>
      <c r="E10319" s="1"/>
      <c r="F10319" s="39">
        <f t="shared" si="968"/>
        <v>363</v>
      </c>
      <c r="G10319" s="169">
        <f>SUM(C10319,C10295,C10271,C10247,C10223,C10199,C10175,C10151,C10127,C10103,C10079,C10055,C10031,C10007)/POBLA!$B$22*100000</f>
        <v>288.45573962525282</v>
      </c>
      <c r="H10319" s="258">
        <f t="shared" si="972"/>
        <v>0.98088286409454295</v>
      </c>
      <c r="I10319" s="310">
        <f t="shared" si="969"/>
        <v>282.94129204812771</v>
      </c>
      <c r="J10319" s="310">
        <f t="shared" si="970"/>
        <v>203.28571428571428</v>
      </c>
      <c r="K10319" s="310">
        <f>J10319/POBLA!$B$22*100000</f>
        <v>20.779210159296081</v>
      </c>
      <c r="L10319" s="68">
        <f t="shared" si="971"/>
        <v>-1.71551107934238E-2</v>
      </c>
      <c r="M10319" s="512">
        <f>SUM(C10319,C10295,C10271,C10247,C10223,C10199,C10175)/POBLA!$B$22*100000</f>
        <v>145.45447111507258</v>
      </c>
      <c r="N10319" s="393" t="s">
        <v>38</v>
      </c>
      <c r="O10319" s="393">
        <v>345</v>
      </c>
      <c r="P10319" s="393">
        <v>31906</v>
      </c>
    </row>
    <row r="10320" spans="1:16" s="393" customFormat="1" x14ac:dyDescent="0.25">
      <c r="A10320" s="402" t="s">
        <v>39</v>
      </c>
      <c r="B10320" s="2">
        <v>44322</v>
      </c>
      <c r="C10320" s="1">
        <v>88</v>
      </c>
      <c r="D10320" s="39">
        <f t="shared" si="967"/>
        <v>26848</v>
      </c>
      <c r="E10320" s="1">
        <v>3</v>
      </c>
      <c r="F10320" s="39">
        <f t="shared" si="968"/>
        <v>396</v>
      </c>
      <c r="G10320" s="169">
        <f>SUM(C10320,C10296,C10272,C10248,C10224,C10200,C10176,C10152,C10128,C10104,C10080,C10056,C10032,C10008)/POBLA!$B$23*100000</f>
        <v>594.92167618616747</v>
      </c>
      <c r="H10320" s="258">
        <f t="shared" si="972"/>
        <v>0.8470209339774557</v>
      </c>
      <c r="I10320" s="310">
        <f t="shared" si="969"/>
        <v>503.91111380664103</v>
      </c>
      <c r="J10320" s="310">
        <f t="shared" si="970"/>
        <v>68.142857142857139</v>
      </c>
      <c r="K10320" s="310">
        <f>J10320/POBLA!$B$23*100000</f>
        <v>38.53580113264556</v>
      </c>
      <c r="L10320" s="68">
        <f t="shared" si="971"/>
        <v>0.1704347826086956</v>
      </c>
      <c r="M10320" s="512">
        <f>SUM(C10320,C10296,C10272,C10248,C10224,C10200,C10176)/POBLA!$B$23*100000</f>
        <v>269.75060792851895</v>
      </c>
      <c r="N10320" s="393" t="s">
        <v>39</v>
      </c>
      <c r="O10320" s="393">
        <v>88</v>
      </c>
      <c r="P10320" s="393">
        <v>26848</v>
      </c>
    </row>
    <row r="10321" spans="1:16" s="393" customFormat="1" ht="15.75" thickBot="1" x14ac:dyDescent="0.3">
      <c r="A10321" s="403" t="s">
        <v>40</v>
      </c>
      <c r="B10321" s="34">
        <v>44322</v>
      </c>
      <c r="C10321" s="234">
        <v>577</v>
      </c>
      <c r="D10321" s="67">
        <f t="shared" si="967"/>
        <v>109322</v>
      </c>
      <c r="E10321" s="234">
        <v>7</v>
      </c>
      <c r="F10321" s="67">
        <f t="shared" si="968"/>
        <v>1691</v>
      </c>
      <c r="G10321" s="257">
        <f>SUM(C10321,C10297,C10273,C10249,C10225,C10201,C10177,C10153,C10129,C10105,C10081,C10057,C10033,C10009)/POBLA!$B$24*100000</f>
        <v>493.49248461044601</v>
      </c>
      <c r="H10321" s="259">
        <f t="shared" si="972"/>
        <v>0.9072466912562378</v>
      </c>
      <c r="I10321" s="312">
        <f t="shared" si="969"/>
        <v>447.719423822647</v>
      </c>
      <c r="J10321" s="312">
        <f t="shared" si="970"/>
        <v>523.28571428571433</v>
      </c>
      <c r="K10321" s="312">
        <f>J10321/POBLA!$B$24*100000</f>
        <v>30.878580330504498</v>
      </c>
      <c r="L10321" s="68">
        <f t="shared" si="971"/>
        <v>0.22063829787234046</v>
      </c>
      <c r="M10321" s="517">
        <f>SUM(C10321,C10297,C10273,C10249,C10225,C10201,C10177)/POBLA!$B$24*100000</f>
        <v>216.15006231353149</v>
      </c>
      <c r="N10321" s="393" t="s">
        <v>40</v>
      </c>
      <c r="O10321" s="393">
        <v>577</v>
      </c>
      <c r="P10321" s="393">
        <v>109322</v>
      </c>
    </row>
    <row r="10322" spans="1:16" x14ac:dyDescent="0.25">
      <c r="A10322" s="397" t="s">
        <v>16</v>
      </c>
      <c r="B10322" s="267">
        <v>44323</v>
      </c>
      <c r="C10322" s="389">
        <v>9793</v>
      </c>
      <c r="D10322" s="175">
        <f t="shared" si="967"/>
        <v>1363169</v>
      </c>
      <c r="E10322" s="43">
        <v>362</v>
      </c>
      <c r="F10322" s="175">
        <f t="shared" ref="F10322:F10345" si="973">E10322+F10298</f>
        <v>34506</v>
      </c>
      <c r="G10322" s="176">
        <f>SUM(C10322,C10298,C10274,C10250,C10226,C10202,C10178,C10154,C10130,C10106,C10082,C10058,C10034,C10010)/POBLA!$B$1*100000</f>
        <v>771.13569750109184</v>
      </c>
      <c r="H10322" s="313">
        <f t="shared" si="972"/>
        <v>0.81746046134972294</v>
      </c>
      <c r="I10322" s="314">
        <f>G10322*H10322</f>
        <v>630.37294304248292</v>
      </c>
      <c r="J10322" s="314">
        <f>AVERAGE(C10322,C10298,C10274,C10250,C10226,C10202,C10178)</f>
        <v>9037.2857142857138</v>
      </c>
      <c r="K10322" s="314">
        <f>J10322/POBLA!$B$1*100000</f>
        <v>51.520512344583018</v>
      </c>
      <c r="L10322" s="68">
        <f t="shared" si="971"/>
        <v>0.12143601138809801</v>
      </c>
      <c r="M10322" s="511">
        <f>SUM(C10322,C10298,C10274,C10250,C10226,C10202,C10178)/POBLA!$B$1*100000</f>
        <v>360.64358641208116</v>
      </c>
      <c r="N10322" s="42" t="s">
        <v>270</v>
      </c>
      <c r="O10322" s="42">
        <v>9793</v>
      </c>
      <c r="P10322" s="42">
        <v>1363169</v>
      </c>
    </row>
    <row r="10323" spans="1:16" x14ac:dyDescent="0.25">
      <c r="A10323" s="402" t="s">
        <v>43</v>
      </c>
      <c r="B10323" s="2">
        <v>44323</v>
      </c>
      <c r="C10323" s="4">
        <v>2079</v>
      </c>
      <c r="D10323" s="39">
        <f t="shared" si="967"/>
        <v>358249</v>
      </c>
      <c r="E10323" s="1">
        <v>55</v>
      </c>
      <c r="F10323" s="39">
        <f t="shared" si="973"/>
        <v>8082</v>
      </c>
      <c r="G10323" s="169">
        <f>SUM(C10323,C10299,C10275,C10251,C10227,C10203,C10179,C10155,C10131,C10107,C10083,C10059,C10035,C10011)/POBLA!$B$2*100000</f>
        <v>1171.3311609983723</v>
      </c>
      <c r="H10323" s="258">
        <f t="shared" si="972"/>
        <v>0.8654063273198972</v>
      </c>
      <c r="I10323" s="310">
        <f t="shared" ref="I10323:I10345" si="974">G10323*H10323</f>
        <v>1013.6773981149526</v>
      </c>
      <c r="J10323" s="310">
        <f t="shared" ref="J10323:J10345" si="975">AVERAGE(C10323,C10299,C10275,C10251,C10227,C10203,C10179)</f>
        <v>2301.2857142857142</v>
      </c>
      <c r="K10323" s="310">
        <f>J10323/POBLA!$B$2*100000</f>
        <v>74.822840934415538</v>
      </c>
      <c r="L10323" s="68">
        <f t="shared" si="971"/>
        <v>0.19119345282924138</v>
      </c>
      <c r="M10323" s="512">
        <f>SUM(C10323,C10299,C10275,C10251,C10227,C10203,C10179)/POBLA!$B$2*100000</f>
        <v>523.75988654090872</v>
      </c>
      <c r="N10323" s="42" t="s">
        <v>43</v>
      </c>
      <c r="O10323" s="42">
        <v>2079</v>
      </c>
      <c r="P10323" s="42">
        <v>358249</v>
      </c>
    </row>
    <row r="10324" spans="1:16" x14ac:dyDescent="0.25">
      <c r="A10324" s="402" t="s">
        <v>28</v>
      </c>
      <c r="B10324" s="2">
        <v>44323</v>
      </c>
      <c r="C10324" s="4">
        <v>186</v>
      </c>
      <c r="D10324" s="39">
        <f t="shared" si="967"/>
        <v>15883</v>
      </c>
      <c r="E10324" s="1">
        <v>1</v>
      </c>
      <c r="F10324" s="39">
        <f t="shared" si="973"/>
        <v>107</v>
      </c>
      <c r="G10324" s="169">
        <f>SUM(C10324,C10300,C10276,C10252,C10228,C10204,C10180,C10156,C10132,C10108,C10084,C10060,C10036,C10012)/POBLA!$B$3*100000</f>
        <v>518.48892012767249</v>
      </c>
      <c r="H10324" s="258">
        <f t="shared" si="972"/>
        <v>0.93085566119273988</v>
      </c>
      <c r="I10324" s="310">
        <f t="shared" si="974"/>
        <v>482.63834656655428</v>
      </c>
      <c r="J10324" s="310">
        <f t="shared" si="975"/>
        <v>140.57142857142858</v>
      </c>
      <c r="K10324" s="310">
        <f>J10324/POBLA!$B$3*100000</f>
        <v>33.836921170289806</v>
      </c>
      <c r="L10324" s="68">
        <f t="shared" si="971"/>
        <v>0.15897435897435896</v>
      </c>
      <c r="M10324" s="512">
        <f>SUM(C10324,C10300,C10276,C10252,C10228,C10204,C10180)/POBLA!$B$3*100000</f>
        <v>236.85844819202867</v>
      </c>
      <c r="N10324" s="42" t="s">
        <v>28</v>
      </c>
      <c r="O10324" s="42">
        <v>186</v>
      </c>
      <c r="P10324" s="42">
        <v>15883</v>
      </c>
    </row>
    <row r="10325" spans="1:16" x14ac:dyDescent="0.25">
      <c r="A10325" s="402" t="s">
        <v>15</v>
      </c>
      <c r="B10325" s="2">
        <v>44323</v>
      </c>
      <c r="C10325" s="4">
        <v>353</v>
      </c>
      <c r="D10325" s="39">
        <f t="shared" si="967"/>
        <v>46640</v>
      </c>
      <c r="E10325" s="1">
        <v>3</v>
      </c>
      <c r="F10325" s="39">
        <f t="shared" si="973"/>
        <v>1071</v>
      </c>
      <c r="G10325" s="169">
        <f>SUM(C10325,C10301,C10277,C10253,C10229,C10205,C10181,C10157,C10133,C10109,C10085,C10061,C10037,C10013)/POBLA!$B$4*100000</f>
        <v>285.41992343971685</v>
      </c>
      <c r="H10325" s="258">
        <f t="shared" si="972"/>
        <v>1.0763932373199749</v>
      </c>
      <c r="I10325" s="310">
        <f t="shared" si="974"/>
        <v>307.22407538689623</v>
      </c>
      <c r="J10325" s="310">
        <f t="shared" si="975"/>
        <v>262.28571428571428</v>
      </c>
      <c r="K10325" s="310">
        <f>J10325/POBLA!$B$4*100000</f>
        <v>21.77474359824317</v>
      </c>
      <c r="L10325" s="68">
        <f t="shared" si="971"/>
        <v>-0.14606741573033699</v>
      </c>
      <c r="M10325" s="512">
        <f>SUM(C10325,C10301,C10277,C10253,C10229,C10205,C10181)/POBLA!$B$4*100000</f>
        <v>152.42320518770222</v>
      </c>
      <c r="N10325" s="42" t="s">
        <v>15</v>
      </c>
      <c r="O10325" s="42">
        <v>353</v>
      </c>
      <c r="P10325" s="42">
        <v>46640</v>
      </c>
    </row>
    <row r="10326" spans="1:16" x14ac:dyDescent="0.25">
      <c r="A10326" s="402" t="s">
        <v>29</v>
      </c>
      <c r="B10326" s="2">
        <v>44323</v>
      </c>
      <c r="C10326" s="4">
        <v>274</v>
      </c>
      <c r="D10326" s="39">
        <f t="shared" si="967"/>
        <v>56118</v>
      </c>
      <c r="E10326" s="1">
        <v>1</v>
      </c>
      <c r="F10326" s="39">
        <f t="shared" si="973"/>
        <v>931</v>
      </c>
      <c r="G10326" s="169">
        <f>SUM(C10326,C10302,C10278,C10254,C10230,C10206,C10182,C10158,C10134,C10110,C10086,C10062,C10038,C10014)/POBLA!$B$5*100000</f>
        <v>381.10224008633361</v>
      </c>
      <c r="H10326" s="258">
        <f t="shared" si="972"/>
        <v>0.9240109674892284</v>
      </c>
      <c r="I10326" s="310">
        <f t="shared" si="974"/>
        <v>352.14264957448535</v>
      </c>
      <c r="J10326" s="310">
        <f t="shared" si="975"/>
        <v>177.42857142857142</v>
      </c>
      <c r="K10326" s="310">
        <f>J10326/POBLA!$B$5*100000</f>
        <v>28.664021206759905</v>
      </c>
      <c r="L10326" s="68">
        <f t="shared" si="971"/>
        <v>-0.11190689346463745</v>
      </c>
      <c r="M10326" s="512">
        <f>SUM(C10326,C10302,C10278,C10254,C10230,C10206,C10182)/POBLA!$B$5*100000</f>
        <v>200.64814844731933</v>
      </c>
      <c r="N10326" s="42" t="s">
        <v>29</v>
      </c>
      <c r="O10326" s="42">
        <v>274</v>
      </c>
      <c r="P10326" s="42">
        <v>56118</v>
      </c>
    </row>
    <row r="10327" spans="1:16" x14ac:dyDescent="0.25">
      <c r="A10327" s="402" t="s">
        <v>30</v>
      </c>
      <c r="B10327" s="2">
        <v>44323</v>
      </c>
      <c r="C10327" s="4">
        <v>134</v>
      </c>
      <c r="D10327" s="39">
        <f t="shared" si="967"/>
        <v>38716</v>
      </c>
      <c r="E10327" s="1">
        <v>8</v>
      </c>
      <c r="F10327" s="39">
        <f t="shared" si="973"/>
        <v>521</v>
      </c>
      <c r="G10327" s="169">
        <f>SUM(C10327,C10303,C10279,C10255,C10231,C10207,C10183,C10159,C10135,C10111,C10087,C10063,C10039,C10015)/POBLA!$B$6*100000</f>
        <v>237.24104457437139</v>
      </c>
      <c r="H10327" s="258">
        <f t="shared" si="972"/>
        <v>0.80992994212610414</v>
      </c>
      <c r="I10327" s="310">
        <f t="shared" si="974"/>
        <v>192.14862550205711</v>
      </c>
      <c r="J10327" s="310">
        <f t="shared" si="975"/>
        <v>173.85714285714286</v>
      </c>
      <c r="K10327" s="310">
        <f>J10327/POBLA!$B$6*100000</f>
        <v>15.511865429915112</v>
      </c>
      <c r="L10327" s="68">
        <f t="shared" si="971"/>
        <v>0.15603328710124831</v>
      </c>
      <c r="M10327" s="512">
        <f>SUM(C10327,C10303,C10279,C10255,C10231,C10207,C10183)/POBLA!$B$6*100000</f>
        <v>108.58305800940578</v>
      </c>
      <c r="N10327" s="42" t="s">
        <v>30</v>
      </c>
      <c r="O10327" s="42">
        <v>134</v>
      </c>
      <c r="P10327" s="42">
        <v>38716</v>
      </c>
    </row>
    <row r="10328" spans="1:16" x14ac:dyDescent="0.25">
      <c r="A10328" s="402" t="s">
        <v>20</v>
      </c>
      <c r="B10328" s="2">
        <v>44323</v>
      </c>
      <c r="C10328" s="4">
        <v>1583</v>
      </c>
      <c r="D10328" s="39">
        <f t="shared" si="967"/>
        <v>237830</v>
      </c>
      <c r="E10328" s="1">
        <v>10</v>
      </c>
      <c r="F10328" s="39">
        <f t="shared" si="973"/>
        <v>3489</v>
      </c>
      <c r="G10328" s="169">
        <f>SUM(C10328,C10304,C10280,C10256,C10232,C10208,C10184,C10160,C10136,C10112,C10088,C10064,C10040,C10016)/POBLA!$B$7*100000</f>
        <v>568.92127272002017</v>
      </c>
      <c r="H10328" s="258">
        <f t="shared" si="972"/>
        <v>0.90976356523218238</v>
      </c>
      <c r="I10328" s="310">
        <f t="shared" si="974"/>
        <v>517.58384540619625</v>
      </c>
      <c r="J10328" s="310">
        <f t="shared" si="975"/>
        <v>1502.8571428571429</v>
      </c>
      <c r="K10328" s="310">
        <f>J10328/POBLA!$B$7*100000</f>
        <v>39.964821839331535</v>
      </c>
      <c r="L10328" s="68">
        <f t="shared" si="971"/>
        <v>3.2554717675188471E-2</v>
      </c>
      <c r="M10328" s="512">
        <f>SUM(C10328,C10304,C10280,C10256,C10232,C10208,C10184)/POBLA!$B$7*100000</f>
        <v>279.75375287532074</v>
      </c>
      <c r="N10328" s="42" t="s">
        <v>20</v>
      </c>
      <c r="O10328" s="42">
        <v>1583</v>
      </c>
      <c r="P10328" s="42">
        <v>237830</v>
      </c>
    </row>
    <row r="10329" spans="1:16" x14ac:dyDescent="0.25">
      <c r="A10329" s="402" t="s">
        <v>31</v>
      </c>
      <c r="B10329" s="2">
        <v>44323</v>
      </c>
      <c r="C10329" s="4">
        <v>741</v>
      </c>
      <c r="D10329" s="39">
        <f t="shared" si="967"/>
        <v>66740</v>
      </c>
      <c r="E10329" s="1">
        <v>3</v>
      </c>
      <c r="F10329" s="39">
        <f t="shared" si="973"/>
        <v>1093</v>
      </c>
      <c r="G10329" s="169">
        <f>SUM(C10329,C10305,C10281,C10257,C10233,C10209,C10185,C10161,C10137,C10113,C10089,C10065,C10041,C10017)/POBLA!$B$8*100000</f>
        <v>545.97495889133961</v>
      </c>
      <c r="H10329" s="258">
        <f t="shared" si="972"/>
        <v>1.1208709820767293</v>
      </c>
      <c r="I10329" s="310">
        <f t="shared" si="974"/>
        <v>611.9674883618377</v>
      </c>
      <c r="J10329" s="310">
        <f t="shared" si="975"/>
        <v>542.57142857142856</v>
      </c>
      <c r="K10329" s="310">
        <f>J10329/POBLA!$B$8*100000</f>
        <v>39.14766927578976</v>
      </c>
      <c r="L10329" s="68">
        <f t="shared" si="971"/>
        <v>-7.6943486335898648E-3</v>
      </c>
      <c r="M10329" s="512">
        <f>SUM(C10329,C10305,C10281,C10257,C10233,C10209,C10185)/POBLA!$B$8*100000</f>
        <v>274.03368493052835</v>
      </c>
      <c r="N10329" s="42" t="s">
        <v>31</v>
      </c>
      <c r="O10329" s="42">
        <v>741</v>
      </c>
      <c r="P10329" s="42">
        <v>66740</v>
      </c>
    </row>
    <row r="10330" spans="1:16" x14ac:dyDescent="0.25">
      <c r="A10330" s="402" t="s">
        <v>41</v>
      </c>
      <c r="B10330" s="2">
        <v>44323</v>
      </c>
      <c r="C10330" s="4">
        <v>326</v>
      </c>
      <c r="D10330" s="39">
        <f t="shared" si="967"/>
        <v>5765</v>
      </c>
      <c r="E10330" s="1">
        <v>1</v>
      </c>
      <c r="F10330" s="39">
        <f t="shared" si="973"/>
        <v>105</v>
      </c>
      <c r="G10330" s="169">
        <f>SUM(C10330,C10306,C10282,C10258,C10234,C10210,C10186,C10162,C10138,C10114,C10090,C10066,C10042,C10018)/POBLA!$B$9*100000</f>
        <v>296.10388752017951</v>
      </c>
      <c r="H10330" s="258">
        <f t="shared" si="972"/>
        <v>1.3453453453453454</v>
      </c>
      <c r="I10330" s="310">
        <f t="shared" si="974"/>
        <v>398.36198681393523</v>
      </c>
      <c r="J10330" s="310">
        <f t="shared" si="975"/>
        <v>177.28571428571428</v>
      </c>
      <c r="K10330" s="310">
        <f>J10330/POBLA!$B$9*100000</f>
        <v>29.294078795642758</v>
      </c>
      <c r="L10330" s="68">
        <f t="shared" si="971"/>
        <v>-1.2522686025408349</v>
      </c>
      <c r="M10330" s="512">
        <f>SUM(C10330,C10306,C10282,C10258,C10234,C10210,C10186)/POBLA!$B$9*100000</f>
        <v>205.05855156949929</v>
      </c>
      <c r="N10330" s="42" t="s">
        <v>41</v>
      </c>
      <c r="O10330" s="42">
        <v>326</v>
      </c>
      <c r="P10330" s="42">
        <v>5765</v>
      </c>
    </row>
    <row r="10331" spans="1:16" x14ac:dyDescent="0.25">
      <c r="A10331" s="402" t="s">
        <v>32</v>
      </c>
      <c r="B10331" s="2">
        <v>44323</v>
      </c>
      <c r="C10331" s="4">
        <v>126</v>
      </c>
      <c r="D10331" s="39">
        <f t="shared" si="967"/>
        <v>25507</v>
      </c>
      <c r="F10331" s="39">
        <f t="shared" si="973"/>
        <v>1051</v>
      </c>
      <c r="G10331" s="169">
        <f>SUM(C10331,C10307,C10283,C10259,C10235,C10211,C10187,C10163,C10139,C10115,C10091,C10067,C10043,C10019)/POBLA!$B$10*100000</f>
        <v>173.17848020641318</v>
      </c>
      <c r="H10331" s="258">
        <f t="shared" si="972"/>
        <v>1.0871335504885993</v>
      </c>
      <c r="I10331" s="310">
        <f t="shared" si="974"/>
        <v>188.26813605501758</v>
      </c>
      <c r="J10331" s="310">
        <f t="shared" si="975"/>
        <v>91.428571428571431</v>
      </c>
      <c r="K10331" s="310">
        <f>J10331/POBLA!$B$10*100000</f>
        <v>11.860270447523213</v>
      </c>
      <c r="L10331" s="68">
        <f t="shared" si="971"/>
        <v>7.9136690647481966E-2</v>
      </c>
      <c r="M10331" s="512">
        <f>SUM(C10331,C10307,C10283,C10259,C10235,C10211,C10187)/POBLA!$B$10*100000</f>
        <v>83.021893132662498</v>
      </c>
      <c r="N10331" s="42" t="s">
        <v>32</v>
      </c>
      <c r="O10331" s="42">
        <v>126</v>
      </c>
      <c r="P10331" s="42">
        <v>25507</v>
      </c>
    </row>
    <row r="10332" spans="1:16" x14ac:dyDescent="0.25">
      <c r="A10332" s="402" t="s">
        <v>33</v>
      </c>
      <c r="B10332" s="2">
        <v>44323</v>
      </c>
      <c r="C10332" s="4">
        <v>366</v>
      </c>
      <c r="D10332" s="39">
        <f t="shared" si="967"/>
        <v>29402</v>
      </c>
      <c r="E10332" s="1">
        <v>10</v>
      </c>
      <c r="F10332" s="39">
        <f t="shared" si="973"/>
        <v>409</v>
      </c>
      <c r="G10332" s="169">
        <f>SUM(C10332,C10308,C10284,C10260,C10236,C10212,C10188,C10164,C10140,C10116,C10092,C10068,C10044,C10020)/POBLA!$B$11*100000</f>
        <v>1126.3070965437967</v>
      </c>
      <c r="H10332" s="258">
        <f t="shared" si="972"/>
        <v>1.3944732297063904</v>
      </c>
      <c r="I10332" s="310">
        <f t="shared" si="974"/>
        <v>1570.6050945586553</v>
      </c>
      <c r="J10332" s="310">
        <f t="shared" si="975"/>
        <v>324.57142857142856</v>
      </c>
      <c r="K10332" s="310">
        <f>J10332/POBLA!$B$11*100000</f>
        <v>90.554149946831316</v>
      </c>
      <c r="L10332" s="68">
        <f t="shared" si="971"/>
        <v>-0.28725212464589234</v>
      </c>
      <c r="M10332" s="512">
        <f>SUM(C10332,C10308,C10284,C10260,C10236,C10212,C10188)/POBLA!$B$11*100000</f>
        <v>633.8790496278192</v>
      </c>
      <c r="N10332" s="42" t="s">
        <v>33</v>
      </c>
      <c r="O10332" s="42">
        <v>366</v>
      </c>
      <c r="P10332" s="42">
        <v>29402</v>
      </c>
    </row>
    <row r="10333" spans="1:16" x14ac:dyDescent="0.25">
      <c r="A10333" s="402" t="s">
        <v>21</v>
      </c>
      <c r="B10333" s="2">
        <v>44323</v>
      </c>
      <c r="C10333" s="4">
        <v>85</v>
      </c>
      <c r="D10333" s="39">
        <f t="shared" si="967"/>
        <v>14084</v>
      </c>
      <c r="F10333" s="39">
        <f t="shared" si="973"/>
        <v>498</v>
      </c>
      <c r="G10333" s="169">
        <f>SUM(C10333,C10309,C10285,C10261,C10237,C10213,C10189,C10165,C10141,C10117,C10093,C10069,C10045,C10021)/POBLA!$B$12*100000</f>
        <v>299.59520342743008</v>
      </c>
      <c r="H10333" s="258">
        <f t="shared" si="972"/>
        <v>1.0424403183023874</v>
      </c>
      <c r="I10333" s="310">
        <f t="shared" si="974"/>
        <v>312.31011922275871</v>
      </c>
      <c r="J10333" s="310">
        <f t="shared" si="975"/>
        <v>102</v>
      </c>
      <c r="K10333" s="310">
        <f>J10333/POBLA!$B$12*100000</f>
        <v>25.919177904663165</v>
      </c>
      <c r="L10333" s="68">
        <f t="shared" si="971"/>
        <v>-0.53548387096774186</v>
      </c>
      <c r="M10333" s="512">
        <f>SUM(C10333,C10309,C10285,C10261,C10237,C10213,C10189)/POBLA!$B$12*100000</f>
        <v>181.43424533264215</v>
      </c>
      <c r="N10333" s="42" t="s">
        <v>21</v>
      </c>
      <c r="O10333" s="42">
        <v>85</v>
      </c>
      <c r="P10333" s="42">
        <v>14084</v>
      </c>
    </row>
    <row r="10334" spans="1:16" x14ac:dyDescent="0.25">
      <c r="A10334" s="402" t="s">
        <v>17</v>
      </c>
      <c r="B10334" s="2">
        <v>44323</v>
      </c>
      <c r="C10334" s="4">
        <v>923</v>
      </c>
      <c r="D10334" s="39">
        <f t="shared" si="967"/>
        <v>101616</v>
      </c>
      <c r="E10334" s="1">
        <v>16</v>
      </c>
      <c r="F10334" s="39">
        <f t="shared" si="973"/>
        <v>1967</v>
      </c>
      <c r="G10334" s="169">
        <f>SUM(C10334,C10310,C10286,C10262,C10238,C10214,C10190,C10166,C10142,C10118,C10094,C10070,C10046,C10022)/POBLA!$B$13*100000</f>
        <v>527.64907267006913</v>
      </c>
      <c r="H10334" s="258">
        <f t="shared" si="972"/>
        <v>0.85604825562438869</v>
      </c>
      <c r="I10334" s="310">
        <f t="shared" si="974"/>
        <v>451.69306824103899</v>
      </c>
      <c r="J10334" s="310">
        <f t="shared" si="975"/>
        <v>730.57142857142856</v>
      </c>
      <c r="K10334" s="310">
        <f>J10334/POBLA!$B$13*100000</f>
        <v>36.70589761997352</v>
      </c>
      <c r="L10334" s="68">
        <f t="shared" si="971"/>
        <v>5.08537490720119E-2</v>
      </c>
      <c r="M10334" s="512">
        <f>SUM(C10334,C10310,C10286,C10262,C10238,C10214,C10190)/POBLA!$B$13*100000</f>
        <v>256.94128333981467</v>
      </c>
      <c r="N10334" s="42" t="s">
        <v>17</v>
      </c>
      <c r="O10334" s="42">
        <v>923</v>
      </c>
      <c r="P10334" s="42">
        <v>101616</v>
      </c>
    </row>
    <row r="10335" spans="1:16" x14ac:dyDescent="0.25">
      <c r="A10335" s="402" t="s">
        <v>23</v>
      </c>
      <c r="B10335" s="2">
        <v>44323</v>
      </c>
      <c r="C10335" s="4">
        <v>225</v>
      </c>
      <c r="D10335" s="39">
        <f t="shared" si="967"/>
        <v>16580</v>
      </c>
      <c r="F10335" s="39">
        <f t="shared" si="973"/>
        <v>240</v>
      </c>
      <c r="G10335" s="169">
        <f>SUM(C10335,C10311,C10287,C10263,C10239,C10215,C10191,C10167,C10143,C10119,C10095,C10071,C10047,C10023)/POBLA!$B$14*100000</f>
        <v>138.11212928944403</v>
      </c>
      <c r="H10335" s="258">
        <f t="shared" si="972"/>
        <v>0.96777777777777774</v>
      </c>
      <c r="I10335" s="310">
        <f t="shared" si="974"/>
        <v>133.66184956789527</v>
      </c>
      <c r="J10335" s="310">
        <f t="shared" si="975"/>
        <v>135.85714285714286</v>
      </c>
      <c r="K10335" s="310">
        <f>J10335/POBLA!$B$14*100000</f>
        <v>10.771251021343387</v>
      </c>
      <c r="L10335" s="68">
        <f t="shared" si="971"/>
        <v>-0.20227560050568894</v>
      </c>
      <c r="M10335" s="512">
        <f>SUM(C10335,C10311,C10287,C10263,C10239,C10215,C10191)/POBLA!$B$14*100000</f>
        <v>75.398757149403707</v>
      </c>
      <c r="N10335" s="42" t="s">
        <v>23</v>
      </c>
      <c r="O10335" s="42">
        <v>225</v>
      </c>
      <c r="P10335" s="42">
        <v>16580</v>
      </c>
    </row>
    <row r="10336" spans="1:16" x14ac:dyDescent="0.25">
      <c r="A10336" s="402" t="s">
        <v>19</v>
      </c>
      <c r="B10336" s="2">
        <v>44323</v>
      </c>
      <c r="C10336" s="4">
        <v>608</v>
      </c>
      <c r="D10336" s="39">
        <f t="shared" si="967"/>
        <v>74049</v>
      </c>
      <c r="E10336" s="1">
        <v>4</v>
      </c>
      <c r="F10336" s="39">
        <f t="shared" si="973"/>
        <v>1108</v>
      </c>
      <c r="G10336" s="169">
        <f>SUM(C10336,C10312,C10288,C10264,C10240,C10216,C10192,C10168,C10144,C10120,C10096,C10072,C10048,C10024)/POBLA!$B$15*100000</f>
        <v>761.22983418592071</v>
      </c>
      <c r="H10336" s="258">
        <f t="shared" si="972"/>
        <v>1.9104308390022675</v>
      </c>
      <c r="I10336" s="310">
        <f t="shared" si="974"/>
        <v>1454.2769507973655</v>
      </c>
      <c r="J10336" s="310">
        <f t="shared" si="975"/>
        <v>418.85714285714283</v>
      </c>
      <c r="K10336" s="310">
        <f>J10336/POBLA!$B$15*100000</f>
        <v>63.075480396583856</v>
      </c>
      <c r="L10336" s="68">
        <f t="shared" si="971"/>
        <v>-0.38106453132359874</v>
      </c>
      <c r="M10336" s="512">
        <f>SUM(C10336,C10312,C10288,C10264,C10240,C10216,C10192)/POBLA!$B$15*100000</f>
        <v>441.52836277608702</v>
      </c>
      <c r="N10336" s="42" t="s">
        <v>19</v>
      </c>
      <c r="O10336" s="42">
        <v>608</v>
      </c>
      <c r="P10336" s="42">
        <v>74049</v>
      </c>
    </row>
    <row r="10337" spans="1:16" x14ac:dyDescent="0.25">
      <c r="A10337" s="402" t="s">
        <v>18</v>
      </c>
      <c r="B10337" s="2">
        <v>44323</v>
      </c>
      <c r="C10337" s="4">
        <v>321</v>
      </c>
      <c r="D10337" s="39">
        <f t="shared" si="967"/>
        <v>63438</v>
      </c>
      <c r="E10337" s="1">
        <v>4</v>
      </c>
      <c r="F10337" s="39">
        <f t="shared" si="973"/>
        <v>1390</v>
      </c>
      <c r="G10337" s="169">
        <f>SUM(C10337,C10313,C10289,C10265,C10241,C10217,C10193,C10169,C10145,C10121,C10097,C10073,C10049,C10025)/POBLA!$B$16*100000</f>
        <v>526.61146854643459</v>
      </c>
      <c r="H10337" s="258">
        <f t="shared" si="972"/>
        <v>1.3543171654626762</v>
      </c>
      <c r="I10337" s="310">
        <f t="shared" si="974"/>
        <v>713.19895138194454</v>
      </c>
      <c r="J10337" s="310">
        <f t="shared" si="975"/>
        <v>283.57142857142856</v>
      </c>
      <c r="K10337" s="310">
        <f>J10337/POBLA!$B$16*100000</f>
        <v>37.930395335994504</v>
      </c>
      <c r="L10337" s="68">
        <f t="shared" si="971"/>
        <v>-1.6905737704917989E-2</v>
      </c>
      <c r="M10337" s="512">
        <f>SUM(C10337,C10313,C10289,C10265,C10241,C10217,C10193)/POBLA!$B$16*100000</f>
        <v>265.51276735196154</v>
      </c>
      <c r="N10337" s="42" t="s">
        <v>18</v>
      </c>
      <c r="O10337" s="42">
        <v>321</v>
      </c>
      <c r="P10337" s="42">
        <v>63438</v>
      </c>
    </row>
    <row r="10338" spans="1:16" x14ac:dyDescent="0.25">
      <c r="A10338" s="402" t="s">
        <v>34</v>
      </c>
      <c r="B10338" s="2">
        <v>44323</v>
      </c>
      <c r="C10338" s="4">
        <v>270</v>
      </c>
      <c r="D10338" s="39">
        <f t="shared" si="967"/>
        <v>36159</v>
      </c>
      <c r="E10338" s="1">
        <v>1</v>
      </c>
      <c r="F10338" s="39">
        <f t="shared" si="973"/>
        <v>1298</v>
      </c>
      <c r="G10338" s="169">
        <f>SUM(C10338,C10314,C10290,C10266,C10242,C10218,C10194,C10170,C10146,C10122,C10098,C10074,C10050,C10026)/POBLA!$B$17*100000</f>
        <v>188.57102338744042</v>
      </c>
      <c r="H10338" s="258">
        <f t="shared" ref="H10338:H10361" si="976">SUM(C10338,C10314,C10290,C10266,C10242,C10218,C10194,C10170,C10146,C10122,C10098,C10074,C10050,C10026)/SUM(C10002,C9978,C9954,C9930,C9906,C9882,C9858,C9834,C9810,C9786,C9762,C9738,C9714,C9690)</f>
        <v>0.98064987221613731</v>
      </c>
      <c r="I10338" s="310">
        <f t="shared" si="974"/>
        <v>184.92214998855968</v>
      </c>
      <c r="J10338" s="310">
        <f t="shared" si="975"/>
        <v>196.28571428571428</v>
      </c>
      <c r="K10338" s="310">
        <f>J10338/POBLA!$B$17*100000</f>
        <v>13.780267319133239</v>
      </c>
      <c r="L10338" s="68">
        <f t="shared" si="971"/>
        <v>-4.7256097560975707E-2</v>
      </c>
      <c r="M10338" s="512">
        <f>SUM(C10338,C10314,C10290,C10266,C10242,C10218,C10194)/POBLA!$B$17*100000</f>
        <v>96.461871233932669</v>
      </c>
      <c r="N10338" s="42" t="s">
        <v>34</v>
      </c>
      <c r="O10338" s="42">
        <v>270</v>
      </c>
      <c r="P10338" s="42">
        <v>36159</v>
      </c>
    </row>
    <row r="10339" spans="1:16" x14ac:dyDescent="0.25">
      <c r="A10339" s="402" t="s">
        <v>35</v>
      </c>
      <c r="B10339" s="2">
        <v>44323</v>
      </c>
      <c r="C10339" s="4">
        <v>480</v>
      </c>
      <c r="D10339" s="39">
        <f t="shared" si="967"/>
        <v>25962</v>
      </c>
      <c r="E10339" s="1">
        <v>74</v>
      </c>
      <c r="F10339" s="39">
        <f t="shared" si="973"/>
        <v>484</v>
      </c>
      <c r="G10339" s="169">
        <f>SUM(C10339,C10315,C10291,C10267,C10243,C10219,C10195,C10171,C10147,C10123,C10099,C10075,C10051,C10027)/POBLA!$B$18*100000</f>
        <v>540.18281732220362</v>
      </c>
      <c r="H10339" s="258">
        <f t="shared" si="976"/>
        <v>1.3813420621931261</v>
      </c>
      <c r="I10339" s="310">
        <f t="shared" si="974"/>
        <v>746.17724684114546</v>
      </c>
      <c r="J10339" s="310">
        <f t="shared" si="975"/>
        <v>334</v>
      </c>
      <c r="K10339" s="310">
        <f>J10339/POBLA!$B$18*100000</f>
        <v>42.753805920762098</v>
      </c>
      <c r="L10339" s="68">
        <f t="shared" si="971"/>
        <v>-0.24229543039319879</v>
      </c>
      <c r="M10339" s="512">
        <f>SUM(C10339,C10315,C10291,C10267,C10243,C10219,C10195)/POBLA!$B$18*100000</f>
        <v>299.27664144533469</v>
      </c>
      <c r="N10339" s="42" t="s">
        <v>35</v>
      </c>
      <c r="O10339" s="42">
        <v>480</v>
      </c>
      <c r="P10339" s="42">
        <v>25962</v>
      </c>
    </row>
    <row r="10340" spans="1:16" x14ac:dyDescent="0.25">
      <c r="A10340" s="402" t="s">
        <v>36</v>
      </c>
      <c r="B10340" s="2">
        <v>44323</v>
      </c>
      <c r="C10340" s="4">
        <v>451</v>
      </c>
      <c r="D10340" s="39">
        <f t="shared" si="967"/>
        <v>40437</v>
      </c>
      <c r="E10340" s="1">
        <v>6</v>
      </c>
      <c r="F10340" s="39">
        <f t="shared" si="973"/>
        <v>529</v>
      </c>
      <c r="G10340" s="169">
        <f>SUM(C10340,C10316,C10292,C10268,C10244,C10220,C10196,C10172,C10148,C10124,C10100,C10076,C10052,C10028)/POBLA!$B$19*100000</f>
        <v>1386.1129034796431</v>
      </c>
      <c r="H10340" s="258">
        <f t="shared" si="976"/>
        <v>0.90460906406470665</v>
      </c>
      <c r="I10340" s="310">
        <f t="shared" si="974"/>
        <v>1253.8902963047331</v>
      </c>
      <c r="J10340" s="310">
        <f t="shared" si="975"/>
        <v>423.28571428571428</v>
      </c>
      <c r="K10340" s="310">
        <f>J10340/POBLA!$B$19*100000</f>
        <v>83.270194497590978</v>
      </c>
      <c r="L10340" s="68">
        <f t="shared" si="971"/>
        <v>0.27430810678422723</v>
      </c>
      <c r="M10340" s="512">
        <f>SUM(C10340,C10316,C10292,C10268,C10244,C10220,C10196)/POBLA!$B$19*100000</f>
        <v>582.89136148313685</v>
      </c>
      <c r="N10340" s="42" t="s">
        <v>36</v>
      </c>
      <c r="O10340" s="42">
        <v>451</v>
      </c>
      <c r="P10340" s="42">
        <v>40437</v>
      </c>
    </row>
    <row r="10341" spans="1:16" x14ac:dyDescent="0.25">
      <c r="A10341" s="402" t="s">
        <v>37</v>
      </c>
      <c r="B10341" s="2">
        <v>44323</v>
      </c>
      <c r="C10341" s="4">
        <v>254</v>
      </c>
      <c r="D10341" s="39">
        <f t="shared" si="967"/>
        <v>46237</v>
      </c>
      <c r="E10341" s="1">
        <v>4</v>
      </c>
      <c r="F10341" s="39">
        <f t="shared" si="973"/>
        <v>733</v>
      </c>
      <c r="G10341" s="169">
        <f>SUM(C10341,C10317,C10293,C10269,C10245,C10221,C10197,C10173,C10149,C10125,C10101,C10077,C10053,C10029)/POBLA!$B$20*100000</f>
        <v>796.55890926392817</v>
      </c>
      <c r="H10341" s="258">
        <f t="shared" si="976"/>
        <v>1.1021566401816119</v>
      </c>
      <c r="I10341" s="310">
        <f t="shared" si="974"/>
        <v>877.93269114106045</v>
      </c>
      <c r="J10341" s="310">
        <f t="shared" si="975"/>
        <v>210.71428571428572</v>
      </c>
      <c r="K10341" s="310">
        <f>J10341/POBLA!$B$20*100000</f>
        <v>57.619753379642681</v>
      </c>
      <c r="L10341" s="68">
        <f t="shared" si="971"/>
        <v>-2.5730180806675884E-2</v>
      </c>
      <c r="M10341" s="512">
        <f>SUM(C10341,C10317,C10293,C10269,C10245,C10221,C10197)/POBLA!$B$20*100000</f>
        <v>403.3382736574988</v>
      </c>
      <c r="N10341" s="42" t="s">
        <v>37</v>
      </c>
      <c r="O10341" s="42">
        <v>254</v>
      </c>
      <c r="P10341" s="42">
        <v>46237</v>
      </c>
    </row>
    <row r="10342" spans="1:16" x14ac:dyDescent="0.25">
      <c r="A10342" s="402" t="s">
        <v>22</v>
      </c>
      <c r="B10342" s="2">
        <v>44323</v>
      </c>
      <c r="C10342" s="4">
        <v>1946</v>
      </c>
      <c r="D10342" s="39">
        <f t="shared" si="967"/>
        <v>286449</v>
      </c>
      <c r="E10342" s="1">
        <v>23</v>
      </c>
      <c r="F10342" s="39">
        <f t="shared" si="973"/>
        <v>4786</v>
      </c>
      <c r="G10342" s="169">
        <f>SUM(C10342,C10318,C10294,C10270,C10246,C10222,C10198,C10174,C10150,C10126,C10102,C10078,C10054,C10030)/POBLA!$B$21*100000</f>
        <v>685.63727477916916</v>
      </c>
      <c r="H10342" s="258">
        <f t="shared" si="976"/>
        <v>1.0933399467917211</v>
      </c>
      <c r="I10342" s="310">
        <f t="shared" si="974"/>
        <v>749.63462152547743</v>
      </c>
      <c r="J10342" s="310">
        <f t="shared" si="975"/>
        <v>1725.5714285714287</v>
      </c>
      <c r="K10342" s="310">
        <f>J10342/POBLA!$B$21*100000</f>
        <v>48.794328853982435</v>
      </c>
      <c r="L10342" s="68">
        <f t="shared" si="971"/>
        <v>7.3142669296515361E-3</v>
      </c>
      <c r="M10342" s="512">
        <f>SUM(C10342,C10318,C10294,C10270,C10246,C10222,C10198)/POBLA!$B$21*100000</f>
        <v>341.56030197787703</v>
      </c>
      <c r="N10342" s="42" t="s">
        <v>22</v>
      </c>
      <c r="O10342" s="42">
        <v>1946</v>
      </c>
      <c r="P10342" s="42">
        <v>286449</v>
      </c>
    </row>
    <row r="10343" spans="1:16" x14ac:dyDescent="0.25">
      <c r="A10343" s="402" t="s">
        <v>38</v>
      </c>
      <c r="B10343" s="2">
        <v>44323</v>
      </c>
      <c r="C10343" s="4">
        <v>349</v>
      </c>
      <c r="D10343" s="39">
        <f t="shared" si="967"/>
        <v>32255</v>
      </c>
      <c r="E10343" s="1">
        <v>2</v>
      </c>
      <c r="F10343" s="39">
        <f t="shared" si="973"/>
        <v>365</v>
      </c>
      <c r="G10343" s="169">
        <f>SUM(C10343,C10319,C10295,C10271,C10247,C10223,C10199,C10175,C10151,C10127,C10103,C10079,C10055,C10031)/POBLA!$B$22*100000</f>
        <v>299.08628424645281</v>
      </c>
      <c r="H10343" s="258">
        <f t="shared" si="976"/>
        <v>1.0093135563987581</v>
      </c>
      <c r="I10343" s="310">
        <f t="shared" si="974"/>
        <v>301.87184122287715</v>
      </c>
      <c r="J10343" s="310">
        <f t="shared" si="975"/>
        <v>230.28571428571428</v>
      </c>
      <c r="K10343" s="310">
        <f>J10343/POBLA!$B$22*100000</f>
        <v>23.539063089799917</v>
      </c>
      <c r="L10343" s="68">
        <f t="shared" si="971"/>
        <v>-0.22678843226788437</v>
      </c>
      <c r="M10343" s="512">
        <f>SUM(C10343,C10319,C10295,C10271,C10247,C10223,C10199)/POBLA!$B$22*100000</f>
        <v>164.77344162859941</v>
      </c>
      <c r="N10343" s="42" t="s">
        <v>38</v>
      </c>
      <c r="O10343" s="42">
        <v>349</v>
      </c>
      <c r="P10343" s="42">
        <v>32255</v>
      </c>
    </row>
    <row r="10344" spans="1:16" x14ac:dyDescent="0.25">
      <c r="A10344" s="402" t="s">
        <v>39</v>
      </c>
      <c r="B10344" s="2">
        <v>44323</v>
      </c>
      <c r="C10344" s="4">
        <v>83</v>
      </c>
      <c r="D10344" s="39">
        <f t="shared" si="967"/>
        <v>26931</v>
      </c>
      <c r="E10344" s="1">
        <v>5</v>
      </c>
      <c r="F10344" s="39">
        <f t="shared" si="973"/>
        <v>401</v>
      </c>
      <c r="G10344" s="169">
        <f>SUM(C10344,C10320,C10296,C10272,C10248,C10224,C10200,C10176,C10152,C10128,C10104,C10080,C10056,C10032)/POBLA!$B$23*100000</f>
        <v>559.8597523044732</v>
      </c>
      <c r="H10344" s="258">
        <f t="shared" si="976"/>
        <v>0.80097087378640774</v>
      </c>
      <c r="I10344" s="310">
        <f t="shared" si="974"/>
        <v>448.43135500115574</v>
      </c>
      <c r="J10344" s="310">
        <f t="shared" si="975"/>
        <v>70.857142857142861</v>
      </c>
      <c r="K10344" s="310">
        <f>J10344/POBLA!$B$23*100000</f>
        <v>40.070770150507755</v>
      </c>
      <c r="L10344" s="68">
        <f t="shared" si="971"/>
        <v>-4.0485829959513442E-3</v>
      </c>
      <c r="M10344" s="512">
        <f>SUM(C10344,C10320,C10296,C10272,C10248,C10224,C10200)/POBLA!$B$23*100000</f>
        <v>280.49539105355427</v>
      </c>
      <c r="N10344" s="42" t="s">
        <v>39</v>
      </c>
      <c r="O10344" s="42">
        <v>83</v>
      </c>
      <c r="P10344" s="42">
        <v>26931</v>
      </c>
    </row>
    <row r="10345" spans="1:16" ht="15.75" thickBot="1" x14ac:dyDescent="0.3">
      <c r="A10345" s="404" t="s">
        <v>40</v>
      </c>
      <c r="B10345" s="268">
        <v>44323</v>
      </c>
      <c r="C10345" s="390">
        <v>596</v>
      </c>
      <c r="D10345" s="177">
        <f t="shared" si="967"/>
        <v>109918</v>
      </c>
      <c r="E10345" s="44">
        <v>16</v>
      </c>
      <c r="F10345" s="177">
        <f t="shared" si="973"/>
        <v>1707</v>
      </c>
      <c r="G10345" s="178">
        <f>SUM(C10345,C10321,C10297,C10273,C10249,C10225,C10201,C10177,C10153,C10129,C10105,C10081,C10057,C10033)/POBLA!$B$24*100000</f>
        <v>472.78031647720832</v>
      </c>
      <c r="H10345" s="513">
        <f t="shared" si="976"/>
        <v>0.86011808910359633</v>
      </c>
      <c r="I10345" s="514">
        <f t="shared" si="974"/>
        <v>406.64690237416994</v>
      </c>
      <c r="J10345" s="514">
        <f t="shared" si="975"/>
        <v>516.85714285714289</v>
      </c>
      <c r="K10345" s="514">
        <f>J10345/POBLA!$B$24*100000</f>
        <v>30.499236591800511</v>
      </c>
      <c r="L10345" s="68">
        <f t="shared" si="971"/>
        <v>0.17660446062812929</v>
      </c>
      <c r="M10345" s="516">
        <f>SUM(C10345,C10321,C10297,C10273,C10249,C10225,C10201)/POBLA!$B$24*100000</f>
        <v>213.49465614260359</v>
      </c>
      <c r="N10345" s="42" t="s">
        <v>40</v>
      </c>
      <c r="O10345" s="42">
        <v>596</v>
      </c>
      <c r="P10345" s="42">
        <v>109918</v>
      </c>
    </row>
    <row r="10346" spans="1:16" ht="15.75" thickBot="1" x14ac:dyDescent="0.3">
      <c r="A10346" s="397" t="s">
        <v>16</v>
      </c>
      <c r="B10346" s="268">
        <v>44324</v>
      </c>
      <c r="C10346" s="42">
        <v>7443</v>
      </c>
      <c r="D10346" s="175">
        <f t="shared" si="967"/>
        <v>1370612</v>
      </c>
      <c r="E10346" s="227">
        <v>81</v>
      </c>
      <c r="F10346" s="175">
        <f t="shared" ref="F10346:F10369" si="977">E10346+F10322</f>
        <v>34587</v>
      </c>
      <c r="G10346" s="176">
        <f>SUM(C10346,C10322,C10298,C10274,C10250,C10226,C10202,C10178,C10154,C10130,C10106,C10082,C10058,C10034)/POBLA!$B$1*100000</f>
        <v>755.66920076635836</v>
      </c>
      <c r="H10346" s="313">
        <f t="shared" si="976"/>
        <v>0.80200026621812948</v>
      </c>
      <c r="I10346" s="314">
        <f>G10346*H10346</f>
        <v>606.04690018746055</v>
      </c>
      <c r="J10346" s="314">
        <f>AVERAGE(C10346,C10322,C10298,C10274,C10250,C10226,C10202)</f>
        <v>9028</v>
      </c>
      <c r="K10346" s="314">
        <f>J10346/POBLA!$B$1*100000</f>
        <v>51.467575569913038</v>
      </c>
      <c r="L10346" s="68">
        <f t="shared" si="971"/>
        <v>8.8830255057168017E-2</v>
      </c>
      <c r="M10346" s="511">
        <f>SUM(C10346,C10322,C10298,C10274,C10250,C10226,C10202)/POBLA!$B$1*100000</f>
        <v>360.27302898939126</v>
      </c>
      <c r="N10346" s="42" t="s">
        <v>270</v>
      </c>
      <c r="O10346" s="42">
        <v>7443</v>
      </c>
      <c r="P10346" s="42">
        <v>1370612</v>
      </c>
    </row>
    <row r="10347" spans="1:16" ht="15.75" thickBot="1" x14ac:dyDescent="0.3">
      <c r="A10347" s="402" t="s">
        <v>43</v>
      </c>
      <c r="B10347" s="268">
        <v>44324</v>
      </c>
      <c r="C10347" s="42">
        <v>2054</v>
      </c>
      <c r="D10347" s="39">
        <f t="shared" si="967"/>
        <v>360303</v>
      </c>
      <c r="E10347" s="1">
        <v>22</v>
      </c>
      <c r="F10347" s="39">
        <f t="shared" si="977"/>
        <v>8104</v>
      </c>
      <c r="G10347" s="169">
        <f>SUM(C10347,C10323,C10299,C10275,C10251,C10227,C10203,C10179,C10155,C10131,C10107,C10083,C10059,C10035)/POBLA!$B$2*100000</f>
        <v>1140.3132870297816</v>
      </c>
      <c r="H10347" s="258">
        <f t="shared" si="976"/>
        <v>0.83215489014378585</v>
      </c>
      <c r="I10347" s="310">
        <f t="shared" ref="I10347:I10369" si="978">G10347*H10347</f>
        <v>948.91727809776728</v>
      </c>
      <c r="J10347" s="310">
        <f t="shared" ref="J10347:J10369" si="979">AVERAGE(C10347,C10323,C10299,C10275,C10251,C10227,C10203)</f>
        <v>2254.2857142857142</v>
      </c>
      <c r="K10347" s="310">
        <f>J10347/POBLA!$B$2*100000</f>
        <v>73.294706682294205</v>
      </c>
      <c r="L10347" s="68">
        <f t="shared" si="971"/>
        <v>0.18204437072361601</v>
      </c>
      <c r="M10347" s="512">
        <f>SUM(C10347,C10323,C10299,C10275,C10251,C10227,C10203)/POBLA!$B$2*100000</f>
        <v>513.06294677605945</v>
      </c>
      <c r="N10347" s="42" t="s">
        <v>43</v>
      </c>
      <c r="O10347" s="42">
        <v>2054</v>
      </c>
      <c r="P10347" s="42">
        <v>360303</v>
      </c>
    </row>
    <row r="10348" spans="1:16" ht="15.75" thickBot="1" x14ac:dyDescent="0.3">
      <c r="A10348" s="402" t="s">
        <v>28</v>
      </c>
      <c r="B10348" s="268">
        <v>44324</v>
      </c>
      <c r="C10348" s="42">
        <v>51</v>
      </c>
      <c r="D10348" s="39">
        <f t="shared" si="967"/>
        <v>15934</v>
      </c>
      <c r="E10348" s="1">
        <v>2</v>
      </c>
      <c r="F10348" s="39">
        <f t="shared" si="977"/>
        <v>109</v>
      </c>
      <c r="G10348" s="169">
        <f>SUM(C10348,C10324,C10300,C10276,C10252,C10228,C10204,C10180,C10156,C10132,C10108,C10084,C10060,C10036)/POBLA!$B$3*100000</f>
        <v>495.86219845079171</v>
      </c>
      <c r="H10348" s="258">
        <f t="shared" si="976"/>
        <v>0.89565217391304353</v>
      </c>
      <c r="I10348" s="310">
        <f t="shared" si="978"/>
        <v>444.12005600375261</v>
      </c>
      <c r="J10348" s="310">
        <f t="shared" si="979"/>
        <v>142.42857142857142</v>
      </c>
      <c r="K10348" s="310">
        <f>J10348/POBLA!$B$3*100000</f>
        <v>34.283953665425749</v>
      </c>
      <c r="L10348" s="68">
        <f t="shared" si="971"/>
        <v>6.2088428974600207E-2</v>
      </c>
      <c r="M10348" s="512">
        <f>SUM(C10348,C10324,C10300,C10276,C10252,C10228,C10204)/POBLA!$B$3*100000</f>
        <v>239.98767565798028</v>
      </c>
      <c r="N10348" s="42" t="s">
        <v>28</v>
      </c>
      <c r="O10348" s="42">
        <v>51</v>
      </c>
      <c r="P10348" s="42">
        <v>15934</v>
      </c>
    </row>
    <row r="10349" spans="1:16" ht="15.75" thickBot="1" x14ac:dyDescent="0.3">
      <c r="A10349" s="402" t="s">
        <v>15</v>
      </c>
      <c r="B10349" s="268">
        <v>44324</v>
      </c>
      <c r="C10349" s="42">
        <v>237</v>
      </c>
      <c r="D10349" s="39">
        <f t="shared" si="967"/>
        <v>46877</v>
      </c>
      <c r="E10349" s="1">
        <v>4</v>
      </c>
      <c r="F10349" s="39">
        <f t="shared" si="977"/>
        <v>1075</v>
      </c>
      <c r="G10349" s="169">
        <f>SUM(C10349,C10325,C10301,C10277,C10253,C10229,C10205,C10181,C10157,C10133,C10109,C10085,C10061,C10037)/POBLA!$B$4*100000</f>
        <v>285.17086591490039</v>
      </c>
      <c r="H10349" s="258">
        <f t="shared" si="976"/>
        <v>1.060840024706609</v>
      </c>
      <c r="I10349" s="310">
        <f t="shared" si="978"/>
        <v>302.520668442768</v>
      </c>
      <c r="J10349" s="310">
        <f t="shared" si="979"/>
        <v>264.14285714285717</v>
      </c>
      <c r="K10349" s="310">
        <f>J10349/POBLA!$B$4*100000</f>
        <v>21.928922065986725</v>
      </c>
      <c r="L10349" s="68">
        <f t="shared" si="971"/>
        <v>-0.16582597730138704</v>
      </c>
      <c r="M10349" s="512">
        <f>SUM(C10349,C10325,C10301,C10277,C10253,C10229,C10205)/POBLA!$B$4*100000</f>
        <v>153.50245446190706</v>
      </c>
      <c r="N10349" s="42" t="s">
        <v>15</v>
      </c>
      <c r="O10349" s="42">
        <v>237</v>
      </c>
      <c r="P10349" s="42">
        <v>46877</v>
      </c>
    </row>
    <row r="10350" spans="1:16" ht="15.75" thickBot="1" x14ac:dyDescent="0.3">
      <c r="A10350" s="402" t="s">
        <v>29</v>
      </c>
      <c r="B10350" s="268">
        <v>44324</v>
      </c>
      <c r="C10350" s="42">
        <v>127</v>
      </c>
      <c r="D10350" s="39">
        <f t="shared" si="967"/>
        <v>56245</v>
      </c>
      <c r="E10350" s="1">
        <v>1</v>
      </c>
      <c r="F10350" s="39">
        <f t="shared" si="977"/>
        <v>932</v>
      </c>
      <c r="G10350" s="169">
        <f>SUM(C10350,C10326,C10302,C10278,C10254,C10230,C10206,C10182,C10158,C10134,C10110,C10086,C10062,C10038)/POBLA!$B$5*100000</f>
        <v>385.94881372032688</v>
      </c>
      <c r="H10350" s="258">
        <f t="shared" si="976"/>
        <v>0.93247462919594071</v>
      </c>
      <c r="I10350" s="310">
        <f t="shared" si="978"/>
        <v>359.88747696247498</v>
      </c>
      <c r="J10350" s="310">
        <f t="shared" si="979"/>
        <v>179.57142857142858</v>
      </c>
      <c r="K10350" s="310">
        <f>J10350/POBLA!$B$5*100000</f>
        <v>29.010205037759427</v>
      </c>
      <c r="L10350" s="68">
        <f t="shared" si="971"/>
        <v>-0.11042402826855113</v>
      </c>
      <c r="M10350" s="512">
        <f>SUM(C10350,C10326,C10302,C10278,C10254,C10230,C10206)/POBLA!$B$5*100000</f>
        <v>203.07143526431597</v>
      </c>
      <c r="N10350" s="42" t="s">
        <v>29</v>
      </c>
      <c r="O10350" s="42">
        <v>127</v>
      </c>
      <c r="P10350" s="42">
        <v>56245</v>
      </c>
    </row>
    <row r="10351" spans="1:16" ht="15.75" thickBot="1" x14ac:dyDescent="0.3">
      <c r="A10351" s="402" t="s">
        <v>30</v>
      </c>
      <c r="B10351" s="268">
        <v>44324</v>
      </c>
      <c r="C10351" s="42">
        <v>266</v>
      </c>
      <c r="D10351" s="39">
        <f t="shared" si="967"/>
        <v>38982</v>
      </c>
      <c r="E10351" s="1">
        <v>8</v>
      </c>
      <c r="F10351" s="39">
        <f t="shared" si="977"/>
        <v>529</v>
      </c>
      <c r="G10351" s="169">
        <f>SUM(C10351,C10327,C10303,C10279,C10255,C10231,C10207,C10183,C10159,C10135,C10111,C10087,C10063,C10039)/POBLA!$B$6*100000</f>
        <v>230.63862362720948</v>
      </c>
      <c r="H10351" s="258">
        <f t="shared" si="976"/>
        <v>0.7636632200886263</v>
      </c>
      <c r="I10351" s="310">
        <f t="shared" si="978"/>
        <v>176.13023399596352</v>
      </c>
      <c r="J10351" s="310">
        <f t="shared" si="979"/>
        <v>190.71428571428572</v>
      </c>
      <c r="K10351" s="310">
        <f>J10351/POBLA!$B$6*100000</f>
        <v>17.01589182328404</v>
      </c>
      <c r="L10351" s="68">
        <f t="shared" si="971"/>
        <v>-6.800000000000006E-2</v>
      </c>
      <c r="M10351" s="512">
        <f>SUM(C10351,C10327,C10303,C10279,C10255,C10231,C10207)/POBLA!$B$6*100000</f>
        <v>119.11124276298825</v>
      </c>
      <c r="N10351" s="42" t="s">
        <v>30</v>
      </c>
      <c r="O10351" s="42">
        <v>266</v>
      </c>
      <c r="P10351" s="42">
        <v>38982</v>
      </c>
    </row>
    <row r="10352" spans="1:16" ht="15.75" thickBot="1" x14ac:dyDescent="0.3">
      <c r="A10352" s="402" t="s">
        <v>20</v>
      </c>
      <c r="B10352" s="268">
        <v>44324</v>
      </c>
      <c r="C10352" s="42">
        <v>1603</v>
      </c>
      <c r="D10352" s="39">
        <f t="shared" si="967"/>
        <v>239433</v>
      </c>
      <c r="E10352" s="1">
        <v>7</v>
      </c>
      <c r="F10352" s="39">
        <f t="shared" si="977"/>
        <v>3496</v>
      </c>
      <c r="G10352" s="169">
        <f>SUM(C10352,C10328,C10304,C10280,C10256,C10232,C10208,C10184,C10160,C10136,C10112,C10088,C10064,C10040)/POBLA!$B$7*100000</f>
        <v>579.77103804066007</v>
      </c>
      <c r="H10352" s="258">
        <f t="shared" si="976"/>
        <v>0.92778416102812888</v>
      </c>
      <c r="I10352" s="310">
        <f t="shared" si="978"/>
        <v>537.90238611696122</v>
      </c>
      <c r="J10352" s="310">
        <f t="shared" si="979"/>
        <v>1554.8571428571429</v>
      </c>
      <c r="K10352" s="310">
        <f>J10352/POBLA!$B$7*100000</f>
        <v>41.347635066471909</v>
      </c>
      <c r="L10352" s="68">
        <f t="shared" si="971"/>
        <v>3.1141234658362826E-3</v>
      </c>
      <c r="M10352" s="512">
        <f>SUM(C10352,C10328,C10304,C10280,C10256,C10232,C10208)/POBLA!$B$7*100000</f>
        <v>289.43344546530335</v>
      </c>
      <c r="N10352" s="42" t="s">
        <v>20</v>
      </c>
      <c r="O10352" s="42">
        <v>1603</v>
      </c>
      <c r="P10352" s="42">
        <v>239433</v>
      </c>
    </row>
    <row r="10353" spans="1:16" ht="15.75" thickBot="1" x14ac:dyDescent="0.3">
      <c r="A10353" s="402" t="s">
        <v>31</v>
      </c>
      <c r="B10353" s="268">
        <v>44324</v>
      </c>
      <c r="C10353" s="42">
        <v>410</v>
      </c>
      <c r="D10353" s="39">
        <f t="shared" si="967"/>
        <v>67150</v>
      </c>
      <c r="E10353" s="1">
        <v>4</v>
      </c>
      <c r="F10353" s="39">
        <f t="shared" si="977"/>
        <v>1097</v>
      </c>
      <c r="G10353" s="169">
        <f>SUM(C10353,C10329,C10305,C10281,C10257,C10233,C10209,C10185,C10161,C10137,C10113,C10089,C10065,C10041)/POBLA!$B$8*100000</f>
        <v>534.50277460909797</v>
      </c>
      <c r="H10353" s="258">
        <f t="shared" si="976"/>
        <v>1.0770572840942134</v>
      </c>
      <c r="I10353" s="310">
        <f t="shared" si="978"/>
        <v>575.69010676129653</v>
      </c>
      <c r="J10353" s="310">
        <f t="shared" si="979"/>
        <v>546</v>
      </c>
      <c r="K10353" s="310">
        <f>J10353/POBLA!$B$8*100000</f>
        <v>39.395047912603602</v>
      </c>
      <c r="L10353" s="68">
        <f t="shared" si="971"/>
        <v>-6.5811489124372624E-2</v>
      </c>
      <c r="M10353" s="512">
        <f>SUM(C10353,C10329,C10305,C10281,C10257,C10233,C10209)/POBLA!$B$8*100000</f>
        <v>275.7653353882252</v>
      </c>
      <c r="N10353" s="42" t="s">
        <v>31</v>
      </c>
      <c r="O10353" s="42">
        <v>410</v>
      </c>
      <c r="P10353" s="42">
        <v>67150</v>
      </c>
    </row>
    <row r="10354" spans="1:16" ht="15.75" thickBot="1" x14ac:dyDescent="0.3">
      <c r="A10354" s="402" t="s">
        <v>41</v>
      </c>
      <c r="B10354" s="268">
        <v>44324</v>
      </c>
      <c r="C10354" s="42">
        <v>132</v>
      </c>
      <c r="D10354" s="39">
        <f t="shared" si="967"/>
        <v>5897</v>
      </c>
      <c r="F10354" s="39">
        <f t="shared" si="977"/>
        <v>105</v>
      </c>
      <c r="G10354" s="169">
        <f>SUM(C10354,C10330,C10306,C10282,C10258,C10234,C10210,C10186,C10162,C10138,C10114,C10090,C10066,C10042)/POBLA!$B$9*100000</f>
        <v>299.24338186330641</v>
      </c>
      <c r="H10354" s="258">
        <f t="shared" si="976"/>
        <v>1.2593880389429764</v>
      </c>
      <c r="I10354" s="310">
        <f t="shared" si="978"/>
        <v>376.86353585149368</v>
      </c>
      <c r="J10354" s="310">
        <f t="shared" si="979"/>
        <v>194.71428571428572</v>
      </c>
      <c r="K10354" s="310">
        <f>J10354/POBLA!$B$9*100000</f>
        <v>32.173915711894509</v>
      </c>
      <c r="L10354" s="68">
        <f t="shared" si="971"/>
        <v>-2.0424107142857144</v>
      </c>
      <c r="M10354" s="512">
        <f>SUM(C10354,C10330,C10306,C10282,C10258,C10234,C10210)/POBLA!$B$9*100000</f>
        <v>225.21740998326152</v>
      </c>
      <c r="N10354" s="42" t="s">
        <v>41</v>
      </c>
      <c r="O10354" s="42">
        <v>132</v>
      </c>
      <c r="P10354" s="42">
        <v>5897</v>
      </c>
    </row>
    <row r="10355" spans="1:16" ht="15.75" thickBot="1" x14ac:dyDescent="0.3">
      <c r="A10355" s="402" t="s">
        <v>32</v>
      </c>
      <c r="B10355" s="268">
        <v>44324</v>
      </c>
      <c r="C10355" s="42">
        <v>85</v>
      </c>
      <c r="D10355" s="39">
        <f t="shared" ref="D10355:D10418" si="980">C10355+D10331</f>
        <v>25592</v>
      </c>
      <c r="E10355" s="1">
        <v>4</v>
      </c>
      <c r="F10355" s="39">
        <f t="shared" si="977"/>
        <v>1055</v>
      </c>
      <c r="G10355" s="169">
        <f>SUM(C10355,C10331,C10307,C10283,C10259,C10235,C10211,C10187,C10163,C10139,C10115,C10091,C10067,C10043)/POBLA!$B$10*100000</f>
        <v>172.52987166631425</v>
      </c>
      <c r="H10355" s="258">
        <f t="shared" si="976"/>
        <v>1.0374414976599065</v>
      </c>
      <c r="I10355" s="310">
        <f t="shared" si="978"/>
        <v>178.98964845257251</v>
      </c>
      <c r="J10355" s="310">
        <f t="shared" si="979"/>
        <v>95.142857142857139</v>
      </c>
      <c r="K10355" s="310">
        <f>J10355/POBLA!$B$10*100000</f>
        <v>12.342093934453844</v>
      </c>
      <c r="L10355" s="68">
        <f t="shared" si="971"/>
        <v>-3.0120481927711218E-3</v>
      </c>
      <c r="M10355" s="512">
        <f>SUM(C10355,C10331,C10307,C10283,C10259,C10235,C10211)/POBLA!$B$10*100000</f>
        <v>86.394657541176912</v>
      </c>
      <c r="N10355" s="42" t="s">
        <v>32</v>
      </c>
      <c r="O10355" s="42">
        <v>85</v>
      </c>
      <c r="P10355" s="42">
        <v>25592</v>
      </c>
    </row>
    <row r="10356" spans="1:16" ht="15.75" thickBot="1" x14ac:dyDescent="0.3">
      <c r="A10356" s="402" t="s">
        <v>33</v>
      </c>
      <c r="B10356" s="268">
        <v>44324</v>
      </c>
      <c r="C10356" s="42">
        <v>374</v>
      </c>
      <c r="D10356" s="39">
        <f t="shared" si="980"/>
        <v>29776</v>
      </c>
      <c r="F10356" s="39">
        <f t="shared" si="977"/>
        <v>409</v>
      </c>
      <c r="G10356" s="169">
        <f>SUM(C10356,C10332,C10308,C10284,C10260,C10236,C10212,C10188,C10164,C10140,C10116,C10092,C10068,C10044)/POBLA!$B$11*100000</f>
        <v>1179.8743401743168</v>
      </c>
      <c r="H10356" s="258">
        <f t="shared" si="976"/>
        <v>1.4403950953678475</v>
      </c>
      <c r="I10356" s="310">
        <f t="shared" si="978"/>
        <v>1699.4852127374611</v>
      </c>
      <c r="J10356" s="310">
        <f t="shared" si="979"/>
        <v>338.28571428571428</v>
      </c>
      <c r="K10356" s="310">
        <f>J10356/POBLA!$B$11*100000</f>
        <v>94.380381634725595</v>
      </c>
      <c r="L10356" s="68">
        <f t="shared" si="971"/>
        <v>-0.27243417517463731</v>
      </c>
      <c r="M10356" s="512">
        <f>SUM(C10356,C10332,C10308,C10284,C10260,C10236,C10212)/POBLA!$B$11*100000</f>
        <v>660.66267144307926</v>
      </c>
      <c r="N10356" s="42" t="s">
        <v>33</v>
      </c>
      <c r="O10356" s="42">
        <v>374</v>
      </c>
      <c r="P10356" s="42">
        <v>29776</v>
      </c>
    </row>
    <row r="10357" spans="1:16" ht="15.75" thickBot="1" x14ac:dyDescent="0.3">
      <c r="A10357" s="402" t="s">
        <v>21</v>
      </c>
      <c r="B10357" s="268">
        <v>44324</v>
      </c>
      <c r="C10357" s="42">
        <v>94</v>
      </c>
      <c r="D10357" s="39">
        <f t="shared" si="980"/>
        <v>14178</v>
      </c>
      <c r="F10357" s="39">
        <f t="shared" si="977"/>
        <v>498</v>
      </c>
      <c r="G10357" s="169">
        <f>SUM(C10357,C10333,C10309,C10285,C10261,C10237,C10213,C10189,C10165,C10141,C10117,C10093,C10069,C10045)/POBLA!$B$12*100000</f>
        <v>293.49657333221523</v>
      </c>
      <c r="H10357" s="258">
        <f t="shared" si="976"/>
        <v>1.0294117647058822</v>
      </c>
      <c r="I10357" s="310">
        <f t="shared" si="978"/>
        <v>302.12882548904508</v>
      </c>
      <c r="J10357" s="310">
        <f t="shared" si="979"/>
        <v>103.42857142857143</v>
      </c>
      <c r="K10357" s="310">
        <f>J10357/POBLA!$B$12*100000</f>
        <v>26.282191600806907</v>
      </c>
      <c r="L10357" s="68">
        <f t="shared" si="971"/>
        <v>-0.67981438515081205</v>
      </c>
      <c r="M10357" s="512">
        <f>SUM(C10357,C10333,C10309,C10285,C10261,C10237,C10213)/POBLA!$B$12*100000</f>
        <v>183.97534120564836</v>
      </c>
      <c r="N10357" s="42" t="s">
        <v>21</v>
      </c>
      <c r="O10357" s="42">
        <v>94</v>
      </c>
      <c r="P10357" s="42">
        <v>14178</v>
      </c>
    </row>
    <row r="10358" spans="1:16" ht="15.75" thickBot="1" x14ac:dyDescent="0.3">
      <c r="A10358" s="402" t="s">
        <v>17</v>
      </c>
      <c r="B10358" s="268">
        <v>44324</v>
      </c>
      <c r="C10358" s="42">
        <v>720</v>
      </c>
      <c r="D10358" s="39">
        <f t="shared" si="980"/>
        <v>102336</v>
      </c>
      <c r="E10358" s="1">
        <v>24</v>
      </c>
      <c r="F10358" s="39">
        <f t="shared" si="977"/>
        <v>1991</v>
      </c>
      <c r="G10358" s="169">
        <f>SUM(C10358,C10334,C10310,C10286,C10262,C10238,C10214,C10190,C10166,C10142,C10118,C10094,C10070,C10046)/POBLA!$B$13*100000</f>
        <v>527.14664544414063</v>
      </c>
      <c r="H10358" s="258">
        <f t="shared" si="976"/>
        <v>0.8572595800310483</v>
      </c>
      <c r="I10358" s="310">
        <f t="shared" si="978"/>
        <v>451.90151188821994</v>
      </c>
      <c r="J10358" s="310">
        <f t="shared" si="979"/>
        <v>764.28571428571433</v>
      </c>
      <c r="K10358" s="310">
        <f>J10358/POBLA!$B$13*100000</f>
        <v>38.399795124532332</v>
      </c>
      <c r="L10358" s="68">
        <f t="shared" si="971"/>
        <v>-4.0451186308829268E-2</v>
      </c>
      <c r="M10358" s="512">
        <f>SUM(C10358,C10334,C10310,C10286,C10262,C10238,C10214)/POBLA!$B$13*100000</f>
        <v>268.79856587172628</v>
      </c>
      <c r="N10358" s="42" t="s">
        <v>17</v>
      </c>
      <c r="O10358" s="42">
        <v>720</v>
      </c>
      <c r="P10358" s="42">
        <v>102336</v>
      </c>
    </row>
    <row r="10359" spans="1:16" ht="15.75" thickBot="1" x14ac:dyDescent="0.3">
      <c r="A10359" s="402" t="s">
        <v>23</v>
      </c>
      <c r="B10359" s="268">
        <v>44324</v>
      </c>
      <c r="C10359" s="42">
        <v>141</v>
      </c>
      <c r="D10359" s="39">
        <f t="shared" si="980"/>
        <v>16721</v>
      </c>
      <c r="F10359" s="39">
        <f t="shared" si="977"/>
        <v>240</v>
      </c>
      <c r="G10359" s="169">
        <f>SUM(C10359,C10335,C10311,C10287,C10263,C10239,C10215,C10191,C10167,C10143,C10119,C10095,C10071,C10047)/POBLA!$B$14*100000</f>
        <v>137.79499466420995</v>
      </c>
      <c r="H10359" s="258">
        <f t="shared" si="976"/>
        <v>0.98862343572241185</v>
      </c>
      <c r="I10359" s="310">
        <f t="shared" si="978"/>
        <v>136.22736105028264</v>
      </c>
      <c r="J10359" s="310">
        <f t="shared" si="979"/>
        <v>141</v>
      </c>
      <c r="K10359" s="310">
        <f>J10359/POBLA!$B$14*100000</f>
        <v>11.178995539501496</v>
      </c>
      <c r="L10359" s="68">
        <f t="shared" si="971"/>
        <v>-0.31424766977363516</v>
      </c>
      <c r="M10359" s="512">
        <f>SUM(C10359,C10335,C10311,C10287,C10263,C10239,C10215)/POBLA!$B$14*100000</f>
        <v>78.252968776510471</v>
      </c>
      <c r="N10359" s="42" t="s">
        <v>23</v>
      </c>
      <c r="O10359" s="42">
        <v>141</v>
      </c>
      <c r="P10359" s="42">
        <v>16721</v>
      </c>
    </row>
    <row r="10360" spans="1:16" ht="15.75" thickBot="1" x14ac:dyDescent="0.3">
      <c r="A10360" s="402" t="s">
        <v>19</v>
      </c>
      <c r="B10360" s="268">
        <v>44324</v>
      </c>
      <c r="C10360" s="42">
        <v>408</v>
      </c>
      <c r="D10360" s="39">
        <f t="shared" si="980"/>
        <v>74457</v>
      </c>
      <c r="E10360" s="1">
        <v>1</v>
      </c>
      <c r="F10360" s="39">
        <f t="shared" si="977"/>
        <v>1109</v>
      </c>
      <c r="G10360" s="169">
        <f>SUM(C10360,C10336,C10312,C10288,C10264,C10240,C10216,C10192,C10168,C10144,C10120,C10096,C10072,C10048)/POBLA!$B$15*100000</f>
        <v>795.56423620261512</v>
      </c>
      <c r="H10360" s="258">
        <f t="shared" si="976"/>
        <v>1.9705333830660201</v>
      </c>
      <c r="I10360" s="310">
        <f t="shared" si="978"/>
        <v>1567.6858858106734</v>
      </c>
      <c r="J10360" s="310">
        <f t="shared" si="979"/>
        <v>428.85714285714283</v>
      </c>
      <c r="K10360" s="310">
        <f>J10360/POBLA!$B$15*100000</f>
        <v>64.581375221877465</v>
      </c>
      <c r="L10360" s="68">
        <f t="shared" si="971"/>
        <v>-0.31608943445857074</v>
      </c>
      <c r="M10360" s="512">
        <f>SUM(C10360,C10336,C10312,C10288,C10264,C10240,C10216)/POBLA!$B$15*100000</f>
        <v>452.06962655314226</v>
      </c>
      <c r="N10360" s="42" t="s">
        <v>19</v>
      </c>
      <c r="O10360" s="42">
        <v>408</v>
      </c>
      <c r="P10360" s="42">
        <v>74457</v>
      </c>
    </row>
    <row r="10361" spans="1:16" ht="15.75" thickBot="1" x14ac:dyDescent="0.3">
      <c r="A10361" s="402" t="s">
        <v>18</v>
      </c>
      <c r="B10361" s="268">
        <v>44324</v>
      </c>
      <c r="C10361" s="42">
        <v>272</v>
      </c>
      <c r="D10361" s="39">
        <f t="shared" si="980"/>
        <v>63710</v>
      </c>
      <c r="E10361" s="1">
        <v>5</v>
      </c>
      <c r="F10361" s="39">
        <f t="shared" si="977"/>
        <v>1395</v>
      </c>
      <c r="G10361" s="169">
        <f>SUM(C10361,C10337,C10313,C10289,C10265,C10241,C10217,C10193,C10169,C10145,C10121,C10097,C10073,C10049)/POBLA!$B$16*100000</f>
        <v>535.03832211982183</v>
      </c>
      <c r="H10361" s="258">
        <f t="shared" si="976"/>
        <v>1.3306719893546242</v>
      </c>
      <c r="I10361" s="310">
        <f t="shared" si="978"/>
        <v>711.96050847614356</v>
      </c>
      <c r="J10361" s="310">
        <f t="shared" si="979"/>
        <v>298.57142857142856</v>
      </c>
      <c r="K10361" s="310">
        <f>J10361/POBLA!$B$16*100000</f>
        <v>39.93678904394384</v>
      </c>
      <c r="L10361" s="68">
        <f t="shared" si="971"/>
        <v>-9.4240837696335067E-2</v>
      </c>
      <c r="M10361" s="512">
        <f>SUM(C10361,C10337,C10313,C10289,C10265,C10241,C10217)/POBLA!$B$16*100000</f>
        <v>279.55752330760691</v>
      </c>
      <c r="N10361" s="42" t="s">
        <v>18</v>
      </c>
      <c r="O10361" s="42">
        <v>272</v>
      </c>
      <c r="P10361" s="42">
        <v>63710</v>
      </c>
    </row>
    <row r="10362" spans="1:16" ht="15.75" thickBot="1" x14ac:dyDescent="0.3">
      <c r="A10362" s="402" t="s">
        <v>34</v>
      </c>
      <c r="B10362" s="268">
        <v>44324</v>
      </c>
      <c r="C10362" s="42">
        <v>182</v>
      </c>
      <c r="D10362" s="39">
        <f t="shared" si="980"/>
        <v>36341</v>
      </c>
      <c r="F10362" s="39">
        <f t="shared" si="977"/>
        <v>1298</v>
      </c>
      <c r="G10362" s="169">
        <f>SUM(C10362,C10338,C10314,C10290,C10266,C10242,C10218,C10194,C10170,C10146,C10122,C10098,C10074,C10050)/POBLA!$B$17*100000</f>
        <v>191.3792292457791</v>
      </c>
      <c r="H10362" s="258">
        <f t="shared" ref="H10362:H10385" si="981">SUM(C10362,C10338,C10314,C10290,C10266,C10242,C10218,C10194,C10170,C10146,C10122,C10098,C10074,C10050)/SUM(C10026,C10002,C9978,C9954,C9930,C9906,C9882,C9858,C9834,C9810,C9786,C9762,C9738,C9714)</f>
        <v>1.0251974426476118</v>
      </c>
      <c r="I10362" s="310">
        <f t="shared" si="978"/>
        <v>196.20149639864377</v>
      </c>
      <c r="J10362" s="310">
        <f t="shared" si="979"/>
        <v>204</v>
      </c>
      <c r="K10362" s="310">
        <f>J10362/POBLA!$B$17*100000</f>
        <v>14.321849877527121</v>
      </c>
      <c r="L10362" s="68">
        <f t="shared" si="971"/>
        <v>-0.10015408320493058</v>
      </c>
      <c r="M10362" s="512">
        <f>SUM(C10362,C10338,C10314,C10290,C10266,C10242,C10218)/POBLA!$B$17*100000</f>
        <v>100.25294914268986</v>
      </c>
      <c r="N10362" s="42" t="s">
        <v>34</v>
      </c>
      <c r="O10362" s="42">
        <v>182</v>
      </c>
      <c r="P10362" s="42">
        <v>36341</v>
      </c>
    </row>
    <row r="10363" spans="1:16" ht="15.75" thickBot="1" x14ac:dyDescent="0.3">
      <c r="A10363" s="402" t="s">
        <v>35</v>
      </c>
      <c r="B10363" s="268">
        <v>44324</v>
      </c>
      <c r="C10363" s="42">
        <v>263</v>
      </c>
      <c r="D10363" s="39">
        <f t="shared" si="980"/>
        <v>26225</v>
      </c>
      <c r="F10363" s="39">
        <f t="shared" si="977"/>
        <v>484</v>
      </c>
      <c r="G10363" s="169">
        <f>SUM(C10363,C10339,C10315,C10291,C10267,C10243,C10219,C10195,C10171,C10147,C10123,C10099,C10075,C10051)/POBLA!$B$18*100000</f>
        <v>551.06327691281683</v>
      </c>
      <c r="H10363" s="258">
        <f t="shared" si="981"/>
        <v>1.3524976437323279</v>
      </c>
      <c r="I10363" s="310">
        <f t="shared" si="978"/>
        <v>745.31178357200008</v>
      </c>
      <c r="J10363" s="310">
        <f t="shared" si="979"/>
        <v>355.57142857142856</v>
      </c>
      <c r="K10363" s="310">
        <f>J10363/POBLA!$B$18*100000</f>
        <v>45.515065413505923</v>
      </c>
      <c r="L10363" s="68">
        <f t="shared" si="971"/>
        <v>-0.37059471365638763</v>
      </c>
      <c r="M10363" s="512">
        <f>SUM(C10363,C10339,C10315,C10291,C10267,C10243,C10219)/POBLA!$B$18*100000</f>
        <v>318.60545789454147</v>
      </c>
      <c r="N10363" s="42" t="s">
        <v>35</v>
      </c>
      <c r="O10363" s="42">
        <v>263</v>
      </c>
      <c r="P10363" s="42">
        <v>26225</v>
      </c>
    </row>
    <row r="10364" spans="1:16" ht="15.75" thickBot="1" x14ac:dyDescent="0.3">
      <c r="A10364" s="402" t="s">
        <v>36</v>
      </c>
      <c r="B10364" s="268">
        <v>44324</v>
      </c>
      <c r="C10364" s="42">
        <v>521</v>
      </c>
      <c r="D10364" s="39">
        <f t="shared" si="980"/>
        <v>40958</v>
      </c>
      <c r="F10364" s="39">
        <f t="shared" si="977"/>
        <v>529</v>
      </c>
      <c r="G10364" s="169">
        <f>SUM(C10364,C10340,C10316,C10292,C10268,C10244,C10220,C10196,C10172,C10148,C10124,C10100,C10076,C10052)/POBLA!$B$19*100000</f>
        <v>1336.9320596150517</v>
      </c>
      <c r="H10364" s="258">
        <f t="shared" si="981"/>
        <v>0.83202742409402541</v>
      </c>
      <c r="I10364" s="310">
        <f t="shared" si="978"/>
        <v>1112.3641377502315</v>
      </c>
      <c r="J10364" s="310">
        <f t="shared" si="979"/>
        <v>422.42857142857144</v>
      </c>
      <c r="K10364" s="310">
        <f>J10364/POBLA!$B$19*100000</f>
        <v>83.101574461483821</v>
      </c>
      <c r="L10364" s="68">
        <f t="shared" si="971"/>
        <v>0.22974733003386294</v>
      </c>
      <c r="M10364" s="512">
        <f>SUM(C10364,C10340,C10316,C10292,C10268,C10244,C10220)/POBLA!$B$19*100000</f>
        <v>581.71102123038668</v>
      </c>
      <c r="N10364" s="42" t="s">
        <v>36</v>
      </c>
      <c r="O10364" s="42">
        <v>521</v>
      </c>
      <c r="P10364" s="42">
        <v>40958</v>
      </c>
    </row>
    <row r="10365" spans="1:16" ht="15.75" thickBot="1" x14ac:dyDescent="0.3">
      <c r="A10365" s="402" t="s">
        <v>37</v>
      </c>
      <c r="B10365" s="268">
        <v>44324</v>
      </c>
      <c r="C10365" s="42">
        <v>201</v>
      </c>
      <c r="D10365" s="39">
        <f t="shared" si="980"/>
        <v>46438</v>
      </c>
      <c r="E10365" s="1">
        <v>1</v>
      </c>
      <c r="F10365" s="39">
        <f t="shared" si="977"/>
        <v>734</v>
      </c>
      <c r="G10365" s="169">
        <f>SUM(C10365,C10341,C10317,C10293,C10269,C10245,C10221,C10197,C10173,C10149,C10125,C10101,C10077,C10053)/POBLA!$B$20*100000</f>
        <v>800.11375506565537</v>
      </c>
      <c r="H10365" s="258">
        <f t="shared" si="981"/>
        <v>1.1091736163760424</v>
      </c>
      <c r="I10365" s="310">
        <f t="shared" si="978"/>
        <v>887.46506721838796</v>
      </c>
      <c r="J10365" s="310">
        <f t="shared" si="979"/>
        <v>220.28571428571428</v>
      </c>
      <c r="K10365" s="310">
        <f>J10365/POBLA!$B$20*100000</f>
        <v>60.237057431463739</v>
      </c>
      <c r="L10365" s="68">
        <f t="shared" si="971"/>
        <v>-0.11416184971098264</v>
      </c>
      <c r="M10365" s="512">
        <f>SUM(C10365,C10341,C10317,C10293,C10269,C10245,C10221)/POBLA!$B$20*100000</f>
        <v>421.6594020202462</v>
      </c>
      <c r="N10365" s="42" t="s">
        <v>37</v>
      </c>
      <c r="O10365" s="42">
        <v>201</v>
      </c>
      <c r="P10365" s="42">
        <v>46438</v>
      </c>
    </row>
    <row r="10366" spans="1:16" ht="15.75" thickBot="1" x14ac:dyDescent="0.3">
      <c r="A10366" s="402" t="s">
        <v>22</v>
      </c>
      <c r="B10366" s="268">
        <v>44324</v>
      </c>
      <c r="C10366" s="42">
        <v>1808</v>
      </c>
      <c r="D10366" s="39">
        <f t="shared" si="980"/>
        <v>288257</v>
      </c>
      <c r="E10366" s="1">
        <v>1</v>
      </c>
      <c r="F10366" s="39">
        <f t="shared" si="977"/>
        <v>4787</v>
      </c>
      <c r="G10366" s="169">
        <f>SUM(C10366,C10342,C10318,C10294,C10270,C10246,C10222,C10198,C10174,C10150,C10126,C10102,C10078,C10054)/POBLA!$B$21*100000</f>
        <v>686.51386798732506</v>
      </c>
      <c r="H10366" s="258">
        <f t="shared" si="981"/>
        <v>1.0662743203478413</v>
      </c>
      <c r="I10366" s="310">
        <f t="shared" si="978"/>
        <v>732.01210799755268</v>
      </c>
      <c r="J10366" s="310">
        <f t="shared" si="979"/>
        <v>1775.8571428571429</v>
      </c>
      <c r="K10366" s="310">
        <f>J10366/POBLA!$B$21*100000</f>
        <v>50.216268067212155</v>
      </c>
      <c r="L10366" s="68">
        <f t="shared" si="971"/>
        <v>-4.929518021440038E-2</v>
      </c>
      <c r="M10366" s="512">
        <f>SUM(C10366,C10342,C10318,C10294,C10270,C10246,C10222)/POBLA!$B$21*100000</f>
        <v>351.51387647048512</v>
      </c>
      <c r="N10366" s="42" t="s">
        <v>22</v>
      </c>
      <c r="O10366" s="42">
        <v>1808</v>
      </c>
      <c r="P10366" s="42">
        <v>288257</v>
      </c>
    </row>
    <row r="10367" spans="1:16" ht="15.75" thickBot="1" x14ac:dyDescent="0.3">
      <c r="A10367" s="402" t="s">
        <v>38</v>
      </c>
      <c r="B10367" s="268">
        <v>44324</v>
      </c>
      <c r="C10367" s="42">
        <v>263</v>
      </c>
      <c r="D10367" s="39">
        <f t="shared" si="980"/>
        <v>32518</v>
      </c>
      <c r="E10367" s="1">
        <v>5</v>
      </c>
      <c r="F10367" s="39">
        <f t="shared" si="977"/>
        <v>370</v>
      </c>
      <c r="G10367" s="169">
        <f>SUM(C10367,C10343,C10319,C10295,C10271,C10247,C10223,C10199,C10175,C10151,C10127,C10103,C10079,C10055)/POBLA!$B$22*100000</f>
        <v>302.25500427777206</v>
      </c>
      <c r="H10367" s="258">
        <f t="shared" si="981"/>
        <v>1.0112859097127223</v>
      </c>
      <c r="I10367" s="310">
        <f t="shared" si="978"/>
        <v>305.66622696626945</v>
      </c>
      <c r="J10367" s="310">
        <f t="shared" si="979"/>
        <v>237.71428571428572</v>
      </c>
      <c r="K10367" s="310">
        <f>J10367/POBLA!$B$22*100000</f>
        <v>24.298387705599918</v>
      </c>
      <c r="L10367" s="68">
        <f t="shared" si="971"/>
        <v>-0.28692962103634967</v>
      </c>
      <c r="M10367" s="512">
        <f>SUM(C10367,C10343,C10319,C10295,C10271,C10247,C10223)/POBLA!$B$22*100000</f>
        <v>170.08871393919941</v>
      </c>
      <c r="N10367" s="42" t="s">
        <v>38</v>
      </c>
      <c r="O10367" s="42">
        <v>263</v>
      </c>
      <c r="P10367" s="42">
        <v>32518</v>
      </c>
    </row>
    <row r="10368" spans="1:16" ht="15.75" thickBot="1" x14ac:dyDescent="0.3">
      <c r="A10368" s="402" t="s">
        <v>39</v>
      </c>
      <c r="B10368" s="268">
        <v>44324</v>
      </c>
      <c r="C10368" s="42">
        <v>46</v>
      </c>
      <c r="D10368" s="39">
        <f t="shared" si="980"/>
        <v>26977</v>
      </c>
      <c r="F10368" s="39">
        <f t="shared" si="977"/>
        <v>401</v>
      </c>
      <c r="G10368" s="169">
        <f>SUM(C10368,C10344,C10320,C10296,C10272,C10248,C10224,C10200,C10176,C10152,C10128,C10104,C10080,C10056)/POBLA!$B$23*100000</f>
        <v>554.7701181926144</v>
      </c>
      <c r="H10368" s="258">
        <f t="shared" si="981"/>
        <v>0.80278232405891981</v>
      </c>
      <c r="I10368" s="310">
        <f t="shared" si="978"/>
        <v>445.35964480110863</v>
      </c>
      <c r="J10368" s="310">
        <f t="shared" si="979"/>
        <v>68.571428571428569</v>
      </c>
      <c r="K10368" s="310">
        <f>J10368/POBLA!$B$23*100000</f>
        <v>38.778164661781695</v>
      </c>
      <c r="L10368" s="68">
        <f t="shared" si="971"/>
        <v>4.1916167664670656E-2</v>
      </c>
      <c r="M10368" s="512">
        <f>SUM(C10368,C10344,C10320,C10296,C10272,C10248,C10224)/POBLA!$B$23*100000</f>
        <v>271.44715263247184</v>
      </c>
      <c r="N10368" s="42" t="s">
        <v>39</v>
      </c>
      <c r="O10368" s="42">
        <v>46</v>
      </c>
      <c r="P10368" s="42">
        <v>26977</v>
      </c>
    </row>
    <row r="10369" spans="1:16" ht="15.75" thickBot="1" x14ac:dyDescent="0.3">
      <c r="A10369" s="403" t="s">
        <v>40</v>
      </c>
      <c r="B10369" s="34">
        <v>44324</v>
      </c>
      <c r="C10369" s="42">
        <v>323</v>
      </c>
      <c r="D10369" s="67">
        <f t="shared" si="980"/>
        <v>110241</v>
      </c>
      <c r="E10369" s="234"/>
      <c r="F10369" s="67">
        <f t="shared" si="977"/>
        <v>1707</v>
      </c>
      <c r="G10369" s="257">
        <f>SUM(C10369,C10345,C10321,C10297,C10273,C10249,C10225,C10201,C10177,C10153,C10129,C10105,C10081,C10057)/POBLA!$B$24*100000</f>
        <v>470.59698251444547</v>
      </c>
      <c r="H10369" s="259">
        <f t="shared" si="981"/>
        <v>0.86113810603606522</v>
      </c>
      <c r="I10369" s="312">
        <f t="shared" si="978"/>
        <v>405.24899422877689</v>
      </c>
      <c r="J10369" s="312">
        <f t="shared" si="979"/>
        <v>518.85714285714289</v>
      </c>
      <c r="K10369" s="312">
        <f>J10369/POBLA!$B$24*100000</f>
        <v>30.617254643841754</v>
      </c>
      <c r="L10369" s="68">
        <f t="shared" si="971"/>
        <v>0.16371172000921019</v>
      </c>
      <c r="M10369" s="517">
        <f>SUM(C10369,C10345,C10321,C10297,C10273,C10249,C10225)/POBLA!$B$24*100000</f>
        <v>214.32078250689227</v>
      </c>
      <c r="N10369" s="42" t="s">
        <v>40</v>
      </c>
      <c r="O10369" s="42">
        <v>323</v>
      </c>
      <c r="P10369" s="42">
        <v>110241</v>
      </c>
    </row>
    <row r="10370" spans="1:16" x14ac:dyDescent="0.25">
      <c r="A10370" s="397" t="s">
        <v>16</v>
      </c>
      <c r="B10370" s="267">
        <v>44325</v>
      </c>
      <c r="C10370" s="545">
        <v>4240</v>
      </c>
      <c r="D10370" s="175">
        <f t="shared" si="980"/>
        <v>1374852</v>
      </c>
      <c r="E10370" s="43">
        <v>212</v>
      </c>
      <c r="F10370" s="175">
        <f t="shared" ref="F10370:F10393" si="982">E10370+F10346</f>
        <v>34799</v>
      </c>
      <c r="G10370" s="176">
        <f>SUM(C10370,C10346,C10322,C10298,C10274,C10250,C10226,C10202,C10178,C10154,C10130,C10106,C10082,C10058)/POBLA!$B$1*100000</f>
        <v>740.96092152728261</v>
      </c>
      <c r="H10370" s="313">
        <f t="shared" si="981"/>
        <v>0.79058040656439699</v>
      </c>
      <c r="I10370" s="314">
        <f>G10370*H10370</f>
        <v>585.78918658936936</v>
      </c>
      <c r="J10370" s="314">
        <f>AVERAGE(C10370,C10346,C10322,C10298,C10274,C10250,C10226)</f>
        <v>8904.8571428571431</v>
      </c>
      <c r="K10370" s="314">
        <f>J10370/POBLA!$B$1*100000</f>
        <v>50.765552496597245</v>
      </c>
      <c r="L10370" s="68">
        <f t="shared" si="971"/>
        <v>7.8431082659412454E-2</v>
      </c>
      <c r="M10370" s="511">
        <f>SUM(C10370,C10346,C10322,C10298,C10274,C10250,C10226)/POBLA!$B$1*100000</f>
        <v>355.35886747618071</v>
      </c>
      <c r="N10370"/>
    </row>
    <row r="10371" spans="1:16" x14ac:dyDescent="0.25">
      <c r="A10371" s="402" t="s">
        <v>43</v>
      </c>
      <c r="B10371" s="2">
        <v>44325</v>
      </c>
      <c r="C10371" s="4">
        <v>1561</v>
      </c>
      <c r="D10371" s="39">
        <f t="shared" si="980"/>
        <v>361864</v>
      </c>
      <c r="E10371" s="1">
        <v>29</v>
      </c>
      <c r="F10371" s="39">
        <f t="shared" si="982"/>
        <v>8133</v>
      </c>
      <c r="G10371" s="169">
        <f>SUM(C10371,C10347,C10323,C10299,C10275,C10251,C10227,C10203,C10179,C10155,C10131,C10107,C10083,C10059)/POBLA!$B$2*100000</f>
        <v>1103.2479030421575</v>
      </c>
      <c r="H10371" s="258">
        <f t="shared" si="981"/>
        <v>0.80491507733181511</v>
      </c>
      <c r="I10371" s="310">
        <f t="shared" ref="I10371:I10393" si="983">G10371*H10371</f>
        <v>888.02087119334112</v>
      </c>
      <c r="J10371" s="310">
        <f t="shared" ref="J10371:J10393" si="984">AVERAGE(C10371,C10347,C10323,C10299,C10275,C10251,C10227)</f>
        <v>2234.4285714285716</v>
      </c>
      <c r="K10371" s="310">
        <f>J10371/POBLA!$B$2*100000</f>
        <v>72.649081572735341</v>
      </c>
      <c r="L10371" s="68">
        <f t="shared" ref="L10371:L10434" si="985">1-SUM(C10371,C10347,C10323,C10299,C10275,C10251,C10227)/SUM(C10203,C10179,C10155,C10131,C10107,C10083,C10059)</f>
        <v>0.1448799956262643</v>
      </c>
      <c r="M10371" s="512">
        <f>SUM(C10371,C10347,C10323,C10299,C10275,C10251,C10227)/POBLA!$B$2*100000</f>
        <v>508.54357100914734</v>
      </c>
      <c r="N10371"/>
    </row>
    <row r="10372" spans="1:16" x14ac:dyDescent="0.25">
      <c r="A10372" s="402" t="s">
        <v>28</v>
      </c>
      <c r="B10372" s="2">
        <v>44325</v>
      </c>
      <c r="C10372" s="4">
        <v>236</v>
      </c>
      <c r="D10372" s="39">
        <f t="shared" si="980"/>
        <v>16170</v>
      </c>
      <c r="F10372" s="39">
        <f t="shared" si="982"/>
        <v>109</v>
      </c>
      <c r="G10372" s="169">
        <f>SUM(C10372,C10348,C10324,C10300,C10276,C10252,C10228,C10204,C10180,C10156,C10132,C10108,C10084,C10060)/POBLA!$B$3*100000</f>
        <v>516.32253188201366</v>
      </c>
      <c r="H10372" s="258">
        <f t="shared" si="981"/>
        <v>0.91276595744680855</v>
      </c>
      <c r="I10372" s="310">
        <f t="shared" si="983"/>
        <v>471.28163016464651</v>
      </c>
      <c r="J10372" s="310">
        <f t="shared" si="984"/>
        <v>167.28571428571428</v>
      </c>
      <c r="K10372" s="310">
        <f>J10372/POBLA!$B$3*100000</f>
        <v>40.267311677245289</v>
      </c>
      <c r="L10372" s="68">
        <f t="shared" si="985"/>
        <v>-0.20225872689938407</v>
      </c>
      <c r="M10372" s="512">
        <f>SUM(C10372,C10348,C10324,C10300,C10276,C10252,C10228)/POBLA!$B$3*100000</f>
        <v>281.87118174071702</v>
      </c>
      <c r="N10372"/>
    </row>
    <row r="10373" spans="1:16" x14ac:dyDescent="0.25">
      <c r="A10373" s="402" t="s">
        <v>15</v>
      </c>
      <c r="B10373" s="2">
        <v>44325</v>
      </c>
      <c r="C10373" s="4">
        <v>102</v>
      </c>
      <c r="D10373" s="39">
        <f t="shared" si="980"/>
        <v>46979</v>
      </c>
      <c r="E10373" s="1">
        <v>3</v>
      </c>
      <c r="F10373" s="39">
        <f t="shared" si="982"/>
        <v>1078</v>
      </c>
      <c r="G10373" s="169">
        <f>SUM(C10373,C10349,C10325,C10301,C10277,C10253,C10229,C10205,C10181,C10157,C10133,C10109,C10085,C10061)/POBLA!$B$4*100000</f>
        <v>279.94065789375372</v>
      </c>
      <c r="H10373" s="258">
        <f t="shared" si="981"/>
        <v>1.0321395775941231</v>
      </c>
      <c r="I10373" s="310">
        <f t="shared" si="983"/>
        <v>288.93783238987987</v>
      </c>
      <c r="J10373" s="310">
        <f t="shared" si="984"/>
        <v>257</v>
      </c>
      <c r="K10373" s="310">
        <f>J10373/POBLA!$B$4*100000</f>
        <v>21.335927959280756</v>
      </c>
      <c r="L10373" s="68">
        <f t="shared" si="985"/>
        <v>-0.14367450731087095</v>
      </c>
      <c r="M10373" s="512">
        <f>SUM(C10373,C10349,C10325,C10301,C10277,C10253,C10229)/POBLA!$B$4*100000</f>
        <v>149.35149571496527</v>
      </c>
    </row>
    <row r="10374" spans="1:16" x14ac:dyDescent="0.25">
      <c r="A10374" s="402" t="s">
        <v>29</v>
      </c>
      <c r="B10374" s="2">
        <v>44325</v>
      </c>
      <c r="C10374" s="4">
        <v>98</v>
      </c>
      <c r="D10374" s="39">
        <f t="shared" si="980"/>
        <v>56343</v>
      </c>
      <c r="F10374" s="39">
        <f t="shared" si="982"/>
        <v>932</v>
      </c>
      <c r="G10374" s="169">
        <f>SUM(C10374,C10350,C10326,C10302,C10278,C10254,C10230,C10206,C10182,C10158,C10134,C10110,C10086,C10062)/POBLA!$B$5*100000</f>
        <v>389.17986280965567</v>
      </c>
      <c r="H10374" s="258">
        <f t="shared" si="981"/>
        <v>0.92975685063681979</v>
      </c>
      <c r="I10374" s="310">
        <f t="shared" si="983"/>
        <v>361.84264357717507</v>
      </c>
      <c r="J10374" s="310">
        <f t="shared" si="984"/>
        <v>184</v>
      </c>
      <c r="K10374" s="310">
        <f>J10374/POBLA!$B$5*100000</f>
        <v>29.72565162182509</v>
      </c>
      <c r="L10374" s="68">
        <f t="shared" si="985"/>
        <v>-0.14897413024085648</v>
      </c>
      <c r="M10374" s="512">
        <f>SUM(C10374,C10350,C10326,C10302,C10278,C10254,C10230)/POBLA!$B$5*100000</f>
        <v>208.07956135277561</v>
      </c>
    </row>
    <row r="10375" spans="1:16" x14ac:dyDescent="0.25">
      <c r="A10375" s="402" t="s">
        <v>30</v>
      </c>
      <c r="B10375" s="2">
        <v>44325</v>
      </c>
      <c r="C10375" s="4">
        <v>269</v>
      </c>
      <c r="D10375" s="39">
        <f t="shared" si="980"/>
        <v>39251</v>
      </c>
      <c r="F10375" s="39">
        <f t="shared" si="982"/>
        <v>529</v>
      </c>
      <c r="G10375" s="169">
        <f>SUM(C10375,C10351,C10327,C10303,C10279,C10255,C10231,C10207,C10183,C10159,C10135,C10111,C10087,C10063)/POBLA!$B$6*100000</f>
        <v>237.41948838375413</v>
      </c>
      <c r="H10375" s="258">
        <f t="shared" si="981"/>
        <v>0.79220005954153017</v>
      </c>
      <c r="I10375" s="310">
        <f t="shared" si="983"/>
        <v>188.08373283392964</v>
      </c>
      <c r="J10375" s="310">
        <f t="shared" si="984"/>
        <v>208.85714285714286</v>
      </c>
      <c r="K10375" s="310">
        <f>J10375/POBLA!$B$6*100000</f>
        <v>18.634632094113304</v>
      </c>
      <c r="L10375" s="68">
        <f t="shared" si="985"/>
        <v>-0.21934945788156801</v>
      </c>
      <c r="M10375" s="512">
        <f>SUM(C10375,C10351,C10327,C10303,C10279,C10255,C10231)/POBLA!$B$6*100000</f>
        <v>130.44242465879313</v>
      </c>
    </row>
    <row r="10376" spans="1:16" x14ac:dyDescent="0.25">
      <c r="A10376" s="402" t="s">
        <v>20</v>
      </c>
      <c r="B10376" s="2">
        <v>44325</v>
      </c>
      <c r="C10376" s="4">
        <v>1163</v>
      </c>
      <c r="D10376" s="39">
        <f t="shared" si="980"/>
        <v>240596</v>
      </c>
      <c r="E10376" s="1">
        <v>5</v>
      </c>
      <c r="F10376" s="39">
        <f t="shared" si="982"/>
        <v>3501</v>
      </c>
      <c r="G10376" s="169">
        <f>SUM(C10376,C10352,C10328,C10304,C10280,C10256,C10232,C10208,C10184,C10160,C10136,C10112,C10088,C10064)/POBLA!$B$7*100000</f>
        <v>586.95102979696583</v>
      </c>
      <c r="H10376" s="258">
        <f t="shared" si="981"/>
        <v>0.94741812250504354</v>
      </c>
      <c r="I10376" s="310">
        <f t="shared" si="983"/>
        <v>556.08804265264325</v>
      </c>
      <c r="J10376" s="310">
        <f t="shared" si="984"/>
        <v>1582.5714285714287</v>
      </c>
      <c r="K10376" s="310">
        <f>J10376/POBLA!$B$7*100000</f>
        <v>42.084628929288478</v>
      </c>
      <c r="L10376" s="68">
        <f t="shared" si="985"/>
        <v>-7.6405311988356761E-3</v>
      </c>
      <c r="M10376" s="512">
        <f>SUM(C10376,C10352,C10328,C10304,C10280,C10256,C10232)/POBLA!$B$7*100000</f>
        <v>294.59240250501938</v>
      </c>
    </row>
    <row r="10377" spans="1:16" x14ac:dyDescent="0.25">
      <c r="A10377" s="402" t="s">
        <v>31</v>
      </c>
      <c r="B10377" s="2">
        <v>44325</v>
      </c>
      <c r="C10377" s="4">
        <v>283</v>
      </c>
      <c r="D10377" s="39">
        <f t="shared" si="980"/>
        <v>67433</v>
      </c>
      <c r="E10377" s="1">
        <v>3</v>
      </c>
      <c r="F10377" s="39">
        <f t="shared" si="982"/>
        <v>1100</v>
      </c>
      <c r="G10377" s="169">
        <f>SUM(C10377,C10353,C10329,C10305,C10281,C10257,C10233,C10209,C10185,C10161,C10137,C10113,C10089,C10065)/POBLA!$B$8*100000</f>
        <v>539.04835706055212</v>
      </c>
      <c r="H10377" s="258">
        <f t="shared" si="981"/>
        <v>1.0843251088534107</v>
      </c>
      <c r="I10377" s="310">
        <f t="shared" si="983"/>
        <v>584.50366844693542</v>
      </c>
      <c r="J10377" s="310">
        <f t="shared" si="984"/>
        <v>556.85714285714289</v>
      </c>
      <c r="K10377" s="310">
        <f>J10377/POBLA!$B$8*100000</f>
        <v>40.178413595847424</v>
      </c>
      <c r="L10377" s="68">
        <f t="shared" si="985"/>
        <v>-9.095997760985175E-2</v>
      </c>
      <c r="M10377" s="512">
        <f>SUM(C10377,C10353,C10329,C10305,C10281,C10257,C10233)/POBLA!$B$8*100000</f>
        <v>281.24889517093197</v>
      </c>
    </row>
    <row r="10378" spans="1:16" x14ac:dyDescent="0.25">
      <c r="A10378" s="402" t="s">
        <v>41</v>
      </c>
      <c r="B10378" s="2">
        <v>44325</v>
      </c>
      <c r="C10378" s="4">
        <v>5</v>
      </c>
      <c r="D10378" s="39">
        <f t="shared" si="980"/>
        <v>5902</v>
      </c>
      <c r="F10378" s="39">
        <f t="shared" si="982"/>
        <v>105</v>
      </c>
      <c r="G10378" s="169">
        <f>SUM(C10378,C10354,C10330,C10306,C10282,C10258,C10234,C10210,C10186,C10162,C10138,C10114,C10090,C10066)/POBLA!$B$9*100000</f>
        <v>280.24117926016987</v>
      </c>
      <c r="H10378" s="258">
        <f t="shared" si="981"/>
        <v>1.0927835051546391</v>
      </c>
      <c r="I10378" s="310">
        <f t="shared" si="983"/>
        <v>306.24293816059799</v>
      </c>
      <c r="J10378" s="310">
        <f t="shared" si="984"/>
        <v>194.71428571428572</v>
      </c>
      <c r="K10378" s="310">
        <f>J10378/POBLA!$B$9*100000</f>
        <v>32.173915711894509</v>
      </c>
      <c r="L10378" s="68">
        <f t="shared" si="985"/>
        <v>-3.0930930930930929</v>
      </c>
      <c r="M10378" s="512">
        <f>SUM(C10378,C10354,C10330,C10306,C10282,C10258,C10234)/POBLA!$B$9*100000</f>
        <v>225.21740998326152</v>
      </c>
    </row>
    <row r="10379" spans="1:16" x14ac:dyDescent="0.25">
      <c r="A10379" s="402" t="s">
        <v>32</v>
      </c>
      <c r="B10379" s="2">
        <v>44325</v>
      </c>
      <c r="C10379" s="4">
        <v>66</v>
      </c>
      <c r="D10379" s="39">
        <f t="shared" si="980"/>
        <v>25658</v>
      </c>
      <c r="E10379" s="1">
        <v>3</v>
      </c>
      <c r="F10379" s="39">
        <f t="shared" si="982"/>
        <v>1058</v>
      </c>
      <c r="G10379" s="169">
        <f>SUM(C10379,C10355,C10331,C10307,C10283,C10259,C10235,C10211,C10187,C10163,C10139,C10115,C10091,C10067)/POBLA!$B$10*100000</f>
        <v>170.45432433799769</v>
      </c>
      <c r="H10379" s="258">
        <f t="shared" si="981"/>
        <v>1.0053557765876051</v>
      </c>
      <c r="I10379" s="310">
        <f t="shared" si="983"/>
        <v>171.36723961754319</v>
      </c>
      <c r="J10379" s="310">
        <f t="shared" si="984"/>
        <v>95.714285714285708</v>
      </c>
      <c r="K10379" s="310">
        <f>J10379/POBLA!$B$10*100000</f>
        <v>12.416220624750864</v>
      </c>
      <c r="L10379" s="68">
        <f t="shared" si="985"/>
        <v>-4.0372670807453437E-2</v>
      </c>
      <c r="M10379" s="512">
        <f>SUM(C10379,C10355,C10331,C10307,C10283,C10259,C10235)/POBLA!$B$10*100000</f>
        <v>86.913544373256045</v>
      </c>
    </row>
    <row r="10380" spans="1:16" x14ac:dyDescent="0.25">
      <c r="A10380" s="402" t="s">
        <v>33</v>
      </c>
      <c r="B10380" s="2">
        <v>44325</v>
      </c>
      <c r="C10380" s="4">
        <v>272</v>
      </c>
      <c r="D10380" s="39">
        <f t="shared" si="980"/>
        <v>30048</v>
      </c>
      <c r="F10380" s="39">
        <f t="shared" si="982"/>
        <v>409</v>
      </c>
      <c r="G10380" s="169">
        <f>SUM(C10380,C10356,C10332,C10308,C10284,C10260,C10236,C10212,C10188,C10164,C10140,C10116,C10092,C10068)/POBLA!$B$11*100000</f>
        <v>1194.3821353242492</v>
      </c>
      <c r="H10380" s="258">
        <f t="shared" si="981"/>
        <v>1.4114737883283877</v>
      </c>
      <c r="I10380" s="310">
        <f t="shared" si="983"/>
        <v>1685.8390772578671</v>
      </c>
      <c r="J10380" s="310">
        <f t="shared" si="984"/>
        <v>349.14285714285717</v>
      </c>
      <c r="K10380" s="310">
        <f>J10380/POBLA!$B$11*100000</f>
        <v>97.409481720975251</v>
      </c>
      <c r="L10380" s="68">
        <f t="shared" si="985"/>
        <v>-0.33043004899292328</v>
      </c>
      <c r="M10380" s="512">
        <f>SUM(C10380,C10356,C10332,C10308,C10284,C10260,C10236)/POBLA!$B$11*100000</f>
        <v>681.86637204682665</v>
      </c>
    </row>
    <row r="10381" spans="1:16" x14ac:dyDescent="0.25">
      <c r="A10381" s="402" t="s">
        <v>21</v>
      </c>
      <c r="B10381" s="2">
        <v>44325</v>
      </c>
      <c r="C10381" s="4">
        <v>108</v>
      </c>
      <c r="D10381" s="39">
        <f t="shared" si="980"/>
        <v>14286</v>
      </c>
      <c r="F10381" s="39">
        <f t="shared" si="982"/>
        <v>498</v>
      </c>
      <c r="G10381" s="169">
        <f>SUM(C10381,C10357,C10333,C10309,C10285,C10261,C10237,C10213,C10189,C10165,C10141,C10117,C10093,C10069)/POBLA!$B$12*100000</f>
        <v>308.23492939565119</v>
      </c>
      <c r="H10381" s="258">
        <f t="shared" si="981"/>
        <v>1.1618773946360152</v>
      </c>
      <c r="I10381" s="310">
        <f t="shared" si="983"/>
        <v>358.13119670203531</v>
      </c>
      <c r="J10381" s="310">
        <f t="shared" si="984"/>
        <v>105.85714285714286</v>
      </c>
      <c r="K10381" s="310">
        <f>J10381/POBLA!$B$12*100000</f>
        <v>26.899314884251268</v>
      </c>
      <c r="L10381" s="68">
        <f t="shared" si="985"/>
        <v>-0.56991525423728806</v>
      </c>
      <c r="M10381" s="512">
        <f>SUM(C10381,C10357,C10333,C10309,C10285,C10261,C10237)/POBLA!$B$12*100000</f>
        <v>188.29520418975886</v>
      </c>
    </row>
    <row r="10382" spans="1:16" x14ac:dyDescent="0.25">
      <c r="A10382" s="402" t="s">
        <v>17</v>
      </c>
      <c r="B10382" s="2">
        <v>44325</v>
      </c>
      <c r="C10382" s="4">
        <v>290</v>
      </c>
      <c r="D10382" s="39">
        <f t="shared" si="980"/>
        <v>102626</v>
      </c>
      <c r="E10382" s="1">
        <v>21</v>
      </c>
      <c r="F10382" s="39">
        <f t="shared" si="982"/>
        <v>2012</v>
      </c>
      <c r="G10382" s="169">
        <f>SUM(C10382,C10358,C10334,C10310,C10286,C10262,C10238,C10214,C10190,C10166,C10142,C10118,C10094,C10070)/POBLA!$B$13*100000</f>
        <v>519.00732438409955</v>
      </c>
      <c r="H10382" s="258">
        <f t="shared" si="981"/>
        <v>0.84395424836601307</v>
      </c>
      <c r="I10382" s="310">
        <f t="shared" si="983"/>
        <v>438.01843634703829</v>
      </c>
      <c r="J10382" s="310">
        <f t="shared" si="984"/>
        <v>758.85714285714289</v>
      </c>
      <c r="K10382" s="310">
        <f>J10382/POBLA!$B$13*100000</f>
        <v>38.127048916171169</v>
      </c>
      <c r="L10382" s="68">
        <f t="shared" si="985"/>
        <v>-5.8589079314467885E-2</v>
      </c>
      <c r="M10382" s="512">
        <f>SUM(C10382,C10358,C10334,C10310,C10286,C10262,C10238)/POBLA!$B$13*100000</f>
        <v>266.88934241319816</v>
      </c>
    </row>
    <row r="10383" spans="1:16" x14ac:dyDescent="0.25">
      <c r="A10383" s="402" t="s">
        <v>23</v>
      </c>
      <c r="B10383" s="2">
        <v>44325</v>
      </c>
      <c r="C10383" s="4">
        <v>179</v>
      </c>
      <c r="D10383" s="39">
        <f t="shared" si="980"/>
        <v>16900</v>
      </c>
      <c r="F10383" s="39">
        <f t="shared" si="982"/>
        <v>240</v>
      </c>
      <c r="G10383" s="169">
        <f>SUM(C10383,C10359,C10335,C10311,C10287,C10263,C10239,C10215,C10191,C10167,C10143,C10119,C10095,C10071)/POBLA!$B$14*100000</f>
        <v>141.75917747963598</v>
      </c>
      <c r="H10383" s="258">
        <f t="shared" si="981"/>
        <v>1.0222984562607205</v>
      </c>
      <c r="I10383" s="310">
        <f t="shared" si="983"/>
        <v>144.92018829822135</v>
      </c>
      <c r="J10383" s="310">
        <f t="shared" si="984"/>
        <v>152</v>
      </c>
      <c r="K10383" s="310">
        <f>J10383/POBLA!$B$14*100000</f>
        <v>12.05111575889523</v>
      </c>
      <c r="L10383" s="68">
        <f t="shared" si="985"/>
        <v>-0.46961325966850831</v>
      </c>
      <c r="M10383" s="512">
        <f>SUM(C10383,C10359,C10335,C10311,C10287,C10263,C10239)/POBLA!$B$14*100000</f>
        <v>84.357810312266608</v>
      </c>
    </row>
    <row r="10384" spans="1:16" x14ac:dyDescent="0.25">
      <c r="A10384" s="402" t="s">
        <v>19</v>
      </c>
      <c r="B10384" s="2">
        <v>44325</v>
      </c>
      <c r="C10384" s="4">
        <v>320</v>
      </c>
      <c r="D10384" s="39">
        <f t="shared" si="980"/>
        <v>74777</v>
      </c>
      <c r="F10384" s="39">
        <f t="shared" si="982"/>
        <v>1109</v>
      </c>
      <c r="G10384" s="169">
        <f>SUM(C10384,C10360,C10336,C10312,C10288,C10264,C10240,C10216,C10192,C10168,C10144,C10120,C10096,C10072)/POBLA!$B$15*100000</f>
        <v>817.09853220431376</v>
      </c>
      <c r="H10384" s="258">
        <f t="shared" si="981"/>
        <v>1.9413237924865832</v>
      </c>
      <c r="I10384" s="310">
        <f t="shared" si="983"/>
        <v>1586.2528213740989</v>
      </c>
      <c r="J10384" s="310">
        <f t="shared" si="984"/>
        <v>452.28571428571428</v>
      </c>
      <c r="K10384" s="310">
        <f>J10384/POBLA!$B$15*100000</f>
        <v>68.109471669708213</v>
      </c>
      <c r="L10384" s="68">
        <f t="shared" si="985"/>
        <v>-0.40088495575221228</v>
      </c>
      <c r="M10384" s="512">
        <f>SUM(C10384,C10360,C10336,C10312,C10288,C10264,C10240)/POBLA!$B$15*100000</f>
        <v>476.76630168795754</v>
      </c>
    </row>
    <row r="10385" spans="1:14" x14ac:dyDescent="0.25">
      <c r="A10385" s="402" t="s">
        <v>18</v>
      </c>
      <c r="B10385" s="2">
        <v>44325</v>
      </c>
      <c r="C10385" s="4">
        <v>153</v>
      </c>
      <c r="D10385" s="39">
        <f t="shared" si="980"/>
        <v>63863</v>
      </c>
      <c r="E10385" s="1">
        <v>1</v>
      </c>
      <c r="F10385" s="39">
        <f t="shared" si="982"/>
        <v>1396</v>
      </c>
      <c r="G10385" s="169">
        <f>SUM(C10385,C10361,C10337,C10313,C10289,C10265,C10241,C10217,C10193,C10169,C10145,C10121,C10097,C10073)/POBLA!$B$16*100000</f>
        <v>538.3823116330708</v>
      </c>
      <c r="H10385" s="258">
        <f t="shared" si="981"/>
        <v>1.3162197514715501</v>
      </c>
      <c r="I10385" s="310">
        <f t="shared" si="983"/>
        <v>708.62943241435914</v>
      </c>
      <c r="J10385" s="310">
        <f t="shared" si="984"/>
        <v>305.57142857142856</v>
      </c>
      <c r="K10385" s="310">
        <f>J10385/POBLA!$B$16*100000</f>
        <v>40.873106107653527</v>
      </c>
      <c r="L10385" s="68">
        <f t="shared" si="985"/>
        <v>-0.13414634146341453</v>
      </c>
      <c r="M10385" s="512">
        <f>SUM(C10385,C10361,C10337,C10313,C10289,C10265,C10241)/POBLA!$B$16*100000</f>
        <v>286.11174275357473</v>
      </c>
    </row>
    <row r="10386" spans="1:14" x14ac:dyDescent="0.25">
      <c r="A10386" s="402" t="s">
        <v>34</v>
      </c>
      <c r="B10386" s="2">
        <v>44325</v>
      </c>
      <c r="C10386" s="4">
        <v>113</v>
      </c>
      <c r="D10386" s="39">
        <f t="shared" si="980"/>
        <v>36454</v>
      </c>
      <c r="E10386" s="1">
        <v>2</v>
      </c>
      <c r="F10386" s="39">
        <f t="shared" si="982"/>
        <v>1300</v>
      </c>
      <c r="G10386" s="169">
        <f>SUM(C10386,C10362,C10338,C10314,C10290,C10266,C10242,C10218,C10194,C10170,C10146,C10122,C10098,C10074)/POBLA!$B$17*100000</f>
        <v>195.45112774037014</v>
      </c>
      <c r="H10386" s="258">
        <f t="shared" ref="H10386:H10409" si="986">SUM(C10386,C10362,C10338,C10314,C10290,C10266,C10242,C10218,C10194,C10170,C10146,C10122,C10098,C10074)/SUM(C10050,C10026,C10002,C9978,C9954,C9930,C9906,C9882,C9858,C9834,C9810,C9786,C9762,C9738)</f>
        <v>1.0474040632054176</v>
      </c>
      <c r="I10386" s="310">
        <f t="shared" si="983"/>
        <v>204.71630535334478</v>
      </c>
      <c r="J10386" s="310">
        <f t="shared" si="984"/>
        <v>214.85714285714286</v>
      </c>
      <c r="K10386" s="310">
        <f>J10386/POBLA!$B$17*100000</f>
        <v>15.084077181933328</v>
      </c>
      <c r="L10386" s="68">
        <f t="shared" si="985"/>
        <v>-0.17500000000000004</v>
      </c>
      <c r="M10386" s="512">
        <f>SUM(C10386,C10362,C10338,C10314,C10290,C10266,C10242)/POBLA!$B$17*100000</f>
        <v>105.58854027353328</v>
      </c>
    </row>
    <row r="10387" spans="1:14" x14ac:dyDescent="0.25">
      <c r="A10387" s="402" t="s">
        <v>35</v>
      </c>
      <c r="B10387" s="2">
        <v>44325</v>
      </c>
      <c r="C10387" s="4">
        <v>21</v>
      </c>
      <c r="D10387" s="39">
        <f t="shared" si="980"/>
        <v>26246</v>
      </c>
      <c r="E10387" s="1">
        <v>1</v>
      </c>
      <c r="F10387" s="39">
        <f t="shared" si="982"/>
        <v>485</v>
      </c>
      <c r="G10387" s="169">
        <f>SUM(C10387,C10363,C10339,C10315,C10291,C10267,C10243,C10219,C10195,C10171,C10147,C10123,C10099,C10075)/POBLA!$B$18*100000</f>
        <v>546.199071448778</v>
      </c>
      <c r="H10387" s="258">
        <f t="shared" si="986"/>
        <v>1.3355242566510173</v>
      </c>
      <c r="I10387" s="310">
        <f t="shared" si="983"/>
        <v>729.46210888010512</v>
      </c>
      <c r="J10387" s="310">
        <f t="shared" si="984"/>
        <v>351.57142857142856</v>
      </c>
      <c r="K10387" s="310">
        <f>J10387/POBLA!$B$18*100000</f>
        <v>45.003043785712364</v>
      </c>
      <c r="L10387" s="68">
        <f t="shared" si="985"/>
        <v>-0.36267995570321143</v>
      </c>
      <c r="M10387" s="512">
        <f>SUM(C10387,C10363,C10339,C10315,C10291,C10267,C10243)/POBLA!$B$18*100000</f>
        <v>315.02130649998657</v>
      </c>
    </row>
    <row r="10388" spans="1:14" x14ac:dyDescent="0.25">
      <c r="A10388" s="402" t="s">
        <v>36</v>
      </c>
      <c r="B10388" s="2">
        <v>44325</v>
      </c>
      <c r="C10388" s="4">
        <v>491</v>
      </c>
      <c r="D10388" s="39">
        <f t="shared" si="980"/>
        <v>41449</v>
      </c>
      <c r="F10388" s="39">
        <f t="shared" si="982"/>
        <v>529</v>
      </c>
      <c r="G10388" s="169">
        <f>SUM(C10388,C10364,C10340,C10316,C10292,C10268,C10244,C10220,C10196,C10172,C10148,C10124,C10100,C10076)/POBLA!$B$19*100000</f>
        <v>1314.1121480618813</v>
      </c>
      <c r="H10388" s="258">
        <f t="shared" si="986"/>
        <v>0.79419807395077879</v>
      </c>
      <c r="I10388" s="310">
        <f t="shared" si="983"/>
        <v>1043.6653369460666</v>
      </c>
      <c r="J10388" s="310">
        <f t="shared" si="984"/>
        <v>433.28571428571428</v>
      </c>
      <c r="K10388" s="310">
        <f>J10388/POBLA!$B$19*100000</f>
        <v>85.237428252174638</v>
      </c>
      <c r="L10388" s="68">
        <f t="shared" si="985"/>
        <v>0.16835755415409925</v>
      </c>
      <c r="M10388" s="512">
        <f>SUM(C10388,C10364,C10340,C10316,C10292,C10268,C10244)/POBLA!$B$19*100000</f>
        <v>596.6619977652224</v>
      </c>
    </row>
    <row r="10389" spans="1:14" x14ac:dyDescent="0.25">
      <c r="A10389" s="402" t="s">
        <v>37</v>
      </c>
      <c r="B10389" s="2">
        <v>44325</v>
      </c>
      <c r="C10389" s="4">
        <v>122</v>
      </c>
      <c r="D10389" s="39">
        <f t="shared" si="980"/>
        <v>46560</v>
      </c>
      <c r="E10389" s="1">
        <v>1</v>
      </c>
      <c r="F10389" s="39">
        <f t="shared" si="982"/>
        <v>735</v>
      </c>
      <c r="G10389" s="169">
        <f>SUM(C10389,C10365,C10341,C10317,C10293,C10269,C10245,C10221,C10197,C10173,C10149,C10125,C10101,C10077)/POBLA!$B$20*100000</f>
        <v>795.73856023276039</v>
      </c>
      <c r="H10389" s="258">
        <f t="shared" si="986"/>
        <v>1.0960451977401129</v>
      </c>
      <c r="I10389" s="310">
        <f t="shared" si="983"/>
        <v>872.16542759974857</v>
      </c>
      <c r="J10389" s="310">
        <f t="shared" si="984"/>
        <v>216</v>
      </c>
      <c r="K10389" s="310">
        <f>J10389/POBLA!$B$20*100000</f>
        <v>59.065130244081182</v>
      </c>
      <c r="L10389" s="68">
        <f t="shared" si="985"/>
        <v>-8.1545064377682497E-2</v>
      </c>
      <c r="M10389" s="512">
        <f>SUM(C10389,C10365,C10341,C10317,C10293,C10269,C10245)/POBLA!$B$20*100000</f>
        <v>413.45591170856824</v>
      </c>
    </row>
    <row r="10390" spans="1:14" x14ac:dyDescent="0.25">
      <c r="A10390" s="402" t="s">
        <v>22</v>
      </c>
      <c r="B10390" s="2">
        <v>44325</v>
      </c>
      <c r="C10390" s="4">
        <v>845</v>
      </c>
      <c r="D10390" s="39">
        <f t="shared" si="980"/>
        <v>289102</v>
      </c>
      <c r="E10390" s="1">
        <v>1</v>
      </c>
      <c r="F10390" s="39">
        <f t="shared" si="982"/>
        <v>4788</v>
      </c>
      <c r="G10390" s="169">
        <f>SUM(C10390,C10366,C10342,C10318,C10294,C10270,C10246,C10222,C10198,C10174,C10150,C10126,C10102,C10078)/POBLA!$B$21*100000</f>
        <v>678.08726230892387</v>
      </c>
      <c r="H10390" s="258">
        <f t="shared" si="986"/>
        <v>1.0406179482728692</v>
      </c>
      <c r="I10390" s="310">
        <f t="shared" si="983"/>
        <v>705.62977565387928</v>
      </c>
      <c r="J10390" s="310">
        <f t="shared" si="984"/>
        <v>1780.4285714285713</v>
      </c>
      <c r="K10390" s="310">
        <f>J10390/POBLA!$B$21*100000</f>
        <v>50.345535268414856</v>
      </c>
      <c r="L10390" s="68">
        <f t="shared" si="985"/>
        <v>-8.2139446036294084E-2</v>
      </c>
      <c r="M10390" s="512">
        <f>SUM(C10390,C10366,C10342,C10318,C10294,C10270,C10246)/POBLA!$B$21*100000</f>
        <v>352.41874687890402</v>
      </c>
    </row>
    <row r="10391" spans="1:14" x14ac:dyDescent="0.25">
      <c r="A10391" s="402" t="s">
        <v>38</v>
      </c>
      <c r="B10391" s="2">
        <v>44325</v>
      </c>
      <c r="C10391" s="4">
        <v>286</v>
      </c>
      <c r="D10391" s="39">
        <f t="shared" si="980"/>
        <v>32804</v>
      </c>
      <c r="E10391" s="1">
        <v>1</v>
      </c>
      <c r="F10391" s="39">
        <f t="shared" si="982"/>
        <v>371</v>
      </c>
      <c r="G10391" s="169">
        <f>SUM(C10391,C10367,C10343,C10319,C10295,C10271,C10247,C10223,C10199,C10175,C10151,C10127,C10103,C10079)/POBLA!$B$22*100000</f>
        <v>307.570276588372</v>
      </c>
      <c r="H10391" s="258">
        <f t="shared" si="986"/>
        <v>1.0138140161725067</v>
      </c>
      <c r="I10391" s="310">
        <f t="shared" si="983"/>
        <v>311.81905736334613</v>
      </c>
      <c r="J10391" s="310">
        <f t="shared" si="984"/>
        <v>248.71428571428572</v>
      </c>
      <c r="K10391" s="310">
        <f>J10391/POBLA!$B$22*100000</f>
        <v>25.42277223284222</v>
      </c>
      <c r="L10391" s="68">
        <f t="shared" si="985"/>
        <v>-0.37302839116719233</v>
      </c>
      <c r="M10391" s="512">
        <f>SUM(C10391,C10367,C10343,C10319,C10295,C10271,C10247)/POBLA!$B$22*100000</f>
        <v>177.95940562989554</v>
      </c>
    </row>
    <row r="10392" spans="1:14" x14ac:dyDescent="0.25">
      <c r="A10392" s="402" t="s">
        <v>39</v>
      </c>
      <c r="B10392" s="2">
        <v>44325</v>
      </c>
      <c r="C10392" s="4">
        <v>42</v>
      </c>
      <c r="D10392" s="39">
        <f t="shared" si="980"/>
        <v>27019</v>
      </c>
      <c r="F10392" s="39">
        <f t="shared" si="982"/>
        <v>401</v>
      </c>
      <c r="G10392" s="169">
        <f>SUM(C10392,C10368,C10344,C10320,C10296,C10272,C10248,C10224,C10200,C10176,C10152,C10128,C10104,C10080)/POBLA!$B$23*100000</f>
        <v>550.24599898207316</v>
      </c>
      <c r="H10392" s="258">
        <f t="shared" si="986"/>
        <v>0.8128654970760234</v>
      </c>
      <c r="I10392" s="310">
        <f t="shared" si="983"/>
        <v>447.27598747665598</v>
      </c>
      <c r="J10392" s="310">
        <f t="shared" si="984"/>
        <v>68.285714285714292</v>
      </c>
      <c r="K10392" s="310">
        <f>J10392/POBLA!$B$23*100000</f>
        <v>38.616588975690945</v>
      </c>
      <c r="L10392" s="68">
        <f t="shared" si="985"/>
        <v>3.4343434343434343E-2</v>
      </c>
      <c r="M10392" s="512">
        <f>SUM(C10392,C10368,C10344,C10320,C10296,C10272,C10248)/POBLA!$B$23*100000</f>
        <v>270.31612282983656</v>
      </c>
    </row>
    <row r="10393" spans="1:14" ht="15.75" thickBot="1" x14ac:dyDescent="0.3">
      <c r="A10393" s="403" t="s">
        <v>40</v>
      </c>
      <c r="B10393" s="34">
        <v>44325</v>
      </c>
      <c r="C10393" s="27">
        <v>317</v>
      </c>
      <c r="D10393" s="67">
        <f t="shared" si="980"/>
        <v>110558</v>
      </c>
      <c r="E10393" s="234"/>
      <c r="F10393" s="67">
        <f t="shared" si="982"/>
        <v>1707</v>
      </c>
      <c r="G10393" s="257">
        <f>SUM(C10393,C10369,C10345,C10321,C10297,C10273,C10249,C10225,C10201,C10177,C10153,C10129,C10105,C10081)/POBLA!$B$24*100000</f>
        <v>480.62851693795085</v>
      </c>
      <c r="H10393" s="259">
        <f t="shared" si="986"/>
        <v>0.89466168717047456</v>
      </c>
      <c r="I10393" s="312">
        <f t="shared" si="983"/>
        <v>429.99991986595012</v>
      </c>
      <c r="J10393" s="312">
        <f t="shared" si="984"/>
        <v>531.28571428571433</v>
      </c>
      <c r="K10393" s="312">
        <f>J10393/POBLA!$B$24*100000</f>
        <v>31.350652538669461</v>
      </c>
      <c r="L10393" s="68">
        <f t="shared" si="985"/>
        <v>0.15973791233619516</v>
      </c>
      <c r="M10393" s="517">
        <f>SUM(C10393,C10369,C10345,C10321,C10297,C10273,C10249)/POBLA!$B$24*100000</f>
        <v>219.4545677706862</v>
      </c>
    </row>
    <row r="10394" spans="1:14" x14ac:dyDescent="0.25">
      <c r="A10394" s="397" t="s">
        <v>16</v>
      </c>
      <c r="B10394" s="267">
        <v>44326</v>
      </c>
      <c r="C10394" s="389">
        <v>7213</v>
      </c>
      <c r="D10394" s="175">
        <f t="shared" si="980"/>
        <v>1382065</v>
      </c>
      <c r="E10394" s="43">
        <v>225</v>
      </c>
      <c r="F10394" s="175">
        <f t="shared" ref="F10394:F10417" si="987">E10394+F10370</f>
        <v>35024</v>
      </c>
      <c r="G10394" s="176">
        <f>SUM(C10394,C10370,C10346,C10322,C10298,C10274,C10250,C10226,C10202,C10178,C10154,C10130,C10106,C10082)/POBLA!$B$1*100000</f>
        <v>731.43474532243943</v>
      </c>
      <c r="H10394" s="313">
        <f t="shared" si="986"/>
        <v>0.78351887927401975</v>
      </c>
      <c r="I10394" s="314">
        <f>G10394*H10394</f>
        <v>573.09293191711583</v>
      </c>
      <c r="J10394" s="551">
        <f>AVERAGE(C10394,C10370,C10346,C10322,C10298,C10274,C10250)</f>
        <v>8931.7142857142862</v>
      </c>
      <c r="K10394" s="314">
        <f>J10394/POBLA!$B$1*100000</f>
        <v>50.918661937181199</v>
      </c>
      <c r="L10394" s="68">
        <f t="shared" si="985"/>
        <v>4.9528732137427811E-2</v>
      </c>
      <c r="M10394" s="511">
        <f>SUM(C10394,C10370,C10346,C10322,C10298,C10274,C10250)/POBLA!$B$1*100000</f>
        <v>356.4306335602684</v>
      </c>
      <c r="N10394" s="393"/>
    </row>
    <row r="10395" spans="1:14" x14ac:dyDescent="0.25">
      <c r="A10395" s="402" t="s">
        <v>43</v>
      </c>
      <c r="B10395" s="2">
        <v>44326</v>
      </c>
      <c r="C10395" s="4">
        <v>1875</v>
      </c>
      <c r="D10395" s="39">
        <f t="shared" si="980"/>
        <v>363739</v>
      </c>
      <c r="E10395" s="1">
        <v>72</v>
      </c>
      <c r="F10395" s="39">
        <f t="shared" si="987"/>
        <v>8205</v>
      </c>
      <c r="G10395" s="169">
        <f>SUM(C10395,C10371,C10347,C10323,C10299,C10275,C10251,C10227,C10203,C10179,C10155,C10131,C10107,C10083)/POBLA!$B$2*100000</f>
        <v>1071.4171917054173</v>
      </c>
      <c r="H10395" s="258">
        <f t="shared" si="986"/>
        <v>0.79115048497070972</v>
      </c>
      <c r="I10395" s="310">
        <f t="shared" ref="I10395:I10417" si="988">G10395*H10395</f>
        <v>847.65223082369675</v>
      </c>
      <c r="J10395" s="552">
        <f t="shared" ref="J10395:J10417" si="989">AVERAGE(C10395,C10371,C10347,C10323,C10299,C10275,C10251)</f>
        <v>2239.5714285714284</v>
      </c>
      <c r="K10395" s="310">
        <f>J10395/POBLA!$B$2*100000</f>
        <v>72.816293831326121</v>
      </c>
      <c r="L10395" s="68">
        <f t="shared" si="985"/>
        <v>9.255614725630934E-2</v>
      </c>
      <c r="M10395" s="512">
        <f>SUM(C10395,C10371,C10347,C10323,C10299,C10275,C10251)/POBLA!$B$2*100000</f>
        <v>509.71405681928286</v>
      </c>
      <c r="N10395" s="393"/>
    </row>
    <row r="10396" spans="1:14" x14ac:dyDescent="0.25">
      <c r="A10396" s="402" t="s">
        <v>28</v>
      </c>
      <c r="B10396" s="2">
        <v>44326</v>
      </c>
      <c r="C10396" s="4">
        <v>179</v>
      </c>
      <c r="D10396" s="39">
        <f t="shared" si="980"/>
        <v>16349</v>
      </c>
      <c r="E10396" s="1">
        <v>5</v>
      </c>
      <c r="F10396" s="39">
        <f t="shared" si="987"/>
        <v>114</v>
      </c>
      <c r="G10396" s="169">
        <f>SUM(C10396,C10372,C10348,C10324,C10300,C10276,C10252,C10228,C10204,C10180,C10156,C10132,C10108,C10084)/POBLA!$B$3*100000</f>
        <v>508.86052792474447</v>
      </c>
      <c r="H10396" s="258">
        <f t="shared" si="986"/>
        <v>0.89123102866779091</v>
      </c>
      <c r="I10396" s="310">
        <f t="shared" si="988"/>
        <v>453.51229175080516</v>
      </c>
      <c r="J10396" s="552">
        <f t="shared" si="989"/>
        <v>167.71428571428572</v>
      </c>
      <c r="K10396" s="310">
        <f>J10396/POBLA!$B$3*100000</f>
        <v>40.370473022276663</v>
      </c>
      <c r="L10396" s="68">
        <f t="shared" si="985"/>
        <v>-0.24893617021276593</v>
      </c>
      <c r="M10396" s="512">
        <f>SUM(C10396,C10372,C10348,C10324,C10300,C10276,C10252)/POBLA!$B$3*100000</f>
        <v>282.59331115593665</v>
      </c>
      <c r="N10396" s="393"/>
    </row>
    <row r="10397" spans="1:14" x14ac:dyDescent="0.25">
      <c r="A10397" s="402" t="s">
        <v>15</v>
      </c>
      <c r="B10397" s="2">
        <v>44326</v>
      </c>
      <c r="C10397" s="4">
        <v>177</v>
      </c>
      <c r="D10397" s="39">
        <f t="shared" si="980"/>
        <v>47156</v>
      </c>
      <c r="E10397" s="1">
        <v>6</v>
      </c>
      <c r="F10397" s="39">
        <f t="shared" si="987"/>
        <v>1084</v>
      </c>
      <c r="G10397" s="169">
        <f>SUM(C10397,C10373,C10349,C10325,C10301,C10277,C10253,C10229,C10205,C10181,C10157,C10133,C10109,C10085)/POBLA!$B$4*100000</f>
        <v>281.60104139253048</v>
      </c>
      <c r="H10397" s="258">
        <f t="shared" si="986"/>
        <v>1.0656613257932768</v>
      </c>
      <c r="I10397" s="310">
        <f t="shared" si="988"/>
        <v>300.09133911513146</v>
      </c>
      <c r="J10397" s="552">
        <f t="shared" si="989"/>
        <v>254.57142857142858</v>
      </c>
      <c r="K10397" s="310">
        <f>J10397/POBLA!$B$4*100000</f>
        <v>21.134309963000728</v>
      </c>
      <c r="L10397" s="68">
        <f t="shared" si="985"/>
        <v>-0.10683229813664585</v>
      </c>
      <c r="M10397" s="512">
        <f>SUM(C10397,C10373,C10349,C10325,C10301,C10277,C10253)/POBLA!$B$4*100000</f>
        <v>147.94016974100506</v>
      </c>
      <c r="N10397" s="393"/>
    </row>
    <row r="10398" spans="1:14" x14ac:dyDescent="0.25">
      <c r="A10398" s="402" t="s">
        <v>29</v>
      </c>
      <c r="B10398" s="2">
        <v>44326</v>
      </c>
      <c r="C10398" s="4">
        <v>232</v>
      </c>
      <c r="D10398" s="39">
        <f t="shared" si="980"/>
        <v>56575</v>
      </c>
      <c r="E10398" s="1">
        <v>3</v>
      </c>
      <c r="F10398" s="39">
        <f t="shared" si="987"/>
        <v>935</v>
      </c>
      <c r="G10398" s="169">
        <f>SUM(C10398,C10374,C10350,C10326,C10302,C10278,C10254,C10230,C10206,C10182,C10158,C10134,C10110,C10086)/POBLA!$B$5*100000</f>
        <v>396.77282816957842</v>
      </c>
      <c r="H10398" s="258">
        <f t="shared" si="986"/>
        <v>0.9402756508422665</v>
      </c>
      <c r="I10398" s="310">
        <f t="shared" si="988"/>
        <v>373.07582924367711</v>
      </c>
      <c r="J10398" s="552">
        <f t="shared" si="989"/>
        <v>199.28571428571428</v>
      </c>
      <c r="K10398" s="310">
        <f>J10398/POBLA!$B$5*100000</f>
        <v>32.195096282954971</v>
      </c>
      <c r="L10398" s="68">
        <f t="shared" si="985"/>
        <v>-0.31479736098020727</v>
      </c>
      <c r="M10398" s="512">
        <f>SUM(C10398,C10374,C10350,C10326,C10302,C10278,C10254)/POBLA!$B$5*100000</f>
        <v>225.36567398068479</v>
      </c>
      <c r="N10398" s="393"/>
    </row>
    <row r="10399" spans="1:14" x14ac:dyDescent="0.25">
      <c r="A10399" s="402" t="s">
        <v>30</v>
      </c>
      <c r="B10399" s="2">
        <v>44326</v>
      </c>
      <c r="C10399" s="4">
        <v>133</v>
      </c>
      <c r="D10399" s="39">
        <f t="shared" si="980"/>
        <v>39384</v>
      </c>
      <c r="E10399" s="1">
        <v>1</v>
      </c>
      <c r="F10399" s="39">
        <f t="shared" si="987"/>
        <v>530</v>
      </c>
      <c r="G10399" s="169">
        <f>SUM(C10399,C10375,C10351,C10327,C10303,C10279,C10255,C10231,C10207,C10183,C10159,C10135,C10111,C10087)/POBLA!$B$6*100000</f>
        <v>237.95481981190238</v>
      </c>
      <c r="H10399" s="258">
        <f t="shared" si="986"/>
        <v>0.78073770491803274</v>
      </c>
      <c r="I10399" s="310">
        <f t="shared" si="988"/>
        <v>185.78029989412869</v>
      </c>
      <c r="J10399" s="552">
        <f t="shared" si="989"/>
        <v>211.14285714285714</v>
      </c>
      <c r="K10399" s="310">
        <f>J10399/POBLA!$B$6*100000</f>
        <v>18.838567876265024</v>
      </c>
      <c r="L10399" s="68">
        <f t="shared" si="985"/>
        <v>-0.2430613961312027</v>
      </c>
      <c r="M10399" s="512">
        <f>SUM(C10399,C10375,C10351,C10327,C10303,C10279,C10255)/POBLA!$B$6*100000</f>
        <v>131.86997513385518</v>
      </c>
      <c r="N10399" s="393"/>
    </row>
    <row r="10400" spans="1:14" x14ac:dyDescent="0.25">
      <c r="A10400" s="402" t="s">
        <v>20</v>
      </c>
      <c r="B10400" s="2">
        <v>44326</v>
      </c>
      <c r="C10400" s="4">
        <v>1388</v>
      </c>
      <c r="D10400" s="39">
        <f t="shared" si="980"/>
        <v>241984</v>
      </c>
      <c r="E10400" s="1">
        <v>16</v>
      </c>
      <c r="F10400" s="39">
        <f t="shared" si="987"/>
        <v>3517</v>
      </c>
      <c r="G10400" s="169">
        <f>SUM(C10400,C10376,C10352,C10328,C10304,C10280,C10256,C10232,C10208,C10184,C10160,C10136,C10112,C10088)/POBLA!$B$7*100000</f>
        <v>598.11990586233026</v>
      </c>
      <c r="H10400" s="258">
        <f t="shared" si="986"/>
        <v>0.97940344001741786</v>
      </c>
      <c r="I10400" s="310">
        <f t="shared" si="988"/>
        <v>585.80069334446034</v>
      </c>
      <c r="J10400" s="552">
        <f t="shared" si="989"/>
        <v>1608.5714285714287</v>
      </c>
      <c r="K10400" s="310">
        <f>J10400/POBLA!$B$7*100000</f>
        <v>42.776035542858665</v>
      </c>
      <c r="L10400" s="68">
        <f t="shared" si="985"/>
        <v>-2.49287749287741E-3</v>
      </c>
      <c r="M10400" s="512">
        <f>SUM(C10400,C10376,C10352,C10328,C10304,C10280,C10256)/POBLA!$B$7*100000</f>
        <v>299.4322488000106</v>
      </c>
      <c r="N10400" s="393"/>
    </row>
    <row r="10401" spans="1:14" x14ac:dyDescent="0.25">
      <c r="A10401" s="402" t="s">
        <v>31</v>
      </c>
      <c r="B10401" s="2">
        <v>44326</v>
      </c>
      <c r="C10401" s="298">
        <v>417</v>
      </c>
      <c r="D10401" s="39">
        <f t="shared" si="980"/>
        <v>67850</v>
      </c>
      <c r="E10401" s="1">
        <v>4</v>
      </c>
      <c r="F10401" s="39">
        <f t="shared" si="987"/>
        <v>1104</v>
      </c>
      <c r="G10401" s="169">
        <f>SUM(C10401,C10377,C10353,C10329,C10305,C10281,C10257,C10233,C10209,C10185,C10161,C10137,C10113,C10089)/POBLA!$B$8*100000</f>
        <v>542.87241848796612</v>
      </c>
      <c r="H10401" s="258">
        <f t="shared" si="986"/>
        <v>1.0713370354549339</v>
      </c>
      <c r="I10401" s="310">
        <f t="shared" si="988"/>
        <v>581.59932745314779</v>
      </c>
      <c r="J10401" s="552">
        <f t="shared" si="989"/>
        <v>572.85714285714289</v>
      </c>
      <c r="K10401" s="310">
        <f>J10401/POBLA!$B$8*100000</f>
        <v>41.332847234311998</v>
      </c>
      <c r="L10401" s="68">
        <f t="shared" si="985"/>
        <v>-0.14114968696641994</v>
      </c>
      <c r="M10401" s="512">
        <f>SUM(C10401,C10377,C10353,C10329,C10305,C10281,C10257)/POBLA!$B$8*100000</f>
        <v>289.32993064018393</v>
      </c>
      <c r="N10401" s="393"/>
    </row>
    <row r="10402" spans="1:14" x14ac:dyDescent="0.25">
      <c r="A10402" s="402" t="s">
        <v>41</v>
      </c>
      <c r="B10402" s="2">
        <v>44326</v>
      </c>
      <c r="C10402" s="4">
        <v>148</v>
      </c>
      <c r="D10402" s="39">
        <f t="shared" si="980"/>
        <v>6050</v>
      </c>
      <c r="F10402" s="39">
        <f t="shared" si="987"/>
        <v>105</v>
      </c>
      <c r="G10402" s="169">
        <f>SUM(C10402,C10378,C10354,C10330,C10306,C10282,C10258,C10234,C10210,C10186,C10162,C10138,C10114,C10090)/POBLA!$B$9*100000</f>
        <v>291.31202773330159</v>
      </c>
      <c r="H10402" s="258">
        <f t="shared" si="986"/>
        <v>1.3719844357976654</v>
      </c>
      <c r="I10402" s="310">
        <f t="shared" si="988"/>
        <v>399.67556801074761</v>
      </c>
      <c r="J10402" s="552">
        <f t="shared" si="989"/>
        <v>203.57142857142858</v>
      </c>
      <c r="K10402" s="310">
        <f>J10402/POBLA!$B$9*100000</f>
        <v>33.637439390645397</v>
      </c>
      <c r="L10402" s="68">
        <f t="shared" si="985"/>
        <v>-3.2159763313609471</v>
      </c>
      <c r="M10402" s="512">
        <f>SUM(C10402,C10378,C10354,C10330,C10306,C10282,C10258)/POBLA!$B$9*100000</f>
        <v>235.46207573451775</v>
      </c>
      <c r="N10402" s="393"/>
    </row>
    <row r="10403" spans="1:14" x14ac:dyDescent="0.25">
      <c r="A10403" s="402" t="s">
        <v>32</v>
      </c>
      <c r="B10403" s="2">
        <v>44326</v>
      </c>
      <c r="C10403" s="4">
        <v>48</v>
      </c>
      <c r="D10403" s="39">
        <f t="shared" si="980"/>
        <v>25706</v>
      </c>
      <c r="F10403" s="39">
        <f t="shared" si="987"/>
        <v>1058</v>
      </c>
      <c r="G10403" s="169">
        <f>SUM(C10403,C10379,C10355,C10331,C10307,C10283,C10259,C10235,C10211,C10187,C10163,C10139,C10115,C10091)/POBLA!$B$10*100000</f>
        <v>164.09796064502822</v>
      </c>
      <c r="H10403" s="258">
        <f t="shared" si="986"/>
        <v>0.9496996996996997</v>
      </c>
      <c r="I10403" s="310">
        <f t="shared" si="988"/>
        <v>155.84378394591644</v>
      </c>
      <c r="J10403" s="552">
        <f t="shared" si="989"/>
        <v>91.142857142857139</v>
      </c>
      <c r="K10403" s="310">
        <f>J10403/POBLA!$B$10*100000</f>
        <v>11.823207102374704</v>
      </c>
      <c r="L10403" s="68">
        <f t="shared" si="985"/>
        <v>-1.7543859649122862E-2</v>
      </c>
      <c r="M10403" s="512">
        <f>SUM(C10403,C10379,C10355,C10331,C10307,C10283,C10259)/POBLA!$B$10*100000</f>
        <v>82.762449716622925</v>
      </c>
      <c r="N10403" s="393"/>
    </row>
    <row r="10404" spans="1:14" x14ac:dyDescent="0.25">
      <c r="A10404" s="402" t="s">
        <v>33</v>
      </c>
      <c r="B10404" s="2">
        <v>44326</v>
      </c>
      <c r="C10404" s="4">
        <v>453</v>
      </c>
      <c r="D10404" s="39">
        <f t="shared" si="980"/>
        <v>30501</v>
      </c>
      <c r="E10404" s="1">
        <v>4</v>
      </c>
      <c r="F10404" s="39">
        <f t="shared" si="987"/>
        <v>413</v>
      </c>
      <c r="G10404" s="169">
        <f>SUM(C10404,C10380,C10356,C10332,C10308,C10284,C10260,C10236,C10212,C10188,C10164,C10140,C10116,C10092)/POBLA!$B$11*100000</f>
        <v>1270.8270559219704</v>
      </c>
      <c r="H10404" s="258">
        <f t="shared" si="986"/>
        <v>1.4492523067133312</v>
      </c>
      <c r="I10404" s="310">
        <f t="shared" si="988"/>
        <v>1841.7490422286271</v>
      </c>
      <c r="J10404" s="552">
        <f t="shared" si="989"/>
        <v>382.28571428571428</v>
      </c>
      <c r="K10404" s="310">
        <f>J10404/POBLA!$B$11*100000</f>
        <v>106.65620830005308</v>
      </c>
      <c r="L10404" s="68">
        <f t="shared" si="985"/>
        <v>-0.42416178818520489</v>
      </c>
      <c r="M10404" s="512">
        <f>SUM(C10404,C10380,C10356,C10332,C10308,C10284,C10260)/POBLA!$B$11*100000</f>
        <v>746.59345810037166</v>
      </c>
      <c r="N10404" s="393"/>
    </row>
    <row r="10405" spans="1:14" x14ac:dyDescent="0.25">
      <c r="A10405" s="402" t="s">
        <v>21</v>
      </c>
      <c r="B10405" s="2">
        <v>44326</v>
      </c>
      <c r="C10405" s="4">
        <v>94</v>
      </c>
      <c r="D10405" s="39">
        <f t="shared" si="980"/>
        <v>14380</v>
      </c>
      <c r="E10405" s="1">
        <v>6</v>
      </c>
      <c r="F10405" s="39">
        <f t="shared" si="987"/>
        <v>504</v>
      </c>
      <c r="G10405" s="169">
        <f>SUM(C10405,C10381,C10357,C10333,C10309,C10285,C10261,C10237,C10213,C10189,C10165,C10141,C10117,C10093)/POBLA!$B$12*100000</f>
        <v>320.43218958608094</v>
      </c>
      <c r="H10405" s="258">
        <f t="shared" si="986"/>
        <v>1.1697588126159555</v>
      </c>
      <c r="I10405" s="310">
        <f t="shared" si="988"/>
        <v>374.82837761414476</v>
      </c>
      <c r="J10405" s="552">
        <f t="shared" si="989"/>
        <v>87</v>
      </c>
      <c r="K10405" s="310">
        <f>J10405/POBLA!$B$12*100000</f>
        <v>22.107534095153873</v>
      </c>
      <c r="L10405" s="68">
        <f t="shared" si="985"/>
        <v>6.5950920245398725E-2</v>
      </c>
      <c r="M10405" s="512">
        <f>SUM(C10405,C10381,C10357,C10333,C10309,C10285,C10261)/POBLA!$B$12*100000</f>
        <v>154.75273866607714</v>
      </c>
      <c r="N10405" s="393"/>
    </row>
    <row r="10406" spans="1:14" x14ac:dyDescent="0.25">
      <c r="A10406" s="402" t="s">
        <v>17</v>
      </c>
      <c r="B10406" s="2">
        <v>44326</v>
      </c>
      <c r="C10406" s="4">
        <v>839</v>
      </c>
      <c r="D10406" s="39">
        <f t="shared" si="980"/>
        <v>103465</v>
      </c>
      <c r="E10406" s="1">
        <v>22</v>
      </c>
      <c r="F10406" s="39">
        <f t="shared" si="987"/>
        <v>2034</v>
      </c>
      <c r="G10406" s="169">
        <f>SUM(C10406,C10382,C10358,C10334,C10310,C10286,C10262,C10238,C10214,C10190,C10166,C10142,C10118,C10094)/POBLA!$B$13*100000</f>
        <v>525.23742198561251</v>
      </c>
      <c r="H10406" s="258">
        <f t="shared" si="986"/>
        <v>0.84881455017862939</v>
      </c>
      <c r="I10406" s="310">
        <f t="shared" si="988"/>
        <v>445.82916607970066</v>
      </c>
      <c r="J10406" s="552">
        <f t="shared" si="989"/>
        <v>791.71428571428567</v>
      </c>
      <c r="K10406" s="310">
        <f>J10406/POBLA!$B$13*100000</f>
        <v>39.777881229936099</v>
      </c>
      <c r="L10406" s="68">
        <f t="shared" si="985"/>
        <v>-0.12825732899022801</v>
      </c>
      <c r="M10406" s="512">
        <f>SUM(C10406,C10382,C10358,C10334,C10310,C10286,C10262)/POBLA!$B$13*100000</f>
        <v>278.44516860955275</v>
      </c>
      <c r="N10406" s="393"/>
    </row>
    <row r="10407" spans="1:14" x14ac:dyDescent="0.25">
      <c r="A10407" s="402" t="s">
        <v>23</v>
      </c>
      <c r="B10407" s="2">
        <v>44326</v>
      </c>
      <c r="C10407" s="4">
        <v>162</v>
      </c>
      <c r="D10407" s="39">
        <f t="shared" si="980"/>
        <v>17062</v>
      </c>
      <c r="E10407" s="1">
        <v>2</v>
      </c>
      <c r="F10407" s="39">
        <f t="shared" si="987"/>
        <v>242</v>
      </c>
      <c r="G10407" s="169">
        <f>SUM(C10407,C10383,C10359,C10335,C10311,C10287,C10263,C10239,C10215,C10191,C10167,C10143,C10119,C10095)/POBLA!$B$14*100000</f>
        <v>146.83333148338136</v>
      </c>
      <c r="H10407" s="258">
        <f t="shared" si="986"/>
        <v>1.0705202312138729</v>
      </c>
      <c r="I10407" s="310">
        <f t="shared" si="988"/>
        <v>157.18805196949265</v>
      </c>
      <c r="J10407" s="552">
        <f t="shared" si="989"/>
        <v>161</v>
      </c>
      <c r="K10407" s="310">
        <f>J10407/POBLA!$B$14*100000</f>
        <v>12.76466866567192</v>
      </c>
      <c r="L10407" s="68">
        <f t="shared" si="985"/>
        <v>-0.55448275862068974</v>
      </c>
      <c r="M10407" s="512">
        <f>SUM(C10407,C10383,C10359,C10335,C10311,C10287,C10263)/POBLA!$B$14*100000</f>
        <v>89.352680659703452</v>
      </c>
      <c r="N10407" s="393"/>
    </row>
    <row r="10408" spans="1:14" x14ac:dyDescent="0.25">
      <c r="A10408" s="402" t="s">
        <v>19</v>
      </c>
      <c r="B10408" s="2">
        <v>44326</v>
      </c>
      <c r="C10408" s="4">
        <v>446</v>
      </c>
      <c r="D10408" s="39">
        <f t="shared" si="980"/>
        <v>75223</v>
      </c>
      <c r="E10408" s="1">
        <v>26</v>
      </c>
      <c r="F10408" s="39">
        <f t="shared" si="987"/>
        <v>1135</v>
      </c>
      <c r="G10408" s="169">
        <f>SUM(C10408,C10384,C10360,C10336,C10312,C10288,C10264,C10240,C10216,C10192,C10168,C10144,C10120,C10096)/POBLA!$B$15*100000</f>
        <v>849.92703939571447</v>
      </c>
      <c r="H10408" s="258">
        <f t="shared" si="986"/>
        <v>1.9322149948647724</v>
      </c>
      <c r="I10408" s="310">
        <f t="shared" si="988"/>
        <v>1642.2417700614217</v>
      </c>
      <c r="J10408" s="552">
        <f t="shared" si="989"/>
        <v>469.85714285714283</v>
      </c>
      <c r="K10408" s="310">
        <f>J10408/POBLA!$B$15*100000</f>
        <v>70.755544005581271</v>
      </c>
      <c r="L10408" s="68">
        <f t="shared" si="985"/>
        <v>-0.39660297239915066</v>
      </c>
      <c r="M10408" s="512">
        <f>SUM(C10408,C10384,C10360,C10336,C10312,C10288,C10264)/POBLA!$B$15*100000</f>
        <v>495.28880803906895</v>
      </c>
      <c r="N10408" s="393"/>
    </row>
    <row r="10409" spans="1:14" x14ac:dyDescent="0.25">
      <c r="A10409" s="402" t="s">
        <v>18</v>
      </c>
      <c r="B10409" s="2">
        <v>44326</v>
      </c>
      <c r="C10409" s="4">
        <v>325</v>
      </c>
      <c r="D10409" s="39">
        <f t="shared" si="980"/>
        <v>64188</v>
      </c>
      <c r="E10409" s="1">
        <v>10</v>
      </c>
      <c r="F10409" s="39">
        <f t="shared" si="987"/>
        <v>1406</v>
      </c>
      <c r="G10409" s="169">
        <f>SUM(C10409,C10385,C10361,C10337,C10313,C10289,C10265,C10241,C10217,C10193,C10169,C10145,C10121,C10097)/POBLA!$B$16*100000</f>
        <v>546.00660772327819</v>
      </c>
      <c r="H10409" s="258">
        <f t="shared" si="986"/>
        <v>1.2901390644753477</v>
      </c>
      <c r="I10409" s="310">
        <f t="shared" si="988"/>
        <v>704.42445408546826</v>
      </c>
      <c r="J10409" s="552">
        <f t="shared" si="989"/>
        <v>306</v>
      </c>
      <c r="K10409" s="310">
        <f>J10409/POBLA!$B$16*100000</f>
        <v>40.930431642166369</v>
      </c>
      <c r="L10409" s="68">
        <f t="shared" si="985"/>
        <v>-0.10412371134020626</v>
      </c>
      <c r="M10409" s="512">
        <f>SUM(C10409,C10385,C10361,C10337,C10313,C10289,C10265)/POBLA!$B$16*100000</f>
        <v>286.51302149516459</v>
      </c>
      <c r="N10409" s="393"/>
    </row>
    <row r="10410" spans="1:14" x14ac:dyDescent="0.25">
      <c r="A10410" s="402" t="s">
        <v>34</v>
      </c>
      <c r="B10410" s="2">
        <v>44326</v>
      </c>
      <c r="C10410" s="4">
        <v>283</v>
      </c>
      <c r="D10410" s="39">
        <f t="shared" si="980"/>
        <v>36737</v>
      </c>
      <c r="E10410" s="1">
        <v>3</v>
      </c>
      <c r="F10410" s="39">
        <f t="shared" si="987"/>
        <v>1303</v>
      </c>
      <c r="G10410" s="169">
        <f>SUM(C10410,C10386,C10362,C10338,C10314,C10290,C10266,C10242,C10218,C10194,C10170,C10146,C10122,C10098)/POBLA!$B$17*100000</f>
        <v>204.2969761941369</v>
      </c>
      <c r="H10410" s="258">
        <f t="shared" ref="H10410:H10433" si="990">SUM(C10410,C10386,C10362,C10338,C10314,C10290,C10266,C10242,C10218,C10194,C10170,C10146,C10122,C10098)/SUM(C10074,C10050,C10026,C10002,C9978,C9954,C9930,C9906,C9882,C9858,C9834,C9810,C9786,C9762)</f>
        <v>1.0710342289289658</v>
      </c>
      <c r="I10410" s="310">
        <f t="shared" si="988"/>
        <v>218.8090543706067</v>
      </c>
      <c r="J10410" s="552">
        <f t="shared" si="989"/>
        <v>233</v>
      </c>
      <c r="K10410" s="310">
        <f>J10410/POBLA!$B$17*100000</f>
        <v>16.357799124822645</v>
      </c>
      <c r="L10410" s="68">
        <f t="shared" si="985"/>
        <v>-0.27521501172791241</v>
      </c>
      <c r="M10410" s="512">
        <f>SUM(C10410,C10386,C10362,C10338,C10314,C10290,C10266)/POBLA!$B$17*100000</f>
        <v>114.50459387375852</v>
      </c>
      <c r="N10410" s="393"/>
    </row>
    <row r="10411" spans="1:14" x14ac:dyDescent="0.25">
      <c r="A10411" s="402" t="s">
        <v>35</v>
      </c>
      <c r="B10411" s="2">
        <v>44326</v>
      </c>
      <c r="C10411" s="4">
        <v>298</v>
      </c>
      <c r="D10411" s="39">
        <f t="shared" si="980"/>
        <v>26544</v>
      </c>
      <c r="E10411" s="1">
        <v>32</v>
      </c>
      <c r="F10411" s="39">
        <f t="shared" si="987"/>
        <v>517</v>
      </c>
      <c r="G10411" s="169">
        <f>SUM(C10411,C10387,C10363,C10339,C10315,C10291,C10267,C10243,C10219,C10195,C10171,C10147,C10123,C10099)/POBLA!$B$18*100000</f>
        <v>554.00740127262975</v>
      </c>
      <c r="H10411" s="258">
        <f t="shared" si="990"/>
        <v>1.328014728444308</v>
      </c>
      <c r="I10411" s="310">
        <f t="shared" si="988"/>
        <v>735.72998855720823</v>
      </c>
      <c r="J10411" s="552">
        <f t="shared" si="989"/>
        <v>355.85714285714283</v>
      </c>
      <c r="K10411" s="310">
        <f>J10411/POBLA!$B$18*100000</f>
        <v>45.551638386919741</v>
      </c>
      <c r="L10411" s="68">
        <f t="shared" si="985"/>
        <v>-0.35601524224278713</v>
      </c>
      <c r="M10411" s="512">
        <f>SUM(C10411,C10387,C10363,C10339,C10315,C10291,C10267)/POBLA!$B$18*100000</f>
        <v>318.86146870843828</v>
      </c>
      <c r="N10411" s="393"/>
    </row>
    <row r="10412" spans="1:14" x14ac:dyDescent="0.25">
      <c r="A10412" s="402" t="s">
        <v>36</v>
      </c>
      <c r="B10412" s="2">
        <v>44326</v>
      </c>
      <c r="C10412" s="4">
        <v>423</v>
      </c>
      <c r="D10412" s="39">
        <f t="shared" si="980"/>
        <v>41872</v>
      </c>
      <c r="E10412" s="1">
        <v>12</v>
      </c>
      <c r="F10412" s="39">
        <f t="shared" si="987"/>
        <v>541</v>
      </c>
      <c r="G10412" s="169">
        <f>SUM(C10412,C10388,C10364,C10340,C10316,C10292,C10268,C10244,C10220,C10196,C10172,C10148,C10124,C10100)/POBLA!$B$19*100000</f>
        <v>1302.702192285296</v>
      </c>
      <c r="H10412" s="258">
        <f t="shared" si="990"/>
        <v>0.79438579654510555</v>
      </c>
      <c r="I10412" s="310">
        <f t="shared" si="988"/>
        <v>1034.84811867961</v>
      </c>
      <c r="J10412" s="552">
        <f t="shared" si="989"/>
        <v>433.28571428571428</v>
      </c>
      <c r="K10412" s="310">
        <f>J10412/POBLA!$B$19*100000</f>
        <v>85.237428252174638</v>
      </c>
      <c r="L10412" s="68">
        <f t="shared" si="985"/>
        <v>0.15491780440234049</v>
      </c>
      <c r="M10412" s="512">
        <f>SUM(C10412,C10388,C10364,C10340,C10316,C10292,C10268)/POBLA!$B$19*100000</f>
        <v>596.6619977652224</v>
      </c>
      <c r="N10412" s="393"/>
    </row>
    <row r="10413" spans="1:14" x14ac:dyDescent="0.25">
      <c r="A10413" s="402" t="s">
        <v>37</v>
      </c>
      <c r="B10413" s="2">
        <v>44326</v>
      </c>
      <c r="C10413" s="4">
        <v>244</v>
      </c>
      <c r="D10413" s="39">
        <f t="shared" si="980"/>
        <v>46804</v>
      </c>
      <c r="E10413" s="1">
        <v>1</v>
      </c>
      <c r="F10413" s="39">
        <f t="shared" si="987"/>
        <v>736</v>
      </c>
      <c r="G10413" s="169">
        <f>SUM(C10413,C10389,C10365,C10341,C10317,C10293,C10269,C10245,C10221,C10197,C10173,C10149,C10125,C10101)/POBLA!$B$20*100000</f>
        <v>799.56685571154344</v>
      </c>
      <c r="H10413" s="258">
        <f t="shared" si="990"/>
        <v>1.055595667870036</v>
      </c>
      <c r="I10413" s="310">
        <f t="shared" si="988"/>
        <v>844.01930906157145</v>
      </c>
      <c r="J10413" s="552">
        <f t="shared" si="989"/>
        <v>229.28571428571428</v>
      </c>
      <c r="K10413" s="310">
        <f>J10413/POBLA!$B$20*100000</f>
        <v>62.698104524967128</v>
      </c>
      <c r="L10413" s="68">
        <f t="shared" si="985"/>
        <v>-0.21683093252463981</v>
      </c>
      <c r="M10413" s="512">
        <f>SUM(C10413,C10389,C10365,C10341,C10317,C10293,C10269)/POBLA!$B$20*100000</f>
        <v>438.88673167476986</v>
      </c>
      <c r="N10413" s="393"/>
    </row>
    <row r="10414" spans="1:14" x14ac:dyDescent="0.25">
      <c r="A10414" s="402" t="s">
        <v>22</v>
      </c>
      <c r="B10414" s="2">
        <v>44326</v>
      </c>
      <c r="C10414" s="4">
        <v>1257</v>
      </c>
      <c r="D10414" s="39">
        <f t="shared" si="980"/>
        <v>290359</v>
      </c>
      <c r="E10414" s="1">
        <v>24</v>
      </c>
      <c r="F10414" s="39">
        <f t="shared" si="987"/>
        <v>4812</v>
      </c>
      <c r="G10414" s="169">
        <f>SUM(C10414,C10390,C10366,C10342,C10318,C10294,C10270,C10246,C10222,C10198,C10174,C10150,C10126,C10102)/POBLA!$B$21*100000</f>
        <v>683.14888115601718</v>
      </c>
      <c r="H10414" s="258">
        <f t="shared" si="990"/>
        <v>1.0495699018159701</v>
      </c>
      <c r="I10414" s="310">
        <f t="shared" si="988"/>
        <v>717.01250412061074</v>
      </c>
      <c r="J10414" s="552">
        <f t="shared" si="989"/>
        <v>1771.8571428571429</v>
      </c>
      <c r="K10414" s="310">
        <f>J10414/POBLA!$B$21*100000</f>
        <v>50.103159266159793</v>
      </c>
      <c r="L10414" s="68">
        <f t="shared" si="985"/>
        <v>-5.5035726437563826E-2</v>
      </c>
      <c r="M10414" s="512">
        <f>SUM(C10414,C10390,C10366,C10342,C10318,C10294,C10270)/POBLA!$B$21*100000</f>
        <v>350.72211486311858</v>
      </c>
      <c r="N10414" s="393"/>
    </row>
    <row r="10415" spans="1:14" x14ac:dyDescent="0.25">
      <c r="A10415" s="402" t="s">
        <v>38</v>
      </c>
      <c r="B10415" s="2">
        <v>44326</v>
      </c>
      <c r="C10415" s="4">
        <v>223</v>
      </c>
      <c r="D10415" s="39">
        <f t="shared" si="980"/>
        <v>33027</v>
      </c>
      <c r="E10415" s="1">
        <v>10</v>
      </c>
      <c r="F10415" s="39">
        <f t="shared" si="987"/>
        <v>381</v>
      </c>
      <c r="G10415" s="169">
        <f>SUM(C10415,C10391,C10367,C10343,C10319,C10295,C10271,C10247,C10223,C10199,C10175,C10151,C10127,C10103)/POBLA!$B$22*100000</f>
        <v>319.01855541120273</v>
      </c>
      <c r="H10415" s="258">
        <f t="shared" si="990"/>
        <v>1.054391891891892</v>
      </c>
      <c r="I10415" s="310">
        <f t="shared" si="988"/>
        <v>336.37057818863639</v>
      </c>
      <c r="J10415" s="552">
        <f t="shared" si="989"/>
        <v>265.57142857142856</v>
      </c>
      <c r="K10415" s="310">
        <f>J10415/POBLA!$B$22*100000</f>
        <v>27.145855014849904</v>
      </c>
      <c r="L10415" s="68">
        <f t="shared" si="985"/>
        <v>-0.47305863708399376</v>
      </c>
      <c r="M10415" s="512">
        <f>SUM(C10415,C10391,C10367,C10343,C10319,C10295,C10271)/POBLA!$B$22*100000</f>
        <v>190.02098510394936</v>
      </c>
      <c r="N10415" s="393"/>
    </row>
    <row r="10416" spans="1:14" x14ac:dyDescent="0.25">
      <c r="A10416" s="402" t="s">
        <v>39</v>
      </c>
      <c r="B10416" s="2">
        <v>44326</v>
      </c>
      <c r="C10416" s="4">
        <v>38</v>
      </c>
      <c r="D10416" s="39">
        <f t="shared" si="980"/>
        <v>27057</v>
      </c>
      <c r="F10416" s="39">
        <f t="shared" si="987"/>
        <v>401</v>
      </c>
      <c r="G10416" s="169">
        <f>SUM(C10416,C10392,C10368,C10344,C10320,C10296,C10272,C10248,C10224,C10200,C10176,C10152,C10128,C10104)/POBLA!$B$23*100000</f>
        <v>541.19776056099079</v>
      </c>
      <c r="H10416" s="258">
        <f t="shared" si="990"/>
        <v>0.83435047951176988</v>
      </c>
      <c r="I10416" s="310">
        <f t="shared" si="988"/>
        <v>451.54861103475866</v>
      </c>
      <c r="J10416" s="552">
        <f t="shared" si="989"/>
        <v>68.142857142857139</v>
      </c>
      <c r="K10416" s="310">
        <f>J10416/POBLA!$B$23*100000</f>
        <v>38.53580113264556</v>
      </c>
      <c r="L10416" s="68">
        <f t="shared" si="985"/>
        <v>6.2499999999999778E-3</v>
      </c>
      <c r="M10416" s="512">
        <f>SUM(C10416,C10392,C10368,C10344,C10320,C10296,C10272)/POBLA!$B$23*100000</f>
        <v>269.75060792851895</v>
      </c>
      <c r="N10416" s="393"/>
    </row>
    <row r="10417" spans="1:14" ht="15.75" thickBot="1" x14ac:dyDescent="0.3">
      <c r="A10417" s="403" t="s">
        <v>40</v>
      </c>
      <c r="B10417" s="34">
        <v>44326</v>
      </c>
      <c r="C10417" s="27">
        <v>486</v>
      </c>
      <c r="D10417" s="67">
        <f t="shared" si="980"/>
        <v>111044</v>
      </c>
      <c r="E10417" s="234">
        <v>12</v>
      </c>
      <c r="F10417" s="67">
        <f t="shared" si="987"/>
        <v>1719</v>
      </c>
      <c r="G10417" s="257">
        <f>SUM(C10417,C10393,C10369,C10345,C10321,C10297,C10273,C10249,C10225,C10201,C10177,C10153,C10129,C10105)/POBLA!$B$24*100000</f>
        <v>451.24202197968202</v>
      </c>
      <c r="H10417" s="259">
        <f t="shared" si="990"/>
        <v>0.80258186397984888</v>
      </c>
      <c r="I10417" s="312">
        <f t="shared" si="988"/>
        <v>362.15866310648914</v>
      </c>
      <c r="J10417" s="566">
        <f t="shared" si="989"/>
        <v>528.14285714285711</v>
      </c>
      <c r="K10417" s="312">
        <f>J10417/POBLA!$B$24*100000</f>
        <v>31.165195599747506</v>
      </c>
      <c r="L10417" s="68">
        <f t="shared" si="985"/>
        <v>6.4050632911392458E-2</v>
      </c>
      <c r="M10417" s="517">
        <f>SUM(C10417,C10393,C10369,C10345,C10321,C10297,C10273)/POBLA!$B$24*100000</f>
        <v>218.15636919823257</v>
      </c>
      <c r="N10417" s="393"/>
    </row>
    <row r="10418" spans="1:14" x14ac:dyDescent="0.25">
      <c r="A10418" s="397" t="s">
        <v>16</v>
      </c>
      <c r="B10418" s="267">
        <v>44327</v>
      </c>
      <c r="C10418" s="43">
        <v>11212</v>
      </c>
      <c r="D10418" s="175">
        <f t="shared" si="980"/>
        <v>1393277</v>
      </c>
      <c r="E10418" s="43">
        <v>248</v>
      </c>
      <c r="F10418" s="175">
        <f t="shared" ref="F10418:F10441" si="991">E10418+F10394</f>
        <v>35272</v>
      </c>
      <c r="G10418" s="176">
        <f>SUM(C10418,C10394,C10370,C10346,C10322,C10298,C10274,C10250,C10226,C10202,C10178,C10154,C10130,C10106)/POBLA!$B$1*100000</f>
        <v>724.60508697809337</v>
      </c>
      <c r="H10418" s="313">
        <f t="shared" si="990"/>
        <v>0.78383295201563918</v>
      </c>
      <c r="I10418" s="314">
        <f>G10418*H10418</f>
        <v>567.96934437158791</v>
      </c>
      <c r="J10418" s="551">
        <f>AVERAGE(C10418,C10394,C10370,C10346,C10322,C10298,C10274)</f>
        <v>8789</v>
      </c>
      <c r="K10418" s="314">
        <f>J10418/POBLA!$B$1*100000</f>
        <v>50.105064431099436</v>
      </c>
      <c r="L10418" s="68">
        <f t="shared" si="985"/>
        <v>6.1877677986002078E-2</v>
      </c>
      <c r="M10418" s="511">
        <f>SUM(C10418,C10394,C10370,C10346,C10322,C10298,C10274)/POBLA!$B$1*100000</f>
        <v>350.73545101769605</v>
      </c>
      <c r="N10418" s="393"/>
    </row>
    <row r="10419" spans="1:14" x14ac:dyDescent="0.25">
      <c r="A10419" s="402" t="s">
        <v>43</v>
      </c>
      <c r="B10419" s="2">
        <v>44327</v>
      </c>
      <c r="C10419" s="1">
        <v>2618</v>
      </c>
      <c r="D10419" s="39">
        <f t="shared" ref="D10419:D10482" si="992">C10419+D10395</f>
        <v>366357</v>
      </c>
      <c r="E10419" s="1">
        <v>56</v>
      </c>
      <c r="F10419" s="39">
        <f t="shared" si="991"/>
        <v>8261</v>
      </c>
      <c r="G10419" s="169">
        <f>SUM(C10419,C10395,C10371,C10347,C10323,C10299,C10275,C10251,C10227,C10203,C10179,C10155,C10131,C10107)/POBLA!$B$2*100000</f>
        <v>1067.0603834121353</v>
      </c>
      <c r="H10419" s="258">
        <f t="shared" si="990"/>
        <v>0.79139136725343617</v>
      </c>
      <c r="I10419" s="310">
        <f t="shared" ref="I10419:I10441" si="993">G10419*H10419</f>
        <v>844.46237577050556</v>
      </c>
      <c r="J10419" s="552">
        <f t="shared" ref="J10419:J10441" si="994">AVERAGE(C10419,C10395,C10371,C10347,C10323,C10299,C10275)</f>
        <v>2160.7142857142858</v>
      </c>
      <c r="K10419" s="310">
        <f>J10419/POBLA!$B$2*100000</f>
        <v>70.252372532934075</v>
      </c>
      <c r="L10419" s="68">
        <f t="shared" si="985"/>
        <v>0.14519046004295244</v>
      </c>
      <c r="M10419" s="512">
        <f>SUM(C10419,C10395,C10371,C10347,C10323,C10299,C10275)/POBLA!$B$2*100000</f>
        <v>491.76660773053857</v>
      </c>
    </row>
    <row r="10420" spans="1:14" x14ac:dyDescent="0.25">
      <c r="A10420" s="402" t="s">
        <v>28</v>
      </c>
      <c r="B10420" s="2">
        <v>44327</v>
      </c>
      <c r="C10420" s="1">
        <v>155</v>
      </c>
      <c r="D10420" s="39">
        <f t="shared" si="992"/>
        <v>16504</v>
      </c>
      <c r="F10420" s="39">
        <f t="shared" si="991"/>
        <v>114</v>
      </c>
      <c r="G10420" s="169">
        <f>SUM(C10420,C10396,C10372,C10348,C10324,C10300,C10276,C10252,C10228,C10204,C10180,C10156,C10132,C10108)/POBLA!$B$3*100000</f>
        <v>495.86219845079171</v>
      </c>
      <c r="H10420" s="258">
        <f t="shared" si="990"/>
        <v>0.8491343775762572</v>
      </c>
      <c r="I10420" s="310">
        <f t="shared" si="993"/>
        <v>421.05363924510755</v>
      </c>
      <c r="J10420" s="552">
        <f t="shared" si="994"/>
        <v>164</v>
      </c>
      <c r="K10420" s="310">
        <f>J10420/POBLA!$B$3*100000</f>
        <v>39.476408032004777</v>
      </c>
      <c r="L10420" s="68">
        <f t="shared" si="985"/>
        <v>-0.25877192982456143</v>
      </c>
      <c r="M10420" s="512">
        <f>SUM(C10420,C10396,C10372,C10348,C10324,C10300,C10276)/POBLA!$B$3*100000</f>
        <v>276.33485622403344</v>
      </c>
    </row>
    <row r="10421" spans="1:14" x14ac:dyDescent="0.25">
      <c r="A10421" s="402" t="s">
        <v>15</v>
      </c>
      <c r="B10421" s="2">
        <v>44327</v>
      </c>
      <c r="C10421" s="1">
        <v>286</v>
      </c>
      <c r="D10421" s="39">
        <f t="shared" si="992"/>
        <v>47442</v>
      </c>
      <c r="E10421" s="1">
        <v>4</v>
      </c>
      <c r="F10421" s="39">
        <f t="shared" si="991"/>
        <v>1088</v>
      </c>
      <c r="G10421" s="169">
        <f>SUM(C10421,C10397,C10373,C10349,C10325,C10301,C10277,C10253,C10229,C10205,C10181,C10157,C10133,C10109)/POBLA!$B$4*100000</f>
        <v>290.89918898568004</v>
      </c>
      <c r="H10421" s="258">
        <f t="shared" si="990"/>
        <v>1.1277759897006758</v>
      </c>
      <c r="I10421" s="310">
        <f t="shared" si="993"/>
        <v>328.06912076144926</v>
      </c>
      <c r="J10421" s="552">
        <f t="shared" si="994"/>
        <v>254.57142857142858</v>
      </c>
      <c r="K10421" s="310">
        <f>J10421/POBLA!$B$4*100000</f>
        <v>21.134309963000728</v>
      </c>
      <c r="L10421" s="68">
        <f t="shared" si="985"/>
        <v>-3.4843205574912828E-2</v>
      </c>
      <c r="M10421" s="512">
        <f>SUM(C10421,C10397,C10373,C10349,C10325,C10301,C10277)/POBLA!$B$4*100000</f>
        <v>147.94016974100506</v>
      </c>
    </row>
    <row r="10422" spans="1:14" x14ac:dyDescent="0.25">
      <c r="A10422" s="402" t="s">
        <v>29</v>
      </c>
      <c r="B10422" s="2">
        <v>44327</v>
      </c>
      <c r="C10422" s="1">
        <v>274</v>
      </c>
      <c r="D10422" s="39">
        <f t="shared" si="992"/>
        <v>56849</v>
      </c>
      <c r="E10422" s="1">
        <v>1</v>
      </c>
      <c r="F10422" s="39">
        <f t="shared" si="991"/>
        <v>936</v>
      </c>
      <c r="G10422" s="169">
        <f>SUM(C10422,C10398,C10374,C10350,C10326,C10302,C10278,C10254,C10230,C10206,C10182,C10158,C10134,C10110)/POBLA!$B$5*100000</f>
        <v>414.220493251954</v>
      </c>
      <c r="H10422" s="258">
        <f t="shared" si="990"/>
        <v>1.0023455824863174</v>
      </c>
      <c r="I10422" s="310">
        <f t="shared" si="993"/>
        <v>415.19208158639952</v>
      </c>
      <c r="J10422" s="552">
        <f t="shared" si="994"/>
        <v>215.57142857142858</v>
      </c>
      <c r="K10422" s="310">
        <f>J10422/POBLA!$B$5*100000</f>
        <v>34.826093398551293</v>
      </c>
      <c r="L10422" s="68">
        <f t="shared" si="985"/>
        <v>-0.43033175355450237</v>
      </c>
      <c r="M10422" s="512">
        <f>SUM(C10422,C10398,C10374,C10350,C10326,C10302,C10278)/POBLA!$B$5*100000</f>
        <v>243.78265378985904</v>
      </c>
    </row>
    <row r="10423" spans="1:14" x14ac:dyDescent="0.25">
      <c r="A10423" s="402" t="s">
        <v>30</v>
      </c>
      <c r="B10423" s="2">
        <v>44327</v>
      </c>
      <c r="C10423" s="1">
        <v>38</v>
      </c>
      <c r="D10423" s="39">
        <f t="shared" si="992"/>
        <v>39422</v>
      </c>
      <c r="E10423" s="1">
        <v>4</v>
      </c>
      <c r="F10423" s="39">
        <f t="shared" si="991"/>
        <v>534</v>
      </c>
      <c r="G10423" s="169">
        <f>SUM(C10423,C10399,C10375,C10351,C10327,C10303,C10279,C10255,C10231,C10207,C10183,C10159,C10135,C10111)/POBLA!$B$6*100000</f>
        <v>229.30029505683879</v>
      </c>
      <c r="H10423" s="258">
        <f t="shared" si="990"/>
        <v>0.82636655948553051</v>
      </c>
      <c r="I10423" s="310">
        <f t="shared" si="993"/>
        <v>189.48609591513687</v>
      </c>
      <c r="J10423" s="552">
        <f t="shared" si="994"/>
        <v>171.57142857142858</v>
      </c>
      <c r="K10423" s="310">
        <f>J10423/POBLA!$B$6*100000</f>
        <v>15.307929647763393</v>
      </c>
      <c r="L10423" s="68">
        <f t="shared" si="985"/>
        <v>0.12271731190650115</v>
      </c>
      <c r="M10423" s="512">
        <f>SUM(C10423,C10399,C10375,C10351,C10327,C10303,C10279)/POBLA!$B$6*100000</f>
        <v>107.15550753434376</v>
      </c>
    </row>
    <row r="10424" spans="1:14" x14ac:dyDescent="0.25">
      <c r="A10424" s="402" t="s">
        <v>20</v>
      </c>
      <c r="B10424" s="2">
        <v>44327</v>
      </c>
      <c r="C10424" s="1">
        <v>2546</v>
      </c>
      <c r="D10424" s="39">
        <f t="shared" si="992"/>
        <v>244530</v>
      </c>
      <c r="E10424" s="1">
        <v>21</v>
      </c>
      <c r="F10424" s="39">
        <f t="shared" si="991"/>
        <v>3538</v>
      </c>
      <c r="G10424" s="169">
        <f>SUM(C10424,C10400,C10376,C10352,C10328,C10304,C10280,C10256,C10232,C10208,C10184,C10160,C10136,C10112)/POBLA!$B$7*100000</f>
        <v>609.36855961387596</v>
      </c>
      <c r="H10424" s="258">
        <f t="shared" si="990"/>
        <v>1.0041630148992111</v>
      </c>
      <c r="I10424" s="310">
        <f t="shared" si="993"/>
        <v>611.90537000665938</v>
      </c>
      <c r="J10424" s="552">
        <f t="shared" si="994"/>
        <v>1708.4285714285713</v>
      </c>
      <c r="K10424" s="310">
        <f>J10424/POBLA!$B$7*100000</f>
        <v>45.431492811460629</v>
      </c>
      <c r="L10424" s="68">
        <f t="shared" si="985"/>
        <v>-9.1548010222709086E-2</v>
      </c>
      <c r="M10424" s="512">
        <f>SUM(C10424,C10400,C10376,C10352,C10328,C10304,C10280)/POBLA!$B$7*100000</f>
        <v>318.02044968022443</v>
      </c>
    </row>
    <row r="10425" spans="1:14" x14ac:dyDescent="0.25">
      <c r="A10425" s="402" t="s">
        <v>31</v>
      </c>
      <c r="B10425" s="2">
        <v>44327</v>
      </c>
      <c r="C10425" s="1">
        <v>713</v>
      </c>
      <c r="D10425" s="39">
        <f t="shared" si="992"/>
        <v>68563</v>
      </c>
      <c r="E10425" s="1">
        <v>8</v>
      </c>
      <c r="F10425" s="39">
        <f t="shared" si="991"/>
        <v>1112</v>
      </c>
      <c r="G10425" s="169">
        <f>SUM(C10425,C10401,C10377,C10353,C10329,C10305,C10281,C10257,C10233,C10209,C10185,C10161,C10137,C10113)/POBLA!$B$8*100000</f>
        <v>547.20154463220831</v>
      </c>
      <c r="H10425" s="258">
        <f t="shared" si="990"/>
        <v>1.0771197273114614</v>
      </c>
      <c r="I10425" s="310">
        <f t="shared" si="993"/>
        <v>589.40157853865469</v>
      </c>
      <c r="J10425" s="552">
        <f t="shared" si="994"/>
        <v>590.57142857142856</v>
      </c>
      <c r="K10425" s="310">
        <f>J10425/POBLA!$B$8*100000</f>
        <v>42.610970191183483</v>
      </c>
      <c r="L10425" s="68">
        <f t="shared" si="985"/>
        <v>-0.19826086956521749</v>
      </c>
      <c r="M10425" s="512">
        <f>SUM(C10425,C10401,C10377,C10353,C10329,C10305,C10281)/POBLA!$B$8*100000</f>
        <v>298.2767913382844</v>
      </c>
    </row>
    <row r="10426" spans="1:14" x14ac:dyDescent="0.25">
      <c r="A10426" s="402" t="s">
        <v>41</v>
      </c>
      <c r="B10426" s="2">
        <v>44327</v>
      </c>
      <c r="C10426" s="1">
        <v>373</v>
      </c>
      <c r="D10426" s="39">
        <f t="shared" si="992"/>
        <v>6423</v>
      </c>
      <c r="E10426" s="1">
        <v>1</v>
      </c>
      <c r="F10426" s="39">
        <f t="shared" si="991"/>
        <v>106</v>
      </c>
      <c r="G10426" s="169">
        <f>SUM(C10426,C10402,C10378,C10354,C10330,C10306,C10282,C10258,C10234,C10210,C10186,C10162,C10138,C10114)/POBLA!$B$9*100000</f>
        <v>333.44734654895217</v>
      </c>
      <c r="H10426" s="258">
        <f t="shared" si="990"/>
        <v>1.5864779874213837</v>
      </c>
      <c r="I10426" s="310">
        <f t="shared" si="993"/>
        <v>529.00687526398235</v>
      </c>
      <c r="J10426" s="552">
        <f t="shared" si="994"/>
        <v>233.14285714285714</v>
      </c>
      <c r="K10426" s="310">
        <f>J10426/POBLA!$B$9*100000</f>
        <v>38.523720060023358</v>
      </c>
      <c r="L10426" s="68">
        <f t="shared" si="985"/>
        <v>-3.2279792746113989</v>
      </c>
      <c r="M10426" s="512">
        <f>SUM(C10426,C10402,C10378,C10354,C10330,C10306,C10282)/POBLA!$B$9*100000</f>
        <v>269.66604042016348</v>
      </c>
    </row>
    <row r="10427" spans="1:14" x14ac:dyDescent="0.25">
      <c r="A10427" s="402" t="s">
        <v>32</v>
      </c>
      <c r="B10427" s="2">
        <v>44327</v>
      </c>
      <c r="C10427" s="1">
        <v>99</v>
      </c>
      <c r="D10427" s="39">
        <f t="shared" si="992"/>
        <v>25805</v>
      </c>
      <c r="F10427" s="39">
        <f t="shared" si="991"/>
        <v>1058</v>
      </c>
      <c r="G10427" s="169">
        <f>SUM(C10427,C10403,C10379,C10355,C10331,C10307,C10283,C10259,C10235,C10211,C10187,C10163,C10139,C10115)/POBLA!$B$10*100000</f>
        <v>162.28185673275124</v>
      </c>
      <c r="H10427" s="258">
        <f t="shared" si="990"/>
        <v>0.92529585798816572</v>
      </c>
      <c r="I10427" s="310">
        <f t="shared" si="993"/>
        <v>150.15872986144365</v>
      </c>
      <c r="J10427" s="552">
        <f t="shared" si="994"/>
        <v>85.285714285714292</v>
      </c>
      <c r="K10427" s="310">
        <f>J10427/POBLA!$B$10*100000</f>
        <v>11.06340852683025</v>
      </c>
      <c r="L10427" s="68">
        <f t="shared" si="985"/>
        <v>8.7155963302752326E-2</v>
      </c>
      <c r="M10427" s="512">
        <f>SUM(C10427,C10403,C10379,C10355,C10331,C10307,C10283)/POBLA!$B$10*100000</f>
        <v>77.443859687811738</v>
      </c>
    </row>
    <row r="10428" spans="1:14" x14ac:dyDescent="0.25">
      <c r="A10428" s="402" t="s">
        <v>33</v>
      </c>
      <c r="B10428" s="2">
        <v>44327</v>
      </c>
      <c r="C10428" s="1">
        <v>395</v>
      </c>
      <c r="D10428" s="39">
        <f t="shared" si="992"/>
        <v>30896</v>
      </c>
      <c r="E10428" s="1">
        <v>18</v>
      </c>
      <c r="F10428" s="39">
        <f t="shared" si="991"/>
        <v>431</v>
      </c>
      <c r="G10428" s="169">
        <f>SUM(C10428,C10404,C10380,C10356,C10332,C10308,C10284,C10260,C10236,C10212,C10188,C10164,C10140,C10116)/POBLA!$B$11*100000</f>
        <v>1289.7987880411129</v>
      </c>
      <c r="H10428" s="258">
        <f t="shared" si="990"/>
        <v>1.3758928571428573</v>
      </c>
      <c r="I10428" s="310">
        <f t="shared" si="993"/>
        <v>1774.6249396172814</v>
      </c>
      <c r="J10428" s="552">
        <f t="shared" si="994"/>
        <v>376.85714285714283</v>
      </c>
      <c r="K10428" s="310">
        <f>J10428/POBLA!$B$11*100000</f>
        <v>105.14165825692827</v>
      </c>
      <c r="L10428" s="68">
        <f t="shared" si="985"/>
        <v>-0.32896725440806041</v>
      </c>
      <c r="M10428" s="512">
        <f>SUM(C10428,C10404,C10380,C10356,C10332,C10308,C10284)/POBLA!$B$11*100000</f>
        <v>735.99160779849785</v>
      </c>
    </row>
    <row r="10429" spans="1:14" x14ac:dyDescent="0.25">
      <c r="A10429" s="402" t="s">
        <v>21</v>
      </c>
      <c r="B10429" s="2">
        <v>44327</v>
      </c>
      <c r="C10429" s="1">
        <v>12</v>
      </c>
      <c r="D10429" s="39">
        <f t="shared" si="992"/>
        <v>14392</v>
      </c>
      <c r="F10429" s="39">
        <f t="shared" si="991"/>
        <v>504</v>
      </c>
      <c r="G10429" s="169">
        <f>SUM(C10429,C10405,C10381,C10357,C10333,C10309,C10285,C10261,C10237,C10213,C10189,C10165,C10141,C10117)/POBLA!$B$12*100000</f>
        <v>305.69383352264498</v>
      </c>
      <c r="H10429" s="258">
        <f t="shared" si="990"/>
        <v>1.1046831955922864</v>
      </c>
      <c r="I10429" s="310">
        <f t="shared" si="993"/>
        <v>337.69484088865187</v>
      </c>
      <c r="J10429" s="552">
        <f t="shared" si="994"/>
        <v>78.142857142857139</v>
      </c>
      <c r="K10429" s="310">
        <f>J10429/POBLA!$B$12*100000</f>
        <v>19.856849179062678</v>
      </c>
      <c r="L10429" s="68">
        <f t="shared" si="985"/>
        <v>0.16615853658536583</v>
      </c>
      <c r="M10429" s="512">
        <f>SUM(C10429,C10405,C10381,C10357,C10333,C10309,C10285)/POBLA!$B$12*100000</f>
        <v>138.99794425343873</v>
      </c>
    </row>
    <row r="10430" spans="1:14" x14ac:dyDescent="0.25">
      <c r="A10430" s="402" t="s">
        <v>17</v>
      </c>
      <c r="B10430" s="2">
        <v>44327</v>
      </c>
      <c r="C10430" s="1">
        <v>1036</v>
      </c>
      <c r="D10430" s="39">
        <f t="shared" si="992"/>
        <v>104501</v>
      </c>
      <c r="E10430" s="1">
        <v>47</v>
      </c>
      <c r="F10430" s="39">
        <f t="shared" si="991"/>
        <v>2081</v>
      </c>
      <c r="G10430" s="169">
        <f>SUM(C10430,C10406,C10382,C10358,C10334,C10310,C10286,C10262,C10238,C10214,C10190,C10166,C10142,C10118)/POBLA!$B$13*100000</f>
        <v>527.14664544414063</v>
      </c>
      <c r="H10430" s="258">
        <f t="shared" si="990"/>
        <v>0.84879864088665968</v>
      </c>
      <c r="I10430" s="310">
        <f t="shared" si="993"/>
        <v>447.44135620094846</v>
      </c>
      <c r="J10430" s="552">
        <f t="shared" si="994"/>
        <v>792.57142857142856</v>
      </c>
      <c r="K10430" s="310">
        <f>J10430/POBLA!$B$13*100000</f>
        <v>39.820946420729975</v>
      </c>
      <c r="L10430" s="68">
        <f t="shared" si="985"/>
        <v>-0.12216828478964392</v>
      </c>
      <c r="M10430" s="512">
        <f>SUM(C10430,C10406,C10382,C10358,C10334,C10310,C10286)/POBLA!$B$13*100000</f>
        <v>278.74662494510983</v>
      </c>
    </row>
    <row r="10431" spans="1:14" x14ac:dyDescent="0.25">
      <c r="A10431" s="402" t="s">
        <v>23</v>
      </c>
      <c r="B10431" s="2">
        <v>44327</v>
      </c>
      <c r="C10431" s="1">
        <v>136</v>
      </c>
      <c r="D10431" s="39">
        <f t="shared" si="992"/>
        <v>17198</v>
      </c>
      <c r="F10431" s="39">
        <f t="shared" si="991"/>
        <v>242</v>
      </c>
      <c r="G10431" s="169">
        <f>SUM(C10431,C10407,C10383,C10359,C10335,C10311,C10287,C10263,C10239,C10215,C10191,C10167,C10143,C10119)/POBLA!$B$14*100000</f>
        <v>151.59035086189263</v>
      </c>
      <c r="H10431" s="258">
        <f t="shared" si="990"/>
        <v>1.1687041564792175</v>
      </c>
      <c r="I10431" s="310">
        <f t="shared" si="993"/>
        <v>177.16427313443685</v>
      </c>
      <c r="J10431" s="552">
        <f t="shared" si="994"/>
        <v>168.71428571428572</v>
      </c>
      <c r="K10431" s="310">
        <f>J10431/POBLA!$B$14*100000</f>
        <v>13.376285442909085</v>
      </c>
      <c r="L10431" s="68">
        <f t="shared" si="985"/>
        <v>-0.61559507523939816</v>
      </c>
      <c r="M10431" s="512">
        <f>SUM(C10431,C10407,C10383,C10359,C10335,C10311,C10287)/POBLA!$B$14*100000</f>
        <v>93.633998100363598</v>
      </c>
    </row>
    <row r="10432" spans="1:14" x14ac:dyDescent="0.25">
      <c r="A10432" s="402" t="s">
        <v>19</v>
      </c>
      <c r="B10432" s="2">
        <v>44327</v>
      </c>
      <c r="C10432" s="1">
        <v>657</v>
      </c>
      <c r="D10432" s="39">
        <f t="shared" si="992"/>
        <v>75880</v>
      </c>
      <c r="E10432" s="1">
        <v>2</v>
      </c>
      <c r="F10432" s="39">
        <f t="shared" si="991"/>
        <v>1137</v>
      </c>
      <c r="G10432" s="169">
        <f>SUM(C10432,C10408,C10384,C10360,C10336,C10312,C10288,C10264,C10240,C10216,C10192,C10168,C10144,C10120)/POBLA!$B$15*100000</f>
        <v>875.97901987329396</v>
      </c>
      <c r="H10432" s="258">
        <f t="shared" si="990"/>
        <v>1.8384955752212389</v>
      </c>
      <c r="I10432" s="310">
        <f t="shared" si="993"/>
        <v>1610.4835520236886</v>
      </c>
      <c r="J10432" s="552">
        <f t="shared" si="994"/>
        <v>487.85714285714283</v>
      </c>
      <c r="K10432" s="310">
        <f>J10432/POBLA!$B$15*100000</f>
        <v>73.466154691109779</v>
      </c>
      <c r="L10432" s="68">
        <f t="shared" si="985"/>
        <v>-0.42173189009159029</v>
      </c>
      <c r="M10432" s="512">
        <f>SUM(C10432,C10408,C10384,C10360,C10336,C10312,C10288)/POBLA!$B$15*100000</f>
        <v>514.26308283776848</v>
      </c>
    </row>
    <row r="10433" spans="1:13" x14ac:dyDescent="0.25">
      <c r="A10433" s="402" t="s">
        <v>18</v>
      </c>
      <c r="B10433" s="2">
        <v>44327</v>
      </c>
      <c r="C10433" s="1">
        <v>465</v>
      </c>
      <c r="D10433" s="39">
        <f t="shared" si="992"/>
        <v>64653</v>
      </c>
      <c r="E10433" s="1">
        <v>6</v>
      </c>
      <c r="F10433" s="39">
        <f t="shared" si="991"/>
        <v>1412</v>
      </c>
      <c r="G10433" s="169">
        <f>SUM(C10433,C10409,C10385,C10361,C10337,C10313,C10289,C10265,C10241,C10217,C10193,C10169,C10145,C10121)/POBLA!$B$16*100000</f>
        <v>555.63729752143502</v>
      </c>
      <c r="H10433" s="258">
        <f t="shared" si="990"/>
        <v>1.2557436517533254</v>
      </c>
      <c r="I10433" s="310">
        <f t="shared" si="993"/>
        <v>697.73800903991571</v>
      </c>
      <c r="J10433" s="552">
        <f t="shared" si="994"/>
        <v>325.28571428571428</v>
      </c>
      <c r="K10433" s="310">
        <f>J10433/POBLA!$B$16*100000</f>
        <v>43.510080695244078</v>
      </c>
      <c r="L10433" s="68">
        <f t="shared" si="985"/>
        <v>-0.21310602024507186</v>
      </c>
      <c r="M10433" s="512">
        <f>SUM(C10433,C10409,C10385,C10361,C10337,C10313,C10289)/POBLA!$B$16*100000</f>
        <v>304.57056486670859</v>
      </c>
    </row>
    <row r="10434" spans="1:13" x14ac:dyDescent="0.25">
      <c r="A10434" s="402" t="s">
        <v>34</v>
      </c>
      <c r="B10434" s="2">
        <v>44327</v>
      </c>
      <c r="C10434" s="1">
        <v>322</v>
      </c>
      <c r="D10434" s="39">
        <f t="shared" si="992"/>
        <v>37059</v>
      </c>
      <c r="E10434" s="1">
        <v>2</v>
      </c>
      <c r="F10434" s="39">
        <f t="shared" si="991"/>
        <v>1305</v>
      </c>
      <c r="G10434" s="169">
        <f>SUM(C10434,C10410,C10386,C10362,C10338,C10314,C10290,C10266,C10242,C10218,C10194,C10170,C10146,C10122)/POBLA!$B$17*100000</f>
        <v>211.73872171873433</v>
      </c>
      <c r="H10434" s="258">
        <f t="shared" ref="H10434:H10457" si="995">SUM(C10434,C10410,C10386,C10362,C10338,C10314,C10290,C10266,C10242,C10218,C10194,C10170,C10146,C10122)/SUM(C10098,C10074,C10050,C10026,C10002,C9978,C9954,C9930,C9906,C9882,C9858,C9834,C9810,C9786)</f>
        <v>1.1166234727878563</v>
      </c>
      <c r="I10434" s="310">
        <f t="shared" si="993"/>
        <v>236.43242676923464</v>
      </c>
      <c r="J10434" s="552">
        <f t="shared" si="994"/>
        <v>248.71428571428572</v>
      </c>
      <c r="K10434" s="310">
        <f>J10434/POBLA!$B$17*100000</f>
        <v>17.461022854884256</v>
      </c>
      <c r="L10434" s="68">
        <f t="shared" si="985"/>
        <v>-0.36549019607843136</v>
      </c>
      <c r="M10434" s="512">
        <f>SUM(C10434,C10410,C10386,C10362,C10338,C10314,C10290)/POBLA!$B$17*100000</f>
        <v>122.2271599841898</v>
      </c>
    </row>
    <row r="10435" spans="1:13" x14ac:dyDescent="0.25">
      <c r="A10435" s="402" t="s">
        <v>35</v>
      </c>
      <c r="B10435" s="2">
        <v>44327</v>
      </c>
      <c r="C10435" s="1">
        <v>462</v>
      </c>
      <c r="D10435" s="39">
        <f t="shared" si="992"/>
        <v>27006</v>
      </c>
      <c r="E10435" s="1">
        <v>3</v>
      </c>
      <c r="F10435" s="39">
        <f t="shared" si="991"/>
        <v>520</v>
      </c>
      <c r="G10435" s="169">
        <f>SUM(C10435,C10411,C10387,C10363,C10339,C10315,C10291,C10267,C10243,C10219,C10195,C10171,C10147,C10123)/POBLA!$B$18*100000</f>
        <v>553.87939586568143</v>
      </c>
      <c r="H10435" s="258">
        <f t="shared" si="995"/>
        <v>1.2764011799410029</v>
      </c>
      <c r="I10435" s="310">
        <f t="shared" si="993"/>
        <v>706.97231442796556</v>
      </c>
      <c r="J10435" s="552">
        <f t="shared" si="994"/>
        <v>361.28571428571428</v>
      </c>
      <c r="K10435" s="310">
        <f>J10435/POBLA!$B$18*100000</f>
        <v>46.246524881782435</v>
      </c>
      <c r="L10435" s="68">
        <f t="shared" ref="L10435:L10465" si="996">1-SUM(C10435,C10411,C10387,C10363,C10339,C10315,C10291)/SUM(C10267,C10243,C10219,C10195,C10171,C10147,C10123)</f>
        <v>-0.40656284760845374</v>
      </c>
      <c r="M10435" s="512">
        <f>SUM(C10435,C10411,C10387,C10363,C10339,C10315,C10291)/POBLA!$B$18*100000</f>
        <v>323.72567417247706</v>
      </c>
    </row>
    <row r="10436" spans="1:13" x14ac:dyDescent="0.25">
      <c r="A10436" s="402" t="s">
        <v>36</v>
      </c>
      <c r="B10436" s="2">
        <v>44327</v>
      </c>
      <c r="C10436" s="1">
        <v>525</v>
      </c>
      <c r="D10436" s="39">
        <f t="shared" si="992"/>
        <v>42397</v>
      </c>
      <c r="E10436" s="1">
        <v>23</v>
      </c>
      <c r="F10436" s="39">
        <f t="shared" si="991"/>
        <v>564</v>
      </c>
      <c r="G10436" s="169">
        <f>SUM(C10436,C10412,C10388,C10364,C10340,C10316,C10292,C10268,C10244,C10220,C10196,C10172,C10148,C10124)/POBLA!$B$19*100000</f>
        <v>1286.964322248627</v>
      </c>
      <c r="H10436" s="258">
        <f t="shared" si="995"/>
        <v>0.77649851632047473</v>
      </c>
      <c r="I10436" s="310">
        <f t="shared" si="993"/>
        <v>999.32588678344416</v>
      </c>
      <c r="J10436" s="552">
        <f t="shared" si="994"/>
        <v>440.57142857142856</v>
      </c>
      <c r="K10436" s="310">
        <f>J10436/POBLA!$B$19*100000</f>
        <v>86.670698559085579</v>
      </c>
      <c r="L10436" s="68">
        <f t="shared" si="996"/>
        <v>0.10815500289184499</v>
      </c>
      <c r="M10436" s="512">
        <f>SUM(C10436,C10412,C10388,C10364,C10340,C10316,C10292)/POBLA!$B$19*100000</f>
        <v>606.69488991359913</v>
      </c>
    </row>
    <row r="10437" spans="1:13" x14ac:dyDescent="0.25">
      <c r="A10437" s="402" t="s">
        <v>37</v>
      </c>
      <c r="B10437" s="2">
        <v>44327</v>
      </c>
      <c r="C10437" s="1">
        <v>216</v>
      </c>
      <c r="D10437" s="39">
        <f t="shared" si="992"/>
        <v>47020</v>
      </c>
      <c r="E10437" s="1">
        <v>2</v>
      </c>
      <c r="F10437" s="39">
        <f t="shared" si="991"/>
        <v>738</v>
      </c>
      <c r="G10437" s="169">
        <f>SUM(C10437,C10413,C10389,C10365,C10341,C10317,C10293,C10269,C10245,C10221,C10197,C10173,C10149,C10125)/POBLA!$B$20*100000</f>
        <v>811.59864150200428</v>
      </c>
      <c r="H10437" s="258">
        <f t="shared" si="995"/>
        <v>1.0992592592592592</v>
      </c>
      <c r="I10437" s="310">
        <f t="shared" si="993"/>
        <v>892.15732147331425</v>
      </c>
      <c r="J10437" s="552">
        <f t="shared" si="994"/>
        <v>227.85714285714286</v>
      </c>
      <c r="K10437" s="310">
        <f>J10437/POBLA!$B$20*100000</f>
        <v>62.30746212917294</v>
      </c>
      <c r="L10437" s="68">
        <f t="shared" si="996"/>
        <v>-0.16168973051711588</v>
      </c>
      <c r="M10437" s="512">
        <f>SUM(C10437,C10413,C10389,C10365,C10341,C10317,C10293)/POBLA!$B$20*100000</f>
        <v>436.15223490421056</v>
      </c>
    </row>
    <row r="10438" spans="1:13" x14ac:dyDescent="0.25">
      <c r="A10438" s="402" t="s">
        <v>22</v>
      </c>
      <c r="B10438" s="2">
        <v>44327</v>
      </c>
      <c r="C10438" s="1">
        <v>2192</v>
      </c>
      <c r="D10438" s="39">
        <f t="shared" si="992"/>
        <v>292551</v>
      </c>
      <c r="E10438" s="1">
        <v>27</v>
      </c>
      <c r="F10438" s="39">
        <f t="shared" si="991"/>
        <v>4839</v>
      </c>
      <c r="G10438" s="169">
        <f>SUM(C10438,C10414,C10390,C10366,C10342,C10318,C10294,C10270,C10246,C10222,C10198,C10174,C10150,C10126)/POBLA!$B$21*100000</f>
        <v>688.52154920600447</v>
      </c>
      <c r="H10438" s="258">
        <f t="shared" si="995"/>
        <v>1.0469085905924842</v>
      </c>
      <c r="I10438" s="310">
        <f t="shared" si="993"/>
        <v>720.81912467181189</v>
      </c>
      <c r="J10438" s="552">
        <f t="shared" si="994"/>
        <v>1762.4285714285713</v>
      </c>
      <c r="K10438" s="310">
        <f>J10438/POBLA!$B$21*100000</f>
        <v>49.836545663679217</v>
      </c>
      <c r="L10438" s="68">
        <f t="shared" si="996"/>
        <v>-2.7056277056277001E-2</v>
      </c>
      <c r="M10438" s="512">
        <f>SUM(C10438,C10414,C10390,C10366,C10342,C10318,C10294)/POBLA!$B$21*100000</f>
        <v>348.85581964575459</v>
      </c>
    </row>
    <row r="10439" spans="1:13" x14ac:dyDescent="0.25">
      <c r="A10439" s="402" t="s">
        <v>38</v>
      </c>
      <c r="B10439" s="2">
        <v>44327</v>
      </c>
      <c r="C10439" s="1">
        <v>228</v>
      </c>
      <c r="D10439" s="39">
        <f t="shared" si="992"/>
        <v>33255</v>
      </c>
      <c r="E10439" s="1">
        <v>5</v>
      </c>
      <c r="F10439" s="39">
        <f t="shared" si="991"/>
        <v>386</v>
      </c>
      <c r="G10439" s="169">
        <f>SUM(C10439,C10415,C10391,C10367,C10343,C10319,C10295,C10271,C10247,C10223,C10199,C10175,C10151,C10127)/POBLA!$B$22*100000</f>
        <v>329.85353358281043</v>
      </c>
      <c r="H10439" s="258">
        <f t="shared" si="995"/>
        <v>1.0957555178268252</v>
      </c>
      <c r="I10439" s="310">
        <f t="shared" si="993"/>
        <v>361.43882949804055</v>
      </c>
      <c r="J10439" s="552">
        <f t="shared" si="994"/>
        <v>278.28571428571428</v>
      </c>
      <c r="K10439" s="310">
        <f>J10439/POBLA!$B$22*100000</f>
        <v>28.445468299584515</v>
      </c>
      <c r="L10439" s="68">
        <f t="shared" si="996"/>
        <v>-0.52306489444878812</v>
      </c>
      <c r="M10439" s="512">
        <f>SUM(C10439,C10415,C10391,C10367,C10343,C10319,C10295)/POBLA!$B$22*100000</f>
        <v>199.1182780970916</v>
      </c>
    </row>
    <row r="10440" spans="1:13" x14ac:dyDescent="0.25">
      <c r="A10440" s="402" t="s">
        <v>39</v>
      </c>
      <c r="B10440" s="2">
        <v>44327</v>
      </c>
      <c r="C10440" s="1">
        <v>90</v>
      </c>
      <c r="D10440" s="39">
        <f t="shared" si="992"/>
        <v>27147</v>
      </c>
      <c r="F10440" s="39">
        <f t="shared" si="991"/>
        <v>401</v>
      </c>
      <c r="G10440" s="169">
        <f>SUM(C10440,C10416,C10392,C10368,C10344,C10320,C10296,C10272,C10248,C10224,C10200,C10176,C10152,C10128)/POBLA!$B$23*100000</f>
        <v>550.24599898207316</v>
      </c>
      <c r="H10440" s="258">
        <f t="shared" si="995"/>
        <v>0.87108325872873771</v>
      </c>
      <c r="I10440" s="310">
        <f t="shared" si="993"/>
        <v>479.31007789575398</v>
      </c>
      <c r="J10440" s="552">
        <f t="shared" si="994"/>
        <v>70.142857142857139</v>
      </c>
      <c r="K10440" s="310">
        <f>J10440/POBLA!$B$23*100000</f>
        <v>39.666830935280856</v>
      </c>
      <c r="L10440" s="68">
        <f t="shared" si="996"/>
        <v>-1.8672199170124415E-2</v>
      </c>
      <c r="M10440" s="512">
        <f>SUM(C10440,C10416,C10392,C10368,C10344,C10320,C10296)/POBLA!$B$23*100000</f>
        <v>277.66781654696598</v>
      </c>
    </row>
    <row r="10441" spans="1:13" ht="15.75" thickBot="1" x14ac:dyDescent="0.3">
      <c r="A10441" s="403" t="s">
        <v>40</v>
      </c>
      <c r="B10441" s="34">
        <v>44327</v>
      </c>
      <c r="C10441" s="234">
        <v>926</v>
      </c>
      <c r="D10441" s="67">
        <f t="shared" si="992"/>
        <v>111970</v>
      </c>
      <c r="E10441" s="234">
        <v>12</v>
      </c>
      <c r="F10441" s="67">
        <f t="shared" si="991"/>
        <v>1731</v>
      </c>
      <c r="G10441" s="257">
        <f>SUM(C10441,C10417,C10393,C10369,C10345,C10321,C10297,C10273,C10249,C10225,C10201,C10177,C10153,C10129)/POBLA!$B$24*100000</f>
        <v>468.11860342157939</v>
      </c>
      <c r="H10441" s="259">
        <f t="shared" si="995"/>
        <v>0.8434875066454014</v>
      </c>
      <c r="I10441" s="312">
        <f t="shared" si="993"/>
        <v>394.85219361439545</v>
      </c>
      <c r="J10441" s="566">
        <f t="shared" si="994"/>
        <v>534.14285714285711</v>
      </c>
      <c r="K10441" s="312">
        <f>J10441/POBLA!$B$24*100000</f>
        <v>31.519249755871229</v>
      </c>
      <c r="L10441" s="68">
        <f t="shared" si="996"/>
        <v>0.1084883166428231</v>
      </c>
      <c r="M10441" s="517">
        <f>SUM(C10441,C10417,C10393,C10369,C10345,C10321,C10297)/POBLA!$B$24*100000</f>
        <v>220.63474829109859</v>
      </c>
    </row>
    <row r="10442" spans="1:13" x14ac:dyDescent="0.25">
      <c r="A10442" s="397" t="s">
        <v>16</v>
      </c>
      <c r="B10442" s="267">
        <v>44328</v>
      </c>
      <c r="C10442" s="43">
        <v>10349</v>
      </c>
      <c r="D10442" s="175">
        <f t="shared" si="992"/>
        <v>1403626</v>
      </c>
      <c r="E10442" s="43">
        <v>296</v>
      </c>
      <c r="F10442" s="175">
        <f t="shared" ref="F10442:F10465" si="997">E10442+F10418</f>
        <v>35568</v>
      </c>
      <c r="G10442" s="176">
        <f>SUM(C10442,C10418,C10394,C10370,C10346,C10322,C10298,C10274,C10250,C10226,C10202,C10178,C10154,C10130)/POBLA!$B$1*100000</f>
        <v>720.56886151248659</v>
      </c>
      <c r="H10442" s="313">
        <f t="shared" si="995"/>
        <v>0.79010833078081921</v>
      </c>
      <c r="I10442" s="314">
        <f>G10442*H10442</f>
        <v>569.32746038226605</v>
      </c>
      <c r="J10442" s="551">
        <f>AVERAGE(C10442,C10418,C10394,C10370,C10346,C10322,C10298)</f>
        <v>8712.7142857142862</v>
      </c>
      <c r="K10442" s="314">
        <f>J10442/POBLA!$B$1*100000</f>
        <v>49.67016846688756</v>
      </c>
      <c r="L10442" s="68">
        <f t="shared" si="996"/>
        <v>6.754628709465349E-2</v>
      </c>
      <c r="M10442" s="511">
        <f>SUM(C10442,C10418,C10394,C10370,C10346,C10322,C10298)/POBLA!$B$1*100000</f>
        <v>347.69117926821292</v>
      </c>
    </row>
    <row r="10443" spans="1:13" x14ac:dyDescent="0.25">
      <c r="A10443" s="402" t="s">
        <v>43</v>
      </c>
      <c r="B10443" s="2">
        <v>44328</v>
      </c>
      <c r="C10443" s="1">
        <v>2220</v>
      </c>
      <c r="D10443" s="39">
        <f t="shared" si="992"/>
        <v>368577</v>
      </c>
      <c r="E10443" s="1">
        <v>54</v>
      </c>
      <c r="F10443" s="39">
        <f t="shared" si="997"/>
        <v>8315</v>
      </c>
      <c r="G10443" s="169">
        <f>SUM(C10443,C10419,C10395,C10371,C10347,C10323,C10299,C10275,C10251,C10227,C10203,C10179,C10155,C10131)/POBLA!$B$2*100000</f>
        <v>1044.6585855459309</v>
      </c>
      <c r="H10443" s="258">
        <f t="shared" si="995"/>
        <v>0.77011576903717549</v>
      </c>
      <c r="I10443" s="310">
        <f t="shared" ref="I10443:I10465" si="998">G10443*H10443</f>
        <v>804.50804998899252</v>
      </c>
      <c r="J10443" s="552">
        <f t="shared" ref="J10443:J10465" si="999">AVERAGE(C10443,C10419,C10395,C10371,C10347,C10323,C10299)</f>
        <v>2172.4285714285716</v>
      </c>
      <c r="K10443" s="310">
        <f>J10443/POBLA!$B$2*100000</f>
        <v>70.633244899724204</v>
      </c>
      <c r="L10443" s="68">
        <f t="shared" si="996"/>
        <v>0.10140046091118593</v>
      </c>
      <c r="M10443" s="512">
        <f>SUM(C10443,C10419,C10395,C10371,C10347,C10323,C10299)/POBLA!$B$2*100000</f>
        <v>494.43271429806941</v>
      </c>
    </row>
    <row r="10444" spans="1:13" x14ac:dyDescent="0.25">
      <c r="A10444" s="402" t="s">
        <v>28</v>
      </c>
      <c r="B10444" s="2">
        <v>44328</v>
      </c>
      <c r="C10444" s="1">
        <v>282</v>
      </c>
      <c r="D10444" s="39">
        <f t="shared" si="992"/>
        <v>16786</v>
      </c>
      <c r="E10444" s="1">
        <v>1</v>
      </c>
      <c r="F10444" s="39">
        <f t="shared" si="997"/>
        <v>115</v>
      </c>
      <c r="G10444" s="169">
        <f>SUM(C10444,C10420,C10396,C10372,C10348,C10324,C10300,C10276,C10252,C10228,C10204,C10180,C10156,C10132)/POBLA!$B$3*100000</f>
        <v>537.02357511830894</v>
      </c>
      <c r="H10444" s="258">
        <f t="shared" si="995"/>
        <v>0.94135021097046412</v>
      </c>
      <c r="I10444" s="310">
        <f t="shared" si="998"/>
        <v>505.527255733733</v>
      </c>
      <c r="J10444" s="552">
        <f t="shared" si="999"/>
        <v>176.42857142857142</v>
      </c>
      <c r="K10444" s="310">
        <f>J10444/POBLA!$B$3*100000</f>
        <v>42.468087037914543</v>
      </c>
      <c r="L10444" s="68">
        <f t="shared" si="996"/>
        <v>-0.23995983935742982</v>
      </c>
      <c r="M10444" s="512">
        <f>SUM(C10444,C10420,C10396,C10372,C10348,C10324,C10300)/POBLA!$B$3*100000</f>
        <v>297.27660926540182</v>
      </c>
    </row>
    <row r="10445" spans="1:13" x14ac:dyDescent="0.25">
      <c r="A10445" s="402" t="s">
        <v>15</v>
      </c>
      <c r="B10445" s="2">
        <v>44328</v>
      </c>
      <c r="C10445" s="1">
        <v>302</v>
      </c>
      <c r="D10445" s="39">
        <f t="shared" si="992"/>
        <v>47744</v>
      </c>
      <c r="E10445" s="1">
        <v>4</v>
      </c>
      <c r="F10445" s="39">
        <f t="shared" si="997"/>
        <v>1092</v>
      </c>
      <c r="G10445" s="169">
        <f>SUM(C10445,C10421,C10397,C10373,C10349,C10325,C10301,C10277,C10253,C10229,C10205,C10181,C10157,C10133)/POBLA!$B$4*100000</f>
        <v>294.13693680829459</v>
      </c>
      <c r="H10445" s="258">
        <f t="shared" si="995"/>
        <v>1.1344860710854947</v>
      </c>
      <c r="I10445" s="310">
        <f t="shared" si="998"/>
        <v>333.69425780076455</v>
      </c>
      <c r="J10445" s="552">
        <f t="shared" si="999"/>
        <v>250</v>
      </c>
      <c r="K10445" s="310">
        <f>J10445/POBLA!$B$4*100000</f>
        <v>20.754793734708905</v>
      </c>
      <c r="L10445" s="68">
        <f t="shared" si="996"/>
        <v>2.3982152816508617E-2</v>
      </c>
      <c r="M10445" s="512">
        <f>SUM(C10445,C10421,C10397,C10373,C10349,C10325,C10301)/POBLA!$B$4*100000</f>
        <v>145.28355614296234</v>
      </c>
    </row>
    <row r="10446" spans="1:13" x14ac:dyDescent="0.25">
      <c r="A10446" s="402" t="s">
        <v>29</v>
      </c>
      <c r="B10446" s="2">
        <v>44328</v>
      </c>
      <c r="C10446" s="1">
        <v>244</v>
      </c>
      <c r="D10446" s="39">
        <f t="shared" si="992"/>
        <v>57093</v>
      </c>
      <c r="E10446" s="1">
        <v>1</v>
      </c>
      <c r="F10446" s="39">
        <f t="shared" si="997"/>
        <v>937</v>
      </c>
      <c r="G10446" s="169">
        <f>SUM(C10446,C10422,C10398,C10374,C10350,C10326,C10302,C10278,C10254,C10230,C10206,C10182,C10158,C10134)/POBLA!$B$5*100000</f>
        <v>415.5129128876855</v>
      </c>
      <c r="H10446" s="258">
        <f t="shared" si="995"/>
        <v>1.0153967627319385</v>
      </c>
      <c r="I10446" s="310">
        <f t="shared" si="998"/>
        <v>421.91046661947382</v>
      </c>
      <c r="J10446" s="552">
        <f t="shared" si="999"/>
        <v>205.85714285714286</v>
      </c>
      <c r="K10446" s="310">
        <f>J10446/POBLA!$B$5*100000</f>
        <v>33.256726698020152</v>
      </c>
      <c r="L10446" s="68">
        <f t="shared" si="996"/>
        <v>-0.27409372236958451</v>
      </c>
      <c r="M10446" s="512">
        <f>SUM(C10446,C10422,C10398,C10374,C10350,C10326,C10302)/POBLA!$B$5*100000</f>
        <v>232.79708688614107</v>
      </c>
    </row>
    <row r="10447" spans="1:13" x14ac:dyDescent="0.25">
      <c r="A10447" s="402" t="s">
        <v>30</v>
      </c>
      <c r="B10447" s="2">
        <v>44328</v>
      </c>
      <c r="C10447" s="1">
        <v>61</v>
      </c>
      <c r="D10447" s="39">
        <f t="shared" si="992"/>
        <v>39483</v>
      </c>
      <c r="E10447" s="1">
        <v>5</v>
      </c>
      <c r="F10447" s="39">
        <f t="shared" si="997"/>
        <v>539</v>
      </c>
      <c r="G10447" s="169">
        <f>SUM(C10447,C10423,C10399,C10375,C10351,C10327,C10303,C10279,C10255,C10231,C10207,C10183,C10159,C10135)/POBLA!$B$6*100000</f>
        <v>204.85349317140154</v>
      </c>
      <c r="H10447" s="258">
        <f t="shared" si="995"/>
        <v>0.7</v>
      </c>
      <c r="I10447" s="310">
        <f t="shared" si="998"/>
        <v>143.39744521998108</v>
      </c>
      <c r="J10447" s="552">
        <f t="shared" si="999"/>
        <v>160.85714285714286</v>
      </c>
      <c r="K10447" s="310">
        <f>J10447/POBLA!$B$6*100000</f>
        <v>14.35198066892721</v>
      </c>
      <c r="L10447" s="68">
        <f t="shared" si="996"/>
        <v>3.7606837606837584E-2</v>
      </c>
      <c r="M10447" s="512">
        <f>SUM(C10447,C10423,C10399,C10375,C10351,C10327,C10303)/POBLA!$B$6*100000</f>
        <v>100.46386468249045</v>
      </c>
    </row>
    <row r="10448" spans="1:13" x14ac:dyDescent="0.25">
      <c r="A10448" s="402" t="s">
        <v>20</v>
      </c>
      <c r="B10448" s="2">
        <v>44328</v>
      </c>
      <c r="C10448" s="1">
        <v>2570</v>
      </c>
      <c r="D10448" s="39">
        <f t="shared" si="992"/>
        <v>247100</v>
      </c>
      <c r="E10448" s="1">
        <v>21</v>
      </c>
      <c r="F10448" s="39">
        <f t="shared" si="997"/>
        <v>3559</v>
      </c>
      <c r="G10448" s="169">
        <f>SUM(C10448,C10424,C10400,C10376,C10352,C10328,C10304,C10280,C10256,C10232,C10208,C10184,C10160,C10136)/POBLA!$B$7*100000</f>
        <v>631.28083075163875</v>
      </c>
      <c r="H10448" s="258">
        <f t="shared" si="995"/>
        <v>1.0446204620462045</v>
      </c>
      <c r="I10448" s="310">
        <f t="shared" si="998"/>
        <v>659.44887310068873</v>
      </c>
      <c r="J10448" s="552">
        <f t="shared" si="999"/>
        <v>1817</v>
      </c>
      <c r="K10448" s="310">
        <f>J10448/POBLA!$B$7*100000</f>
        <v>48.31868526373173</v>
      </c>
      <c r="L10448" s="68">
        <f t="shared" si="996"/>
        <v>-0.15417422867513619</v>
      </c>
      <c r="M10448" s="512">
        <f>SUM(C10448,C10424,C10400,C10376,C10352,C10328,C10304)/POBLA!$B$7*100000</f>
        <v>338.23079684612213</v>
      </c>
    </row>
    <row r="10449" spans="1:13" x14ac:dyDescent="0.25">
      <c r="A10449" s="402" t="s">
        <v>31</v>
      </c>
      <c r="B10449" s="2">
        <v>44328</v>
      </c>
      <c r="C10449" s="1">
        <v>696</v>
      </c>
      <c r="D10449" s="39">
        <f t="shared" si="992"/>
        <v>69259</v>
      </c>
      <c r="E10449" s="1">
        <v>6</v>
      </c>
      <c r="F10449" s="39">
        <f t="shared" si="997"/>
        <v>1118</v>
      </c>
      <c r="G10449" s="169">
        <f>SUM(C10449,C10425,C10401,C10377,C10353,C10329,C10305,C10281,C10257,C10233,C10209,C10185,C10161,C10137)/POBLA!$B$8*100000</f>
        <v>551.60282287885445</v>
      </c>
      <c r="H10449" s="258">
        <f t="shared" si="995"/>
        <v>1.0817885948776</v>
      </c>
      <c r="I10449" s="310">
        <f t="shared" si="998"/>
        <v>596.7176426926336</v>
      </c>
      <c r="J10449" s="552">
        <f t="shared" si="999"/>
        <v>569.42857142857144</v>
      </c>
      <c r="K10449" s="310">
        <f>J10449/POBLA!$B$8*100000</f>
        <v>41.085468597498156</v>
      </c>
      <c r="L10449" s="68">
        <f t="shared" si="996"/>
        <v>-8.9368679967204212E-2</v>
      </c>
      <c r="M10449" s="512">
        <f>SUM(C10449,C10425,C10401,C10377,C10353,C10329,C10305)/POBLA!$B$8*100000</f>
        <v>287.59828018248709</v>
      </c>
    </row>
    <row r="10450" spans="1:13" x14ac:dyDescent="0.25">
      <c r="A10450" s="402" t="s">
        <v>41</v>
      </c>
      <c r="B10450" s="2">
        <v>44328</v>
      </c>
      <c r="C10450" s="1">
        <v>322</v>
      </c>
      <c r="D10450" s="39">
        <f t="shared" si="992"/>
        <v>6745</v>
      </c>
      <c r="E10450" s="1">
        <v>22</v>
      </c>
      <c r="F10450" s="39">
        <f t="shared" si="997"/>
        <v>128</v>
      </c>
      <c r="G10450" s="169">
        <f>SUM(C10450,C10426,C10402,C10378,C10354,C10330,C10306,C10282,C10258,C10234,C10210,C10186,C10162,C10138)/POBLA!$B$9*100000</f>
        <v>370.62556903334968</v>
      </c>
      <c r="H10450" s="258">
        <f t="shared" si="995"/>
        <v>1.7564604541895066</v>
      </c>
      <c r="I10450" s="310">
        <f t="shared" si="998"/>
        <v>650.98915531856164</v>
      </c>
      <c r="J10450" s="552">
        <f t="shared" si="999"/>
        <v>237</v>
      </c>
      <c r="K10450" s="310">
        <f>J10450/POBLA!$B$9*100000</f>
        <v>39.161061016898742</v>
      </c>
      <c r="L10450" s="68">
        <f t="shared" si="996"/>
        <v>-1.8407534246575343</v>
      </c>
      <c r="M10450" s="512">
        <f>SUM(C10450,C10426,C10402,C10378,C10354,C10330,C10306)/POBLA!$B$9*100000</f>
        <v>274.12742711829117</v>
      </c>
    </row>
    <row r="10451" spans="1:13" x14ac:dyDescent="0.25">
      <c r="A10451" s="402" t="s">
        <v>32</v>
      </c>
      <c r="B10451" s="2">
        <v>44328</v>
      </c>
      <c r="C10451" s="1">
        <v>89</v>
      </c>
      <c r="D10451" s="39">
        <f t="shared" si="992"/>
        <v>25894</v>
      </c>
      <c r="E10451" s="1">
        <v>5</v>
      </c>
      <c r="F10451" s="39">
        <f t="shared" si="997"/>
        <v>1063</v>
      </c>
      <c r="G10451" s="169">
        <f>SUM(C10451,C10427,C10403,C10379,C10355,C10331,C10307,C10283,C10259,C10235,C10211,C10187,C10163,C10139)/POBLA!$B$10*100000</f>
        <v>161.37380477661273</v>
      </c>
      <c r="H10451" s="258">
        <f t="shared" si="995"/>
        <v>0.90670553935860054</v>
      </c>
      <c r="I10451" s="310">
        <f t="shared" si="998"/>
        <v>146.31852269832817</v>
      </c>
      <c r="J10451" s="552">
        <f t="shared" si="999"/>
        <v>86.285714285714292</v>
      </c>
      <c r="K10451" s="310">
        <f>J10451/POBLA!$B$10*100000</f>
        <v>11.193130234850035</v>
      </c>
      <c r="L10451" s="68">
        <f t="shared" si="996"/>
        <v>5.6250000000000022E-2</v>
      </c>
      <c r="M10451" s="512">
        <f>SUM(C10451,C10427,C10403,C10379,C10355,C10331,C10307)/POBLA!$B$10*100000</f>
        <v>78.351911643950231</v>
      </c>
    </row>
    <row r="10452" spans="1:13" x14ac:dyDescent="0.25">
      <c r="A10452" s="402" t="s">
        <v>33</v>
      </c>
      <c r="B10452" s="2">
        <v>44328</v>
      </c>
      <c r="C10452" s="1">
        <v>648</v>
      </c>
      <c r="D10452" s="39">
        <f t="shared" si="992"/>
        <v>31544</v>
      </c>
      <c r="E10452" s="1">
        <v>4</v>
      </c>
      <c r="F10452" s="39">
        <f t="shared" si="997"/>
        <v>435</v>
      </c>
      <c r="G10452" s="169">
        <f>SUM(C10452,C10428,C10404,C10380,C10356,C10332,C10308,C10284,C10260,C10236,C10212,C10188,C10164,C10140)/POBLA!$B$11*100000</f>
        <v>1405.8611492405728</v>
      </c>
      <c r="H10452" s="258">
        <f t="shared" si="995"/>
        <v>1.488626292466765</v>
      </c>
      <c r="I10452" s="310">
        <f t="shared" si="998"/>
        <v>2092.8018703170592</v>
      </c>
      <c r="J10452" s="552">
        <f t="shared" si="999"/>
        <v>414.28571428571428</v>
      </c>
      <c r="K10452" s="310">
        <f>J10452/POBLA!$B$11*100000</f>
        <v>115.58408223847309</v>
      </c>
      <c r="L10452" s="68">
        <f t="shared" si="996"/>
        <v>-0.35577372604020563</v>
      </c>
      <c r="M10452" s="512">
        <f>SUM(C10452,C10428,C10404,C10380,C10356,C10332,C10308)/POBLA!$B$11*100000</f>
        <v>809.08857566931147</v>
      </c>
    </row>
    <row r="10453" spans="1:13" x14ac:dyDescent="0.25">
      <c r="A10453" s="402" t="s">
        <v>21</v>
      </c>
      <c r="B10453" s="2">
        <v>44328</v>
      </c>
      <c r="C10453" s="1">
        <v>28</v>
      </c>
      <c r="D10453" s="39">
        <f t="shared" si="992"/>
        <v>14420</v>
      </c>
      <c r="F10453" s="39">
        <f t="shared" si="997"/>
        <v>504</v>
      </c>
      <c r="G10453" s="169">
        <f>SUM(C10453,C10429,C10405,C10381,C10357,C10333,C10309,C10285,C10261,C10237,C10213,C10189,C10165,C10141)/POBLA!$B$12*100000</f>
        <v>289.9390391100066</v>
      </c>
      <c r="H10453" s="258">
        <f t="shared" si="995"/>
        <v>1.0372727272727273</v>
      </c>
      <c r="I10453" s="310">
        <f t="shared" si="998"/>
        <v>300.74585784047053</v>
      </c>
      <c r="J10453" s="552">
        <f t="shared" si="999"/>
        <v>71.285714285714292</v>
      </c>
      <c r="K10453" s="310">
        <f>J10453/POBLA!$B$12*100000</f>
        <v>18.11438343757272</v>
      </c>
      <c r="L10453" s="68">
        <f t="shared" si="996"/>
        <v>0.22274143302180682</v>
      </c>
      <c r="M10453" s="512">
        <f>SUM(C10453,C10429,C10405,C10381,C10357,C10333,C10309)/POBLA!$B$12*100000</f>
        <v>126.80068406300902</v>
      </c>
    </row>
    <row r="10454" spans="1:13" x14ac:dyDescent="0.25">
      <c r="A10454" s="402" t="s">
        <v>17</v>
      </c>
      <c r="B10454" s="2">
        <v>44328</v>
      </c>
      <c r="C10454" s="1">
        <v>825</v>
      </c>
      <c r="D10454" s="39">
        <f t="shared" si="992"/>
        <v>105326</v>
      </c>
      <c r="E10454" s="1">
        <v>16</v>
      </c>
      <c r="F10454" s="39">
        <f t="shared" si="997"/>
        <v>2097</v>
      </c>
      <c r="G10454" s="169">
        <f>SUM(C10454,C10430,C10406,C10382,C10358,C10334,C10310,C10286,C10262,C10238,C10214,C10190,C10166,C10142)/POBLA!$B$13*100000</f>
        <v>528.7041698445189</v>
      </c>
      <c r="H10454" s="258">
        <f t="shared" si="995"/>
        <v>0.86331938633193861</v>
      </c>
      <c r="I10454" s="310">
        <f t="shared" si="998"/>
        <v>456.44055946130709</v>
      </c>
      <c r="J10454" s="552">
        <f t="shared" si="999"/>
        <v>771.42857142857144</v>
      </c>
      <c r="K10454" s="310">
        <f>J10454/POBLA!$B$13*100000</f>
        <v>38.758671714481231</v>
      </c>
      <c r="L10454" s="68">
        <f t="shared" si="996"/>
        <v>-5.406988092914311E-2</v>
      </c>
      <c r="M10454" s="512">
        <f>SUM(C10454,C10430,C10406,C10382,C10358,C10334,C10310)/POBLA!$B$13*100000</f>
        <v>271.31070200136861</v>
      </c>
    </row>
    <row r="10455" spans="1:13" x14ac:dyDescent="0.25">
      <c r="A10455" s="402" t="s">
        <v>23</v>
      </c>
      <c r="B10455" s="2">
        <v>44328</v>
      </c>
      <c r="C10455" s="1">
        <v>139</v>
      </c>
      <c r="D10455" s="39">
        <f t="shared" si="992"/>
        <v>17337</v>
      </c>
      <c r="E10455" s="1">
        <v>3</v>
      </c>
      <c r="F10455" s="39">
        <f t="shared" si="997"/>
        <v>245</v>
      </c>
      <c r="G10455" s="169">
        <f>SUM(C10455,C10431,C10407,C10383,C10359,C10335,C10311,C10287,C10263,C10239,C10215,C10191,C10167,C10143)/POBLA!$B$14*100000</f>
        <v>156.66450486563798</v>
      </c>
      <c r="H10455" s="258">
        <f t="shared" si="995"/>
        <v>1.2482627921667719</v>
      </c>
      <c r="I10455" s="310">
        <f t="shared" si="998"/>
        <v>195.5584722770061</v>
      </c>
      <c r="J10455" s="552">
        <f t="shared" si="999"/>
        <v>162.71428571428572</v>
      </c>
      <c r="K10455" s="310">
        <f>J10455/POBLA!$B$14*100000</f>
        <v>12.900583505057959</v>
      </c>
      <c r="L10455" s="68">
        <f t="shared" si="996"/>
        <v>-0.36081242532855429</v>
      </c>
      <c r="M10455" s="512">
        <f>SUM(C10455,C10431,C10407,C10383,C10359,C10335,C10311)/POBLA!$B$14*100000</f>
        <v>90.304084535405707</v>
      </c>
    </row>
    <row r="10456" spans="1:13" x14ac:dyDescent="0.25">
      <c r="A10456" s="402" t="s">
        <v>19</v>
      </c>
      <c r="B10456" s="2">
        <v>44328</v>
      </c>
      <c r="C10456" s="1">
        <v>514</v>
      </c>
      <c r="D10456" s="39">
        <f t="shared" si="992"/>
        <v>76394</v>
      </c>
      <c r="E10456" s="1">
        <v>2</v>
      </c>
      <c r="F10456" s="39">
        <f t="shared" si="997"/>
        <v>1139</v>
      </c>
      <c r="G10456" s="169">
        <f>SUM(C10456,C10432,C10408,C10384,C10360,C10336,C10312,C10288,C10264,C10240,C10216,C10192,C10168,C10144)/POBLA!$B$15*100000</f>
        <v>902.63335828099093</v>
      </c>
      <c r="H10456" s="258">
        <f t="shared" si="995"/>
        <v>1.8065099457504521</v>
      </c>
      <c r="I10456" s="310">
        <f t="shared" si="998"/>
        <v>1630.6161391007413</v>
      </c>
      <c r="J10456" s="552">
        <f t="shared" si="999"/>
        <v>491</v>
      </c>
      <c r="K10456" s="310">
        <f>J10456/POBLA!$B$15*100000</f>
        <v>73.939435921916342</v>
      </c>
      <c r="L10456" s="68">
        <f t="shared" si="996"/>
        <v>-0.34415330465389138</v>
      </c>
      <c r="M10456" s="512">
        <f>SUM(C10456,C10432,C10408,C10384,C10360,C10336,C10312)/POBLA!$B$15*100000</f>
        <v>517.57605145341438</v>
      </c>
    </row>
    <row r="10457" spans="1:13" x14ac:dyDescent="0.25">
      <c r="A10457" s="402" t="s">
        <v>18</v>
      </c>
      <c r="B10457" s="2">
        <v>44328</v>
      </c>
      <c r="C10457" s="1">
        <v>363</v>
      </c>
      <c r="D10457" s="39">
        <f t="shared" si="992"/>
        <v>65016</v>
      </c>
      <c r="E10457" s="1">
        <v>6</v>
      </c>
      <c r="F10457" s="39">
        <f t="shared" si="997"/>
        <v>1418</v>
      </c>
      <c r="G10457" s="169">
        <f>SUM(C10457,C10433,C10409,C10385,C10361,C10337,C10313,C10289,C10265,C10241,C10217,C10193,C10169,C10145)/POBLA!$B$16*100000</f>
        <v>561.38895948422305</v>
      </c>
      <c r="H10457" s="258">
        <f t="shared" si="995"/>
        <v>1.2435555555555555</v>
      </c>
      <c r="I10457" s="310">
        <f t="shared" si="998"/>
        <v>698.11835939415823</v>
      </c>
      <c r="J10457" s="552">
        <f t="shared" si="999"/>
        <v>323.28571428571428</v>
      </c>
      <c r="K10457" s="310">
        <f>J10457/POBLA!$B$16*100000</f>
        <v>43.242561534184169</v>
      </c>
      <c r="L10457" s="68">
        <f t="shared" si="996"/>
        <v>-0.17011375387797312</v>
      </c>
      <c r="M10457" s="512">
        <f>SUM(C10457,C10433,C10409,C10385,C10361,C10337,C10313)/POBLA!$B$16*100000</f>
        <v>302.69793073928918</v>
      </c>
    </row>
    <row r="10458" spans="1:13" x14ac:dyDescent="0.25">
      <c r="A10458" s="402" t="s">
        <v>34</v>
      </c>
      <c r="B10458" s="2">
        <v>44328</v>
      </c>
      <c r="C10458" s="1">
        <v>350</v>
      </c>
      <c r="D10458" s="39">
        <f t="shared" si="992"/>
        <v>37409</v>
      </c>
      <c r="E10458" s="1">
        <v>3</v>
      </c>
      <c r="F10458" s="39">
        <f t="shared" si="997"/>
        <v>1308</v>
      </c>
      <c r="G10458" s="169">
        <f>SUM(C10458,C10434,C10410,C10386,C10362,C10338,C10314,C10290,C10266,C10242,C10218,C10194,C10170,C10146)/POBLA!$B$17*100000</f>
        <v>221.42703193000264</v>
      </c>
      <c r="H10458" s="258">
        <f t="shared" ref="H10458:H10481" si="1000">SUM(C10458,C10434,C10410,C10386,C10362,C10338,C10314,C10290,C10266,C10242,C10218,C10194,C10170,C10146)/SUM(C10122,C10098,C10074,C10050,C10026,C10002,C9978,C9954,C9930,C9906,C9882,C9858,C9834,C9810)</f>
        <v>1.1892911010558069</v>
      </c>
      <c r="I10458" s="310">
        <f t="shared" si="998"/>
        <v>263.34119860755214</v>
      </c>
      <c r="J10458" s="552">
        <f t="shared" si="999"/>
        <v>254.57142857142858</v>
      </c>
      <c r="K10458" s="310">
        <f>J10458/POBLA!$B$17*100000</f>
        <v>17.872224426998134</v>
      </c>
      <c r="L10458" s="68">
        <f t="shared" si="996"/>
        <v>-0.2988338192419826</v>
      </c>
      <c r="M10458" s="512">
        <f>SUM(C10458,C10434,C10410,C10386,C10362,C10338,C10314)/POBLA!$B$17*100000</f>
        <v>125.10557098898691</v>
      </c>
    </row>
    <row r="10459" spans="1:13" x14ac:dyDescent="0.25">
      <c r="A10459" s="402" t="s">
        <v>35</v>
      </c>
      <c r="B10459" s="2">
        <v>44328</v>
      </c>
      <c r="C10459" s="1">
        <v>474</v>
      </c>
      <c r="D10459" s="39">
        <f t="shared" si="992"/>
        <v>27480</v>
      </c>
      <c r="E10459" s="1">
        <v>1</v>
      </c>
      <c r="F10459" s="39">
        <f t="shared" si="997"/>
        <v>521</v>
      </c>
      <c r="G10459" s="169">
        <f>SUM(C10459,C10435,C10411,C10387,C10363,C10339,C10315,C10291,C10267,C10243,C10219,C10195,C10171,C10147)/POBLA!$B$18*100000</f>
        <v>574.74427719826883</v>
      </c>
      <c r="H10459" s="258">
        <f t="shared" si="1000"/>
        <v>1.2946943483275664</v>
      </c>
      <c r="I10459" s="310">
        <f t="shared" si="998"/>
        <v>744.11816742221083</v>
      </c>
      <c r="J10459" s="552">
        <f t="shared" si="999"/>
        <v>347</v>
      </c>
      <c r="K10459" s="310">
        <f>J10459/POBLA!$B$18*100000</f>
        <v>44.417876211091155</v>
      </c>
      <c r="L10459" s="68">
        <f t="shared" si="996"/>
        <v>-0.17855409995147986</v>
      </c>
      <c r="M10459" s="512">
        <f>SUM(C10459,C10435,C10411,C10387,C10363,C10339,C10315)/POBLA!$B$18*100000</f>
        <v>310.9251334776381</v>
      </c>
    </row>
    <row r="10460" spans="1:13" x14ac:dyDescent="0.25">
      <c r="A10460" s="402" t="s">
        <v>36</v>
      </c>
      <c r="B10460" s="2">
        <v>44328</v>
      </c>
      <c r="C10460" s="1">
        <v>435</v>
      </c>
      <c r="D10460" s="39">
        <f t="shared" si="992"/>
        <v>42832</v>
      </c>
      <c r="E10460" s="1">
        <v>9</v>
      </c>
      <c r="F10460" s="39">
        <f t="shared" si="997"/>
        <v>573</v>
      </c>
      <c r="G10460" s="169">
        <f>SUM(C10460,C10436,C10412,C10388,C10364,C10340,C10316,C10292,C10268,C10244,C10220,C10196,C10172,C10148)/POBLA!$B$19*100000</f>
        <v>1261.3902834390394</v>
      </c>
      <c r="H10460" s="258">
        <f t="shared" si="1000"/>
        <v>0.75399811853245535</v>
      </c>
      <c r="I10460" s="310">
        <f t="shared" si="998"/>
        <v>951.08590044815628</v>
      </c>
      <c r="J10460" s="552">
        <f t="shared" si="999"/>
        <v>460.71428571428572</v>
      </c>
      <c r="K10460" s="310">
        <f>J10460/POBLA!$B$19*100000</f>
        <v>90.633269407604089</v>
      </c>
      <c r="L10460" s="68">
        <f t="shared" si="996"/>
        <v>-1.1923438970818934E-2</v>
      </c>
      <c r="M10460" s="512">
        <f>SUM(C10460,C10436,C10412,C10388,C10364,C10340,C10316)/POBLA!$B$19*100000</f>
        <v>634.43288585322853</v>
      </c>
    </row>
    <row r="10461" spans="1:13" x14ac:dyDescent="0.25">
      <c r="A10461" s="402" t="s">
        <v>37</v>
      </c>
      <c r="B10461" s="2">
        <v>44328</v>
      </c>
      <c r="C10461" s="1">
        <v>230</v>
      </c>
      <c r="D10461" s="39">
        <f t="shared" si="992"/>
        <v>47250</v>
      </c>
      <c r="E10461" s="1">
        <v>2</v>
      </c>
      <c r="F10461" s="39">
        <f t="shared" si="997"/>
        <v>740</v>
      </c>
      <c r="G10461" s="169">
        <f>SUM(C10461,C10437,C10413,C10389,C10365,C10341,C10317,C10293,C10269,C10245,C10221,C10197,C10173,C10149)/POBLA!$B$20*100000</f>
        <v>817.34108472017886</v>
      </c>
      <c r="H10461" s="258">
        <f t="shared" si="1000"/>
        <v>1.1211552888222056</v>
      </c>
      <c r="I10461" s="310">
        <f t="shared" si="998"/>
        <v>916.36627990570696</v>
      </c>
      <c r="J10461" s="552">
        <f t="shared" si="999"/>
        <v>228.85714285714286</v>
      </c>
      <c r="K10461" s="310">
        <f>J10461/POBLA!$B$20*100000</f>
        <v>62.580911806228876</v>
      </c>
      <c r="L10461" s="68">
        <f t="shared" si="996"/>
        <v>-0.15501081470800293</v>
      </c>
      <c r="M10461" s="512">
        <f>SUM(C10461,C10437,C10413,C10389,C10365,C10341,C10317)/POBLA!$B$20*100000</f>
        <v>438.06638264360208</v>
      </c>
    </row>
    <row r="10462" spans="1:13" x14ac:dyDescent="0.25">
      <c r="A10462" s="402" t="s">
        <v>22</v>
      </c>
      <c r="B10462" s="2">
        <v>44328</v>
      </c>
      <c r="C10462" s="1">
        <v>2269</v>
      </c>
      <c r="D10462" s="39">
        <f t="shared" si="992"/>
        <v>294820</v>
      </c>
      <c r="E10462" s="1">
        <v>24</v>
      </c>
      <c r="F10462" s="39">
        <f t="shared" si="997"/>
        <v>4863</v>
      </c>
      <c r="G10462" s="169">
        <f>SUM(C10462,C10438,C10414,C10390,C10366,C10342,C10318,C10294,C10270,C10246,C10222,C10198,C10174,C10150)/POBLA!$B$21*100000</f>
        <v>699.06894490413754</v>
      </c>
      <c r="H10462" s="258">
        <f t="shared" si="1000"/>
        <v>1.0539284648505776</v>
      </c>
      <c r="I10462" s="310">
        <f t="shared" si="998"/>
        <v>736.76865992753062</v>
      </c>
      <c r="J10462" s="552">
        <f t="shared" si="999"/>
        <v>1759</v>
      </c>
      <c r="K10462" s="310">
        <f>J10462/POBLA!$B$21*100000</f>
        <v>49.739595262777186</v>
      </c>
      <c r="L10462" s="68">
        <f t="shared" si="996"/>
        <v>7.7363204126037477E-3</v>
      </c>
      <c r="M10462" s="512">
        <f>SUM(C10462,C10438,C10414,C10390,C10366,C10342,C10318)/POBLA!$B$21*100000</f>
        <v>348.17716683944036</v>
      </c>
    </row>
    <row r="10463" spans="1:13" x14ac:dyDescent="0.25">
      <c r="A10463" s="402" t="s">
        <v>38</v>
      </c>
      <c r="B10463" s="2">
        <v>44328</v>
      </c>
      <c r="C10463" s="1">
        <v>342</v>
      </c>
      <c r="D10463" s="39">
        <f t="shared" si="992"/>
        <v>33597</v>
      </c>
      <c r="E10463" s="1">
        <v>3</v>
      </c>
      <c r="F10463" s="39">
        <f t="shared" si="997"/>
        <v>389</v>
      </c>
      <c r="G10463" s="169">
        <f>SUM(C10463,C10439,C10415,C10391,C10367,C10343,C10319,C10295,C10271,C10247,C10223,C10199,C10175,C10151)/POBLA!$B$22*100000</f>
        <v>342.32398015767961</v>
      </c>
      <c r="H10463" s="258">
        <f t="shared" si="1000"/>
        <v>1.1383412644459552</v>
      </c>
      <c r="I10463" s="310">
        <f t="shared" si="998"/>
        <v>389.68151242286507</v>
      </c>
      <c r="J10463" s="552">
        <f t="shared" si="999"/>
        <v>290.85714285714283</v>
      </c>
      <c r="K10463" s="310">
        <f>J10463/POBLA!$B$22*100000</f>
        <v>29.730479187861434</v>
      </c>
      <c r="L10463" s="68">
        <f t="shared" si="996"/>
        <v>-0.55064737242955064</v>
      </c>
      <c r="M10463" s="512">
        <f>SUM(C10463,C10439,C10415,C10391,C10367,C10343,C10319)/POBLA!$B$22*100000</f>
        <v>208.11335431503005</v>
      </c>
    </row>
    <row r="10464" spans="1:13" x14ac:dyDescent="0.25">
      <c r="A10464" s="402" t="s">
        <v>39</v>
      </c>
      <c r="B10464" s="2">
        <v>44328</v>
      </c>
      <c r="C10464" s="1">
        <v>94</v>
      </c>
      <c r="D10464" s="39">
        <f t="shared" si="992"/>
        <v>27241</v>
      </c>
      <c r="E10464" s="1">
        <v>1</v>
      </c>
      <c r="F10464" s="39">
        <f t="shared" si="997"/>
        <v>402</v>
      </c>
      <c r="G10464" s="169">
        <f>SUM(C10464,C10440,C10416,C10392,C10368,C10344,C10320,C10296,C10272,C10248,C10224,C10200,C10176,C10152)/POBLA!$B$23*100000</f>
        <v>545.72187977153203</v>
      </c>
      <c r="H10464" s="258">
        <f t="shared" si="1000"/>
        <v>0.87807097361237485</v>
      </c>
      <c r="I10464" s="310">
        <f t="shared" si="998"/>
        <v>479.18254229256451</v>
      </c>
      <c r="J10464" s="552">
        <f t="shared" si="999"/>
        <v>68.714285714285708</v>
      </c>
      <c r="K10464" s="310">
        <f>J10464/POBLA!$B$23*100000</f>
        <v>38.858952504827073</v>
      </c>
      <c r="L10464" s="68">
        <f t="shared" si="996"/>
        <v>6.1983471074380514E-3</v>
      </c>
      <c r="M10464" s="512">
        <f>SUM(C10464,C10440,C10416,C10392,C10368,C10344,C10320)/POBLA!$B$23*100000</f>
        <v>272.01266753378951</v>
      </c>
    </row>
    <row r="10465" spans="1:13" ht="15.75" thickBot="1" x14ac:dyDescent="0.3">
      <c r="A10465" s="403" t="s">
        <v>40</v>
      </c>
      <c r="B10465" s="34">
        <v>44328</v>
      </c>
      <c r="C10465" s="234">
        <v>629</v>
      </c>
      <c r="D10465" s="67">
        <f t="shared" si="992"/>
        <v>112599</v>
      </c>
      <c r="E10465" s="234">
        <v>7</v>
      </c>
      <c r="F10465" s="67">
        <f t="shared" si="997"/>
        <v>1738</v>
      </c>
      <c r="G10465" s="257">
        <f>SUM(C10465,C10441,C10417,C10393,C10369,C10345,C10321,C10297,C10273,C10249,C10225,C10201,C10177,C10153)/POBLA!$B$24*100000</f>
        <v>453.89742815060993</v>
      </c>
      <c r="H10465" s="259">
        <f t="shared" si="1000"/>
        <v>0.80510780824785433</v>
      </c>
      <c r="I10465" s="312">
        <f t="shared" si="998"/>
        <v>365.43636354767551</v>
      </c>
      <c r="J10465" s="566">
        <f t="shared" si="999"/>
        <v>550.57142857142856</v>
      </c>
      <c r="K10465" s="312">
        <f>J10465/POBLA!$B$24*100000</f>
        <v>32.48868375478142</v>
      </c>
      <c r="L10465" s="68">
        <f t="shared" si="996"/>
        <v>-4.168837936425307E-3</v>
      </c>
      <c r="M10465" s="517">
        <f>SUM(C10465,C10441,C10417,C10393,C10369,C10345,C10321)/POBLA!$B$24*100000</f>
        <v>227.42078628346994</v>
      </c>
    </row>
    <row r="10466" spans="1:13" x14ac:dyDescent="0.25">
      <c r="A10466" s="397" t="s">
        <v>16</v>
      </c>
      <c r="B10466" s="267">
        <v>44329</v>
      </c>
      <c r="C10466" s="389">
        <v>10673</v>
      </c>
      <c r="D10466" s="175">
        <f t="shared" si="992"/>
        <v>1414299</v>
      </c>
      <c r="E10466" s="43">
        <v>231</v>
      </c>
      <c r="F10466" s="175">
        <f t="shared" ref="F10466:F10489" si="1001">E10466+F10442</f>
        <v>35799</v>
      </c>
      <c r="G10466" s="176">
        <f>SUM(C10466,C10442,C10418,C10394,C10370,C10346,C10322,C10298,C10274,C10250,C10226,C10202,C10178,C10154)/POBLA!$B$1*100000</f>
        <v>711.81800545357908</v>
      </c>
      <c r="H10466" s="313">
        <f t="shared" si="1000"/>
        <v>0.78385962709523516</v>
      </c>
      <c r="I10466" s="314">
        <f>G10466*H10466</f>
        <v>557.96539631451651</v>
      </c>
      <c r="J10466" s="551">
        <f>AVERAGE(C10466,C10442,C10418,C10394,C10370,C10346,C10322)</f>
        <v>8703.2857142857138</v>
      </c>
      <c r="K10466" s="314">
        <f>J10466/POBLA!$B$1*100000</f>
        <v>49.616417280299579</v>
      </c>
      <c r="L10466" s="510">
        <f>1-(SUM(C10466,C10442,C10418,C10394,C10370,C10346,C10322)/SUM(C10298,C10274,C10250,C10226,C10202,C10178,C10154))</f>
        <v>4.7155056460946532E-2</v>
      </c>
      <c r="M10466" s="511">
        <f>SUM(C10466,C10442,C10418,C10394,C10370,C10346,C10322)/POBLA!$B$1*100000</f>
        <v>347.31492096209706</v>
      </c>
    </row>
    <row r="10467" spans="1:13" x14ac:dyDescent="0.25">
      <c r="A10467" s="402" t="s">
        <v>43</v>
      </c>
      <c r="B10467" s="2">
        <v>44329</v>
      </c>
      <c r="C10467" s="4">
        <v>2615</v>
      </c>
      <c r="D10467" s="39">
        <f t="shared" si="992"/>
        <v>371192</v>
      </c>
      <c r="E10467" s="1">
        <v>74</v>
      </c>
      <c r="F10467" s="39">
        <f t="shared" si="1001"/>
        <v>8389</v>
      </c>
      <c r="G10467" s="169">
        <f>SUM(C10467,C10443,C10419,C10395,C10371,C10347,C10323,C10299,C10275,C10251,C10227,C10203,C10179,C10155)/POBLA!$B$2*100000</f>
        <v>1033.0512679287538</v>
      </c>
      <c r="H10467" s="258">
        <f t="shared" si="1000"/>
        <v>0.75921146953405017</v>
      </c>
      <c r="I10467" s="310">
        <f t="shared" ref="I10467:I10489" si="1002">G10467*H10467</f>
        <v>784.30437122820297</v>
      </c>
      <c r="J10467" s="552">
        <f t="shared" ref="J10467:J10489" si="1003">AVERAGE(C10467,C10443,C10419,C10395,C10371,C10347,C10323)</f>
        <v>2146</v>
      </c>
      <c r="K10467" s="310">
        <f>J10467/POBLA!$B$2*100000</f>
        <v>69.773959681966005</v>
      </c>
      <c r="L10467" s="202">
        <f>1-(SUM(C10467,C10443,C10419,C10395,C10371,C10347,C10323)/SUM(C10299,C10275,C10251,C10227,C10203,C10179,C10155))</f>
        <v>0.10321771834517346</v>
      </c>
      <c r="M10467" s="512">
        <f>SUM(C10467,C10443,C10419,C10395,C10371,C10347,C10323)/POBLA!$B$2*100000</f>
        <v>488.41771777376198</v>
      </c>
    </row>
    <row r="10468" spans="1:13" x14ac:dyDescent="0.25">
      <c r="A10468" s="402" t="s">
        <v>28</v>
      </c>
      <c r="B10468" s="2">
        <v>44329</v>
      </c>
      <c r="C10468" s="4">
        <v>251</v>
      </c>
      <c r="D10468" s="39">
        <f t="shared" si="992"/>
        <v>17037</v>
      </c>
      <c r="F10468" s="39">
        <f t="shared" si="1001"/>
        <v>115</v>
      </c>
      <c r="G10468" s="169">
        <f>SUM(C10468,C10444,C10420,C10396,C10372,C10348,C10324,C10300,C10276,C10252,C10228,C10204,C10180,C10156)/POBLA!$B$3*100000</f>
        <v>560.13171640533608</v>
      </c>
      <c r="H10468" s="258">
        <f t="shared" si="1000"/>
        <v>0.985182049110923</v>
      </c>
      <c r="I10468" s="310">
        <f t="shared" si="1002"/>
        <v>551.83171214022741</v>
      </c>
      <c r="J10468" s="552">
        <f t="shared" si="1003"/>
        <v>191.42857142857142</v>
      </c>
      <c r="K10468" s="310">
        <f>J10468/POBLA!$B$3*100000</f>
        <v>46.078734114012541</v>
      </c>
      <c r="L10468" s="202">
        <f t="shared" ref="L10468:L10489" si="1004">1-(SUM(C10468,C10444,C10420,C10396,C10372,C10348,C10324)/SUM(C10300,C10276,C10252,C10228,C10204,C10180,C10156))</f>
        <v>-0.35764944275582566</v>
      </c>
      <c r="M10468" s="512">
        <f>SUM(C10468,C10444,C10420,C10396,C10372,C10348,C10324)/POBLA!$B$3*100000</f>
        <v>322.55113879808778</v>
      </c>
    </row>
    <row r="10469" spans="1:13" x14ac:dyDescent="0.25">
      <c r="A10469" s="402" t="s">
        <v>15</v>
      </c>
      <c r="B10469" s="2">
        <v>44329</v>
      </c>
      <c r="C10469" s="4">
        <v>490</v>
      </c>
      <c r="D10469" s="39">
        <f t="shared" si="992"/>
        <v>48234</v>
      </c>
      <c r="E10469" s="1">
        <v>4</v>
      </c>
      <c r="F10469" s="39">
        <f t="shared" si="1001"/>
        <v>1096</v>
      </c>
      <c r="G10469" s="169">
        <f>SUM(C10469,C10445,C10421,C10397,C10373,C10349,C10325,C10301,C10277,C10253,C10229,C10205,C10181,C10157)/POBLA!$B$4*100000</f>
        <v>301.60866255278978</v>
      </c>
      <c r="H10469" s="258">
        <f t="shared" si="1000"/>
        <v>1.1438916876574308</v>
      </c>
      <c r="I10469" s="310">
        <f t="shared" si="1002"/>
        <v>345.00764201961124</v>
      </c>
      <c r="J10469" s="552">
        <f t="shared" si="1003"/>
        <v>278.14285714285717</v>
      </c>
      <c r="K10469" s="310">
        <f>J10469/POBLA!$B$4*100000</f>
        <v>23.091190515130425</v>
      </c>
      <c r="L10469" s="202">
        <f t="shared" si="1004"/>
        <v>-0.15480427046263334</v>
      </c>
      <c r="M10469" s="512">
        <f>SUM(C10469,C10445,C10421,C10397,C10373,C10349,C10325)/POBLA!$B$4*100000</f>
        <v>161.63833360591298</v>
      </c>
    </row>
    <row r="10470" spans="1:13" x14ac:dyDescent="0.25">
      <c r="A10470" s="402" t="s">
        <v>29</v>
      </c>
      <c r="B10470" s="2">
        <v>44329</v>
      </c>
      <c r="C10470" s="4">
        <v>222</v>
      </c>
      <c r="D10470" s="39">
        <f t="shared" si="992"/>
        <v>57315</v>
      </c>
      <c r="E10470" s="1">
        <v>1</v>
      </c>
      <c r="F10470" s="39">
        <f t="shared" si="1001"/>
        <v>938</v>
      </c>
      <c r="G10470" s="169">
        <f>SUM(C10470,C10446,C10422,C10398,C10374,C10350,C10326,C10302,C10278,C10254,C10230,C10206,C10182,C10158)/POBLA!$B$5*100000</f>
        <v>413.41273097962176</v>
      </c>
      <c r="H10470" s="258">
        <f t="shared" si="1000"/>
        <v>0.99070847851335653</v>
      </c>
      <c r="I10470" s="310">
        <f t="shared" si="1002"/>
        <v>409.57149770687266</v>
      </c>
      <c r="J10470" s="552">
        <f t="shared" si="1003"/>
        <v>210.14285714285714</v>
      </c>
      <c r="K10470" s="310">
        <f>J10470/POBLA!$B$5*100000</f>
        <v>33.949094360019181</v>
      </c>
      <c r="L10470" s="202">
        <f t="shared" si="1004"/>
        <v>-0.35202205882352944</v>
      </c>
      <c r="M10470" s="512">
        <f>SUM(C10470,C10446,C10422,C10398,C10374,C10350,C10326)/POBLA!$B$5*100000</f>
        <v>237.64366052013429</v>
      </c>
    </row>
    <row r="10471" spans="1:13" x14ac:dyDescent="0.25">
      <c r="A10471" s="402" t="s">
        <v>30</v>
      </c>
      <c r="B10471" s="2">
        <v>44329</v>
      </c>
      <c r="C10471" s="4">
        <v>448</v>
      </c>
      <c r="D10471" s="39">
        <f t="shared" si="992"/>
        <v>39931</v>
      </c>
      <c r="E10471" s="1">
        <v>7</v>
      </c>
      <c r="F10471" s="39">
        <f t="shared" si="1001"/>
        <v>546</v>
      </c>
      <c r="G10471" s="169">
        <f>SUM(C10471,C10447,C10423,C10399,C10375,C10351,C10327,C10303,C10279,C10255,C10231,C10207,C10183,C10159)/POBLA!$B$6*100000</f>
        <v>227.15896934424575</v>
      </c>
      <c r="H10471" s="258">
        <f t="shared" si="1000"/>
        <v>0.76895197825430384</v>
      </c>
      <c r="I10471" s="310">
        <f t="shared" si="1002"/>
        <v>174.67433885546652</v>
      </c>
      <c r="J10471" s="552">
        <f t="shared" si="1003"/>
        <v>192.71428571428572</v>
      </c>
      <c r="K10471" s="310">
        <f>J10471/POBLA!$B$6*100000</f>
        <v>17.194335632666792</v>
      </c>
      <c r="L10471" s="202">
        <f t="shared" si="1004"/>
        <v>-0.12698412698412698</v>
      </c>
      <c r="M10471" s="512">
        <f>SUM(C10471,C10447,C10423,C10399,C10375,C10351,C10327)/POBLA!$B$6*100000</f>
        <v>120.36034942866753</v>
      </c>
    </row>
    <row r="10472" spans="1:13" x14ac:dyDescent="0.25">
      <c r="A10472" s="402" t="s">
        <v>20</v>
      </c>
      <c r="B10472" s="2">
        <v>44329</v>
      </c>
      <c r="C10472" s="4">
        <v>2669</v>
      </c>
      <c r="D10472" s="39">
        <f t="shared" si="992"/>
        <v>249769</v>
      </c>
      <c r="E10472" s="1">
        <v>16</v>
      </c>
      <c r="F10472" s="39">
        <f t="shared" si="1001"/>
        <v>3575</v>
      </c>
      <c r="G10472" s="169">
        <f>SUM(C10472,C10448,C10424,C10400,C10376,C10352,C10328,C10304,C10280,C10256,C10232,C10208,C10184,C10160)/POBLA!$B$7*100000</f>
        <v>646.43859112606208</v>
      </c>
      <c r="H10472" s="258">
        <f t="shared" si="1000"/>
        <v>1.0469443128472371</v>
      </c>
      <c r="I10472" s="310">
        <f t="shared" si="1002"/>
        <v>676.78520658441107</v>
      </c>
      <c r="J10472" s="552">
        <f t="shared" si="1003"/>
        <v>1931.7142857142858</v>
      </c>
      <c r="K10472" s="310">
        <f>J10472/POBLA!$B$7*100000</f>
        <v>51.369232025802383</v>
      </c>
      <c r="L10472" s="202">
        <f t="shared" si="1004"/>
        <v>-0.25354593492166488</v>
      </c>
      <c r="M10472" s="512">
        <f>SUM(C10472,C10448,C10424,C10400,C10376,C10352,C10328)/POBLA!$B$7*100000</f>
        <v>359.58462418061669</v>
      </c>
    </row>
    <row r="10473" spans="1:13" x14ac:dyDescent="0.25">
      <c r="A10473" s="402" t="s">
        <v>31</v>
      </c>
      <c r="B10473" s="2">
        <v>44329</v>
      </c>
      <c r="C10473" s="589">
        <v>806</v>
      </c>
      <c r="D10473" s="39">
        <f t="shared" si="992"/>
        <v>70065</v>
      </c>
      <c r="E10473" s="1">
        <v>3</v>
      </c>
      <c r="F10473" s="39">
        <f t="shared" si="1001"/>
        <v>1121</v>
      </c>
      <c r="G10473" s="169">
        <f>SUM(C10473,C10449,C10425,C10401,C10377,C10353,C10329,C10305,C10281,C10257,C10233,C10209,C10185,C10161)/POBLA!$B$8*100000</f>
        <v>554.70536328222806</v>
      </c>
      <c r="H10473" s="258">
        <f t="shared" si="1000"/>
        <v>1.0522857924993156</v>
      </c>
      <c r="I10473" s="310">
        <f t="shared" si="1002"/>
        <v>583.70857280506016</v>
      </c>
      <c r="J10473" s="552">
        <f t="shared" si="1003"/>
        <v>580.85714285714289</v>
      </c>
      <c r="K10473" s="310">
        <f>J10473/POBLA!$B$8*100000</f>
        <v>41.910064053544282</v>
      </c>
      <c r="L10473" s="202">
        <f t="shared" si="1004"/>
        <v>-0.12258420762009936</v>
      </c>
      <c r="M10473" s="512">
        <f>SUM(C10473,C10449,C10425,C10401,C10377,C10353,C10329)/POBLA!$B$8*100000</f>
        <v>293.37044837481</v>
      </c>
    </row>
    <row r="10474" spans="1:13" x14ac:dyDescent="0.25">
      <c r="A10474" s="402" t="s">
        <v>41</v>
      </c>
      <c r="B10474" s="2">
        <v>44329</v>
      </c>
      <c r="C10474" s="4">
        <v>144</v>
      </c>
      <c r="D10474" s="39">
        <f t="shared" si="992"/>
        <v>6889</v>
      </c>
      <c r="E10474" s="1">
        <v>10</v>
      </c>
      <c r="F10474" s="39">
        <f t="shared" si="1001"/>
        <v>138</v>
      </c>
      <c r="G10474" s="169">
        <f>SUM(C10474,C10450,C10426,C10402,C10378,C10354,C10330,C10306,C10282,C10258,C10234,C10210,C10186,C10162)/POBLA!$B$9*100000</f>
        <v>392.60202943523797</v>
      </c>
      <c r="H10474" s="258">
        <f t="shared" si="1000"/>
        <v>1.9899497487437185</v>
      </c>
      <c r="I10474" s="310">
        <f t="shared" si="1002"/>
        <v>781.25830983092578</v>
      </c>
      <c r="J10474" s="552">
        <f t="shared" si="1003"/>
        <v>207.14285714285714</v>
      </c>
      <c r="K10474" s="310">
        <f>J10474/POBLA!$B$9*100000</f>
        <v>34.227569906270745</v>
      </c>
      <c r="L10474" s="202">
        <f t="shared" si="1004"/>
        <v>-0.56587473002159827</v>
      </c>
      <c r="M10474" s="512">
        <f>SUM(C10474,C10450,C10426,C10402,C10378,C10354,C10330)/POBLA!$B$9*100000</f>
        <v>239.59298934389523</v>
      </c>
    </row>
    <row r="10475" spans="1:13" x14ac:dyDescent="0.25">
      <c r="A10475" s="402" t="s">
        <v>32</v>
      </c>
      <c r="B10475" s="2">
        <v>44329</v>
      </c>
      <c r="C10475" s="4">
        <v>95</v>
      </c>
      <c r="D10475" s="39">
        <f t="shared" si="992"/>
        <v>25989</v>
      </c>
      <c r="F10475" s="39">
        <f t="shared" si="1001"/>
        <v>1063</v>
      </c>
      <c r="G10475" s="169">
        <f>SUM(C10475,C10451,C10427,C10403,C10379,C10355,C10331,C10307,C10283,C10259,C10235,C10211,C10187,C10163)/POBLA!$B$10*100000</f>
        <v>157.09298841195982</v>
      </c>
      <c r="H10475" s="258">
        <f t="shared" si="1000"/>
        <v>0.85341789992952788</v>
      </c>
      <c r="I10475" s="310">
        <f t="shared" si="1002"/>
        <v>134.0659682641884</v>
      </c>
      <c r="J10475" s="552">
        <f t="shared" si="1003"/>
        <v>86.857142857142861</v>
      </c>
      <c r="K10475" s="310">
        <f>J10475/POBLA!$B$10*100000</f>
        <v>11.267256925147054</v>
      </c>
      <c r="L10475" s="202">
        <f t="shared" si="1004"/>
        <v>-8.2918739635158278E-3</v>
      </c>
      <c r="M10475" s="512">
        <f>SUM(C10475,C10451,C10427,C10403,C10379,C10355,C10331)/POBLA!$B$10*100000</f>
        <v>78.870798476029378</v>
      </c>
    </row>
    <row r="10476" spans="1:13" x14ac:dyDescent="0.25">
      <c r="A10476" s="402" t="s">
        <v>33</v>
      </c>
      <c r="B10476" s="2">
        <v>44329</v>
      </c>
      <c r="C10476" s="4">
        <v>643</v>
      </c>
      <c r="D10476" s="39">
        <f t="shared" si="992"/>
        <v>32187</v>
      </c>
      <c r="E10476" s="1">
        <v>3</v>
      </c>
      <c r="F10476" s="39">
        <f t="shared" si="1001"/>
        <v>438</v>
      </c>
      <c r="G10476" s="169">
        <f>SUM(C10476,C10452,C10428,C10404,C10380,C10356,C10332,C10308,C10284,C10260,C10236,C10212,C10188,C10164)/POBLA!$B$11*100000</f>
        <v>1497.9298492305288</v>
      </c>
      <c r="H10476" s="258">
        <f t="shared" si="1000"/>
        <v>1.5379547407619594</v>
      </c>
      <c r="I10476" s="310">
        <f t="shared" si="1002"/>
        <v>2303.7483129529387</v>
      </c>
      <c r="J10476" s="552">
        <f t="shared" si="1003"/>
        <v>450.14285714285717</v>
      </c>
      <c r="K10476" s="310">
        <f>J10476/POBLA!$B$11*100000</f>
        <v>125.58808383911334</v>
      </c>
      <c r="L10476" s="202">
        <f t="shared" si="1004"/>
        <v>-0.42064923354373307</v>
      </c>
      <c r="M10476" s="512">
        <f>SUM(C10476,C10452,C10428,C10404,C10380,C10356,C10332)/POBLA!$B$11*100000</f>
        <v>879.11658687379338</v>
      </c>
    </row>
    <row r="10477" spans="1:13" x14ac:dyDescent="0.25">
      <c r="A10477" s="402" t="s">
        <v>21</v>
      </c>
      <c r="B10477" s="2">
        <v>44329</v>
      </c>
      <c r="C10477" s="4">
        <v>26</v>
      </c>
      <c r="D10477" s="39">
        <f t="shared" si="992"/>
        <v>14446</v>
      </c>
      <c r="F10477" s="39">
        <f t="shared" si="1001"/>
        <v>504</v>
      </c>
      <c r="G10477" s="169">
        <f>SUM(C10477,C10453,C10429,C10405,C10381,C10357,C10333,C10309,C10285,C10261,C10237,C10213,C10189,C10165)/POBLA!$B$12*100000</f>
        <v>284.85684736399418</v>
      </c>
      <c r="H10477" s="258">
        <f t="shared" si="1000"/>
        <v>1.082046332046332</v>
      </c>
      <c r="I10477" s="310">
        <f t="shared" si="1002"/>
        <v>308.2283068484918</v>
      </c>
      <c r="J10477" s="552">
        <f t="shared" si="1003"/>
        <v>63.857142857142854</v>
      </c>
      <c r="K10477" s="310">
        <f>J10477/POBLA!$B$12*100000</f>
        <v>16.226712217625259</v>
      </c>
      <c r="L10477" s="202">
        <f t="shared" si="1004"/>
        <v>0.33679525222551931</v>
      </c>
      <c r="M10477" s="512">
        <f>SUM(C10477,C10453,C10429,C10405,C10381,C10357,C10333)/POBLA!$B$12*100000</f>
        <v>113.58698552337682</v>
      </c>
    </row>
    <row r="10478" spans="1:13" x14ac:dyDescent="0.25">
      <c r="A10478" s="402" t="s">
        <v>17</v>
      </c>
      <c r="B10478" s="2">
        <v>44329</v>
      </c>
      <c r="C10478" s="4">
        <v>995</v>
      </c>
      <c r="D10478" s="39">
        <f t="shared" si="992"/>
        <v>106321</v>
      </c>
      <c r="E10478" s="1">
        <v>12</v>
      </c>
      <c r="F10478" s="39">
        <f t="shared" si="1001"/>
        <v>2109</v>
      </c>
      <c r="G10478" s="169">
        <f>SUM(C10478,C10454,C10430,C10406,C10382,C10358,C10334,C10310,C10286,C10262,C10238,C10214,C10190,C10166)/POBLA!$B$13*100000</f>
        <v>534.53232566528902</v>
      </c>
      <c r="H10478" s="258">
        <f t="shared" si="1000"/>
        <v>0.88525545015809615</v>
      </c>
      <c r="I10478" s="310">
        <f t="shared" si="1002"/>
        <v>473.19765458087949</v>
      </c>
      <c r="J10478" s="552">
        <f t="shared" si="1003"/>
        <v>804</v>
      </c>
      <c r="K10478" s="310">
        <f>J10478/POBLA!$B$13*100000</f>
        <v>40.395148964648214</v>
      </c>
      <c r="L10478" s="202">
        <f t="shared" si="1004"/>
        <v>-0.12312911594492126</v>
      </c>
      <c r="M10478" s="512">
        <f>SUM(C10478,C10454,C10430,C10406,C10382,C10358,C10334)/POBLA!$B$13*100000</f>
        <v>282.76604275253749</v>
      </c>
    </row>
    <row r="10479" spans="1:13" x14ac:dyDescent="0.25">
      <c r="A10479" s="402" t="s">
        <v>23</v>
      </c>
      <c r="B10479" s="2">
        <v>44329</v>
      </c>
      <c r="C10479" s="4">
        <v>164</v>
      </c>
      <c r="D10479" s="39">
        <f t="shared" si="992"/>
        <v>17501</v>
      </c>
      <c r="E10479" s="1">
        <v>7</v>
      </c>
      <c r="F10479" s="39">
        <f t="shared" si="1001"/>
        <v>252</v>
      </c>
      <c r="G10479" s="169">
        <f>SUM(C10479,C10455,C10431,C10407,C10383,C10359,C10335,C10311,C10287,C10263,C10239,C10215,C10191,C10167)/POBLA!$B$14*100000</f>
        <v>157.29877411610616</v>
      </c>
      <c r="H10479" s="258">
        <f t="shared" si="1000"/>
        <v>1.2097560975609756</v>
      </c>
      <c r="I10479" s="310">
        <f t="shared" si="1002"/>
        <v>190.29315112582597</v>
      </c>
      <c r="J10479" s="552">
        <f t="shared" si="1003"/>
        <v>163.71428571428572</v>
      </c>
      <c r="K10479" s="310">
        <f>J10479/POBLA!$B$14*100000</f>
        <v>12.979867161366478</v>
      </c>
      <c r="L10479" s="202">
        <f t="shared" si="1004"/>
        <v>-0.36754176610978528</v>
      </c>
      <c r="M10479" s="512">
        <f>SUM(C10479,C10455,C10431,C10407,C10383,C10359,C10335)/POBLA!$B$14*100000</f>
        <v>90.859070129565353</v>
      </c>
    </row>
    <row r="10480" spans="1:13" x14ac:dyDescent="0.25">
      <c r="A10480" s="402" t="s">
        <v>19</v>
      </c>
      <c r="B10480" s="2">
        <v>44329</v>
      </c>
      <c r="C10480" s="4">
        <v>649</v>
      </c>
      <c r="D10480" s="39">
        <f t="shared" si="992"/>
        <v>77043</v>
      </c>
      <c r="E10480" s="1">
        <v>6</v>
      </c>
      <c r="F10480" s="39">
        <f t="shared" si="1001"/>
        <v>1145</v>
      </c>
      <c r="G10480" s="169">
        <f>SUM(C10480,C10456,C10432,C10408,C10384,C10360,C10336,C10312,C10288,C10264,C10240,C10216,C10192,C10168)/POBLA!$B$15*100000</f>
        <v>944.64782390668267</v>
      </c>
      <c r="H10480" s="258">
        <f t="shared" si="1000"/>
        <v>1.8015508328546812</v>
      </c>
      <c r="I10480" s="310">
        <f t="shared" si="1002"/>
        <v>1701.8310739134465</v>
      </c>
      <c r="J10480" s="552">
        <f t="shared" si="1003"/>
        <v>514.57142857142856</v>
      </c>
      <c r="K10480" s="310">
        <f>J10480/POBLA!$B$15*100000</f>
        <v>77.489045152965559</v>
      </c>
      <c r="L10480" s="202">
        <f t="shared" si="1004"/>
        <v>-0.34855859228753272</v>
      </c>
      <c r="M10480" s="512">
        <f>SUM(C10480,C10456,C10432,C10408,C10384,C10360,C10336)/POBLA!$B$15*100000</f>
        <v>542.42331607075903</v>
      </c>
    </row>
    <row r="10481" spans="1:13" x14ac:dyDescent="0.25">
      <c r="A10481" s="402" t="s">
        <v>18</v>
      </c>
      <c r="B10481" s="2">
        <v>44329</v>
      </c>
      <c r="C10481" s="4">
        <v>555</v>
      </c>
      <c r="D10481" s="39">
        <f t="shared" si="992"/>
        <v>65571</v>
      </c>
      <c r="E10481" s="1">
        <v>3</v>
      </c>
      <c r="F10481" s="39">
        <f t="shared" si="1001"/>
        <v>1421</v>
      </c>
      <c r="G10481" s="169">
        <f>SUM(C10481,C10457,C10433,C10409,C10385,C10361,C10337,C10313,C10289,C10265,C10241,C10217,C10193,C10169)/POBLA!$B$16*100000</f>
        <v>589.21095223445377</v>
      </c>
      <c r="H10481" s="258">
        <f t="shared" si="1000"/>
        <v>1.2514204545454546</v>
      </c>
      <c r="I10481" s="310">
        <f t="shared" si="1002"/>
        <v>737.35063766840028</v>
      </c>
      <c r="J10481" s="552">
        <f t="shared" si="1003"/>
        <v>350.57142857142856</v>
      </c>
      <c r="K10481" s="310">
        <f>J10481/POBLA!$B$16*100000</f>
        <v>46.89228723150152</v>
      </c>
      <c r="L10481" s="202">
        <f t="shared" si="1004"/>
        <v>-0.25781650435674019</v>
      </c>
      <c r="M10481" s="512">
        <f>SUM(C10481,C10457,C10433,C10409,C10385,C10361,C10337)/POBLA!$B$16*100000</f>
        <v>328.24601062051067</v>
      </c>
    </row>
    <row r="10482" spans="1:13" x14ac:dyDescent="0.25">
      <c r="A10482" s="402" t="s">
        <v>34</v>
      </c>
      <c r="B10482" s="2">
        <v>44329</v>
      </c>
      <c r="C10482" s="4">
        <v>261</v>
      </c>
      <c r="D10482" s="39">
        <f t="shared" si="992"/>
        <v>37670</v>
      </c>
      <c r="E10482" s="1">
        <v>1</v>
      </c>
      <c r="F10482" s="39">
        <f t="shared" si="1001"/>
        <v>1309</v>
      </c>
      <c r="G10482" s="169">
        <f>SUM(C10482,C10458,C10434,C10410,C10386,C10362,C10338,C10314,C10290,C10266,C10242,C10218,C10194,C10170)/POBLA!$B$17*100000</f>
        <v>221.14621134416879</v>
      </c>
      <c r="H10482" s="258">
        <f t="shared" ref="H10482:H10505" si="1005">SUM(C10482,C10458,C10434,C10410,C10386,C10362,C10338,C10314,C10290,C10266,C10242,C10218,C10194,C10170)/SUM(C10146,C10122,C10098,C10074,C10050,C10026,C10002,C9978,C9954,C9930,C9906,C9882,C9858,C9834)</f>
        <v>1.189127972819932</v>
      </c>
      <c r="I10482" s="310">
        <f t="shared" si="1002"/>
        <v>262.97114599249966</v>
      </c>
      <c r="J10482" s="552">
        <f t="shared" si="1003"/>
        <v>254.42857142857142</v>
      </c>
      <c r="K10482" s="310">
        <f>J10482/POBLA!$B$17*100000</f>
        <v>17.862195120361207</v>
      </c>
      <c r="L10482" s="202">
        <f t="shared" si="1004"/>
        <v>-0.30094959824689549</v>
      </c>
      <c r="M10482" s="512">
        <f>SUM(C10482,C10458,C10434,C10410,C10386,C10362,C10338)/POBLA!$B$17*100000</f>
        <v>125.03536584252846</v>
      </c>
    </row>
    <row r="10483" spans="1:13" x14ac:dyDescent="0.25">
      <c r="A10483" s="402" t="s">
        <v>35</v>
      </c>
      <c r="B10483" s="2">
        <v>44329</v>
      </c>
      <c r="C10483" s="4">
        <v>568</v>
      </c>
      <c r="D10483" s="39">
        <f t="shared" ref="D10483:D10546" si="1006">C10483+D10459</f>
        <v>28048</v>
      </c>
      <c r="E10483" s="1">
        <v>16</v>
      </c>
      <c r="F10483" s="39">
        <f t="shared" si="1001"/>
        <v>537</v>
      </c>
      <c r="G10483" s="169">
        <f>SUM(C10483,C10459,C10435,C10411,C10387,C10363,C10339,C10315,C10291,C10267,C10243,C10219,C10195,C10171)/POBLA!$B$18*100000</f>
        <v>604.44153161029521</v>
      </c>
      <c r="H10483" s="258">
        <f t="shared" si="1005"/>
        <v>1.3365411831304841</v>
      </c>
      <c r="I10483" s="310">
        <f t="shared" si="1002"/>
        <v>807.86099979162589</v>
      </c>
      <c r="J10483" s="552">
        <f t="shared" si="1003"/>
        <v>366.57142857142856</v>
      </c>
      <c r="K10483" s="310">
        <f>J10483/POBLA!$B$18*100000</f>
        <v>46.923124889938208</v>
      </c>
      <c r="L10483" s="202">
        <f t="shared" si="1004"/>
        <v>-0.19016697588126164</v>
      </c>
      <c r="M10483" s="512">
        <f>SUM(C10483,C10459,C10435,C10411,C10387,C10363,C10339)/POBLA!$B$18*100000</f>
        <v>328.46187422956746</v>
      </c>
    </row>
    <row r="10484" spans="1:13" x14ac:dyDescent="0.25">
      <c r="A10484" s="402" t="s">
        <v>36</v>
      </c>
      <c r="B10484" s="2">
        <v>44329</v>
      </c>
      <c r="C10484" s="4">
        <v>587</v>
      </c>
      <c r="D10484" s="39">
        <f t="shared" si="1006"/>
        <v>43419</v>
      </c>
      <c r="E10484" s="1">
        <v>8</v>
      </c>
      <c r="F10484" s="39">
        <f t="shared" si="1001"/>
        <v>581</v>
      </c>
      <c r="G10484" s="169">
        <f>SUM(C10484,C10460,C10436,C10412,C10388,C10364,C10340,C10316,C10292,C10268,C10244,C10220,C10196,C10172)/POBLA!$B$19*100000</f>
        <v>1272.2100690892494</v>
      </c>
      <c r="H10484" s="258">
        <f t="shared" si="1005"/>
        <v>0.75171451819132862</v>
      </c>
      <c r="I10484" s="310">
        <f t="shared" si="1002"/>
        <v>956.33877912358196</v>
      </c>
      <c r="J10484" s="552">
        <f t="shared" si="1003"/>
        <v>490.42857142857144</v>
      </c>
      <c r="K10484" s="310">
        <f>J10484/POBLA!$B$19*100000</f>
        <v>96.478763992652659</v>
      </c>
      <c r="L10484" s="202">
        <f t="shared" si="1004"/>
        <v>-0.1315095583388266</v>
      </c>
      <c r="M10484" s="512">
        <f>SUM(C10484,C10460,C10436,C10412,C10388,C10364,C10340)/POBLA!$B$19*100000</f>
        <v>675.35134794856867</v>
      </c>
    </row>
    <row r="10485" spans="1:13" x14ac:dyDescent="0.25">
      <c r="A10485" s="402" t="s">
        <v>37</v>
      </c>
      <c r="B10485" s="2">
        <v>44329</v>
      </c>
      <c r="C10485" s="4">
        <v>209</v>
      </c>
      <c r="D10485" s="39">
        <f t="shared" si="1006"/>
        <v>47459</v>
      </c>
      <c r="E10485" s="1">
        <v>5</v>
      </c>
      <c r="F10485" s="39">
        <f t="shared" si="1001"/>
        <v>745</v>
      </c>
      <c r="G10485" s="169">
        <f>SUM(C10485,C10461,C10437,C10413,C10389,C10365,C10341,C10317,C10293,C10269,C10245,C10221,C10197,C10173)/POBLA!$B$20*100000</f>
        <v>811.32519182494855</v>
      </c>
      <c r="H10485" s="258">
        <f t="shared" si="1005"/>
        <v>1.095642540620384</v>
      </c>
      <c r="I10485" s="310">
        <f t="shared" si="1002"/>
        <v>888.92239444040706</v>
      </c>
      <c r="J10485" s="552">
        <f t="shared" si="1003"/>
        <v>210.85714285714286</v>
      </c>
      <c r="K10485" s="310">
        <f>J10485/POBLA!$B$20*100000</f>
        <v>57.658817619222106</v>
      </c>
      <c r="L10485" s="202">
        <f t="shared" si="1004"/>
        <v>1.0060362173038184E-2</v>
      </c>
      <c r="M10485" s="512">
        <f>SUM(C10485,C10461,C10437,C10413,C10389,C10365,C10341)/POBLA!$B$20*100000</f>
        <v>403.61172333455477</v>
      </c>
    </row>
    <row r="10486" spans="1:13" x14ac:dyDescent="0.25">
      <c r="A10486" s="402" t="s">
        <v>22</v>
      </c>
      <c r="B10486" s="2">
        <v>44329</v>
      </c>
      <c r="C10486" s="4">
        <v>2181</v>
      </c>
      <c r="D10486" s="39">
        <f t="shared" si="1006"/>
        <v>297001</v>
      </c>
      <c r="E10486" s="1">
        <v>28</v>
      </c>
      <c r="F10486" s="39">
        <f t="shared" si="1001"/>
        <v>4891</v>
      </c>
      <c r="G10486" s="169">
        <f>SUM(C10486,C10462,C10438,C10414,C10390,C10366,C10342,C10318,C10294,C10270,C10246,C10222,C10198,C10174)/POBLA!$B$21*100000</f>
        <v>694.94047366572613</v>
      </c>
      <c r="H10486" s="258">
        <f t="shared" si="1005"/>
        <v>1.0338213023725391</v>
      </c>
      <c r="I10486" s="310">
        <f t="shared" si="1002"/>
        <v>718.44426555649022</v>
      </c>
      <c r="J10486" s="552">
        <f t="shared" si="1003"/>
        <v>1785.4285714285713</v>
      </c>
      <c r="K10486" s="310">
        <f>J10486/POBLA!$B$21*100000</f>
        <v>50.486921269730317</v>
      </c>
      <c r="L10486" s="202">
        <f t="shared" si="1004"/>
        <v>-3.4773969200198707E-2</v>
      </c>
      <c r="M10486" s="512">
        <f>SUM(C10486,C10462,C10438,C10414,C10390,C10366,C10342)/POBLA!$B$21*100000</f>
        <v>353.40844888811222</v>
      </c>
    </row>
    <row r="10487" spans="1:13" x14ac:dyDescent="0.25">
      <c r="A10487" s="402" t="s">
        <v>38</v>
      </c>
      <c r="B10487" s="2">
        <v>44329</v>
      </c>
      <c r="C10487" s="4">
        <v>403</v>
      </c>
      <c r="D10487" s="39">
        <f t="shared" si="1006"/>
        <v>34000</v>
      </c>
      <c r="E10487" s="1">
        <v>3</v>
      </c>
      <c r="F10487" s="39">
        <f t="shared" si="1001"/>
        <v>392</v>
      </c>
      <c r="G10487" s="169">
        <f>SUM(C10487,C10463,C10439,C10415,C10391,C10367,C10343,C10319,C10295,C10271,C10247,C10223,C10199,C10175)/POBLA!$B$22*100000</f>
        <v>359.49639839192571</v>
      </c>
      <c r="H10487" s="258">
        <f t="shared" si="1005"/>
        <v>1.1817876344086022</v>
      </c>
      <c r="I10487" s="310">
        <f t="shared" si="1002"/>
        <v>424.84839823400631</v>
      </c>
      <c r="J10487" s="552">
        <f t="shared" si="1003"/>
        <v>299.14285714285717</v>
      </c>
      <c r="K10487" s="310">
        <f>J10487/POBLA!$B$22*100000</f>
        <v>30.577418182407591</v>
      </c>
      <c r="L10487" s="202">
        <f t="shared" si="1004"/>
        <v>-0.47153900210822197</v>
      </c>
      <c r="M10487" s="512">
        <f>SUM(C10487,C10463,C10439,C10415,C10391,C10367,C10343)/POBLA!$B$22*100000</f>
        <v>214.0419272768531</v>
      </c>
    </row>
    <row r="10488" spans="1:13" x14ac:dyDescent="0.25">
      <c r="A10488" s="402" t="s">
        <v>39</v>
      </c>
      <c r="B10488" s="2">
        <v>44329</v>
      </c>
      <c r="C10488" s="4">
        <v>117</v>
      </c>
      <c r="D10488" s="39">
        <f t="shared" si="1006"/>
        <v>27358</v>
      </c>
      <c r="E10488" s="1">
        <v>2</v>
      </c>
      <c r="F10488" s="39">
        <f t="shared" si="1001"/>
        <v>404</v>
      </c>
      <c r="G10488" s="169">
        <f>SUM(C10488,C10464,C10440,C10416,C10392,C10368,C10344,C10320,C10296,C10272,C10248,C10224,C10200,C10176)/POBLA!$B$23*100000</f>
        <v>558.16320760052031</v>
      </c>
      <c r="H10488" s="258">
        <f t="shared" si="1005"/>
        <v>0.86578947368421055</v>
      </c>
      <c r="I10488" s="310">
        <f t="shared" si="1002"/>
        <v>483.25182973834524</v>
      </c>
      <c r="J10488" s="552">
        <f t="shared" si="1003"/>
        <v>72.857142857142861</v>
      </c>
      <c r="K10488" s="310">
        <f>J10488/POBLA!$B$23*100000</f>
        <v>41.201799953143052</v>
      </c>
      <c r="L10488" s="202">
        <f t="shared" si="1004"/>
        <v>-6.9182389937106903E-2</v>
      </c>
      <c r="M10488" s="512">
        <f>SUM(C10488,C10464,C10440,C10416,C10392,C10368,C10344)/POBLA!$B$23*100000</f>
        <v>288.41259967200136</v>
      </c>
    </row>
    <row r="10489" spans="1:13" ht="15.75" thickBot="1" x14ac:dyDescent="0.3">
      <c r="A10489" s="404" t="s">
        <v>40</v>
      </c>
      <c r="B10489" s="268">
        <v>44329</v>
      </c>
      <c r="C10489" s="390">
        <v>760</v>
      </c>
      <c r="D10489" s="177">
        <f t="shared" si="1006"/>
        <v>113359</v>
      </c>
      <c r="E10489" s="44">
        <v>7</v>
      </c>
      <c r="F10489" s="177">
        <f t="shared" si="1001"/>
        <v>1745</v>
      </c>
      <c r="G10489" s="178">
        <f>SUM(C10489,C10465,C10441,C10417,C10393,C10369,C10345,C10321,C10297,C10273,C10249,C10225,C10201,C10177)/POBLA!$B$24*100000</f>
        <v>454.36950035877487</v>
      </c>
      <c r="H10489" s="513">
        <f t="shared" si="1005"/>
        <v>0.80975917551793042</v>
      </c>
      <c r="I10489" s="514">
        <f t="shared" si="1002"/>
        <v>367.92987199101555</v>
      </c>
      <c r="J10489" s="553">
        <f t="shared" si="1003"/>
        <v>576.71428571428567</v>
      </c>
      <c r="K10489" s="514">
        <f>J10489/POBLA!$B$24*100000</f>
        <v>34.031348292177626</v>
      </c>
      <c r="L10489" s="515">
        <f t="shared" si="1004"/>
        <v>-0.10210210210210202</v>
      </c>
      <c r="M10489" s="516">
        <f>SUM(C10489,C10465,C10441,C10417,C10393,C10369,C10345)/POBLA!$B$24*100000</f>
        <v>238.21943804524341</v>
      </c>
    </row>
    <row r="10490" spans="1:13" x14ac:dyDescent="0.25">
      <c r="A10490" s="409" t="s">
        <v>16</v>
      </c>
      <c r="B10490" s="269">
        <v>44330</v>
      </c>
      <c r="C10490" s="546">
        <v>11294</v>
      </c>
      <c r="D10490" s="264">
        <f t="shared" si="1006"/>
        <v>1425593</v>
      </c>
      <c r="E10490" s="227">
        <v>391</v>
      </c>
      <c r="F10490" s="264">
        <f t="shared" ref="F10490:F10513" si="1007">E10490+F10466</f>
        <v>36190</v>
      </c>
      <c r="G10490" s="583">
        <f>SUM(C10490,C10466,C10442,C10418,C10394,C10370,C10346,C10322,C10298,C10274,C10250,C10226,C10202,C10178)/POBLA!$B$1*100000</f>
        <v>716.51553339660177</v>
      </c>
      <c r="H10490" s="584">
        <f t="shared" si="1005"/>
        <v>0.81300050454739514</v>
      </c>
      <c r="I10490" s="585">
        <f>G10490*H10490</f>
        <v>582.52749016748317</v>
      </c>
      <c r="J10490" s="586">
        <f>AVERAGE(C10490,C10466,C10442,C10418,C10394,C10370,C10346)</f>
        <v>8917.7142857142862</v>
      </c>
      <c r="K10490" s="585">
        <f>J10490/POBLA!$B$1*100000</f>
        <v>50.838849569217224</v>
      </c>
      <c r="L10490" s="587">
        <f>1-(SUM(C10490,C10466,C10442,C10418,C10394,C10370,C10346)/SUM(C10322,C10298,C10274,C10250,C10226,C10202,C10178))</f>
        <v>1.3230900554844216E-2</v>
      </c>
      <c r="M10490" s="588">
        <f>SUM(C10490,C10466,C10442,C10418,C10394,C10370,C10346)/POBLA!$B$1*100000</f>
        <v>355.8719469845206</v>
      </c>
    </row>
    <row r="10491" spans="1:13" x14ac:dyDescent="0.25">
      <c r="A10491" s="402" t="s">
        <v>43</v>
      </c>
      <c r="B10491" s="2">
        <v>44330</v>
      </c>
      <c r="C10491" s="546">
        <v>2774</v>
      </c>
      <c r="D10491" s="39">
        <f t="shared" si="1006"/>
        <v>373966</v>
      </c>
      <c r="E10491" s="1">
        <v>37</v>
      </c>
      <c r="F10491" s="39">
        <f t="shared" si="1007"/>
        <v>8426</v>
      </c>
      <c r="G10491" s="169">
        <f>SUM(C10491,C10467,C10443,C10419,C10395,C10371,C10347,C10323,C10299,C10275,C10251,C10227,C10203,C10179)/POBLA!$B$2*100000</f>
        <v>1034.7744831492312</v>
      </c>
      <c r="H10491" s="258">
        <f t="shared" si="1005"/>
        <v>0.77138979107082262</v>
      </c>
      <c r="I10491" s="310">
        <f t="shared" ref="I10491:I10513" si="1008">G10491*H10491</f>
        <v>798.21447236190386</v>
      </c>
      <c r="J10491" s="552">
        <f t="shared" ref="J10491:J10513" si="1009">AVERAGE(C10491,C10467,C10443,C10419,C10395,C10371,C10347)</f>
        <v>2245.2857142857142</v>
      </c>
      <c r="K10491" s="310">
        <f>J10491/POBLA!$B$2*100000</f>
        <v>73.002085229760326</v>
      </c>
      <c r="L10491" s="202">
        <f>1-(SUM(C10491,C10467,C10443,C10419,C10395,C10371,C10347)/SUM(C10323,C10299,C10275,C10251,C10227,C10203,C10179))</f>
        <v>2.4334223105096475E-2</v>
      </c>
      <c r="M10491" s="512">
        <f>SUM(C10491,C10467,C10443,C10419,C10395,C10371,C10347)/POBLA!$B$2*100000</f>
        <v>511.01459660832228</v>
      </c>
    </row>
    <row r="10492" spans="1:13" x14ac:dyDescent="0.25">
      <c r="A10492" s="402" t="s">
        <v>28</v>
      </c>
      <c r="B10492" s="2">
        <v>44330</v>
      </c>
      <c r="C10492" s="546">
        <v>195</v>
      </c>
      <c r="D10492" s="39">
        <f t="shared" si="1006"/>
        <v>17232</v>
      </c>
      <c r="E10492" s="1">
        <v>6</v>
      </c>
      <c r="F10492" s="39">
        <f t="shared" si="1007"/>
        <v>121</v>
      </c>
      <c r="G10492" s="169">
        <f>SUM(C10492,C10468,C10444,C10420,C10396,C10372,C10348,C10324,C10300,C10276,C10252,C10228,C10204,C10180)/POBLA!$B$3*100000</f>
        <v>561.57597523577522</v>
      </c>
      <c r="H10492" s="258">
        <f t="shared" si="1005"/>
        <v>0.96925633568757785</v>
      </c>
      <c r="I10492" s="310">
        <f t="shared" si="1008"/>
        <v>544.31107196720541</v>
      </c>
      <c r="J10492" s="552">
        <f t="shared" si="1009"/>
        <v>192.71428571428572</v>
      </c>
      <c r="K10492" s="310">
        <f>J10492/POBLA!$B$3*100000</f>
        <v>46.388218149106656</v>
      </c>
      <c r="L10492" s="202">
        <f t="shared" ref="L10492:L10513" si="1010">1-(SUM(C10492,C10468,C10444,C10420,C10396,C10372,C10348)/SUM(C10324,C10300,C10276,C10252,C10228,C10204,C10180))</f>
        <v>-0.37093495934959342</v>
      </c>
      <c r="M10492" s="512">
        <f>SUM(C10492,C10468,C10444,C10420,C10396,C10372,C10348)/POBLA!$B$3*100000</f>
        <v>324.7175270437466</v>
      </c>
    </row>
    <row r="10493" spans="1:13" x14ac:dyDescent="0.25">
      <c r="A10493" s="402" t="s">
        <v>15</v>
      </c>
      <c r="B10493" s="2">
        <v>44330</v>
      </c>
      <c r="C10493" s="546">
        <v>487</v>
      </c>
      <c r="D10493" s="39">
        <f t="shared" si="1006"/>
        <v>48721</v>
      </c>
      <c r="E10493" s="1">
        <v>6</v>
      </c>
      <c r="F10493" s="39">
        <f t="shared" si="1007"/>
        <v>1102</v>
      </c>
      <c r="G10493" s="169">
        <f>SUM(C10493,C10469,C10445,C10421,C10397,C10373,C10349,C10325,C10301,C10277,C10253,C10229,C10205,C10181)/POBLA!$B$4*100000</f>
        <v>325.18610823541911</v>
      </c>
      <c r="H10493" s="258">
        <f t="shared" si="1005"/>
        <v>1.2758957654723126</v>
      </c>
      <c r="I10493" s="310">
        <f t="shared" si="1008"/>
        <v>414.90357848799238</v>
      </c>
      <c r="J10493" s="552">
        <f t="shared" si="1009"/>
        <v>297.28571428571428</v>
      </c>
      <c r="K10493" s="310">
        <f>J10493/POBLA!$B$4*100000</f>
        <v>24.680414721102419</v>
      </c>
      <c r="L10493" s="202">
        <f t="shared" si="1010"/>
        <v>-0.13344226579520702</v>
      </c>
      <c r="M10493" s="512">
        <f>SUM(C10493,C10469,C10445,C10421,C10397,C10373,C10349)/POBLA!$B$4*100000</f>
        <v>172.76290304771692</v>
      </c>
    </row>
    <row r="10494" spans="1:13" x14ac:dyDescent="0.25">
      <c r="A10494" s="402" t="s">
        <v>29</v>
      </c>
      <c r="B10494" s="2">
        <v>44330</v>
      </c>
      <c r="C10494" s="546">
        <v>245</v>
      </c>
      <c r="D10494" s="39">
        <f t="shared" si="1006"/>
        <v>57560</v>
      </c>
      <c r="E10494" s="1">
        <v>1</v>
      </c>
      <c r="F10494" s="39">
        <f t="shared" si="1007"/>
        <v>939</v>
      </c>
      <c r="G10494" s="169">
        <f>SUM(C10494,C10470,C10446,C10422,C10398,C10374,C10350,C10326,C10302,C10278,C10254,C10230,C10206,C10182)/POBLA!$B$5*100000</f>
        <v>433.60678778792681</v>
      </c>
      <c r="H10494" s="258">
        <f t="shared" si="1005"/>
        <v>1.1040723981900453</v>
      </c>
      <c r="I10494" s="310">
        <f t="shared" si="1008"/>
        <v>478.73328606449843</v>
      </c>
      <c r="J10494" s="552">
        <f t="shared" si="1009"/>
        <v>206</v>
      </c>
      <c r="K10494" s="310">
        <f>J10494/POBLA!$B$5*100000</f>
        <v>33.279805620086783</v>
      </c>
      <c r="L10494" s="202">
        <f t="shared" si="1010"/>
        <v>-0.16103059581320456</v>
      </c>
      <c r="M10494" s="512">
        <f>SUM(C10494,C10470,C10446,C10422,C10398,C10374,C10350)/POBLA!$B$5*100000</f>
        <v>232.95863934060748</v>
      </c>
    </row>
    <row r="10495" spans="1:13" x14ac:dyDescent="0.25">
      <c r="A10495" s="402" t="s">
        <v>30</v>
      </c>
      <c r="B10495" s="2">
        <v>44330</v>
      </c>
      <c r="C10495" s="546">
        <v>327</v>
      </c>
      <c r="D10495" s="39">
        <f t="shared" si="1006"/>
        <v>40258</v>
      </c>
      <c r="E10495" s="1">
        <v>7</v>
      </c>
      <c r="F10495" s="39">
        <f t="shared" si="1007"/>
        <v>553</v>
      </c>
      <c r="G10495" s="169">
        <f>SUM(C10495,C10471,C10447,C10423,C10399,C10375,C10351,C10327,C10303,C10279,C10255,C10231,C10207,C10183)/POBLA!$B$6*100000</f>
        <v>246.16323504350908</v>
      </c>
      <c r="H10495" s="258">
        <f t="shared" si="1005"/>
        <v>0.85259579728059331</v>
      </c>
      <c r="I10495" s="310">
        <f t="shared" si="1008"/>
        <v>209.87773964309071</v>
      </c>
      <c r="J10495" s="552">
        <f t="shared" si="1009"/>
        <v>220.28571428571428</v>
      </c>
      <c r="K10495" s="310">
        <f>J10495/POBLA!$B$6*100000</f>
        <v>19.654311004871897</v>
      </c>
      <c r="L10495" s="202">
        <f t="shared" si="1010"/>
        <v>-0.26705012325390309</v>
      </c>
      <c r="M10495" s="512">
        <f>SUM(C10495,C10471,C10447,C10423,C10399,C10375,C10351)/POBLA!$B$6*100000</f>
        <v>137.58017703410329</v>
      </c>
    </row>
    <row r="10496" spans="1:13" x14ac:dyDescent="0.25">
      <c r="A10496" s="402" t="s">
        <v>20</v>
      </c>
      <c r="B10496" s="2">
        <v>44330</v>
      </c>
      <c r="C10496" s="546">
        <v>2885</v>
      </c>
      <c r="D10496" s="39">
        <f t="shared" si="1006"/>
        <v>252654</v>
      </c>
      <c r="E10496" s="1">
        <v>10</v>
      </c>
      <c r="F10496" s="39">
        <f t="shared" si="1007"/>
        <v>3585</v>
      </c>
      <c r="G10496" s="169">
        <f>SUM(C10496,C10472,C10448,C10424,C10400,C10376,C10352,C10328,C10304,C10280,C10256,C10232,C10208,C10184)/POBLA!$B$7*100000</f>
        <v>673.96189285856747</v>
      </c>
      <c r="H10496" s="258">
        <f t="shared" si="1005"/>
        <v>1.1146589259796806</v>
      </c>
      <c r="I10496" s="310">
        <f t="shared" si="1008"/>
        <v>751.23763964496345</v>
      </c>
      <c r="J10496" s="552">
        <f t="shared" si="1009"/>
        <v>2117.7142857142858</v>
      </c>
      <c r="K10496" s="310">
        <f>J10496/POBLA!$B$7*100000</f>
        <v>56.315448569035247</v>
      </c>
      <c r="L10496" s="202">
        <f t="shared" si="1010"/>
        <v>-0.40912547528517118</v>
      </c>
      <c r="M10496" s="512">
        <f>SUM(C10496,C10472,C10448,C10424,C10400,C10376,C10352)/POBLA!$B$7*100000</f>
        <v>394.20813998324667</v>
      </c>
    </row>
    <row r="10497" spans="1:13" x14ac:dyDescent="0.25">
      <c r="A10497" s="402" t="s">
        <v>31</v>
      </c>
      <c r="B10497" s="2">
        <v>44330</v>
      </c>
      <c r="C10497" s="546">
        <v>925</v>
      </c>
      <c r="D10497" s="39">
        <f t="shared" si="1006"/>
        <v>70990</v>
      </c>
      <c r="E10497" s="1">
        <v>6</v>
      </c>
      <c r="F10497" s="39">
        <f t="shared" si="1007"/>
        <v>1127</v>
      </c>
      <c r="G10497" s="169">
        <f>SUM(C10497,C10473,C10449,C10425,C10401,C10377,C10353,C10329,C10305,C10281,C10257,C10233,C10209,C10185)/POBLA!$B$8*100000</f>
        <v>580.6801201476809</v>
      </c>
      <c r="H10497" s="258">
        <f t="shared" si="1005"/>
        <v>1.1108350586611455</v>
      </c>
      <c r="I10497" s="310">
        <f t="shared" si="1008"/>
        <v>645.03983532761015</v>
      </c>
      <c r="J10497" s="552">
        <f t="shared" si="1009"/>
        <v>607.14285714285711</v>
      </c>
      <c r="K10497" s="310">
        <f>J10497/POBLA!$B$8*100000</f>
        <v>43.806633602450368</v>
      </c>
      <c r="L10497" s="202">
        <f t="shared" si="1010"/>
        <v>-0.11901000526592953</v>
      </c>
      <c r="M10497" s="512">
        <f>SUM(C10497,C10473,C10449,C10425,C10401,C10377,C10353)/POBLA!$B$8*100000</f>
        <v>306.6464352171526</v>
      </c>
    </row>
    <row r="10498" spans="1:13" x14ac:dyDescent="0.25">
      <c r="A10498" s="402" t="s">
        <v>41</v>
      </c>
      <c r="B10498" s="2">
        <v>44330</v>
      </c>
      <c r="C10498" s="546">
        <v>49</v>
      </c>
      <c r="D10498" s="39">
        <f t="shared" si="1006"/>
        <v>6938</v>
      </c>
      <c r="E10498" s="1">
        <v>24</v>
      </c>
      <c r="F10498" s="39">
        <f t="shared" si="1007"/>
        <v>162</v>
      </c>
      <c r="G10498" s="169">
        <f>SUM(C10498,C10474,C10450,C10426,C10402,C10378,C10354,C10330,C10306,C10282,C10258,C10234,C10210,C10186)/POBLA!$B$9*100000</f>
        <v>398.88101812149176</v>
      </c>
      <c r="H10498" s="258">
        <f t="shared" si="1005"/>
        <v>2.170863309352518</v>
      </c>
      <c r="I10498" s="310">
        <f t="shared" si="1008"/>
        <v>865.91616703712327</v>
      </c>
      <c r="J10498" s="552">
        <f t="shared" si="1009"/>
        <v>167.57142857142858</v>
      </c>
      <c r="K10498" s="310">
        <f>J10498/POBLA!$B$9*100000</f>
        <v>27.68892379314179</v>
      </c>
      <c r="L10498" s="202">
        <f t="shared" si="1010"/>
        <v>5.4794520547945202E-2</v>
      </c>
      <c r="M10498" s="512">
        <f>SUM(C10498,C10474,C10450,C10426,C10402,C10378,C10354)/POBLA!$B$9*100000</f>
        <v>193.82246655199251</v>
      </c>
    </row>
    <row r="10499" spans="1:13" x14ac:dyDescent="0.25">
      <c r="A10499" s="402" t="s">
        <v>32</v>
      </c>
      <c r="B10499" s="2">
        <v>44330</v>
      </c>
      <c r="C10499" s="546">
        <v>97</v>
      </c>
      <c r="D10499" s="39">
        <f t="shared" si="1006"/>
        <v>26086</v>
      </c>
      <c r="F10499" s="39">
        <f t="shared" si="1007"/>
        <v>1063</v>
      </c>
      <c r="G10499" s="169">
        <f>SUM(C10499,C10475,C10451,C10427,C10403,C10379,C10355,C10331,C10307,C10283,C10259,C10235,C10211,C10187)/POBLA!$B$10*100000</f>
        <v>158.13076207611812</v>
      </c>
      <c r="H10499" s="258">
        <f t="shared" si="1005"/>
        <v>0.87383512544802866</v>
      </c>
      <c r="I10499" s="310">
        <f t="shared" si="1008"/>
        <v>138.18021431597705</v>
      </c>
      <c r="J10499" s="552">
        <f t="shared" si="1009"/>
        <v>82.714285714285708</v>
      </c>
      <c r="K10499" s="310">
        <f>J10499/POBLA!$B$10*100000</f>
        <v>10.729838420493657</v>
      </c>
      <c r="L10499" s="202">
        <f t="shared" si="1010"/>
        <v>9.5312500000000022E-2</v>
      </c>
      <c r="M10499" s="512">
        <f>SUM(C10499,C10475,C10451,C10427,C10403,C10379,C10355)/POBLA!$B$10*100000</f>
        <v>75.108868943455604</v>
      </c>
    </row>
    <row r="10500" spans="1:13" x14ac:dyDescent="0.25">
      <c r="A10500" s="402" t="s">
        <v>33</v>
      </c>
      <c r="B10500" s="2">
        <v>44330</v>
      </c>
      <c r="C10500" s="546">
        <v>650</v>
      </c>
      <c r="D10500" s="39">
        <f t="shared" si="1006"/>
        <v>32837</v>
      </c>
      <c r="E10500" s="1">
        <v>2</v>
      </c>
      <c r="F10500" s="39">
        <f t="shared" si="1007"/>
        <v>440</v>
      </c>
      <c r="G10500" s="169">
        <f>SUM(C10500,C10476,C10452,C10428,C10404,C10380,C10356,C10332,C10308,C10284,C10260,C10236,C10212,C10188)/POBLA!$B$11*100000</f>
        <v>1592.2305177050901</v>
      </c>
      <c r="H10500" s="258">
        <f t="shared" si="1005"/>
        <v>1.6800117750956727</v>
      </c>
      <c r="I10500" s="310">
        <f t="shared" si="1008"/>
        <v>2674.9660184112304</v>
      </c>
      <c r="J10500" s="552">
        <f t="shared" si="1009"/>
        <v>490.71428571428572</v>
      </c>
      <c r="K10500" s="310">
        <f>J10500/POBLA!$B$11*100000</f>
        <v>136.90735258246727</v>
      </c>
      <c r="L10500" s="202">
        <f t="shared" si="1010"/>
        <v>-0.51188380281690149</v>
      </c>
      <c r="M10500" s="512">
        <f>SUM(C10500,C10476,C10452,C10428,C10404,C10380,C10356)/POBLA!$B$11*100000</f>
        <v>958.35146807727074</v>
      </c>
    </row>
    <row r="10501" spans="1:13" x14ac:dyDescent="0.25">
      <c r="A10501" s="402" t="s">
        <v>21</v>
      </c>
      <c r="B10501" s="2">
        <v>44330</v>
      </c>
      <c r="C10501" s="546">
        <v>79</v>
      </c>
      <c r="D10501" s="39">
        <f t="shared" si="1006"/>
        <v>14525</v>
      </c>
      <c r="E10501" s="1">
        <v>7</v>
      </c>
      <c r="F10501" s="39">
        <f t="shared" si="1007"/>
        <v>511</v>
      </c>
      <c r="G10501" s="169">
        <f>SUM(C10501,C10477,C10453,C10429,C10405,C10381,C10357,C10333,C10309,C10285,C10261,C10237,C10213,C10189)/POBLA!$B$12*100000</f>
        <v>293.49657333221523</v>
      </c>
      <c r="H10501" s="258">
        <f t="shared" si="1005"/>
        <v>1.1821903787103378</v>
      </c>
      <c r="I10501" s="310">
        <f t="shared" si="1008"/>
        <v>346.96882517779795</v>
      </c>
      <c r="J10501" s="552">
        <f t="shared" si="1009"/>
        <v>63</v>
      </c>
      <c r="K10501" s="310">
        <f>J10501/POBLA!$B$12*100000</f>
        <v>16.008903999939015</v>
      </c>
      <c r="L10501" s="202">
        <f t="shared" si="1010"/>
        <v>0.38235294117647056</v>
      </c>
      <c r="M10501" s="512">
        <f>SUM(C10501,C10477,C10453,C10429,C10405,C10381,C10357)/POBLA!$B$12*100000</f>
        <v>112.06232799957309</v>
      </c>
    </row>
    <row r="10502" spans="1:13" x14ac:dyDescent="0.25">
      <c r="A10502" s="402" t="s">
        <v>17</v>
      </c>
      <c r="B10502" s="2">
        <v>44330</v>
      </c>
      <c r="C10502" s="546">
        <v>1060</v>
      </c>
      <c r="D10502" s="39">
        <f t="shared" si="1006"/>
        <v>107381</v>
      </c>
      <c r="E10502" s="1">
        <v>32</v>
      </c>
      <c r="F10502" s="39">
        <f t="shared" si="1007"/>
        <v>2141</v>
      </c>
      <c r="G10502" s="169">
        <f>SUM(C10502,C10478,C10454,C10430,C10406,C10382,C10358,C10334,C10310,C10286,C10262,C10238,C10214,C10190)/POBLA!$B$13*100000</f>
        <v>546.59057908757211</v>
      </c>
      <c r="H10502" s="258">
        <f t="shared" si="1005"/>
        <v>0.93078370978781655</v>
      </c>
      <c r="I10502" s="310">
        <f t="shared" si="1008"/>
        <v>508.75760693820132</v>
      </c>
      <c r="J10502" s="552">
        <f t="shared" si="1009"/>
        <v>823.57142857142856</v>
      </c>
      <c r="K10502" s="310">
        <f>J10502/POBLA!$B$13*100000</f>
        <v>41.378470821108202</v>
      </c>
      <c r="L10502" s="202">
        <f t="shared" si="1010"/>
        <v>-0.12729761439186538</v>
      </c>
      <c r="M10502" s="512">
        <f>SUM(C10502,C10478,C10454,C10430,C10406,C10382,C10358)/POBLA!$B$13*100000</f>
        <v>289.64929574775744</v>
      </c>
    </row>
    <row r="10503" spans="1:13" x14ac:dyDescent="0.25">
      <c r="A10503" s="402" t="s">
        <v>23</v>
      </c>
      <c r="B10503" s="2">
        <v>44330</v>
      </c>
      <c r="C10503" s="546">
        <v>133</v>
      </c>
      <c r="D10503" s="39">
        <f t="shared" si="1006"/>
        <v>17634</v>
      </c>
      <c r="E10503" s="1">
        <v>1</v>
      </c>
      <c r="F10503" s="39">
        <f t="shared" si="1007"/>
        <v>253</v>
      </c>
      <c r="G10503" s="169">
        <f>SUM(C10503,C10479,C10455,C10431,C10407,C10383,C10359,C10335,C10311,C10287,C10263,C10239,C10215,C10191)/POBLA!$B$14*100000</f>
        <v>158.96373089858511</v>
      </c>
      <c r="H10503" s="258">
        <f t="shared" si="1005"/>
        <v>1.2827895073576456</v>
      </c>
      <c r="I10503" s="310">
        <f t="shared" si="1008"/>
        <v>203.91700604712935</v>
      </c>
      <c r="J10503" s="552">
        <f t="shared" si="1009"/>
        <v>150.57142857142858</v>
      </c>
      <c r="K10503" s="310">
        <f>J10503/POBLA!$B$14*100000</f>
        <v>11.9378533927402</v>
      </c>
      <c r="L10503" s="202">
        <f t="shared" si="1010"/>
        <v>-0.10830704521556256</v>
      </c>
      <c r="M10503" s="512">
        <f>SUM(C10503,C10479,C10455,C10431,C10407,C10383,C10359)/POBLA!$B$14*100000</f>
        <v>83.564973749181391</v>
      </c>
    </row>
    <row r="10504" spans="1:13" x14ac:dyDescent="0.25">
      <c r="A10504" s="402" t="s">
        <v>19</v>
      </c>
      <c r="B10504" s="2">
        <v>44330</v>
      </c>
      <c r="C10504" s="546">
        <v>457</v>
      </c>
      <c r="D10504" s="39">
        <f t="shared" si="1006"/>
        <v>77500</v>
      </c>
      <c r="E10504" s="1">
        <v>4</v>
      </c>
      <c r="F10504" s="39">
        <f t="shared" si="1007"/>
        <v>1149</v>
      </c>
      <c r="G10504" s="169">
        <f>SUM(C10504,C10480,C10456,C10432,C10408,C10384,C10360,C10336,C10312,C10288,C10264,C10240,C10216,C10192)/POBLA!$B$15*100000</f>
        <v>961.2126669849124</v>
      </c>
      <c r="H10504" s="258">
        <f t="shared" si="1005"/>
        <v>1.806168647425014</v>
      </c>
      <c r="I10504" s="310">
        <f t="shared" si="1008"/>
        <v>1736.1121826159297</v>
      </c>
      <c r="J10504" s="552">
        <f t="shared" si="1009"/>
        <v>493</v>
      </c>
      <c r="K10504" s="310">
        <f>J10504/POBLA!$B$15*100000</f>
        <v>74.240614886975067</v>
      </c>
      <c r="L10504" s="202">
        <f t="shared" si="1010"/>
        <v>-0.17701227830832189</v>
      </c>
      <c r="M10504" s="512">
        <f>SUM(C10504,C10480,C10456,C10432,C10408,C10384,C10360)/POBLA!$B$15*100000</f>
        <v>519.68430420882544</v>
      </c>
    </row>
    <row r="10505" spans="1:13" x14ac:dyDescent="0.25">
      <c r="A10505" s="402" t="s">
        <v>18</v>
      </c>
      <c r="B10505" s="2">
        <v>44330</v>
      </c>
      <c r="C10505" s="546">
        <v>393</v>
      </c>
      <c r="D10505" s="39">
        <f t="shared" si="1006"/>
        <v>65964</v>
      </c>
      <c r="E10505" s="1">
        <v>5</v>
      </c>
      <c r="F10505" s="39">
        <f t="shared" si="1007"/>
        <v>1426</v>
      </c>
      <c r="G10505" s="169">
        <f>SUM(C10505,C10481,C10457,C10433,C10409,C10385,C10361,C10337,C10313,C10289,C10265,C10241,C10217,C10193)/POBLA!$B$16*100000</f>
        <v>603.38946777062915</v>
      </c>
      <c r="H10505" s="258">
        <f t="shared" si="1005"/>
        <v>1.2492384381057879</v>
      </c>
      <c r="I10505" s="310">
        <f t="shared" si="1008"/>
        <v>753.77731628726349</v>
      </c>
      <c r="J10505" s="552">
        <f t="shared" si="1009"/>
        <v>360.85714285714283</v>
      </c>
      <c r="K10505" s="310">
        <f>J10505/POBLA!$B$16*100000</f>
        <v>48.26810005980964</v>
      </c>
      <c r="L10505" s="202">
        <f t="shared" si="1010"/>
        <v>-0.27254408060453406</v>
      </c>
      <c r="M10505" s="512">
        <f>SUM(C10505,C10481,C10457,C10433,C10409,C10385,C10361)/POBLA!$B$16*100000</f>
        <v>337.8767004186675</v>
      </c>
    </row>
    <row r="10506" spans="1:13" x14ac:dyDescent="0.25">
      <c r="A10506" s="402" t="s">
        <v>34</v>
      </c>
      <c r="B10506" s="2">
        <v>44330</v>
      </c>
      <c r="C10506" s="546">
        <v>382</v>
      </c>
      <c r="D10506" s="39">
        <f t="shared" si="1006"/>
        <v>38052</v>
      </c>
      <c r="E10506" s="1">
        <v>5</v>
      </c>
      <c r="F10506" s="39">
        <f t="shared" si="1007"/>
        <v>1314</v>
      </c>
      <c r="G10506" s="169">
        <f>SUM(C10506,C10482,C10458,C10434,C10410,C10386,C10362,C10338,C10314,C10290,C10266,C10242,C10218,C10194)/POBLA!$B$17*100000</f>
        <v>229.36021347980932</v>
      </c>
      <c r="H10506" s="258">
        <f t="shared" ref="H10506:H10529" si="1011">SUM(C10506,C10482,C10458,C10434,C10410,C10386,C10362,C10338,C10314,C10290,C10266,C10242,C10218,C10194)/SUM(C10170,C10146,C10122,C10098,C10074,C10050,C10026,C10002,C9978,C9954,C9930,C9906,C9882,C9858)</f>
        <v>1.2403189066059226</v>
      </c>
      <c r="I10506" s="310">
        <f t="shared" si="1008"/>
        <v>284.4798092021781</v>
      </c>
      <c r="J10506" s="552">
        <f t="shared" si="1009"/>
        <v>270.42857142857144</v>
      </c>
      <c r="K10506" s="310">
        <f>J10506/POBLA!$B$17*100000</f>
        <v>18.985477463696672</v>
      </c>
      <c r="L10506" s="202">
        <f t="shared" si="1010"/>
        <v>-0.37772925764192133</v>
      </c>
      <c r="M10506" s="512">
        <f>SUM(C10506,C10482,C10458,C10434,C10410,C10386,C10362)/POBLA!$B$17*100000</f>
        <v>132.89834224587668</v>
      </c>
    </row>
    <row r="10507" spans="1:13" x14ac:dyDescent="0.25">
      <c r="A10507" s="402" t="s">
        <v>35</v>
      </c>
      <c r="B10507" s="2">
        <v>44330</v>
      </c>
      <c r="C10507" s="546">
        <v>624</v>
      </c>
      <c r="D10507" s="39">
        <f t="shared" si="1006"/>
        <v>28672</v>
      </c>
      <c r="E10507" s="1">
        <v>5</v>
      </c>
      <c r="F10507" s="39">
        <f t="shared" si="1007"/>
        <v>542</v>
      </c>
      <c r="G10507" s="169">
        <f>SUM(C10507,C10483,C10459,C10435,C10411,C10387,C10363,C10339,C10315,C10291,C10267,C10243,C10219,C10195)/POBLA!$B$18*100000</f>
        <v>646.17129427547025</v>
      </c>
      <c r="H10507" s="258">
        <f t="shared" si="1011"/>
        <v>1.4033917153183209</v>
      </c>
      <c r="I10507" s="310">
        <f t="shared" si="1008"/>
        <v>906.83144106271163</v>
      </c>
      <c r="J10507" s="552">
        <f t="shared" si="1009"/>
        <v>387.14285714285717</v>
      </c>
      <c r="K10507" s="310">
        <f>J10507/POBLA!$B$18*100000</f>
        <v>49.556378975733651</v>
      </c>
      <c r="L10507" s="202">
        <f t="shared" si="1010"/>
        <v>-0.15911035072711721</v>
      </c>
      <c r="M10507" s="512">
        <f>SUM(C10507,C10483,C10459,C10435,C10411,C10387,C10363)/POBLA!$B$18*100000</f>
        <v>346.89465283013556</v>
      </c>
    </row>
    <row r="10508" spans="1:13" x14ac:dyDescent="0.25">
      <c r="A10508" s="402" t="s">
        <v>36</v>
      </c>
      <c r="B10508" s="2">
        <v>44330</v>
      </c>
      <c r="C10508" s="546">
        <v>641</v>
      </c>
      <c r="D10508" s="39">
        <f t="shared" si="1006"/>
        <v>44060</v>
      </c>
      <c r="E10508" s="1">
        <v>19</v>
      </c>
      <c r="F10508" s="39">
        <f t="shared" si="1007"/>
        <v>600</v>
      </c>
      <c r="G10508" s="169">
        <f>SUM(C10508,C10484,C10460,C10436,C10412,C10388,C10364,C10340,C10316,C10292,C10268,C10244,C10220,C10196)/POBLA!$B$19*100000</f>
        <v>1295.6201507687949</v>
      </c>
      <c r="H10508" s="258">
        <f t="shared" si="1011"/>
        <v>0.78713995458348274</v>
      </c>
      <c r="I10508" s="310">
        <f t="shared" si="1008"/>
        <v>1019.8343866335942</v>
      </c>
      <c r="J10508" s="552">
        <f t="shared" si="1009"/>
        <v>517.57142857142856</v>
      </c>
      <c r="K10508" s="310">
        <f>J10508/POBLA!$B$19*100000</f>
        <v>101.81839846937972</v>
      </c>
      <c r="L10508" s="202">
        <f t="shared" si="1010"/>
        <v>-0.22274721565980427</v>
      </c>
      <c r="M10508" s="512">
        <f>SUM(C10508,C10484,C10460,C10436,C10412,C10388,C10364)/POBLA!$B$19*100000</f>
        <v>712.72878928565808</v>
      </c>
    </row>
    <row r="10509" spans="1:13" x14ac:dyDescent="0.25">
      <c r="A10509" s="402" t="s">
        <v>37</v>
      </c>
      <c r="B10509" s="2">
        <v>44330</v>
      </c>
      <c r="C10509" s="546">
        <v>271</v>
      </c>
      <c r="D10509" s="39">
        <f t="shared" si="1006"/>
        <v>47730</v>
      </c>
      <c r="E10509" s="1">
        <v>2</v>
      </c>
      <c r="F10509" s="39">
        <f t="shared" si="1007"/>
        <v>747</v>
      </c>
      <c r="G10509" s="169">
        <f>SUM(C10509,C10485,C10461,C10437,C10413,C10389,C10365,C10341,C10317,C10293,C10269,C10245,C10221,C10197)/POBLA!$B$20*100000</f>
        <v>811.59864150200428</v>
      </c>
      <c r="H10509" s="258">
        <f t="shared" si="1011"/>
        <v>1.0521091811414391</v>
      </c>
      <c r="I10509" s="310">
        <f t="shared" si="1008"/>
        <v>853.89038212617811</v>
      </c>
      <c r="J10509" s="552">
        <f t="shared" si="1009"/>
        <v>213.28571428571428</v>
      </c>
      <c r="K10509" s="310">
        <f>J10509/POBLA!$B$20*100000</f>
        <v>58.322909692072223</v>
      </c>
      <c r="L10509" s="202">
        <f t="shared" si="1010"/>
        <v>-1.2203389830508504E-2</v>
      </c>
      <c r="M10509" s="512">
        <f>SUM(C10509,C10485,C10461,C10437,C10413,C10389,C10365)/POBLA!$B$20*100000</f>
        <v>408.26036784450559</v>
      </c>
    </row>
    <row r="10510" spans="1:13" x14ac:dyDescent="0.25">
      <c r="A10510" s="402" t="s">
        <v>22</v>
      </c>
      <c r="B10510" s="2">
        <v>44330</v>
      </c>
      <c r="C10510" s="546">
        <v>2193</v>
      </c>
      <c r="D10510" s="39">
        <f t="shared" si="1006"/>
        <v>299194</v>
      </c>
      <c r="E10510" s="1">
        <v>27</v>
      </c>
      <c r="F10510" s="39">
        <f t="shared" si="1007"/>
        <v>4918</v>
      </c>
      <c r="G10510" s="169">
        <f>SUM(C10510,C10486,C10462,C10438,C10414,C10390,C10366,C10342,C10318,C10294,C10270,C10246,C10222,C10198)/POBLA!$B$21*100000</f>
        <v>701.95321933097273</v>
      </c>
      <c r="H10510" s="258">
        <f t="shared" si="1011"/>
        <v>1.0446492446239952</v>
      </c>
      <c r="I10510" s="310">
        <f t="shared" si="1008"/>
        <v>733.29490033548234</v>
      </c>
      <c r="J10510" s="552">
        <f t="shared" si="1009"/>
        <v>1820.7142857142858</v>
      </c>
      <c r="K10510" s="310">
        <f>J10510/POBLA!$B$21*100000</f>
        <v>51.484702479013677</v>
      </c>
      <c r="L10510" s="202">
        <f t="shared" si="1010"/>
        <v>-5.5137014653530825E-2</v>
      </c>
      <c r="M10510" s="512">
        <f>SUM(C10510,C10486,C10462,C10438,C10414,C10390,C10366)/POBLA!$B$21*100000</f>
        <v>360.3929173530957</v>
      </c>
    </row>
    <row r="10511" spans="1:13" x14ac:dyDescent="0.25">
      <c r="A10511" s="402" t="s">
        <v>38</v>
      </c>
      <c r="B10511" s="2">
        <v>44330</v>
      </c>
      <c r="C10511" s="546">
        <v>454</v>
      </c>
      <c r="D10511" s="39">
        <f t="shared" si="1006"/>
        <v>34454</v>
      </c>
      <c r="E10511" s="1">
        <v>3</v>
      </c>
      <c r="F10511" s="39">
        <f t="shared" si="1007"/>
        <v>395</v>
      </c>
      <c r="G10511" s="169">
        <f>SUM(C10511,C10487,C10463,C10439,C10415,C10391,C10367,C10343,C10319,C10295,C10271,C10247,C10223,C10199)/POBLA!$B$22*100000</f>
        <v>389.54813030185636</v>
      </c>
      <c r="H10511" s="258">
        <f t="shared" si="1011"/>
        <v>1.3241834607366227</v>
      </c>
      <c r="I10511" s="310">
        <f t="shared" si="1008"/>
        <v>515.83319130659299</v>
      </c>
      <c r="J10511" s="552">
        <f t="shared" si="1009"/>
        <v>314.14285714285717</v>
      </c>
      <c r="K10511" s="310">
        <f>J10511/POBLA!$B$22*100000</f>
        <v>32.110669810465282</v>
      </c>
      <c r="L10511" s="202">
        <f t="shared" si="1010"/>
        <v>-0.36414392059553347</v>
      </c>
      <c r="M10511" s="512">
        <f>SUM(C10511,C10487,C10463,C10439,C10415,C10391,C10367)/POBLA!$B$22*100000</f>
        <v>224.77468867325695</v>
      </c>
    </row>
    <row r="10512" spans="1:13" x14ac:dyDescent="0.25">
      <c r="A10512" s="402" t="s">
        <v>39</v>
      </c>
      <c r="B10512" s="2">
        <v>44330</v>
      </c>
      <c r="C10512" s="546">
        <v>71</v>
      </c>
      <c r="D10512" s="39">
        <f t="shared" si="1006"/>
        <v>27429</v>
      </c>
      <c r="F10512" s="39">
        <f t="shared" si="1007"/>
        <v>404</v>
      </c>
      <c r="G10512" s="169">
        <f>SUM(C10512,C10488,C10464,C10440,C10416,C10392,C10368,C10344,C10320,C10296,C10272,C10248,C10224,C10200)/POBLA!$B$23*100000</f>
        <v>562.12181190974388</v>
      </c>
      <c r="H10512" s="258">
        <f t="shared" si="1011"/>
        <v>0.90117860380779691</v>
      </c>
      <c r="I10512" s="310">
        <f t="shared" si="1008"/>
        <v>506.57214962673203</v>
      </c>
      <c r="J10512" s="552">
        <f t="shared" si="1009"/>
        <v>71.142857142857139</v>
      </c>
      <c r="K10512" s="310">
        <f>J10512/POBLA!$B$23*100000</f>
        <v>40.232345836598505</v>
      </c>
      <c r="L10512" s="202">
        <f t="shared" si="1010"/>
        <v>-4.0322580645162365E-3</v>
      </c>
      <c r="M10512" s="512">
        <f>SUM(C10512,C10488,C10464,C10440,C10416,C10392,C10368)/POBLA!$B$23*100000</f>
        <v>281.62642085618955</v>
      </c>
    </row>
    <row r="10513" spans="1:13" ht="15.75" thickBot="1" x14ac:dyDescent="0.3">
      <c r="A10513" s="404" t="s">
        <v>40</v>
      </c>
      <c r="B10513" s="268">
        <v>44330</v>
      </c>
      <c r="C10513" s="546">
        <v>677</v>
      </c>
      <c r="D10513" s="177">
        <f t="shared" si="1006"/>
        <v>114036</v>
      </c>
      <c r="E10513" s="44"/>
      <c r="F10513" s="177">
        <f t="shared" si="1007"/>
        <v>1745</v>
      </c>
      <c r="G10513" s="178">
        <f>SUM(C10513,C10489,C10465,C10441,C10417,C10393,C10369,C10345,C10321,C10297,C10273,C10249,C10225,C10201)/POBLA!$B$24*100000</f>
        <v>456.49382529551718</v>
      </c>
      <c r="H10513" s="513">
        <f t="shared" si="1011"/>
        <v>0.83031018568208648</v>
      </c>
      <c r="I10513" s="514">
        <f t="shared" si="1008"/>
        <v>379.03147284384681</v>
      </c>
      <c r="J10513" s="553">
        <f t="shared" si="1009"/>
        <v>588.28571428571433</v>
      </c>
      <c r="K10513" s="514">
        <f>J10513/POBLA!$B$24*100000</f>
        <v>34.714167021844808</v>
      </c>
      <c r="L10513" s="515">
        <f t="shared" si="1010"/>
        <v>-0.13819789939192928</v>
      </c>
      <c r="M10513" s="516">
        <f>SUM(C10513,C10489,C10465,C10441,C10417,C10393,C10369)/POBLA!$B$24*100000</f>
        <v>242.99916915291362</v>
      </c>
    </row>
    <row r="10514" spans="1:13" ht="15.75" thickBot="1" x14ac:dyDescent="0.3">
      <c r="A10514" s="409" t="s">
        <v>16</v>
      </c>
      <c r="B10514" s="268">
        <v>44331</v>
      </c>
      <c r="C10514" s="546">
        <v>8390</v>
      </c>
      <c r="D10514" s="264">
        <f t="shared" si="1006"/>
        <v>1433983</v>
      </c>
      <c r="E10514" s="227">
        <v>262</v>
      </c>
      <c r="F10514" s="264">
        <f t="shared" ref="F10514:F10537" si="1012">E10514+F10490</f>
        <v>36452</v>
      </c>
      <c r="G10514" s="583">
        <f>SUM(C10514,C10490,C10466,C10442,C10418,C10394,C10370,C10346,C10322,C10298,C10274,C10250,C10226,C10202)/POBLA!$B$1*100000</f>
        <v>721.54371257833225</v>
      </c>
      <c r="H10514" s="584">
        <f t="shared" si="1011"/>
        <v>0.82871940599505001</v>
      </c>
      <c r="I10514" s="585">
        <f>G10514*H10514</f>
        <v>597.95727688737861</v>
      </c>
      <c r="J10514" s="586">
        <f>AVERAGE(C10514,C10490,C10466,C10442,C10418,C10394,C10370)</f>
        <v>9053</v>
      </c>
      <c r="K10514" s="585">
        <f>J10514/POBLA!$B$1*100000</f>
        <v>51.610097655563003</v>
      </c>
      <c r="L10514" s="587">
        <f>1-(SUM(C10514,C10490,C10466,C10442,C10418,C10394,C10370)/SUM(C10346,C10322,C10298,C10274,C10250,C10226,C10202))</f>
        <v>-2.7691626052281926E-3</v>
      </c>
      <c r="M10514" s="588">
        <f>SUM(C10514,C10490,C10466,C10442,C10418,C10394,C10370)/POBLA!$B$1*100000</f>
        <v>361.27068358894098</v>
      </c>
    </row>
    <row r="10515" spans="1:13" ht="15.75" thickBot="1" x14ac:dyDescent="0.3">
      <c r="A10515" s="402" t="s">
        <v>43</v>
      </c>
      <c r="B10515" s="268">
        <v>44331</v>
      </c>
      <c r="C10515" s="546">
        <v>2292</v>
      </c>
      <c r="D10515" s="39">
        <f t="shared" si="1006"/>
        <v>376258</v>
      </c>
      <c r="E10515" s="1">
        <v>36</v>
      </c>
      <c r="F10515" s="39">
        <f t="shared" si="1012"/>
        <v>8462</v>
      </c>
      <c r="G10515" s="169">
        <f>SUM(C10515,C10491,C10467,C10443,C10419,C10395,C10371,C10347,C10323,C10299,C10275,C10251,C10227,C10203)/POBLA!$B$2*100000</f>
        <v>1031.8157551291663</v>
      </c>
      <c r="H10515" s="258">
        <f t="shared" si="1011"/>
        <v>0.7776661438933542</v>
      </c>
      <c r="I10515" s="310">
        <f t="shared" ref="I10515:I10537" si="1013">G10515*H10515</f>
        <v>802.40817949970813</v>
      </c>
      <c r="J10515" s="552">
        <f t="shared" ref="J10515:J10537" si="1014">AVERAGE(C10515,C10491,C10467,C10443,C10419,C10395,C10371)</f>
        <v>2279.2857142857142</v>
      </c>
      <c r="K10515" s="310">
        <f>J10515/POBLA!$B$2*100000</f>
        <v>74.107544050443849</v>
      </c>
      <c r="L10515" s="202">
        <f>1-(SUM(C10515,C10491,C10467,C10443,C10419,C10395,C10371)/SUM(C10347,C10323,C10299,C10275,C10251,C10227,C10203))</f>
        <v>-1.1089987325728856E-2</v>
      </c>
      <c r="M10515" s="512">
        <f>SUM(C10515,C10491,C10467,C10443,C10419,C10395,C10371)/POBLA!$B$2*100000</f>
        <v>518.75280835310696</v>
      </c>
    </row>
    <row r="10516" spans="1:13" ht="15.75" thickBot="1" x14ac:dyDescent="0.3">
      <c r="A10516" s="402" t="s">
        <v>28</v>
      </c>
      <c r="B10516" s="268">
        <v>44331</v>
      </c>
      <c r="C10516" s="546">
        <v>375</v>
      </c>
      <c r="D10516" s="39">
        <f t="shared" si="1006"/>
        <v>17607</v>
      </c>
      <c r="E10516" s="1">
        <v>3</v>
      </c>
      <c r="F10516" s="39">
        <f t="shared" si="1012"/>
        <v>124</v>
      </c>
      <c r="G10516" s="169">
        <f>SUM(C10516,C10492,C10468,C10444,C10420,C10396,C10372,C10348,C10324,C10300,C10276,C10252,C10228,C10204)/POBLA!$B$3*100000</f>
        <v>642.69517954544358</v>
      </c>
      <c r="H10516" s="258">
        <f t="shared" si="1011"/>
        <v>1.1649214659685865</v>
      </c>
      <c r="I10516" s="310">
        <f t="shared" si="1013"/>
        <v>748.68941072702205</v>
      </c>
      <c r="J10516" s="552">
        <f t="shared" si="1014"/>
        <v>239</v>
      </c>
      <c r="K10516" s="310">
        <f>J10516/POBLA!$B$3*100000</f>
        <v>57.529643412494771</v>
      </c>
      <c r="L10516" s="202">
        <f t="shared" ref="L10516:L10537" si="1015">1-(SUM(C10516,C10492,C10468,C10444,C10420,C10396,C10372)/SUM(C10348,C10324,C10300,C10276,C10252,C10228,C10204))</f>
        <v>-0.67803410230692074</v>
      </c>
      <c r="M10516" s="512">
        <f>SUM(C10516,C10492,C10468,C10444,C10420,C10396,C10372)/POBLA!$B$3*100000</f>
        <v>402.7075038874633</v>
      </c>
    </row>
    <row r="10517" spans="1:13" ht="15.75" thickBot="1" x14ac:dyDescent="0.3">
      <c r="A10517" s="402" t="s">
        <v>15</v>
      </c>
      <c r="B10517" s="268">
        <v>44331</v>
      </c>
      <c r="C10517" s="546">
        <v>342</v>
      </c>
      <c r="D10517" s="39">
        <f t="shared" si="1006"/>
        <v>49063</v>
      </c>
      <c r="E10517" s="1">
        <v>2</v>
      </c>
      <c r="F10517" s="39">
        <f t="shared" si="1012"/>
        <v>1104</v>
      </c>
      <c r="G10517" s="169">
        <f>SUM(C10517,C10493,C10469,C10445,C10421,C10397,C10373,C10349,C10325,C10301,C10277,C10253,C10229,C10205)/POBLA!$B$4*100000</f>
        <v>334.98237087820172</v>
      </c>
      <c r="H10517" s="258">
        <f t="shared" si="1011"/>
        <v>1.3246881155613921</v>
      </c>
      <c r="I10517" s="310">
        <f t="shared" si="1013"/>
        <v>443.74716562493239</v>
      </c>
      <c r="J10517" s="552">
        <f t="shared" si="1014"/>
        <v>312.28571428571428</v>
      </c>
      <c r="K10517" s="310">
        <f>J10517/POBLA!$B$4*100000</f>
        <v>25.925702345184948</v>
      </c>
      <c r="L10517" s="202">
        <f t="shared" si="1015"/>
        <v>-0.18226068144943208</v>
      </c>
      <c r="M10517" s="512">
        <f>SUM(C10517,C10493,C10469,C10445,C10421,C10397,C10373)/POBLA!$B$4*100000</f>
        <v>181.47991641629466</v>
      </c>
    </row>
    <row r="10518" spans="1:13" ht="15.75" thickBot="1" x14ac:dyDescent="0.3">
      <c r="A10518" s="402" t="s">
        <v>29</v>
      </c>
      <c r="B10518" s="268">
        <v>44331</v>
      </c>
      <c r="C10518" s="546">
        <v>164</v>
      </c>
      <c r="D10518" s="39">
        <f t="shared" si="1006"/>
        <v>57724</v>
      </c>
      <c r="E10518" s="1">
        <v>18</v>
      </c>
      <c r="F10518" s="39">
        <f t="shared" si="1012"/>
        <v>957</v>
      </c>
      <c r="G10518" s="169">
        <f>SUM(C10518,C10494,C10470,C10446,C10422,C10398,C10374,C10350,C10326,C10302,C10278,C10254,C10230,C10206)/POBLA!$B$5*100000</f>
        <v>442.00751542018179</v>
      </c>
      <c r="H10518" s="258">
        <f t="shared" si="1011"/>
        <v>1.1135531135531136</v>
      </c>
      <c r="I10518" s="310">
        <f t="shared" si="1013"/>
        <v>492.19884501001928</v>
      </c>
      <c r="J10518" s="552">
        <f t="shared" si="1014"/>
        <v>211.28571428571428</v>
      </c>
      <c r="K10518" s="310">
        <f>J10518/POBLA!$B$5*100000</f>
        <v>34.133725736552258</v>
      </c>
      <c r="L10518" s="202">
        <f t="shared" si="1015"/>
        <v>-0.17661097852028629</v>
      </c>
      <c r="M10518" s="512">
        <f>SUM(C10518,C10494,C10470,C10446,C10422,C10398,C10374)/POBLA!$B$5*100000</f>
        <v>238.9360801558658</v>
      </c>
    </row>
    <row r="10519" spans="1:13" ht="15.75" thickBot="1" x14ac:dyDescent="0.3">
      <c r="A10519" s="402" t="s">
        <v>30</v>
      </c>
      <c r="B10519" s="268">
        <v>44331</v>
      </c>
      <c r="C10519" s="546">
        <v>51</v>
      </c>
      <c r="D10519" s="39">
        <f t="shared" si="1006"/>
        <v>40309</v>
      </c>
      <c r="F10519" s="39">
        <f t="shared" si="1012"/>
        <v>553</v>
      </c>
      <c r="G10519" s="169">
        <f>SUM(C10519,C10495,C10471,C10447,C10423,C10399,C10375,C10351,C10327,C10303,C10279,C10255,C10231,C10207)/POBLA!$B$6*100000</f>
        <v>237.50871028844549</v>
      </c>
      <c r="H10519" s="258">
        <f t="shared" si="1011"/>
        <v>0.85622386619491797</v>
      </c>
      <c r="I10519" s="310">
        <f t="shared" si="1013"/>
        <v>203.36062617814147</v>
      </c>
      <c r="J10519" s="552">
        <f t="shared" si="1014"/>
        <v>189.57142857142858</v>
      </c>
      <c r="K10519" s="310">
        <f>J10519/POBLA!$B$6*100000</f>
        <v>16.913923932208178</v>
      </c>
      <c r="L10519" s="202">
        <f t="shared" si="1015"/>
        <v>5.9925093632958726E-3</v>
      </c>
      <c r="M10519" s="512">
        <f>SUM(C10519,C10495,C10471,C10447,C10423,C10399,C10375)/POBLA!$B$6*100000</f>
        <v>118.39746752545724</v>
      </c>
    </row>
    <row r="10520" spans="1:13" ht="15.75" thickBot="1" x14ac:dyDescent="0.3">
      <c r="A10520" s="402" t="s">
        <v>20</v>
      </c>
      <c r="B10520" s="268">
        <v>44331</v>
      </c>
      <c r="C10520" s="546">
        <v>2125</v>
      </c>
      <c r="D10520" s="39">
        <f t="shared" si="1006"/>
        <v>254779</v>
      </c>
      <c r="E10520" s="1">
        <v>8</v>
      </c>
      <c r="F10520" s="39">
        <f t="shared" si="1012"/>
        <v>3593</v>
      </c>
      <c r="G10520" s="169">
        <f>SUM(C10520,C10496,C10472,C10448,C10424,C10400,C10376,C10352,C10328,C10304,C10280,C10256,C10232,C10208)/POBLA!$B$7*100000</f>
        <v>697.52290284407445</v>
      </c>
      <c r="H10520" s="258">
        <f t="shared" si="1011"/>
        <v>1.1540322935456906</v>
      </c>
      <c r="I10520" s="310">
        <f t="shared" si="1013"/>
        <v>804.96395536979514</v>
      </c>
      <c r="J10520" s="552">
        <f t="shared" si="1014"/>
        <v>2192.2857142857142</v>
      </c>
      <c r="K10520" s="310">
        <f>J10520/POBLA!$B$7*100000</f>
        <v>58.298493911253018</v>
      </c>
      <c r="L10520" s="202">
        <f t="shared" si="1015"/>
        <v>-0.40995957368614477</v>
      </c>
      <c r="M10520" s="512">
        <f>SUM(C10520,C10496,C10472,C10448,C10424,C10400,C10376)/POBLA!$B$7*100000</f>
        <v>408.08945737877116</v>
      </c>
    </row>
    <row r="10521" spans="1:13" ht="15.75" thickBot="1" x14ac:dyDescent="0.3">
      <c r="A10521" s="402" t="s">
        <v>31</v>
      </c>
      <c r="B10521" s="268">
        <v>44331</v>
      </c>
      <c r="C10521" s="546">
        <v>691</v>
      </c>
      <c r="D10521" s="39">
        <f t="shared" si="1006"/>
        <v>71681</v>
      </c>
      <c r="E10521" s="1">
        <v>4</v>
      </c>
      <c r="F10521" s="39">
        <f t="shared" si="1012"/>
        <v>1131</v>
      </c>
      <c r="G10521" s="169">
        <f>SUM(C10521,C10497,C10473,C10449,C10425,C10401,C10377,C10353,C10329,C10305,C10281,C10257,C10233,C10209)/POBLA!$B$8*100000</f>
        <v>602.68651138091184</v>
      </c>
      <c r="H10521" s="258">
        <f t="shared" si="1011"/>
        <v>1.1744938132733409</v>
      </c>
      <c r="I10521" s="310">
        <f t="shared" si="1013"/>
        <v>707.85157896017392</v>
      </c>
      <c r="J10521" s="552">
        <f t="shared" si="1014"/>
        <v>647.28571428571433</v>
      </c>
      <c r="K10521" s="310">
        <f>J10521/POBLA!$B$8*100000</f>
        <v>46.703025141812383</v>
      </c>
      <c r="L10521" s="202">
        <f t="shared" si="1015"/>
        <v>-0.18550497121925691</v>
      </c>
      <c r="M10521" s="512">
        <f>SUM(C10521,C10497,C10473,C10449,C10425,C10401,C10377)/POBLA!$B$8*100000</f>
        <v>326.9211759926867</v>
      </c>
    </row>
    <row r="10522" spans="1:13" ht="15.75" thickBot="1" x14ac:dyDescent="0.3">
      <c r="A10522" s="402" t="s">
        <v>41</v>
      </c>
      <c r="B10522" s="268">
        <v>44331</v>
      </c>
      <c r="C10522" s="546">
        <v>7</v>
      </c>
      <c r="D10522" s="39">
        <f t="shared" si="1006"/>
        <v>6945</v>
      </c>
      <c r="F10522" s="39">
        <f t="shared" si="1012"/>
        <v>162</v>
      </c>
      <c r="G10522" s="169">
        <f>SUM(C10522,C10498,C10474,C10450,C10426,C10402,C10378,C10354,C10330,C10306,C10282,C10258,C10234,C10210)/POBLA!$B$9*100000</f>
        <v>398.38530848836649</v>
      </c>
      <c r="H10522" s="258">
        <f t="shared" si="1011"/>
        <v>2.1779584462511292</v>
      </c>
      <c r="I10522" s="310">
        <f t="shared" si="1013"/>
        <v>867.66664748459948</v>
      </c>
      <c r="J10522" s="552">
        <f t="shared" si="1014"/>
        <v>149.71428571428572</v>
      </c>
      <c r="K10522" s="310">
        <f>J10522/POBLA!$B$9*100000</f>
        <v>24.738271215014997</v>
      </c>
      <c r="L10522" s="202">
        <f t="shared" si="1015"/>
        <v>0.23110785033015402</v>
      </c>
      <c r="M10522" s="512">
        <f>SUM(C10522,C10498,C10474,C10450,C10426,C10402,C10378)/POBLA!$B$9*100000</f>
        <v>173.16789850510497</v>
      </c>
    </row>
    <row r="10523" spans="1:13" ht="15.75" thickBot="1" x14ac:dyDescent="0.3">
      <c r="A10523" s="402" t="s">
        <v>32</v>
      </c>
      <c r="B10523" s="268">
        <v>44331</v>
      </c>
      <c r="C10523" s="546">
        <v>92</v>
      </c>
      <c r="D10523" s="39">
        <f t="shared" si="1006"/>
        <v>26178</v>
      </c>
      <c r="F10523" s="39">
        <f t="shared" si="1012"/>
        <v>1063</v>
      </c>
      <c r="G10523" s="169">
        <f>SUM(C10523,C10499,C10475,C10451,C10427,C10403,C10379,C10355,C10331,C10307,C10283,C10259,C10235,C10211)/POBLA!$B$10*100000</f>
        <v>162.41157844077102</v>
      </c>
      <c r="H10523" s="258">
        <f t="shared" si="1011"/>
        <v>0.95281582952815824</v>
      </c>
      <c r="I10523" s="310">
        <f t="shared" si="1013"/>
        <v>154.74832283702079</v>
      </c>
      <c r="J10523" s="552">
        <f t="shared" si="1014"/>
        <v>83.714285714285708</v>
      </c>
      <c r="K10523" s="310">
        <f>J10523/POBLA!$B$10*100000</f>
        <v>10.859560128513442</v>
      </c>
      <c r="L10523" s="202">
        <f t="shared" si="1015"/>
        <v>0.12012012012012008</v>
      </c>
      <c r="M10523" s="512">
        <f>SUM(C10523,C10499,C10475,C10451,C10427,C10403,C10379)/POBLA!$B$10*100000</f>
        <v>76.016920899594098</v>
      </c>
    </row>
    <row r="10524" spans="1:13" ht="15.75" thickBot="1" x14ac:dyDescent="0.3">
      <c r="A10524" s="402" t="s">
        <v>33</v>
      </c>
      <c r="B10524" s="268">
        <v>44331</v>
      </c>
      <c r="C10524" s="546">
        <v>534</v>
      </c>
      <c r="D10524" s="39">
        <f t="shared" si="1006"/>
        <v>33371</v>
      </c>
      <c r="F10524" s="39">
        <f t="shared" si="1012"/>
        <v>440</v>
      </c>
      <c r="G10524" s="169">
        <f>SUM(C10524,C10500,C10476,C10452,C10428,C10404,C10380,C10356,C10332,C10308,C10284,C10260,C10236,C10212)/POBLA!$B$11*100000</f>
        <v>1663.65350921245</v>
      </c>
      <c r="H10524" s="258">
        <f t="shared" si="1011"/>
        <v>1.6930721181147075</v>
      </c>
      <c r="I10524" s="310">
        <f t="shared" si="1013"/>
        <v>2816.6853706512888</v>
      </c>
      <c r="J10524" s="552">
        <f t="shared" si="1014"/>
        <v>513.57142857142856</v>
      </c>
      <c r="K10524" s="310">
        <f>J10524/POBLA!$B$11*100000</f>
        <v>143.28440539562436</v>
      </c>
      <c r="L10524" s="202">
        <f t="shared" si="1015"/>
        <v>-0.51815878378378377</v>
      </c>
      <c r="M10524" s="512">
        <f>SUM(C10524,C10500,C10476,C10452,C10428,C10404,C10380)/POBLA!$B$11*100000</f>
        <v>1002.9908377693707</v>
      </c>
    </row>
    <row r="10525" spans="1:13" ht="15.75" thickBot="1" x14ac:dyDescent="0.3">
      <c r="A10525" s="402" t="s">
        <v>21</v>
      </c>
      <c r="B10525" s="268">
        <v>44331</v>
      </c>
      <c r="C10525" s="546">
        <v>134</v>
      </c>
      <c r="D10525" s="39">
        <f t="shared" si="1006"/>
        <v>14659</v>
      </c>
      <c r="E10525" s="1">
        <v>6</v>
      </c>
      <c r="F10525" s="39">
        <f t="shared" si="1012"/>
        <v>517</v>
      </c>
      <c r="G10525" s="169">
        <f>SUM(C10525,C10501,C10477,C10453,C10429,C10405,C10381,C10357,C10333,C10309,C10285,C10261,C10237,C10213)/POBLA!$B$12*100000</f>
        <v>306.20205269724619</v>
      </c>
      <c r="H10525" s="258">
        <f t="shared" si="1011"/>
        <v>1.137865911237016</v>
      </c>
      <c r="I10525" s="310">
        <f t="shared" si="1013"/>
        <v>348.41687771499682</v>
      </c>
      <c r="J10525" s="552">
        <f t="shared" si="1014"/>
        <v>68.714285714285708</v>
      </c>
      <c r="K10525" s="310">
        <f>J10525/POBLA!$B$12*100000</f>
        <v>17.460958784513981</v>
      </c>
      <c r="L10525" s="202">
        <f t="shared" si="1015"/>
        <v>0.33563535911602205</v>
      </c>
      <c r="M10525" s="512">
        <f>SUM(C10525,C10501,C10477,C10453,C10429,C10405,C10381)/POBLA!$B$12*100000</f>
        <v>122.22671149159787</v>
      </c>
    </row>
    <row r="10526" spans="1:13" ht="15.75" thickBot="1" x14ac:dyDescent="0.3">
      <c r="A10526" s="402" t="s">
        <v>17</v>
      </c>
      <c r="B10526" s="268">
        <v>44331</v>
      </c>
      <c r="C10526" s="546">
        <v>596</v>
      </c>
      <c r="D10526" s="39">
        <f t="shared" si="1006"/>
        <v>107977</v>
      </c>
      <c r="E10526" s="1">
        <v>21</v>
      </c>
      <c r="F10526" s="39">
        <f t="shared" si="1012"/>
        <v>2162</v>
      </c>
      <c r="G10526" s="169">
        <f>SUM(C10526,C10502,C10478,C10454,C10430,C10406,C10382,C10358,C10334,C10310,C10286,C10262,C10238,C10214)/POBLA!$B$13*100000</f>
        <v>552.21776401797081</v>
      </c>
      <c r="H10526" s="258">
        <f t="shared" si="1011"/>
        <v>0.96336225786659657</v>
      </c>
      <c r="I10526" s="310">
        <f t="shared" si="1013"/>
        <v>531.9857519783958</v>
      </c>
      <c r="J10526" s="552">
        <f t="shared" si="1014"/>
        <v>805.85714285714289</v>
      </c>
      <c r="K10526" s="310">
        <f>J10526/POBLA!$B$13*100000</f>
        <v>40.488456878034931</v>
      </c>
      <c r="L10526" s="202">
        <f t="shared" si="1015"/>
        <v>-5.4392523364485967E-2</v>
      </c>
      <c r="M10526" s="512">
        <f>SUM(C10526,C10502,C10478,C10454,C10430,C10406,C10382)/POBLA!$B$13*100000</f>
        <v>283.41919814624447</v>
      </c>
    </row>
    <row r="10527" spans="1:13" ht="15.75" thickBot="1" x14ac:dyDescent="0.3">
      <c r="A10527" s="402" t="s">
        <v>23</v>
      </c>
      <c r="B10527" s="268">
        <v>44331</v>
      </c>
      <c r="C10527" s="546">
        <v>164</v>
      </c>
      <c r="D10527" s="39">
        <f t="shared" si="1006"/>
        <v>17798</v>
      </c>
      <c r="E10527" s="1">
        <v>5</v>
      </c>
      <c r="F10527" s="39">
        <f t="shared" si="1012"/>
        <v>258</v>
      </c>
      <c r="G10527" s="169">
        <f>SUM(C10527,C10503,C10479,C10455,C10431,C10407,C10383,C10359,C10335,C10311,C10287,C10263,C10239,C10215)/POBLA!$B$14*100000</f>
        <v>163.64146662078787</v>
      </c>
      <c r="H10527" s="258">
        <f t="shared" si="1011"/>
        <v>1.3543307086614174</v>
      </c>
      <c r="I10527" s="310">
        <f t="shared" si="1013"/>
        <v>221.6246634549253</v>
      </c>
      <c r="J10527" s="552">
        <f t="shared" si="1014"/>
        <v>153.85714285714286</v>
      </c>
      <c r="K10527" s="310">
        <f>J10527/POBLA!$B$14*100000</f>
        <v>12.198356834896771</v>
      </c>
      <c r="L10527" s="202">
        <f t="shared" si="1015"/>
        <v>-9.1185410334346573E-2</v>
      </c>
      <c r="M10527" s="512">
        <f>SUM(C10527,C10503,C10479,C10455,C10431,C10407,C10383)/POBLA!$B$14*100000</f>
        <v>85.388497844277381</v>
      </c>
    </row>
    <row r="10528" spans="1:13" ht="15.75" thickBot="1" x14ac:dyDescent="0.3">
      <c r="A10528" s="402" t="s">
        <v>19</v>
      </c>
      <c r="B10528" s="268">
        <v>44331</v>
      </c>
      <c r="C10528" s="546">
        <v>476</v>
      </c>
      <c r="D10528" s="39">
        <f t="shared" si="1006"/>
        <v>77976</v>
      </c>
      <c r="E10528" s="1">
        <v>2</v>
      </c>
      <c r="F10528" s="39">
        <f t="shared" si="1012"/>
        <v>1151</v>
      </c>
      <c r="G10528" s="169">
        <f>SUM(C10528,C10504,C10480,C10456,C10432,C10408,C10384,C10360,C10336,C10312,C10288,C10264,C10240,C10216)/POBLA!$B$15*100000</f>
        <v>981.99401557396425</v>
      </c>
      <c r="H10528" s="258">
        <f t="shared" si="1011"/>
        <v>1.7174084803792469</v>
      </c>
      <c r="I10528" s="310">
        <f t="shared" si="1013"/>
        <v>1686.4848500283965</v>
      </c>
      <c r="J10528" s="552">
        <f t="shared" si="1014"/>
        <v>502.71428571428572</v>
      </c>
      <c r="K10528" s="310">
        <f>J10528/POBLA!$B$15*100000</f>
        <v>75.703484145831709</v>
      </c>
      <c r="L10528" s="202">
        <f t="shared" si="1015"/>
        <v>-0.17221852098600943</v>
      </c>
      <c r="M10528" s="512">
        <f>SUM(C10528,C10504,C10480,C10456,C10432,C10408,C10384)/POBLA!$B$15*100000</f>
        <v>529.92438902082199</v>
      </c>
    </row>
    <row r="10529" spans="1:13" ht="15.75" thickBot="1" x14ac:dyDescent="0.3">
      <c r="A10529" s="402" t="s">
        <v>18</v>
      </c>
      <c r="B10529" s="268">
        <v>44331</v>
      </c>
      <c r="C10529" s="546">
        <v>322</v>
      </c>
      <c r="D10529" s="39">
        <f t="shared" si="1006"/>
        <v>66286</v>
      </c>
      <c r="E10529" s="1">
        <v>1</v>
      </c>
      <c r="F10529" s="39">
        <f t="shared" si="1012"/>
        <v>1427</v>
      </c>
      <c r="G10529" s="169">
        <f>SUM(C10529,C10505,C10481,C10457,C10433,C10409,C10385,C10361,C10337,C10313,C10289,C10265,C10241,C10217)/POBLA!$B$16*100000</f>
        <v>624.12220275277218</v>
      </c>
      <c r="H10529" s="258">
        <f t="shared" si="1011"/>
        <v>1.2893064382426085</v>
      </c>
      <c r="I10529" s="310">
        <f t="shared" si="1013"/>
        <v>804.6847742593078</v>
      </c>
      <c r="J10529" s="552">
        <f t="shared" si="1014"/>
        <v>368</v>
      </c>
      <c r="K10529" s="310">
        <f>J10529/POBLA!$B$16*100000</f>
        <v>49.223525635023613</v>
      </c>
      <c r="L10529" s="202">
        <f t="shared" si="1015"/>
        <v>-0.23253588516746415</v>
      </c>
      <c r="M10529" s="512">
        <f>SUM(C10529,C10505,C10481,C10457,C10433,C10409,C10385)/POBLA!$B$16*100000</f>
        <v>344.56467944516527</v>
      </c>
    </row>
    <row r="10530" spans="1:13" ht="15.75" thickBot="1" x14ac:dyDescent="0.3">
      <c r="A10530" s="402" t="s">
        <v>34</v>
      </c>
      <c r="B10530" s="268">
        <v>44331</v>
      </c>
      <c r="C10530" s="546">
        <v>312</v>
      </c>
      <c r="D10530" s="39">
        <f t="shared" si="1006"/>
        <v>38364</v>
      </c>
      <c r="E10530" s="1">
        <v>4</v>
      </c>
      <c r="F10530" s="39">
        <f t="shared" si="1012"/>
        <v>1318</v>
      </c>
      <c r="G10530" s="169">
        <f>SUM(C10530,C10506,C10482,C10458,C10434,C10410,C10386,C10362,C10338,C10314,C10290,C10266,C10242,C10218)/POBLA!$B$17*100000</f>
        <v>242.27796042816715</v>
      </c>
      <c r="H10530" s="258">
        <f t="shared" ref="H10530:H10553" si="1016">SUM(C10530,C10506,C10482,C10458,C10434,C10410,C10386,C10362,C10338,C10314,C10290,C10266,C10242,C10218)/SUM(C10194,C10170,C10146,C10122,C10098,C10074,C10050,C10026,C10002,C9978,C9954,C9930,C9906,C9882)</f>
        <v>1.296880871852687</v>
      </c>
      <c r="I10530" s="310">
        <f t="shared" si="1013"/>
        <v>314.20565255077219</v>
      </c>
      <c r="J10530" s="552">
        <f t="shared" si="1014"/>
        <v>289</v>
      </c>
      <c r="K10530" s="310">
        <f>J10530/POBLA!$B$17*100000</f>
        <v>20.289287326496755</v>
      </c>
      <c r="L10530" s="202">
        <f t="shared" si="1015"/>
        <v>-0.41666666666666674</v>
      </c>
      <c r="M10530" s="512">
        <f>SUM(C10530,C10506,C10482,C10458,C10434,C10410,C10386)/POBLA!$B$17*100000</f>
        <v>142.02501128547729</v>
      </c>
    </row>
    <row r="10531" spans="1:13" ht="15.75" thickBot="1" x14ac:dyDescent="0.3">
      <c r="A10531" s="402" t="s">
        <v>35</v>
      </c>
      <c r="B10531" s="268">
        <v>44331</v>
      </c>
      <c r="C10531" s="546">
        <v>284</v>
      </c>
      <c r="D10531" s="39">
        <f t="shared" si="1006"/>
        <v>28956</v>
      </c>
      <c r="E10531" s="1">
        <v>5</v>
      </c>
      <c r="F10531" s="39">
        <f t="shared" si="1012"/>
        <v>547</v>
      </c>
      <c r="G10531" s="169">
        <f>SUM(C10531,C10507,C10483,C10459,C10435,C10411,C10387,C10363,C10339,C10315,C10291,C10267,C10243,C10219)/POBLA!$B$18*100000</f>
        <v>668.1882242705932</v>
      </c>
      <c r="H10531" s="258">
        <f t="shared" si="1016"/>
        <v>1.4344600164880461</v>
      </c>
      <c r="I10531" s="310">
        <f t="shared" si="1013"/>
        <v>958.48929120431342</v>
      </c>
      <c r="J10531" s="552">
        <f t="shared" si="1014"/>
        <v>390.14285714285717</v>
      </c>
      <c r="K10531" s="310">
        <f>J10531/POBLA!$B$18*100000</f>
        <v>49.940395196578827</v>
      </c>
      <c r="L10531" s="202">
        <f t="shared" si="1015"/>
        <v>-9.7227802330253077E-2</v>
      </c>
      <c r="M10531" s="512">
        <f>SUM(C10531,C10507,C10483,C10459,C10435,C10411,C10387)/POBLA!$B$18*100000</f>
        <v>349.58276637605172</v>
      </c>
    </row>
    <row r="10532" spans="1:13" ht="15.75" thickBot="1" x14ac:dyDescent="0.3">
      <c r="A10532" s="402" t="s">
        <v>36</v>
      </c>
      <c r="B10532" s="268">
        <v>44331</v>
      </c>
      <c r="C10532" s="546">
        <v>461</v>
      </c>
      <c r="D10532" s="39">
        <f t="shared" si="1006"/>
        <v>44521</v>
      </c>
      <c r="E10532" s="1">
        <v>4</v>
      </c>
      <c r="F10532" s="39">
        <f t="shared" si="1012"/>
        <v>604</v>
      </c>
      <c r="G10532" s="169">
        <f>SUM(C10532,C10508,C10484,C10460,C10436,C10412,C10388,C10364,C10340,C10316,C10292,C10268,C10244,C10220)/POBLA!$B$19*100000</f>
        <v>1282.6364079885427</v>
      </c>
      <c r="H10532" s="258">
        <f t="shared" si="1016"/>
        <v>0.77822869419909291</v>
      </c>
      <c r="I10532" s="310">
        <f t="shared" si="1013"/>
        <v>998.18445692113858</v>
      </c>
      <c r="J10532" s="552">
        <f t="shared" si="1014"/>
        <v>509</v>
      </c>
      <c r="K10532" s="310">
        <f>J10532/POBLA!$B$19*100000</f>
        <v>100.13219810830802</v>
      </c>
      <c r="L10532" s="202">
        <f t="shared" si="1015"/>
        <v>-0.20493743659113961</v>
      </c>
      <c r="M10532" s="512">
        <f>SUM(C10532,C10508,C10484,C10460,C10436,C10412,C10388)/POBLA!$B$19*100000</f>
        <v>700.92538675815615</v>
      </c>
    </row>
    <row r="10533" spans="1:13" ht="15.75" thickBot="1" x14ac:dyDescent="0.3">
      <c r="A10533" s="402" t="s">
        <v>37</v>
      </c>
      <c r="B10533" s="268">
        <v>44331</v>
      </c>
      <c r="C10533" s="546">
        <v>194</v>
      </c>
      <c r="D10533" s="39">
        <f t="shared" si="1006"/>
        <v>47924</v>
      </c>
      <c r="E10533" s="1">
        <v>3</v>
      </c>
      <c r="F10533" s="39">
        <f t="shared" si="1012"/>
        <v>750</v>
      </c>
      <c r="G10533" s="169">
        <f>SUM(C10533,C10509,C10485,C10461,C10437,C10413,C10389,C10365,C10341,C10317,C10293,C10269,C10245,C10221)/POBLA!$B$20*100000</f>
        <v>828.00562212536033</v>
      </c>
      <c r="H10533" s="258">
        <f t="shared" si="1016"/>
        <v>1.0814285714285714</v>
      </c>
      <c r="I10533" s="310">
        <f t="shared" si="1013"/>
        <v>895.42893706985399</v>
      </c>
      <c r="J10533" s="552">
        <f t="shared" si="1014"/>
        <v>212.28571428571428</v>
      </c>
      <c r="K10533" s="310">
        <f>J10533/POBLA!$B$20*100000</f>
        <v>58.049460015016294</v>
      </c>
      <c r="L10533" s="202">
        <f t="shared" si="1015"/>
        <v>3.6316472114137466E-2</v>
      </c>
      <c r="M10533" s="512">
        <f>SUM(C10533,C10509,C10485,C10461,C10437,C10413,C10389)/POBLA!$B$20*100000</f>
        <v>406.34622010511407</v>
      </c>
    </row>
    <row r="10534" spans="1:13" ht="15.75" thickBot="1" x14ac:dyDescent="0.3">
      <c r="A10534" s="402" t="s">
        <v>22</v>
      </c>
      <c r="B10534" s="268">
        <v>44331</v>
      </c>
      <c r="C10534" s="546">
        <v>2449</v>
      </c>
      <c r="D10534" s="39">
        <f t="shared" si="1006"/>
        <v>301643</v>
      </c>
      <c r="E10534" s="1">
        <v>14</v>
      </c>
      <c r="F10534" s="39">
        <f t="shared" si="1012"/>
        <v>4932</v>
      </c>
      <c r="G10534" s="169">
        <f>SUM(C10534,C10510,C10486,C10462,C10438,C10414,C10390,C10366,C10342,C10318,C10294,C10270,C10246,C10222)/POBLA!$B$21*100000</f>
        <v>730.03247919222213</v>
      </c>
      <c r="H10534" s="258">
        <f t="shared" si="1016"/>
        <v>1.085751535032383</v>
      </c>
      <c r="I10534" s="310">
        <f t="shared" si="1013"/>
        <v>792.63388490645139</v>
      </c>
      <c r="J10534" s="552">
        <f t="shared" si="1014"/>
        <v>1912.2857142857142</v>
      </c>
      <c r="K10534" s="310">
        <f>J10534/POBLA!$B$21*100000</f>
        <v>54.074086103105294</v>
      </c>
      <c r="L10534" s="202">
        <f t="shared" si="1015"/>
        <v>-7.6824068860107841E-2</v>
      </c>
      <c r="M10534" s="512">
        <f>SUM(C10534,C10510,C10486,C10462,C10438,C10414,C10390)/POBLA!$B$21*100000</f>
        <v>378.51860272173712</v>
      </c>
    </row>
    <row r="10535" spans="1:13" ht="15.75" thickBot="1" x14ac:dyDescent="0.3">
      <c r="A10535" s="402" t="s">
        <v>38</v>
      </c>
      <c r="B10535" s="268">
        <v>44331</v>
      </c>
      <c r="C10535" s="546">
        <v>471</v>
      </c>
      <c r="D10535" s="39">
        <f t="shared" si="1006"/>
        <v>34925</v>
      </c>
      <c r="E10535" s="1">
        <v>2</v>
      </c>
      <c r="F10535" s="39">
        <f t="shared" si="1012"/>
        <v>397</v>
      </c>
      <c r="G10535" s="169">
        <f>SUM(C10535,C10511,C10487,C10463,C10439,C10415,C10391,C10367,C10343,C10319,C10295,C10271,C10247,C10223)/POBLA!$B$22*100000</f>
        <v>416.12449185485622</v>
      </c>
      <c r="H10535" s="258">
        <f t="shared" si="1016"/>
        <v>1.4364855328158082</v>
      </c>
      <c r="I10535" s="310">
        <f t="shared" si="1013"/>
        <v>597.75681239983055</v>
      </c>
      <c r="J10535" s="552">
        <f t="shared" si="1014"/>
        <v>343.85714285714283</v>
      </c>
      <c r="K10535" s="310">
        <f>J10535/POBLA!$B$22*100000</f>
        <v>35.147968273665263</v>
      </c>
      <c r="L10535" s="202">
        <f t="shared" si="1015"/>
        <v>-0.44651442307692313</v>
      </c>
      <c r="M10535" s="512">
        <f>SUM(C10535,C10511,C10487,C10463,C10439,C10415,C10391)/POBLA!$B$22*100000</f>
        <v>246.03577791565687</v>
      </c>
    </row>
    <row r="10536" spans="1:13" ht="15.75" thickBot="1" x14ac:dyDescent="0.3">
      <c r="A10536" s="402" t="s">
        <v>39</v>
      </c>
      <c r="B10536" s="268">
        <v>44331</v>
      </c>
      <c r="C10536" s="546">
        <v>34</v>
      </c>
      <c r="D10536" s="39">
        <f t="shared" si="1006"/>
        <v>27463</v>
      </c>
      <c r="F10536" s="39">
        <f t="shared" si="1012"/>
        <v>404</v>
      </c>
      <c r="G10536" s="169">
        <f>SUM(C10536,C10512,C10488,C10464,C10440,C10416,C10392,C10368,C10344,C10320,C10296,C10272,C10248,C10224)/POBLA!$B$23*100000</f>
        <v>546.28739467284959</v>
      </c>
      <c r="H10536" s="258">
        <f t="shared" si="1016"/>
        <v>0.89032258064516134</v>
      </c>
      <c r="I10536" s="310">
        <f t="shared" si="1013"/>
        <v>486.37200299905322</v>
      </c>
      <c r="J10536" s="552">
        <f t="shared" si="1014"/>
        <v>69.428571428571431</v>
      </c>
      <c r="K10536" s="310">
        <f>J10536/POBLA!$B$23*100000</f>
        <v>39.262891720053965</v>
      </c>
      <c r="L10536" s="202">
        <f t="shared" si="1015"/>
        <v>-1.2499999999999956E-2</v>
      </c>
      <c r="M10536" s="512">
        <f>SUM(C10536,C10512,C10488,C10464,C10440,C10416,C10392)/POBLA!$B$23*100000</f>
        <v>274.8402420403778</v>
      </c>
    </row>
    <row r="10537" spans="1:13" ht="15.75" thickBot="1" x14ac:dyDescent="0.3">
      <c r="A10537" s="403" t="s">
        <v>40</v>
      </c>
      <c r="B10537" s="34">
        <v>44331</v>
      </c>
      <c r="C10537" s="546">
        <v>509</v>
      </c>
      <c r="D10537" s="67">
        <f t="shared" si="1006"/>
        <v>114545</v>
      </c>
      <c r="E10537" s="234"/>
      <c r="F10537" s="67">
        <f t="shared" si="1012"/>
        <v>1745</v>
      </c>
      <c r="G10537" s="257">
        <f>SUM(C10537,C10513,C10489,C10465,C10441,C10417,C10393,C10369,C10345,C10321,C10297,C10273,C10249,C10225)/POBLA!$B$24*100000</f>
        <v>468.29563049964122</v>
      </c>
      <c r="H10537" s="259">
        <f t="shared" si="1016"/>
        <v>0.85214216686352406</v>
      </c>
      <c r="I10537" s="312">
        <f t="shared" si="1013"/>
        <v>399.05445330668448</v>
      </c>
      <c r="J10537" s="566">
        <f t="shared" si="1014"/>
        <v>614.85714285714289</v>
      </c>
      <c r="K10537" s="312">
        <f>J10537/POBLA!$B$24*100000</f>
        <v>36.282121141821285</v>
      </c>
      <c r="L10537" s="262">
        <f t="shared" si="1015"/>
        <v>-0.18502202643171817</v>
      </c>
      <c r="M10537" s="517">
        <f>SUM(C10537,C10513,C10489,C10465,C10441,C10417,C10393)/POBLA!$B$24*100000</f>
        <v>253.97484799274898</v>
      </c>
    </row>
    <row r="10538" spans="1:13" x14ac:dyDescent="0.25">
      <c r="A10538" s="397" t="s">
        <v>16</v>
      </c>
      <c r="B10538" s="267">
        <v>44332</v>
      </c>
      <c r="C10538" s="43">
        <v>5415</v>
      </c>
      <c r="D10538" s="175">
        <f t="shared" si="1006"/>
        <v>1439398</v>
      </c>
      <c r="E10538" s="43">
        <v>150</v>
      </c>
      <c r="F10538" s="175">
        <v>36601</v>
      </c>
      <c r="G10538" s="176">
        <f>SUM(C10538,C10514,C10490,C10466,C10442,C10418,C10394,C10370,C10346,C10322,C10298,C10274,C10250,C10226)/POBLA!$B$1*100000</f>
        <v>723.32808909066978</v>
      </c>
      <c r="H10538" s="313">
        <f t="shared" si="1016"/>
        <v>0.84665123013992971</v>
      </c>
      <c r="I10538" s="314">
        <f>G10538*H10538</f>
        <v>612.40661642338023</v>
      </c>
      <c r="J10538" s="551">
        <f>AVERAGE(C10538,C10514,C10490,C10466,C10442,C10418,C10394)</f>
        <v>9220.8571428571431</v>
      </c>
      <c r="K10538" s="314">
        <f>J10538/POBLA!$B$1*100000</f>
        <v>52.567031659212716</v>
      </c>
      <c r="L10538" s="510">
        <f>1-(SUM(C10538,C10514,C10490,C10466,C10442,C10418,C10394)/SUM(C10370,C10346,C10322,C10298,C10274,C10250,C10226))</f>
        <v>-3.5486251483941356E-2</v>
      </c>
      <c r="M10538" s="511">
        <f>SUM(C10538,C10514,C10490,C10466,C10442,C10418,C10394)/POBLA!$B$1*100000</f>
        <v>367.96922161448907</v>
      </c>
    </row>
    <row r="10539" spans="1:13" x14ac:dyDescent="0.25">
      <c r="A10539" s="402" t="s">
        <v>43</v>
      </c>
      <c r="B10539" s="2">
        <v>44332</v>
      </c>
      <c r="C10539" s="1">
        <v>1851</v>
      </c>
      <c r="D10539" s="39">
        <f t="shared" si="1006"/>
        <v>378109</v>
      </c>
      <c r="E10539" s="1">
        <v>23</v>
      </c>
      <c r="F10539" s="39">
        <f t="shared" ref="F10539:F10561" si="1017">E10539+F10515</f>
        <v>8485</v>
      </c>
      <c r="G10539" s="169">
        <f>SUM(C10539,C10515,C10491,C10467,C10443,C10419,C10395,C10371,C10347,C10323,C10299,C10275,C10251,C10227)/POBLA!$B$2*100000</f>
        <v>1036.7252928327903</v>
      </c>
      <c r="H10539" s="258">
        <f t="shared" si="1016"/>
        <v>0.81095653500852005</v>
      </c>
      <c r="I10539" s="310">
        <f t="shared" ref="I10539:I10561" si="1018">G10539*H10539</f>
        <v>840.73915123137294</v>
      </c>
      <c r="J10539" s="552">
        <f t="shared" ref="J10539:J10561" si="1019">AVERAGE(C10539,C10515,C10491,C10467,C10443,C10419,C10395)</f>
        <v>2320.7142857142858</v>
      </c>
      <c r="K10539" s="310">
        <f>J10539/POBLA!$B$2*100000</f>
        <v>75.454531689091851</v>
      </c>
      <c r="L10539" s="202">
        <f>1-(SUM(C10539,C10515,C10491,C10467,C10443,C10419,C10395)/SUM(C10371,C10347,C10323,C10299,C10275,C10251,C10227))</f>
        <v>-3.861645674828984E-2</v>
      </c>
      <c r="M10539" s="512">
        <f>SUM(C10539,C10515,C10491,C10467,C10443,C10419,C10395)/POBLA!$B$2*100000</f>
        <v>528.18172182364287</v>
      </c>
    </row>
    <row r="10540" spans="1:13" x14ac:dyDescent="0.25">
      <c r="A10540" s="402" t="s">
        <v>28</v>
      </c>
      <c r="B10540" s="2">
        <v>44332</v>
      </c>
      <c r="C10540" s="1">
        <v>422</v>
      </c>
      <c r="D10540" s="39">
        <f t="shared" si="1006"/>
        <v>18029</v>
      </c>
      <c r="F10540" s="39">
        <f t="shared" si="1017"/>
        <v>124</v>
      </c>
      <c r="G10540" s="169">
        <f>SUM(C10540,C10516,C10492,C10468,C10444,C10420,C10396,C10372,C10348,C10324,C10300,C10276,C10252,C10228)/POBLA!$B$3*100000</f>
        <v>729.35070937179557</v>
      </c>
      <c r="H10540" s="258">
        <f t="shared" si="1016"/>
        <v>1.3593539703903095</v>
      </c>
      <c r="I10540" s="310">
        <f t="shared" si="1018"/>
        <v>991.445782591539</v>
      </c>
      <c r="J10540" s="552">
        <f t="shared" si="1019"/>
        <v>265.57142857142856</v>
      </c>
      <c r="K10540" s="310">
        <f>J10540/POBLA!$B$3*100000</f>
        <v>63.925646804439786</v>
      </c>
      <c r="L10540" s="202">
        <f t="shared" ref="L10540:L10561" si="1020">1-(SUM(C10540,C10516,C10492,C10468,C10444,C10420,C10396)/SUM(C10372,C10348,C10324,C10300,C10276,C10252,C10228))</f>
        <v>-0.58753202391118697</v>
      </c>
      <c r="M10540" s="512">
        <f>SUM(C10540,C10516,C10492,C10468,C10444,C10420,C10396)/POBLA!$B$3*100000</f>
        <v>447.4795276310785</v>
      </c>
    </row>
    <row r="10541" spans="1:13" x14ac:dyDescent="0.25">
      <c r="A10541" s="402" t="s">
        <v>15</v>
      </c>
      <c r="B10541" s="2">
        <v>44332</v>
      </c>
      <c r="C10541" s="1">
        <v>234</v>
      </c>
      <c r="D10541" s="39">
        <f t="shared" si="1006"/>
        <v>49297</v>
      </c>
      <c r="E10541" s="1">
        <v>4</v>
      </c>
      <c r="F10541" s="39">
        <f t="shared" si="1017"/>
        <v>1108</v>
      </c>
      <c r="G10541" s="169">
        <f>SUM(C10541,C10517,C10493,C10469,C10445,C10421,C10397,C10373,C10349,C10325,C10301,C10277,C10253,C10229)/POBLA!$B$4*100000</f>
        <v>341.78994322318624</v>
      </c>
      <c r="H10541" s="258">
        <f t="shared" si="1016"/>
        <v>1.3379915502112447</v>
      </c>
      <c r="I10541" s="310">
        <f t="shared" si="1018"/>
        <v>457.31205597980426</v>
      </c>
      <c r="J10541" s="552">
        <f t="shared" si="1019"/>
        <v>331.14285714285717</v>
      </c>
      <c r="K10541" s="310">
        <f>J10541/POBLA!$B$4*100000</f>
        <v>27.491206786888714</v>
      </c>
      <c r="L10541" s="202">
        <f t="shared" si="1020"/>
        <v>-0.2884936075597555</v>
      </c>
      <c r="M10541" s="512">
        <f>SUM(C10541,C10517,C10493,C10469,C10445,C10421,C10397)/POBLA!$B$4*100000</f>
        <v>192.43844750822097</v>
      </c>
    </row>
    <row r="10542" spans="1:13" x14ac:dyDescent="0.25">
      <c r="A10542" s="402" t="s">
        <v>29</v>
      </c>
      <c r="B10542" s="2">
        <v>44332</v>
      </c>
      <c r="C10542" s="1">
        <v>145</v>
      </c>
      <c r="D10542" s="39">
        <f t="shared" si="1006"/>
        <v>57869</v>
      </c>
      <c r="E10542" s="1">
        <v>1</v>
      </c>
      <c r="F10542" s="39">
        <f t="shared" si="1017"/>
        <v>958</v>
      </c>
      <c r="G10542" s="169">
        <f>SUM(C10542,C10518,C10494,C10470,C10446,C10422,C10398,C10374,C10350,C10326,C10302,C10278,C10254,C10230)/POBLA!$B$5*100000</f>
        <v>454.60860686856415</v>
      </c>
      <c r="H10542" s="258">
        <f t="shared" si="1016"/>
        <v>1.1439024390243901</v>
      </c>
      <c r="I10542" s="310">
        <f t="shared" si="1018"/>
        <v>520.02789419843066</v>
      </c>
      <c r="J10542" s="552">
        <f t="shared" si="1019"/>
        <v>218</v>
      </c>
      <c r="K10542" s="310">
        <f>J10542/POBLA!$B$5*100000</f>
        <v>35.218435073684077</v>
      </c>
      <c r="L10542" s="202">
        <f t="shared" si="1020"/>
        <v>-0.18478260869565211</v>
      </c>
      <c r="M10542" s="512">
        <f>SUM(C10542,C10518,C10494,C10470,C10446,C10422,C10398)/POBLA!$B$5*100000</f>
        <v>246.52904551578851</v>
      </c>
    </row>
    <row r="10543" spans="1:13" x14ac:dyDescent="0.25">
      <c r="A10543" s="402" t="s">
        <v>30</v>
      </c>
      <c r="B10543" s="2">
        <v>44332</v>
      </c>
      <c r="C10543" s="1">
        <v>241</v>
      </c>
      <c r="D10543" s="39">
        <f t="shared" si="1006"/>
        <v>40550</v>
      </c>
      <c r="F10543" s="39">
        <f t="shared" si="1017"/>
        <v>553</v>
      </c>
      <c r="G10543" s="169">
        <f>SUM(C10543,C10519,C10495,C10471,C10447,C10423,C10399,C10375,C10351,C10327,C10303,C10279,C10255,C10231)/POBLA!$B$6*100000</f>
        <v>246.34167885289185</v>
      </c>
      <c r="H10543" s="258">
        <f t="shared" si="1016"/>
        <v>0.90346858638743455</v>
      </c>
      <c r="I10543" s="310">
        <f t="shared" si="1018"/>
        <v>222.56196836152958</v>
      </c>
      <c r="J10543" s="552">
        <f t="shared" si="1019"/>
        <v>185.57142857142858</v>
      </c>
      <c r="K10543" s="310">
        <f>J10543/POBLA!$B$6*100000</f>
        <v>16.557036313442669</v>
      </c>
      <c r="L10543" s="202">
        <f t="shared" si="1020"/>
        <v>0.11149110807113538</v>
      </c>
      <c r="M10543" s="512">
        <f>SUM(C10543,C10519,C10495,C10471,C10447,C10423,C10399)/POBLA!$B$6*100000</f>
        <v>115.89925419409869</v>
      </c>
    </row>
    <row r="10544" spans="1:13" x14ac:dyDescent="0.25">
      <c r="A10544" s="402" t="s">
        <v>20</v>
      </c>
      <c r="B10544" s="2">
        <v>44332</v>
      </c>
      <c r="C10544" s="1">
        <v>1865</v>
      </c>
      <c r="D10544" s="39">
        <f t="shared" si="1006"/>
        <v>256644</v>
      </c>
      <c r="E10544" s="1">
        <v>3</v>
      </c>
      <c r="F10544" s="39">
        <f t="shared" si="1017"/>
        <v>3596</v>
      </c>
      <c r="G10544" s="169">
        <f>SUM(C10544,C10520,C10496,C10472,C10448,C10424,C10400,C10376,C10352,C10328,C10304,C10280,C10256,C10232)/POBLA!$B$7*100000</f>
        <v>721.34983845018542</v>
      </c>
      <c r="H10544" s="258">
        <f t="shared" si="1016"/>
        <v>1.1952412425644414</v>
      </c>
      <c r="I10544" s="310">
        <f t="shared" si="1018"/>
        <v>862.18707723285866</v>
      </c>
      <c r="J10544" s="552">
        <f t="shared" si="1019"/>
        <v>2292.5714285714284</v>
      </c>
      <c r="K10544" s="310">
        <f>J10544/POBLA!$B$7*100000</f>
        <v>60.965347992166592</v>
      </c>
      <c r="L10544" s="202">
        <f t="shared" si="1020"/>
        <v>-0.4486369380754649</v>
      </c>
      <c r="M10544" s="512">
        <f>SUM(C10544,C10520,C10496,C10472,C10448,C10424,C10400)/POBLA!$B$7*100000</f>
        <v>426.75743594516615</v>
      </c>
    </row>
    <row r="10545" spans="1:13" x14ac:dyDescent="0.25">
      <c r="A10545" s="402" t="s">
        <v>31</v>
      </c>
      <c r="B10545" s="2">
        <v>44332</v>
      </c>
      <c r="C10545" s="1">
        <v>401</v>
      </c>
      <c r="D10545" s="39">
        <f t="shared" si="1006"/>
        <v>72082</v>
      </c>
      <c r="F10545" s="39">
        <f t="shared" si="1017"/>
        <v>1131</v>
      </c>
      <c r="G10545" s="169">
        <f>SUM(C10545,C10521,C10497,C10473,C10449,C10425,C10401,C10377,C10353,C10329,C10305,C10281,C10257,C10233)/POBLA!$B$8*100000</f>
        <v>616.68401924729483</v>
      </c>
      <c r="H10545" s="258">
        <f t="shared" si="1016"/>
        <v>1.2058408577878104</v>
      </c>
      <c r="I10545" s="310">
        <f t="shared" si="1018"/>
        <v>743.6227867531926</v>
      </c>
      <c r="J10545" s="552">
        <f t="shared" si="1019"/>
        <v>664.14285714285711</v>
      </c>
      <c r="K10545" s="310">
        <f>J10545/POBLA!$B$8*100000</f>
        <v>47.919303439480409</v>
      </c>
      <c r="L10545" s="202">
        <f t="shared" si="1020"/>
        <v>-0.19266290405336073</v>
      </c>
      <c r="M10545" s="512">
        <f>SUM(C10545,C10521,C10497,C10473,C10449,C10425,C10401)/POBLA!$B$8*100000</f>
        <v>335.43512407636291</v>
      </c>
    </row>
    <row r="10546" spans="1:13" x14ac:dyDescent="0.25">
      <c r="A10546" s="402" t="s">
        <v>41</v>
      </c>
      <c r="B10546" s="2">
        <v>44332</v>
      </c>
      <c r="C10546" s="1">
        <v>1221</v>
      </c>
      <c r="D10546" s="39">
        <f t="shared" si="1006"/>
        <v>8166</v>
      </c>
      <c r="F10546" s="39">
        <f t="shared" si="1017"/>
        <v>162</v>
      </c>
      <c r="G10546" s="169">
        <f>SUM(C10546,C10522,C10498,C10474,C10450,C10426,C10402,C10378,C10354,C10330,C10306,C10282,C10258,C10234)/POBLA!$B$9*100000</f>
        <v>599.31294644848833</v>
      </c>
      <c r="H10546" s="258">
        <f t="shared" si="1016"/>
        <v>3.3676880222841228</v>
      </c>
      <c r="I10546" s="310">
        <f t="shared" si="1018"/>
        <v>2018.2990313543801</v>
      </c>
      <c r="J10546" s="552">
        <f t="shared" si="1019"/>
        <v>323.42857142857144</v>
      </c>
      <c r="K10546" s="310">
        <f>J10546/POBLA!$B$9*100000</f>
        <v>53.442219495032397</v>
      </c>
      <c r="L10546" s="202">
        <f t="shared" si="1020"/>
        <v>-0.66104181951577412</v>
      </c>
      <c r="M10546" s="512">
        <f>SUM(C10546,C10522,C10498,C10474,C10450,C10426,C10402)/POBLA!$B$9*100000</f>
        <v>374.09553646522676</v>
      </c>
    </row>
    <row r="10547" spans="1:13" x14ac:dyDescent="0.25">
      <c r="A10547" s="402" t="s">
        <v>32</v>
      </c>
      <c r="B10547" s="2">
        <v>44332</v>
      </c>
      <c r="C10547" s="1">
        <v>64</v>
      </c>
      <c r="D10547" s="39">
        <f t="shared" ref="D10547:D10610" si="1021">C10547+D10523</f>
        <v>26242</v>
      </c>
      <c r="E10547" s="1">
        <v>3</v>
      </c>
      <c r="F10547" s="39">
        <f t="shared" si="1017"/>
        <v>1066</v>
      </c>
      <c r="G10547" s="169">
        <f>SUM(C10547,C10523,C10499,C10475,C10451,C10427,C10403,C10379,C10355,C10331,C10307,C10283,C10259,C10235)/POBLA!$B$10*100000</f>
        <v>162.6710218568106</v>
      </c>
      <c r="H10547" s="258">
        <f t="shared" si="1016"/>
        <v>0.96313364055299544</v>
      </c>
      <c r="I10547" s="310">
        <f t="shared" si="1018"/>
        <v>156.67393349342589</v>
      </c>
      <c r="J10547" s="552">
        <f t="shared" si="1019"/>
        <v>83.428571428571431</v>
      </c>
      <c r="K10547" s="310">
        <f>J10547/POBLA!$B$10*100000</f>
        <v>10.822496783364933</v>
      </c>
      <c r="L10547" s="202">
        <f t="shared" si="1020"/>
        <v>0.12835820895522387</v>
      </c>
      <c r="M10547" s="512">
        <f>SUM(C10547,C10523,C10499,C10475,C10451,C10427,C10403)/POBLA!$B$10*100000</f>
        <v>75.757477483554538</v>
      </c>
    </row>
    <row r="10548" spans="1:13" x14ac:dyDescent="0.25">
      <c r="A10548" s="402" t="s">
        <v>33</v>
      </c>
      <c r="B10548" s="2">
        <v>44332</v>
      </c>
      <c r="C10548" s="1">
        <v>221</v>
      </c>
      <c r="D10548" s="39">
        <f t="shared" si="1021"/>
        <v>33592</v>
      </c>
      <c r="E10548" s="1">
        <v>1</v>
      </c>
      <c r="F10548" s="39">
        <f t="shared" si="1017"/>
        <v>441</v>
      </c>
      <c r="G10548" s="169">
        <f>SUM(C10548,C10524,C10500,C10476,C10452,C10428,C10404,C10380,C10356,C10332,C10308,C10284,C10260,C10236)/POBLA!$B$11*100000</f>
        <v>1670.6284107268405</v>
      </c>
      <c r="H10548" s="258">
        <f t="shared" si="1016"/>
        <v>1.674496644295302</v>
      </c>
      <c r="I10548" s="310">
        <f t="shared" si="1018"/>
        <v>2797.4616676264877</v>
      </c>
      <c r="J10548" s="552">
        <f t="shared" si="1019"/>
        <v>506.28571428571428</v>
      </c>
      <c r="K10548" s="310">
        <f>J10548/POBLA!$B$11*100000</f>
        <v>141.25171981143055</v>
      </c>
      <c r="L10548" s="202">
        <f t="shared" si="1020"/>
        <v>-0.45008183306055649</v>
      </c>
      <c r="M10548" s="512">
        <f>SUM(C10548,C10524,C10500,C10476,C10452,C10428,C10404)/POBLA!$B$11*100000</f>
        <v>988.7620386800138</v>
      </c>
    </row>
    <row r="10549" spans="1:13" x14ac:dyDescent="0.25">
      <c r="A10549" s="402" t="s">
        <v>21</v>
      </c>
      <c r="B10549" s="2">
        <v>44332</v>
      </c>
      <c r="C10549" s="1">
        <v>195</v>
      </c>
      <c r="D10549" s="39">
        <f t="shared" si="1021"/>
        <v>14854</v>
      </c>
      <c r="F10549" s="39">
        <f t="shared" si="1017"/>
        <v>517</v>
      </c>
      <c r="G10549" s="169">
        <f>SUM(C10549,C10525,C10501,C10477,C10453,C10429,C10405,C10381,C10357,C10333,C10309,C10285,C10261,C10237)/POBLA!$B$12*100000</f>
        <v>332.62944977651063</v>
      </c>
      <c r="H10549" s="258">
        <f t="shared" si="1016"/>
        <v>1.1856884057971016</v>
      </c>
      <c r="I10549" s="310">
        <f t="shared" si="1018"/>
        <v>394.39488202667792</v>
      </c>
      <c r="J10549" s="552">
        <f t="shared" si="1019"/>
        <v>81.142857142857139</v>
      </c>
      <c r="K10549" s="310">
        <f>J10549/POBLA!$B$12*100000</f>
        <v>20.619177940964533</v>
      </c>
      <c r="L10549" s="202">
        <f t="shared" si="1020"/>
        <v>0.23346828609986503</v>
      </c>
      <c r="M10549" s="512">
        <f>SUM(C10549,C10525,C10501,C10477,C10453,C10429,C10405)/POBLA!$B$12*100000</f>
        <v>144.33424558675173</v>
      </c>
    </row>
    <row r="10550" spans="1:13" x14ac:dyDescent="0.25">
      <c r="A10550" s="402" t="s">
        <v>17</v>
      </c>
      <c r="B10550" s="2">
        <v>44332</v>
      </c>
      <c r="C10550" s="1">
        <v>360</v>
      </c>
      <c r="D10550" s="39">
        <f t="shared" si="1021"/>
        <v>108337</v>
      </c>
      <c r="E10550" s="1">
        <v>29</v>
      </c>
      <c r="F10550" s="39">
        <f t="shared" si="1017"/>
        <v>2191</v>
      </c>
      <c r="G10550" s="169">
        <f>SUM(C10550,C10526,C10502,C10478,C10454,C10430,C10406,C10382,C10358,C10334,C10310,C10286,C10262,C10238)/POBLA!$B$13*100000</f>
        <v>553.82553114094185</v>
      </c>
      <c r="H10550" s="258">
        <f t="shared" si="1016"/>
        <v>0.98675140990063559</v>
      </c>
      <c r="I10550" s="310">
        <f t="shared" si="1018"/>
        <v>546.48812369229267</v>
      </c>
      <c r="J10550" s="552">
        <f t="shared" si="1019"/>
        <v>815.85714285714289</v>
      </c>
      <c r="K10550" s="310">
        <f>J10550/POBLA!$B$13*100000</f>
        <v>40.990884103963396</v>
      </c>
      <c r="L10550" s="202">
        <f t="shared" si="1020"/>
        <v>-7.5112951807228878E-2</v>
      </c>
      <c r="M10550" s="512">
        <f>SUM(C10550,C10526,C10502,C10478,C10454,C10430,C10406)/POBLA!$B$13*100000</f>
        <v>286.93618872774374</v>
      </c>
    </row>
    <row r="10551" spans="1:13" x14ac:dyDescent="0.25">
      <c r="A10551" s="402" t="s">
        <v>23</v>
      </c>
      <c r="B10551" s="2">
        <v>44332</v>
      </c>
      <c r="C10551" s="1">
        <v>120</v>
      </c>
      <c r="D10551" s="39">
        <f t="shared" si="1021"/>
        <v>17918</v>
      </c>
      <c r="E10551" s="1">
        <v>1</v>
      </c>
      <c r="F10551" s="39">
        <f t="shared" si="1017"/>
        <v>259</v>
      </c>
      <c r="G10551" s="169">
        <f>SUM(C10551,C10527,C10503,C10479,C10455,C10431,C10407,C10383,C10359,C10335,C10311,C10287,C10263,C10239)/POBLA!$B$14*100000</f>
        <v>165.06857243434123</v>
      </c>
      <c r="H10551" s="258">
        <f t="shared" si="1016"/>
        <v>1.3537061118335501</v>
      </c>
      <c r="I10551" s="310">
        <f t="shared" si="1018"/>
        <v>223.45433537600678</v>
      </c>
      <c r="J10551" s="552">
        <f t="shared" si="1019"/>
        <v>145.42857142857142</v>
      </c>
      <c r="K10551" s="310">
        <f>J10551/POBLA!$B$14*100000</f>
        <v>11.530108874582089</v>
      </c>
      <c r="L10551" s="202">
        <f t="shared" si="1020"/>
        <v>4.3233082706766957E-2</v>
      </c>
      <c r="M10551" s="512">
        <f>SUM(C10551,C10527,C10503,C10479,C10455,C10431,C10407)/POBLA!$B$14*100000</f>
        <v>80.710762122074627</v>
      </c>
    </row>
    <row r="10552" spans="1:13" x14ac:dyDescent="0.25">
      <c r="A10552" s="402" t="s">
        <v>19</v>
      </c>
      <c r="B10552" s="2">
        <v>44332</v>
      </c>
      <c r="C10552" s="1">
        <v>416</v>
      </c>
      <c r="D10552" s="39">
        <f t="shared" si="1021"/>
        <v>78392</v>
      </c>
      <c r="E10552" s="1">
        <v>14</v>
      </c>
      <c r="F10552" s="39">
        <f t="shared" si="1017"/>
        <v>1165</v>
      </c>
      <c r="G10552" s="169">
        <f>SUM(C10552,C10528,C10504,C10480,C10456,C10432,C10408,C10384,C10360,C10336,C10312,C10288,C10264,C10240)/POBLA!$B$15*100000</f>
        <v>1021.1472810315981</v>
      </c>
      <c r="H10552" s="258">
        <f t="shared" si="1016"/>
        <v>1.7658854166666667</v>
      </c>
      <c r="I10552" s="310">
        <f t="shared" si="1018"/>
        <v>1803.2290918425174</v>
      </c>
      <c r="J10552" s="552">
        <f t="shared" si="1019"/>
        <v>516.42857142857144</v>
      </c>
      <c r="K10552" s="310">
        <f>J10552/POBLA!$B$15*100000</f>
        <v>77.768711334805815</v>
      </c>
      <c r="L10552" s="202">
        <f t="shared" si="1020"/>
        <v>-0.14181933038534433</v>
      </c>
      <c r="M10552" s="512">
        <f>SUM(C10552,C10528,C10504,C10480,C10456,C10432,C10408)/POBLA!$B$15*100000</f>
        <v>544.38097934364066</v>
      </c>
    </row>
    <row r="10553" spans="1:13" x14ac:dyDescent="0.25">
      <c r="A10553" s="402" t="s">
        <v>18</v>
      </c>
      <c r="B10553" s="2">
        <v>44332</v>
      </c>
      <c r="C10553" s="1">
        <v>153</v>
      </c>
      <c r="D10553" s="39">
        <f t="shared" si="1021"/>
        <v>66439</v>
      </c>
      <c r="E10553" s="1">
        <v>7</v>
      </c>
      <c r="F10553" s="39">
        <f t="shared" si="1017"/>
        <v>1434</v>
      </c>
      <c r="G10553" s="169">
        <f>SUM(C10553,C10529,C10505,C10481,C10457,C10433,C10409,C10385,C10361,C10337,C10313,C10289,C10265,C10241)/POBLA!$B$16*100000</f>
        <v>630.67642219874006</v>
      </c>
      <c r="H10553" s="258">
        <f t="shared" si="1016"/>
        <v>1.3130047340573656</v>
      </c>
      <c r="I10553" s="310">
        <f t="shared" si="1018"/>
        <v>828.08112800530751</v>
      </c>
      <c r="J10553" s="552">
        <f t="shared" si="1019"/>
        <v>368</v>
      </c>
      <c r="K10553" s="310">
        <f>J10553/POBLA!$B$16*100000</f>
        <v>49.223525635023613</v>
      </c>
      <c r="L10553" s="202">
        <f t="shared" si="1020"/>
        <v>-0.20430107526881724</v>
      </c>
      <c r="M10553" s="512">
        <f>SUM(C10553,C10529,C10505,C10481,C10457,C10433,C10409)/POBLA!$B$16*100000</f>
        <v>344.56467944516527</v>
      </c>
    </row>
    <row r="10554" spans="1:13" x14ac:dyDescent="0.25">
      <c r="A10554" s="402" t="s">
        <v>34</v>
      </c>
      <c r="B10554" s="2">
        <v>44332</v>
      </c>
      <c r="C10554" s="1">
        <v>94</v>
      </c>
      <c r="D10554" s="39">
        <f t="shared" si="1021"/>
        <v>38458</v>
      </c>
      <c r="F10554" s="39">
        <f t="shared" si="1017"/>
        <v>1318</v>
      </c>
      <c r="G10554" s="169">
        <f>SUM(C10554,C10530,C10506,C10482,C10458,C10434,C10410,C10386,C10362,C10338,C10314,C10290,C10266,C10242)/POBLA!$B$17*100000</f>
        <v>246.27965377629971</v>
      </c>
      <c r="H10554" s="258">
        <f t="shared" ref="H10554:H10577" si="1022">SUM(C10554,C10530,C10506,C10482,C10458,C10434,C10410,C10386,C10362,C10338,C10314,C10290,C10266,C10242)/SUM(C10218,C10194,C10170,C10146,C10122,C10098,C10074,C10050,C10026,C10002,C9978,C9954,C9930,C9906)</f>
        <v>1.3333333333333333</v>
      </c>
      <c r="I10554" s="310">
        <f t="shared" si="1018"/>
        <v>328.37287170173295</v>
      </c>
      <c r="J10554" s="552">
        <f t="shared" si="1019"/>
        <v>286.28571428571428</v>
      </c>
      <c r="K10554" s="310">
        <f>J10554/POBLA!$B$17*100000</f>
        <v>20.098730500395206</v>
      </c>
      <c r="L10554" s="202">
        <f t="shared" si="1020"/>
        <v>-0.33244680851063824</v>
      </c>
      <c r="M10554" s="512">
        <f>SUM(C10554,C10530,C10506,C10482,C10458,C10434,C10410)/POBLA!$B$17*100000</f>
        <v>140.69111350276643</v>
      </c>
    </row>
    <row r="10555" spans="1:13" x14ac:dyDescent="0.25">
      <c r="A10555" s="402" t="s">
        <v>35</v>
      </c>
      <c r="B10555" s="2">
        <v>44332</v>
      </c>
      <c r="C10555" s="1">
        <v>269</v>
      </c>
      <c r="D10555" s="39">
        <f t="shared" si="1021"/>
        <v>29225</v>
      </c>
      <c r="E10555" s="1">
        <v>1</v>
      </c>
      <c r="F10555" s="39">
        <f t="shared" si="1017"/>
        <v>548</v>
      </c>
      <c r="G10555" s="169">
        <f>SUM(C10555,C10531,C10507,C10483,C10459,C10435,C10411,C10387,C10363,C10339,C10315,C10291,C10267,C10243)/POBLA!$B$18*100000</f>
        <v>696.34941379923885</v>
      </c>
      <c r="H10555" s="258">
        <f t="shared" si="1022"/>
        <v>1.4998621450234353</v>
      </c>
      <c r="I10555" s="310">
        <f t="shared" si="1018"/>
        <v>1044.428125466738</v>
      </c>
      <c r="J10555" s="552">
        <f t="shared" si="1019"/>
        <v>425.57142857142856</v>
      </c>
      <c r="K10555" s="310">
        <f>J10555/POBLA!$B$18*100000</f>
        <v>54.475443899893186</v>
      </c>
      <c r="L10555" s="202">
        <f t="shared" si="1020"/>
        <v>-0.21048354327509133</v>
      </c>
      <c r="M10555" s="512">
        <f>SUM(C10555,C10531,C10507,C10483,C10459,C10435,C10411)/POBLA!$B$18*100000</f>
        <v>381.32810729925228</v>
      </c>
    </row>
    <row r="10556" spans="1:13" x14ac:dyDescent="0.25">
      <c r="A10556" s="402" t="s">
        <v>36</v>
      </c>
      <c r="B10556" s="2">
        <v>44332</v>
      </c>
      <c r="C10556" s="1">
        <v>244</v>
      </c>
      <c r="D10556" s="39">
        <f t="shared" si="1021"/>
        <v>44765</v>
      </c>
      <c r="E10556" s="1">
        <v>3</v>
      </c>
      <c r="F10556" s="39">
        <f t="shared" si="1017"/>
        <v>607</v>
      </c>
      <c r="G10556" s="169">
        <f>SUM(C10556,C10532,C10508,C10484,C10460,C10436,C10412,C10388,C10364,C10340,C10316,C10292,C10268,C10244)/POBLA!$B$19*100000</f>
        <v>1248.9967107851623</v>
      </c>
      <c r="H10556" s="258">
        <f t="shared" si="1022"/>
        <v>0.76420317766008672</v>
      </c>
      <c r="I10556" s="310">
        <f t="shared" si="1018"/>
        <v>954.4872552690174</v>
      </c>
      <c r="J10556" s="552">
        <f t="shared" si="1019"/>
        <v>473.71428571428572</v>
      </c>
      <c r="K10556" s="310">
        <f>J10556/POBLA!$B$19*100000</f>
        <v>93.190673288562834</v>
      </c>
      <c r="L10556" s="202">
        <f t="shared" si="1020"/>
        <v>-9.3306956808440589E-2</v>
      </c>
      <c r="M10556" s="512">
        <f>SUM(C10556,C10532,C10508,C10484,C10460,C10436,C10412)/POBLA!$B$19*100000</f>
        <v>652.33471301993984</v>
      </c>
    </row>
    <row r="10557" spans="1:13" x14ac:dyDescent="0.25">
      <c r="A10557" s="402" t="s">
        <v>37</v>
      </c>
      <c r="B10557" s="2">
        <v>44332</v>
      </c>
      <c r="C10557" s="1">
        <v>217</v>
      </c>
      <c r="D10557" s="39">
        <f t="shared" si="1021"/>
        <v>48141</v>
      </c>
      <c r="F10557" s="39">
        <f t="shared" si="1017"/>
        <v>750</v>
      </c>
      <c r="G10557" s="169">
        <f>SUM(C10557,C10533,C10509,C10485,C10461,C10437,C10413,C10389,C10365,C10341,C10317,C10293,C10269,C10245)/POBLA!$B$20*100000</f>
        <v>845.77985113399586</v>
      </c>
      <c r="H10557" s="258">
        <f t="shared" si="1022"/>
        <v>1.1082049444643498</v>
      </c>
      <c r="I10557" s="310">
        <f t="shared" si="1018"/>
        <v>937.29741295501594</v>
      </c>
      <c r="J10557" s="552">
        <f t="shared" si="1019"/>
        <v>225.85714285714286</v>
      </c>
      <c r="K10557" s="310">
        <f>J10557/POBLA!$B$20*100000</f>
        <v>61.760562775061075</v>
      </c>
      <c r="L10557" s="202">
        <f t="shared" si="1020"/>
        <v>-4.5634920634920695E-2</v>
      </c>
      <c r="M10557" s="512">
        <f>SUM(C10557,C10533,C10509,C10485,C10461,C10437,C10413)/POBLA!$B$20*100000</f>
        <v>432.32393942542757</v>
      </c>
    </row>
    <row r="10558" spans="1:13" x14ac:dyDescent="0.25">
      <c r="A10558" s="402" t="s">
        <v>22</v>
      </c>
      <c r="B10558" s="2">
        <v>44332</v>
      </c>
      <c r="C10558" s="1">
        <v>1364</v>
      </c>
      <c r="D10558" s="39">
        <f t="shared" si="1021"/>
        <v>303007</v>
      </c>
      <c r="E10558" s="1">
        <v>15</v>
      </c>
      <c r="F10558" s="39">
        <f t="shared" si="1017"/>
        <v>4947</v>
      </c>
      <c r="G10558" s="169">
        <f>SUM(C10558,C10534,C10510,C10486,C10462,C10438,C10414,C10390,C10366,C10342,C10318,C10294,C10270,C10246)/POBLA!$B$21*100000</f>
        <v>745.61321653718539</v>
      </c>
      <c r="H10558" s="258">
        <f t="shared" si="1022"/>
        <v>1.1134194747065282</v>
      </c>
      <c r="I10558" s="310">
        <f t="shared" si="1018"/>
        <v>830.18027589107783</v>
      </c>
      <c r="J10558" s="552">
        <f t="shared" si="1019"/>
        <v>1986.4285714285713</v>
      </c>
      <c r="K10558" s="310">
        <f>J10558/POBLA!$B$21*100000</f>
        <v>56.170638522611625</v>
      </c>
      <c r="L10558" s="202">
        <f t="shared" si="1020"/>
        <v>-0.11570247933884303</v>
      </c>
      <c r="M10558" s="512">
        <f>SUM(C10558,C10534,C10510,C10486,C10462,C10438,C10414)/POBLA!$B$21*100000</f>
        <v>393.19446965828138</v>
      </c>
    </row>
    <row r="10559" spans="1:13" x14ac:dyDescent="0.25">
      <c r="A10559" s="402" t="s">
        <v>38</v>
      </c>
      <c r="B10559" s="2">
        <v>44332</v>
      </c>
      <c r="C10559" s="1">
        <v>401</v>
      </c>
      <c r="D10559" s="39">
        <f t="shared" si="1021"/>
        <v>35326</v>
      </c>
      <c r="E10559" s="1">
        <v>11</v>
      </c>
      <c r="F10559" s="39">
        <f t="shared" si="1017"/>
        <v>408</v>
      </c>
      <c r="G10559" s="169">
        <f>SUM(C10559,C10535,C10511,C10487,C10463,C10439,C10415,C10391,C10367,C10343,C10319,C10295,C10271,C10247)/POBLA!$B$22*100000</f>
        <v>435.75011269399471</v>
      </c>
      <c r="H10559" s="258">
        <f t="shared" si="1022"/>
        <v>1.5079589671029359</v>
      </c>
      <c r="I10559" s="310">
        <f t="shared" si="1018"/>
        <v>657.0932898530242</v>
      </c>
      <c r="J10559" s="552">
        <f t="shared" si="1019"/>
        <v>360.28571428571428</v>
      </c>
      <c r="K10559" s="310">
        <f>J10559/POBLA!$B$22*100000</f>
        <v>36.827243866299874</v>
      </c>
      <c r="L10559" s="202">
        <f t="shared" si="1020"/>
        <v>-0.44859276278001148</v>
      </c>
      <c r="M10559" s="512">
        <f>SUM(C10559,C10535,C10511,C10487,C10463,C10439,C10415)/POBLA!$B$22*100000</f>
        <v>257.79070706409914</v>
      </c>
    </row>
    <row r="10560" spans="1:13" x14ac:dyDescent="0.25">
      <c r="A10560" s="402" t="s">
        <v>39</v>
      </c>
      <c r="B10560" s="2">
        <v>44332</v>
      </c>
      <c r="C10560" s="1">
        <v>69</v>
      </c>
      <c r="D10560" s="39">
        <f t="shared" si="1021"/>
        <v>27532</v>
      </c>
      <c r="F10560" s="39">
        <f t="shared" si="1017"/>
        <v>404</v>
      </c>
      <c r="G10560" s="169">
        <f>SUM(C10560,C10536,C10512,C10488,C10464,C10440,C10416,C10392,C10368,C10344,C10320,C10296,C10272,C10248)/POBLA!$B$23*100000</f>
        <v>560.42526720579087</v>
      </c>
      <c r="H10560" s="258">
        <f t="shared" si="1022"/>
        <v>0.91929499072356213</v>
      </c>
      <c r="I10560" s="310">
        <f t="shared" si="1018"/>
        <v>515.19614081719737</v>
      </c>
      <c r="J10560" s="552">
        <f t="shared" si="1019"/>
        <v>73.285714285714292</v>
      </c>
      <c r="K10560" s="310">
        <f>J10560/POBLA!$B$23*100000</f>
        <v>41.444163482279194</v>
      </c>
      <c r="L10560" s="202">
        <f t="shared" si="1020"/>
        <v>-7.322175732217584E-2</v>
      </c>
      <c r="M10560" s="512">
        <f>SUM(C10560,C10536,C10512,C10488,C10464,C10440,C10416)/POBLA!$B$23*100000</f>
        <v>290.10914437595432</v>
      </c>
    </row>
    <row r="10561" spans="1:13" ht="15.75" thickBot="1" x14ac:dyDescent="0.3">
      <c r="A10561" s="403" t="s">
        <v>40</v>
      </c>
      <c r="B10561" s="34">
        <v>44332</v>
      </c>
      <c r="C10561" s="234">
        <v>368</v>
      </c>
      <c r="D10561" s="67">
        <f t="shared" si="1021"/>
        <v>114913</v>
      </c>
      <c r="E10561" s="234">
        <v>3</v>
      </c>
      <c r="F10561" s="67">
        <f t="shared" si="1017"/>
        <v>1748</v>
      </c>
      <c r="G10561" s="257">
        <f>SUM(C10561,C10537,C10513,C10489,C10465,C10441,C10417,C10393,C10369,C10345,C10321,C10297,C10273,C10249)/POBLA!$B$24*100000</f>
        <v>476.43887609048681</v>
      </c>
      <c r="H10561" s="259">
        <f t="shared" si="1022"/>
        <v>0.86658795749704842</v>
      </c>
      <c r="I10561" s="312">
        <f t="shared" si="1018"/>
        <v>412.87619250344432</v>
      </c>
      <c r="J10561" s="566">
        <f t="shared" si="1019"/>
        <v>622.14285714285711</v>
      </c>
      <c r="K10561" s="312">
        <f>J10561/POBLA!$B$24*100000</f>
        <v>36.712044045685793</v>
      </c>
      <c r="L10561" s="262">
        <f t="shared" si="1020"/>
        <v>-0.17101371336380744</v>
      </c>
      <c r="M10561" s="517">
        <f>SUM(C10561,C10537,C10513,C10489,C10465,C10441,C10417)/POBLA!$B$24*100000</f>
        <v>256.98430831980056</v>
      </c>
    </row>
    <row r="10562" spans="1:13" x14ac:dyDescent="0.25">
      <c r="A10562" s="397" t="s">
        <v>16</v>
      </c>
      <c r="B10562" s="267">
        <v>44333</v>
      </c>
      <c r="C10562" s="546">
        <v>8979</v>
      </c>
      <c r="D10562" s="175">
        <f t="shared" si="1021"/>
        <v>1448377</v>
      </c>
      <c r="E10562" s="43">
        <v>226</v>
      </c>
      <c r="F10562" s="175">
        <f t="shared" ref="F10562:F10585" si="1023">E10562+F10538</f>
        <v>36827</v>
      </c>
      <c r="G10562" s="176">
        <f>SUM(C10562,C10538,C10514,C10490,C10466,C10442,C10418,C10394,C10370,C10346,C10322,C10298,C10274,C10250)/POBLA!$B$1*100000</f>
        <v>734.46761530507058</v>
      </c>
      <c r="H10562" s="313">
        <f t="shared" si="1022"/>
        <v>0.88018801538556135</v>
      </c>
      <c r="I10562" s="314">
        <f>G10562*H10562</f>
        <v>646.46959268033606</v>
      </c>
      <c r="J10562" s="551">
        <f>AVERAGE(C10562,C10538,C10514,C10490,C10466,C10442,C10418)</f>
        <v>9473.1428571428569</v>
      </c>
      <c r="K10562" s="314">
        <f>J10562/POBLA!$B$1*100000</f>
        <v>54.005283106400306</v>
      </c>
      <c r="L10562" s="202">
        <f t="shared" ref="L10562:L10569" si="1024">(SUM(C10562,C10538,C10514,C10490,C10466,C10442,C10418)/SUM(C10394,C10370,C10346,C10322,C10298,C10274,C10250))-1</f>
        <v>6.0618662230894627E-2</v>
      </c>
      <c r="M10562" s="511">
        <f>SUM(C10562,C10538,C10514,C10490,C10466,C10442,C10418)/POBLA!$B$1*100000</f>
        <v>378.03698174480212</v>
      </c>
    </row>
    <row r="10563" spans="1:13" x14ac:dyDescent="0.25">
      <c r="A10563" s="402" t="s">
        <v>43</v>
      </c>
      <c r="B10563" s="2">
        <v>44333</v>
      </c>
      <c r="C10563" s="546">
        <v>2445</v>
      </c>
      <c r="D10563" s="39">
        <f t="shared" si="1021"/>
        <v>380554</v>
      </c>
      <c r="E10563" s="1">
        <v>71</v>
      </c>
      <c r="F10563" s="39">
        <f t="shared" si="1023"/>
        <v>8556</v>
      </c>
      <c r="G10563" s="169">
        <f>SUM(C10563,C10539,C10515,C10491,C10467,C10443,C10419,C10395,C10371,C10347,C10323,C10299,C10275,C10251)/POBLA!$B$2*100000</f>
        <v>1056.4284706367378</v>
      </c>
      <c r="H10563" s="258">
        <f t="shared" si="1022"/>
        <v>0.85142288140034594</v>
      </c>
      <c r="I10563" s="310">
        <f t="shared" ref="I10563:I10585" si="1025">G10563*H10563</f>
        <v>899.46737246289206</v>
      </c>
      <c r="J10563" s="552">
        <f t="shared" ref="J10563:J10585" si="1026">AVERAGE(C10563,C10539,C10515,C10491,C10467,C10443,C10419)</f>
        <v>2402.1428571428573</v>
      </c>
      <c r="K10563" s="310">
        <f>J10563/POBLA!$B$2*100000</f>
        <v>78.102059116779273</v>
      </c>
      <c r="L10563" s="202">
        <f t="shared" si="1024"/>
        <v>7.2590419085284186E-2</v>
      </c>
      <c r="M10563" s="512">
        <f>SUM(C10563,C10539,C10515,C10491,C10467,C10443,C10419)/POBLA!$B$2*100000</f>
        <v>546.7144138174549</v>
      </c>
    </row>
    <row r="10564" spans="1:13" x14ac:dyDescent="0.25">
      <c r="A10564" s="402" t="s">
        <v>28</v>
      </c>
      <c r="B10564" s="2">
        <v>44333</v>
      </c>
      <c r="C10564" s="546">
        <v>163</v>
      </c>
      <c r="D10564" s="39">
        <f t="shared" si="1021"/>
        <v>18192</v>
      </c>
      <c r="F10564" s="39">
        <f t="shared" si="1023"/>
        <v>124</v>
      </c>
      <c r="G10564" s="169">
        <f>SUM(C10564,C10540,C10516,C10492,C10468,C10444,C10420,C10396,C10372,C10348,C10324,C10300,C10276,C10252)/POBLA!$B$3*100000</f>
        <v>726.22148190584392</v>
      </c>
      <c r="H10564" s="258">
        <f t="shared" si="1022"/>
        <v>1.3676337262012692</v>
      </c>
      <c r="I10564" s="310">
        <f t="shared" si="1025"/>
        <v>993.20499134629688</v>
      </c>
      <c r="J10564" s="552">
        <f t="shared" si="1026"/>
        <v>263.28571428571428</v>
      </c>
      <c r="K10564" s="310">
        <f>J10564/POBLA!$B$3*100000</f>
        <v>63.375452964272469</v>
      </c>
      <c r="L10564" s="202">
        <f t="shared" si="1024"/>
        <v>0.56984667802385003</v>
      </c>
      <c r="M10564" s="512">
        <f>SUM(C10564,C10540,C10516,C10492,C10468,C10444,C10420)/POBLA!$B$3*100000</f>
        <v>443.62817074990733</v>
      </c>
    </row>
    <row r="10565" spans="1:13" x14ac:dyDescent="0.25">
      <c r="A10565" s="402" t="s">
        <v>15</v>
      </c>
      <c r="B10565" s="2">
        <v>44333</v>
      </c>
      <c r="C10565" s="546">
        <v>442</v>
      </c>
      <c r="D10565" s="39">
        <f t="shared" si="1021"/>
        <v>49739</v>
      </c>
      <c r="E10565" s="1">
        <v>8</v>
      </c>
      <c r="F10565" s="39">
        <f t="shared" si="1023"/>
        <v>1116</v>
      </c>
      <c r="G10565" s="169">
        <f>SUM(C10565,C10541,C10517,C10493,C10469,C10445,C10421,C10397,C10373,C10349,C10325,C10301,C10277,C10253)/POBLA!$B$4*100000</f>
        <v>362.37869860801749</v>
      </c>
      <c r="H10565" s="258">
        <f t="shared" si="1022"/>
        <v>1.4039884207140561</v>
      </c>
      <c r="I10565" s="310">
        <f t="shared" si="1025"/>
        <v>508.7754967590854</v>
      </c>
      <c r="J10565" s="552">
        <f t="shared" si="1026"/>
        <v>369</v>
      </c>
      <c r="K10565" s="310">
        <f>J10565/POBLA!$B$4*100000</f>
        <v>30.634075552430343</v>
      </c>
      <c r="L10565" s="202">
        <f t="shared" si="1024"/>
        <v>0.44949494949494939</v>
      </c>
      <c r="M10565" s="512">
        <f>SUM(C10565,C10541,C10517,C10493,C10469,C10445,C10421)/POBLA!$B$4*100000</f>
        <v>214.43852886701242</v>
      </c>
    </row>
    <row r="10566" spans="1:13" x14ac:dyDescent="0.25">
      <c r="A10566" s="402" t="s">
        <v>29</v>
      </c>
      <c r="B10566" s="2">
        <v>44333</v>
      </c>
      <c r="C10566" s="546">
        <v>265</v>
      </c>
      <c r="D10566" s="39">
        <f t="shared" si="1021"/>
        <v>58134</v>
      </c>
      <c r="E10566" s="1">
        <v>3</v>
      </c>
      <c r="F10566" s="39">
        <f t="shared" si="1023"/>
        <v>961</v>
      </c>
      <c r="G10566" s="169">
        <f>SUM(C10566,C10542,C10518,C10494,C10470,C10446,C10422,C10398,C10374,C10350,C10326,C10302,C10278,C10254)/POBLA!$B$5*100000</f>
        <v>477.22595049386587</v>
      </c>
      <c r="H10566" s="258">
        <f t="shared" si="1022"/>
        <v>1.2121460812474354</v>
      </c>
      <c r="I10566" s="310">
        <f t="shared" si="1025"/>
        <v>578.4675657607221</v>
      </c>
      <c r="J10566" s="552">
        <f t="shared" si="1026"/>
        <v>222.71428571428572</v>
      </c>
      <c r="K10566" s="310">
        <f>J10566/POBLA!$B$5*100000</f>
        <v>35.980039501883013</v>
      </c>
      <c r="L10566" s="202">
        <f t="shared" si="1024"/>
        <v>0.11756272401433687</v>
      </c>
      <c r="M10566" s="512">
        <f>SUM(C10566,C10542,C10518,C10494,C10470,C10446,C10422)/POBLA!$B$5*100000</f>
        <v>251.86027651318108</v>
      </c>
    </row>
    <row r="10567" spans="1:13" x14ac:dyDescent="0.25">
      <c r="A10567" s="402" t="s">
        <v>30</v>
      </c>
      <c r="B10567" s="2">
        <v>44333</v>
      </c>
      <c r="C10567" s="546">
        <v>294</v>
      </c>
      <c r="D10567" s="39">
        <f t="shared" si="1021"/>
        <v>40844</v>
      </c>
      <c r="E10567" s="1">
        <v>1</v>
      </c>
      <c r="F10567" s="39">
        <f t="shared" si="1023"/>
        <v>554</v>
      </c>
      <c r="G10567" s="169">
        <f>SUM(C10567,C10543,C10519,C10495,C10471,C10447,C10423,C10399,C10375,C10351,C10327,C10303,C10279,C10255)/POBLA!$B$6*100000</f>
        <v>262.13395598326554</v>
      </c>
      <c r="H10567" s="258">
        <f t="shared" si="1022"/>
        <v>0.96233213232885684</v>
      </c>
      <c r="I10567" s="310">
        <f t="shared" si="1025"/>
        <v>252.25992881717463</v>
      </c>
      <c r="J10567" s="552">
        <f t="shared" si="1026"/>
        <v>208.57142857142858</v>
      </c>
      <c r="K10567" s="310">
        <f>J10567/POBLA!$B$6*100000</f>
        <v>18.609140121344339</v>
      </c>
      <c r="L10567" s="202">
        <f t="shared" si="1024"/>
        <v>-1.2178619756427644E-2</v>
      </c>
      <c r="M10567" s="512">
        <f>SUM(C10567,C10543,C10519,C10495,C10471,C10447,C10423)/POBLA!$B$6*100000</f>
        <v>130.26398084941036</v>
      </c>
    </row>
    <row r="10568" spans="1:13" x14ac:dyDescent="0.25">
      <c r="A10568" s="402" t="s">
        <v>20</v>
      </c>
      <c r="B10568" s="2">
        <v>44333</v>
      </c>
      <c r="C10568" s="546">
        <v>2745</v>
      </c>
      <c r="D10568" s="39">
        <f t="shared" si="1021"/>
        <v>259389</v>
      </c>
      <c r="E10568" s="1">
        <v>18</v>
      </c>
      <c r="F10568" s="39">
        <f t="shared" si="1023"/>
        <v>3614</v>
      </c>
      <c r="G10568" s="169">
        <f>SUM(C10568,C10544,C10520,C10496,C10472,C10448,C10424,C10400,C10376,C10352,C10328,C10304,C10280,C10256)/POBLA!$B$7*100000</f>
        <v>762.27579146112839</v>
      </c>
      <c r="H10568" s="258">
        <f t="shared" si="1022"/>
        <v>1.2705553831833696</v>
      </c>
      <c r="I10568" s="310">
        <f t="shared" si="1025"/>
        <v>968.51361031130034</v>
      </c>
      <c r="J10568" s="552">
        <f t="shared" si="1026"/>
        <v>2486.4285714285716</v>
      </c>
      <c r="K10568" s="310">
        <f>J10568/POBLA!$B$7*100000</f>
        <v>66.120506094445389</v>
      </c>
      <c r="L10568" s="202">
        <f t="shared" si="1024"/>
        <v>0.54573712255772655</v>
      </c>
      <c r="M10568" s="512">
        <f>SUM(C10568,C10544,C10520,C10496,C10472,C10448,C10424)/POBLA!$B$7*100000</f>
        <v>462.84354266111774</v>
      </c>
    </row>
    <row r="10569" spans="1:13" x14ac:dyDescent="0.25">
      <c r="A10569" s="402" t="s">
        <v>31</v>
      </c>
      <c r="B10569" s="2">
        <v>44333</v>
      </c>
      <c r="C10569" s="356">
        <v>465</v>
      </c>
      <c r="D10569" s="39">
        <f t="shared" si="1021"/>
        <v>72547</v>
      </c>
      <c r="E10569" s="1">
        <v>52</v>
      </c>
      <c r="F10569" s="39">
        <f t="shared" si="1023"/>
        <v>1183</v>
      </c>
      <c r="G10569" s="169">
        <f>SUM(C10569,C10545,C10521,C10497,C10473,C10449,C10425,C10401,C10377,C10353,C10329,C10305,C10281,C10257)/POBLA!$B$8*100000</f>
        <v>628.22835563194064</v>
      </c>
      <c r="H10569" s="258">
        <f t="shared" si="1022"/>
        <v>1.2114929734242381</v>
      </c>
      <c r="I10569" s="310">
        <f t="shared" si="1025"/>
        <v>761.09423855395949</v>
      </c>
      <c r="J10569" s="552">
        <f t="shared" si="1026"/>
        <v>671</v>
      </c>
      <c r="K10569" s="310">
        <f>J10569/POBLA!$B$8*100000</f>
        <v>48.414060713108093</v>
      </c>
      <c r="L10569" s="202">
        <f t="shared" si="1024"/>
        <v>0.17132169576059852</v>
      </c>
      <c r="M10569" s="512">
        <f>SUM(C10569,C10545,C10521,C10497,C10473,C10449,C10425)/POBLA!$B$8*100000</f>
        <v>338.8984249917566</v>
      </c>
    </row>
    <row r="10570" spans="1:13" x14ac:dyDescent="0.25">
      <c r="A10570" s="402" t="s">
        <v>41</v>
      </c>
      <c r="B10570" s="2">
        <v>44333</v>
      </c>
      <c r="C10570" s="546">
        <v>5630</v>
      </c>
      <c r="D10570" s="39">
        <f t="shared" si="1021"/>
        <v>13796</v>
      </c>
      <c r="F10570" s="39">
        <f t="shared" si="1023"/>
        <v>162</v>
      </c>
      <c r="G10570" s="169">
        <f>SUM(C10570,C10546,C10522,C10498,C10474,C10450,C10426,C10402,C10378,C10354,C10330,C10306,C10282,C10258)/POBLA!$B$9*100000</f>
        <v>1515.3843484640438</v>
      </c>
      <c r="H10570" s="258">
        <f t="shared" si="1022"/>
        <v>8.1665182546749779</v>
      </c>
      <c r="I10570" s="310">
        <f t="shared" si="1025"/>
        <v>12375.413944580361</v>
      </c>
      <c r="J10570" s="552">
        <f t="shared" si="1026"/>
        <v>1106.5714285714287</v>
      </c>
      <c r="K10570" s="310">
        <f>J10570/POBLA!$B$9*100000</f>
        <v>182.84603896136085</v>
      </c>
      <c r="L10570" s="202">
        <f>(SUM(C10570,C10546,C10522,C10498,C10474,C10450,C10426)/SUM(C10402,C10378,C10354,C10330,C10306,C10282,C10258))-1</f>
        <v>4.4357894736842107</v>
      </c>
      <c r="M10570" s="512">
        <f>SUM(C10570,C10546,C10522,C10498,C10474,C10450,C10426)/POBLA!$B$9*100000</f>
        <v>1279.922272729526</v>
      </c>
    </row>
    <row r="10571" spans="1:13" x14ac:dyDescent="0.25">
      <c r="A10571" s="402" t="s">
        <v>32</v>
      </c>
      <c r="B10571" s="2">
        <v>44333</v>
      </c>
      <c r="C10571" s="546">
        <v>77</v>
      </c>
      <c r="D10571" s="39">
        <f t="shared" si="1021"/>
        <v>26319</v>
      </c>
      <c r="E10571" s="1">
        <v>4</v>
      </c>
      <c r="F10571" s="39">
        <f t="shared" si="1023"/>
        <v>1070</v>
      </c>
      <c r="G10571" s="169">
        <f>SUM(C10571,C10547,C10523,C10499,C10475,C10451,C10427,C10403,C10379,C10355,C10331,C10307,C10283,C10259)/POBLA!$B$10*100000</f>
        <v>162.28185673275124</v>
      </c>
      <c r="H10571" s="258">
        <f t="shared" si="1022"/>
        <v>0.95060790273556228</v>
      </c>
      <c r="I10571" s="310">
        <f t="shared" si="1025"/>
        <v>154.26641548075364</v>
      </c>
      <c r="J10571" s="552">
        <f t="shared" si="1026"/>
        <v>87.571428571428569</v>
      </c>
      <c r="K10571" s="310">
        <f>J10571/POBLA!$B$10*100000</f>
        <v>11.359915288018328</v>
      </c>
      <c r="L10571" s="202">
        <f t="shared" ref="L10571:L10593" si="1027">(SUM(C10571,C10547,C10523,C10499,C10475,C10451,C10427)/SUM(C10403,C10379,C10355,C10331,C10307,C10283,C10259))-1</f>
        <v>-3.9184952978056464E-2</v>
      </c>
      <c r="M10571" s="512">
        <f>SUM(C10571,C10547,C10523,C10499,C10475,C10451,C10427)/POBLA!$B$10*100000</f>
        <v>79.519407016128298</v>
      </c>
    </row>
    <row r="10572" spans="1:13" x14ac:dyDescent="0.25">
      <c r="A10572" s="402" t="s">
        <v>33</v>
      </c>
      <c r="B10572" s="2">
        <v>44333</v>
      </c>
      <c r="C10572" s="546">
        <v>509</v>
      </c>
      <c r="D10572" s="39">
        <f t="shared" si="1021"/>
        <v>34101</v>
      </c>
      <c r="E10572" s="1">
        <v>13</v>
      </c>
      <c r="F10572" s="39">
        <f t="shared" si="1023"/>
        <v>454</v>
      </c>
      <c r="G10572" s="169">
        <f>SUM(C10572,C10548,C10524,C10500,C10476,C10452,C10428,C10404,C10380,C10356,C10332,C10308,C10284,C10260)/POBLA!$B$11*100000</f>
        <v>1750.9792761726205</v>
      </c>
      <c r="H10572" s="258">
        <f t="shared" si="1022"/>
        <v>1.7232289950576607</v>
      </c>
      <c r="I10572" s="310">
        <f t="shared" si="1025"/>
        <v>3017.3382584457349</v>
      </c>
      <c r="J10572" s="552">
        <f t="shared" si="1026"/>
        <v>514.28571428571433</v>
      </c>
      <c r="K10572" s="310">
        <f>J10572/POBLA!$B$11*100000</f>
        <v>143.48368829603555</v>
      </c>
      <c r="L10572" s="202">
        <f t="shared" si="1027"/>
        <v>0.34529147982062791</v>
      </c>
      <c r="M10572" s="512">
        <f>SUM(C10572,C10548,C10524,C10500,C10476,C10452,C10428)/POBLA!$B$11*100000</f>
        <v>1004.3858180722489</v>
      </c>
    </row>
    <row r="10573" spans="1:13" x14ac:dyDescent="0.25">
      <c r="A10573" s="402" t="s">
        <v>21</v>
      </c>
      <c r="B10573" s="2">
        <v>44333</v>
      </c>
      <c r="C10573" s="546">
        <v>162</v>
      </c>
      <c r="D10573" s="39">
        <f t="shared" si="1021"/>
        <v>15016</v>
      </c>
      <c r="F10573" s="39">
        <f t="shared" si="1023"/>
        <v>517</v>
      </c>
      <c r="G10573" s="169">
        <f>SUM(C10573,C10549,C10525,C10501,C10477,C10453,C10429,C10405,C10381,C10357,C10333,C10309,C10285,C10261)/POBLA!$B$12*100000</f>
        <v>316.36643618927098</v>
      </c>
      <c r="H10573" s="258">
        <f t="shared" si="1022"/>
        <v>1.0263808738664468</v>
      </c>
      <c r="I10573" s="310">
        <f t="shared" si="1025"/>
        <v>324.71245923795743</v>
      </c>
      <c r="J10573" s="552">
        <f t="shared" si="1026"/>
        <v>90.857142857142861</v>
      </c>
      <c r="K10573" s="310">
        <f>J10573/POBLA!$B$12*100000</f>
        <v>23.08767107474198</v>
      </c>
      <c r="L10573" s="202">
        <f t="shared" si="1027"/>
        <v>4.4334975369458185E-2</v>
      </c>
      <c r="M10573" s="512">
        <f>SUM(C10573,C10549,C10525,C10501,C10477,C10453,C10429)/POBLA!$B$12*100000</f>
        <v>161.61369752319385</v>
      </c>
    </row>
    <row r="10574" spans="1:13" x14ac:dyDescent="0.25">
      <c r="A10574" s="402" t="s">
        <v>17</v>
      </c>
      <c r="B10574" s="2">
        <v>44333</v>
      </c>
      <c r="C10574" s="546">
        <v>898</v>
      </c>
      <c r="D10574" s="39">
        <f t="shared" si="1021"/>
        <v>109235</v>
      </c>
      <c r="E10574" s="1">
        <v>31</v>
      </c>
      <c r="F10574" s="39">
        <f t="shared" si="1023"/>
        <v>2222</v>
      </c>
      <c r="G10574" s="169">
        <f>SUM(C10574,C10550,C10526,C10502,C10478,C10454,C10430,C10406,C10382,C10358,C10334,C10310,C10286,C10262)/POBLA!$B$13*100000</f>
        <v>568.34567797027444</v>
      </c>
      <c r="H10574" s="258">
        <f t="shared" si="1022"/>
        <v>1.0273363000635727</v>
      </c>
      <c r="I10574" s="310">
        <f t="shared" si="1025"/>
        <v>583.88214596310456</v>
      </c>
      <c r="J10574" s="552">
        <f t="shared" si="1026"/>
        <v>824.28571428571433</v>
      </c>
      <c r="K10574" s="310">
        <f>J10574/POBLA!$B$13*100000</f>
        <v>41.414358480103097</v>
      </c>
      <c r="L10574" s="202">
        <f t="shared" si="1027"/>
        <v>4.114038253338137E-2</v>
      </c>
      <c r="M10574" s="512">
        <f>SUM(C10574,C10550,C10526,C10502,C10478,C10454,C10430)/POBLA!$B$13*100000</f>
        <v>289.90050936072168</v>
      </c>
    </row>
    <row r="10575" spans="1:13" x14ac:dyDescent="0.25">
      <c r="A10575" s="402" t="s">
        <v>23</v>
      </c>
      <c r="B10575" s="2">
        <v>44333</v>
      </c>
      <c r="C10575" s="546">
        <v>152</v>
      </c>
      <c r="D10575" s="39">
        <f t="shared" si="1021"/>
        <v>18070</v>
      </c>
      <c r="F10575" s="39">
        <f t="shared" si="1023"/>
        <v>259</v>
      </c>
      <c r="G10575" s="169">
        <f>SUM(C10575,C10551,C10527,C10503,C10479,C10455,C10431,C10407,C10383,C10359,C10335,C10311,C10287,C10263)/POBLA!$B$14*100000</f>
        <v>169.27060621869288</v>
      </c>
      <c r="H10575" s="258">
        <f t="shared" si="1022"/>
        <v>1.3624760689215061</v>
      </c>
      <c r="I10575" s="310">
        <f t="shared" si="1025"/>
        <v>230.62715014480492</v>
      </c>
      <c r="J10575" s="552">
        <f t="shared" si="1026"/>
        <v>144</v>
      </c>
      <c r="K10575" s="310">
        <f>J10575/POBLA!$B$14*100000</f>
        <v>11.41684650842706</v>
      </c>
      <c r="L10575" s="202">
        <f t="shared" si="1027"/>
        <v>-0.10559006211180122</v>
      </c>
      <c r="M10575" s="512">
        <f>SUM(C10575,C10551,C10527,C10503,C10479,C10455,C10431)/POBLA!$B$14*100000</f>
        <v>79.917925558989424</v>
      </c>
    </row>
    <row r="10576" spans="1:13" x14ac:dyDescent="0.25">
      <c r="A10576" s="402" t="s">
        <v>19</v>
      </c>
      <c r="B10576" s="2">
        <v>44333</v>
      </c>
      <c r="C10576" s="546">
        <v>700</v>
      </c>
      <c r="D10576" s="39">
        <f t="shared" si="1021"/>
        <v>79092</v>
      </c>
      <c r="E10576" s="1">
        <v>1</v>
      </c>
      <c r="F10576" s="39">
        <f t="shared" si="1023"/>
        <v>1166</v>
      </c>
      <c r="G10576" s="169">
        <f>SUM(C10576,C10552,C10528,C10504,C10480,C10456,C10432,C10408,C10384,C10360,C10336,C10312,C10288,C10264)/POBLA!$B$15*100000</f>
        <v>1077.9195159451674</v>
      </c>
      <c r="H10576" s="258">
        <f t="shared" si="1022"/>
        <v>1.7975891511803115</v>
      </c>
      <c r="I10576" s="310">
        <f t="shared" si="1025"/>
        <v>1937.6564277085656</v>
      </c>
      <c r="J10576" s="552">
        <f t="shared" si="1026"/>
        <v>552.71428571428567</v>
      </c>
      <c r="K10576" s="310">
        <f>J10576/POBLA!$B$15*100000</f>
        <v>83.232958272299769</v>
      </c>
      <c r="L10576" s="202">
        <f t="shared" si="1027"/>
        <v>0.17634539373669811</v>
      </c>
      <c r="M10576" s="512">
        <f>SUM(C10576,C10552,C10528,C10504,C10480,C10456,C10432)/POBLA!$B$15*100000</f>
        <v>582.63070790609845</v>
      </c>
    </row>
    <row r="10577" spans="1:13" x14ac:dyDescent="0.25">
      <c r="A10577" s="402" t="s">
        <v>18</v>
      </c>
      <c r="B10577" s="2">
        <v>44333</v>
      </c>
      <c r="C10577" s="546">
        <v>406</v>
      </c>
      <c r="D10577" s="39">
        <f t="shared" si="1021"/>
        <v>66845</v>
      </c>
      <c r="E10577" s="1">
        <v>11</v>
      </c>
      <c r="F10577" s="39">
        <f t="shared" si="1023"/>
        <v>1445</v>
      </c>
      <c r="G10577" s="169">
        <f>SUM(C10577,C10553,C10529,C10505,C10481,C10457,C10433,C10409,C10385,C10361,C10337,C10313,C10289,C10265)/POBLA!$B$16*100000</f>
        <v>641.91222696325622</v>
      </c>
      <c r="H10577" s="258">
        <f t="shared" si="1022"/>
        <v>1.2917900403768505</v>
      </c>
      <c r="I10577" s="310">
        <f t="shared" si="1025"/>
        <v>829.2158215872588</v>
      </c>
      <c r="J10577" s="552">
        <f t="shared" si="1026"/>
        <v>379.57142857142856</v>
      </c>
      <c r="K10577" s="310">
        <f>J10577/POBLA!$B$16*100000</f>
        <v>50.771315066870237</v>
      </c>
      <c r="L10577" s="202">
        <f t="shared" si="1027"/>
        <v>0.24042950513538752</v>
      </c>
      <c r="M10577" s="512">
        <f>SUM(C10577,C10553,C10529,C10505,C10481,C10457,C10433)/POBLA!$B$16*100000</f>
        <v>355.39920546809168</v>
      </c>
    </row>
    <row r="10578" spans="1:13" x14ac:dyDescent="0.25">
      <c r="A10578" s="402" t="s">
        <v>34</v>
      </c>
      <c r="B10578" s="2">
        <v>44333</v>
      </c>
      <c r="C10578" s="546">
        <v>248</v>
      </c>
      <c r="D10578" s="39">
        <f t="shared" si="1021"/>
        <v>38706</v>
      </c>
      <c r="E10578" s="1">
        <v>2</v>
      </c>
      <c r="F10578" s="39">
        <f t="shared" si="1023"/>
        <v>1320</v>
      </c>
      <c r="G10578" s="169">
        <f>SUM(C10578,C10554,C10530,C10506,C10482,C10458,C10434,C10410,C10386,C10362,C10338,C10314,C10290,C10266)/POBLA!$B$17*100000</f>
        <v>252.73852725047863</v>
      </c>
      <c r="H10578" s="258">
        <f t="shared" ref="H10578:H10601" si="1028">SUM(C10578,C10554,C10530,C10506,C10482,C10458,C10434,C10410,C10386,C10362,C10338,C10314,C10290,C10266)/SUM(C10242,C10218,C10194,C10170,C10146,C10122,C10098,C10074,C10050,C10026,C10002,C9978,C9954,C9930)</f>
        <v>1.3559322033898304</v>
      </c>
      <c r="I10578" s="310">
        <f t="shared" si="1025"/>
        <v>342.69630813624218</v>
      </c>
      <c r="J10578" s="552">
        <f t="shared" si="1026"/>
        <v>281.28571428571428</v>
      </c>
      <c r="K10578" s="310">
        <f>J10578/POBLA!$B$17*100000</f>
        <v>19.747704768102871</v>
      </c>
      <c r="L10578" s="202">
        <f t="shared" si="1027"/>
        <v>0.20723482526057624</v>
      </c>
      <c r="M10578" s="512">
        <f>SUM(C10578,C10554,C10530,C10506,C10482,C10458,C10434)/POBLA!$B$17*100000</f>
        <v>138.2339333767201</v>
      </c>
    </row>
    <row r="10579" spans="1:13" x14ac:dyDescent="0.25">
      <c r="A10579" s="402" t="s">
        <v>35</v>
      </c>
      <c r="B10579" s="2">
        <v>44333</v>
      </c>
      <c r="C10579" s="546">
        <v>562</v>
      </c>
      <c r="D10579" s="39">
        <f t="shared" si="1021"/>
        <v>29787</v>
      </c>
      <c r="E10579" s="1">
        <v>3</v>
      </c>
      <c r="F10579" s="39">
        <f t="shared" si="1023"/>
        <v>551</v>
      </c>
      <c r="G10579" s="169">
        <f>SUM(C10579,C10555,C10531,C10507,C10483,C10459,C10435,C10411,C10387,C10363,C10339,C10315,C10291,C10267)/POBLA!$B$18*100000</f>
        <v>733.98300344206541</v>
      </c>
      <c r="H10579" s="258">
        <f t="shared" si="1028"/>
        <v>1.559847660500544</v>
      </c>
      <c r="I10579" s="310">
        <f t="shared" si="1025"/>
        <v>1144.9016707662686</v>
      </c>
      <c r="J10579" s="552">
        <f t="shared" si="1026"/>
        <v>463.28571428571428</v>
      </c>
      <c r="K10579" s="310">
        <f>J10579/POBLA!$B$18*100000</f>
        <v>59.303076390518164</v>
      </c>
      <c r="L10579" s="202">
        <f t="shared" si="1027"/>
        <v>0.30188679245283012</v>
      </c>
      <c r="M10579" s="512">
        <f>SUM(C10579,C10555,C10531,C10507,C10483,C10459,C10435)/POBLA!$B$18*100000</f>
        <v>415.12153473362713</v>
      </c>
    </row>
    <row r="10580" spans="1:13" x14ac:dyDescent="0.25">
      <c r="A10580" s="402" t="s">
        <v>36</v>
      </c>
      <c r="B10580" s="2">
        <v>44333</v>
      </c>
      <c r="C10580" s="546">
        <v>319</v>
      </c>
      <c r="D10580" s="39">
        <f t="shared" si="1021"/>
        <v>45084</v>
      </c>
      <c r="E10580" s="1">
        <v>12</v>
      </c>
      <c r="F10580" s="39">
        <f t="shared" si="1023"/>
        <v>619</v>
      </c>
      <c r="G10580" s="169">
        <f>SUM(C10580,C10556,C10532,C10508,C10484,C10460,C10436,C10412,C10388,C10364,C10340,C10316,C10292,C10268)/POBLA!$B$19*100000</f>
        <v>1228.5374797374923</v>
      </c>
      <c r="H10580" s="258">
        <f t="shared" si="1028"/>
        <v>0.75358996017859303</v>
      </c>
      <c r="I10580" s="310">
        <f t="shared" si="1025"/>
        <v>925.81351043328584</v>
      </c>
      <c r="J10580" s="552">
        <f t="shared" si="1026"/>
        <v>458.85714285714283</v>
      </c>
      <c r="K10580" s="310">
        <f>J10580/POBLA!$B$19*100000</f>
        <v>90.267925996038542</v>
      </c>
      <c r="L10580" s="202">
        <f t="shared" si="1027"/>
        <v>5.9017474447741414E-2</v>
      </c>
      <c r="M10580" s="512">
        <f>SUM(C10580,C10556,C10532,C10508,C10484,C10460,C10436)/POBLA!$B$19*100000</f>
        <v>631.87548197226988</v>
      </c>
    </row>
    <row r="10581" spans="1:13" x14ac:dyDescent="0.25">
      <c r="A10581" s="402" t="s">
        <v>37</v>
      </c>
      <c r="B10581" s="2">
        <v>44333</v>
      </c>
      <c r="C10581" s="546">
        <v>216</v>
      </c>
      <c r="D10581" s="39">
        <f t="shared" si="1021"/>
        <v>48357</v>
      </c>
      <c r="E10581" s="1">
        <v>1</v>
      </c>
      <c r="F10581" s="39">
        <f t="shared" si="1023"/>
        <v>751</v>
      </c>
      <c r="G10581" s="169">
        <f>SUM(C10581,C10557,C10533,C10509,C10485,C10461,C10437,C10413,C10389,C10365,C10341,C10317,C10293,C10269)/POBLA!$B$20*100000</f>
        <v>863.55408014263128</v>
      </c>
      <c r="H10581" s="258">
        <f t="shared" si="1028"/>
        <v>1.1525547445255475</v>
      </c>
      <c r="I10581" s="310">
        <f t="shared" si="1025"/>
        <v>995.29335222278462</v>
      </c>
      <c r="J10581" s="552">
        <f t="shared" si="1026"/>
        <v>221.85714285714286</v>
      </c>
      <c r="K10581" s="310">
        <f>J10581/POBLA!$B$20*100000</f>
        <v>60.666764066837359</v>
      </c>
      <c r="L10581" s="202">
        <f t="shared" si="1027"/>
        <v>-3.2398753894080978E-2</v>
      </c>
      <c r="M10581" s="512">
        <f>SUM(C10581,C10557,C10533,C10509,C10485,C10461,C10437)/POBLA!$B$20*100000</f>
        <v>424.66734846786142</v>
      </c>
    </row>
    <row r="10582" spans="1:13" x14ac:dyDescent="0.25">
      <c r="A10582" s="402" t="s">
        <v>22</v>
      </c>
      <c r="B10582" s="2">
        <v>44333</v>
      </c>
      <c r="C10582" s="546">
        <v>1618</v>
      </c>
      <c r="D10582" s="39">
        <f t="shared" si="1021"/>
        <v>304625</v>
      </c>
      <c r="E10582" s="1">
        <v>33</v>
      </c>
      <c r="F10582" s="39">
        <f t="shared" si="1023"/>
        <v>4980</v>
      </c>
      <c r="G10582" s="169">
        <f>SUM(C10582,C10558,C10534,C10510,C10486,C10462,C10438,C10414,C10390,C10366,C10342,C10318,C10294,C10270)/POBLA!$B$21*100000</f>
        <v>754.12465381637583</v>
      </c>
      <c r="H10582" s="258">
        <f t="shared" si="1028"/>
        <v>1.119323428187694</v>
      </c>
      <c r="I10582" s="310">
        <f t="shared" si="1025"/>
        <v>844.10939279060381</v>
      </c>
      <c r="J10582" s="552">
        <f t="shared" si="1026"/>
        <v>2038</v>
      </c>
      <c r="K10582" s="310">
        <f>J10582/POBLA!$B$21*100000</f>
        <v>57.628934136179602</v>
      </c>
      <c r="L10582" s="202">
        <f t="shared" si="1027"/>
        <v>0.15020559542046286</v>
      </c>
      <c r="M10582" s="512">
        <f>SUM(C10582,C10558,C10534,C10510,C10486,C10462,C10438)/POBLA!$B$21*100000</f>
        <v>403.40253895325719</v>
      </c>
    </row>
    <row r="10583" spans="1:13" x14ac:dyDescent="0.25">
      <c r="A10583" s="402" t="s">
        <v>38</v>
      </c>
      <c r="B10583" s="2">
        <v>44333</v>
      </c>
      <c r="C10583" s="546">
        <v>429</v>
      </c>
      <c r="D10583" s="39">
        <f t="shared" si="1021"/>
        <v>35755</v>
      </c>
      <c r="E10583" s="1">
        <v>5</v>
      </c>
      <c r="F10583" s="39">
        <f t="shared" si="1023"/>
        <v>413</v>
      </c>
      <c r="G10583" s="169">
        <f>SUM(C10583,C10559,C10535,C10511,C10487,C10463,C10439,C10415,C10391,C10367,C10343,C10319,C10295,C10271)/POBLA!$B$22*100000</f>
        <v>468.86834786004067</v>
      </c>
      <c r="H10583" s="258">
        <f t="shared" si="1028"/>
        <v>1.6619565217391303</v>
      </c>
      <c r="I10583" s="310">
        <f t="shared" si="1025"/>
        <v>779.23880856304584</v>
      </c>
      <c r="J10583" s="552">
        <f t="shared" si="1026"/>
        <v>389.71428571428572</v>
      </c>
      <c r="K10583" s="310">
        <f>J10583/POBLA!$B$22*100000</f>
        <v>39.835337536584483</v>
      </c>
      <c r="L10583" s="202">
        <f t="shared" si="1027"/>
        <v>0.46745562130177509</v>
      </c>
      <c r="M10583" s="512">
        <f>SUM(C10583,C10559,C10535,C10511,C10487,C10463,C10439)/POBLA!$B$22*100000</f>
        <v>278.84736275609134</v>
      </c>
    </row>
    <row r="10584" spans="1:13" x14ac:dyDescent="0.25">
      <c r="A10584" s="402" t="s">
        <v>39</v>
      </c>
      <c r="B10584" s="2">
        <v>44333</v>
      </c>
      <c r="C10584" s="546">
        <v>46</v>
      </c>
      <c r="D10584" s="39">
        <f t="shared" si="1021"/>
        <v>27578</v>
      </c>
      <c r="E10584" s="1">
        <v>3</v>
      </c>
      <c r="F10584" s="39">
        <f t="shared" si="1023"/>
        <v>407</v>
      </c>
      <c r="G10584" s="169">
        <f>SUM(C10584,C10560,C10536,C10512,C10488,C10464,C10440,C10416,C10392,C10368,C10344,C10320,C10296,C10272)/POBLA!$B$23*100000</f>
        <v>564.38387151501445</v>
      </c>
      <c r="H10584" s="258">
        <f t="shared" si="1028"/>
        <v>0.91643709825528008</v>
      </c>
      <c r="I10584" s="310">
        <f t="shared" si="1025"/>
        <v>517.22231751330071</v>
      </c>
      <c r="J10584" s="552">
        <f t="shared" si="1026"/>
        <v>74.428571428571431</v>
      </c>
      <c r="K10584" s="310">
        <f>J10584/POBLA!$B$23*100000</f>
        <v>42.090466226642214</v>
      </c>
      <c r="L10584" s="202">
        <f t="shared" si="1027"/>
        <v>9.2243186582809278E-2</v>
      </c>
      <c r="M10584" s="512">
        <f>SUM(C10584,C10560,C10536,C10512,C10488,C10464,C10440)/POBLA!$B$23*100000</f>
        <v>294.6332635864955</v>
      </c>
    </row>
    <row r="10585" spans="1:13" ht="15.75" thickBot="1" x14ac:dyDescent="0.3">
      <c r="A10585" s="403" t="s">
        <v>40</v>
      </c>
      <c r="B10585" s="34">
        <v>44333</v>
      </c>
      <c r="C10585" s="546">
        <v>910</v>
      </c>
      <c r="D10585" s="67">
        <f t="shared" si="1021"/>
        <v>115823</v>
      </c>
      <c r="E10585" s="234">
        <v>7</v>
      </c>
      <c r="F10585" s="67">
        <f t="shared" si="1023"/>
        <v>1755</v>
      </c>
      <c r="G10585" s="257">
        <f>SUM(C10585,C10561,C10537,C10513,C10489,C10465,C10441,C10417,C10393,C10369,C10345,C10321,C10297,C10273)/POBLA!$B$24*100000</f>
        <v>500.16050455077607</v>
      </c>
      <c r="H10585" s="259">
        <f t="shared" si="1028"/>
        <v>0.94010647737355812</v>
      </c>
      <c r="I10585" s="312">
        <f t="shared" si="1025"/>
        <v>470.2041300546116</v>
      </c>
      <c r="J10585" s="566">
        <f t="shared" si="1026"/>
        <v>682.71428571428567</v>
      </c>
      <c r="K10585" s="312">
        <f>J10585/POBLA!$B$24*100000</f>
        <v>40.28630505036336</v>
      </c>
      <c r="L10585" s="262">
        <f t="shared" si="1027"/>
        <v>0.29266973221530979</v>
      </c>
      <c r="M10585" s="517">
        <f>SUM(C10585,C10561,C10537,C10513,C10489,C10465,C10441)/POBLA!$B$24*100000</f>
        <v>282.00413535254353</v>
      </c>
    </row>
    <row r="10586" spans="1:13" x14ac:dyDescent="0.25">
      <c r="A10586" s="397" t="s">
        <v>16</v>
      </c>
      <c r="B10586" s="267">
        <v>44334</v>
      </c>
      <c r="C10586" s="43">
        <v>14593</v>
      </c>
      <c r="D10586" s="175">
        <f t="shared" si="1021"/>
        <v>1462970</v>
      </c>
      <c r="E10586" s="43">
        <v>488</v>
      </c>
      <c r="F10586" s="175">
        <f t="shared" ref="F10586:F10609" si="1029">E10586+F10562</f>
        <v>37315</v>
      </c>
      <c r="G10586" s="176">
        <f>SUM(C10586,C10562,C10538,C10514,C10490,C10466,C10442,C10418,C10394,C10370,C10346,C10322,C10298,C10274)/POBLA!$B$1*100000</f>
        <v>748.04711962579859</v>
      </c>
      <c r="H10586" s="313">
        <f t="shared" si="1028"/>
        <v>0.91174774349103993</v>
      </c>
      <c r="I10586" s="314">
        <f>G10586*H10586</f>
        <v>682.03027334379385</v>
      </c>
      <c r="J10586" s="551">
        <f>AVERAGE(C10586,C10562,C10538,C10514,C10490,C10466,C10442)</f>
        <v>9956.1428571428569</v>
      </c>
      <c r="K10586" s="314">
        <f>J10586/POBLA!$B$1*100000</f>
        <v>56.758809801157504</v>
      </c>
      <c r="L10586" s="510">
        <f t="shared" si="1027"/>
        <v>0.13279586496107143</v>
      </c>
      <c r="M10586" s="511">
        <f>SUM(C10586,C10562,C10538,C10514,C10490,C10466,C10442)/POBLA!$B$1*100000</f>
        <v>397.31166860810248</v>
      </c>
    </row>
    <row r="10587" spans="1:13" x14ac:dyDescent="0.25">
      <c r="A10587" s="402" t="s">
        <v>43</v>
      </c>
      <c r="B10587" s="2">
        <v>44334</v>
      </c>
      <c r="C10587" s="1">
        <v>3465</v>
      </c>
      <c r="D10587" s="39">
        <f t="shared" si="1021"/>
        <v>384019</v>
      </c>
      <c r="E10587" s="1">
        <v>47</v>
      </c>
      <c r="F10587" s="39">
        <f t="shared" si="1029"/>
        <v>8603</v>
      </c>
      <c r="G10587" s="169">
        <f>SUM(C10587,C10563,C10539,C10515,C10491,C10467,C10443,C10419,C10395,C10371,C10347,C10323,C10299,C10275)/POBLA!$B$2*100000</f>
        <v>1066.0199515809036</v>
      </c>
      <c r="H10587" s="258">
        <f t="shared" si="1028"/>
        <v>0.863111064311475</v>
      </c>
      <c r="I10587" s="310">
        <f t="shared" ref="I10587:I10609" si="1030">G10587*H10587</f>
        <v>920.09361498626072</v>
      </c>
      <c r="J10587" s="552">
        <f t="shared" ref="J10587:J10609" si="1031">AVERAGE(C10587,C10563,C10539,C10515,C10491,C10467,C10443)</f>
        <v>2523.1428571428573</v>
      </c>
      <c r="K10587" s="310">
        <f>J10587/POBLA!$B$2*100000</f>
        <v>82.036191978623592</v>
      </c>
      <c r="L10587" s="202">
        <f t="shared" si="1027"/>
        <v>0.16773553719008261</v>
      </c>
      <c r="M10587" s="512">
        <f>SUM(C10587,C10563,C10539,C10515,C10491,C10467,C10443)/POBLA!$B$2*100000</f>
        <v>574.25334385036513</v>
      </c>
    </row>
    <row r="10588" spans="1:13" x14ac:dyDescent="0.25">
      <c r="A10588" s="402" t="s">
        <v>28</v>
      </c>
      <c r="B10588" s="2">
        <v>44334</v>
      </c>
      <c r="C10588" s="1">
        <v>440</v>
      </c>
      <c r="D10588" s="39">
        <f t="shared" si="1021"/>
        <v>18632</v>
      </c>
      <c r="E10588" s="1">
        <v>9</v>
      </c>
      <c r="F10588" s="39">
        <f t="shared" si="1029"/>
        <v>133</v>
      </c>
      <c r="G10588" s="169">
        <f>SUM(C10588,C10564,C10540,C10516,C10492,C10468,C10444,C10420,C10396,C10372,C10348,C10324,C10300,C10276)/POBLA!$B$3*100000</f>
        <v>788.56532141980267</v>
      </c>
      <c r="H10588" s="258">
        <f t="shared" si="1028"/>
        <v>1.489090909090909</v>
      </c>
      <c r="I10588" s="310">
        <f t="shared" si="1030"/>
        <v>1174.2454513505788</v>
      </c>
      <c r="J10588" s="552">
        <f t="shared" si="1031"/>
        <v>304</v>
      </c>
      <c r="K10588" s="310">
        <f>J10588/POBLA!$B$3*100000</f>
        <v>73.175780742252755</v>
      </c>
      <c r="L10588" s="202">
        <f t="shared" si="1027"/>
        <v>0.85365853658536595</v>
      </c>
      <c r="M10588" s="512">
        <f>SUM(C10588,C10564,C10540,C10516,C10492,C10468,C10444)/POBLA!$B$3*100000</f>
        <v>512.23046519576928</v>
      </c>
    </row>
    <row r="10589" spans="1:13" x14ac:dyDescent="0.25">
      <c r="A10589" s="402" t="s">
        <v>15</v>
      </c>
      <c r="B10589" s="2">
        <v>44334</v>
      </c>
      <c r="C10589" s="1">
        <v>525</v>
      </c>
      <c r="D10589" s="39">
        <f t="shared" si="1021"/>
        <v>50264</v>
      </c>
      <c r="E10589" s="1">
        <v>11</v>
      </c>
      <c r="F10589" s="39">
        <f t="shared" si="1029"/>
        <v>1127</v>
      </c>
      <c r="G10589" s="169">
        <f>SUM(C10589,C10565,C10541,C10517,C10493,C10469,C10445,C10421,C10397,C10373,C10349,C10325,C10301,C10277)/POBLA!$B$4*100000</f>
        <v>382.22028141839922</v>
      </c>
      <c r="H10589" s="258">
        <f t="shared" si="1028"/>
        <v>1.4653087205601527</v>
      </c>
      <c r="I10589" s="310">
        <f t="shared" si="1030"/>
        <v>560.07071153733602</v>
      </c>
      <c r="J10589" s="552">
        <f t="shared" si="1031"/>
        <v>403.14285714285717</v>
      </c>
      <c r="K10589" s="310">
        <f>J10589/POBLA!$B$4*100000</f>
        <v>33.468587382484877</v>
      </c>
      <c r="L10589" s="202">
        <f t="shared" si="1027"/>
        <v>0.58361391694725029</v>
      </c>
      <c r="M10589" s="512">
        <f>SUM(C10589,C10565,C10541,C10517,C10493,C10469,C10445)/POBLA!$B$4*100000</f>
        <v>234.28011167739416</v>
      </c>
    </row>
    <row r="10590" spans="1:13" x14ac:dyDescent="0.25">
      <c r="A10590" s="402" t="s">
        <v>29</v>
      </c>
      <c r="B10590" s="2">
        <v>44334</v>
      </c>
      <c r="C10590" s="1">
        <v>320</v>
      </c>
      <c r="D10590" s="39">
        <f t="shared" si="1021"/>
        <v>58454</v>
      </c>
      <c r="E10590" s="1">
        <v>7</v>
      </c>
      <c r="F10590" s="39">
        <f t="shared" si="1029"/>
        <v>968</v>
      </c>
      <c r="G10590" s="169">
        <f>SUM(C10590,C10566,C10542,C10518,C10494,C10470,C10446,C10422,C10398,C10374,C10350,C10326,C10302,C10278)/POBLA!$B$5*100000</f>
        <v>503.07434320849637</v>
      </c>
      <c r="H10590" s="258">
        <f t="shared" si="1028"/>
        <v>1.3382036957455952</v>
      </c>
      <c r="I10590" s="310">
        <f t="shared" si="1030"/>
        <v>673.21594531639778</v>
      </c>
      <c r="J10590" s="552">
        <f t="shared" si="1031"/>
        <v>229.28571428571428</v>
      </c>
      <c r="K10590" s="310">
        <f>J10590/POBLA!$B$5*100000</f>
        <v>37.041669916948187</v>
      </c>
      <c r="L10590" s="202">
        <f t="shared" si="1027"/>
        <v>6.3618290258449228E-2</v>
      </c>
      <c r="M10590" s="512">
        <f>SUM(C10590,C10566,C10542,C10518,C10494,C10470,C10446)/POBLA!$B$5*100000</f>
        <v>259.2916894186373</v>
      </c>
    </row>
    <row r="10591" spans="1:13" x14ac:dyDescent="0.25">
      <c r="A10591" s="402" t="s">
        <v>30</v>
      </c>
      <c r="B10591" s="2">
        <v>44334</v>
      </c>
      <c r="C10591" s="1">
        <v>35</v>
      </c>
      <c r="D10591" s="39">
        <f t="shared" si="1021"/>
        <v>40879</v>
      </c>
      <c r="E10591" s="1">
        <v>5</v>
      </c>
      <c r="F10591" s="39">
        <f t="shared" si="1029"/>
        <v>559</v>
      </c>
      <c r="G10591" s="169">
        <f>SUM(C10591,C10567,C10543,C10519,C10495,C10471,C10447,C10423,C10399,C10375,C10351,C10327,C10303,C10279)/POBLA!$B$6*100000</f>
        <v>237.15182266967997</v>
      </c>
      <c r="H10591" s="258">
        <f t="shared" si="1028"/>
        <v>0.86326729457616114</v>
      </c>
      <c r="I10591" s="310">
        <f t="shared" si="1030"/>
        <v>204.72541235986014</v>
      </c>
      <c r="J10591" s="552">
        <f t="shared" si="1031"/>
        <v>208.14285714285714</v>
      </c>
      <c r="K10591" s="310">
        <f>J10591/POBLA!$B$6*100000</f>
        <v>18.570902162190894</v>
      </c>
      <c r="L10591" s="202">
        <f t="shared" si="1027"/>
        <v>0.21315570358034974</v>
      </c>
      <c r="M10591" s="512">
        <f>SUM(C10591,C10567,C10543,C10519,C10495,C10471,C10447)/POBLA!$B$6*100000</f>
        <v>129.99631513533626</v>
      </c>
    </row>
    <row r="10592" spans="1:13" x14ac:dyDescent="0.25">
      <c r="A10592" s="402" t="s">
        <v>20</v>
      </c>
      <c r="B10592" s="2">
        <v>44334</v>
      </c>
      <c r="C10592" s="1">
        <v>4074</v>
      </c>
      <c r="D10592" s="39">
        <f t="shared" si="1021"/>
        <v>263463</v>
      </c>
      <c r="E10592" s="1">
        <v>25</v>
      </c>
      <c r="F10592" s="39">
        <f t="shared" si="1029"/>
        <v>3639</v>
      </c>
      <c r="G10592" s="169">
        <f>SUM(C10592,C10568,C10544,C10520,C10496,C10472,C10448,C10424,C10400,C10376,C10352,C10328,C10304,C10280)/POBLA!$B$7*100000</f>
        <v>821.49742716962066</v>
      </c>
      <c r="H10592" s="258">
        <f t="shared" si="1028"/>
        <v>1.3948616065381316</v>
      </c>
      <c r="I10592" s="310">
        <f t="shared" si="1030"/>
        <v>1145.8752210287589</v>
      </c>
      <c r="J10592" s="552">
        <f t="shared" si="1031"/>
        <v>2704.7142857142858</v>
      </c>
      <c r="K10592" s="310">
        <f>J10592/POBLA!$B$7*100000</f>
        <v>71.925282498485174</v>
      </c>
      <c r="L10592" s="202">
        <f t="shared" si="1027"/>
        <v>0.5831591270173091</v>
      </c>
      <c r="M10592" s="512">
        <f>SUM(C10592,C10568,C10544,C10520,C10496,C10472,C10448)/POBLA!$B$7*100000</f>
        <v>503.47697748939623</v>
      </c>
    </row>
    <row r="10593" spans="1:13" x14ac:dyDescent="0.25">
      <c r="A10593" s="402" t="s">
        <v>31</v>
      </c>
      <c r="B10593" s="2">
        <v>44334</v>
      </c>
      <c r="C10593" s="1">
        <v>921</v>
      </c>
      <c r="D10593" s="39">
        <f t="shared" si="1021"/>
        <v>73468</v>
      </c>
      <c r="E10593" s="1">
        <v>6</v>
      </c>
      <c r="F10593" s="39">
        <f t="shared" si="1029"/>
        <v>1189</v>
      </c>
      <c r="G10593" s="169">
        <f>SUM(C10593,C10569,C10545,C10521,C10497,C10473,C10449,C10425,C10401,C10377,C10353,C10329,C10305,C10281)/POBLA!$B$8*100000</f>
        <v>652.18285363008056</v>
      </c>
      <c r="H10593" s="258">
        <f t="shared" si="1028"/>
        <v>1.2599665458600502</v>
      </c>
      <c r="I10593" s="310">
        <f t="shared" si="1030"/>
        <v>821.72857735744333</v>
      </c>
      <c r="J10593" s="552">
        <f t="shared" si="1031"/>
        <v>700.71428571428567</v>
      </c>
      <c r="K10593" s="310">
        <f>J10593/POBLA!$B$8*100000</f>
        <v>50.558008898828014</v>
      </c>
      <c r="L10593" s="202">
        <f t="shared" si="1027"/>
        <v>0.1865021770682147</v>
      </c>
      <c r="M10593" s="512">
        <f>SUM(C10593,C10569,C10545,C10521,C10497,C10473,C10449)/POBLA!$B$8*100000</f>
        <v>353.9060622917961</v>
      </c>
    </row>
    <row r="10594" spans="1:13" x14ac:dyDescent="0.25">
      <c r="A10594" s="402" t="s">
        <v>41</v>
      </c>
      <c r="B10594" s="2">
        <v>44334</v>
      </c>
      <c r="C10594" s="1">
        <v>328</v>
      </c>
      <c r="D10594" s="39">
        <f t="shared" si="1021"/>
        <v>14124</v>
      </c>
      <c r="E10594" s="1">
        <v>25</v>
      </c>
      <c r="F10594" s="39">
        <f t="shared" si="1029"/>
        <v>187</v>
      </c>
      <c r="G10594" s="169">
        <f>SUM(C10594,C10570,C10546,C10522,C10498,C10474,C10450,C10426,C10402,C10378,C10354,C10330,C10306,C10282)/POBLA!$B$9*100000</f>
        <v>1542.15266865281</v>
      </c>
      <c r="H10594" s="258">
        <f t="shared" si="1028"/>
        <v>8.0180412371134029</v>
      </c>
      <c r="I10594" s="310">
        <f t="shared" si="1030"/>
        <v>12365.043691182713</v>
      </c>
      <c r="J10594" s="552">
        <f t="shared" si="1031"/>
        <v>1100.1428571428571</v>
      </c>
      <c r="K10594" s="310">
        <f>J10594/POBLA!$B$9*100000</f>
        <v>181.78380403323521</v>
      </c>
      <c r="L10594" s="202">
        <f>(SUM(C10594,C10570,C10546,C10522,C10498,C10474,C10450)/SUM(C10426,C10402,C10378,C10354,C10330,C10306,C10282))-1</f>
        <v>3.71875</v>
      </c>
      <c r="M10594" s="512">
        <f>SUM(C10594,C10570,C10546,C10522,C10498,C10474,C10450)/POBLA!$B$9*100000</f>
        <v>1272.4866282326464</v>
      </c>
    </row>
    <row r="10595" spans="1:13" x14ac:dyDescent="0.25">
      <c r="A10595" s="402" t="s">
        <v>32</v>
      </c>
      <c r="B10595" s="2">
        <v>44334</v>
      </c>
      <c r="C10595" s="1">
        <v>145</v>
      </c>
      <c r="D10595" s="39">
        <f t="shared" si="1021"/>
        <v>26464</v>
      </c>
      <c r="F10595" s="39">
        <f t="shared" si="1029"/>
        <v>1070</v>
      </c>
      <c r="G10595" s="169">
        <f>SUM(C10595,C10571,C10547,C10523,C10499,C10475,C10451,C10427,C10403,C10379,C10355,C10331,C10307,C10283)/POBLA!$B$10*100000</f>
        <v>162.93046527285014</v>
      </c>
      <c r="H10595" s="258">
        <f t="shared" si="1028"/>
        <v>0.9429429429429429</v>
      </c>
      <c r="I10595" s="310">
        <f t="shared" si="1030"/>
        <v>153.63413241944428</v>
      </c>
      <c r="J10595" s="552">
        <f t="shared" si="1031"/>
        <v>94.142857142857139</v>
      </c>
      <c r="K10595" s="310">
        <f>J10595/POBLA!$B$10*100000</f>
        <v>12.212372226434059</v>
      </c>
      <c r="L10595" s="202">
        <f t="shared" ref="L10595:L10617" si="1032">(SUM(C10595,C10571,C10547,C10523,C10499,C10475,C10451)/SUM(C10427,C10403,C10379,C10355,C10331,C10307,C10283))-1</f>
        <v>0.10385259631490795</v>
      </c>
      <c r="M10595" s="512">
        <f>SUM(C10595,C10571,C10547,C10523,C10499,C10475,C10451)/POBLA!$B$10*100000</f>
        <v>85.486605585038419</v>
      </c>
    </row>
    <row r="10596" spans="1:13" x14ac:dyDescent="0.25">
      <c r="A10596" s="402" t="s">
        <v>33</v>
      </c>
      <c r="B10596" s="2">
        <v>44334</v>
      </c>
      <c r="C10596" s="1">
        <v>799</v>
      </c>
      <c r="D10596" s="39">
        <f t="shared" si="1021"/>
        <v>34900</v>
      </c>
      <c r="E10596" s="1">
        <v>18</v>
      </c>
      <c r="F10596" s="39">
        <f t="shared" si="1029"/>
        <v>472</v>
      </c>
      <c r="G10596" s="169">
        <f>SUM(C10596,C10572,C10548,C10524,C10500,C10476,C10452,C10428,C10404,C10380,C10356,C10332,C10308,C10284)/POBLA!$B$11*100000</f>
        <v>1853.0918343432991</v>
      </c>
      <c r="H10596" s="258">
        <f t="shared" si="1028"/>
        <v>1.7632067958587736</v>
      </c>
      <c r="I10596" s="310">
        <f t="shared" si="1030"/>
        <v>3267.3841156645058</v>
      </c>
      <c r="J10596" s="552">
        <f t="shared" si="1031"/>
        <v>572</v>
      </c>
      <c r="K10596" s="310">
        <f>J10596/POBLA!$B$11*100000</f>
        <v>159.58574664925732</v>
      </c>
      <c r="L10596" s="202">
        <f t="shared" si="1032"/>
        <v>0.5178165276724791</v>
      </c>
      <c r="M10596" s="512">
        <f>SUM(C10596,C10572,C10548,C10524,C10500,C10476,C10452)/POBLA!$B$11*100000</f>
        <v>1117.1002265448012</v>
      </c>
    </row>
    <row r="10597" spans="1:13" x14ac:dyDescent="0.25">
      <c r="A10597" s="402" t="s">
        <v>21</v>
      </c>
      <c r="B10597" s="2">
        <v>44334</v>
      </c>
      <c r="C10597" s="1">
        <v>376</v>
      </c>
      <c r="D10597" s="39">
        <f t="shared" si="1021"/>
        <v>15392</v>
      </c>
      <c r="F10597" s="39">
        <f t="shared" si="1029"/>
        <v>517</v>
      </c>
      <c r="G10597" s="169">
        <f>SUM(C10597,C10573,C10549,C10525,C10501,C10477,C10453,C10429,C10405,C10381,C10357,C10333,C10309,C10285)/POBLA!$B$12*100000</f>
        <v>393.10753155405797</v>
      </c>
      <c r="H10597" s="258">
        <f t="shared" si="1028"/>
        <v>1.3087986463620982</v>
      </c>
      <c r="I10597" s="310">
        <f t="shared" si="1030"/>
        <v>514.4986051726969</v>
      </c>
      <c r="J10597" s="552">
        <f t="shared" si="1031"/>
        <v>142.85714285714286</v>
      </c>
      <c r="K10597" s="310">
        <f>J10597/POBLA!$B$12*100000</f>
        <v>36.301369614374181</v>
      </c>
      <c r="L10597" s="202">
        <f t="shared" si="1032"/>
        <v>0.82815356489945158</v>
      </c>
      <c r="M10597" s="512">
        <f>SUM(C10597,C10573,C10549,C10525,C10501,C10477,C10453)/POBLA!$B$12*100000</f>
        <v>254.10958730061927</v>
      </c>
    </row>
    <row r="10598" spans="1:13" x14ac:dyDescent="0.25">
      <c r="A10598" s="402" t="s">
        <v>17</v>
      </c>
      <c r="B10598" s="2">
        <v>44334</v>
      </c>
      <c r="C10598" s="1">
        <v>1095</v>
      </c>
      <c r="D10598" s="39">
        <f t="shared" si="1021"/>
        <v>110330</v>
      </c>
      <c r="E10598" s="1">
        <v>21</v>
      </c>
      <c r="F10598" s="39">
        <f t="shared" si="1029"/>
        <v>2243</v>
      </c>
      <c r="G10598" s="169">
        <f>SUM(C10598,C10574,C10550,C10526,C10502,C10478,C10454,C10430,C10406,C10382,C10358,C10334,C10310,C10286)/POBLA!$B$13*100000</f>
        <v>571.6114549388094</v>
      </c>
      <c r="H10598" s="258">
        <f t="shared" si="1028"/>
        <v>1.0451038030497888</v>
      </c>
      <c r="I10598" s="310">
        <f t="shared" si="1030"/>
        <v>597.39330542337268</v>
      </c>
      <c r="J10598" s="552">
        <f t="shared" si="1031"/>
        <v>832.71428571428567</v>
      </c>
      <c r="K10598" s="310">
        <f>J10598/POBLA!$B$13*100000</f>
        <v>41.837832856242791</v>
      </c>
      <c r="L10598" s="202">
        <f t="shared" si="1032"/>
        <v>5.0648882480172963E-2</v>
      </c>
      <c r="M10598" s="512">
        <f>SUM(C10598,C10574,C10550,C10526,C10502,C10478,C10454)/POBLA!$B$13*100000</f>
        <v>292.86482999369957</v>
      </c>
    </row>
    <row r="10599" spans="1:13" x14ac:dyDescent="0.25">
      <c r="A10599" s="402" t="s">
        <v>23</v>
      </c>
      <c r="B10599" s="2">
        <v>44334</v>
      </c>
      <c r="C10599" s="1">
        <v>129</v>
      </c>
      <c r="D10599" s="39">
        <f t="shared" si="1021"/>
        <v>18199</v>
      </c>
      <c r="F10599" s="39">
        <f t="shared" si="1029"/>
        <v>259</v>
      </c>
      <c r="G10599" s="169">
        <f>SUM(C10599,C10575,C10551,C10527,C10503,C10479,C10455,C10431,C10407,C10383,C10359,C10335,C10311,C10287)/POBLA!$B$14*100000</f>
        <v>172.99693806519338</v>
      </c>
      <c r="H10599" s="258">
        <f t="shared" si="1028"/>
        <v>1.4214983713355049</v>
      </c>
      <c r="I10599" s="310">
        <f t="shared" si="1030"/>
        <v>245.9148657057016</v>
      </c>
      <c r="J10599" s="552">
        <f t="shared" si="1031"/>
        <v>143</v>
      </c>
      <c r="K10599" s="310">
        <f>J10599/POBLA!$B$14*100000</f>
        <v>11.337562852118539</v>
      </c>
      <c r="L10599" s="202">
        <f t="shared" si="1032"/>
        <v>-0.15241320914479251</v>
      </c>
      <c r="M10599" s="512">
        <f>SUM(C10599,C10575,C10551,C10527,C10503,C10479,C10455)/POBLA!$B$14*100000</f>
        <v>79.362939964829764</v>
      </c>
    </row>
    <row r="10600" spans="1:13" x14ac:dyDescent="0.25">
      <c r="A10600" s="402" t="s">
        <v>19</v>
      </c>
      <c r="B10600" s="2">
        <v>44334</v>
      </c>
      <c r="C10600" s="1">
        <v>807</v>
      </c>
      <c r="D10600" s="39">
        <f t="shared" si="1021"/>
        <v>79899</v>
      </c>
      <c r="E10600" s="1">
        <v>10</v>
      </c>
      <c r="F10600" s="39">
        <f t="shared" si="1029"/>
        <v>1176</v>
      </c>
      <c r="G10600" s="169">
        <f>SUM(C10600,C10576,C10552,C10528,C10504,C10480,C10456,C10432,C10408,C10384,C10360,C10336,C10312,C10288)/POBLA!$B$15*100000</f>
        <v>1119.4822131232711</v>
      </c>
      <c r="H10600" s="258">
        <f t="shared" si="1028"/>
        <v>1.7516493873704053</v>
      </c>
      <c r="I10600" s="310">
        <f t="shared" si="1030"/>
        <v>1960.9403327894433</v>
      </c>
      <c r="J10600" s="552">
        <f t="shared" si="1031"/>
        <v>574.14285714285711</v>
      </c>
      <c r="K10600" s="310">
        <f>J10600/POBLA!$B$15*100000</f>
        <v>86.459875755071792</v>
      </c>
      <c r="L10600" s="202">
        <f t="shared" si="1032"/>
        <v>0.17686676427525616</v>
      </c>
      <c r="M10600" s="512">
        <f>SUM(C10600,C10576,C10552,C10528,C10504,C10480,C10456)/POBLA!$B$15*100000</f>
        <v>605.21913028550262</v>
      </c>
    </row>
    <row r="10601" spans="1:13" x14ac:dyDescent="0.25">
      <c r="A10601" s="402" t="s">
        <v>18</v>
      </c>
      <c r="B10601" s="2">
        <v>44334</v>
      </c>
      <c r="C10601" s="1">
        <v>557</v>
      </c>
      <c r="D10601" s="39">
        <f t="shared" si="1021"/>
        <v>67402</v>
      </c>
      <c r="E10601" s="1">
        <v>13</v>
      </c>
      <c r="F10601" s="39">
        <f t="shared" si="1029"/>
        <v>1458</v>
      </c>
      <c r="G10601" s="169">
        <f>SUM(C10601,C10577,C10553,C10529,C10505,C10481,C10457,C10433,C10409,C10385,C10361,C10337,C10313,C10289)/POBLA!$B$16*100000</f>
        <v>672.27565174355618</v>
      </c>
      <c r="H10601" s="258">
        <f t="shared" si="1028"/>
        <v>1.3420560747663552</v>
      </c>
      <c r="I10601" s="310">
        <f t="shared" si="1030"/>
        <v>902.23162233995026</v>
      </c>
      <c r="J10601" s="552">
        <f t="shared" si="1031"/>
        <v>392.71428571428572</v>
      </c>
      <c r="K10601" s="310">
        <f>J10601/POBLA!$B$16*100000</f>
        <v>52.529298125263935</v>
      </c>
      <c r="L10601" s="202">
        <f t="shared" si="1032"/>
        <v>0.207290294246816</v>
      </c>
      <c r="M10601" s="512">
        <f>SUM(C10601,C10577,C10553,C10529,C10505,C10481,C10457)/POBLA!$B$16*100000</f>
        <v>367.70508687684753</v>
      </c>
    </row>
    <row r="10602" spans="1:13" x14ac:dyDescent="0.25">
      <c r="A10602" s="402" t="s">
        <v>34</v>
      </c>
      <c r="B10602" s="2">
        <v>44334</v>
      </c>
      <c r="C10602" s="1">
        <v>518</v>
      </c>
      <c r="D10602" s="39">
        <f t="shared" si="1021"/>
        <v>39224</v>
      </c>
      <c r="E10602" s="1">
        <v>8</v>
      </c>
      <c r="F10602" s="39">
        <f t="shared" si="1029"/>
        <v>1328</v>
      </c>
      <c r="G10602" s="169">
        <f>SUM(C10602,C10578,C10554,C10530,C10506,C10482,C10458,C10434,C10410,C10386,C10362,C10338,C10314,C10290)/POBLA!$B$17*100000</f>
        <v>274.22130206676928</v>
      </c>
      <c r="H10602" s="258">
        <f t="shared" ref="H10602:H10625" si="1033">SUM(C10602,C10578,C10554,C10530,C10506,C10482,C10458,C10434,C10410,C10386,C10362,C10338,C10314,C10290)/SUM(C10266,C10242,C10218,C10194,C10170,C10146,C10122,C10098,C10074,C10050,C10026,C10002,C9978,C9954)</f>
        <v>1.4994241842610365</v>
      </c>
      <c r="I10602" s="310">
        <f t="shared" si="1030"/>
        <v>411.1740521584648</v>
      </c>
      <c r="J10602" s="552">
        <f t="shared" si="1031"/>
        <v>309.28571428571428</v>
      </c>
      <c r="K10602" s="310">
        <f>J10602/POBLA!$B$17*100000</f>
        <v>21.713448868939928</v>
      </c>
      <c r="L10602" s="202">
        <f t="shared" si="1032"/>
        <v>0.24353819643882835</v>
      </c>
      <c r="M10602" s="512">
        <f>SUM(C10602,C10578,C10554,C10530,C10506,C10482,C10458)/POBLA!$B$17*100000</f>
        <v>151.99414208257951</v>
      </c>
    </row>
    <row r="10603" spans="1:13" x14ac:dyDescent="0.25">
      <c r="A10603" s="402" t="s">
        <v>35</v>
      </c>
      <c r="B10603" s="2">
        <v>44334</v>
      </c>
      <c r="C10603" s="1">
        <v>735</v>
      </c>
      <c r="D10603" s="39">
        <f t="shared" si="1021"/>
        <v>30522</v>
      </c>
      <c r="E10603" s="1">
        <v>8</v>
      </c>
      <c r="F10603" s="39">
        <f t="shared" si="1029"/>
        <v>559</v>
      </c>
      <c r="G10603" s="169">
        <f>SUM(C10603,C10579,C10555,C10531,C10507,C10483,C10459,C10435,C10411,C10387,C10363,C10339,C10315,C10291)/POBLA!$B$18*100000</f>
        <v>773.79268500301453</v>
      </c>
      <c r="H10603" s="258">
        <f t="shared" si="1033"/>
        <v>1.5949868073878628</v>
      </c>
      <c r="I10603" s="310">
        <f t="shared" si="1030"/>
        <v>1234.1891242330403</v>
      </c>
      <c r="J10603" s="552">
        <f t="shared" si="1031"/>
        <v>502.28571428571428</v>
      </c>
      <c r="K10603" s="310">
        <f>J10603/POBLA!$B$18*100000</f>
        <v>64.295287261505365</v>
      </c>
      <c r="L10603" s="202">
        <f t="shared" si="1032"/>
        <v>0.39027283511269273</v>
      </c>
      <c r="M10603" s="512">
        <f>SUM(C10603,C10579,C10555,C10531,C10507,C10483,C10459)/POBLA!$B$18*100000</f>
        <v>450.06701083053753</v>
      </c>
    </row>
    <row r="10604" spans="1:13" x14ac:dyDescent="0.25">
      <c r="A10604" s="402" t="s">
        <v>36</v>
      </c>
      <c r="B10604" s="2">
        <v>44334</v>
      </c>
      <c r="C10604" s="1">
        <v>294</v>
      </c>
      <c r="D10604" s="39">
        <f t="shared" si="1021"/>
        <v>45378</v>
      </c>
      <c r="E10604" s="1">
        <v>10</v>
      </c>
      <c r="F10604" s="39">
        <f t="shared" si="1029"/>
        <v>629</v>
      </c>
      <c r="G10604" s="169">
        <f>SUM(C10604,C10580,C10556,C10532,C10508,C10484,C10460,C10436,C10412,C10388,C10364,C10340,C10316,C10292)/POBLA!$B$19*100000</f>
        <v>1193.1272721549865</v>
      </c>
      <c r="H10604" s="258">
        <f t="shared" si="1033"/>
        <v>0.74581898671913427</v>
      </c>
      <c r="I10604" s="310">
        <f t="shared" si="1030"/>
        <v>889.85697314559673</v>
      </c>
      <c r="J10604" s="552">
        <f t="shared" si="1031"/>
        <v>425.85714285714283</v>
      </c>
      <c r="K10604" s="310">
        <f>J10604/POBLA!$B$19*100000</f>
        <v>83.776054605912492</v>
      </c>
      <c r="L10604" s="202">
        <f t="shared" si="1032"/>
        <v>-3.3398184176394285E-2</v>
      </c>
      <c r="M10604" s="512">
        <f>SUM(C10604,C10580,C10556,C10532,C10508,C10484,C10460)/POBLA!$B$19*100000</f>
        <v>586.43238224138747</v>
      </c>
    </row>
    <row r="10605" spans="1:13" x14ac:dyDescent="0.25">
      <c r="A10605" s="402" t="s">
        <v>37</v>
      </c>
      <c r="B10605" s="2">
        <v>44334</v>
      </c>
      <c r="C10605" s="1">
        <v>369</v>
      </c>
      <c r="D10605" s="39">
        <f t="shared" si="1021"/>
        <v>48726</v>
      </c>
      <c r="E10605" s="1">
        <v>5</v>
      </c>
      <c r="F10605" s="39">
        <f t="shared" si="1029"/>
        <v>756</v>
      </c>
      <c r="G10605" s="169">
        <f>SUM(C10605,C10581,C10557,C10533,C10509,C10485,C10461,C10437,C10413,C10389,C10365,C10341,C10317,C10293)/POBLA!$B$20*100000</f>
        <v>902.65738396162965</v>
      </c>
      <c r="H10605" s="258">
        <f t="shared" si="1033"/>
        <v>1.2096005862953463</v>
      </c>
      <c r="I10605" s="310">
        <f t="shared" si="1030"/>
        <v>1091.8549008638108</v>
      </c>
      <c r="J10605" s="552">
        <f t="shared" si="1031"/>
        <v>243.71428571428572</v>
      </c>
      <c r="K10605" s="310">
        <f>J10605/POBLA!$B$20*100000</f>
        <v>66.643592722488421</v>
      </c>
      <c r="L10605" s="202">
        <f t="shared" si="1032"/>
        <v>6.959247648902811E-2</v>
      </c>
      <c r="M10605" s="512">
        <f>SUM(C10605,C10581,C10557,C10533,C10509,C10485,C10461)/POBLA!$B$20*100000</f>
        <v>466.50514905741898</v>
      </c>
    </row>
    <row r="10606" spans="1:13" x14ac:dyDescent="0.25">
      <c r="A10606" s="402" t="s">
        <v>22</v>
      </c>
      <c r="B10606" s="2">
        <v>44334</v>
      </c>
      <c r="C10606" s="1">
        <v>3302</v>
      </c>
      <c r="D10606" s="39">
        <f t="shared" si="1021"/>
        <v>307927</v>
      </c>
      <c r="E10606" s="1">
        <v>24</v>
      </c>
      <c r="F10606" s="39">
        <f t="shared" si="1029"/>
        <v>5004</v>
      </c>
      <c r="G10606" s="169">
        <f>SUM(C10606,C10582,C10558,C10534,C10510,C10486,C10462,C10438,C10414,C10390,C10366,C10342,C10318,C10294)/POBLA!$B$21*100000</f>
        <v>783.64605089104293</v>
      </c>
      <c r="H10606" s="258">
        <f t="shared" si="1033"/>
        <v>1.1576023391812866</v>
      </c>
      <c r="I10606" s="310">
        <f t="shared" si="1030"/>
        <v>907.1505016016489</v>
      </c>
      <c r="J10606" s="552">
        <f t="shared" si="1031"/>
        <v>2196.5714285714284</v>
      </c>
      <c r="K10606" s="310">
        <f>J10606/POBLA!$B$21*100000</f>
        <v>62.112890177898329</v>
      </c>
      <c r="L10606" s="202">
        <f t="shared" si="1032"/>
        <v>0.24633217151657605</v>
      </c>
      <c r="M10606" s="512">
        <f>SUM(C10606,C10582,C10558,C10534,C10510,C10486,C10462)/POBLA!$B$21*100000</f>
        <v>434.79023124528828</v>
      </c>
    </row>
    <row r="10607" spans="1:13" x14ac:dyDescent="0.25">
      <c r="A10607" s="402" t="s">
        <v>38</v>
      </c>
      <c r="B10607" s="2">
        <v>44334</v>
      </c>
      <c r="C10607" s="1">
        <v>444</v>
      </c>
      <c r="D10607" s="39">
        <f t="shared" si="1021"/>
        <v>36199</v>
      </c>
      <c r="E10607" s="1">
        <v>5</v>
      </c>
      <c r="F10607" s="39">
        <f t="shared" si="1029"/>
        <v>418</v>
      </c>
      <c r="G10607" s="169">
        <f>SUM(C10607,C10583,C10559,C10535,C10511,C10487,C10463,C10439,C10415,C10391,C10367,C10343,C10319,C10295)/POBLA!$B$22*100000</f>
        <v>500.04446429721372</v>
      </c>
      <c r="H10607" s="258">
        <f t="shared" si="1033"/>
        <v>1.7756805807622504</v>
      </c>
      <c r="I10607" s="310">
        <f t="shared" si="1030"/>
        <v>887.91924477022485</v>
      </c>
      <c r="J10607" s="552">
        <f t="shared" si="1031"/>
        <v>420.57142857142856</v>
      </c>
      <c r="K10607" s="310">
        <f>J10607/POBLA!$B$22*100000</f>
        <v>42.989455171446004</v>
      </c>
      <c r="L10607" s="202">
        <f t="shared" si="1032"/>
        <v>0.51129363449691989</v>
      </c>
      <c r="M10607" s="512">
        <f>SUM(C10607,C10583,C10559,C10535,C10511,C10487,C10463)/POBLA!$B$22*100000</f>
        <v>300.92618620012206</v>
      </c>
    </row>
    <row r="10608" spans="1:13" x14ac:dyDescent="0.25">
      <c r="A10608" s="402" t="s">
        <v>39</v>
      </c>
      <c r="B10608" s="2">
        <v>44334</v>
      </c>
      <c r="C10608" s="1">
        <v>78</v>
      </c>
      <c r="D10608" s="39">
        <f t="shared" si="1021"/>
        <v>27656</v>
      </c>
      <c r="F10608" s="39">
        <f t="shared" si="1029"/>
        <v>407</v>
      </c>
      <c r="G10608" s="169">
        <f>SUM(C10608,C10584,C10560,C10536,C10512,C10488,C10464,C10440,C10416,C10392,C10368,C10344,C10320,C10296)/POBLA!$B$23*100000</f>
        <v>565.51490131764967</v>
      </c>
      <c r="H10608" s="258">
        <f t="shared" si="1033"/>
        <v>0.94250706880301605</v>
      </c>
      <c r="I10608" s="310">
        <f t="shared" si="1030"/>
        <v>533.00179200532489</v>
      </c>
      <c r="J10608" s="552">
        <f t="shared" si="1031"/>
        <v>72.714285714285708</v>
      </c>
      <c r="K10608" s="310">
        <f>J10608/POBLA!$B$23*100000</f>
        <v>41.121012110097674</v>
      </c>
      <c r="L10608" s="202">
        <f t="shared" si="1032"/>
        <v>3.6659877800407248E-2</v>
      </c>
      <c r="M10608" s="512">
        <f>SUM(C10608,C10584,C10560,C10536,C10512,C10488,C10464)/POBLA!$B$23*100000</f>
        <v>287.84708477068369</v>
      </c>
    </row>
    <row r="10609" spans="1:13" ht="15.75" thickBot="1" x14ac:dyDescent="0.3">
      <c r="A10609" s="404" t="s">
        <v>40</v>
      </c>
      <c r="B10609" s="268">
        <v>44334</v>
      </c>
      <c r="C10609" s="44">
        <v>1194</v>
      </c>
      <c r="D10609" s="177">
        <f t="shared" si="1021"/>
        <v>117017</v>
      </c>
      <c r="E10609" s="44"/>
      <c r="F10609" s="177">
        <f t="shared" si="1029"/>
        <v>1755</v>
      </c>
      <c r="G10609" s="178">
        <f>SUM(C10609,C10585,C10561,C10537,C10513,C10489,C10465,C10441,C10417,C10393,C10369,C10345,C10321,C10297)/POBLA!$B$24*100000</f>
        <v>518.45330261716833</v>
      </c>
      <c r="H10609" s="513">
        <f t="shared" si="1033"/>
        <v>0.9809087864240259</v>
      </c>
      <c r="I10609" s="514">
        <f t="shared" si="1030"/>
        <v>508.55539988773484</v>
      </c>
      <c r="J10609" s="553">
        <f t="shared" si="1031"/>
        <v>721</v>
      </c>
      <c r="K10609" s="514">
        <f>J10609/POBLA!$B$24*100000</f>
        <v>42.545507760867103</v>
      </c>
      <c r="L10609" s="515">
        <f t="shared" si="1032"/>
        <v>0.34982615672639739</v>
      </c>
      <c r="M10609" s="516">
        <f>SUM(C10609,C10585,C10561,C10537,C10513,C10489,C10465)/POBLA!$B$24*100000</f>
        <v>297.81855432606972</v>
      </c>
    </row>
    <row r="10610" spans="1:13" x14ac:dyDescent="0.25">
      <c r="A10610" s="397" t="s">
        <v>16</v>
      </c>
      <c r="B10610" s="269">
        <v>44335</v>
      </c>
      <c r="C10610" s="227">
        <v>14055</v>
      </c>
      <c r="D10610" s="175">
        <f t="shared" si="1021"/>
        <v>1477025</v>
      </c>
      <c r="E10610" s="227">
        <v>276</v>
      </c>
      <c r="F10610" s="175">
        <f t="shared" ref="F10610:F10633" si="1034">E10610+F10586</f>
        <v>37591</v>
      </c>
      <c r="G10610" s="176">
        <f>SUM(C10610,C10586,C10562,C10538,C10514,C10490,C10466,C10442,C10418,C10394,C10370,C10346,C10322,C10298)/POBLA!$B$1*100000</f>
        <v>766.13032185306531</v>
      </c>
      <c r="H10610" s="313">
        <f t="shared" si="1033"/>
        <v>0.94695453648637218</v>
      </c>
      <c r="I10610" s="314">
        <f>G10610*H10610</f>
        <v>725.49058381852456</v>
      </c>
      <c r="J10610" s="551">
        <f>AVERAGE(C10610,C10586,C10562,C10538,C10514,C10490,C10466)</f>
        <v>10485.571428571429</v>
      </c>
      <c r="K10610" s="314">
        <f>J10610/POBLA!$B$1*100000</f>
        <v>59.777020369264626</v>
      </c>
      <c r="L10610" s="510">
        <f t="shared" si="1032"/>
        <v>0.20347931594221902</v>
      </c>
      <c r="M10610" s="511">
        <f>SUM(C10610,C10586,C10562,C10538,C10514,C10490,C10466)/POBLA!$B$1*100000</f>
        <v>418.43914258485239</v>
      </c>
    </row>
    <row r="10611" spans="1:13" x14ac:dyDescent="0.25">
      <c r="A10611" s="402" t="s">
        <v>43</v>
      </c>
      <c r="B10611" s="269">
        <v>44335</v>
      </c>
      <c r="C10611" s="1">
        <v>3060</v>
      </c>
      <c r="D10611" s="39">
        <f t="shared" ref="D10611:D10674" si="1035">C10611+D10587</f>
        <v>387079</v>
      </c>
      <c r="E10611" s="1">
        <v>34</v>
      </c>
      <c r="F10611" s="39">
        <f t="shared" si="1034"/>
        <v>8637</v>
      </c>
      <c r="G10611" s="169">
        <f>SUM(C10611,C10587,C10563,C10539,C10515,C10491,C10467,C10443,C10419,C10395,C10371,C10347,C10323,C10299)/POBLA!$B$2*100000</f>
        <v>1095.9973937182629</v>
      </c>
      <c r="H10611" s="258">
        <f t="shared" si="1033"/>
        <v>0.89565841215857156</v>
      </c>
      <c r="I10611" s="310">
        <f t="shared" ref="I10611:I10633" si="1036">G10611*H10611</f>
        <v>981.63928538763207</v>
      </c>
      <c r="J10611" s="552">
        <f t="shared" ref="J10611:J10633" si="1037">AVERAGE(C10611,C10587,C10563,C10539,C10515,C10491,C10467)</f>
        <v>2643.1428571428573</v>
      </c>
      <c r="K10611" s="310">
        <f>J10611/POBLA!$B$2*100000</f>
        <v>85.93781134574192</v>
      </c>
      <c r="L10611" s="202">
        <f t="shared" si="1032"/>
        <v>0.21667653054514369</v>
      </c>
      <c r="M10611" s="512">
        <f>SUM(C10611,C10587,C10563,C10539,C10515,C10491,C10467)/POBLA!$B$2*100000</f>
        <v>601.56467942019333</v>
      </c>
    </row>
    <row r="10612" spans="1:13" x14ac:dyDescent="0.25">
      <c r="A10612" s="402" t="s">
        <v>28</v>
      </c>
      <c r="B10612" s="269">
        <v>44335</v>
      </c>
      <c r="C10612" s="1">
        <v>428</v>
      </c>
      <c r="D10612" s="39">
        <f t="shared" si="1035"/>
        <v>19060</v>
      </c>
      <c r="F10612" s="39">
        <f t="shared" si="1034"/>
        <v>133</v>
      </c>
      <c r="G10612" s="169">
        <f>SUM(C10612,C10588,C10564,C10540,C10516,C10492,C10468,C10444,C10420,C10396,C10372,C10348,C10324,C10300)/POBLA!$B$3*100000</f>
        <v>844.65070600185823</v>
      </c>
      <c r="H10612" s="258">
        <f t="shared" si="1033"/>
        <v>1.5763701707097935</v>
      </c>
      <c r="I10612" s="310">
        <f t="shared" si="1036"/>
        <v>1331.4821776102967</v>
      </c>
      <c r="J10612" s="552">
        <f t="shared" si="1037"/>
        <v>324.85714285714283</v>
      </c>
      <c r="K10612" s="310">
        <f>J10612/POBLA!$B$3*100000</f>
        <v>78.196299533779495</v>
      </c>
      <c r="L10612" s="202">
        <f t="shared" si="1032"/>
        <v>0.84129554655870442</v>
      </c>
      <c r="M10612" s="512">
        <f>SUM(C10612,C10588,C10564,C10540,C10516,C10492,C10468)/POBLA!$B$3*100000</f>
        <v>547.37409673645652</v>
      </c>
    </row>
    <row r="10613" spans="1:13" x14ac:dyDescent="0.25">
      <c r="A10613" s="402" t="s">
        <v>15</v>
      </c>
      <c r="B10613" s="269">
        <v>44335</v>
      </c>
      <c r="C10613" s="1">
        <v>613</v>
      </c>
      <c r="D10613" s="39">
        <f t="shared" si="1035"/>
        <v>50877</v>
      </c>
      <c r="E10613" s="1">
        <v>9</v>
      </c>
      <c r="F10613" s="39">
        <f t="shared" si="1034"/>
        <v>1136</v>
      </c>
      <c r="G10613" s="169">
        <f>SUM(C10613,C10589,C10565,C10541,C10517,C10493,C10469,C10445,C10421,C10397,C10373,C10349,C10325,C10301)/POBLA!$B$4*100000</f>
        <v>405.38263122633435</v>
      </c>
      <c r="H10613" s="258">
        <f t="shared" si="1033"/>
        <v>1.5136391816491011</v>
      </c>
      <c r="I10613" s="310">
        <f t="shared" si="1036"/>
        <v>613.603034184188</v>
      </c>
      <c r="J10613" s="552">
        <f t="shared" si="1037"/>
        <v>447.57142857142856</v>
      </c>
      <c r="K10613" s="310">
        <f>J10613/POBLA!$B$4*100000</f>
        <v>37.157010726195999</v>
      </c>
      <c r="L10613" s="202">
        <f t="shared" si="1032"/>
        <v>0.79028571428571426</v>
      </c>
      <c r="M10613" s="512">
        <f>SUM(C10613,C10589,C10565,C10541,C10517,C10493,C10469)/POBLA!$B$4*100000</f>
        <v>260.09907508337199</v>
      </c>
    </row>
    <row r="10614" spans="1:13" x14ac:dyDescent="0.25">
      <c r="A10614" s="402" t="s">
        <v>29</v>
      </c>
      <c r="B10614" s="269">
        <v>44335</v>
      </c>
      <c r="C10614" s="1">
        <v>314</v>
      </c>
      <c r="D10614" s="39">
        <f t="shared" si="1035"/>
        <v>58768</v>
      </c>
      <c r="E10614" s="1">
        <v>1</v>
      </c>
      <c r="F10614" s="39">
        <f t="shared" si="1034"/>
        <v>969</v>
      </c>
      <c r="G10614" s="169">
        <f>SUM(C10614,C10590,C10566,C10542,C10518,C10494,C10470,C10446,C10422,C10398,C10374,C10350,C10326,C10302)/POBLA!$B$5*100000</f>
        <v>503.39744811742924</v>
      </c>
      <c r="H10614" s="258">
        <f t="shared" si="1033"/>
        <v>1.2902691511387163</v>
      </c>
      <c r="I10614" s="310">
        <f t="shared" si="1036"/>
        <v>649.51819806787137</v>
      </c>
      <c r="J10614" s="552">
        <f t="shared" si="1037"/>
        <v>239.28571428571428</v>
      </c>
      <c r="K10614" s="310">
        <f>J10614/POBLA!$B$5*100000</f>
        <v>38.657194461612598</v>
      </c>
      <c r="L10614" s="202">
        <f t="shared" si="1032"/>
        <v>0.16238723108952113</v>
      </c>
      <c r="M10614" s="512">
        <f>SUM(C10614,C10590,C10566,C10542,C10518,C10494,C10470)/POBLA!$B$5*100000</f>
        <v>270.60036123128822</v>
      </c>
    </row>
    <row r="10615" spans="1:13" x14ac:dyDescent="0.25">
      <c r="A10615" s="402" t="s">
        <v>30</v>
      </c>
      <c r="B10615" s="269">
        <v>44335</v>
      </c>
      <c r="C10615" s="1">
        <v>1042</v>
      </c>
      <c r="D10615" s="39">
        <f t="shared" si="1035"/>
        <v>41921</v>
      </c>
      <c r="E10615" s="1">
        <v>5</v>
      </c>
      <c r="F10615" s="39">
        <f t="shared" si="1034"/>
        <v>564</v>
      </c>
      <c r="G10615" s="169">
        <f>SUM(C10615,C10591,C10567,C10543,C10519,C10495,C10471,C10447,C10423,C10399,C10375,C10351,C10327,C10303)/POBLA!$B$6*100000</f>
        <v>317.98686832006752</v>
      </c>
      <c r="H10615" s="258">
        <f t="shared" si="1033"/>
        <v>1.1844466600199401</v>
      </c>
      <c r="I10615" s="310">
        <f t="shared" si="1036"/>
        <v>376.63848411190446</v>
      </c>
      <c r="J10615" s="552">
        <f t="shared" si="1037"/>
        <v>348.28571428571428</v>
      </c>
      <c r="K10615" s="310">
        <f>J10615/POBLA!$B$6*100000</f>
        <v>31.074714805368149</v>
      </c>
      <c r="L10615" s="202">
        <f t="shared" si="1032"/>
        <v>1.1651865008880993</v>
      </c>
      <c r="M10615" s="512">
        <f>SUM(C10615,C10591,C10567,C10543,C10519,C10495,C10471)/POBLA!$B$6*100000</f>
        <v>217.52300363757706</v>
      </c>
    </row>
    <row r="10616" spans="1:13" x14ac:dyDescent="0.25">
      <c r="A10616" s="402" t="s">
        <v>20</v>
      </c>
      <c r="B10616" s="269">
        <v>44335</v>
      </c>
      <c r="C10616" s="1">
        <v>3910</v>
      </c>
      <c r="D10616" s="39">
        <f t="shared" si="1035"/>
        <v>267373</v>
      </c>
      <c r="E10616" s="1">
        <v>23</v>
      </c>
      <c r="F10616" s="39">
        <f t="shared" si="1034"/>
        <v>3662</v>
      </c>
      <c r="G10616" s="169">
        <f>SUM(C10616,C10592,C10568,C10544,C10520,C10496,C10472,C10448,C10424,C10400,C10376,C10352,C10328,C10304)/POBLA!$B$7*100000</f>
        <v>877.34180749644315</v>
      </c>
      <c r="H10616" s="258">
        <f t="shared" si="1033"/>
        <v>1.5274074074074073</v>
      </c>
      <c r="I10616" s="310">
        <f t="shared" si="1036"/>
        <v>1340.0583755982709</v>
      </c>
      <c r="J10616" s="552">
        <f t="shared" si="1037"/>
        <v>2896.1428571428573</v>
      </c>
      <c r="K10616" s="310">
        <f>J10616/POBLA!$B$7*100000</f>
        <v>77.015858664331589</v>
      </c>
      <c r="L10616" s="202">
        <f t="shared" si="1032"/>
        <v>0.59391461592892525</v>
      </c>
      <c r="M10616" s="512">
        <f>SUM(C10616,C10592,C10568,C10544,C10520,C10496,C10472)/POBLA!$B$7*100000</f>
        <v>539.11101065032108</v>
      </c>
    </row>
    <row r="10617" spans="1:13" x14ac:dyDescent="0.25">
      <c r="A10617" s="402" t="s">
        <v>31</v>
      </c>
      <c r="B10617" s="269">
        <v>44335</v>
      </c>
      <c r="C10617" s="1">
        <v>1046</v>
      </c>
      <c r="D10617" s="39">
        <f t="shared" si="1035"/>
        <v>74514</v>
      </c>
      <c r="E10617" s="1">
        <v>11</v>
      </c>
      <c r="F10617" s="39">
        <f t="shared" si="1034"/>
        <v>1200</v>
      </c>
      <c r="G10617" s="169">
        <f>SUM(C10617,C10593,C10569,C10545,C10521,C10497,C10473,C10449,C10425,C10401,C10377,C10353,C10329,C10305)/POBLA!$B$8*100000</f>
        <v>666.75757831569581</v>
      </c>
      <c r="H10617" s="258">
        <f t="shared" si="1033"/>
        <v>1.2469302388341654</v>
      </c>
      <c r="I10617" s="310">
        <f t="shared" si="1036"/>
        <v>831.4001863736803</v>
      </c>
      <c r="J10617" s="552">
        <f t="shared" si="1037"/>
        <v>750.71428571428567</v>
      </c>
      <c r="K10617" s="310">
        <f>J10617/POBLA!$B$8*100000</f>
        <v>54.165614019029803</v>
      </c>
      <c r="L10617" s="202">
        <f t="shared" si="1032"/>
        <v>0.3183642749623683</v>
      </c>
      <c r="M10617" s="512">
        <f>SUM(C10617,C10593,C10569,C10545,C10521,C10497,C10473)/POBLA!$B$8*100000</f>
        <v>379.15929813320867</v>
      </c>
    </row>
    <row r="10618" spans="1:13" x14ac:dyDescent="0.25">
      <c r="A10618" s="402" t="s">
        <v>41</v>
      </c>
      <c r="B10618" s="269">
        <v>44335</v>
      </c>
      <c r="C10618" s="1">
        <v>5016</v>
      </c>
      <c r="D10618" s="39">
        <f t="shared" si="1035"/>
        <v>19140</v>
      </c>
      <c r="E10618" s="1">
        <v>31</v>
      </c>
      <c r="F10618" s="39">
        <f t="shared" si="1034"/>
        <v>218</v>
      </c>
      <c r="G10618" s="169">
        <f>SUM(C10618,C10594,C10570,C10546,C10522,C10498,C10474,C10450,C10426,C10402,C10378,C10354,C10330,C10306)/POBLA!$B$9*100000</f>
        <v>2322.2343946476576</v>
      </c>
      <c r="H10618" s="258">
        <f t="shared" si="1033"/>
        <v>10.394970414201184</v>
      </c>
      <c r="I10618" s="310">
        <f t="shared" si="1036"/>
        <v>24139.5578272028</v>
      </c>
      <c r="J10618" s="552">
        <f t="shared" si="1037"/>
        <v>1770.7142857142858</v>
      </c>
      <c r="K10618" s="310">
        <f>J10618/POBLA!$B$9*100000</f>
        <v>292.58670964705237</v>
      </c>
      <c r="L10618" s="202">
        <f>(SUM(C10618,C10594,C10570,C10546,C10522,C10498,C10474)/SUM(C10450,C10426,C10402,C10378,C10354,C10330,C10306))-1</f>
        <v>6.4713682941531046</v>
      </c>
      <c r="M10618" s="512">
        <f>SUM(C10618,C10594,C10570,C10546,C10522,C10498,C10474)/POBLA!$B$9*100000</f>
        <v>2048.1069675293666</v>
      </c>
    </row>
    <row r="10619" spans="1:13" x14ac:dyDescent="0.25">
      <c r="A10619" s="402" t="s">
        <v>32</v>
      </c>
      <c r="B10619" s="269">
        <v>44335</v>
      </c>
      <c r="C10619" s="1">
        <v>139</v>
      </c>
      <c r="D10619" s="39">
        <f t="shared" si="1035"/>
        <v>26603</v>
      </c>
      <c r="E10619" s="1">
        <v>6</v>
      </c>
      <c r="F10619" s="39">
        <f t="shared" si="1034"/>
        <v>1076</v>
      </c>
      <c r="G10619" s="169">
        <f>SUM(C10619,C10595,C10571,C10547,C10523,C10499,C10475,C10451,C10427,C10403,C10379,C10355,C10331,C10307)/POBLA!$B$10*100000</f>
        <v>170.3246026299779</v>
      </c>
      <c r="H10619" s="258">
        <f t="shared" si="1033"/>
        <v>1.0123361603700849</v>
      </c>
      <c r="I10619" s="310">
        <f t="shared" si="1036"/>
        <v>172.4257542429923</v>
      </c>
      <c r="J10619" s="552">
        <f t="shared" si="1037"/>
        <v>101.28571428571429</v>
      </c>
      <c r="K10619" s="310">
        <f>J10619/POBLA!$B$10*100000</f>
        <v>13.138955855146811</v>
      </c>
      <c r="L10619" s="202">
        <f t="shared" ref="L10619:L10641" si="1038">(SUM(C10619,C10595,C10571,C10547,C10523,C10499,C10475)/SUM(C10451,C10427,C10403,C10379,C10355,C10331,C10307))-1</f>
        <v>0.17384105960264895</v>
      </c>
      <c r="M10619" s="512">
        <f>SUM(C10619,C10595,C10571,C10547,C10523,C10499,C10475)/POBLA!$B$10*100000</f>
        <v>91.972690986027686</v>
      </c>
    </row>
    <row r="10620" spans="1:13" x14ac:dyDescent="0.25">
      <c r="A10620" s="402" t="s">
        <v>33</v>
      </c>
      <c r="B10620" s="269">
        <v>44335</v>
      </c>
      <c r="C10620" s="1">
        <v>783</v>
      </c>
      <c r="D10620" s="39">
        <f t="shared" si="1035"/>
        <v>35683</v>
      </c>
      <c r="E10620" s="1">
        <v>1</v>
      </c>
      <c r="F10620" s="39">
        <f t="shared" si="1034"/>
        <v>473</v>
      </c>
      <c r="G10620" s="169">
        <f>SUM(C10620,C10596,C10572,C10548,C10524,C10500,C10476,C10452,C10428,C10404,C10380,C10356,C10332,C10308)/POBLA!$B$11*100000</f>
        <v>1963.853270391822</v>
      </c>
      <c r="H10620" s="258">
        <f t="shared" si="1033"/>
        <v>1.8922043010752687</v>
      </c>
      <c r="I10620" s="310">
        <f t="shared" si="1036"/>
        <v>3716.0116049161384</v>
      </c>
      <c r="J10620" s="552">
        <f t="shared" si="1037"/>
        <v>591.28571428571433</v>
      </c>
      <c r="K10620" s="310">
        <f>J10620/POBLA!$B$11*100000</f>
        <v>164.96638496035865</v>
      </c>
      <c r="L10620" s="202">
        <f t="shared" si="1038"/>
        <v>0.42724137931034489</v>
      </c>
      <c r="M10620" s="512">
        <f>SUM(C10620,C10596,C10572,C10548,C10524,C10500,C10476)/POBLA!$B$11*100000</f>
        <v>1154.7646947225105</v>
      </c>
    </row>
    <row r="10621" spans="1:13" x14ac:dyDescent="0.25">
      <c r="A10621" s="402" t="s">
        <v>21</v>
      </c>
      <c r="B10621" s="269">
        <v>44335</v>
      </c>
      <c r="C10621" s="1">
        <v>109</v>
      </c>
      <c r="D10621" s="39">
        <f t="shared" si="1035"/>
        <v>15501</v>
      </c>
      <c r="F10621" s="39">
        <f t="shared" si="1034"/>
        <v>517</v>
      </c>
      <c r="G10621" s="169">
        <f>SUM(C10621,C10597,C10573,C10549,C10525,C10501,C10477,C10453,C10429,C10405,C10381,C10357,C10333,C10309)/POBLA!$B$12*100000</f>
        <v>401.49314793497842</v>
      </c>
      <c r="H10621" s="258">
        <f t="shared" si="1033"/>
        <v>1.3703382480485689</v>
      </c>
      <c r="I10621" s="310">
        <f t="shared" si="1036"/>
        <v>550.1814169447232</v>
      </c>
      <c r="J10621" s="552">
        <f t="shared" si="1037"/>
        <v>154.42857142857142</v>
      </c>
      <c r="K10621" s="310">
        <f>J10621/POBLA!$B$12*100000</f>
        <v>39.241780553138483</v>
      </c>
      <c r="L10621" s="202">
        <f t="shared" si="1038"/>
        <v>1.1663326653306614</v>
      </c>
      <c r="M10621" s="512">
        <f>SUM(C10621,C10597,C10573,C10549,C10525,C10501,C10477)/POBLA!$B$12*100000</f>
        <v>274.69246387196944</v>
      </c>
    </row>
    <row r="10622" spans="1:13" x14ac:dyDescent="0.25">
      <c r="A10622" s="402" t="s">
        <v>17</v>
      </c>
      <c r="B10622" s="269">
        <v>44335</v>
      </c>
      <c r="C10622" s="1">
        <v>1145</v>
      </c>
      <c r="D10622" s="39">
        <f t="shared" si="1035"/>
        <v>111475</v>
      </c>
      <c r="E10622" s="1">
        <v>7</v>
      </c>
      <c r="F10622" s="39">
        <f t="shared" si="1034"/>
        <v>2250</v>
      </c>
      <c r="G10622" s="169">
        <f>SUM(C10622,C10598,C10574,C10550,C10526,C10502,C10478,C10454,C10430,C10406,C10382,C10358,C10334,C10310)/POBLA!$B$13*100000</f>
        <v>580.25320322477887</v>
      </c>
      <c r="H10622" s="258">
        <f t="shared" si="1033"/>
        <v>1.0543180573306554</v>
      </c>
      <c r="I10622" s="310">
        <f t="shared" si="1036"/>
        <v>611.77142998383886</v>
      </c>
      <c r="J10622" s="552">
        <f t="shared" si="1037"/>
        <v>878.42857142857144</v>
      </c>
      <c r="K10622" s="310">
        <f>J10622/POBLA!$B$13*100000</f>
        <v>44.134643031915758</v>
      </c>
      <c r="L10622" s="202">
        <f t="shared" si="1038"/>
        <v>0.13870370370370377</v>
      </c>
      <c r="M10622" s="512">
        <f>SUM(C10622,C10598,C10574,C10550,C10526,C10502,C10478)/POBLA!$B$13*100000</f>
        <v>308.94250122341026</v>
      </c>
    </row>
    <row r="10623" spans="1:13" x14ac:dyDescent="0.25">
      <c r="A10623" s="402" t="s">
        <v>23</v>
      </c>
      <c r="B10623" s="269">
        <v>44335</v>
      </c>
      <c r="C10623" s="1">
        <v>151</v>
      </c>
      <c r="D10623" s="39">
        <f t="shared" si="1035"/>
        <v>18350</v>
      </c>
      <c r="F10623" s="39">
        <f t="shared" si="1034"/>
        <v>259</v>
      </c>
      <c r="G10623" s="169">
        <f>SUM(C10623,C10599,C10575,C10551,C10527,C10503,C10479,C10455,C10431,C10407,C10383,C10359,C10335,C10311)/POBLA!$B$14*100000</f>
        <v>170.61842837593773</v>
      </c>
      <c r="H10623" s="258">
        <f t="shared" si="1033"/>
        <v>1.3137973137973138</v>
      </c>
      <c r="I10623" s="310">
        <f t="shared" si="1036"/>
        <v>224.15803288462635</v>
      </c>
      <c r="J10623" s="552">
        <f t="shared" si="1037"/>
        <v>144.71428571428572</v>
      </c>
      <c r="K10623" s="310">
        <f>J10623/POBLA!$B$14*100000</f>
        <v>11.473477691504575</v>
      </c>
      <c r="L10623" s="202">
        <f t="shared" si="1038"/>
        <v>-0.11062335381913957</v>
      </c>
      <c r="M10623" s="512">
        <f>SUM(C10623,C10599,C10575,C10551,C10527,C10503,C10479)/POBLA!$B$14*100000</f>
        <v>80.314343840532032</v>
      </c>
    </row>
    <row r="10624" spans="1:13" x14ac:dyDescent="0.25">
      <c r="A10624" s="402" t="s">
        <v>19</v>
      </c>
      <c r="B10624" s="269">
        <v>44335</v>
      </c>
      <c r="C10624" s="1">
        <v>738</v>
      </c>
      <c r="D10624" s="39">
        <f t="shared" si="1035"/>
        <v>80637</v>
      </c>
      <c r="E10624" s="1">
        <v>4</v>
      </c>
      <c r="F10624" s="39">
        <f t="shared" si="1034"/>
        <v>1180</v>
      </c>
      <c r="G10624" s="169">
        <f>SUM(C10624,C10600,C10576,C10552,C10528,C10504,C10480,C10456,C10432,C10408,C10384,C10360,C10336,C10312)/POBLA!$B$15*100000</f>
        <v>1156.527225825494</v>
      </c>
      <c r="H10624" s="258">
        <f t="shared" si="1033"/>
        <v>1.6972375690607735</v>
      </c>
      <c r="I10624" s="310">
        <f t="shared" si="1036"/>
        <v>1962.9014573126617</v>
      </c>
      <c r="J10624" s="552">
        <f t="shared" si="1037"/>
        <v>606.14285714285711</v>
      </c>
      <c r="K10624" s="310">
        <f>J10624/POBLA!$B$15*100000</f>
        <v>91.278739196011358</v>
      </c>
      <c r="L10624" s="202">
        <f t="shared" si="1038"/>
        <v>0.23450683735816114</v>
      </c>
      <c r="M10624" s="512">
        <f>SUM(C10624,C10600,C10576,C10552,C10528,C10504,C10480)/POBLA!$B$15*100000</f>
        <v>638.95117437207944</v>
      </c>
    </row>
    <row r="10625" spans="1:17" x14ac:dyDescent="0.25">
      <c r="A10625" s="402" t="s">
        <v>18</v>
      </c>
      <c r="B10625" s="269">
        <v>44335</v>
      </c>
      <c r="C10625" s="1">
        <v>536</v>
      </c>
      <c r="D10625" s="39">
        <f t="shared" si="1035"/>
        <v>67938</v>
      </c>
      <c r="E10625" s="1">
        <v>10</v>
      </c>
      <c r="F10625" s="39">
        <f t="shared" si="1034"/>
        <v>1468</v>
      </c>
      <c r="G10625" s="169">
        <f>SUM(C10625,C10601,C10577,C10553,C10529,C10505,C10481,C10457,C10433,C10409,C10385,C10361,C10337,C10313)/POBLA!$B$16*100000</f>
        <v>693.54342504781903</v>
      </c>
      <c r="H10625" s="258">
        <f t="shared" si="1033"/>
        <v>1.3408326868373417</v>
      </c>
      <c r="I10625" s="310">
        <f t="shared" si="1036"/>
        <v>929.92569404523965</v>
      </c>
      <c r="J10625" s="552">
        <f t="shared" si="1037"/>
        <v>417.42857142857144</v>
      </c>
      <c r="K10625" s="310">
        <f>J10625/POBLA!$B$16*100000</f>
        <v>55.835070615504264</v>
      </c>
      <c r="L10625" s="202">
        <f t="shared" si="1038"/>
        <v>0.29120636323464422</v>
      </c>
      <c r="M10625" s="512">
        <f>SUM(C10625,C10601,C10577,C10553,C10529,C10505,C10481)/POBLA!$B$16*100000</f>
        <v>390.84549430852985</v>
      </c>
    </row>
    <row r="10626" spans="1:17" x14ac:dyDescent="0.25">
      <c r="A10626" s="402" t="s">
        <v>34</v>
      </c>
      <c r="B10626" s="269">
        <v>44335</v>
      </c>
      <c r="C10626" s="1">
        <v>465</v>
      </c>
      <c r="D10626" s="39">
        <f t="shared" si="1035"/>
        <v>39689</v>
      </c>
      <c r="E10626" s="1">
        <v>4</v>
      </c>
      <c r="F10626" s="39">
        <f t="shared" si="1034"/>
        <v>1332</v>
      </c>
      <c r="G10626" s="169">
        <f>SUM(C10626,C10602,C10578,C10554,C10530,C10506,C10482,C10458,C10434,C10410,C10386,C10362,C10338,C10314)/POBLA!$B$17*100000</f>
        <v>285.17330491429004</v>
      </c>
      <c r="H10626" s="258">
        <f t="shared" ref="H10626:H10649" si="1039">SUM(C10626,C10602,C10578,C10554,C10530,C10506,C10482,C10458,C10434,C10410,C10386,C10362,C10338,C10314)/SUM(C10290,C10266,C10242,C10218,C10194,C10170,C10146,C10122,C10098,C10074,C10050,C10026,C10002,C9978)</f>
        <v>1.5242026266416511</v>
      </c>
      <c r="I10626" s="310">
        <f t="shared" si="1036"/>
        <v>434.66190039844133</v>
      </c>
      <c r="J10626" s="552">
        <f t="shared" si="1037"/>
        <v>325.71428571428572</v>
      </c>
      <c r="K10626" s="310">
        <f>J10626/POBLA!$B$17*100000</f>
        <v>22.866819132186162</v>
      </c>
      <c r="L10626" s="202">
        <f t="shared" si="1038"/>
        <v>0.27946127946127941</v>
      </c>
      <c r="M10626" s="512">
        <f>SUM(C10626,C10602,C10578,C10554,C10530,C10506,C10482)/POBLA!$B$17*100000</f>
        <v>160.06773392530312</v>
      </c>
    </row>
    <row r="10627" spans="1:17" x14ac:dyDescent="0.25">
      <c r="A10627" s="402" t="s">
        <v>35</v>
      </c>
      <c r="B10627" s="269">
        <v>44335</v>
      </c>
      <c r="C10627" s="1">
        <v>659</v>
      </c>
      <c r="D10627" s="39">
        <f t="shared" si="1035"/>
        <v>31181</v>
      </c>
      <c r="E10627" s="1">
        <v>4</v>
      </c>
      <c r="F10627" s="39">
        <f t="shared" si="1034"/>
        <v>563</v>
      </c>
      <c r="G10627" s="169">
        <f>SUM(C10627,C10603,C10579,C10555,C10531,C10507,C10483,C10459,C10435,C10411,C10387,C10363,C10339,C10315)/POBLA!$B$18*100000</f>
        <v>784.67314459362763</v>
      </c>
      <c r="H10627" s="258">
        <f t="shared" si="1039"/>
        <v>1.5237385036042754</v>
      </c>
      <c r="I10627" s="310">
        <f t="shared" si="1036"/>
        <v>1195.6366831615553</v>
      </c>
      <c r="J10627" s="552">
        <f t="shared" si="1037"/>
        <v>528.71428571428567</v>
      </c>
      <c r="K10627" s="310">
        <f>J10627/POBLA!$B$18*100000</f>
        <v>67.678287302284218</v>
      </c>
      <c r="L10627" s="202">
        <f t="shared" si="1038"/>
        <v>0.52367229312474262</v>
      </c>
      <c r="M10627" s="512">
        <f>SUM(C10627,C10603,C10579,C10555,C10531,C10507,C10483)/POBLA!$B$18*100000</f>
        <v>473.74801111598953</v>
      </c>
    </row>
    <row r="10628" spans="1:17" x14ac:dyDescent="0.25">
      <c r="A10628" s="402" t="s">
        <v>36</v>
      </c>
      <c r="B10628" s="269">
        <v>44335</v>
      </c>
      <c r="C10628" s="1">
        <v>524</v>
      </c>
      <c r="D10628" s="39">
        <f t="shared" si="1035"/>
        <v>45902</v>
      </c>
      <c r="E10628" s="1">
        <v>6</v>
      </c>
      <c r="F10628" s="39">
        <f t="shared" si="1034"/>
        <v>635</v>
      </c>
      <c r="G10628" s="169">
        <f>SUM(C10628,C10604,C10580,C10556,C10532,C10508,C10484,C10460,C10436,C10412,C10388,C10364,C10340,C10316)/POBLA!$B$19*100000</f>
        <v>1238.3736485104105</v>
      </c>
      <c r="H10628" s="258">
        <f t="shared" si="1039"/>
        <v>0.81552014509651505</v>
      </c>
      <c r="I10628" s="310">
        <f t="shared" si="1036"/>
        <v>1009.9186575169107</v>
      </c>
      <c r="J10628" s="552">
        <f t="shared" si="1037"/>
        <v>438.57142857142856</v>
      </c>
      <c r="K10628" s="310">
        <f>J10628/POBLA!$B$19*100000</f>
        <v>86.277251808168842</v>
      </c>
      <c r="L10628" s="202">
        <f t="shared" si="1038"/>
        <v>-4.806201550387601E-2</v>
      </c>
      <c r="M10628" s="512">
        <f>SUM(C10628,C10604,C10580,C10556,C10532,C10508,C10484)/POBLA!$B$19*100000</f>
        <v>603.94076265718195</v>
      </c>
    </row>
    <row r="10629" spans="1:17" x14ac:dyDescent="0.25">
      <c r="A10629" s="402" t="s">
        <v>37</v>
      </c>
      <c r="B10629" s="269">
        <v>44335</v>
      </c>
      <c r="C10629" s="1">
        <v>260</v>
      </c>
      <c r="D10629" s="39">
        <f t="shared" si="1035"/>
        <v>48986</v>
      </c>
      <c r="E10629" s="1">
        <v>4</v>
      </c>
      <c r="F10629" s="39">
        <f t="shared" si="1034"/>
        <v>760</v>
      </c>
      <c r="G10629" s="169">
        <f>SUM(C10629,C10605,C10581,C10557,C10533,C10509,C10485,C10461,C10437,C10413,C10389,C10365,C10341,C10317)/POBLA!$B$20*100000</f>
        <v>912.77502201269897</v>
      </c>
      <c r="H10629" s="258">
        <f t="shared" si="1039"/>
        <v>1.2249541284403669</v>
      </c>
      <c r="I10629" s="310">
        <f t="shared" si="1036"/>
        <v>1118.1075315517023</v>
      </c>
      <c r="J10629" s="552">
        <f t="shared" si="1037"/>
        <v>248</v>
      </c>
      <c r="K10629" s="310">
        <f>J10629/POBLA!$B$20*100000</f>
        <v>67.815519909870986</v>
      </c>
      <c r="L10629" s="202">
        <f t="shared" si="1038"/>
        <v>8.3645443196004976E-2</v>
      </c>
      <c r="M10629" s="512">
        <f>SUM(C10629,C10605,C10581,C10557,C10533,C10509,C10485)/POBLA!$B$20*100000</f>
        <v>474.70863936909689</v>
      </c>
    </row>
    <row r="10630" spans="1:17" x14ac:dyDescent="0.25">
      <c r="A10630" s="402" t="s">
        <v>22</v>
      </c>
      <c r="B10630" s="269">
        <v>44335</v>
      </c>
      <c r="C10630" s="1">
        <v>3086</v>
      </c>
      <c r="D10630" s="39">
        <f t="shared" si="1035"/>
        <v>311013</v>
      </c>
      <c r="E10630" s="1">
        <v>46</v>
      </c>
      <c r="F10630" s="39">
        <f t="shared" si="1034"/>
        <v>5050</v>
      </c>
      <c r="G10630" s="169">
        <f>SUM(C10630,C10606,C10582,C10558,C10534,C10510,C10486,C10462,C10438,C10414,C10390,C10366,C10342,C10318)/POBLA!$B$21*100000</f>
        <v>806.06987069967408</v>
      </c>
      <c r="H10630" s="258">
        <f t="shared" si="1039"/>
        <v>1.1734727482298699</v>
      </c>
      <c r="I10630" s="310">
        <f t="shared" si="1036"/>
        <v>945.90102643524244</v>
      </c>
      <c r="J10630" s="552">
        <f t="shared" si="1037"/>
        <v>2313.2857142857142</v>
      </c>
      <c r="K10630" s="310">
        <f>J10630/POBLA!$B$21*100000</f>
        <v>65.413243408604814</v>
      </c>
      <c r="L10630" s="202">
        <f t="shared" si="1038"/>
        <v>0.31511410704133835</v>
      </c>
      <c r="M10630" s="512">
        <f>SUM(C10630,C10606,C10582,C10558,C10534,C10510,C10486)/POBLA!$B$21*100000</f>
        <v>457.89270386023372</v>
      </c>
    </row>
    <row r="10631" spans="1:17" x14ac:dyDescent="0.25">
      <c r="A10631" s="402" t="s">
        <v>38</v>
      </c>
      <c r="B10631" s="269">
        <v>44335</v>
      </c>
      <c r="C10631" s="1">
        <v>639</v>
      </c>
      <c r="D10631" s="39">
        <f t="shared" si="1035"/>
        <v>36838</v>
      </c>
      <c r="E10631" s="1">
        <v>2</v>
      </c>
      <c r="F10631" s="39">
        <f t="shared" si="1034"/>
        <v>420</v>
      </c>
      <c r="G10631" s="169">
        <f>SUM(C10631,C10607,C10583,C10559,C10535,C10511,C10487,C10463,C10439,C10415,C10391,C10367,C10343,C10319)/POBLA!$B$22*100000</f>
        <v>539.39792275069431</v>
      </c>
      <c r="H10631" s="258">
        <f t="shared" si="1039"/>
        <v>1.902307137707282</v>
      </c>
      <c r="I10631" s="310">
        <f t="shared" si="1036"/>
        <v>1026.1005185131269</v>
      </c>
      <c r="J10631" s="552">
        <f t="shared" si="1037"/>
        <v>463</v>
      </c>
      <c r="K10631" s="310">
        <f>J10631/POBLA!$B$22*100000</f>
        <v>47.326366919380611</v>
      </c>
      <c r="L10631" s="202">
        <f t="shared" si="1038"/>
        <v>0.59184675834970535</v>
      </c>
      <c r="M10631" s="512">
        <f>SUM(C10631,C10607,C10583,C10559,C10535,C10511,C10487)/POBLA!$B$22*100000</f>
        <v>331.28456843566426</v>
      </c>
    </row>
    <row r="10632" spans="1:17" x14ac:dyDescent="0.25">
      <c r="A10632" s="402" t="s">
        <v>39</v>
      </c>
      <c r="B10632" s="269">
        <v>44335</v>
      </c>
      <c r="C10632" s="1">
        <v>107</v>
      </c>
      <c r="D10632" s="39">
        <f t="shared" si="1035"/>
        <v>27763</v>
      </c>
      <c r="F10632" s="39">
        <f t="shared" si="1034"/>
        <v>407</v>
      </c>
      <c r="G10632" s="169">
        <f>SUM(C10632,C10608,C10584,C10560,C10536,C10512,C10488,C10464,C10440,C10416,C10392,C10368,C10344,C10320)/POBLA!$B$23*100000</f>
        <v>567.21144602160268</v>
      </c>
      <c r="H10632" s="258">
        <f t="shared" si="1039"/>
        <v>0.91181818181818186</v>
      </c>
      <c r="I10632" s="310">
        <f t="shared" si="1036"/>
        <v>517.19370941787952</v>
      </c>
      <c r="J10632" s="552">
        <f t="shared" si="1037"/>
        <v>74.571428571428569</v>
      </c>
      <c r="K10632" s="310">
        <f>J10632/POBLA!$B$23*100000</f>
        <v>42.171254069687592</v>
      </c>
      <c r="L10632" s="202">
        <f t="shared" si="1038"/>
        <v>8.5239085239085188E-2</v>
      </c>
      <c r="M10632" s="512">
        <f>SUM(C10632,C10608,C10584,C10560,C10536,C10512,C10488)/POBLA!$B$23*100000</f>
        <v>295.19877848781312</v>
      </c>
    </row>
    <row r="10633" spans="1:17" ht="15.75" thickBot="1" x14ac:dyDescent="0.3">
      <c r="A10633" s="404" t="s">
        <v>40</v>
      </c>
      <c r="B10633" s="269">
        <v>44335</v>
      </c>
      <c r="C10633" s="1">
        <v>827</v>
      </c>
      <c r="D10633" s="177">
        <f t="shared" si="1035"/>
        <v>117844</v>
      </c>
      <c r="E10633" s="1">
        <v>10</v>
      </c>
      <c r="F10633" s="177">
        <f t="shared" si="1034"/>
        <v>1765</v>
      </c>
      <c r="G10633" s="178">
        <f>SUM(C10633,C10609,C10585,C10561,C10537,C10513,C10489,C10465,C10441,C10417,C10393,C10369,C10345,C10321)/POBLA!$B$24*100000</f>
        <v>536.92312776162237</v>
      </c>
      <c r="H10633" s="513">
        <f t="shared" si="1039"/>
        <v>1.0457418687507183</v>
      </c>
      <c r="I10633" s="514">
        <f t="shared" si="1036"/>
        <v>561.48299500091969</v>
      </c>
      <c r="J10633" s="553">
        <f t="shared" si="1037"/>
        <v>749.28571428571433</v>
      </c>
      <c r="K10633" s="514">
        <f>J10633/POBLA!$B$24*100000</f>
        <v>44.214620211164643</v>
      </c>
      <c r="L10633" s="515">
        <f t="shared" si="1038"/>
        <v>0.36092371562013503</v>
      </c>
      <c r="M10633" s="516">
        <f>SUM(C10633,C10609,C10585,C10561,C10537,C10513,C10489)/POBLA!$B$24*100000</f>
        <v>309.50234147815246</v>
      </c>
    </row>
    <row r="10634" spans="1:17" x14ac:dyDescent="0.25">
      <c r="A10634" s="397" t="s">
        <v>16</v>
      </c>
      <c r="B10634" s="269">
        <v>44336</v>
      </c>
      <c r="C10634" s="1">
        <v>14709</v>
      </c>
      <c r="D10634" s="175">
        <f t="shared" si="1035"/>
        <v>1491734</v>
      </c>
      <c r="E10634" s="1">
        <v>81</v>
      </c>
      <c r="F10634" s="175">
        <f t="shared" ref="F10634:F10657" si="1040">E10634+F10610</f>
        <v>37672</v>
      </c>
      <c r="G10634" s="176">
        <f>SUM(C10634,C10610,C10586,C10562,C10538,C10514,C10490,C10466,C10442,C10418,C10394,C10370,C10346,C10322)/POBLA!$B$1*100000</f>
        <v>788.76282905427865</v>
      </c>
      <c r="H10634" s="313">
        <f t="shared" si="1039"/>
        <v>0.99035116602007067</v>
      </c>
      <c r="I10634" s="314">
        <f>G10634*H10634</f>
        <v>781.15218746719449</v>
      </c>
      <c r="J10634" s="551">
        <f>AVERAGE(C10634,C10610,C10586,C10562,C10538,C10514,C10490)</f>
        <v>11062.142857142857</v>
      </c>
      <c r="K10634" s="314">
        <f>J10634/POBLA!$B$1*100000</f>
        <v>63.063986870311673</v>
      </c>
      <c r="L10634" s="510">
        <f t="shared" si="1038"/>
        <v>0.27103064524071363</v>
      </c>
      <c r="M10634" s="511">
        <f>SUM(C10634,C10610,C10586,C10562,C10538,C10514,C10490)/POBLA!$B$1*100000</f>
        <v>441.44790809218171</v>
      </c>
      <c r="Q10634" s="42">
        <f>J10634/J10466</f>
        <v>1.2710306452407136</v>
      </c>
    </row>
    <row r="10635" spans="1:17" x14ac:dyDescent="0.25">
      <c r="A10635" s="402" t="s">
        <v>43</v>
      </c>
      <c r="B10635" s="269">
        <v>44336</v>
      </c>
      <c r="C10635" s="1">
        <v>3045</v>
      </c>
      <c r="D10635" s="39">
        <f t="shared" si="1035"/>
        <v>390124</v>
      </c>
      <c r="E10635" s="1">
        <v>57</v>
      </c>
      <c r="F10635" s="39">
        <f t="shared" si="1040"/>
        <v>8694</v>
      </c>
      <c r="G10635" s="169">
        <f>SUM(C10635,C10611,C10587,C10563,C10539,C10515,C10491,C10467,C10443,C10419,C10395,C10371,C10347,C10323)/POBLA!$B$2*100000</f>
        <v>1103.9631999261294</v>
      </c>
      <c r="H10635" s="258">
        <f t="shared" si="1039"/>
        <v>0.92076147087536608</v>
      </c>
      <c r="I10635" s="310">
        <f t="shared" ref="I10635:I10657" si="1041">G10635*H10635</f>
        <v>1016.4867797562588</v>
      </c>
      <c r="J10635" s="552">
        <f t="shared" ref="J10635:J10657" si="1042">AVERAGE(C10635,C10611,C10587,C10563,C10539,C10515,C10491)</f>
        <v>2704.5714285714284</v>
      </c>
      <c r="K10635" s="310">
        <f>J10635/POBLA!$B$2*100000</f>
        <v>87.935068878909618</v>
      </c>
      <c r="L10635" s="202">
        <f t="shared" si="1038"/>
        <v>0.26028491545732924</v>
      </c>
      <c r="M10635" s="512">
        <f>SUM(C10635,C10611,C10587,C10563,C10539,C10515,C10491)/POBLA!$B$2*100000</f>
        <v>615.5454821523673</v>
      </c>
      <c r="Q10635" s="608">
        <f>J10635/J10467</f>
        <v>1.2602849154573292</v>
      </c>
    </row>
    <row r="10636" spans="1:17" x14ac:dyDescent="0.25">
      <c r="A10636" s="402" t="s">
        <v>28</v>
      </c>
      <c r="B10636" s="269">
        <v>44336</v>
      </c>
      <c r="C10636" s="1">
        <v>213</v>
      </c>
      <c r="D10636" s="39">
        <f t="shared" si="1035"/>
        <v>19273</v>
      </c>
      <c r="E10636" s="1">
        <v>10</v>
      </c>
      <c r="F10636" s="39">
        <f t="shared" si="1040"/>
        <v>143</v>
      </c>
      <c r="G10636" s="169">
        <f>SUM(C10636,C10612,C10588,C10564,C10540,C10516,C10492,C10468,C10444,C10420,C10396,C10372,C10348,C10324)/POBLA!$B$3*100000</f>
        <v>860.7782629417627</v>
      </c>
      <c r="H10636" s="258">
        <f t="shared" si="1039"/>
        <v>1.6486860304287689</v>
      </c>
      <c r="I10636" s="310">
        <f t="shared" si="1041"/>
        <v>1419.1530974088259</v>
      </c>
      <c r="J10636" s="552">
        <f t="shared" si="1042"/>
        <v>319.42857142857144</v>
      </c>
      <c r="K10636" s="310">
        <f>J10636/POBLA!$B$3*100000</f>
        <v>76.889589163382126</v>
      </c>
      <c r="L10636" s="202">
        <f t="shared" si="1038"/>
        <v>0.66865671641791047</v>
      </c>
      <c r="M10636" s="512">
        <f>SUM(C10636,C10612,C10588,C10564,C10540,C10516,C10492)/POBLA!$B$3*100000</f>
        <v>538.22712414367481</v>
      </c>
    </row>
    <row r="10637" spans="1:17" x14ac:dyDescent="0.25">
      <c r="A10637" s="402" t="s">
        <v>15</v>
      </c>
      <c r="B10637" s="269">
        <v>44336</v>
      </c>
      <c r="C10637" s="1">
        <v>757</v>
      </c>
      <c r="D10637" s="39">
        <f t="shared" si="1035"/>
        <v>51634</v>
      </c>
      <c r="E10637" s="1">
        <v>5</v>
      </c>
      <c r="F10637" s="39">
        <f t="shared" si="1040"/>
        <v>1141</v>
      </c>
      <c r="G10637" s="169">
        <f>SUM(C10637,C10613,C10589,C10565,C10541,C10517,C10493,C10469,C10445,C10421,C10397,C10373,C10349,C10325)/POBLA!$B$4*100000</f>
        <v>443.90352839795406</v>
      </c>
      <c r="H10637" s="258">
        <f t="shared" si="1039"/>
        <v>1.6028177458033572</v>
      </c>
      <c r="I10637" s="310">
        <f t="shared" si="1041"/>
        <v>711.49645274096531</v>
      </c>
      <c r="J10637" s="552">
        <f t="shared" si="1042"/>
        <v>485.71428571428572</v>
      </c>
      <c r="K10637" s="310">
        <f>J10637/POBLA!$B$4*100000</f>
        <v>40.323599256005878</v>
      </c>
      <c r="L10637" s="202">
        <f t="shared" si="1038"/>
        <v>0.74627632254750909</v>
      </c>
      <c r="M10637" s="512">
        <f>SUM(C10637,C10613,C10589,C10565,C10541,C10517,C10493)/POBLA!$B$4*100000</f>
        <v>282.26519479204114</v>
      </c>
    </row>
    <row r="10638" spans="1:17" x14ac:dyDescent="0.25">
      <c r="A10638" s="402" t="s">
        <v>29</v>
      </c>
      <c r="B10638" s="269">
        <v>44336</v>
      </c>
      <c r="C10638" s="1">
        <v>410</v>
      </c>
      <c r="D10638" s="39">
        <f t="shared" si="1035"/>
        <v>59178</v>
      </c>
      <c r="E10638" s="1">
        <v>4</v>
      </c>
      <c r="F10638" s="39">
        <f t="shared" si="1040"/>
        <v>973</v>
      </c>
      <c r="G10638" s="169">
        <f>SUM(C10638,C10614,C10590,C10566,C10542,C10518,C10494,C10470,C10446,C10422,C10398,C10374,C10350,C10326)/POBLA!$B$5*100000</f>
        <v>538.61588319111331</v>
      </c>
      <c r="H10638" s="258">
        <f t="shared" si="1039"/>
        <v>1.4008403361344537</v>
      </c>
      <c r="I10638" s="310">
        <f t="shared" si="1041"/>
        <v>754.51485485679484</v>
      </c>
      <c r="J10638" s="552">
        <f t="shared" si="1042"/>
        <v>266.14285714285717</v>
      </c>
      <c r="K10638" s="310">
        <f>J10638/POBLA!$B$5*100000</f>
        <v>42.996031810139868</v>
      </c>
      <c r="L10638" s="202">
        <f t="shared" si="1038"/>
        <v>0.26648538409245415</v>
      </c>
      <c r="M10638" s="512">
        <f>SUM(C10638,C10614,C10590,C10566,C10542,C10518,C10494)/POBLA!$B$5*100000</f>
        <v>300.97222267097908</v>
      </c>
    </row>
    <row r="10639" spans="1:17" x14ac:dyDescent="0.25">
      <c r="A10639" s="402" t="s">
        <v>30</v>
      </c>
      <c r="B10639" s="269">
        <v>44336</v>
      </c>
      <c r="C10639" s="1">
        <v>236</v>
      </c>
      <c r="D10639" s="39">
        <f t="shared" si="1035"/>
        <v>42157</v>
      </c>
      <c r="E10639" s="1">
        <v>7</v>
      </c>
      <c r="F10639" s="39">
        <f t="shared" si="1040"/>
        <v>571</v>
      </c>
      <c r="G10639" s="169">
        <f>SUM(C10639,C10615,C10591,C10567,C10543,C10519,C10495,C10471,C10447,C10423,C10399,C10375,C10351,C10327)/POBLA!$B$6*100000</f>
        <v>318.96830927167269</v>
      </c>
      <c r="H10639" s="258">
        <f t="shared" si="1039"/>
        <v>1.2340352088367277</v>
      </c>
      <c r="I10639" s="310">
        <f t="shared" si="1041"/>
        <v>393.61812414436656</v>
      </c>
      <c r="J10639" s="552">
        <f t="shared" si="1042"/>
        <v>318</v>
      </c>
      <c r="K10639" s="310">
        <f>J10639/POBLA!$B$6*100000</f>
        <v>28.372565691857876</v>
      </c>
      <c r="L10639" s="202">
        <f t="shared" si="1038"/>
        <v>0.65011119347664947</v>
      </c>
      <c r="M10639" s="512">
        <f>SUM(C10639,C10615,C10591,C10567,C10543,C10519,C10495)/POBLA!$B$6*100000</f>
        <v>198.60795984300515</v>
      </c>
    </row>
    <row r="10640" spans="1:17" x14ac:dyDescent="0.25">
      <c r="A10640" s="402" t="s">
        <v>20</v>
      </c>
      <c r="B10640" s="269">
        <v>44336</v>
      </c>
      <c r="C10640" s="1">
        <v>3516</v>
      </c>
      <c r="D10640" s="39">
        <f t="shared" si="1035"/>
        <v>270889</v>
      </c>
      <c r="E10640" s="1">
        <v>19</v>
      </c>
      <c r="F10640" s="39">
        <f t="shared" si="1040"/>
        <v>3681</v>
      </c>
      <c r="G10640" s="169">
        <f>SUM(C10640,C10616,C10592,C10568,C10544,C10520,C10496,C10472,C10448,C10424,C10400,C10376,C10352,C10328)/POBLA!$B$7*100000</f>
        <v>921.21953489608961</v>
      </c>
      <c r="H10640" s="258">
        <f t="shared" si="1039"/>
        <v>1.5992798116430451</v>
      </c>
      <c r="I10640" s="310">
        <f t="shared" si="1041"/>
        <v>1473.2878042505117</v>
      </c>
      <c r="J10640" s="552">
        <f t="shared" si="1042"/>
        <v>3017.1428571428573</v>
      </c>
      <c r="K10640" s="310">
        <f>J10640/POBLA!$B$7*100000</f>
        <v>80.233558673638981</v>
      </c>
      <c r="L10640" s="202">
        <f t="shared" si="1038"/>
        <v>0.56189912734802538</v>
      </c>
      <c r="M10640" s="512">
        <f>SUM(C10640,C10616,C10592,C10568,C10544,C10520,C10496)/POBLA!$B$7*100000</f>
        <v>561.63491071547287</v>
      </c>
    </row>
    <row r="10641" spans="1:13" x14ac:dyDescent="0.25">
      <c r="A10641" s="402" t="s">
        <v>31</v>
      </c>
      <c r="B10641" s="269">
        <v>44336</v>
      </c>
      <c r="C10641" s="1">
        <v>1150</v>
      </c>
      <c r="D10641" s="39">
        <f t="shared" si="1035"/>
        <v>75664</v>
      </c>
      <c r="E10641" s="1">
        <v>9</v>
      </c>
      <c r="F10641" s="39">
        <f t="shared" si="1040"/>
        <v>1209</v>
      </c>
      <c r="G10641" s="169">
        <f>SUM(C10641,C10617,C10593,C10569,C10545,C10521,C10497,C10473,C10449,C10425,C10401,C10377,C10353,C10329)/POBLA!$B$8*100000</f>
        <v>697.35006973500697</v>
      </c>
      <c r="H10641" s="258">
        <f t="shared" si="1039"/>
        <v>1.2891823396025077</v>
      </c>
      <c r="I10641" s="310">
        <f t="shared" si="1041"/>
        <v>899.01139442294823</v>
      </c>
      <c r="J10641" s="552">
        <f t="shared" si="1042"/>
        <v>799.85714285714289</v>
      </c>
      <c r="K10641" s="310">
        <f>J10641/POBLA!$B$8*100000</f>
        <v>57.711374480028141</v>
      </c>
      <c r="L10641" s="202">
        <f t="shared" si="1038"/>
        <v>0.37702902115100834</v>
      </c>
      <c r="M10641" s="512">
        <f>SUM(C10641,C10617,C10593,C10569,C10545,C10521,C10497)/POBLA!$B$8*100000</f>
        <v>403.97962136019703</v>
      </c>
    </row>
    <row r="10642" spans="1:13" x14ac:dyDescent="0.25">
      <c r="A10642" s="402" t="s">
        <v>41</v>
      </c>
      <c r="B10642" s="269">
        <v>44336</v>
      </c>
      <c r="C10642" s="1">
        <v>984</v>
      </c>
      <c r="D10642" s="39">
        <f t="shared" si="1035"/>
        <v>20124</v>
      </c>
      <c r="E10642" s="1">
        <v>40</v>
      </c>
      <c r="F10642" s="39">
        <f t="shared" si="1040"/>
        <v>258</v>
      </c>
      <c r="G10642" s="169">
        <f>SUM(C10642,C10618,C10594,C10570,C10546,C10522,C10498,C10474,C10450,C10426,C10402,C10378,C10354,C10330)/POBLA!$B$9*100000</f>
        <v>2426.4986541483463</v>
      </c>
      <c r="H10642" s="258">
        <f t="shared" si="1039"/>
        <v>9.3060836501901143</v>
      </c>
      <c r="I10642" s="310">
        <f t="shared" si="1041"/>
        <v>22581.199452578243</v>
      </c>
      <c r="J10642" s="552">
        <f t="shared" si="1042"/>
        <v>1890.7142857142858</v>
      </c>
      <c r="K10642" s="310">
        <f>J10642/POBLA!$B$9*100000</f>
        <v>312.41509497206442</v>
      </c>
      <c r="L10642" s="202">
        <f>(SUM(C10642,C10618,C10594,C10570,C10546,C10522,C10498)/SUM(C10474,C10450,C10426,C10402,C10378,C10354,C10330))-1</f>
        <v>8.1275862068965523</v>
      </c>
      <c r="M10642" s="512">
        <f>SUM(C10642,C10618,C10594,C10570,C10546,C10522,C10498)/POBLA!$B$9*100000</f>
        <v>2186.9056648044507</v>
      </c>
    </row>
    <row r="10643" spans="1:13" x14ac:dyDescent="0.25">
      <c r="A10643" s="402" t="s">
        <v>32</v>
      </c>
      <c r="B10643" s="269">
        <v>44336</v>
      </c>
      <c r="C10643" s="1">
        <v>165</v>
      </c>
      <c r="D10643" s="39">
        <f t="shared" si="1035"/>
        <v>26768</v>
      </c>
      <c r="E10643" s="1">
        <v>3</v>
      </c>
      <c r="F10643" s="39">
        <f t="shared" si="1040"/>
        <v>1079</v>
      </c>
      <c r="G10643" s="169">
        <f>SUM(C10643,C10619,C10595,C10571,C10547,C10523,C10499,C10475,C10451,C10427,C10403,C10379,C10355,C10331)/POBLA!$B$10*100000</f>
        <v>179.92400902344201</v>
      </c>
      <c r="H10643" s="258">
        <f t="shared" si="1039"/>
        <v>1.0810600155884644</v>
      </c>
      <c r="I10643" s="310">
        <f t="shared" si="1041"/>
        <v>194.50865199962124</v>
      </c>
      <c r="J10643" s="552">
        <f t="shared" si="1042"/>
        <v>111.28571428571429</v>
      </c>
      <c r="K10643" s="310">
        <f>J10643/POBLA!$B$10*100000</f>
        <v>14.436172935344663</v>
      </c>
      <c r="L10643" s="202">
        <f t="shared" ref="L10643:L10665" si="1043">(SUM(C10643,C10619,C10595,C10571,C10547,C10523,C10499)/SUM(C10475,C10451,C10427,C10403,C10379,C10355,C10331))-1</f>
        <v>0.28125</v>
      </c>
      <c r="M10643" s="512">
        <f>SUM(C10643,C10619,C10595,C10571,C10547,C10523,C10499)/POBLA!$B$10*100000</f>
        <v>101.05321054741263</v>
      </c>
    </row>
    <row r="10644" spans="1:13" x14ac:dyDescent="0.25">
      <c r="A10644" s="402" t="s">
        <v>33</v>
      </c>
      <c r="B10644" s="269">
        <v>44336</v>
      </c>
      <c r="C10644" s="1">
        <v>705</v>
      </c>
      <c r="D10644" s="39">
        <f t="shared" si="1035"/>
        <v>36388</v>
      </c>
      <c r="F10644" s="39">
        <f t="shared" si="1040"/>
        <v>473</v>
      </c>
      <c r="G10644" s="169">
        <f>SUM(C10644,C10620,C10596,C10572,C10548,C10524,C10500,C10476,C10452,C10428,C10404,C10380,C10356,C10332)/POBLA!$B$11*100000</f>
        <v>2051.1790373519925</v>
      </c>
      <c r="H10644" s="258">
        <f t="shared" si="1039"/>
        <v>1.9086188992731048</v>
      </c>
      <c r="I10644" s="310">
        <f t="shared" si="1041"/>
        <v>3914.9190764828268</v>
      </c>
      <c r="J10644" s="552">
        <f t="shared" si="1042"/>
        <v>600.14285714285711</v>
      </c>
      <c r="K10644" s="310">
        <f>J10644/POBLA!$B$11*100000</f>
        <v>167.43749292545701</v>
      </c>
      <c r="L10644" s="202">
        <f t="shared" si="1043"/>
        <v>0.33322754681053635</v>
      </c>
      <c r="M10644" s="512">
        <f>SUM(C10644,C10620,C10596,C10572,C10548,C10524,C10500)/POBLA!$B$11*100000</f>
        <v>1172.0624504781993</v>
      </c>
    </row>
    <row r="10645" spans="1:13" x14ac:dyDescent="0.25">
      <c r="A10645" s="402" t="s">
        <v>21</v>
      </c>
      <c r="B10645" s="269">
        <v>44336</v>
      </c>
      <c r="C10645" s="1">
        <v>110</v>
      </c>
      <c r="D10645" s="39">
        <f t="shared" si="1035"/>
        <v>15611</v>
      </c>
      <c r="F10645" s="39">
        <f t="shared" si="1040"/>
        <v>517</v>
      </c>
      <c r="G10645" s="169">
        <f>SUM(C10645,C10621,C10597,C10573,C10549,C10525,C10501,C10477,C10453,C10429,C10405,C10381,C10357,C10333)/POBLA!$B$12*100000</f>
        <v>409.62465472859827</v>
      </c>
      <c r="H10645" s="258">
        <f t="shared" si="1039"/>
        <v>1.3920552677029361</v>
      </c>
      <c r="I10645" s="310">
        <f t="shared" si="1041"/>
        <v>570.22015839594167</v>
      </c>
      <c r="J10645" s="552">
        <f t="shared" si="1042"/>
        <v>166.42857142857142</v>
      </c>
      <c r="K10645" s="310">
        <f>J10645/POBLA!$B$12*100000</f>
        <v>42.291095600745912</v>
      </c>
      <c r="L10645" s="202">
        <f t="shared" si="1043"/>
        <v>1.6062639821029081</v>
      </c>
      <c r="M10645" s="512">
        <f>SUM(C10645,C10621,C10597,C10573,C10549,C10525,C10501)/POBLA!$B$12*100000</f>
        <v>296.03766920522145</v>
      </c>
    </row>
    <row r="10646" spans="1:13" x14ac:dyDescent="0.25">
      <c r="A10646" s="402" t="s">
        <v>17</v>
      </c>
      <c r="B10646" s="269">
        <v>44336</v>
      </c>
      <c r="C10646" s="1">
        <v>1120</v>
      </c>
      <c r="D10646" s="39">
        <f t="shared" si="1035"/>
        <v>112595</v>
      </c>
      <c r="E10646" s="1">
        <v>28</v>
      </c>
      <c r="F10646" s="39">
        <f t="shared" si="1040"/>
        <v>2278</v>
      </c>
      <c r="G10646" s="169">
        <f>SUM(C10646,C10622,C10598,C10574,C10550,C10526,C10502,C10478,C10454,C10430,C10406,C10382,C10358,C10334)/POBLA!$B$13*100000</f>
        <v>597.98888430005354</v>
      </c>
      <c r="H10646" s="258">
        <f t="shared" si="1039"/>
        <v>1.1138979878334114</v>
      </c>
      <c r="I10646" s="310">
        <f t="shared" si="1041"/>
        <v>666.09861496857627</v>
      </c>
      <c r="J10646" s="552">
        <f t="shared" si="1042"/>
        <v>896.28571428571433</v>
      </c>
      <c r="K10646" s="310">
        <f>J10646/POBLA!$B$13*100000</f>
        <v>45.031834506788009</v>
      </c>
      <c r="L10646" s="202">
        <f t="shared" si="1043"/>
        <v>0.11478322672352514</v>
      </c>
      <c r="M10646" s="512">
        <f>SUM(C10646,C10622,C10598,C10574,C10550,C10526,C10502)/POBLA!$B$13*100000</f>
        <v>315.22284154751605</v>
      </c>
    </row>
    <row r="10647" spans="1:13" x14ac:dyDescent="0.25">
      <c r="A10647" s="402" t="s">
        <v>23</v>
      </c>
      <c r="B10647" s="269">
        <v>44336</v>
      </c>
      <c r="C10647" s="1">
        <v>175</v>
      </c>
      <c r="D10647" s="39">
        <f t="shared" si="1035"/>
        <v>18525</v>
      </c>
      <c r="F10647" s="39">
        <f t="shared" si="1040"/>
        <v>259</v>
      </c>
      <c r="G10647" s="169">
        <f>SUM(C10647,C10623,C10599,C10575,C10551,C10527,C10503,C10479,C10455,C10431,C10407,C10383,C10359,C10335)/POBLA!$B$14*100000</f>
        <v>172.04553418949112</v>
      </c>
      <c r="H10647" s="258">
        <f t="shared" si="1039"/>
        <v>1.3337430854333128</v>
      </c>
      <c r="I10647" s="310">
        <f t="shared" si="1041"/>
        <v>229.46454160491439</v>
      </c>
      <c r="J10647" s="552">
        <f t="shared" si="1042"/>
        <v>146.28571428571428</v>
      </c>
      <c r="K10647" s="310">
        <f>J10647/POBLA!$B$14*100000</f>
        <v>11.598066294275108</v>
      </c>
      <c r="L10647" s="202">
        <f t="shared" si="1043"/>
        <v>-0.10645724258289702</v>
      </c>
      <c r="M10647" s="512">
        <f>SUM(C10647,C10623,C10599,C10575,C10551,C10527,C10503)/POBLA!$B$14*100000</f>
        <v>81.186464059925754</v>
      </c>
    </row>
    <row r="10648" spans="1:13" x14ac:dyDescent="0.25">
      <c r="A10648" s="402" t="s">
        <v>19</v>
      </c>
      <c r="B10648" s="269">
        <v>44336</v>
      </c>
      <c r="C10648" s="1">
        <v>761</v>
      </c>
      <c r="D10648" s="39">
        <f t="shared" si="1035"/>
        <v>81398</v>
      </c>
      <c r="E10648" s="1">
        <v>23</v>
      </c>
      <c r="F10648" s="39">
        <f t="shared" si="1040"/>
        <v>1203</v>
      </c>
      <c r="G10648" s="169">
        <f>SUM(C10648,C10624,C10600,C10576,C10552,C10528,C10504,C10480,C10456,C10432,C10408,C10384,C10360,C10336)/POBLA!$B$15*100000</f>
        <v>1198.2405124861268</v>
      </c>
      <c r="H10648" s="258">
        <f t="shared" si="1039"/>
        <v>1.665341146923399</v>
      </c>
      <c r="I10648" s="310">
        <f t="shared" si="1041"/>
        <v>1995.4792293537278</v>
      </c>
      <c r="J10648" s="552">
        <f t="shared" si="1042"/>
        <v>622.14285714285711</v>
      </c>
      <c r="K10648" s="310">
        <f>J10648/POBLA!$B$15*100000</f>
        <v>93.688170916481127</v>
      </c>
      <c r="L10648" s="202">
        <f t="shared" si="1043"/>
        <v>0.20905052748473074</v>
      </c>
      <c r="M10648" s="512">
        <f>SUM(C10648,C10624,C10600,C10576,C10552,C10528,C10504)/POBLA!$B$15*100000</f>
        <v>655.8171964153679</v>
      </c>
    </row>
    <row r="10649" spans="1:13" x14ac:dyDescent="0.25">
      <c r="A10649" s="402" t="s">
        <v>18</v>
      </c>
      <c r="B10649" s="269">
        <v>44336</v>
      </c>
      <c r="C10649" s="1">
        <v>620</v>
      </c>
      <c r="D10649" s="39">
        <f t="shared" si="1035"/>
        <v>68558</v>
      </c>
      <c r="E10649" s="1">
        <v>26</v>
      </c>
      <c r="F10649" s="39">
        <f t="shared" si="1040"/>
        <v>1494</v>
      </c>
      <c r="G10649" s="169">
        <f>SUM(C10649,C10625,C10601,C10577,C10553,C10529,C10505,C10481,C10457,C10433,C10409,C10385,C10361,C10337)/POBLA!$B$16*100000</f>
        <v>727.78587766348755</v>
      </c>
      <c r="H10649" s="258">
        <f t="shared" si="1039"/>
        <v>1.3897828863346104</v>
      </c>
      <c r="I10649" s="310">
        <f t="shared" si="1041"/>
        <v>1011.4643576927294</v>
      </c>
      <c r="J10649" s="552">
        <f t="shared" si="1042"/>
        <v>426.71428571428572</v>
      </c>
      <c r="K10649" s="310">
        <f>J10649/POBLA!$B$16*100000</f>
        <v>57.077123863282416</v>
      </c>
      <c r="L10649" s="202">
        <f t="shared" si="1043"/>
        <v>0.21719641401792988</v>
      </c>
      <c r="M10649" s="512">
        <f>SUM(C10649,C10625,C10601,C10577,C10553,C10529,C10505)/POBLA!$B$16*100000</f>
        <v>399.53986704297699</v>
      </c>
    </row>
    <row r="10650" spans="1:13" x14ac:dyDescent="0.25">
      <c r="A10650" s="402" t="s">
        <v>34</v>
      </c>
      <c r="B10650" s="269">
        <v>44336</v>
      </c>
      <c r="C10650" s="1">
        <v>636</v>
      </c>
      <c r="D10650" s="39">
        <f t="shared" si="1035"/>
        <v>40325</v>
      </c>
      <c r="E10650" s="1">
        <v>7</v>
      </c>
      <c r="F10650" s="39">
        <f t="shared" si="1040"/>
        <v>1339</v>
      </c>
      <c r="G10650" s="169">
        <f>SUM(C10650,C10626,C10602,C10578,C10554,C10530,C10506,C10482,C10458,C10434,C10410,C10386,C10362,C10338)/POBLA!$B$17*100000</f>
        <v>311.4300296897564</v>
      </c>
      <c r="H10650" s="258">
        <f t="shared" ref="H10650:H10673" si="1044">SUM(C10650,C10626,C10602,C10578,C10554,C10530,C10506,C10482,C10458,C10434,C10410,C10386,C10362,C10338)/SUM(C10314,C10290,C10266,C10242,C10218,C10194,C10170,C10146,C10122,C10098,C10074,C10050,C10026,C10002)</f>
        <v>1.6645403377110695</v>
      </c>
      <c r="I10650" s="310">
        <f t="shared" si="1041"/>
        <v>518.38784679315552</v>
      </c>
      <c r="J10650" s="552">
        <f t="shared" si="1042"/>
        <v>379.28571428571428</v>
      </c>
      <c r="K10650" s="310">
        <f>J10650/POBLA!$B$17*100000</f>
        <v>26.62780912103257</v>
      </c>
      <c r="L10650" s="202">
        <f t="shared" si="1043"/>
        <v>0.49073554183043244</v>
      </c>
      <c r="M10650" s="512">
        <f>SUM(C10650,C10626,C10602,C10578,C10554,C10530,C10506)/POBLA!$B$17*100000</f>
        <v>186.39466384722797</v>
      </c>
    </row>
    <row r="10651" spans="1:13" x14ac:dyDescent="0.25">
      <c r="A10651" s="402" t="s">
        <v>35</v>
      </c>
      <c r="B10651" s="269">
        <v>44336</v>
      </c>
      <c r="C10651" s="1">
        <v>675</v>
      </c>
      <c r="D10651" s="39">
        <f t="shared" si="1035"/>
        <v>31856</v>
      </c>
      <c r="E10651" s="1">
        <v>5</v>
      </c>
      <c r="F10651" s="39">
        <f t="shared" si="1040"/>
        <v>568</v>
      </c>
      <c r="G10651" s="169">
        <f>SUM(C10651,C10627,C10603,C10579,C10555,C10531,C10507,C10483,C10459,C10435,C10411,C10387,C10363,C10339)/POBLA!$B$18*100000</f>
        <v>815.90646388903474</v>
      </c>
      <c r="H10651" s="258">
        <f t="shared" si="1044"/>
        <v>1.5519844168492818</v>
      </c>
      <c r="I10651" s="310">
        <f t="shared" si="1041"/>
        <v>1266.2741175623833</v>
      </c>
      <c r="J10651" s="552">
        <f t="shared" si="1042"/>
        <v>544</v>
      </c>
      <c r="K10651" s="310">
        <f>J10651/POBLA!$B$18*100000</f>
        <v>69.634941379923887</v>
      </c>
      <c r="L10651" s="202">
        <f t="shared" si="1043"/>
        <v>0.48402182385035064</v>
      </c>
      <c r="M10651" s="512">
        <f>SUM(C10651,C10627,C10603,C10579,C10555,C10531,C10507)/POBLA!$B$18*100000</f>
        <v>487.44458965946723</v>
      </c>
    </row>
    <row r="10652" spans="1:13" x14ac:dyDescent="0.25">
      <c r="A10652" s="402" t="s">
        <v>36</v>
      </c>
      <c r="B10652" s="269">
        <v>44336</v>
      </c>
      <c r="C10652" s="1">
        <v>743</v>
      </c>
      <c r="D10652" s="39">
        <f t="shared" si="1035"/>
        <v>46645</v>
      </c>
      <c r="E10652" s="1">
        <v>6</v>
      </c>
      <c r="F10652" s="39">
        <f t="shared" si="1040"/>
        <v>641</v>
      </c>
      <c r="G10652" s="169">
        <f>SUM(C10652,C10628,C10604,C10580,C10556,C10532,C10508,C10484,C10460,C10436,C10412,C10388,C10364,C10340)/POBLA!$B$19*100000</f>
        <v>1309.9809571772557</v>
      </c>
      <c r="H10652" s="258">
        <f t="shared" si="1044"/>
        <v>0.91032125768967875</v>
      </c>
      <c r="I10652" s="310">
        <f t="shared" si="1041"/>
        <v>1192.5035124871285</v>
      </c>
      <c r="J10652" s="552">
        <f t="shared" si="1042"/>
        <v>460.85714285714283</v>
      </c>
      <c r="K10652" s="310">
        <f>J10652/POBLA!$B$19*100000</f>
        <v>90.66137274695528</v>
      </c>
      <c r="L10652" s="202">
        <f t="shared" si="1043"/>
        <v>-6.0297116224876213E-2</v>
      </c>
      <c r="M10652" s="512">
        <f>SUM(C10652,C10628,C10604,C10580,C10556,C10532,C10508)/POBLA!$B$19*100000</f>
        <v>634.62960922868695</v>
      </c>
    </row>
    <row r="10653" spans="1:13" x14ac:dyDescent="0.25">
      <c r="A10653" s="402" t="s">
        <v>37</v>
      </c>
      <c r="B10653" s="269">
        <v>44336</v>
      </c>
      <c r="C10653" s="1">
        <v>370</v>
      </c>
      <c r="D10653" s="39">
        <f t="shared" si="1035"/>
        <v>49356</v>
      </c>
      <c r="E10653" s="1">
        <v>2</v>
      </c>
      <c r="F10653" s="39">
        <f t="shared" si="1040"/>
        <v>762</v>
      </c>
      <c r="G10653" s="169">
        <f>SUM(C10653,C10629,C10605,C10581,C10557,C10533,C10509,C10485,C10461,C10437,C10413,C10389,C10365,C10341)/POBLA!$B$20*100000</f>
        <v>922.3457607096567</v>
      </c>
      <c r="H10653" s="258">
        <f t="shared" si="1044"/>
        <v>1.1781348236115963</v>
      </c>
      <c r="I10653" s="310">
        <f t="shared" si="1041"/>
        <v>1086.6476601025749</v>
      </c>
      <c r="J10653" s="552">
        <f t="shared" si="1042"/>
        <v>271</v>
      </c>
      <c r="K10653" s="310">
        <f>J10653/POBLA!$B$20*100000</f>
        <v>74.104862482157401</v>
      </c>
      <c r="L10653" s="202">
        <f t="shared" si="1043"/>
        <v>0.28523035230352312</v>
      </c>
      <c r="M10653" s="512">
        <f>SUM(C10653,C10629,C10605,C10581,C10557,C10533,C10509)/POBLA!$B$20*100000</f>
        <v>518.73403737510182</v>
      </c>
    </row>
    <row r="10654" spans="1:13" x14ac:dyDescent="0.25">
      <c r="A10654" s="402" t="s">
        <v>22</v>
      </c>
      <c r="B10654" s="269">
        <v>44336</v>
      </c>
      <c r="C10654" s="1">
        <v>2947</v>
      </c>
      <c r="D10654" s="39">
        <f t="shared" si="1035"/>
        <v>313960</v>
      </c>
      <c r="E10654" s="1">
        <v>67</v>
      </c>
      <c r="F10654" s="39">
        <f t="shared" si="1040"/>
        <v>5117</v>
      </c>
      <c r="G10654" s="169">
        <f>SUM(C10654,C10630,C10606,C10582,C10558,C10534,C10510,C10486,C10462,C10438,C10414,C10390,C10366,C10342)/POBLA!$B$21*100000</f>
        <v>832.96148814987373</v>
      </c>
      <c r="H10654" s="258">
        <f t="shared" si="1044"/>
        <v>1.2157744851211358</v>
      </c>
      <c r="I10654" s="310">
        <f t="shared" si="1041"/>
        <v>1012.6933243811478</v>
      </c>
      <c r="J10654" s="552">
        <f t="shared" si="1042"/>
        <v>2422.7142857142858</v>
      </c>
      <c r="K10654" s="310">
        <f>J10654/POBLA!$B$21*100000</f>
        <v>68.507577037394498</v>
      </c>
      <c r="L10654" s="202">
        <f t="shared" si="1043"/>
        <v>0.35693710993758998</v>
      </c>
      <c r="M10654" s="512">
        <f>SUM(C10654,C10630,C10606,C10582,C10558,C10534,C10510)/POBLA!$B$21*100000</f>
        <v>479.55303926176146</v>
      </c>
    </row>
    <row r="10655" spans="1:13" x14ac:dyDescent="0.25">
      <c r="A10655" s="402" t="s">
        <v>38</v>
      </c>
      <c r="B10655" s="269">
        <v>44336</v>
      </c>
      <c r="C10655" s="1">
        <v>790</v>
      </c>
      <c r="D10655" s="39">
        <f t="shared" si="1035"/>
        <v>37628</v>
      </c>
      <c r="E10655" s="1">
        <v>9</v>
      </c>
      <c r="F10655" s="39">
        <f t="shared" si="1040"/>
        <v>429</v>
      </c>
      <c r="G10655" s="169">
        <f>SUM(C10655,C10631,C10607,C10583,C10559,C10535,C10511,C10487,C10463,C10439,C10415,C10391,C10367,C10343)/POBLA!$B$22*100000</f>
        <v>584.88438771640574</v>
      </c>
      <c r="H10655" s="258">
        <f t="shared" si="1044"/>
        <v>2.0276399716513112</v>
      </c>
      <c r="I10655" s="310">
        <f t="shared" si="1041"/>
        <v>1185.9349633285874</v>
      </c>
      <c r="J10655" s="552">
        <f t="shared" si="1042"/>
        <v>518.28571428571433</v>
      </c>
      <c r="K10655" s="310">
        <f>J10655/POBLA!$B$22*100000</f>
        <v>52.977494348507513</v>
      </c>
      <c r="L10655" s="202">
        <f t="shared" si="1043"/>
        <v>0.73256924546322821</v>
      </c>
      <c r="M10655" s="512">
        <f>SUM(C10655,C10631,C10607,C10583,C10559,C10535,C10511)/POBLA!$B$22*100000</f>
        <v>370.84246043955261</v>
      </c>
    </row>
    <row r="10656" spans="1:13" x14ac:dyDescent="0.25">
      <c r="A10656" s="402" t="s">
        <v>39</v>
      </c>
      <c r="B10656" s="269">
        <v>44336</v>
      </c>
      <c r="C10656" s="1">
        <v>90</v>
      </c>
      <c r="D10656" s="39">
        <f t="shared" si="1035"/>
        <v>27853</v>
      </c>
      <c r="F10656" s="39">
        <f t="shared" si="1040"/>
        <v>407</v>
      </c>
      <c r="G10656" s="169">
        <f>SUM(C10656,C10632,C10608,C10584,C10560,C10536,C10512,C10488,C10464,C10440,C10416,C10392,C10368,C10344)/POBLA!$B$23*100000</f>
        <v>568.34247582423802</v>
      </c>
      <c r="H10656" s="258">
        <f t="shared" si="1044"/>
        <v>0.95532319391634979</v>
      </c>
      <c r="I10656" s="310">
        <f t="shared" si="1041"/>
        <v>542.95074924273683</v>
      </c>
      <c r="J10656" s="552">
        <f t="shared" si="1042"/>
        <v>70.714285714285708</v>
      </c>
      <c r="K10656" s="310">
        <f>J10656/POBLA!$B$23*100000</f>
        <v>39.98998230746237</v>
      </c>
      <c r="L10656" s="202">
        <f t="shared" si="1043"/>
        <v>-2.9411764705882359E-2</v>
      </c>
      <c r="M10656" s="512">
        <f>SUM(C10656,C10632,C10608,C10584,C10560,C10536,C10512)/POBLA!$B$23*100000</f>
        <v>279.9298761522366</v>
      </c>
    </row>
    <row r="10657" spans="1:13" ht="15.75" thickBot="1" x14ac:dyDescent="0.3">
      <c r="A10657" s="404" t="s">
        <v>40</v>
      </c>
      <c r="B10657" s="269">
        <v>44336</v>
      </c>
      <c r="C10657" s="1">
        <v>957</v>
      </c>
      <c r="D10657" s="177">
        <f t="shared" si="1035"/>
        <v>118801</v>
      </c>
      <c r="E10657" s="1">
        <v>26</v>
      </c>
      <c r="F10657" s="177">
        <f t="shared" si="1040"/>
        <v>1791</v>
      </c>
      <c r="G10657" s="178">
        <f>SUM(C10657,C10633,C10609,C10585,C10561,C10537,C10513,C10489,C10465,C10441,C10417,C10393,C10369,C10345)/POBLA!$B$24*100000</f>
        <v>559.34655764945808</v>
      </c>
      <c r="H10657" s="513">
        <f t="shared" si="1044"/>
        <v>1.1334449360277412</v>
      </c>
      <c r="I10657" s="514">
        <f t="shared" si="1041"/>
        <v>633.98852325232724</v>
      </c>
      <c r="J10657" s="553">
        <f t="shared" si="1042"/>
        <v>777.42857142857144</v>
      </c>
      <c r="K10657" s="514">
        <f>J10657/POBLA!$B$24*100000</f>
        <v>45.875302800602093</v>
      </c>
      <c r="L10657" s="515">
        <f t="shared" si="1043"/>
        <v>0.34803071587812728</v>
      </c>
      <c r="M10657" s="516">
        <f>SUM(C10657,C10633,C10609,C10585,C10561,C10537,C10513)/POBLA!$B$24*100000</f>
        <v>321.12711960421461</v>
      </c>
    </row>
    <row r="10658" spans="1:13" x14ac:dyDescent="0.25">
      <c r="A10658" s="397" t="s">
        <v>16</v>
      </c>
      <c r="B10658" s="269">
        <v>44337</v>
      </c>
      <c r="C10658" s="608">
        <v>13510</v>
      </c>
      <c r="D10658" s="175">
        <f t="shared" si="1035"/>
        <v>1505244</v>
      </c>
      <c r="E10658" s="1">
        <v>362</v>
      </c>
      <c r="F10658" s="175">
        <f t="shared" ref="F10658:F10681" si="1045">E10658+F10634</f>
        <v>38034</v>
      </c>
      <c r="G10658" s="176">
        <f>SUM(C10658,C10634,C10610,C10586,C10562,C10538,C10514,C10490,C10466,C10442,C10418,C10394,C10370,C10346)/POBLA!$B$1*100000</f>
        <v>809.95301274871463</v>
      </c>
      <c r="H10658" s="313">
        <f t="shared" si="1044"/>
        <v>1.0503378528233258</v>
      </c>
      <c r="I10658" s="314">
        <f>G10658*H10658</f>
        <v>850.72430829826874</v>
      </c>
      <c r="J10658" s="551">
        <f>AVERAGE(C10658,C10634,C10610,C10586,C10562,C10538,C10514)</f>
        <v>11378.714285714286</v>
      </c>
      <c r="K10658" s="314">
        <f>J10658/POBLA!$B$1*100000</f>
        <v>64.868723680599146</v>
      </c>
      <c r="L10658" s="510">
        <f t="shared" si="1043"/>
        <v>0.27596757657311288</v>
      </c>
      <c r="M10658" s="511">
        <f>SUM(C10658,C10634,C10610,C10586,C10562,C10538,C10514)/POBLA!$B$1*100000</f>
        <v>454.08106576419402</v>
      </c>
    </row>
    <row r="10659" spans="1:13" x14ac:dyDescent="0.25">
      <c r="A10659" s="402" t="s">
        <v>43</v>
      </c>
      <c r="B10659" s="269">
        <v>44337</v>
      </c>
      <c r="C10659" s="608">
        <v>2932</v>
      </c>
      <c r="D10659" s="39">
        <f t="shared" si="1035"/>
        <v>393056</v>
      </c>
      <c r="E10659" s="1">
        <v>61</v>
      </c>
      <c r="F10659" s="39">
        <f t="shared" si="1045"/>
        <v>8755</v>
      </c>
      <c r="G10659" s="169">
        <f>SUM(C10659,C10635,C10611,C10587,C10563,C10539,C10515,C10491,C10467,C10443,C10419,C10395,C10371,C10347)/POBLA!$B$2*100000</f>
        <v>1131.6972109273954</v>
      </c>
      <c r="H10659" s="258">
        <f t="shared" si="1044"/>
        <v>0.96616332648642644</v>
      </c>
      <c r="I10659" s="310">
        <f t="shared" ref="I10659:I10681" si="1046">G10659*H10659</f>
        <v>1093.4043418850233</v>
      </c>
      <c r="J10659" s="552">
        <f t="shared" ref="J10659:J10681" si="1047">AVERAGE(C10659,C10635,C10611,C10587,C10563,C10539,C10515)</f>
        <v>2727.1428571428573</v>
      </c>
      <c r="K10659" s="310">
        <f>J10659/POBLA!$B$2*100000</f>
        <v>88.668944902724746</v>
      </c>
      <c r="L10659" s="202">
        <f t="shared" si="1043"/>
        <v>0.21460838582426667</v>
      </c>
      <c r="M10659" s="512">
        <f>SUM(C10659,C10635,C10611,C10587,C10563,C10539,C10515)/POBLA!$B$2*100000</f>
        <v>620.68261431907308</v>
      </c>
    </row>
    <row r="10660" spans="1:13" x14ac:dyDescent="0.25">
      <c r="A10660" s="402" t="s">
        <v>28</v>
      </c>
      <c r="B10660" s="269">
        <v>44337</v>
      </c>
      <c r="C10660" s="608">
        <v>564</v>
      </c>
      <c r="D10660" s="39">
        <f t="shared" si="1035"/>
        <v>19837</v>
      </c>
      <c r="F10660" s="39">
        <f t="shared" si="1045"/>
        <v>143</v>
      </c>
      <c r="G10660" s="169">
        <f>SUM(C10660,C10636,C10612,C10588,C10564,C10540,C10516,C10492,C10468,C10444,C10420,C10396,C10372,C10348)/POBLA!$B$3*100000</f>
        <v>951.76656925943223</v>
      </c>
      <c r="H10660" s="258">
        <f t="shared" si="1044"/>
        <v>1.8356545961002786</v>
      </c>
      <c r="I10660" s="310">
        <f t="shared" si="1046"/>
        <v>1747.1146772756708</v>
      </c>
      <c r="J10660" s="552">
        <f t="shared" si="1047"/>
        <v>372.14285714285717</v>
      </c>
      <c r="K10660" s="310">
        <f>J10660/POBLA!$B$3*100000</f>
        <v>89.578434602240804</v>
      </c>
      <c r="L10660" s="202">
        <f t="shared" si="1043"/>
        <v>0.93106004447739066</v>
      </c>
      <c r="M10660" s="512">
        <f>SUM(C10660,C10636,C10612,C10588,C10564,C10540,C10516)/POBLA!$B$3*100000</f>
        <v>627.04904221568563</v>
      </c>
    </row>
    <row r="10661" spans="1:13" x14ac:dyDescent="0.25">
      <c r="A10661" s="402" t="s">
        <v>15</v>
      </c>
      <c r="B10661" s="269">
        <v>44337</v>
      </c>
      <c r="C10661" s="608">
        <v>601</v>
      </c>
      <c r="D10661" s="39">
        <f t="shared" si="1035"/>
        <v>52235</v>
      </c>
      <c r="E10661" s="1">
        <v>9</v>
      </c>
      <c r="F10661" s="39">
        <f t="shared" si="1045"/>
        <v>1150</v>
      </c>
      <c r="G10661" s="169">
        <f>SUM(C10661,C10637,C10613,C10589,C10565,C10541,C10517,C10493,C10469,C10445,C10421,C10397,C10373,C10349)/POBLA!$B$4*100000</f>
        <v>464.49228378278531</v>
      </c>
      <c r="H10661" s="258">
        <f t="shared" si="1044"/>
        <v>1.6273996509598603</v>
      </c>
      <c r="I10661" s="310">
        <f t="shared" si="1046"/>
        <v>755.91458050165318</v>
      </c>
      <c r="J10661" s="552">
        <f t="shared" si="1047"/>
        <v>502</v>
      </c>
      <c r="K10661" s="310">
        <f>J10661/POBLA!$B$4*100000</f>
        <v>41.675625819295483</v>
      </c>
      <c r="L10661" s="202">
        <f t="shared" si="1043"/>
        <v>0.68861124459394518</v>
      </c>
      <c r="M10661" s="512">
        <f>SUM(C10661,C10637,C10613,C10589,C10565,C10541,C10517)/POBLA!$B$4*100000</f>
        <v>291.72938073506839</v>
      </c>
    </row>
    <row r="10662" spans="1:13" x14ac:dyDescent="0.25">
      <c r="A10662" s="402" t="s">
        <v>29</v>
      </c>
      <c r="B10662" s="269">
        <v>44337</v>
      </c>
      <c r="C10662" s="608">
        <v>375</v>
      </c>
      <c r="D10662" s="39">
        <f t="shared" si="1035"/>
        <v>59553</v>
      </c>
      <c r="E10662" s="1">
        <v>19</v>
      </c>
      <c r="F10662" s="39">
        <f t="shared" si="1045"/>
        <v>992</v>
      </c>
      <c r="G10662" s="169">
        <f>SUM(C10662,C10638,C10614,C10590,C10566,C10542,C10518,C10494,C10470,C10446,C10422,C10398,C10374,C10350)/POBLA!$B$5*100000</f>
        <v>554.9326810922239</v>
      </c>
      <c r="H10662" s="258">
        <f t="shared" si="1044"/>
        <v>1.4561254768969902</v>
      </c>
      <c r="I10662" s="310">
        <f t="shared" si="1046"/>
        <v>808.05161490113994</v>
      </c>
      <c r="J10662" s="552">
        <f t="shared" si="1047"/>
        <v>284.71428571428572</v>
      </c>
      <c r="K10662" s="310">
        <f>J10662/POBLA!$B$5*100000</f>
        <v>45.996291678802336</v>
      </c>
      <c r="L10662" s="202">
        <f t="shared" si="1043"/>
        <v>0.38210818307905692</v>
      </c>
      <c r="M10662" s="512">
        <f>SUM(C10662,C10638,C10614,C10590,C10566,C10542,C10518)/POBLA!$B$5*100000</f>
        <v>321.97404175161631</v>
      </c>
    </row>
    <row r="10663" spans="1:13" x14ac:dyDescent="0.25">
      <c r="A10663" s="402" t="s">
        <v>30</v>
      </c>
      <c r="B10663" s="269">
        <v>44337</v>
      </c>
      <c r="C10663" s="608">
        <v>684</v>
      </c>
      <c r="D10663" s="39">
        <f t="shared" si="1035"/>
        <v>42841</v>
      </c>
      <c r="F10663" s="39">
        <f t="shared" si="1045"/>
        <v>571</v>
      </c>
      <c r="G10663" s="169">
        <f>SUM(C10663,C10639,C10615,C10591,C10567,C10543,C10519,C10495,C10471,C10447,C10423,C10399,C10375,C10351)/POBLA!$B$6*100000</f>
        <v>368.04035685192997</v>
      </c>
      <c r="H10663" s="258">
        <f t="shared" si="1044"/>
        <v>1.55133508837909</v>
      </c>
      <c r="I10663" s="310">
        <f t="shared" si="1046"/>
        <v>570.95391952396062</v>
      </c>
      <c r="J10663" s="552">
        <f t="shared" si="1047"/>
        <v>369</v>
      </c>
      <c r="K10663" s="310">
        <f>J10663/POBLA!$B$6*100000</f>
        <v>32.922882831118102</v>
      </c>
      <c r="L10663" s="202">
        <f t="shared" si="1043"/>
        <v>0.67509727626459148</v>
      </c>
      <c r="M10663" s="512">
        <f>SUM(C10663,C10639,C10615,C10591,C10567,C10543,C10519)/POBLA!$B$6*100000</f>
        <v>230.46017981782674</v>
      </c>
    </row>
    <row r="10664" spans="1:13" x14ac:dyDescent="0.25">
      <c r="A10664" s="402" t="s">
        <v>20</v>
      </c>
      <c r="B10664" s="269">
        <v>44337</v>
      </c>
      <c r="C10664" s="608">
        <v>2826</v>
      </c>
      <c r="D10664" s="39">
        <f t="shared" si="1035"/>
        <v>273715</v>
      </c>
      <c r="E10664" s="1">
        <v>25</v>
      </c>
      <c r="F10664" s="39">
        <f t="shared" si="1045"/>
        <v>3706</v>
      </c>
      <c r="G10664" s="169">
        <f>SUM(C10664,C10640,C10616,C10592,C10568,C10544,C10520,C10496,C10472,C10448,C10424,C10400,C10376,C10352)/POBLA!$B$7*100000</f>
        <v>954.27408953715644</v>
      </c>
      <c r="H10664" s="258">
        <f t="shared" si="1044"/>
        <v>1.6773394409647564</v>
      </c>
      <c r="I10664" s="310">
        <f t="shared" si="1046"/>
        <v>1600.6415678714059</v>
      </c>
      <c r="J10664" s="552">
        <f t="shared" si="1047"/>
        <v>3008.7142857142858</v>
      </c>
      <c r="K10664" s="310">
        <f>J10664/POBLA!$B$7*100000</f>
        <v>80.009421364844258</v>
      </c>
      <c r="L10664" s="202">
        <f t="shared" si="1043"/>
        <v>0.42073664328116567</v>
      </c>
      <c r="M10664" s="512">
        <f>SUM(C10664,C10640,C10616,C10592,C10568,C10544,C10520)/POBLA!$B$7*100000</f>
        <v>560.06594955390972</v>
      </c>
    </row>
    <row r="10665" spans="1:13" x14ac:dyDescent="0.25">
      <c r="A10665" s="402" t="s">
        <v>31</v>
      </c>
      <c r="B10665" s="269">
        <v>44337</v>
      </c>
      <c r="C10665" s="608">
        <v>1028</v>
      </c>
      <c r="D10665" s="39">
        <f t="shared" si="1035"/>
        <v>76692</v>
      </c>
      <c r="E10665" s="1">
        <v>6</v>
      </c>
      <c r="F10665" s="39">
        <f t="shared" si="1045"/>
        <v>1215</v>
      </c>
      <c r="G10665" s="169">
        <f>SUM(C10665,C10641,C10617,C10593,C10569,C10545,C10521,C10497,C10473,C10449,C10425,C10401,C10377,C10353)/POBLA!$B$8*100000</f>
        <v>718.05772312496526</v>
      </c>
      <c r="H10665" s="258">
        <f t="shared" si="1044"/>
        <v>1.3151843531121976</v>
      </c>
      <c r="I10665" s="310">
        <f t="shared" si="1046"/>
        <v>944.37828208532494</v>
      </c>
      <c r="J10665" s="552">
        <f t="shared" si="1047"/>
        <v>814.57142857142856</v>
      </c>
      <c r="K10665" s="310">
        <f>J10665/POBLA!$B$8*100000</f>
        <v>58.773041129687535</v>
      </c>
      <c r="L10665" s="202">
        <f t="shared" si="1043"/>
        <v>0.34164705882352941</v>
      </c>
      <c r="M10665" s="512">
        <f>SUM(C10665,C10641,C10617,C10593,C10569,C10545,C10521)/POBLA!$B$8*100000</f>
        <v>411.41128790781266</v>
      </c>
    </row>
    <row r="10666" spans="1:13" x14ac:dyDescent="0.25">
      <c r="A10666" s="402" t="s">
        <v>41</v>
      </c>
      <c r="B10666" s="269">
        <v>44337</v>
      </c>
      <c r="C10666" s="608">
        <v>1088</v>
      </c>
      <c r="D10666" s="39">
        <f t="shared" si="1035"/>
        <v>21212</v>
      </c>
      <c r="E10666" s="1">
        <v>44</v>
      </c>
      <c r="F10666" s="39">
        <f t="shared" si="1045"/>
        <v>302</v>
      </c>
      <c r="G10666" s="169">
        <f>SUM(C10666,C10642,C10618,C10594,C10570,C10546,C10522,C10498,C10474,C10450,C10426,C10402,C10378,C10354)/POBLA!$B$9*100000</f>
        <v>2552.4089009621725</v>
      </c>
      <c r="H10666" s="258">
        <f t="shared" si="1044"/>
        <v>8.6199776785714288</v>
      </c>
      <c r="I10666" s="310">
        <f t="shared" si="1046"/>
        <v>22001.70775288096</v>
      </c>
      <c r="J10666" s="552">
        <f t="shared" si="1047"/>
        <v>2039.1428571428571</v>
      </c>
      <c r="K10666" s="310">
        <f>J10666/POBLA!$B$9*100000</f>
        <v>336.94091920145428</v>
      </c>
      <c r="L10666" s="202">
        <f>(SUM(C10666,C10642,C10618,C10594,C10570,C10546,C10522)/SUM(C10498,C10474,C10450,C10426,C10402,C10378,C10354))-1</f>
        <v>11.168797953964194</v>
      </c>
      <c r="M10666" s="512">
        <f>SUM(C10666,C10642,C10618,C10594,C10570,C10546,C10522)/POBLA!$B$9*100000</f>
        <v>2358.5864344101801</v>
      </c>
    </row>
    <row r="10667" spans="1:13" x14ac:dyDescent="0.25">
      <c r="A10667" s="402" t="s">
        <v>32</v>
      </c>
      <c r="B10667" s="269">
        <v>44337</v>
      </c>
      <c r="C10667" s="608">
        <v>146</v>
      </c>
      <c r="D10667" s="39">
        <f t="shared" si="1035"/>
        <v>26914</v>
      </c>
      <c r="F10667" s="39">
        <f t="shared" si="1045"/>
        <v>1079</v>
      </c>
      <c r="G10667" s="169">
        <f>SUM(C10667,C10643,C10619,C10595,C10571,C10547,C10523,C10499,C10475,C10451,C10427,C10403,C10379,C10355)/POBLA!$B$10*100000</f>
        <v>182.51844318383772</v>
      </c>
      <c r="H10667" s="258">
        <f t="shared" si="1044"/>
        <v>1.053932584269663</v>
      </c>
      <c r="I10667" s="310">
        <f t="shared" si="1046"/>
        <v>192.36213450161773</v>
      </c>
      <c r="J10667" s="552">
        <f t="shared" si="1047"/>
        <v>118.28571428571429</v>
      </c>
      <c r="K10667" s="310">
        <f>J10667/POBLA!$B$10*100000</f>
        <v>15.34422489148316</v>
      </c>
      <c r="L10667" s="202">
        <f t="shared" ref="L10667:L10689" si="1048">(SUM(C10667,C10643,C10619,C10595,C10571,C10547,C10523)/SUM(C10499,C10475,C10451,C10427,C10403,C10379,C10355))-1</f>
        <v>0.43005181347150256</v>
      </c>
      <c r="M10667" s="512">
        <f>SUM(C10667,C10643,C10619,C10595,C10571,C10547,C10523)/POBLA!$B$10*100000</f>
        <v>107.40957424038211</v>
      </c>
    </row>
    <row r="10668" spans="1:13" x14ac:dyDescent="0.25">
      <c r="A10668" s="402" t="s">
        <v>33</v>
      </c>
      <c r="B10668" s="269">
        <v>44337</v>
      </c>
      <c r="C10668" s="608">
        <v>860</v>
      </c>
      <c r="D10668" s="39">
        <f t="shared" si="1035"/>
        <v>37248</v>
      </c>
      <c r="E10668" s="1">
        <v>17</v>
      </c>
      <c r="F10668" s="39">
        <f t="shared" si="1045"/>
        <v>490</v>
      </c>
      <c r="G10668" s="169">
        <f>SUM(C10668,C10644,C10620,C10596,C10572,C10548,C10524,C10500,C10476,C10452,C10428,C10404,C10380,C10356)/POBLA!$B$11*100000</f>
        <v>2189.0030912763514</v>
      </c>
      <c r="H10668" s="258">
        <f t="shared" si="1044"/>
        <v>1.9435224176368591</v>
      </c>
      <c r="I10668" s="310">
        <f t="shared" si="1046"/>
        <v>4254.3765801719728</v>
      </c>
      <c r="J10668" s="552">
        <f t="shared" si="1047"/>
        <v>630.14285714285711</v>
      </c>
      <c r="K10668" s="310">
        <f>J10668/POBLA!$B$11*100000</f>
        <v>175.80737474272576</v>
      </c>
      <c r="L10668" s="202">
        <f t="shared" si="1048"/>
        <v>0.28413391557496359</v>
      </c>
      <c r="M10668" s="512">
        <f>SUM(C10668,C10644,C10620,C10596,C10572,C10548,C10524)/POBLA!$B$11*100000</f>
        <v>1230.6516231990804</v>
      </c>
    </row>
    <row r="10669" spans="1:13" x14ac:dyDescent="0.25">
      <c r="A10669" s="402" t="s">
        <v>21</v>
      </c>
      <c r="B10669" s="269">
        <v>44337</v>
      </c>
      <c r="C10669" s="608">
        <v>147</v>
      </c>
      <c r="D10669" s="39">
        <f t="shared" si="1035"/>
        <v>15758</v>
      </c>
      <c r="F10669" s="39">
        <f t="shared" si="1045"/>
        <v>517</v>
      </c>
      <c r="G10669" s="169">
        <f>SUM(C10669,C10645,C10621,C10597,C10573,C10549,C10525,C10501,C10477,C10453,C10429,C10405,C10381,C10357)/POBLA!$B$12*100000</f>
        <v>425.37944914123665</v>
      </c>
      <c r="H10669" s="258">
        <f t="shared" si="1044"/>
        <v>1.4198473282442747</v>
      </c>
      <c r="I10669" s="310">
        <f t="shared" si="1046"/>
        <v>603.97387435320616</v>
      </c>
      <c r="J10669" s="552">
        <f t="shared" si="1047"/>
        <v>176.14285714285714</v>
      </c>
      <c r="K10669" s="310">
        <f>J10669/POBLA!$B$12*100000</f>
        <v>44.759588734523362</v>
      </c>
      <c r="L10669" s="202">
        <f t="shared" si="1048"/>
        <v>1.795918367346939</v>
      </c>
      <c r="M10669" s="512">
        <f>SUM(C10669,C10645,C10621,C10597,C10573,C10549,C10525)/POBLA!$B$12*100000</f>
        <v>313.31712114166356</v>
      </c>
    </row>
    <row r="10670" spans="1:13" x14ac:dyDescent="0.25">
      <c r="A10670" s="402" t="s">
        <v>17</v>
      </c>
      <c r="B10670" s="269">
        <v>44337</v>
      </c>
      <c r="C10670" s="608">
        <v>1064</v>
      </c>
      <c r="D10670" s="39">
        <f t="shared" si="1035"/>
        <v>113659</v>
      </c>
      <c r="E10670" s="1">
        <v>29</v>
      </c>
      <c r="F10670" s="39">
        <f t="shared" si="1045"/>
        <v>2307</v>
      </c>
      <c r="G10670" s="169">
        <f>SUM(C10670,C10646,C10622,C10598,C10574,C10550,C10526,C10502,C10478,C10454,C10430,C10406,C10382,C10358)/POBLA!$B$13*100000</f>
        <v>605.07310818564486</v>
      </c>
      <c r="H10670" s="258">
        <f t="shared" si="1044"/>
        <v>1.1467339554370597</v>
      </c>
      <c r="I10670" s="310">
        <f t="shared" si="1046"/>
        <v>693.8578786783205</v>
      </c>
      <c r="J10670" s="552">
        <f t="shared" si="1047"/>
        <v>896.85714285714289</v>
      </c>
      <c r="K10670" s="310">
        <f>J10670/POBLA!$B$13*100000</f>
        <v>45.060544633983916</v>
      </c>
      <c r="L10670" s="202">
        <f t="shared" si="1048"/>
        <v>8.8985255854293177E-2</v>
      </c>
      <c r="M10670" s="512">
        <f>SUM(C10670,C10646,C10622,C10598,C10574,C10550,C10526)/POBLA!$B$13*100000</f>
        <v>315.42381243788742</v>
      </c>
    </row>
    <row r="10671" spans="1:13" x14ac:dyDescent="0.25">
      <c r="A10671" s="402" t="s">
        <v>23</v>
      </c>
      <c r="B10671" s="269">
        <v>44337</v>
      </c>
      <c r="C10671" s="608">
        <v>188</v>
      </c>
      <c r="D10671" s="39">
        <f t="shared" si="1035"/>
        <v>18713</v>
      </c>
      <c r="F10671" s="39">
        <f t="shared" si="1045"/>
        <v>259</v>
      </c>
      <c r="G10671" s="169">
        <f>SUM(C10671,C10647,C10623,C10599,C10575,C10551,C10527,C10503,C10479,C10455,C10431,C10407,C10383,C10359)/POBLA!$B$14*100000</f>
        <v>169.11203890607581</v>
      </c>
      <c r="H10671" s="258">
        <f t="shared" si="1044"/>
        <v>1.2244546498277842</v>
      </c>
      <c r="I10671" s="310">
        <f t="shared" si="1046"/>
        <v>207.07002238040167</v>
      </c>
      <c r="J10671" s="552">
        <f t="shared" si="1047"/>
        <v>154.14285714285714</v>
      </c>
      <c r="K10671" s="310">
        <f>J10671/POBLA!$B$14*100000</f>
        <v>12.221009308127774</v>
      </c>
      <c r="L10671" s="202">
        <f t="shared" si="1048"/>
        <v>2.371916508538896E-2</v>
      </c>
      <c r="M10671" s="512">
        <f>SUM(C10671,C10647,C10623,C10599,C10575,C10551,C10527)/POBLA!$B$14*100000</f>
        <v>85.547065156894433</v>
      </c>
    </row>
    <row r="10672" spans="1:13" x14ac:dyDescent="0.25">
      <c r="A10672" s="402" t="s">
        <v>19</v>
      </c>
      <c r="B10672" s="269">
        <v>44337</v>
      </c>
      <c r="C10672" s="608">
        <v>777</v>
      </c>
      <c r="D10672" s="39">
        <f t="shared" si="1035"/>
        <v>82175</v>
      </c>
      <c r="E10672" s="1">
        <v>14</v>
      </c>
      <c r="F10672" s="39">
        <f t="shared" si="1045"/>
        <v>1217</v>
      </c>
      <c r="G10672" s="169">
        <f>SUM(C10672,C10648,C10624,C10600,C10576,C10552,C10528,C10504,C10480,C10456,C10432,C10408,C10384,C10360)/POBLA!$B$15*100000</f>
        <v>1223.6901350335891</v>
      </c>
      <c r="H10672" s="258">
        <f t="shared" si="1044"/>
        <v>1.6075173095944608</v>
      </c>
      <c r="I10672" s="310">
        <f t="shared" si="1046"/>
        <v>1967.1030736464775</v>
      </c>
      <c r="J10672" s="552">
        <f t="shared" si="1047"/>
        <v>667.85714285714289</v>
      </c>
      <c r="K10672" s="310">
        <f>J10672/POBLA!$B$15*100000</f>
        <v>100.5722615463948</v>
      </c>
      <c r="L10672" s="202">
        <f t="shared" si="1048"/>
        <v>0.35467980295566504</v>
      </c>
      <c r="M10672" s="512">
        <f>SUM(C10672,C10648,C10624,C10600,C10576,C10552,C10528)/POBLA!$B$15*100000</f>
        <v>704.00583082476351</v>
      </c>
    </row>
    <row r="10673" spans="1:13" x14ac:dyDescent="0.25">
      <c r="A10673" s="402" t="s">
        <v>18</v>
      </c>
      <c r="B10673" s="269">
        <v>44337</v>
      </c>
      <c r="C10673" s="608">
        <v>715</v>
      </c>
      <c r="D10673" s="39">
        <f t="shared" si="1035"/>
        <v>69273</v>
      </c>
      <c r="E10673" s="1">
        <v>8</v>
      </c>
      <c r="F10673" s="39">
        <f t="shared" si="1045"/>
        <v>1502</v>
      </c>
      <c r="G10673" s="169">
        <f>SUM(C10673,C10649,C10625,C10601,C10577,C10553,C10529,C10505,C10481,C10457,C10433,C10409,C10385,C10361)/POBLA!$B$16*100000</f>
        <v>780.48715239229011</v>
      </c>
      <c r="H10673" s="258">
        <f t="shared" si="1044"/>
        <v>1.4820929641859284</v>
      </c>
      <c r="I10673" s="310">
        <f t="shared" si="1046"/>
        <v>1156.7545171981237</v>
      </c>
      <c r="J10673" s="552">
        <f t="shared" si="1047"/>
        <v>472.71428571428572</v>
      </c>
      <c r="K10673" s="310">
        <f>J10673/POBLA!$B$16*100000</f>
        <v>63.230064567660378</v>
      </c>
      <c r="L10673" s="202">
        <f t="shared" si="1048"/>
        <v>0.30997624703087889</v>
      </c>
      <c r="M10673" s="512">
        <f>SUM(C10673,C10649,C10625,C10601,C10577,C10553,C10529)/POBLA!$B$16*100000</f>
        <v>442.61045197362262</v>
      </c>
    </row>
    <row r="10674" spans="1:13" x14ac:dyDescent="0.25">
      <c r="A10674" s="402" t="s">
        <v>34</v>
      </c>
      <c r="B10674" s="269">
        <v>44337</v>
      </c>
      <c r="C10674" s="608">
        <v>478</v>
      </c>
      <c r="D10674" s="39">
        <f t="shared" si="1035"/>
        <v>40803</v>
      </c>
      <c r="E10674" s="1">
        <v>6</v>
      </c>
      <c r="F10674" s="39">
        <f t="shared" si="1045"/>
        <v>1345</v>
      </c>
      <c r="G10674" s="169">
        <f>SUM(C10674,C10650,C10626,C10602,C10578,C10554,C10530,C10506,C10482,C10458,C10434,C10410,C10386,C10362)/POBLA!$B$17*100000</f>
        <v>326.03270015311745</v>
      </c>
      <c r="H10674" s="258">
        <f t="shared" ref="H10674:H10697" si="1049">SUM(C10674,C10650,C10626,C10602,C10578,C10554,C10530,C10506,C10482,C10458,C10434,C10410,C10386,C10362)/SUM(C10338,C10314,C10290,C10266,C10242,C10218,C10194,C10170,C10146,C10122,C10098,C10074,C10050,C10026)</f>
        <v>1.7289650037230082</v>
      </c>
      <c r="I10674" s="310">
        <f t="shared" si="1046"/>
        <v>563.69912863405716</v>
      </c>
      <c r="J10674" s="552">
        <f t="shared" si="1047"/>
        <v>393</v>
      </c>
      <c r="K10674" s="310">
        <f>J10674/POBLA!$B$17*100000</f>
        <v>27.590622558177252</v>
      </c>
      <c r="L10674" s="202">
        <f t="shared" si="1048"/>
        <v>0.45324881141045958</v>
      </c>
      <c r="M10674" s="512">
        <f>SUM(C10674,C10650,C10626,C10602,C10578,C10554,C10530)/POBLA!$B$17*100000</f>
        <v>193.13435790724074</v>
      </c>
    </row>
    <row r="10675" spans="1:13" x14ac:dyDescent="0.25">
      <c r="A10675" s="402" t="s">
        <v>35</v>
      </c>
      <c r="B10675" s="269">
        <v>44337</v>
      </c>
      <c r="C10675" s="608">
        <v>701</v>
      </c>
      <c r="D10675" s="39">
        <f t="shared" ref="D10675:D10738" si="1050">C10675+D10651</f>
        <v>32557</v>
      </c>
      <c r="E10675" s="1">
        <v>13</v>
      </c>
      <c r="F10675" s="39">
        <f t="shared" si="1045"/>
        <v>581</v>
      </c>
      <c r="G10675" s="169">
        <f>SUM(C10675,C10651,C10627,C10603,C10579,C10555,C10531,C10507,C10483,C10459,C10435,C10411,C10387,C10363)/POBLA!$B$18*100000</f>
        <v>844.19565882462871</v>
      </c>
      <c r="H10675" s="258">
        <f t="shared" si="1049"/>
        <v>1.5627962085308056</v>
      </c>
      <c r="I10675" s="310">
        <f t="shared" si="1046"/>
        <v>1319.3057748692952</v>
      </c>
      <c r="J10675" s="552">
        <f t="shared" si="1047"/>
        <v>555</v>
      </c>
      <c r="K10675" s="310">
        <f>J10675/POBLA!$B$18*100000</f>
        <v>71.043000856356173</v>
      </c>
      <c r="L10675" s="202">
        <f t="shared" si="1048"/>
        <v>0.43357933579335795</v>
      </c>
      <c r="M10675" s="512">
        <f>SUM(C10675,C10651,C10627,C10603,C10579,C10555,C10531)/POBLA!$B$18*100000</f>
        <v>497.30100599449315</v>
      </c>
    </row>
    <row r="10676" spans="1:13" x14ac:dyDescent="0.25">
      <c r="A10676" s="402" t="s">
        <v>36</v>
      </c>
      <c r="B10676" s="269">
        <v>44337</v>
      </c>
      <c r="C10676" s="608">
        <v>781</v>
      </c>
      <c r="D10676" s="39">
        <f t="shared" si="1050"/>
        <v>47426</v>
      </c>
      <c r="E10676" s="1">
        <v>3</v>
      </c>
      <c r="F10676" s="39">
        <f t="shared" si="1045"/>
        <v>644</v>
      </c>
      <c r="G10676" s="169">
        <f>SUM(C10676,C10652,C10628,C10604,C10580,C10556,C10532,C10508,C10484,C10460,C10436,C10412,C10388,C10364)/POBLA!$B$19*100000</f>
        <v>1374.8996710785163</v>
      </c>
      <c r="H10676" s="258">
        <f t="shared" si="1049"/>
        <v>0.99191030371842182</v>
      </c>
      <c r="I10676" s="310">
        <f t="shared" si="1046"/>
        <v>1363.7771503218494</v>
      </c>
      <c r="J10676" s="552">
        <f t="shared" si="1047"/>
        <v>480.85714285714283</v>
      </c>
      <c r="K10676" s="310">
        <f>J10676/POBLA!$B$19*100000</f>
        <v>94.595840256122585</v>
      </c>
      <c r="L10676" s="202">
        <f t="shared" si="1048"/>
        <v>-7.0935688655810125E-2</v>
      </c>
      <c r="M10676" s="512">
        <f>SUM(C10676,C10652,C10628,C10604,C10580,C10556,C10532)/POBLA!$B$19*100000</f>
        <v>662.17088179285815</v>
      </c>
    </row>
    <row r="10677" spans="1:13" x14ac:dyDescent="0.25">
      <c r="A10677" s="402" t="s">
        <v>37</v>
      </c>
      <c r="B10677" s="269">
        <v>44337</v>
      </c>
      <c r="C10677" s="608">
        <v>313</v>
      </c>
      <c r="D10677" s="39">
        <f t="shared" si="1050"/>
        <v>49669</v>
      </c>
      <c r="E10677" s="1">
        <v>1</v>
      </c>
      <c r="F10677" s="39">
        <f t="shared" si="1045"/>
        <v>763</v>
      </c>
      <c r="G10677" s="169">
        <f>SUM(C10677,C10653,C10629,C10605,C10581,C10557,C10533,C10509,C10485,C10461,C10437,C10413,C10389,C10365)/POBLA!$B$20*100000</f>
        <v>938.47929165595656</v>
      </c>
      <c r="H10677" s="258">
        <f t="shared" si="1049"/>
        <v>1.1781668383110195</v>
      </c>
      <c r="I10677" s="310">
        <f t="shared" si="1046"/>
        <v>1105.6851798706634</v>
      </c>
      <c r="J10677" s="552">
        <f t="shared" si="1047"/>
        <v>277</v>
      </c>
      <c r="K10677" s="310">
        <f>J10677/POBLA!$B$20*100000</f>
        <v>75.745560544492989</v>
      </c>
      <c r="L10677" s="202">
        <f t="shared" si="1048"/>
        <v>0.29872739450770269</v>
      </c>
      <c r="M10677" s="512">
        <f>SUM(C10677,C10653,C10629,C10605,C10581,C10557,C10533)/POBLA!$B$20*100000</f>
        <v>530.21892381145096</v>
      </c>
    </row>
    <row r="10678" spans="1:13" x14ac:dyDescent="0.25">
      <c r="A10678" s="402" t="s">
        <v>22</v>
      </c>
      <c r="B10678" s="269">
        <v>44337</v>
      </c>
      <c r="C10678" s="608">
        <v>3635</v>
      </c>
      <c r="D10678" s="39">
        <f t="shared" si="1050"/>
        <v>317595</v>
      </c>
      <c r="E10678" s="1">
        <v>56</v>
      </c>
      <c r="F10678" s="39">
        <f t="shared" si="1045"/>
        <v>5173</v>
      </c>
      <c r="G10678" s="169">
        <f>SUM(C10678,C10654,C10630,C10606,C10582,C10558,C10534,C10510,C10486,C10462,C10438,C10414,C10390,C10366)/POBLA!$B$21*100000</f>
        <v>880.72167939423457</v>
      </c>
      <c r="H10678" s="258">
        <f t="shared" si="1049"/>
        <v>1.2845300449540149</v>
      </c>
      <c r="I10678" s="310">
        <f t="shared" si="1046"/>
        <v>1131.3134584242516</v>
      </c>
      <c r="J10678" s="552">
        <f t="shared" si="1047"/>
        <v>2628.7142857142858</v>
      </c>
      <c r="K10678" s="310">
        <f>J10678/POBLA!$B$21*100000</f>
        <v>74.332680291591259</v>
      </c>
      <c r="L10678" s="202">
        <f t="shared" si="1048"/>
        <v>0.4437818752451943</v>
      </c>
      <c r="M10678" s="512">
        <f>SUM(C10678,C10654,C10630,C10606,C10582,C10558,C10534)/POBLA!$B$21*100000</f>
        <v>520.32876204113882</v>
      </c>
    </row>
    <row r="10679" spans="1:13" x14ac:dyDescent="0.25">
      <c r="A10679" s="402" t="s">
        <v>38</v>
      </c>
      <c r="B10679" s="269">
        <v>44337</v>
      </c>
      <c r="C10679" s="608">
        <v>645</v>
      </c>
      <c r="D10679" s="39">
        <f t="shared" si="1050"/>
        <v>38273</v>
      </c>
      <c r="E10679" s="1">
        <v>8</v>
      </c>
      <c r="F10679" s="39">
        <f t="shared" si="1045"/>
        <v>437</v>
      </c>
      <c r="G10679" s="169">
        <f>SUM(C10679,C10655,C10631,C10607,C10583,C10559,C10535,C10511,C10487,C10463,C10439,C10415,C10391,C10367)/POBLA!$B$22*100000</f>
        <v>615.14055317674399</v>
      </c>
      <c r="H10679" s="258">
        <f t="shared" si="1049"/>
        <v>2.0567327409432674</v>
      </c>
      <c r="I10679" s="310">
        <f t="shared" si="1046"/>
        <v>1265.1797160005624</v>
      </c>
      <c r="J10679" s="552">
        <f t="shared" si="1047"/>
        <v>545.57142857142856</v>
      </c>
      <c r="K10679" s="310">
        <f>J10679/POBLA!$B$22*100000</f>
        <v>55.766552071926732</v>
      </c>
      <c r="L10679" s="202">
        <f t="shared" si="1048"/>
        <v>0.73669849931787179</v>
      </c>
      <c r="M10679" s="512">
        <f>SUM(C10679,C10655,C10631,C10607,C10583,C10559,C10535)/POBLA!$B$22*100000</f>
        <v>390.36586450348716</v>
      </c>
    </row>
    <row r="10680" spans="1:13" x14ac:dyDescent="0.25">
      <c r="A10680" s="402" t="s">
        <v>39</v>
      </c>
      <c r="B10680" s="269">
        <v>44337</v>
      </c>
      <c r="C10680" s="608">
        <v>86</v>
      </c>
      <c r="D10680" s="39">
        <f t="shared" si="1050"/>
        <v>27939</v>
      </c>
      <c r="F10680" s="39">
        <f t="shared" si="1045"/>
        <v>407</v>
      </c>
      <c r="G10680" s="169">
        <f>SUM(C10680,C10656,C10632,C10608,C10584,C10560,C10536,C10512,C10488,C10464,C10440,C10416,C10392,C10368)/POBLA!$B$23*100000</f>
        <v>570.03902052819092</v>
      </c>
      <c r="H10680" s="258">
        <f t="shared" si="1049"/>
        <v>1.0181818181818181</v>
      </c>
      <c r="I10680" s="310">
        <f t="shared" si="1046"/>
        <v>580.40336635597612</v>
      </c>
      <c r="J10680" s="552">
        <f t="shared" si="1047"/>
        <v>72.857142857142861</v>
      </c>
      <c r="K10680" s="310">
        <f>J10680/POBLA!$B$23*100000</f>
        <v>41.201799953143052</v>
      </c>
      <c r="L10680" s="202">
        <f t="shared" si="1048"/>
        <v>2.4096385542168752E-2</v>
      </c>
      <c r="M10680" s="512">
        <f>SUM(C10680,C10656,C10632,C10608,C10584,C10560,C10536)/POBLA!$B$23*100000</f>
        <v>288.41259967200136</v>
      </c>
    </row>
    <row r="10681" spans="1:13" ht="15.75" thickBot="1" x14ac:dyDescent="0.3">
      <c r="A10681" s="404" t="s">
        <v>40</v>
      </c>
      <c r="B10681" s="269">
        <v>44337</v>
      </c>
      <c r="C10681" s="608">
        <v>1324</v>
      </c>
      <c r="D10681" s="177">
        <f t="shared" si="1050"/>
        <v>120125</v>
      </c>
      <c r="E10681" s="1">
        <v>14</v>
      </c>
      <c r="F10681" s="177">
        <f t="shared" si="1045"/>
        <v>1805</v>
      </c>
      <c r="G10681" s="178">
        <f>SUM(C10681,C10657,C10633,C10609,C10585,C10561,C10537,C10513,C10489,C10465,C10441,C10417,C10393,C10369)/POBLA!$B$24*100000</f>
        <v>602.30512859246949</v>
      </c>
      <c r="H10681" s="513">
        <f t="shared" si="1049"/>
        <v>1.2739640539191213</v>
      </c>
      <c r="I10681" s="514">
        <f t="shared" si="1046"/>
        <v>767.31508331794009</v>
      </c>
      <c r="J10681" s="553">
        <f t="shared" si="1047"/>
        <v>869.85714285714289</v>
      </c>
      <c r="K10681" s="514">
        <f>J10681/POBLA!$B$24*100000</f>
        <v>51.329422777079415</v>
      </c>
      <c r="L10681" s="515">
        <f t="shared" si="1048"/>
        <v>0.47863040310830507</v>
      </c>
      <c r="M10681" s="516">
        <f>SUM(C10681,C10657,C10633,C10609,C10585,C10561,C10537)/POBLA!$B$24*100000</f>
        <v>359.30595943955586</v>
      </c>
    </row>
    <row r="10682" spans="1:13" x14ac:dyDescent="0.25">
      <c r="A10682" s="397" t="s">
        <v>16</v>
      </c>
      <c r="B10682" s="269">
        <v>44338</v>
      </c>
      <c r="C10682" s="608">
        <v>11322</v>
      </c>
      <c r="D10682" s="175">
        <f t="shared" si="1050"/>
        <v>1516566</v>
      </c>
      <c r="E10682" s="1">
        <v>172</v>
      </c>
      <c r="F10682" s="175">
        <f t="shared" ref="F10682:F10705" si="1051">E10682+F10658</f>
        <v>38206</v>
      </c>
      <c r="G10682" s="176">
        <f>SUM(C10682,C10658,C10634,C10610,C10586,C10562,C10538,C10514,C10490,C10466,C10442,C10418,C10394,C10370)/POBLA!$B$1*100000</f>
        <v>832.06673955816211</v>
      </c>
      <c r="H10682" s="313">
        <f t="shared" si="1049"/>
        <v>1.1010991829683221</v>
      </c>
      <c r="I10682" s="314">
        <f>G10682*H10682</f>
        <v>916.18800710260791</v>
      </c>
      <c r="J10682" s="551">
        <f>AVERAGE(C10682,C10658,C10634,C10610,C10586,C10562,C10538)</f>
        <v>11797.571428571429</v>
      </c>
      <c r="K10682" s="314">
        <f>J10682/POBLA!$B$1*100000</f>
        <v>67.256579424174461</v>
      </c>
      <c r="L10682" s="510">
        <f t="shared" si="1048"/>
        <v>0.30316706379889857</v>
      </c>
      <c r="M10682" s="511">
        <f>SUM(C10682,C10658,C10634,C10610,C10586,C10562,C10538)/POBLA!$B$1*100000</f>
        <v>470.79605596922119</v>
      </c>
    </row>
    <row r="10683" spans="1:13" x14ac:dyDescent="0.25">
      <c r="A10683" s="402" t="s">
        <v>43</v>
      </c>
      <c r="B10683" s="269">
        <v>44338</v>
      </c>
      <c r="C10683" s="608">
        <v>3013</v>
      </c>
      <c r="D10683" s="39">
        <f t="shared" si="1050"/>
        <v>396069</v>
      </c>
      <c r="E10683" s="1">
        <v>22</v>
      </c>
      <c r="F10683" s="39">
        <f t="shared" si="1051"/>
        <v>8777</v>
      </c>
      <c r="G10683" s="169">
        <f>SUM(C10683,C10659,C10635,C10611,C10587,C10563,C10539,C10515,C10491,C10467,C10443,C10419,C10395,C10371)/POBLA!$B$2*100000</f>
        <v>1162.877652369616</v>
      </c>
      <c r="H10683" s="258">
        <f t="shared" si="1049"/>
        <v>1.0197878649635037</v>
      </c>
      <c r="I10683" s="310">
        <f t="shared" ref="I10683:I10705" si="1052">G10683*H10683</f>
        <v>1185.8885183237821</v>
      </c>
      <c r="J10683" s="552">
        <f t="shared" ref="J10683:J10705" si="1053">AVERAGE(C10683,C10659,C10635,C10611,C10587,C10563,C10539)</f>
        <v>2830.1428571428573</v>
      </c>
      <c r="K10683" s="310">
        <f>J10683/POBLA!$B$2*100000</f>
        <v>92.017834859501306</v>
      </c>
      <c r="L10683" s="202">
        <f t="shared" si="1048"/>
        <v>0.24167972422438111</v>
      </c>
      <c r="M10683" s="512">
        <f>SUM(C10683,C10659,C10635,C10611,C10587,C10563,C10539)/POBLA!$B$2*100000</f>
        <v>644.12484401650897</v>
      </c>
    </row>
    <row r="10684" spans="1:13" x14ac:dyDescent="0.25">
      <c r="A10684" s="402" t="s">
        <v>28</v>
      </c>
      <c r="B10684" s="269">
        <v>44338</v>
      </c>
      <c r="C10684" s="608">
        <v>260</v>
      </c>
      <c r="D10684" s="39">
        <f t="shared" si="1050"/>
        <v>20097</v>
      </c>
      <c r="F10684" s="39">
        <f t="shared" si="1051"/>
        <v>143</v>
      </c>
      <c r="G10684" s="169">
        <f>SUM(C10684,C10660,C10636,C10612,C10588,C10564,C10540,C10516,C10492,C10468,C10444,C10420,C10396,C10372)/POBLA!$B$3*100000</f>
        <v>1002.074918519731</v>
      </c>
      <c r="H10684" s="258">
        <f t="shared" si="1049"/>
        <v>2.0208737864077668</v>
      </c>
      <c r="I10684" s="310">
        <f t="shared" si="1052"/>
        <v>2025.0669348532233</v>
      </c>
      <c r="J10684" s="552">
        <f t="shared" si="1053"/>
        <v>355.71428571428572</v>
      </c>
      <c r="K10684" s="310">
        <f>J10684/POBLA!$B$3*100000</f>
        <v>85.623916376038238</v>
      </c>
      <c r="L10684" s="202">
        <f t="shared" si="1048"/>
        <v>0.48834429169157212</v>
      </c>
      <c r="M10684" s="512">
        <f>SUM(C10684,C10660,C10636,C10612,C10588,C10564,C10540)/POBLA!$B$3*100000</f>
        <v>599.36741463226758</v>
      </c>
    </row>
    <row r="10685" spans="1:13" x14ac:dyDescent="0.25">
      <c r="A10685" s="402" t="s">
        <v>15</v>
      </c>
      <c r="B10685" s="269">
        <v>44338</v>
      </c>
      <c r="C10685" s="608">
        <v>685</v>
      </c>
      <c r="D10685" s="39">
        <f t="shared" si="1050"/>
        <v>52920</v>
      </c>
      <c r="E10685" s="1">
        <v>6</v>
      </c>
      <c r="F10685" s="39">
        <f t="shared" si="1051"/>
        <v>1156</v>
      </c>
      <c r="G10685" s="169">
        <f>SUM(C10685,C10661,C10637,C10613,C10589,C10565,C10541,C10517,C10493,C10469,C10445,C10421,C10397,C10373)/POBLA!$B$4*100000</f>
        <v>501.68487415538368</v>
      </c>
      <c r="H10685" s="258">
        <f t="shared" si="1049"/>
        <v>1.7592430858806405</v>
      </c>
      <c r="I10685" s="310">
        <f t="shared" si="1052"/>
        <v>882.58564614875797</v>
      </c>
      <c r="J10685" s="552">
        <f t="shared" si="1053"/>
        <v>551</v>
      </c>
      <c r="K10685" s="310">
        <f>J10685/POBLA!$B$4*100000</f>
        <v>45.743565391298425</v>
      </c>
      <c r="L10685" s="202">
        <f t="shared" si="1048"/>
        <v>0.76440988106129915</v>
      </c>
      <c r="M10685" s="512">
        <f>SUM(C10685,C10661,C10637,C10613,C10589,C10565,C10541)/POBLA!$B$4*100000</f>
        <v>320.20495773908902</v>
      </c>
    </row>
    <row r="10686" spans="1:13" x14ac:dyDescent="0.25">
      <c r="A10686" s="402" t="s">
        <v>29</v>
      </c>
      <c r="B10686" s="269">
        <v>44338</v>
      </c>
      <c r="C10686" s="608">
        <v>238</v>
      </c>
      <c r="D10686" s="39">
        <f t="shared" si="1050"/>
        <v>59791</v>
      </c>
      <c r="E10686" s="1">
        <v>12</v>
      </c>
      <c r="F10686" s="39">
        <f t="shared" si="1051"/>
        <v>1004</v>
      </c>
      <c r="G10686" s="169">
        <f>SUM(C10686,C10662,C10638,C10614,C10590,C10566,C10542,C10518,C10494,C10470,C10446,C10422,C10398,C10374)/POBLA!$B$5*100000</f>
        <v>572.86500353799875</v>
      </c>
      <c r="H10686" s="258">
        <f t="shared" si="1049"/>
        <v>1.4843030556718293</v>
      </c>
      <c r="I10686" s="310">
        <f t="shared" si="1052"/>
        <v>850.30527523890487</v>
      </c>
      <c r="J10686" s="552">
        <f t="shared" si="1053"/>
        <v>295.28571428571428</v>
      </c>
      <c r="K10686" s="310">
        <f>J10686/POBLA!$B$5*100000</f>
        <v>47.704131911733278</v>
      </c>
      <c r="L10686" s="202">
        <f t="shared" si="1048"/>
        <v>0.39756592292089254</v>
      </c>
      <c r="M10686" s="512">
        <f>SUM(C10686,C10662,C10638,C10614,C10590,C10566,C10542)/POBLA!$B$5*100000</f>
        <v>333.92892338213295</v>
      </c>
    </row>
    <row r="10687" spans="1:13" x14ac:dyDescent="0.25">
      <c r="A10687" s="402" t="s">
        <v>30</v>
      </c>
      <c r="B10687" s="269">
        <v>44338</v>
      </c>
      <c r="C10687" s="608">
        <v>958</v>
      </c>
      <c r="D10687" s="39">
        <f t="shared" si="1050"/>
        <v>43799</v>
      </c>
      <c r="E10687" s="1">
        <v>1</v>
      </c>
      <c r="F10687" s="39">
        <f t="shared" si="1051"/>
        <v>572</v>
      </c>
      <c r="G10687" s="169">
        <f>SUM(C10687,C10663,C10639,C10615,C10591,C10567,C10543,C10519,C10495,C10471,C10447,C10423,C10399,C10375)/POBLA!$B$6*100000</f>
        <v>429.78191489836291</v>
      </c>
      <c r="H10687" s="258">
        <f t="shared" si="1049"/>
        <v>1.8634429400386847</v>
      </c>
      <c r="I10687" s="310">
        <f t="shared" si="1052"/>
        <v>800.87407507366117</v>
      </c>
      <c r="J10687" s="552">
        <f t="shared" si="1053"/>
        <v>498.57142857142856</v>
      </c>
      <c r="K10687" s="310">
        <f>J10687/POBLA!$B$6*100000</f>
        <v>44.483492481843662</v>
      </c>
      <c r="L10687" s="202">
        <f t="shared" si="1048"/>
        <v>1.6299924642049737</v>
      </c>
      <c r="M10687" s="512">
        <f>SUM(C10687,C10663,C10639,C10615,C10591,C10567,C10543)/POBLA!$B$6*100000</f>
        <v>311.38444737290564</v>
      </c>
    </row>
    <row r="10688" spans="1:13" x14ac:dyDescent="0.25">
      <c r="A10688" s="402" t="s">
        <v>20</v>
      </c>
      <c r="B10688" s="269">
        <v>44338</v>
      </c>
      <c r="C10688" s="608">
        <v>4202</v>
      </c>
      <c r="D10688" s="39">
        <f t="shared" si="1050"/>
        <v>277917</v>
      </c>
      <c r="E10688" s="1">
        <v>10</v>
      </c>
      <c r="F10688" s="39">
        <f t="shared" si="1051"/>
        <v>3716</v>
      </c>
      <c r="G10688" s="169">
        <f>SUM(C10688,C10664,C10640,C10616,C10592,C10568,C10544,C10520,C10496,C10472,C10448,C10424,C10400,C10376)/POBLA!$B$7*100000</f>
        <v>1023.3881583321145</v>
      </c>
      <c r="H10688" s="258">
        <f t="shared" si="1049"/>
        <v>1.7651591597101184</v>
      </c>
      <c r="I10688" s="310">
        <f t="shared" si="1052"/>
        <v>1806.4429816188008</v>
      </c>
      <c r="J10688" s="552">
        <f t="shared" si="1053"/>
        <v>3305.4285714285716</v>
      </c>
      <c r="K10688" s="310">
        <f>J10688/POBLA!$B$7*100000</f>
        <v>87.8998144219062</v>
      </c>
      <c r="L10688" s="202">
        <f t="shared" si="1048"/>
        <v>0.50775446370389687</v>
      </c>
      <c r="M10688" s="512">
        <f>SUM(C10688,C10664,C10640,C10616,C10592,C10568,C10544)/POBLA!$B$7*100000</f>
        <v>615.29870095334331</v>
      </c>
    </row>
    <row r="10689" spans="1:13" x14ac:dyDescent="0.25">
      <c r="A10689" s="402" t="s">
        <v>31</v>
      </c>
      <c r="B10689" s="269">
        <v>44338</v>
      </c>
      <c r="C10689" s="608">
        <v>873</v>
      </c>
      <c r="D10689" s="39">
        <f t="shared" si="1050"/>
        <v>77565</v>
      </c>
      <c r="E10689" s="1">
        <v>6</v>
      </c>
      <c r="F10689" s="39">
        <f t="shared" si="1051"/>
        <v>1221</v>
      </c>
      <c r="G10689" s="169">
        <f>SUM(C10689,C10665,C10641,C10617,C10593,C10569,C10545,C10521,C10497,C10473,C10449,C10425,C10401,C10377)/POBLA!$B$8*100000</f>
        <v>751.4641465380339</v>
      </c>
      <c r="H10689" s="258">
        <f t="shared" si="1049"/>
        <v>1.4059125269978401</v>
      </c>
      <c r="I10689" s="310">
        <f t="shared" si="1052"/>
        <v>1056.4928572075623</v>
      </c>
      <c r="J10689" s="552">
        <f t="shared" si="1053"/>
        <v>840.57142857142856</v>
      </c>
      <c r="K10689" s="310">
        <f>J10689/POBLA!$B$8*100000</f>
        <v>60.648995792192459</v>
      </c>
      <c r="L10689" s="202">
        <f t="shared" si="1048"/>
        <v>0.29860957845950131</v>
      </c>
      <c r="M10689" s="512">
        <f>SUM(C10689,C10665,C10641,C10617,C10593,C10569,C10545)/POBLA!$B$8*100000</f>
        <v>424.54297054534726</v>
      </c>
    </row>
    <row r="10690" spans="1:13" x14ac:dyDescent="0.25">
      <c r="A10690" s="402" t="s">
        <v>41</v>
      </c>
      <c r="B10690" s="269">
        <v>44338</v>
      </c>
      <c r="C10690" s="608">
        <v>1084</v>
      </c>
      <c r="D10690" s="39">
        <f t="shared" si="1050"/>
        <v>22296</v>
      </c>
      <c r="F10690" s="39">
        <f t="shared" si="1051"/>
        <v>302</v>
      </c>
      <c r="G10690" s="169">
        <f>SUM(C10690,C10666,C10642,C10618,C10594,C10570,C10546,C10522,C10498,C10474,C10450,C10426,C10402,C10378)/POBLA!$B$9*100000</f>
        <v>2709.7140912072678</v>
      </c>
      <c r="H10690" s="258">
        <f t="shared" si="1049"/>
        <v>9.0552181115405848</v>
      </c>
      <c r="I10690" s="310">
        <f t="shared" si="1052"/>
        <v>24537.052115796789</v>
      </c>
      <c r="J10690" s="552">
        <f t="shared" si="1053"/>
        <v>2193</v>
      </c>
      <c r="K10690" s="310">
        <f>J10690/POBLA!$B$9*100000</f>
        <v>362.36374181459468</v>
      </c>
      <c r="L10690" s="202">
        <f>(SUM(C10690,C10666,C10642,C10618,C10594,C10570,C10546)/SUM(C10522,C10498,C10474,C10450,C10426,C10402,C10378))-1</f>
        <v>13.647900763358779</v>
      </c>
      <c r="M10690" s="512">
        <f>SUM(C10690,C10666,C10642,C10618,C10594,C10570,C10546)/POBLA!$B$9*100000</f>
        <v>2536.5461927021629</v>
      </c>
    </row>
    <row r="10691" spans="1:13" x14ac:dyDescent="0.25">
      <c r="A10691" s="402" t="s">
        <v>32</v>
      </c>
      <c r="B10691" s="269">
        <v>44338</v>
      </c>
      <c r="C10691" s="608">
        <v>74</v>
      </c>
      <c r="D10691" s="39">
        <f t="shared" si="1050"/>
        <v>26988</v>
      </c>
      <c r="E10691" s="1">
        <v>3</v>
      </c>
      <c r="F10691" s="39">
        <f t="shared" si="1051"/>
        <v>1082</v>
      </c>
      <c r="G10691" s="169">
        <f>SUM(C10691,C10667,C10643,C10619,C10595,C10571,C10547,C10523,C10499,C10475,C10451,C10427,C10403,C10379)/POBLA!$B$10*100000</f>
        <v>181.09150439562009</v>
      </c>
      <c r="H10691" s="258">
        <f t="shared" si="1049"/>
        <v>1.0496240601503759</v>
      </c>
      <c r="I10691" s="310">
        <f t="shared" si="1052"/>
        <v>190.07800010247041</v>
      </c>
      <c r="J10691" s="552">
        <f t="shared" si="1053"/>
        <v>115.71428571428571</v>
      </c>
      <c r="K10691" s="310">
        <f>J10691/POBLA!$B$10*100000</f>
        <v>15.010654785146567</v>
      </c>
      <c r="L10691" s="202">
        <f t="shared" ref="L10691:L10713" si="1054">(SUM(C10691,C10667,C10643,C10619,C10595,C10571,C10547)/SUM(C10523,C10499,C10475,C10451,C10427,C10403,C10379))-1</f>
        <v>0.38225255972696237</v>
      </c>
      <c r="M10691" s="512">
        <f>SUM(C10691,C10667,C10643,C10619,C10595,C10571,C10547)/POBLA!$B$10*100000</f>
        <v>105.07458349602598</v>
      </c>
    </row>
    <row r="10692" spans="1:13" x14ac:dyDescent="0.25">
      <c r="A10692" s="402" t="s">
        <v>33</v>
      </c>
      <c r="B10692" s="269">
        <v>44338</v>
      </c>
      <c r="C10692" s="608">
        <v>731</v>
      </c>
      <c r="D10692" s="39">
        <f t="shared" si="1050"/>
        <v>37979</v>
      </c>
      <c r="E10692" s="1">
        <v>4</v>
      </c>
      <c r="F10692" s="39">
        <f t="shared" si="1051"/>
        <v>494</v>
      </c>
      <c r="G10692" s="169">
        <f>SUM(C10692,C10668,C10644,C10620,C10596,C10572,C10548,C10524,C10500,C10476,C10452,C10428,C10404,C10380)/POBLA!$B$11*100000</f>
        <v>2288.6046849018489</v>
      </c>
      <c r="H10692" s="258">
        <f t="shared" si="1049"/>
        <v>1.9397020572239301</v>
      </c>
      <c r="I10692" s="310">
        <f t="shared" si="1052"/>
        <v>4439.2112154764409</v>
      </c>
      <c r="J10692" s="552">
        <f t="shared" si="1053"/>
        <v>658.28571428571433</v>
      </c>
      <c r="K10692" s="310">
        <f>J10692/POBLA!$B$11*100000</f>
        <v>183.6591210189255</v>
      </c>
      <c r="L10692" s="202">
        <f t="shared" si="1054"/>
        <v>0.28178025034770515</v>
      </c>
      <c r="M10692" s="512">
        <f>SUM(C10692,C10668,C10644,C10620,C10596,C10572,C10548)/POBLA!$B$11*100000</f>
        <v>1285.6138471324784</v>
      </c>
    </row>
    <row r="10693" spans="1:13" x14ac:dyDescent="0.25">
      <c r="A10693" s="402" t="s">
        <v>21</v>
      </c>
      <c r="B10693" s="269">
        <v>44338</v>
      </c>
      <c r="C10693" s="608">
        <v>127</v>
      </c>
      <c r="D10693" s="39">
        <f t="shared" si="1050"/>
        <v>15885</v>
      </c>
      <c r="F10693" s="39">
        <f t="shared" si="1051"/>
        <v>517</v>
      </c>
      <c r="G10693" s="169">
        <f>SUM(C10693,C10669,C10645,C10621,C10597,C10573,C10549,C10525,C10501,C10477,C10453,C10429,C10405,C10381)/POBLA!$B$12*100000</f>
        <v>433.7650655221571</v>
      </c>
      <c r="H10693" s="258">
        <f t="shared" si="1049"/>
        <v>1.4779220779220779</v>
      </c>
      <c r="I10693" s="310">
        <f t="shared" si="1052"/>
        <v>641.07096696651263</v>
      </c>
      <c r="J10693" s="552">
        <f t="shared" si="1053"/>
        <v>175.14285714285714</v>
      </c>
      <c r="K10693" s="310">
        <f>J10693/POBLA!$B$12*100000</f>
        <v>44.505479147222744</v>
      </c>
      <c r="L10693" s="202">
        <f t="shared" si="1054"/>
        <v>1.5488565488565489</v>
      </c>
      <c r="M10693" s="512">
        <f>SUM(C10693,C10669,C10645,C10621,C10597,C10573,C10549)/POBLA!$B$12*100000</f>
        <v>311.53835403055922</v>
      </c>
    </row>
    <row r="10694" spans="1:13" x14ac:dyDescent="0.25">
      <c r="A10694" s="402" t="s">
        <v>17</v>
      </c>
      <c r="B10694" s="269">
        <v>44338</v>
      </c>
      <c r="C10694" s="608">
        <v>798</v>
      </c>
      <c r="D10694" s="39">
        <f t="shared" si="1050"/>
        <v>114457</v>
      </c>
      <c r="E10694" s="1">
        <v>33</v>
      </c>
      <c r="F10694" s="39">
        <f t="shared" si="1051"/>
        <v>2340</v>
      </c>
      <c r="G10694" s="169">
        <f>SUM(C10694,C10670,C10646,C10622,C10598,C10574,C10550,C10526,C10502,C10478,C10454,C10430,C10406,C10382)/POBLA!$B$13*100000</f>
        <v>608.99204054788686</v>
      </c>
      <c r="H10694" s="258">
        <f t="shared" si="1049"/>
        <v>1.1552611513534121</v>
      </c>
      <c r="I10694" s="310">
        <f t="shared" si="1052"/>
        <v>703.54484592841561</v>
      </c>
      <c r="J10694" s="552">
        <f t="shared" si="1053"/>
        <v>925.71428571428567</v>
      </c>
      <c r="K10694" s="310">
        <f>J10694/POBLA!$B$13*100000</f>
        <v>46.510406057377473</v>
      </c>
      <c r="L10694" s="202">
        <f t="shared" si="1054"/>
        <v>0.14873249423861012</v>
      </c>
      <c r="M10694" s="512">
        <f>SUM(C10694,C10670,C10646,C10622,C10598,C10574,C10550)/POBLA!$B$13*100000</f>
        <v>325.57284240164233</v>
      </c>
    </row>
    <row r="10695" spans="1:13" x14ac:dyDescent="0.25">
      <c r="A10695" s="402" t="s">
        <v>23</v>
      </c>
      <c r="B10695" s="269">
        <v>44338</v>
      </c>
      <c r="C10695" s="608">
        <v>166</v>
      </c>
      <c r="D10695" s="39">
        <f t="shared" si="1050"/>
        <v>18879</v>
      </c>
      <c r="E10695" s="1">
        <v>5</v>
      </c>
      <c r="F10695" s="39">
        <f t="shared" si="1051"/>
        <v>264</v>
      </c>
      <c r="G10695" s="169">
        <f>SUM(C10695,C10671,C10647,C10623,C10599,C10575,C10551,C10527,C10503,C10479,C10455,C10431,C10407,C10383)/POBLA!$B$14*100000</f>
        <v>171.09413031378887</v>
      </c>
      <c r="H10695" s="258">
        <f t="shared" si="1049"/>
        <v>1.241657077100115</v>
      </c>
      <c r="I10695" s="310">
        <f t="shared" si="1052"/>
        <v>212.44023775440527</v>
      </c>
      <c r="J10695" s="552">
        <f t="shared" si="1053"/>
        <v>154.42857142857142</v>
      </c>
      <c r="K10695" s="310">
        <f>J10695/POBLA!$B$14*100000</f>
        <v>12.24366178135878</v>
      </c>
      <c r="L10695" s="202">
        <f t="shared" si="1054"/>
        <v>3.7140204271124411E-3</v>
      </c>
      <c r="M10695" s="512">
        <f>SUM(C10695,C10671,C10647,C10623,C10599,C10575,C10551)/POBLA!$B$14*100000</f>
        <v>85.705632469511471</v>
      </c>
    </row>
    <row r="10696" spans="1:13" x14ac:dyDescent="0.25">
      <c r="A10696" s="402" t="s">
        <v>19</v>
      </c>
      <c r="B10696" s="269">
        <v>44338</v>
      </c>
      <c r="C10696" s="608">
        <v>668</v>
      </c>
      <c r="D10696" s="39">
        <f t="shared" si="1050"/>
        <v>82843</v>
      </c>
      <c r="E10696" s="1">
        <v>3</v>
      </c>
      <c r="F10696" s="39">
        <f t="shared" si="1051"/>
        <v>1220</v>
      </c>
      <c r="G10696" s="169">
        <f>SUM(C10696,C10672,C10648,C10624,C10600,C10576,C10552,C10528,C10504,C10480,C10456,C10432,C10408,C10384)/POBLA!$B$15*100000</f>
        <v>1262.8434004912228</v>
      </c>
      <c r="H10696" s="258">
        <f t="shared" si="1049"/>
        <v>1.5873556691273898</v>
      </c>
      <c r="I10696" s="310">
        <f t="shared" si="1052"/>
        <v>2004.5816309898532</v>
      </c>
      <c r="J10696" s="552">
        <f t="shared" si="1053"/>
        <v>695.28571428571433</v>
      </c>
      <c r="K10696" s="310">
        <f>J10696/POBLA!$B$15*100000</f>
        <v>104.702715924343</v>
      </c>
      <c r="L10696" s="202">
        <f t="shared" si="1054"/>
        <v>0.38306337027564652</v>
      </c>
      <c r="M10696" s="512">
        <f>SUM(C10696,C10672,C10648,C10624,C10600,C10576,C10552)/POBLA!$B$15*100000</f>
        <v>732.91901147040085</v>
      </c>
    </row>
    <row r="10697" spans="1:13" x14ac:dyDescent="0.25">
      <c r="A10697" s="402" t="s">
        <v>18</v>
      </c>
      <c r="B10697" s="269">
        <v>44338</v>
      </c>
      <c r="C10697" s="608">
        <v>547</v>
      </c>
      <c r="D10697" s="39">
        <f t="shared" si="1050"/>
        <v>69820</v>
      </c>
      <c r="E10697" s="1">
        <v>4</v>
      </c>
      <c r="F10697" s="39">
        <f t="shared" si="1051"/>
        <v>1506</v>
      </c>
      <c r="G10697" s="169">
        <f>SUM(C10697,C10673,C10649,C10625,C10601,C10577,C10553,C10529,C10505,C10481,C10457,C10433,C10409,C10385)/POBLA!$B$16*100000</f>
        <v>817.27103703802777</v>
      </c>
      <c r="H10697" s="258">
        <f t="shared" si="1049"/>
        <v>1.5275000000000001</v>
      </c>
      <c r="I10697" s="310">
        <f t="shared" si="1052"/>
        <v>1248.3815090755875</v>
      </c>
      <c r="J10697" s="552">
        <f t="shared" si="1053"/>
        <v>504.85714285714283</v>
      </c>
      <c r="K10697" s="310">
        <f>J10697/POBLA!$B$16*100000</f>
        <v>67.529479656123229</v>
      </c>
      <c r="L10697" s="202">
        <f t="shared" si="1054"/>
        <v>0.37189440993788825</v>
      </c>
      <c r="M10697" s="512">
        <f>SUM(C10697,C10673,C10649,C10625,C10601,C10577,C10553)/POBLA!$B$16*100000</f>
        <v>472.70635759286262</v>
      </c>
    </row>
    <row r="10698" spans="1:13" x14ac:dyDescent="0.25">
      <c r="A10698" s="402" t="s">
        <v>34</v>
      </c>
      <c r="B10698" s="269">
        <v>44338</v>
      </c>
      <c r="C10698" s="608">
        <v>603</v>
      </c>
      <c r="D10698" s="39">
        <f t="shared" si="1050"/>
        <v>41406</v>
      </c>
      <c r="E10698" s="1">
        <v>1</v>
      </c>
      <c r="F10698" s="39">
        <f t="shared" si="1051"/>
        <v>1346</v>
      </c>
      <c r="G10698" s="169">
        <f>SUM(C10698,C10674,C10650,C10626,C10602,C10578,C10554,C10530,C10506,C10482,C10458,C10434,C10410,C10386)/POBLA!$B$17*100000</f>
        <v>355.5890668121317</v>
      </c>
      <c r="H10698" s="258">
        <f t="shared" ref="H10698:H10721" si="1055">SUM(C10698,C10674,C10650,C10626,C10602,C10578,C10554,C10530,C10506,C10482,C10458,C10434,C10410,C10386)/SUM(C10362,C10338,C10314,C10290,C10266,C10242,C10218,C10194,C10170,C10146,C10122,C10098,C10074,C10050)</f>
        <v>1.8580337490829053</v>
      </c>
      <c r="I10698" s="310">
        <f t="shared" si="1052"/>
        <v>660.69648694183672</v>
      </c>
      <c r="J10698" s="552">
        <f t="shared" si="1053"/>
        <v>434.57142857142856</v>
      </c>
      <c r="K10698" s="310">
        <f>J10698/POBLA!$B$17*100000</f>
        <v>30.509150789522064</v>
      </c>
      <c r="L10698" s="202">
        <f t="shared" si="1054"/>
        <v>0.50370736529906091</v>
      </c>
      <c r="M10698" s="512">
        <f>SUM(C10698,C10674,C10650,C10626,C10602,C10578,C10554)/POBLA!$B$17*100000</f>
        <v>213.56405552665444</v>
      </c>
    </row>
    <row r="10699" spans="1:13" x14ac:dyDescent="0.25">
      <c r="A10699" s="402" t="s">
        <v>35</v>
      </c>
      <c r="B10699" s="269">
        <v>44338</v>
      </c>
      <c r="C10699" s="608">
        <v>360</v>
      </c>
      <c r="D10699" s="39">
        <f t="shared" si="1050"/>
        <v>32917</v>
      </c>
      <c r="F10699" s="39">
        <f t="shared" si="1051"/>
        <v>581</v>
      </c>
      <c r="G10699" s="169">
        <f>SUM(C10699,C10675,C10651,C10627,C10603,C10579,C10555,C10531,C10507,C10483,C10459,C10435,C10411,C10387)/POBLA!$B$18*100000</f>
        <v>856.61218329862243</v>
      </c>
      <c r="H10699" s="258">
        <f t="shared" si="1055"/>
        <v>1.5544715447154471</v>
      </c>
      <c r="I10699" s="310">
        <f t="shared" si="1052"/>
        <v>1331.5792637942814</v>
      </c>
      <c r="J10699" s="552">
        <f t="shared" si="1053"/>
        <v>565.85714285714289</v>
      </c>
      <c r="K10699" s="310">
        <f>J10699/POBLA!$B$18*100000</f>
        <v>72.432773846081545</v>
      </c>
      <c r="L10699" s="202">
        <f t="shared" si="1054"/>
        <v>0.45038447455144626</v>
      </c>
      <c r="M10699" s="512">
        <f>SUM(C10699,C10675,C10651,C10627,C10603,C10579,C10555)/POBLA!$B$18*100000</f>
        <v>507.02941692257087</v>
      </c>
    </row>
    <row r="10700" spans="1:13" x14ac:dyDescent="0.25">
      <c r="A10700" s="402" t="s">
        <v>36</v>
      </c>
      <c r="B10700" s="269">
        <v>44338</v>
      </c>
      <c r="C10700" s="608">
        <v>592</v>
      </c>
      <c r="D10700" s="39">
        <f t="shared" si="1050"/>
        <v>48018</v>
      </c>
      <c r="E10700" s="1">
        <v>3</v>
      </c>
      <c r="F10700" s="39">
        <f t="shared" si="1051"/>
        <v>647</v>
      </c>
      <c r="G10700" s="169">
        <f>SUM(C10700,C10676,C10652,C10628,C10604,C10580,C10556,C10532,C10508,C10484,C10460,C10436,C10412,C10388)/POBLA!$B$19*100000</f>
        <v>1388.8670307360601</v>
      </c>
      <c r="H10700" s="258">
        <f t="shared" si="1055"/>
        <v>1.0388463802236609</v>
      </c>
      <c r="I10700" s="310">
        <f t="shared" si="1052"/>
        <v>1442.8194874921401</v>
      </c>
      <c r="J10700" s="552">
        <f t="shared" si="1053"/>
        <v>499.57142857142856</v>
      </c>
      <c r="K10700" s="310">
        <f>J10700/POBLA!$B$19*100000</f>
        <v>98.277377711129148</v>
      </c>
      <c r="L10700" s="202">
        <f t="shared" si="1054"/>
        <v>-1.8523715969688492E-2</v>
      </c>
      <c r="M10700" s="512">
        <f>SUM(C10700,C10676,C10652,C10628,C10604,C10580,C10556)/POBLA!$B$19*100000</f>
        <v>687.94164397790405</v>
      </c>
    </row>
    <row r="10701" spans="1:13" x14ac:dyDescent="0.25">
      <c r="A10701" s="402" t="s">
        <v>37</v>
      </c>
      <c r="B10701" s="269">
        <v>44338</v>
      </c>
      <c r="C10701" s="608">
        <v>193</v>
      </c>
      <c r="D10701" s="39">
        <f t="shared" si="1050"/>
        <v>49862</v>
      </c>
      <c r="E10701" s="1">
        <v>1</v>
      </c>
      <c r="F10701" s="39">
        <f t="shared" si="1051"/>
        <v>764</v>
      </c>
      <c r="G10701" s="169">
        <f>SUM(C10701,C10677,C10653,C10629,C10605,C10581,C10557,C10533,C10509,C10485,C10461,C10437,C10413,C10389)/POBLA!$B$20*100000</f>
        <v>936.29169423950918</v>
      </c>
      <c r="H10701" s="258">
        <f t="shared" si="1055"/>
        <v>1.1701982228298018</v>
      </c>
      <c r="I10701" s="310">
        <f t="shared" si="1052"/>
        <v>1095.6468766493779</v>
      </c>
      <c r="J10701" s="552">
        <f t="shared" si="1053"/>
        <v>276.85714285714283</v>
      </c>
      <c r="K10701" s="310">
        <f>J10701/POBLA!$B$20*100000</f>
        <v>75.706496304913571</v>
      </c>
      <c r="L10701" s="202">
        <f t="shared" si="1054"/>
        <v>0.30417227456258411</v>
      </c>
      <c r="M10701" s="512">
        <f>SUM(C10701,C10677,C10653,C10629,C10605,C10581,C10557)/POBLA!$B$20*100000</f>
        <v>529.945474134395</v>
      </c>
    </row>
    <row r="10702" spans="1:13" x14ac:dyDescent="0.25">
      <c r="A10702" s="402" t="s">
        <v>22</v>
      </c>
      <c r="B10702" s="269">
        <v>44338</v>
      </c>
      <c r="C10702" s="608">
        <v>3103</v>
      </c>
      <c r="D10702" s="39">
        <f t="shared" si="1050"/>
        <v>320698</v>
      </c>
      <c r="E10702" s="1">
        <v>5</v>
      </c>
      <c r="F10702" s="39">
        <f t="shared" si="1051"/>
        <v>5178</v>
      </c>
      <c r="G10702" s="169">
        <f>SUM(C10702,C10678,C10654,C10630,C10606,C10582,C10558,C10534,C10510,C10486,C10462,C10438,C10414,C10390)/POBLA!$B$21*100000</f>
        <v>917.3406537349374</v>
      </c>
      <c r="H10702" s="258">
        <f t="shared" si="1055"/>
        <v>1.3362303319878079</v>
      </c>
      <c r="I10702" s="310">
        <f t="shared" si="1052"/>
        <v>1225.7784062861481</v>
      </c>
      <c r="J10702" s="552">
        <f t="shared" si="1053"/>
        <v>2722.1428571428573</v>
      </c>
      <c r="K10702" s="310">
        <f>J10702/POBLA!$B$21*100000</f>
        <v>76.974578716171493</v>
      </c>
      <c r="L10702" s="202">
        <f t="shared" si="1054"/>
        <v>0.42350216644255201</v>
      </c>
      <c r="M10702" s="512">
        <f>SUM(C10702,C10678,C10654,C10630,C10606,C10582,C10558)/POBLA!$B$21*100000</f>
        <v>538.82205101320039</v>
      </c>
    </row>
    <row r="10703" spans="1:13" x14ac:dyDescent="0.25">
      <c r="A10703" s="402" t="s">
        <v>38</v>
      </c>
      <c r="B10703" s="269">
        <v>44338</v>
      </c>
      <c r="C10703" s="608">
        <v>790</v>
      </c>
      <c r="D10703" s="39">
        <f t="shared" si="1050"/>
        <v>39063</v>
      </c>
      <c r="E10703" s="1">
        <v>5</v>
      </c>
      <c r="F10703" s="39">
        <f t="shared" si="1051"/>
        <v>442</v>
      </c>
      <c r="G10703" s="169">
        <f>SUM(C10703,C10679,C10655,C10631,C10607,C10583,C10559,C10535,C10511,C10487,C10463,C10439,C10415,C10391)/POBLA!$B$22*100000</f>
        <v>669.00879370917085</v>
      </c>
      <c r="H10703" s="258">
        <f t="shared" si="1055"/>
        <v>2.2133919513019951</v>
      </c>
      <c r="I10703" s="310">
        <f t="shared" si="1052"/>
        <v>1480.7786793461355</v>
      </c>
      <c r="J10703" s="552">
        <f t="shared" si="1053"/>
        <v>591.14285714285711</v>
      </c>
      <c r="K10703" s="310">
        <f>J10703/POBLA!$B$22*100000</f>
        <v>60.424716541930557</v>
      </c>
      <c r="L10703" s="202">
        <f t="shared" si="1054"/>
        <v>0.71915247195679277</v>
      </c>
      <c r="M10703" s="512">
        <f>SUM(C10703,C10679,C10655,C10631,C10607,C10583,C10559)/POBLA!$B$22*100000</f>
        <v>422.97301579351392</v>
      </c>
    </row>
    <row r="10704" spans="1:13" x14ac:dyDescent="0.25">
      <c r="A10704" s="402" t="s">
        <v>39</v>
      </c>
      <c r="B10704" s="269">
        <v>44338</v>
      </c>
      <c r="C10704" s="608">
        <v>53</v>
      </c>
      <c r="D10704" s="39">
        <f t="shared" si="1050"/>
        <v>27992</v>
      </c>
      <c r="E10704" s="1">
        <v>1</v>
      </c>
      <c r="F10704" s="39">
        <f t="shared" si="1051"/>
        <v>408</v>
      </c>
      <c r="G10704" s="169">
        <f>SUM(C10704,C10680,C10656,C10632,C10608,C10584,C10560,C10536,C10512,C10488,C10464,C10440,C10416,C10392)/POBLA!$B$23*100000</f>
        <v>573.99762483741449</v>
      </c>
      <c r="H10704" s="258">
        <f t="shared" si="1055"/>
        <v>1.0346585117227318</v>
      </c>
      <c r="I10704" s="310">
        <f t="shared" si="1052"/>
        <v>593.89152824666223</v>
      </c>
      <c r="J10704" s="552">
        <f t="shared" si="1053"/>
        <v>75.571428571428569</v>
      </c>
      <c r="K10704" s="310">
        <f>J10704/POBLA!$B$23*100000</f>
        <v>42.73676897100524</v>
      </c>
      <c r="L10704" s="202">
        <f t="shared" si="1054"/>
        <v>8.847736625514413E-2</v>
      </c>
      <c r="M10704" s="512">
        <f>SUM(C10704,C10680,C10656,C10632,C10608,C10584,C10560)/POBLA!$B$23*100000</f>
        <v>299.15738279703669</v>
      </c>
    </row>
    <row r="10705" spans="1:13" ht="15.75" thickBot="1" x14ac:dyDescent="0.3">
      <c r="A10705" s="404" t="s">
        <v>40</v>
      </c>
      <c r="B10705" s="269">
        <v>44338</v>
      </c>
      <c r="C10705" s="608">
        <v>731</v>
      </c>
      <c r="D10705" s="177">
        <f t="shared" si="1050"/>
        <v>120856</v>
      </c>
      <c r="F10705" s="177">
        <f t="shared" si="1051"/>
        <v>1805</v>
      </c>
      <c r="G10705" s="178">
        <f>SUM(C10705,C10681,C10657,C10633,C10609,C10585,C10561,C10537,C10513,C10489,C10465,C10441,C10417,C10393)/POBLA!$B$24*100000</f>
        <v>626.38081120888251</v>
      </c>
      <c r="H10705" s="513">
        <f t="shared" si="1055"/>
        <v>1.3310344827586207</v>
      </c>
      <c r="I10705" s="514">
        <f t="shared" si="1052"/>
        <v>833.73445905734013</v>
      </c>
      <c r="J10705" s="553">
        <f t="shared" si="1053"/>
        <v>901.57142857142856</v>
      </c>
      <c r="K10705" s="514">
        <f>J10705/POBLA!$B$24*100000</f>
        <v>53.200851888019081</v>
      </c>
      <c r="L10705" s="515">
        <f t="shared" si="1054"/>
        <v>0.46631040892193298</v>
      </c>
      <c r="M10705" s="516">
        <f>SUM(C10705,C10681,C10657,C10633,C10609,C10585,C10561)/POBLA!$B$24*100000</f>
        <v>372.40596321613356</v>
      </c>
    </row>
    <row r="10706" spans="1:13" x14ac:dyDescent="0.25">
      <c r="A10706" s="397" t="s">
        <v>16</v>
      </c>
      <c r="B10706" s="269">
        <v>44339</v>
      </c>
      <c r="C10706" s="1">
        <v>6885</v>
      </c>
      <c r="D10706" s="175">
        <f t="shared" si="1050"/>
        <v>1523451</v>
      </c>
      <c r="E10706" s="1">
        <v>195</v>
      </c>
      <c r="F10706" s="175">
        <f t="shared" ref="F10706:F10729" si="1056">E10706+F10682</f>
        <v>38401</v>
      </c>
      <c r="G10706" s="176">
        <f>SUM(C10706,C10682,C10658,C10634,C10610,C10586,C10562,C10538,C10514,C10490,C10466,C10442,C10418,C10394)/POBLA!$B$1*100000</f>
        <v>847.14557621992765</v>
      </c>
      <c r="H10706" s="313">
        <f t="shared" si="1055"/>
        <v>1.1433066867734067</v>
      </c>
      <c r="I10706" s="314">
        <f>G10706*H10706</f>
        <v>968.547201962754</v>
      </c>
      <c r="J10706" s="551">
        <f>AVERAGE(C10706,C10682,C10658,C10634,C10610,C10586,C10562)</f>
        <v>12007.571428571429</v>
      </c>
      <c r="K10706" s="314">
        <f>J10706/POBLA!$B$1*100000</f>
        <v>68.453764943634113</v>
      </c>
      <c r="L10706" s="510">
        <f t="shared" si="1054"/>
        <v>0.30221857280079334</v>
      </c>
      <c r="M10706" s="511">
        <f>SUM(C10706,C10682,C10658,C10634,C10610,C10586,C10562)/POBLA!$B$1*100000</f>
        <v>479.17635460543875</v>
      </c>
    </row>
    <row r="10707" spans="1:13" x14ac:dyDescent="0.25">
      <c r="A10707" s="402" t="s">
        <v>43</v>
      </c>
      <c r="B10707" s="269">
        <v>44339</v>
      </c>
      <c r="C10707" s="1">
        <v>1790</v>
      </c>
      <c r="D10707" s="39">
        <f t="shared" si="1050"/>
        <v>397859</v>
      </c>
      <c r="E10707" s="1">
        <v>38</v>
      </c>
      <c r="F10707" s="39">
        <f t="shared" si="1056"/>
        <v>8815</v>
      </c>
      <c r="G10707" s="169">
        <f>SUM(C10707,C10683,C10659,C10635,C10611,C10587,C10563,C10539,C10515,C10491,C10467,C10443,C10419,C10395)/POBLA!$B$2*100000</f>
        <v>1170.3232426618667</v>
      </c>
      <c r="H10707" s="258">
        <f t="shared" si="1055"/>
        <v>1.0607980667216788</v>
      </c>
      <c r="I10707" s="310">
        <f t="shared" ref="I10707:I10729" si="1057">G10707*H10707</f>
        <v>1241.4766332551544</v>
      </c>
      <c r="J10707" s="552">
        <f t="shared" ref="J10707:J10729" si="1058">AVERAGE(C10707,C10683,C10659,C10635,C10611,C10587,C10563)</f>
        <v>2821.4285714285716</v>
      </c>
      <c r="K10707" s="310">
        <f>J10707/POBLA!$B$2*100000</f>
        <v>91.734502976889132</v>
      </c>
      <c r="L10707" s="202">
        <f t="shared" si="1054"/>
        <v>0.21575869498307165</v>
      </c>
      <c r="M10707" s="512">
        <f>SUM(C10707,C10683,C10659,C10635,C10611,C10587,C10563)/POBLA!$B$2*100000</f>
        <v>642.14152083822387</v>
      </c>
    </row>
    <row r="10708" spans="1:13" x14ac:dyDescent="0.25">
      <c r="A10708" s="402" t="s">
        <v>28</v>
      </c>
      <c r="B10708" s="269">
        <v>44339</v>
      </c>
      <c r="C10708" s="1">
        <v>214</v>
      </c>
      <c r="D10708" s="39">
        <f t="shared" si="1050"/>
        <v>20311</v>
      </c>
      <c r="E10708" s="1">
        <v>3</v>
      </c>
      <c r="F10708" s="39">
        <f t="shared" si="1056"/>
        <v>146</v>
      </c>
      <c r="G10708" s="169">
        <f>SUM(C10708,C10684,C10660,C10636,C10612,C10588,C10564,C10540,C10516,C10492,C10468,C10444,C10420,C10396)/POBLA!$B$3*100000</f>
        <v>996.77930280812063</v>
      </c>
      <c r="H10708" s="258">
        <f t="shared" si="1055"/>
        <v>1.9305361305361306</v>
      </c>
      <c r="I10708" s="310">
        <f t="shared" si="1057"/>
        <v>1924.3184582416911</v>
      </c>
      <c r="J10708" s="552">
        <f t="shared" si="1058"/>
        <v>326</v>
      </c>
      <c r="K10708" s="310">
        <f>J10708/POBLA!$B$3*100000</f>
        <v>78.47139645386315</v>
      </c>
      <c r="L10708" s="202">
        <f t="shared" si="1054"/>
        <v>0.22754168908015071</v>
      </c>
      <c r="M10708" s="512">
        <f>SUM(C10708,C10684,C10660,C10636,C10612,C10588,C10564)/POBLA!$B$3*100000</f>
        <v>549.29977517704208</v>
      </c>
    </row>
    <row r="10709" spans="1:13" x14ac:dyDescent="0.25">
      <c r="A10709" s="402" t="s">
        <v>15</v>
      </c>
      <c r="B10709" s="269">
        <v>44339</v>
      </c>
      <c r="C10709" s="1">
        <v>473</v>
      </c>
      <c r="D10709" s="39">
        <f t="shared" si="1050"/>
        <v>53393</v>
      </c>
      <c r="E10709" s="1">
        <v>1</v>
      </c>
      <c r="F10709" s="39">
        <f t="shared" si="1056"/>
        <v>1157</v>
      </c>
      <c r="G10709" s="169">
        <f>SUM(C10709,C10685,C10661,C10637,C10613,C10589,C10565,C10541,C10517,C10493,C10469,C10445,C10421,C10397)/POBLA!$B$4*100000</f>
        <v>532.48498805769168</v>
      </c>
      <c r="H10709" s="258">
        <f t="shared" si="1055"/>
        <v>1.9021352313167259</v>
      </c>
      <c r="I10709" s="310">
        <f t="shared" si="1057"/>
        <v>1012.8584559318014</v>
      </c>
      <c r="J10709" s="552">
        <f t="shared" si="1058"/>
        <v>585.14285714285711</v>
      </c>
      <c r="K10709" s="310">
        <f>J10709/POBLA!$B$4*100000</f>
        <v>48.578077221352956</v>
      </c>
      <c r="L10709" s="202">
        <f t="shared" si="1054"/>
        <v>0.76704055220017264</v>
      </c>
      <c r="M10709" s="512">
        <f>SUM(C10709,C10685,C10661,C10637,C10613,C10589,C10565)/POBLA!$B$4*100000</f>
        <v>340.04654054947071</v>
      </c>
    </row>
    <row r="10710" spans="1:13" x14ac:dyDescent="0.25">
      <c r="A10710" s="402" t="s">
        <v>29</v>
      </c>
      <c r="B10710" s="269">
        <v>44339</v>
      </c>
      <c r="C10710" s="1">
        <v>257</v>
      </c>
      <c r="D10710" s="39">
        <f t="shared" si="1050"/>
        <v>60048</v>
      </c>
      <c r="F10710" s="39">
        <f t="shared" si="1056"/>
        <v>1004</v>
      </c>
      <c r="G10710" s="169">
        <f>SUM(C10710,C10686,C10662,C10638,C10614,C10590,C10566,C10542,C10518,C10494,C10470,C10446,C10422,C10398)/POBLA!$B$5*100000</f>
        <v>598.55184379816285</v>
      </c>
      <c r="H10710" s="258">
        <f t="shared" si="1055"/>
        <v>1.5379825653798256</v>
      </c>
      <c r="I10710" s="310">
        <f t="shared" si="1057"/>
        <v>920.56230023752312</v>
      </c>
      <c r="J10710" s="552">
        <f t="shared" si="1058"/>
        <v>311.28571428571428</v>
      </c>
      <c r="K10710" s="310">
        <f>J10710/POBLA!$B$5*100000</f>
        <v>50.288971183196324</v>
      </c>
      <c r="L10710" s="202">
        <f t="shared" si="1054"/>
        <v>0.42791612057667106</v>
      </c>
      <c r="M10710" s="512">
        <f>SUM(C10710,C10686,C10662,C10638,C10614,C10590,C10566)/POBLA!$B$5*100000</f>
        <v>352.02279828237431</v>
      </c>
    </row>
    <row r="10711" spans="1:13" x14ac:dyDescent="0.25">
      <c r="A10711" s="402" t="s">
        <v>30</v>
      </c>
      <c r="B10711" s="269">
        <v>44339</v>
      </c>
      <c r="C10711" s="1">
        <v>3691</v>
      </c>
      <c r="D10711" s="39">
        <f t="shared" si="1050"/>
        <v>47490</v>
      </c>
      <c r="E10711" s="1">
        <v>3</v>
      </c>
      <c r="F10711" s="39">
        <f t="shared" si="1056"/>
        <v>575</v>
      </c>
      <c r="G10711" s="169">
        <f>SUM(C10711,C10687,C10663,C10639,C10615,C10591,C10567,C10543,C10519,C10495,C10471,C10447,C10423,C10399)/POBLA!$B$6*100000</f>
        <v>735.09927275225493</v>
      </c>
      <c r="H10711" s="258">
        <f t="shared" si="1055"/>
        <v>3.0962044344231492</v>
      </c>
      <c r="I10711" s="310">
        <f t="shared" si="1057"/>
        <v>2276.0176280367637</v>
      </c>
      <c r="J10711" s="552">
        <f t="shared" si="1058"/>
        <v>991.42857142857144</v>
      </c>
      <c r="K10711" s="310">
        <f>J10711/POBLA!$B$6*100000</f>
        <v>88.457145508308031</v>
      </c>
      <c r="L10711" s="202">
        <f t="shared" si="1054"/>
        <v>4.342571208622017</v>
      </c>
      <c r="M10711" s="512">
        <f>SUM(C10711,C10687,C10663,C10639,C10615,C10591,C10567)/POBLA!$B$6*100000</f>
        <v>619.20001855815622</v>
      </c>
    </row>
    <row r="10712" spans="1:13" x14ac:dyDescent="0.25">
      <c r="A10712" s="402" t="s">
        <v>20</v>
      </c>
      <c r="B10712" s="269">
        <v>44339</v>
      </c>
      <c r="C10712" s="1">
        <v>3225</v>
      </c>
      <c r="D10712" s="39">
        <f t="shared" si="1050"/>
        <v>281142</v>
      </c>
      <c r="E10712" s="1">
        <v>9</v>
      </c>
      <c r="F10712" s="39">
        <f t="shared" si="1056"/>
        <v>3725</v>
      </c>
      <c r="G10712" s="169">
        <f>SUM(C10712,C10688,C10664,C10640,C10616,C10592,C10568,C10544,C10520,C10496,C10472,C10448,C10424,C10400)/POBLA!$B$7*100000</f>
        <v>1078.2220213006422</v>
      </c>
      <c r="H10712" s="258">
        <f t="shared" si="1055"/>
        <v>1.8369880391446176</v>
      </c>
      <c r="I10712" s="310">
        <f t="shared" si="1057"/>
        <v>1980.6809566716126</v>
      </c>
      <c r="J10712" s="552">
        <f t="shared" si="1058"/>
        <v>3499.7142857142858</v>
      </c>
      <c r="K10712" s="310">
        <f>J10712/POBLA!$B$7*100000</f>
        <v>93.066369336496578</v>
      </c>
      <c r="L10712" s="202">
        <f t="shared" si="1054"/>
        <v>0.52654536390827511</v>
      </c>
      <c r="M10712" s="512">
        <f>SUM(C10712,C10688,C10664,C10640,C10616,C10592,C10568)/POBLA!$B$7*100000</f>
        <v>651.46458535547606</v>
      </c>
    </row>
    <row r="10713" spans="1:13" x14ac:dyDescent="0.25">
      <c r="A10713" s="402" t="s">
        <v>31</v>
      </c>
      <c r="B10713" s="269">
        <v>44339</v>
      </c>
      <c r="C10713" s="1">
        <v>776</v>
      </c>
      <c r="D10713" s="39">
        <f t="shared" si="1050"/>
        <v>78341</v>
      </c>
      <c r="E10713" s="1">
        <v>4</v>
      </c>
      <c r="F10713" s="39">
        <f t="shared" si="1056"/>
        <v>1225</v>
      </c>
      <c r="G10713" s="169">
        <f>SUM(C10713,C10689,C10665,C10641,C10617,C10593,C10569,C10545,C10521,C10497,C10473,C10449,C10425,C10401)/POBLA!$B$8*100000</f>
        <v>787.03513302322369</v>
      </c>
      <c r="H10713" s="258">
        <f t="shared" si="1055"/>
        <v>1.4600455093026368</v>
      </c>
      <c r="I10713" s="310">
        <f t="shared" si="1057"/>
        <v>1149.107111633961</v>
      </c>
      <c r="J10713" s="552">
        <f t="shared" si="1058"/>
        <v>894.14285714285711</v>
      </c>
      <c r="K10713" s="310">
        <f>J10713/POBLA!$B$8*100000</f>
        <v>64.514286992408671</v>
      </c>
      <c r="L10713" s="202">
        <f t="shared" si="1054"/>
        <v>0.34631103463110335</v>
      </c>
      <c r="M10713" s="512">
        <f>SUM(C10713,C10689,C10665,C10641,C10617,C10593,C10569)/POBLA!$B$8*100000</f>
        <v>451.60000894686073</v>
      </c>
    </row>
    <row r="10714" spans="1:13" x14ac:dyDescent="0.25">
      <c r="A10714" s="402" t="s">
        <v>41</v>
      </c>
      <c r="B10714" s="269">
        <v>44339</v>
      </c>
      <c r="C10714" s="1">
        <v>872</v>
      </c>
      <c r="D10714" s="39">
        <f t="shared" si="1050"/>
        <v>23168</v>
      </c>
      <c r="F10714" s="39">
        <f t="shared" si="1056"/>
        <v>302</v>
      </c>
      <c r="G10714" s="169">
        <f>SUM(C10714,C10690,C10666,C10642,C10618,C10594,C10570,C10546,C10522,C10498,C10474,C10450,C10426,C10402)/POBLA!$B$9*100000</f>
        <v>2852.9741751804795</v>
      </c>
      <c r="H10714" s="258">
        <f t="shared" si="1055"/>
        <v>10.180424528301886</v>
      </c>
      <c r="I10714" s="310">
        <f t="shared" si="1057"/>
        <v>29044.488271619197</v>
      </c>
      <c r="J10714" s="552">
        <f t="shared" si="1058"/>
        <v>2143.1428571428573</v>
      </c>
      <c r="K10714" s="310">
        <f>J10714/POBLA!$B$9*100000</f>
        <v>354.1255198164647</v>
      </c>
      <c r="L10714" s="202">
        <f>(SUM(C10714,C10690,C10666,C10642,C10618,C10594,C10570)/SUM(C10546,C10522,C10498,C10474,C10450,C10426,C10402))-1</f>
        <v>5.6263250883392226</v>
      </c>
      <c r="M10714" s="512">
        <f>SUM(C10714,C10690,C10666,C10642,C10618,C10594,C10570)/POBLA!$B$9*100000</f>
        <v>2478.8786387152527</v>
      </c>
    </row>
    <row r="10715" spans="1:13" x14ac:dyDescent="0.25">
      <c r="A10715" s="402" t="s">
        <v>32</v>
      </c>
      <c r="B10715" s="269">
        <v>44339</v>
      </c>
      <c r="C10715" s="1">
        <v>142</v>
      </c>
      <c r="D10715" s="39">
        <f t="shared" si="1050"/>
        <v>27130</v>
      </c>
      <c r="E10715" s="1">
        <v>2</v>
      </c>
      <c r="F10715" s="39">
        <f t="shared" si="1056"/>
        <v>1084</v>
      </c>
      <c r="G10715" s="169">
        <f>SUM(C10715,C10691,C10667,C10643,C10619,C10595,C10571,C10547,C10523,C10499,C10475,C10451,C10427,C10403)/POBLA!$B$10*100000</f>
        <v>190.95035420512374</v>
      </c>
      <c r="H10715" s="258">
        <f t="shared" si="1055"/>
        <v>1.1202435312024352</v>
      </c>
      <c r="I10715" s="310">
        <f t="shared" si="1057"/>
        <v>213.91089907910361</v>
      </c>
      <c r="J10715" s="552">
        <f t="shared" si="1058"/>
        <v>126.85714285714286</v>
      </c>
      <c r="K10715" s="310">
        <f>J10715/POBLA!$B$10*100000</f>
        <v>16.456125245938463</v>
      </c>
      <c r="L10715" s="202">
        <f t="shared" ref="L10715:L10737" si="1059">(SUM(C10715,C10691,C10667,C10643,C10619,C10595,C10571)/SUM(C10547,C10523,C10499,C10475,C10451,C10427,C10403))-1</f>
        <v>0.52054794520547953</v>
      </c>
      <c r="M10715" s="512">
        <f>SUM(C10715,C10691,C10667,C10643,C10619,C10595,C10571)/POBLA!$B$10*100000</f>
        <v>115.19287672156922</v>
      </c>
    </row>
    <row r="10716" spans="1:13" x14ac:dyDescent="0.25">
      <c r="A10716" s="402" t="s">
        <v>33</v>
      </c>
      <c r="B10716" s="269">
        <v>44339</v>
      </c>
      <c r="C10716" s="1">
        <v>503</v>
      </c>
      <c r="D10716" s="39">
        <f t="shared" si="1050"/>
        <v>38482</v>
      </c>
      <c r="F10716" s="39">
        <f t="shared" si="1056"/>
        <v>494</v>
      </c>
      <c r="G10716" s="169">
        <f>SUM(C10716,C10692,C10668,C10644,C10620,C10596,C10572,C10548,C10524,C10500,C10476,C10452,C10428,C10404)/POBLA!$B$11*100000</f>
        <v>2353.0527748948184</v>
      </c>
      <c r="H10716" s="258">
        <f t="shared" si="1055"/>
        <v>1.970100443821537</v>
      </c>
      <c r="I10716" s="310">
        <f t="shared" si="1057"/>
        <v>4635.7503161557806</v>
      </c>
      <c r="J10716" s="552">
        <f t="shared" si="1058"/>
        <v>698.57142857142856</v>
      </c>
      <c r="K10716" s="310">
        <f>J10716/POBLA!$B$11*100000</f>
        <v>194.89867660211496</v>
      </c>
      <c r="L10716" s="202">
        <f t="shared" si="1059"/>
        <v>0.3797968397291196</v>
      </c>
      <c r="M10716" s="512">
        <f>SUM(C10716,C10692,C10668,C10644,C10620,C10596,C10572)/POBLA!$B$11*100000</f>
        <v>1364.2907362148046</v>
      </c>
    </row>
    <row r="10717" spans="1:13" x14ac:dyDescent="0.25">
      <c r="A10717" s="402" t="s">
        <v>21</v>
      </c>
      <c r="B10717" s="269">
        <v>44339</v>
      </c>
      <c r="C10717" s="1">
        <v>216</v>
      </c>
      <c r="D10717" s="39">
        <f t="shared" si="1050"/>
        <v>16101</v>
      </c>
      <c r="E10717" s="1">
        <v>1</v>
      </c>
      <c r="F10717" s="39">
        <f t="shared" si="1056"/>
        <v>518</v>
      </c>
      <c r="G10717" s="169">
        <f>SUM(C10717,C10693,C10669,C10645,C10621,C10597,C10573,C10549,C10525,C10501,C10477,C10453,C10429,C10405)/POBLA!$B$12*100000</f>
        <v>461.20890095062396</v>
      </c>
      <c r="H10717" s="258">
        <f t="shared" si="1055"/>
        <v>1.4962901896125309</v>
      </c>
      <c r="I10717" s="310">
        <f t="shared" si="1057"/>
        <v>690.10235385439614</v>
      </c>
      <c r="J10717" s="552">
        <f t="shared" si="1058"/>
        <v>178.14285714285714</v>
      </c>
      <c r="K10717" s="310">
        <f>J10717/POBLA!$B$12*100000</f>
        <v>45.267807909124599</v>
      </c>
      <c r="L10717" s="202">
        <f t="shared" si="1059"/>
        <v>1.1954225352112675</v>
      </c>
      <c r="M10717" s="512">
        <f>SUM(C10717,C10693,C10669,C10645,C10621,C10597,C10573)/POBLA!$B$12*100000</f>
        <v>316.87465536387219</v>
      </c>
    </row>
    <row r="10718" spans="1:13" x14ac:dyDescent="0.25">
      <c r="A10718" s="402" t="s">
        <v>17</v>
      </c>
      <c r="B10718" s="269">
        <v>44339</v>
      </c>
      <c r="C10718" s="1">
        <v>416</v>
      </c>
      <c r="D10718" s="39">
        <f t="shared" si="1050"/>
        <v>114873</v>
      </c>
      <c r="E10718" s="1">
        <v>33</v>
      </c>
      <c r="F10718" s="39">
        <f t="shared" si="1056"/>
        <v>2373</v>
      </c>
      <c r="G10718" s="169">
        <f>SUM(C10718,C10694,C10670,C10646,C10622,C10598,C10574,C10550,C10526,C10502,C10478,C10454,C10430,C10406)/POBLA!$B$13*100000</f>
        <v>615.32262359458548</v>
      </c>
      <c r="H10718" s="258">
        <f t="shared" si="1055"/>
        <v>1.1855759922555662</v>
      </c>
      <c r="I10718" s="310">
        <f t="shared" si="1057"/>
        <v>729.51173002544897</v>
      </c>
      <c r="J10718" s="552">
        <f t="shared" si="1058"/>
        <v>933.71428571428567</v>
      </c>
      <c r="K10718" s="310">
        <f>J10718/POBLA!$B$13*100000</f>
        <v>46.91234783812024</v>
      </c>
      <c r="L10718" s="202">
        <f t="shared" si="1059"/>
        <v>0.14445806338644718</v>
      </c>
      <c r="M10718" s="512">
        <f>SUM(C10718,C10694,C10670,C10646,C10622,C10598,C10574)/POBLA!$B$13*100000</f>
        <v>328.38643486684174</v>
      </c>
    </row>
    <row r="10719" spans="1:13" x14ac:dyDescent="0.25">
      <c r="A10719" s="402" t="s">
        <v>23</v>
      </c>
      <c r="B10719" s="269">
        <v>44339</v>
      </c>
      <c r="C10719" s="1">
        <v>139</v>
      </c>
      <c r="D10719" s="39">
        <f t="shared" si="1050"/>
        <v>19018</v>
      </c>
      <c r="F10719" s="39">
        <f t="shared" si="1056"/>
        <v>264</v>
      </c>
      <c r="G10719" s="169">
        <f>SUM(C10719,C10695,C10671,C10647,C10623,C10599,C10575,C10551,C10527,C10503,C10479,C10455,C10431,C10407)/POBLA!$B$14*100000</f>
        <v>167.922784061448</v>
      </c>
      <c r="H10719" s="258">
        <f t="shared" si="1055"/>
        <v>1.1845637583892616</v>
      </c>
      <c r="I10719" s="310">
        <f t="shared" si="1057"/>
        <v>198.91524420701725</v>
      </c>
      <c r="J10719" s="552">
        <f t="shared" si="1058"/>
        <v>157.14285714285714</v>
      </c>
      <c r="K10719" s="310">
        <f>J10719/POBLA!$B$14*100000</f>
        <v>12.458860277053338</v>
      </c>
      <c r="L10719" s="202">
        <f t="shared" si="1059"/>
        <v>8.0550098231827016E-2</v>
      </c>
      <c r="M10719" s="512">
        <f>SUM(C10719,C10695,C10671,C10647,C10623,C10599,C10575)/POBLA!$B$14*100000</f>
        <v>87.212021939373372</v>
      </c>
    </row>
    <row r="10720" spans="1:13" x14ac:dyDescent="0.25">
      <c r="A10720" s="402" t="s">
        <v>19</v>
      </c>
      <c r="B10720" s="269">
        <v>44339</v>
      </c>
      <c r="C10720" s="1">
        <v>794</v>
      </c>
      <c r="D10720" s="39">
        <f t="shared" si="1050"/>
        <v>83637</v>
      </c>
      <c r="E10720" s="1">
        <v>26</v>
      </c>
      <c r="F10720" s="39">
        <f t="shared" si="1056"/>
        <v>1246</v>
      </c>
      <c r="G10720" s="169">
        <f>SUM(C10720,C10696,C10672,C10648,C10624,C10600,C10576,C10552,C10528,C10504,C10480,C10456,C10432,C10408)/POBLA!$B$15*100000</f>
        <v>1334.22281521014</v>
      </c>
      <c r="H10720" s="258">
        <f t="shared" si="1055"/>
        <v>1.6328787320309621</v>
      </c>
      <c r="I10720" s="310">
        <f t="shared" si="1057"/>
        <v>2178.6240587471138</v>
      </c>
      <c r="J10720" s="552">
        <f t="shared" si="1058"/>
        <v>749.28571428571433</v>
      </c>
      <c r="K10720" s="310">
        <f>J10720/POBLA!$B$15*100000</f>
        <v>112.83454798092849</v>
      </c>
      <c r="L10720" s="202">
        <f t="shared" si="1059"/>
        <v>0.45089903181189483</v>
      </c>
      <c r="M10720" s="512">
        <f>SUM(C10720,C10696,C10672,C10648,C10624,C10600,C10576)/POBLA!$B$15*100000</f>
        <v>789.84183586649942</v>
      </c>
    </row>
    <row r="10721" spans="1:13" x14ac:dyDescent="0.25">
      <c r="A10721" s="402" t="s">
        <v>18</v>
      </c>
      <c r="B10721" s="269">
        <v>44339</v>
      </c>
      <c r="C10721" s="1">
        <v>274</v>
      </c>
      <c r="D10721" s="39">
        <f t="shared" si="1050"/>
        <v>70094</v>
      </c>
      <c r="E10721" s="1">
        <v>1</v>
      </c>
      <c r="F10721" s="39">
        <f t="shared" si="1056"/>
        <v>1507</v>
      </c>
      <c r="G10721" s="169">
        <f>SUM(C10721,C10697,C10673,C10649,C10625,C10601,C10577,C10553,C10529,C10505,C10481,C10457,C10433,C10409)/POBLA!$B$16*100000</f>
        <v>833.45594628215247</v>
      </c>
      <c r="H10721" s="258">
        <f t="shared" si="1055"/>
        <v>1.5480745341614908</v>
      </c>
      <c r="I10721" s="310">
        <f t="shared" si="1057"/>
        <v>1290.2519257848676</v>
      </c>
      <c r="J10721" s="552">
        <f t="shared" si="1058"/>
        <v>522.14285714285711</v>
      </c>
      <c r="K10721" s="310">
        <f>J10721/POBLA!$B$16*100000</f>
        <v>69.841609548141022</v>
      </c>
      <c r="L10721" s="202">
        <f t="shared" si="1059"/>
        <v>0.41886645962732927</v>
      </c>
      <c r="M10721" s="512">
        <f>SUM(C10721,C10697,C10673,C10649,C10625,C10601,C10577)/POBLA!$B$16*100000</f>
        <v>488.8912668369872</v>
      </c>
    </row>
    <row r="10722" spans="1:13" x14ac:dyDescent="0.25">
      <c r="A10722" s="402" t="s">
        <v>34</v>
      </c>
      <c r="B10722" s="269">
        <v>44339</v>
      </c>
      <c r="C10722" s="1">
        <v>344</v>
      </c>
      <c r="D10722" s="39">
        <f t="shared" si="1050"/>
        <v>41750</v>
      </c>
      <c r="E10722" s="1">
        <v>2</v>
      </c>
      <c r="F10722" s="39">
        <f t="shared" si="1056"/>
        <v>1348</v>
      </c>
      <c r="G10722" s="169">
        <f>SUM(C10722,C10698,C10674,C10650,C10626,C10602,C10578,C10554,C10530,C10506,C10482,C10458,C10434,C10410)/POBLA!$B$17*100000</f>
        <v>371.80645564403744</v>
      </c>
      <c r="H10722" s="258">
        <f t="shared" ref="H10722:H10745" si="1060">SUM(C10722,C10698,C10674,C10650,C10626,C10602,C10578,C10554,C10530,C10506,C10482,C10458,C10434,C10410)/SUM(C10386,C10362,C10338,C10314,C10290,C10266,C10242,C10218,C10194,C10170,C10146,C10122,C10098,C10074)</f>
        <v>1.9022988505747127</v>
      </c>
      <c r="I10722" s="310">
        <f t="shared" si="1057"/>
        <v>707.28699320791031</v>
      </c>
      <c r="J10722" s="552">
        <f t="shared" si="1058"/>
        <v>470.28571428571428</v>
      </c>
      <c r="K10722" s="310">
        <f>J10722/POBLA!$B$17*100000</f>
        <v>33.016477448753001</v>
      </c>
      <c r="L10722" s="202">
        <f t="shared" si="1059"/>
        <v>0.64271457085828354</v>
      </c>
      <c r="M10722" s="512">
        <f>SUM(C10722,C10698,C10674,C10650,C10626,C10602,C10578)/POBLA!$B$17*100000</f>
        <v>231.11534214127101</v>
      </c>
    </row>
    <row r="10723" spans="1:13" x14ac:dyDescent="0.25">
      <c r="A10723" s="402" t="s">
        <v>35</v>
      </c>
      <c r="B10723" s="269">
        <v>44339</v>
      </c>
      <c r="C10723" s="1">
        <v>209</v>
      </c>
      <c r="D10723" s="39">
        <f t="shared" si="1050"/>
        <v>33126</v>
      </c>
      <c r="E10723" s="1">
        <v>8</v>
      </c>
      <c r="F10723" s="39">
        <f t="shared" si="1056"/>
        <v>589</v>
      </c>
      <c r="G10723" s="169">
        <f>SUM(C10723,C10699,C10675,C10651,C10627,C10603,C10579,C10555,C10531,C10507,C10483,C10459,C10435,C10411)/POBLA!$B$18*100000</f>
        <v>880.67719980491972</v>
      </c>
      <c r="H10723" s="258">
        <f t="shared" si="1060"/>
        <v>1.61237403327865</v>
      </c>
      <c r="I10723" s="310">
        <f t="shared" si="1057"/>
        <v>1419.981048666006</v>
      </c>
      <c r="J10723" s="552">
        <f t="shared" si="1058"/>
        <v>557.28571428571433</v>
      </c>
      <c r="K10723" s="310">
        <f>J10723/POBLA!$B$18*100000</f>
        <v>71.335584643666792</v>
      </c>
      <c r="L10723" s="202">
        <f t="shared" si="1059"/>
        <v>0.30949983215844235</v>
      </c>
      <c r="M10723" s="512">
        <f>SUM(C10723,C10699,C10675,C10651,C10627,C10603,C10579)/POBLA!$B$18*100000</f>
        <v>499.34909250566744</v>
      </c>
    </row>
    <row r="10724" spans="1:13" x14ac:dyDescent="0.25">
      <c r="A10724" s="402" t="s">
        <v>36</v>
      </c>
      <c r="B10724" s="269">
        <v>44339</v>
      </c>
      <c r="C10724" s="1">
        <v>682</v>
      </c>
      <c r="D10724" s="39">
        <f t="shared" si="1050"/>
        <v>48700</v>
      </c>
      <c r="E10724" s="1">
        <v>4</v>
      </c>
      <c r="F10724" s="39">
        <f t="shared" si="1056"/>
        <v>651</v>
      </c>
      <c r="G10724" s="169">
        <f>SUM(C10724,C10700,C10676,C10652,C10628,C10604,C10580,C10556,C10532,C10508,C10484,C10460,C10436,C10412)/POBLA!$B$19*100000</f>
        <v>1426.4411954486079</v>
      </c>
      <c r="H10724" s="258">
        <f t="shared" si="1060"/>
        <v>1.0854790419161677</v>
      </c>
      <c r="I10724" s="310">
        <f t="shared" si="1057"/>
        <v>1548.372022185308</v>
      </c>
      <c r="J10724" s="552">
        <f t="shared" si="1058"/>
        <v>562.14285714285711</v>
      </c>
      <c r="K10724" s="310">
        <f>J10724/POBLA!$B$19*100000</f>
        <v>110.58664034695259</v>
      </c>
      <c r="L10724" s="202">
        <f t="shared" si="1059"/>
        <v>0.18667068757539207</v>
      </c>
      <c r="M10724" s="512">
        <f>SUM(C10724,C10700,C10676,C10652,C10628,C10604,C10580)/POBLA!$B$19*100000</f>
        <v>774.10648242866807</v>
      </c>
    </row>
    <row r="10725" spans="1:13" x14ac:dyDescent="0.25">
      <c r="A10725" s="402" t="s">
        <v>37</v>
      </c>
      <c r="B10725" s="269">
        <v>44339</v>
      </c>
      <c r="C10725" s="1">
        <v>131</v>
      </c>
      <c r="D10725" s="39">
        <f t="shared" si="1050"/>
        <v>49993</v>
      </c>
      <c r="E10725" s="1">
        <v>1</v>
      </c>
      <c r="F10725" s="39">
        <f t="shared" si="1056"/>
        <v>765</v>
      </c>
      <c r="G10725" s="169">
        <f>SUM(C10725,C10701,C10677,C10653,C10629,C10605,C10581,C10557,C10533,C10509,C10485,C10461,C10437,C10413)/POBLA!$B$20*100000</f>
        <v>938.75274133301252</v>
      </c>
      <c r="H10725" s="258">
        <f t="shared" si="1060"/>
        <v>1.1797250859106529</v>
      </c>
      <c r="I10725" s="310">
        <f t="shared" si="1057"/>
        <v>1107.4701584179491</v>
      </c>
      <c r="J10725" s="552">
        <f t="shared" si="1058"/>
        <v>264.57142857142856</v>
      </c>
      <c r="K10725" s="310">
        <f>J10725/POBLA!$B$20*100000</f>
        <v>72.346971701083561</v>
      </c>
      <c r="L10725" s="202">
        <f t="shared" si="1059"/>
        <v>0.17141049968374444</v>
      </c>
      <c r="M10725" s="512">
        <f>SUM(C10725,C10701,C10677,C10653,C10629,C10605,C10581)/POBLA!$B$20*100000</f>
        <v>506.42880190758495</v>
      </c>
    </row>
    <row r="10726" spans="1:13" x14ac:dyDescent="0.25">
      <c r="A10726" s="402" t="s">
        <v>22</v>
      </c>
      <c r="B10726" s="269">
        <v>44339</v>
      </c>
      <c r="C10726" s="1">
        <v>1887</v>
      </c>
      <c r="D10726" s="39">
        <f t="shared" si="1050"/>
        <v>322585</v>
      </c>
      <c r="E10726" s="1">
        <v>18</v>
      </c>
      <c r="F10726" s="39">
        <f t="shared" si="1056"/>
        <v>5196</v>
      </c>
      <c r="G10726" s="169">
        <f>SUM(C10726,C10702,C10678,C10654,C10630,C10606,C10582,C10558,C10534,C10510,C10486,C10462,C10438,C10414)/POBLA!$B$21*100000</f>
        <v>946.80549640907827</v>
      </c>
      <c r="H10726" s="258">
        <f t="shared" si="1060"/>
        <v>1.3962885738115096</v>
      </c>
      <c r="I10726" s="310">
        <f t="shared" si="1057"/>
        <v>1322.0136962579302</v>
      </c>
      <c r="J10726" s="552">
        <f t="shared" si="1058"/>
        <v>2796.8571428571427</v>
      </c>
      <c r="K10726" s="310">
        <f>J10726/POBLA!$B$21*100000</f>
        <v>79.087289535828148</v>
      </c>
      <c r="L10726" s="202">
        <f t="shared" si="1059"/>
        <v>0.40798274002157497</v>
      </c>
      <c r="M10726" s="512">
        <f>SUM(C10726,C10702,C10678,C10654,C10630,C10606,C10582)/POBLA!$B$21*100000</f>
        <v>553.61102675079701</v>
      </c>
    </row>
    <row r="10727" spans="1:13" x14ac:dyDescent="0.25">
      <c r="A10727" s="402" t="s">
        <v>38</v>
      </c>
      <c r="B10727" s="269">
        <v>44339</v>
      </c>
      <c r="C10727" s="1">
        <v>402</v>
      </c>
      <c r="D10727" s="39">
        <f t="shared" si="1050"/>
        <v>39465</v>
      </c>
      <c r="F10727" s="39">
        <f t="shared" si="1056"/>
        <v>442</v>
      </c>
      <c r="G10727" s="169">
        <f>SUM(C10727,C10703,C10679,C10655,C10631,C10607,C10583,C10559,C10535,C10511,C10487,C10463,C10439,C10415)/POBLA!$B$22*100000</f>
        <v>680.86593963281689</v>
      </c>
      <c r="H10727" s="258">
        <f t="shared" si="1060"/>
        <v>2.2136922565636423</v>
      </c>
      <c r="I10727" s="310">
        <f t="shared" si="1057"/>
        <v>1507.2276583230951</v>
      </c>
      <c r="J10727" s="552">
        <f t="shared" si="1058"/>
        <v>591.28571428571433</v>
      </c>
      <c r="K10727" s="310">
        <f>J10727/POBLA!$B$22*100000</f>
        <v>60.439318938388254</v>
      </c>
      <c r="L10727" s="202">
        <f t="shared" si="1059"/>
        <v>0.64115781126090399</v>
      </c>
      <c r="M10727" s="512">
        <f>SUM(C10727,C10703,C10679,C10655,C10631,C10607,C10583)/POBLA!$B$22*100000</f>
        <v>423.07523256871775</v>
      </c>
    </row>
    <row r="10728" spans="1:13" x14ac:dyDescent="0.25">
      <c r="A10728" s="402" t="s">
        <v>39</v>
      </c>
      <c r="B10728" s="269">
        <v>44339</v>
      </c>
      <c r="C10728" s="1">
        <v>60</v>
      </c>
      <c r="D10728" s="39">
        <f t="shared" si="1050"/>
        <v>28052</v>
      </c>
      <c r="F10728" s="39">
        <f t="shared" si="1056"/>
        <v>408</v>
      </c>
      <c r="G10728" s="169">
        <f>SUM(C10728,C10704,C10680,C10656,C10632,C10608,C10584,C10560,C10536,C10512,C10488,C10464,C10440,C10416)/POBLA!$B$23*100000</f>
        <v>584.17689306113209</v>
      </c>
      <c r="H10728" s="258">
        <f t="shared" si="1060"/>
        <v>1.0616649537512848</v>
      </c>
      <c r="I10728" s="310">
        <f t="shared" si="1057"/>
        <v>620.20013415431606</v>
      </c>
      <c r="J10728" s="552">
        <f t="shared" si="1058"/>
        <v>74.285714285714292</v>
      </c>
      <c r="K10728" s="310">
        <f>J10728/POBLA!$B$23*100000</f>
        <v>42.009678383596842</v>
      </c>
      <c r="L10728" s="202">
        <f t="shared" si="1059"/>
        <v>1.3645224171539905E-2</v>
      </c>
      <c r="M10728" s="512">
        <f>SUM(C10728,C10704,C10680,C10656,C10632,C10608,C10584)/POBLA!$B$23*100000</f>
        <v>294.06774868517783</v>
      </c>
    </row>
    <row r="10729" spans="1:13" ht="15.75" thickBot="1" x14ac:dyDescent="0.3">
      <c r="A10729" s="404" t="s">
        <v>40</v>
      </c>
      <c r="B10729" s="269">
        <v>44339</v>
      </c>
      <c r="C10729" s="1">
        <v>419</v>
      </c>
      <c r="D10729" s="177">
        <f t="shared" si="1050"/>
        <v>121275</v>
      </c>
      <c r="E10729" s="1">
        <v>12</v>
      </c>
      <c r="F10729" s="177">
        <f t="shared" si="1056"/>
        <v>1817</v>
      </c>
      <c r="G10729" s="178">
        <f>SUM(C10729,C10705,C10681,C10657,C10633,C10609,C10585,C10561,C10537,C10513,C10489,C10465,C10441,C10417)/POBLA!$B$24*100000</f>
        <v>632.39973186298573</v>
      </c>
      <c r="H10729" s="513">
        <f t="shared" si="1060"/>
        <v>1.3157765500306937</v>
      </c>
      <c r="I10729" s="514">
        <f t="shared" si="1057"/>
        <v>832.09673743101519</v>
      </c>
      <c r="J10729" s="553">
        <f t="shared" si="1058"/>
        <v>908.85714285714289</v>
      </c>
      <c r="K10729" s="514">
        <f>J10729/POBLA!$B$24*100000</f>
        <v>53.630774791883603</v>
      </c>
      <c r="L10729" s="515">
        <f t="shared" si="1059"/>
        <v>0.46084959816303095</v>
      </c>
      <c r="M10729" s="516">
        <f>SUM(C10729,C10705,C10681,C10657,C10633,C10609,C10585)/POBLA!$B$24*100000</f>
        <v>375.41542354318517</v>
      </c>
    </row>
    <row r="10730" spans="1:13" x14ac:dyDescent="0.25">
      <c r="A10730" s="397" t="s">
        <v>16</v>
      </c>
      <c r="B10730" s="269">
        <v>44340</v>
      </c>
      <c r="C10730" s="1">
        <v>7549</v>
      </c>
      <c r="D10730" s="175">
        <f t="shared" si="1050"/>
        <v>1531000</v>
      </c>
      <c r="E10730" s="1">
        <v>189</v>
      </c>
      <c r="F10730" s="175">
        <f t="shared" ref="F10730:F10753" si="1061">E10730+F10706</f>
        <v>38590</v>
      </c>
      <c r="G10730" s="176">
        <f>SUM(C10730,C10706,C10682,C10658,C10634,C10610,C10586,C10562,C10538,C10514,C10490,C10466,C10442,C10418)/POBLA!$B$1*100000</f>
        <v>849.0610730510632</v>
      </c>
      <c r="H10730" s="313">
        <f t="shared" si="1060"/>
        <v>1.1608158875153933</v>
      </c>
      <c r="I10730" s="314">
        <f>G10730*H10730</f>
        <v>985.60358306854209</v>
      </c>
      <c r="J10730" s="551">
        <f>AVERAGE(C10730,C10706,C10682,C10658,C10634,C10610,C10586)</f>
        <v>11803.285714285714</v>
      </c>
      <c r="K10730" s="314">
        <f>J10730/POBLA!$B$1*100000</f>
        <v>67.289155900894443</v>
      </c>
      <c r="L10730" s="510">
        <f t="shared" si="1059"/>
        <v>0.24597357944263476</v>
      </c>
      <c r="M10730" s="511">
        <f>SUM(C10730,C10706,C10682,C10658,C10634,C10610,C10586)/POBLA!$B$1*100000</f>
        <v>471.02409130626108</v>
      </c>
    </row>
    <row r="10731" spans="1:13" x14ac:dyDescent="0.25">
      <c r="A10731" s="402" t="s">
        <v>43</v>
      </c>
      <c r="B10731" s="269">
        <v>44340</v>
      </c>
      <c r="C10731" s="1">
        <v>2135</v>
      </c>
      <c r="D10731" s="39">
        <f t="shared" si="1050"/>
        <v>399994</v>
      </c>
      <c r="E10731" s="1">
        <v>33</v>
      </c>
      <c r="F10731" s="39">
        <f t="shared" si="1061"/>
        <v>8848</v>
      </c>
      <c r="G10731" s="169">
        <f>SUM(C10731,C10707,C10683,C10659,C10635,C10611,C10587,C10563,C10539,C10515,C10491,C10467,C10443,C10419)/POBLA!$B$2*100000</f>
        <v>1178.7767512906232</v>
      </c>
      <c r="H10731" s="258">
        <f t="shared" si="1060"/>
        <v>1.1002033198798289</v>
      </c>
      <c r="I10731" s="310">
        <f t="shared" ref="I10731:I10753" si="1062">G10731*H10731</f>
        <v>1296.8940951671029</v>
      </c>
      <c r="J10731" s="552">
        <f t="shared" ref="J10731:J10753" si="1063">AVERAGE(C10731,C10707,C10683,C10659,C10635,C10611,C10587)</f>
        <v>2777.1428571428573</v>
      </c>
      <c r="K10731" s="310">
        <f>J10731/POBLA!$B$2*100000</f>
        <v>90.294619639024035</v>
      </c>
      <c r="L10731" s="202">
        <f t="shared" si="1059"/>
        <v>0.15611061552185546</v>
      </c>
      <c r="M10731" s="512">
        <f>SUM(C10731,C10707,C10683,C10659,C10635,C10611,C10587)/POBLA!$B$2*100000</f>
        <v>632.06233747316821</v>
      </c>
    </row>
    <row r="10732" spans="1:13" x14ac:dyDescent="0.25">
      <c r="A10732" s="402" t="s">
        <v>28</v>
      </c>
      <c r="B10732" s="269">
        <v>44340</v>
      </c>
      <c r="C10732" s="1">
        <v>492</v>
      </c>
      <c r="D10732" s="39">
        <f t="shared" si="1050"/>
        <v>20803</v>
      </c>
      <c r="E10732" s="1">
        <v>0</v>
      </c>
      <c r="F10732" s="39">
        <f t="shared" si="1061"/>
        <v>146</v>
      </c>
      <c r="G10732" s="169">
        <f>SUM(C10732,C10708,C10684,C10660,C10636,C10612,C10588,C10564,C10540,C10516,C10492,C10468,C10444,C10420)/POBLA!$B$3*100000</f>
        <v>1072.1214717960322</v>
      </c>
      <c r="H10732" s="258">
        <f t="shared" si="1060"/>
        <v>2.1069063386944182</v>
      </c>
      <c r="I10732" s="310">
        <f t="shared" si="1062"/>
        <v>2258.8595247774492</v>
      </c>
      <c r="J10732" s="552">
        <f t="shared" si="1063"/>
        <v>373</v>
      </c>
      <c r="K10732" s="310">
        <f>J10732/POBLA!$B$3*100000</f>
        <v>89.784757292303539</v>
      </c>
      <c r="L10732" s="202">
        <f t="shared" si="1059"/>
        <v>0.41671188279978288</v>
      </c>
      <c r="M10732" s="512">
        <f>SUM(C10732,C10708,C10684,C10660,C10636,C10612,C10588)/POBLA!$B$3*100000</f>
        <v>628.49330104612488</v>
      </c>
    </row>
    <row r="10733" spans="1:13" x14ac:dyDescent="0.25">
      <c r="A10733" s="402" t="s">
        <v>15</v>
      </c>
      <c r="B10733" s="269">
        <v>44340</v>
      </c>
      <c r="C10733" s="1">
        <v>471</v>
      </c>
      <c r="D10733" s="39">
        <f t="shared" si="1050"/>
        <v>53864</v>
      </c>
      <c r="E10733" s="1">
        <v>5</v>
      </c>
      <c r="F10733" s="39">
        <f t="shared" si="1061"/>
        <v>1162</v>
      </c>
      <c r="G10733" s="169">
        <f>SUM(C10733,C10709,C10685,C10661,C10637,C10613,C10589,C10565,C10541,C10517,C10493,C10469,C10445,C10421)/POBLA!$B$4*100000</f>
        <v>556.89262548970942</v>
      </c>
      <c r="H10733" s="258">
        <f t="shared" si="1060"/>
        <v>1.9775943396226414</v>
      </c>
      <c r="I10733" s="310">
        <f t="shared" si="1062"/>
        <v>1101.3077039460409</v>
      </c>
      <c r="J10733" s="552">
        <f t="shared" si="1063"/>
        <v>589.28571428571433</v>
      </c>
      <c r="K10733" s="310">
        <f>J10733/POBLA!$B$4*100000</f>
        <v>48.922013803242422</v>
      </c>
      <c r="L10733" s="202">
        <f t="shared" si="1059"/>
        <v>0.59698025551684086</v>
      </c>
      <c r="M10733" s="512">
        <f>SUM(C10733,C10709,C10685,C10661,C10637,C10613,C10589)/POBLA!$B$4*100000</f>
        <v>342.45409662269691</v>
      </c>
    </row>
    <row r="10734" spans="1:13" x14ac:dyDescent="0.25">
      <c r="A10734" s="402" t="s">
        <v>29</v>
      </c>
      <c r="B10734" s="269">
        <v>44340</v>
      </c>
      <c r="C10734" s="1">
        <v>215</v>
      </c>
      <c r="D10734" s="39">
        <f t="shared" si="1050"/>
        <v>60263</v>
      </c>
      <c r="E10734" s="1">
        <v>1</v>
      </c>
      <c r="F10734" s="39">
        <f t="shared" si="1061"/>
        <v>1005</v>
      </c>
      <c r="G10734" s="169">
        <f>SUM(C10734,C10710,C10686,C10662,C10638,C10614,C10590,C10566,C10542,C10518,C10494,C10470,C10446,C10422)/POBLA!$B$5*100000</f>
        <v>595.80545207223338</v>
      </c>
      <c r="H10734" s="258">
        <f t="shared" si="1060"/>
        <v>1.501628664495114</v>
      </c>
      <c r="I10734" s="310">
        <f t="shared" si="1062"/>
        <v>894.67854529413546</v>
      </c>
      <c r="J10734" s="552">
        <f t="shared" si="1063"/>
        <v>304.14285714285717</v>
      </c>
      <c r="K10734" s="310">
        <f>J10734/POBLA!$B$5*100000</f>
        <v>49.135025079864619</v>
      </c>
      <c r="L10734" s="202">
        <f t="shared" si="1059"/>
        <v>0.36561898652982672</v>
      </c>
      <c r="M10734" s="512">
        <f>SUM(C10734,C10710,C10686,C10662,C10638,C10614,C10590)/POBLA!$B$5*100000</f>
        <v>343.94517555905225</v>
      </c>
    </row>
    <row r="10735" spans="1:13" x14ac:dyDescent="0.25">
      <c r="A10735" s="402" t="s">
        <v>30</v>
      </c>
      <c r="B10735" s="269">
        <v>44340</v>
      </c>
      <c r="C10735" s="1">
        <v>327</v>
      </c>
      <c r="D10735" s="39">
        <f t="shared" si="1050"/>
        <v>47817</v>
      </c>
      <c r="E10735" s="1">
        <v>15</v>
      </c>
      <c r="F10735" s="39">
        <f t="shared" si="1061"/>
        <v>590</v>
      </c>
      <c r="G10735" s="169">
        <f>SUM(C10735,C10711,C10687,C10663,C10639,C10615,C10591,C10567,C10543,C10519,C10495,C10471,C10447,C10423)/POBLA!$B$6*100000</f>
        <v>752.40832226238194</v>
      </c>
      <c r="H10735" s="258">
        <f t="shared" si="1060"/>
        <v>3.1619797525309337</v>
      </c>
      <c r="I10735" s="310">
        <f t="shared" si="1062"/>
        <v>2379.0998806294215</v>
      </c>
      <c r="J10735" s="552">
        <f t="shared" si="1063"/>
        <v>996.14285714285711</v>
      </c>
      <c r="K10735" s="310">
        <f>J10735/POBLA!$B$6*100000</f>
        <v>88.877763058995953</v>
      </c>
      <c r="L10735" s="202">
        <f t="shared" si="1059"/>
        <v>3.7760273972602736</v>
      </c>
      <c r="M10735" s="512">
        <f>SUM(C10735,C10711,C10687,C10663,C10639,C10615,C10591)/POBLA!$B$6*100000</f>
        <v>622.14434141297158</v>
      </c>
    </row>
    <row r="10736" spans="1:13" x14ac:dyDescent="0.25">
      <c r="A10736" s="402" t="s">
        <v>20</v>
      </c>
      <c r="B10736" s="269">
        <v>44340</v>
      </c>
      <c r="C10736" s="1">
        <v>2807</v>
      </c>
      <c r="D10736" s="39">
        <f t="shared" si="1050"/>
        <v>283949</v>
      </c>
      <c r="E10736" s="1">
        <v>9</v>
      </c>
      <c r="F10736" s="39">
        <f t="shared" si="1061"/>
        <v>3734</v>
      </c>
      <c r="G10736" s="169">
        <f>SUM(C10736,C10712,C10688,C10664,C10640,C10616,C10592,C10568,C10544,C10520,C10496,C10472,C10448,C10424)/POBLA!$B$7*100000</f>
        <v>1115.9568668643381</v>
      </c>
      <c r="H10736" s="258">
        <f t="shared" si="1060"/>
        <v>1.8657744975991464</v>
      </c>
      <c r="I10736" s="310">
        <f t="shared" si="1062"/>
        <v>2082.123862616128</v>
      </c>
      <c r="J10736" s="552">
        <f t="shared" si="1063"/>
        <v>3508.5714285714284</v>
      </c>
      <c r="K10736" s="310">
        <f>J10736/POBLA!$B$7*100000</f>
        <v>93.301903457602904</v>
      </c>
      <c r="L10736" s="202">
        <f t="shared" si="1059"/>
        <v>0.4110887675955186</v>
      </c>
      <c r="M10736" s="512">
        <f>SUM(C10736,C10712,C10688,C10664,C10640,C10616,C10592)/POBLA!$B$7*100000</f>
        <v>653.11332420322037</v>
      </c>
    </row>
    <row r="10737" spans="1:13" x14ac:dyDescent="0.25">
      <c r="A10737" s="402" t="s">
        <v>31</v>
      </c>
      <c r="B10737" s="269">
        <v>44340</v>
      </c>
      <c r="C10737" s="1">
        <v>463</v>
      </c>
      <c r="D10737" s="39">
        <f t="shared" si="1050"/>
        <v>78804</v>
      </c>
      <c r="E10737" s="1">
        <v>13</v>
      </c>
      <c r="F10737" s="39">
        <f t="shared" si="1061"/>
        <v>1238</v>
      </c>
      <c r="G10737" s="169">
        <f>SUM(C10737,C10713,C10689,C10665,C10641,C10617,C10593,C10569,C10545,C10521,C10497,C10473,C10449,C10425)/POBLA!$B$8*100000</f>
        <v>790.35412973380915</v>
      </c>
      <c r="H10737" s="258">
        <f t="shared" si="1060"/>
        <v>1.4558745348219033</v>
      </c>
      <c r="I10737" s="310">
        <f t="shared" si="1062"/>
        <v>1150.6564509707796</v>
      </c>
      <c r="J10737" s="552">
        <f t="shared" si="1063"/>
        <v>893.85714285714289</v>
      </c>
      <c r="K10737" s="310">
        <f>J10737/POBLA!$B$8*100000</f>
        <v>64.493672106007523</v>
      </c>
      <c r="L10737" s="202">
        <f t="shared" si="1059"/>
        <v>0.33212688950393865</v>
      </c>
      <c r="M10737" s="512">
        <f>SUM(C10737,C10713,C10689,C10665,C10641,C10617,C10593)/POBLA!$B$8*100000</f>
        <v>451.45570474205266</v>
      </c>
    </row>
    <row r="10738" spans="1:13" x14ac:dyDescent="0.25">
      <c r="A10738" s="402" t="s">
        <v>41</v>
      </c>
      <c r="B10738" s="269">
        <v>44340</v>
      </c>
      <c r="C10738" s="1">
        <v>758</v>
      </c>
      <c r="D10738" s="39">
        <f t="shared" si="1050"/>
        <v>23926</v>
      </c>
      <c r="E10738" s="1">
        <v>62</v>
      </c>
      <c r="F10738" s="39">
        <f t="shared" si="1061"/>
        <v>364</v>
      </c>
      <c r="G10738" s="169">
        <f>SUM(C10738,C10714,C10690,C10666,C10642,C10618,C10594,C10570,C10546,C10522,C10498,C10474,C10450,C10426)/POBLA!$B$9*100000</f>
        <v>2953.7684672492906</v>
      </c>
      <c r="H10738" s="258">
        <f t="shared" si="1060"/>
        <v>10.13953488372093</v>
      </c>
      <c r="I10738" s="310">
        <f t="shared" si="1062"/>
        <v>29949.838412109086</v>
      </c>
      <c r="J10738" s="552">
        <f t="shared" si="1063"/>
        <v>1447.1428571428571</v>
      </c>
      <c r="K10738" s="310">
        <f>J10738/POBLA!$B$9*100000</f>
        <v>239.12088493139495</v>
      </c>
      <c r="L10738" s="202">
        <f>(SUM(C10738,C10714,C10690,C10666,C10642,C10618,C10594)/SUM(C10570,C10546,C10522,C10498,C10474,C10450,C10426))-1</f>
        <v>0.30777175316292271</v>
      </c>
      <c r="M10738" s="512">
        <f>SUM(C10738,C10714,C10690,C10666,C10642,C10618,C10594)/POBLA!$B$9*100000</f>
        <v>1673.8461945197648</v>
      </c>
    </row>
    <row r="10739" spans="1:13" x14ac:dyDescent="0.25">
      <c r="A10739" s="402" t="s">
        <v>32</v>
      </c>
      <c r="B10739" s="269">
        <v>44340</v>
      </c>
      <c r="C10739" s="1">
        <v>114</v>
      </c>
      <c r="D10739" s="39">
        <f t="shared" ref="D10739:D10802" si="1064">C10739+D10715</f>
        <v>27244</v>
      </c>
      <c r="E10739" s="1">
        <v>2</v>
      </c>
      <c r="F10739" s="39">
        <f t="shared" si="1061"/>
        <v>1086</v>
      </c>
      <c r="G10739" s="169">
        <f>SUM(C10739,C10715,C10691,C10667,C10643,C10619,C10595,C10571,C10547,C10523,C10499,C10475,C10451,C10427)/POBLA!$B$10*100000</f>
        <v>199.51198693442959</v>
      </c>
      <c r="H10739" s="258">
        <f t="shared" si="1060"/>
        <v>1.215810276679842</v>
      </c>
      <c r="I10739" s="310">
        <f t="shared" si="1062"/>
        <v>242.56872403569386</v>
      </c>
      <c r="J10739" s="552">
        <f t="shared" si="1063"/>
        <v>132.14285714285714</v>
      </c>
      <c r="K10739" s="310">
        <f>J10739/POBLA!$B$10*100000</f>
        <v>17.141797131185896</v>
      </c>
      <c r="L10739" s="202">
        <f t="shared" ref="L10739:L10761" si="1065">(SUM(C10739,C10715,C10691,C10667,C10643,C10619,C10595)/SUM(C10571,C10547,C10523,C10499,C10475,C10451,C10427))-1</f>
        <v>0.50897226753670477</v>
      </c>
      <c r="M10739" s="512">
        <f>SUM(C10739,C10715,C10691,C10667,C10643,C10619,C10595)/POBLA!$B$10*100000</f>
        <v>119.99257991830126</v>
      </c>
    </row>
    <row r="10740" spans="1:13" x14ac:dyDescent="0.25">
      <c r="A10740" s="402" t="s">
        <v>33</v>
      </c>
      <c r="B10740" s="269">
        <v>44340</v>
      </c>
      <c r="C10740" s="1">
        <v>657</v>
      </c>
      <c r="D10740" s="39">
        <f t="shared" si="1064"/>
        <v>39139</v>
      </c>
      <c r="E10740" s="1">
        <v>6</v>
      </c>
      <c r="F10740" s="39">
        <f t="shared" si="1061"/>
        <v>500</v>
      </c>
      <c r="G10740" s="169">
        <f>SUM(C10740,C10716,C10692,C10668,C10644,C10620,C10596,C10572,C10548,C10524,C10500,C10476,C10452,C10428)/POBLA!$B$11*100000</f>
        <v>2409.9679712522461</v>
      </c>
      <c r="H10740" s="258">
        <f t="shared" si="1060"/>
        <v>1.8963776070252469</v>
      </c>
      <c r="I10740" s="310">
        <f t="shared" si="1062"/>
        <v>4570.2092943308235</v>
      </c>
      <c r="J10740" s="552">
        <f t="shared" si="1063"/>
        <v>719.71428571428567</v>
      </c>
      <c r="K10740" s="310">
        <f>J10740/POBLA!$B$11*100000</f>
        <v>200.7974504542853</v>
      </c>
      <c r="L10740" s="202">
        <f t="shared" si="1065"/>
        <v>0.39944444444444449</v>
      </c>
      <c r="M10740" s="512">
        <f>SUM(C10740,C10716,C10692,C10668,C10644,C10620,C10596)/POBLA!$B$11*100000</f>
        <v>1405.5821531799972</v>
      </c>
    </row>
    <row r="10741" spans="1:13" x14ac:dyDescent="0.25">
      <c r="A10741" s="402" t="s">
        <v>21</v>
      </c>
      <c r="B10741" s="269">
        <v>44340</v>
      </c>
      <c r="C10741" s="1">
        <v>193</v>
      </c>
      <c r="D10741" s="39">
        <f t="shared" si="1064"/>
        <v>16294</v>
      </c>
      <c r="E10741" s="1">
        <v>7</v>
      </c>
      <c r="F10741" s="39">
        <f t="shared" si="1061"/>
        <v>525</v>
      </c>
      <c r="G10741" s="169">
        <f>SUM(C10741,C10717,C10693,C10669,C10645,C10621,C10597,C10573,C10549,C10525,C10501,C10477,C10453,C10429)/POBLA!$B$12*100000</f>
        <v>486.36575009338532</v>
      </c>
      <c r="H10741" s="258">
        <f t="shared" si="1060"/>
        <v>1.5178429817605075</v>
      </c>
      <c r="I10741" s="310">
        <f t="shared" si="1062"/>
        <v>738.22684034792974</v>
      </c>
      <c r="J10741" s="552">
        <f t="shared" si="1063"/>
        <v>182.57142857142858</v>
      </c>
      <c r="K10741" s="310">
        <f>J10741/POBLA!$B$12*100000</f>
        <v>46.393150367170207</v>
      </c>
      <c r="L10741" s="202">
        <f t="shared" si="1065"/>
        <v>1.0094339622641511</v>
      </c>
      <c r="M10741" s="512">
        <f>SUM(C10741,C10717,C10693,C10669,C10645,C10621,C10597)/POBLA!$B$12*100000</f>
        <v>324.75205257019144</v>
      </c>
    </row>
    <row r="10742" spans="1:13" x14ac:dyDescent="0.25">
      <c r="A10742" s="402" t="s">
        <v>17</v>
      </c>
      <c r="B10742" s="269">
        <v>44340</v>
      </c>
      <c r="C10742" s="1">
        <v>330</v>
      </c>
      <c r="D10742" s="39">
        <f t="shared" si="1064"/>
        <v>115203</v>
      </c>
      <c r="E10742" s="1">
        <v>20</v>
      </c>
      <c r="F10742" s="39">
        <f t="shared" si="1061"/>
        <v>2393</v>
      </c>
      <c r="G10742" s="169">
        <f>SUM(C10742,C10718,C10694,C10670,C10646,C10622,C10598,C10574,C10550,C10526,C10502,C10478,C10454,C10430)/POBLA!$B$13*100000</f>
        <v>589.7490777948268</v>
      </c>
      <c r="H10742" s="258">
        <f t="shared" si="1060"/>
        <v>1.1228237995025827</v>
      </c>
      <c r="I10742" s="310">
        <f t="shared" si="1062"/>
        <v>662.18430028273167</v>
      </c>
      <c r="J10742" s="552">
        <f t="shared" si="1063"/>
        <v>852.57142857142856</v>
      </c>
      <c r="K10742" s="310">
        <f>J10742/POBLA!$B$13*100000</f>
        <v>42.835509776300739</v>
      </c>
      <c r="L10742" s="202">
        <f t="shared" si="1065"/>
        <v>3.4315424610052103E-2</v>
      </c>
      <c r="M10742" s="512">
        <f>SUM(C10742,C10718,C10694,C10670,C10646,C10622,C10598)/POBLA!$B$13*100000</f>
        <v>299.84856843410518</v>
      </c>
    </row>
    <row r="10743" spans="1:13" x14ac:dyDescent="0.25">
      <c r="A10743" s="402" t="s">
        <v>23</v>
      </c>
      <c r="B10743" s="269">
        <v>44340</v>
      </c>
      <c r="C10743" s="1">
        <v>104</v>
      </c>
      <c r="D10743" s="39">
        <f t="shared" si="1064"/>
        <v>19122</v>
      </c>
      <c r="E10743" s="1">
        <v>4</v>
      </c>
      <c r="F10743" s="39">
        <f t="shared" si="1061"/>
        <v>268</v>
      </c>
      <c r="G10743" s="169">
        <f>SUM(C10743,C10719,C10695,C10671,C10647,C10623,C10599,C10575,C10551,C10527,C10503,C10479,C10455,C10431)/POBLA!$B$14*100000</f>
        <v>163.32433199555376</v>
      </c>
      <c r="H10743" s="258">
        <f t="shared" si="1060"/>
        <v>1.1123110151187905</v>
      </c>
      <c r="I10743" s="310">
        <f t="shared" si="1062"/>
        <v>181.66745351557276</v>
      </c>
      <c r="J10743" s="552">
        <f t="shared" si="1063"/>
        <v>150.28571428571428</v>
      </c>
      <c r="K10743" s="310">
        <f>J10743/POBLA!$B$14*100000</f>
        <v>11.915200919509193</v>
      </c>
      <c r="L10743" s="202">
        <f t="shared" si="1065"/>
        <v>4.3650793650793718E-2</v>
      </c>
      <c r="M10743" s="512">
        <f>SUM(C10743,C10719,C10695,C10671,C10647,C10623,C10599)/POBLA!$B$14*100000</f>
        <v>83.406406436564353</v>
      </c>
    </row>
    <row r="10744" spans="1:13" x14ac:dyDescent="0.25">
      <c r="A10744" s="402" t="s">
        <v>19</v>
      </c>
      <c r="B10744" s="269">
        <v>44340</v>
      </c>
      <c r="C10744" s="1">
        <v>861</v>
      </c>
      <c r="D10744" s="39">
        <f t="shared" si="1064"/>
        <v>84498</v>
      </c>
      <c r="E10744" s="1">
        <v>2</v>
      </c>
      <c r="F10744" s="39">
        <f t="shared" si="1061"/>
        <v>1248</v>
      </c>
      <c r="G10744" s="169">
        <f>SUM(C10744,C10720,C10696,C10672,C10648,C10624,C10600,C10576,C10552,C10528,C10504,C10480,C10456,C10432)/POBLA!$B$15*100000</f>
        <v>1396.7174504598249</v>
      </c>
      <c r="H10744" s="258">
        <f t="shared" si="1060"/>
        <v>1.6433380581148123</v>
      </c>
      <c r="I10744" s="310">
        <f t="shared" si="1062"/>
        <v>2295.2789427737202</v>
      </c>
      <c r="J10744" s="552">
        <f t="shared" si="1063"/>
        <v>772.28571428571433</v>
      </c>
      <c r="K10744" s="310">
        <f>J10744/POBLA!$B$15*100000</f>
        <v>116.2981060791038</v>
      </c>
      <c r="L10744" s="202">
        <f t="shared" si="1065"/>
        <v>0.39726027397260277</v>
      </c>
      <c r="M10744" s="512">
        <f>SUM(C10744,C10720,C10696,C10672,C10648,C10624,C10600)/POBLA!$B$15*100000</f>
        <v>814.08674255372659</v>
      </c>
    </row>
    <row r="10745" spans="1:13" x14ac:dyDescent="0.25">
      <c r="A10745" s="402" t="s">
        <v>18</v>
      </c>
      <c r="B10745" s="269">
        <v>44340</v>
      </c>
      <c r="C10745" s="1">
        <v>425</v>
      </c>
      <c r="D10745" s="39">
        <f t="shared" si="1064"/>
        <v>70519</v>
      </c>
      <c r="E10745" s="1">
        <v>12</v>
      </c>
      <c r="F10745" s="39">
        <f t="shared" si="1061"/>
        <v>1519</v>
      </c>
      <c r="G10745" s="169">
        <f>SUM(C10745,C10721,C10697,C10673,C10649,C10625,C10601,C10577,C10553,C10529,C10505,C10481,C10457,C10433)/POBLA!$B$16*100000</f>
        <v>846.83190433514801</v>
      </c>
      <c r="H10745" s="258">
        <f t="shared" si="1060"/>
        <v>1.5509554140127388</v>
      </c>
      <c r="I10745" s="310">
        <f t="shared" si="1062"/>
        <v>1313.3985267873156</v>
      </c>
      <c r="J10745" s="552">
        <f t="shared" si="1063"/>
        <v>524.85714285714289</v>
      </c>
      <c r="K10745" s="310">
        <f>J10745/POBLA!$B$16*100000</f>
        <v>70.204671266722343</v>
      </c>
      <c r="L10745" s="202">
        <f t="shared" si="1065"/>
        <v>0.38276251411366213</v>
      </c>
      <c r="M10745" s="512">
        <f>SUM(C10745,C10721,C10697,C10673,C10649,C10625,C10601)/POBLA!$B$16*100000</f>
        <v>491.43269886705639</v>
      </c>
    </row>
    <row r="10746" spans="1:13" x14ac:dyDescent="0.25">
      <c r="A10746" s="402" t="s">
        <v>34</v>
      </c>
      <c r="B10746" s="269">
        <v>44340</v>
      </c>
      <c r="C10746" s="1">
        <v>355</v>
      </c>
      <c r="D10746" s="39">
        <f t="shared" si="1064"/>
        <v>42105</v>
      </c>
      <c r="E10746" s="1">
        <v>2</v>
      </c>
      <c r="F10746" s="39">
        <f t="shared" si="1061"/>
        <v>1350</v>
      </c>
      <c r="G10746" s="169">
        <f>SUM(C10746,C10722,C10698,C10674,C10650,C10626,C10602,C10578,C10554,C10530,C10506,C10482,C10458,C10434)/POBLA!$B$17*100000</f>
        <v>376.86122618904699</v>
      </c>
      <c r="H10746" s="258">
        <f t="shared" ref="H10746:H10769" si="1066">SUM(C10746,C10722,C10698,C10674,C10650,C10626,C10602,C10578,C10554,C10530,C10506,C10482,C10458,C10434)/SUM(C10410,C10386,C10362,C10338,C10314,C10290,C10266,C10242,C10218,C10194,C10170,C10146,C10122,C10098)</f>
        <v>1.8446735395189005</v>
      </c>
      <c r="I10746" s="310">
        <f t="shared" si="1062"/>
        <v>695.18593202158229</v>
      </c>
      <c r="J10746" s="552">
        <f t="shared" si="1063"/>
        <v>485.57142857142856</v>
      </c>
      <c r="K10746" s="310">
        <f>J10746/POBLA!$B$17*100000</f>
        <v>34.089613258903839</v>
      </c>
      <c r="L10746" s="202">
        <f t="shared" si="1065"/>
        <v>0.72625698324022347</v>
      </c>
      <c r="M10746" s="512">
        <f>SUM(C10746,C10722,C10698,C10674,C10650,C10626,C10602)/POBLA!$B$17*100000</f>
        <v>238.62729281232689</v>
      </c>
    </row>
    <row r="10747" spans="1:13" x14ac:dyDescent="0.25">
      <c r="A10747" s="402" t="s">
        <v>35</v>
      </c>
      <c r="B10747" s="269">
        <v>44340</v>
      </c>
      <c r="C10747" s="1">
        <v>263</v>
      </c>
      <c r="D10747" s="39">
        <f t="shared" si="1064"/>
        <v>33389</v>
      </c>
      <c r="E10747" s="1">
        <v>3</v>
      </c>
      <c r="F10747" s="39">
        <f t="shared" si="1061"/>
        <v>592</v>
      </c>
      <c r="G10747" s="169">
        <f>SUM(C10747,C10723,C10699,C10675,C10651,C10627,C10603,C10579,C10555,C10531,C10507,C10483,C10459,C10435)/POBLA!$B$18*100000</f>
        <v>876.19701056172607</v>
      </c>
      <c r="H10747" s="258">
        <f t="shared" si="1066"/>
        <v>1.5815619223659889</v>
      </c>
      <c r="I10747" s="310">
        <f t="shared" si="1062"/>
        <v>1385.7598283953362</v>
      </c>
      <c r="J10747" s="552">
        <f t="shared" si="1063"/>
        <v>514.57142857142856</v>
      </c>
      <c r="K10747" s="310">
        <f>J10747/POBLA!$B$18*100000</f>
        <v>65.867925118299851</v>
      </c>
      <c r="L10747" s="202">
        <f t="shared" si="1065"/>
        <v>0.11069996916435398</v>
      </c>
      <c r="M10747" s="512">
        <f>SUM(C10747,C10723,C10699,C10675,C10651,C10627,C10603)/POBLA!$B$18*100000</f>
        <v>461.075475828099</v>
      </c>
    </row>
    <row r="10748" spans="1:13" x14ac:dyDescent="0.25">
      <c r="A10748" s="402" t="s">
        <v>36</v>
      </c>
      <c r="B10748" s="269">
        <v>44340</v>
      </c>
      <c r="C10748" s="1">
        <v>622</v>
      </c>
      <c r="D10748" s="39">
        <f t="shared" si="1064"/>
        <v>49322</v>
      </c>
      <c r="E10748" s="1">
        <v>4</v>
      </c>
      <c r="F10748" s="39">
        <f t="shared" si="1061"/>
        <v>655</v>
      </c>
      <c r="G10748" s="169">
        <f>SUM(C10748,C10724,C10700,C10676,C10652,C10628,C10604,C10580,C10556,C10532,C10508,C10484,C10460,C10436)/POBLA!$B$19*100000</f>
        <v>1465.5891471648226</v>
      </c>
      <c r="H10748" s="258">
        <f t="shared" si="1066"/>
        <v>1.1250377529447297</v>
      </c>
      <c r="I10748" s="310">
        <f t="shared" si="1062"/>
        <v>1648.8431208664949</v>
      </c>
      <c r="J10748" s="552">
        <f t="shared" si="1063"/>
        <v>605.42857142857144</v>
      </c>
      <c r="K10748" s="310">
        <f>J10748/POBLA!$B$19*100000</f>
        <v>119.10195217036468</v>
      </c>
      <c r="L10748" s="202">
        <f t="shared" si="1065"/>
        <v>0.31942714819427143</v>
      </c>
      <c r="M10748" s="512">
        <f>SUM(C10748,C10724,C10700,C10676,C10652,C10628,C10604)/POBLA!$B$19*100000</f>
        <v>833.71366519255275</v>
      </c>
    </row>
    <row r="10749" spans="1:13" x14ac:dyDescent="0.25">
      <c r="A10749" s="402" t="s">
        <v>37</v>
      </c>
      <c r="B10749" s="269">
        <v>44340</v>
      </c>
      <c r="C10749" s="1">
        <v>157</v>
      </c>
      <c r="D10749" s="39">
        <f t="shared" si="1064"/>
        <v>50150</v>
      </c>
      <c r="E10749" s="1">
        <v>1</v>
      </c>
      <c r="F10749" s="39">
        <f t="shared" si="1061"/>
        <v>766</v>
      </c>
      <c r="G10749" s="169">
        <f>SUM(C10749,C10725,C10701,C10677,C10653,C10629,C10605,C10581,C10557,C10533,C10509,C10485,C10461,C10437)/POBLA!$B$20*100000</f>
        <v>914.96261942914646</v>
      </c>
      <c r="H10749" s="258">
        <f t="shared" si="1066"/>
        <v>1.1443228454172367</v>
      </c>
      <c r="I10749" s="310">
        <f t="shared" si="1062"/>
        <v>1047.0126281155692</v>
      </c>
      <c r="J10749" s="552">
        <f t="shared" si="1063"/>
        <v>256.14285714285717</v>
      </c>
      <c r="K10749" s="310">
        <f>J10749/POBLA!$B$20*100000</f>
        <v>70.042181565897863</v>
      </c>
      <c r="L10749" s="202">
        <f t="shared" si="1065"/>
        <v>0.15453960077269802</v>
      </c>
      <c r="M10749" s="512">
        <f>SUM(C10749,C10725,C10701,C10677,C10653,C10629,C10605)/POBLA!$B$20*100000</f>
        <v>490.29527096128498</v>
      </c>
    </row>
    <row r="10750" spans="1:13" x14ac:dyDescent="0.25">
      <c r="A10750" s="402" t="s">
        <v>22</v>
      </c>
      <c r="B10750" s="269">
        <v>44340</v>
      </c>
      <c r="C10750" s="1">
        <v>2106</v>
      </c>
      <c r="D10750" s="39">
        <f t="shared" si="1064"/>
        <v>324691</v>
      </c>
      <c r="E10750" s="1">
        <v>15</v>
      </c>
      <c r="F10750" s="39">
        <f t="shared" si="1061"/>
        <v>5211</v>
      </c>
      <c r="G10750" s="169">
        <f>SUM(C10750,C10726,C10702,C10678,C10654,C10630,C10606,C10582,C10558,C10534,C10510,C10486,C10462,C10438)/POBLA!$B$21*100000</f>
        <v>970.81283943244273</v>
      </c>
      <c r="H10750" s="258">
        <f t="shared" si="1066"/>
        <v>1.4210853098224265</v>
      </c>
      <c r="I10750" s="310">
        <f t="shared" si="1062"/>
        <v>1379.6078647044426</v>
      </c>
      <c r="J10750" s="552">
        <f t="shared" si="1063"/>
        <v>2866.5714285714284</v>
      </c>
      <c r="K10750" s="310">
        <f>J10750/POBLA!$B$21*100000</f>
        <v>81.05861435416935</v>
      </c>
      <c r="L10750" s="202">
        <f t="shared" si="1065"/>
        <v>0.40656105425487166</v>
      </c>
      <c r="M10750" s="512">
        <f>SUM(C10750,C10726,C10702,C10678,C10654,C10630,C10606)/POBLA!$B$21*100000</f>
        <v>567.41030047918537</v>
      </c>
    </row>
    <row r="10751" spans="1:13" x14ac:dyDescent="0.25">
      <c r="A10751" s="402" t="s">
        <v>38</v>
      </c>
      <c r="B10751" s="269">
        <v>44340</v>
      </c>
      <c r="C10751" s="1">
        <v>645</v>
      </c>
      <c r="D10751" s="39">
        <f t="shared" si="1064"/>
        <v>40110</v>
      </c>
      <c r="E10751" s="1">
        <v>11</v>
      </c>
      <c r="F10751" s="39">
        <f t="shared" si="1061"/>
        <v>453</v>
      </c>
      <c r="G10751" s="169">
        <f>SUM(C10751,C10727,C10703,C10679,C10655,C10631,C10607,C10583,C10559,C10535,C10511,C10487,C10463,C10439)/POBLA!$B$22*100000</f>
        <v>724.00141876883981</v>
      </c>
      <c r="H10751" s="258">
        <f t="shared" si="1066"/>
        <v>2.2694649150913171</v>
      </c>
      <c r="I10751" s="310">
        <f t="shared" si="1062"/>
        <v>1643.0958183722182</v>
      </c>
      <c r="J10751" s="552">
        <f t="shared" si="1063"/>
        <v>622.14285714285711</v>
      </c>
      <c r="K10751" s="310">
        <f>J10751/POBLA!$B$22*100000</f>
        <v>63.593436573249775</v>
      </c>
      <c r="L10751" s="202">
        <f t="shared" si="1065"/>
        <v>0.59640762463343111</v>
      </c>
      <c r="M10751" s="512">
        <f>SUM(C10751,C10727,C10703,C10679,C10655,C10631,C10607)/POBLA!$B$22*100000</f>
        <v>445.15405601274847</v>
      </c>
    </row>
    <row r="10752" spans="1:13" x14ac:dyDescent="0.25">
      <c r="A10752" s="402" t="s">
        <v>39</v>
      </c>
      <c r="B10752" s="269">
        <v>44340</v>
      </c>
      <c r="C10752" s="1">
        <v>14</v>
      </c>
      <c r="D10752" s="39">
        <f t="shared" si="1064"/>
        <v>28066</v>
      </c>
      <c r="E10752" s="1">
        <v>1</v>
      </c>
      <c r="F10752" s="39">
        <f t="shared" si="1061"/>
        <v>409</v>
      </c>
      <c r="G10752" s="169">
        <f>SUM(C10752,C10728,C10704,C10680,C10656,C10632,C10608,C10584,C10560,C10536,C10512,C10488,C10464,C10440)/POBLA!$B$23*100000</f>
        <v>570.60453542950859</v>
      </c>
      <c r="H10752" s="258">
        <f t="shared" si="1066"/>
        <v>1.0543364681295715</v>
      </c>
      <c r="I10752" s="310">
        <f t="shared" si="1062"/>
        <v>601.60917058346308</v>
      </c>
      <c r="J10752" s="552">
        <f t="shared" si="1063"/>
        <v>69.714285714285708</v>
      </c>
      <c r="K10752" s="310">
        <f>J10752/POBLA!$B$23*100000</f>
        <v>39.424467406144721</v>
      </c>
      <c r="L10752" s="202">
        <f t="shared" si="1065"/>
        <v>-6.3339731285988465E-2</v>
      </c>
      <c r="M10752" s="512">
        <f>SUM(C10752,C10728,C10704,C10680,C10656,C10632,C10608)/POBLA!$B$23*100000</f>
        <v>275.97127184301308</v>
      </c>
    </row>
    <row r="10753" spans="1:13" ht="15.75" thickBot="1" x14ac:dyDescent="0.3">
      <c r="A10753" s="404" t="s">
        <v>40</v>
      </c>
      <c r="B10753" s="269">
        <v>44340</v>
      </c>
      <c r="C10753" s="1">
        <v>588</v>
      </c>
      <c r="D10753" s="177">
        <f t="shared" si="1064"/>
        <v>121863</v>
      </c>
      <c r="F10753" s="177">
        <f t="shared" si="1061"/>
        <v>1817</v>
      </c>
      <c r="G10753" s="178">
        <f>SUM(C10753,C10729,C10705,C10681,C10657,C10633,C10609,C10585,C10561,C10537,C10513,C10489,C10465,C10441)/POBLA!$B$24*100000</f>
        <v>638.41865251708907</v>
      </c>
      <c r="H10753" s="513">
        <f t="shared" si="1066"/>
        <v>1.4148031907937753</v>
      </c>
      <c r="I10753" s="514">
        <f t="shared" si="1062"/>
        <v>903.23674664344003</v>
      </c>
      <c r="J10753" s="553">
        <f t="shared" si="1063"/>
        <v>862.85714285714289</v>
      </c>
      <c r="K10753" s="514">
        <f>J10753/POBLA!$B$24*100000</f>
        <v>50.916359594935074</v>
      </c>
      <c r="L10753" s="515">
        <f t="shared" si="1065"/>
        <v>0.2638627327892864</v>
      </c>
      <c r="M10753" s="516">
        <f>SUM(C10753,C10729,C10705,C10681,C10657,C10633,C10609)/POBLA!$B$24*100000</f>
        <v>356.41451716454549</v>
      </c>
    </row>
    <row r="10754" spans="1:13" x14ac:dyDescent="0.25">
      <c r="A10754" s="397" t="s">
        <v>16</v>
      </c>
      <c r="B10754" s="269">
        <v>44341</v>
      </c>
      <c r="C10754" s="1">
        <v>8612</v>
      </c>
      <c r="D10754" s="175">
        <f t="shared" si="1064"/>
        <v>1539612</v>
      </c>
      <c r="E10754" s="1">
        <v>378</v>
      </c>
      <c r="F10754" s="175">
        <f t="shared" ref="F10754:F10777" si="1067">E10754+F10730</f>
        <v>38968</v>
      </c>
      <c r="G10754" s="176">
        <f>SUM(C10754,C10730,C10706,C10682,C10658,C10634,C10610,C10586,C10562,C10538,C10514,C10490,C10466,C10442)/POBLA!$B$1*100000</f>
        <v>834.23877614346759</v>
      </c>
      <c r="H10754" s="313">
        <f t="shared" si="1066"/>
        <v>1.1513012965760323</v>
      </c>
      <c r="I10754" s="314">
        <f>G10754*H10754</f>
        <v>960.46018462797656</v>
      </c>
      <c r="J10754" s="551">
        <f>AVERAGE(C10754,C10730,C10706,C10682,C10658,C10634,C10610)</f>
        <v>10948.857142857143</v>
      </c>
      <c r="K10754" s="314">
        <f>J10754/POBLA!$B$1*100000</f>
        <v>62.418158219337862</v>
      </c>
      <c r="L10754" s="510">
        <f t="shared" si="1065"/>
        <v>9.9708722540283734E-2</v>
      </c>
      <c r="M10754" s="511">
        <f>SUM(C10754,C10730,C10706,C10682,C10658,C10634,C10610)/POBLA!$B$1*100000</f>
        <v>436.92710753536494</v>
      </c>
    </row>
    <row r="10755" spans="1:13" x14ac:dyDescent="0.25">
      <c r="A10755" s="402" t="s">
        <v>43</v>
      </c>
      <c r="B10755" s="269">
        <v>44341</v>
      </c>
      <c r="C10755" s="1">
        <v>2290</v>
      </c>
      <c r="D10755" s="39">
        <f t="shared" si="1064"/>
        <v>402284</v>
      </c>
      <c r="E10755" s="1">
        <v>28</v>
      </c>
      <c r="F10755" s="39">
        <f t="shared" si="1067"/>
        <v>8876</v>
      </c>
      <c r="G10755" s="169">
        <f>SUM(C10755,C10731,C10707,C10683,C10659,C10635,C10611,C10587,C10563,C10539,C10515,C10491,C10467,C10443)/POBLA!$B$2*100000</f>
        <v>1168.1123250204996</v>
      </c>
      <c r="H10755" s="258">
        <f t="shared" si="1066"/>
        <v>1.0947012401352876</v>
      </c>
      <c r="I10755" s="310">
        <f t="shared" ref="I10755:I10777" si="1068">G10755*H10755</f>
        <v>1278.734010817255</v>
      </c>
      <c r="J10755" s="552">
        <f t="shared" ref="J10755:J10777" si="1069">AVERAGE(C10755,C10731,C10707,C10683,C10659,C10635,C10611)</f>
        <v>2609.2857142857142</v>
      </c>
      <c r="K10755" s="310">
        <f>J10755/POBLA!$B$2*100000</f>
        <v>84.836997310019242</v>
      </c>
      <c r="L10755" s="202">
        <f t="shared" si="1065"/>
        <v>3.4141093873853556E-2</v>
      </c>
      <c r="M10755" s="512">
        <f>SUM(C10755,C10731,C10707,C10683,C10659,C10635,C10611)/POBLA!$B$2*100000</f>
        <v>593.85898117013471</v>
      </c>
    </row>
    <row r="10756" spans="1:13" x14ac:dyDescent="0.25">
      <c r="A10756" s="402" t="s">
        <v>28</v>
      </c>
      <c r="B10756" s="269">
        <v>44341</v>
      </c>
      <c r="C10756" s="1">
        <v>505</v>
      </c>
      <c r="D10756" s="39">
        <f t="shared" si="1064"/>
        <v>21308</v>
      </c>
      <c r="F10756" s="39">
        <f t="shared" si="1067"/>
        <v>146</v>
      </c>
      <c r="G10756" s="169">
        <f>SUM(C10756,C10732,C10708,C10684,C10660,C10636,C10612,C10588,C10564,C10540,C10516,C10492,C10468,C10444)/POBLA!$B$3*100000</f>
        <v>1156.369903571652</v>
      </c>
      <c r="H10756" s="258">
        <f t="shared" si="1066"/>
        <v>2.3320388349514563</v>
      </c>
      <c r="I10756" s="310">
        <f t="shared" si="1068"/>
        <v>2696.699522698163</v>
      </c>
      <c r="J10756" s="552">
        <f t="shared" si="1069"/>
        <v>382.28571428571428</v>
      </c>
      <c r="K10756" s="310">
        <f>J10756/POBLA!$B$3*100000</f>
        <v>92.019919767983254</v>
      </c>
      <c r="L10756" s="202">
        <f t="shared" si="1065"/>
        <v>0.25751879699248126</v>
      </c>
      <c r="M10756" s="512">
        <f>SUM(C10756,C10732,C10708,C10684,C10660,C10636,C10612)/POBLA!$B$3*100000</f>
        <v>644.13943837588283</v>
      </c>
    </row>
    <row r="10757" spans="1:13" x14ac:dyDescent="0.25">
      <c r="A10757" s="402" t="s">
        <v>15</v>
      </c>
      <c r="B10757" s="269">
        <v>44341</v>
      </c>
      <c r="C10757" s="1">
        <v>632</v>
      </c>
      <c r="D10757" s="39">
        <f t="shared" si="1064"/>
        <v>54496</v>
      </c>
      <c r="E10757" s="1">
        <v>11</v>
      </c>
      <c r="F10757" s="39">
        <f t="shared" si="1067"/>
        <v>1173</v>
      </c>
      <c r="G10757" s="169">
        <f>SUM(C10757,C10733,C10709,C10685,C10661,C10637,C10613,C10589,C10565,C10541,C10517,C10493,C10469,C10445)/POBLA!$B$4*100000</f>
        <v>585.6172600185464</v>
      </c>
      <c r="H10757" s="258">
        <f t="shared" si="1066"/>
        <v>2.0131278538812785</v>
      </c>
      <c r="I10757" s="310">
        <f t="shared" si="1068"/>
        <v>1178.9224178569709</v>
      </c>
      <c r="J10757" s="552">
        <f t="shared" si="1069"/>
        <v>604.57142857142856</v>
      </c>
      <c r="K10757" s="310">
        <f>J10757/POBLA!$B$4*100000</f>
        <v>50.191021191593187</v>
      </c>
      <c r="L10757" s="202">
        <f t="shared" si="1065"/>
        <v>0.49964564138908574</v>
      </c>
      <c r="M10757" s="512">
        <f>SUM(C10757,C10733,C10709,C10685,C10661,C10637,C10613)/POBLA!$B$4*100000</f>
        <v>351.33714834115233</v>
      </c>
    </row>
    <row r="10758" spans="1:13" x14ac:dyDescent="0.25">
      <c r="A10758" s="402" t="s">
        <v>29</v>
      </c>
      <c r="B10758" s="269">
        <v>44341</v>
      </c>
      <c r="C10758" s="1">
        <v>232</v>
      </c>
      <c r="D10758" s="39">
        <f t="shared" si="1064"/>
        <v>60495</v>
      </c>
      <c r="E10758" s="1">
        <v>1</v>
      </c>
      <c r="F10758" s="39">
        <f t="shared" si="1067"/>
        <v>1006</v>
      </c>
      <c r="G10758" s="169">
        <f>SUM(C10758,C10734,C10710,C10686,C10662,C10638,C10614,C10590,C10566,C10542,C10518,C10494,C10470,C10446)/POBLA!$B$5*100000</f>
        <v>589.02024898464276</v>
      </c>
      <c r="H10758" s="258">
        <f t="shared" si="1066"/>
        <v>1.421996879875195</v>
      </c>
      <c r="I10758" s="310">
        <f t="shared" si="1068"/>
        <v>837.58495623947249</v>
      </c>
      <c r="J10758" s="552">
        <f t="shared" si="1069"/>
        <v>291.57142857142856</v>
      </c>
      <c r="K10758" s="310">
        <f>J10758/POBLA!$B$5*100000</f>
        <v>47.10407993800078</v>
      </c>
      <c r="L10758" s="202">
        <f t="shared" si="1065"/>
        <v>0.2716510903426792</v>
      </c>
      <c r="M10758" s="512">
        <f>SUM(C10758,C10734,C10710,C10686,C10662,C10638,C10614)/POBLA!$B$5*100000</f>
        <v>329.72855956600546</v>
      </c>
    </row>
    <row r="10759" spans="1:13" x14ac:dyDescent="0.25">
      <c r="A10759" s="402" t="s">
        <v>30</v>
      </c>
      <c r="B10759" s="269">
        <v>44341</v>
      </c>
      <c r="C10759" s="1">
        <v>24</v>
      </c>
      <c r="D10759" s="39">
        <f t="shared" si="1064"/>
        <v>47841</v>
      </c>
      <c r="E10759" s="1">
        <v>9</v>
      </c>
      <c r="F10759" s="39">
        <f t="shared" si="1067"/>
        <v>599</v>
      </c>
      <c r="G10759" s="169">
        <f>SUM(C10759,C10735,C10711,C10687,C10663,C10639,C10615,C10591,C10567,C10543,C10519,C10495,C10471,C10447)/POBLA!$B$6*100000</f>
        <v>751.15921559670278</v>
      </c>
      <c r="H10759" s="258">
        <f t="shared" si="1066"/>
        <v>3.2758754863813229</v>
      </c>
      <c r="I10759" s="310">
        <f t="shared" si="1068"/>
        <v>2460.7040607426616</v>
      </c>
      <c r="J10759" s="552">
        <f t="shared" si="1069"/>
        <v>994.57142857142856</v>
      </c>
      <c r="K10759" s="310">
        <f>J10759/POBLA!$B$6*100000</f>
        <v>88.737557208766631</v>
      </c>
      <c r="L10759" s="202">
        <f t="shared" si="1065"/>
        <v>3.7783115991763898</v>
      </c>
      <c r="M10759" s="512">
        <f>SUM(C10759,C10735,C10711,C10687,C10663,C10639,C10615)/POBLA!$B$6*100000</f>
        <v>621.16290046136646</v>
      </c>
    </row>
    <row r="10760" spans="1:13" x14ac:dyDescent="0.25">
      <c r="A10760" s="402" t="s">
        <v>20</v>
      </c>
      <c r="B10760" s="269">
        <v>44341</v>
      </c>
      <c r="C10760" s="1">
        <v>3424</v>
      </c>
      <c r="D10760" s="39">
        <f t="shared" si="1064"/>
        <v>287373</v>
      </c>
      <c r="E10760" s="1">
        <v>13</v>
      </c>
      <c r="F10760" s="39">
        <f t="shared" si="1067"/>
        <v>3747</v>
      </c>
      <c r="G10760" s="169">
        <f>SUM(C10760,C10736,C10712,C10688,C10664,C10640,C10616,C10592,C10568,C10544,C10520,C10496,C10472,C10448)/POBLA!$B$7*100000</f>
        <v>1139.3051363533618</v>
      </c>
      <c r="H10760" s="258">
        <f t="shared" si="1066"/>
        <v>1.8696487017237617</v>
      </c>
      <c r="I10760" s="310">
        <f t="shared" si="1068"/>
        <v>2130.1003690502762</v>
      </c>
      <c r="J10760" s="552">
        <f t="shared" si="1069"/>
        <v>3415.7142857142858</v>
      </c>
      <c r="K10760" s="310">
        <f>J10760/POBLA!$B$7*100000</f>
        <v>90.832594123423675</v>
      </c>
      <c r="L10760" s="202">
        <f t="shared" si="1065"/>
        <v>0.26287434637933771</v>
      </c>
      <c r="M10760" s="512">
        <f>SUM(C10760,C10736,C10712,C10688,C10664,C10640,C10616)/POBLA!$B$7*100000</f>
        <v>635.82815886396577</v>
      </c>
    </row>
    <row r="10761" spans="1:13" x14ac:dyDescent="0.25">
      <c r="A10761" s="402" t="s">
        <v>31</v>
      </c>
      <c r="B10761" s="269">
        <v>44341</v>
      </c>
      <c r="C10761" s="1">
        <v>689</v>
      </c>
      <c r="D10761" s="39">
        <f t="shared" si="1064"/>
        <v>79493</v>
      </c>
      <c r="E10761" s="1">
        <v>13</v>
      </c>
      <c r="F10761" s="39">
        <f t="shared" si="1067"/>
        <v>1251</v>
      </c>
      <c r="G10761" s="169">
        <f>SUM(C10761,C10737,C10713,C10689,C10665,C10641,C10617,C10593,C10569,C10545,C10521,C10497,C10473,C10449)/POBLA!$B$8*100000</f>
        <v>788.62247927611236</v>
      </c>
      <c r="H10761" s="258">
        <f t="shared" si="1066"/>
        <v>1.441191983122363</v>
      </c>
      <c r="I10761" s="310">
        <f t="shared" si="1068"/>
        <v>1136.5563948428151</v>
      </c>
      <c r="J10761" s="552">
        <f t="shared" si="1069"/>
        <v>860.71428571428567</v>
      </c>
      <c r="K10761" s="310">
        <f>J10761/POBLA!$B$8*100000</f>
        <v>62.102345283473753</v>
      </c>
      <c r="L10761" s="202">
        <f t="shared" si="1065"/>
        <v>0.22833843017329247</v>
      </c>
      <c r="M10761" s="512">
        <f>SUM(C10761,C10737,C10713,C10689,C10665,C10641,C10617)/POBLA!$B$8*100000</f>
        <v>434.71641698431625</v>
      </c>
    </row>
    <row r="10762" spans="1:13" x14ac:dyDescent="0.25">
      <c r="A10762" s="402" t="s">
        <v>41</v>
      </c>
      <c r="B10762" s="269">
        <v>44341</v>
      </c>
      <c r="C10762" s="1">
        <v>771</v>
      </c>
      <c r="D10762" s="39">
        <f t="shared" si="1064"/>
        <v>24697</v>
      </c>
      <c r="E10762" s="1">
        <v>12</v>
      </c>
      <c r="F10762" s="39">
        <f t="shared" si="1067"/>
        <v>376</v>
      </c>
      <c r="G10762" s="169">
        <f>SUM(C10762,C10738,C10714,C10690,C10666,C10642,C10618,C10594,C10570,C10546,C10522,C10498,C10474,C10450)/POBLA!$B$9*100000</f>
        <v>3019.5326119105807</v>
      </c>
      <c r="H10762" s="258">
        <f t="shared" si="1066"/>
        <v>9.055500495540139</v>
      </c>
      <c r="I10762" s="310">
        <f t="shared" si="1068"/>
        <v>27343.379063455875</v>
      </c>
      <c r="J10762" s="552">
        <f t="shared" si="1069"/>
        <v>1510.4285714285713</v>
      </c>
      <c r="K10762" s="310">
        <f>J10762/POBLA!$B$9*100000</f>
        <v>249.57799766827628</v>
      </c>
      <c r="L10762" s="202">
        <f>(SUM(C10762,C10738,C10714,C10690,C10666,C10642,C10618)/SUM(C10594,C10570,C10546,C10522,C10498,C10474,C10450))-1</f>
        <v>0.37293857940527197</v>
      </c>
      <c r="M10762" s="512">
        <f>SUM(C10762,C10738,C10714,C10690,C10666,C10642,C10618)/POBLA!$B$9*100000</f>
        <v>1747.0459836779341</v>
      </c>
    </row>
    <row r="10763" spans="1:13" x14ac:dyDescent="0.25">
      <c r="A10763" s="402" t="s">
        <v>32</v>
      </c>
      <c r="B10763" s="269">
        <v>44341</v>
      </c>
      <c r="C10763" s="1">
        <v>124</v>
      </c>
      <c r="D10763" s="39">
        <f t="shared" si="1064"/>
        <v>27368</v>
      </c>
      <c r="E10763" s="1">
        <v>2</v>
      </c>
      <c r="F10763" s="39">
        <f t="shared" si="1067"/>
        <v>1088</v>
      </c>
      <c r="G10763" s="169">
        <f>SUM(C10763,C10739,C10715,C10691,C10667,C10643,C10619,C10595,C10571,C10547,C10523,C10499,C10475,C10451)/POBLA!$B$10*100000</f>
        <v>202.7550296349242</v>
      </c>
      <c r="H10763" s="258">
        <f t="shared" si="1066"/>
        <v>1.249400479616307</v>
      </c>
      <c r="I10763" s="310">
        <f t="shared" si="1068"/>
        <v>253.32223127049284</v>
      </c>
      <c r="J10763" s="552">
        <f t="shared" si="1069"/>
        <v>129.14285714285714</v>
      </c>
      <c r="K10763" s="310">
        <f>J10763/POBLA!$B$10*100000</f>
        <v>16.75263200712654</v>
      </c>
      <c r="L10763" s="202">
        <f t="shared" ref="L10763:L10785" si="1070">(SUM(C10763,C10739,C10715,C10691,C10667,C10643,C10619)/SUM(C10595,C10571,C10547,C10523,C10499,C10475,C10451))-1</f>
        <v>0.37177541729893782</v>
      </c>
      <c r="M10763" s="512">
        <f>SUM(C10763,C10739,C10715,C10691,C10667,C10643,C10619)/POBLA!$B$10*100000</f>
        <v>117.26842404988578</v>
      </c>
    </row>
    <row r="10764" spans="1:13" x14ac:dyDescent="0.25">
      <c r="A10764" s="402" t="s">
        <v>33</v>
      </c>
      <c r="B10764" s="269">
        <v>44341</v>
      </c>
      <c r="C10764" s="1">
        <v>461</v>
      </c>
      <c r="D10764" s="39">
        <f t="shared" si="1064"/>
        <v>39600</v>
      </c>
      <c r="E10764" s="1">
        <v>1</v>
      </c>
      <c r="F10764" s="39">
        <f t="shared" si="1067"/>
        <v>501</v>
      </c>
      <c r="G10764" s="169">
        <f>SUM(C10764,C10740,C10716,C10692,C10668,C10644,C10620,C10596,C10572,C10548,C10524,C10500,C10476,C10452)/POBLA!$B$11*100000</f>
        <v>2428.381711250237</v>
      </c>
      <c r="H10764" s="258">
        <f t="shared" si="1066"/>
        <v>1.8827601124810729</v>
      </c>
      <c r="I10764" s="310">
        <f t="shared" si="1068"/>
        <v>4572.0602238204765</v>
      </c>
      <c r="J10764" s="552">
        <f t="shared" si="1069"/>
        <v>671.42857142857144</v>
      </c>
      <c r="K10764" s="310">
        <f>J10764/POBLA!$B$11*100000</f>
        <v>187.32592638649086</v>
      </c>
      <c r="L10764" s="202">
        <f t="shared" si="1070"/>
        <v>0.17382617382617394</v>
      </c>
      <c r="M10764" s="512">
        <f>SUM(C10764,C10740,C10716,C10692,C10668,C10644,C10620)/POBLA!$B$11*100000</f>
        <v>1311.281484705436</v>
      </c>
    </row>
    <row r="10765" spans="1:13" x14ac:dyDescent="0.25">
      <c r="A10765" s="402" t="s">
        <v>21</v>
      </c>
      <c r="B10765" s="269">
        <v>44341</v>
      </c>
      <c r="C10765" s="1">
        <v>192</v>
      </c>
      <c r="D10765" s="39">
        <f t="shared" si="1064"/>
        <v>16486</v>
      </c>
      <c r="F10765" s="39">
        <f t="shared" si="1067"/>
        <v>525</v>
      </c>
      <c r="G10765" s="169">
        <f>SUM(C10765,C10741,C10717,C10693,C10669,C10645,C10621,C10597,C10573,C10549,C10525,C10501,C10477,C10453)/POBLA!$B$12*100000</f>
        <v>532.10547580749676</v>
      </c>
      <c r="H10765" s="258">
        <f t="shared" si="1066"/>
        <v>1.740648379052369</v>
      </c>
      <c r="I10765" s="310">
        <f t="shared" si="1068"/>
        <v>926.2085339492088</v>
      </c>
      <c r="J10765" s="552">
        <f t="shared" si="1069"/>
        <v>156.28571428571428</v>
      </c>
      <c r="K10765" s="310">
        <f>J10765/POBLA!$B$12*100000</f>
        <v>39.713698358125356</v>
      </c>
      <c r="L10765" s="202">
        <f t="shared" si="1070"/>
        <v>9.4000000000000083E-2</v>
      </c>
      <c r="M10765" s="512">
        <f>SUM(C10765,C10741,C10717,C10693,C10669,C10645,C10621)/POBLA!$B$12*100000</f>
        <v>277.99588850687746</v>
      </c>
    </row>
    <row r="10766" spans="1:13" x14ac:dyDescent="0.25">
      <c r="A10766" s="402" t="s">
        <v>17</v>
      </c>
      <c r="B10766" s="269">
        <v>44341</v>
      </c>
      <c r="C10766" s="1">
        <v>428</v>
      </c>
      <c r="D10766" s="39">
        <f t="shared" si="1064"/>
        <v>115631</v>
      </c>
      <c r="E10766" s="1">
        <v>25</v>
      </c>
      <c r="F10766" s="39">
        <f t="shared" si="1067"/>
        <v>2418</v>
      </c>
      <c r="G10766" s="169">
        <f>SUM(C10766,C10742,C10718,C10694,C10670,C10646,C10622,C10598,C10574,C10550,C10526,C10502,C10478,C10454)/POBLA!$B$13*100000</f>
        <v>559.20150245837647</v>
      </c>
      <c r="H10766" s="258">
        <f t="shared" si="1066"/>
        <v>1.0608082348455967</v>
      </c>
      <c r="I10766" s="310">
        <f t="shared" si="1068"/>
        <v>593.20555874587592</v>
      </c>
      <c r="J10766" s="552">
        <f t="shared" si="1069"/>
        <v>757.28571428571433</v>
      </c>
      <c r="K10766" s="310">
        <f>J10766/POBLA!$B$13*100000</f>
        <v>38.048096066382406</v>
      </c>
      <c r="L10766" s="202">
        <f t="shared" si="1070"/>
        <v>-9.0581574884199711E-2</v>
      </c>
      <c r="M10766" s="512">
        <f>SUM(C10766,C10742,C10718,C10694,C10670,C10646,C10622)/POBLA!$B$13*100000</f>
        <v>266.33667246467689</v>
      </c>
    </row>
    <row r="10767" spans="1:13" x14ac:dyDescent="0.25">
      <c r="A10767" s="402" t="s">
        <v>23</v>
      </c>
      <c r="B10767" s="269">
        <v>44341</v>
      </c>
      <c r="C10767" s="1">
        <v>218</v>
      </c>
      <c r="D10767" s="39">
        <f t="shared" si="1064"/>
        <v>19340</v>
      </c>
      <c r="F10767" s="39">
        <f t="shared" si="1067"/>
        <v>268</v>
      </c>
      <c r="G10767" s="169">
        <f>SUM(C10767,C10743,C10719,C10695,C10671,C10647,C10623,C10599,C10575,C10551,C10527,C10503,C10479,C10455)/POBLA!$B$14*100000</f>
        <v>169.82559181285251</v>
      </c>
      <c r="H10767" s="258">
        <f t="shared" si="1066"/>
        <v>1.1202928870292888</v>
      </c>
      <c r="I10767" s="310">
        <f t="shared" si="1068"/>
        <v>190.25440254347808</v>
      </c>
      <c r="J10767" s="552">
        <f t="shared" si="1069"/>
        <v>163</v>
      </c>
      <c r="K10767" s="310">
        <f>J10767/POBLA!$B$14*100000</f>
        <v>12.923235978288965</v>
      </c>
      <c r="L10767" s="202">
        <f t="shared" si="1070"/>
        <v>0.13986013986013979</v>
      </c>
      <c r="M10767" s="512">
        <f>SUM(C10767,C10743,C10719,C10695,C10671,C10647,C10623)/POBLA!$B$14*100000</f>
        <v>90.462651848022745</v>
      </c>
    </row>
    <row r="10768" spans="1:13" x14ac:dyDescent="0.25">
      <c r="A10768" s="402" t="s">
        <v>19</v>
      </c>
      <c r="B10768" s="269">
        <v>44341</v>
      </c>
      <c r="C10768" s="1">
        <v>940</v>
      </c>
      <c r="D10768" s="39">
        <f t="shared" si="1064"/>
        <v>85438</v>
      </c>
      <c r="E10768" s="1">
        <v>20</v>
      </c>
      <c r="F10768" s="39">
        <f t="shared" si="1067"/>
        <v>1268</v>
      </c>
      <c r="G10768" s="169">
        <f>SUM(C10768,C10744,C10720,C10696,C10672,C10648,C10624,C10600,C10576,C10552,C10528,C10504,C10480,C10456)/POBLA!$B$15*100000</f>
        <v>1439.3342740156343</v>
      </c>
      <c r="H10768" s="258">
        <f t="shared" si="1066"/>
        <v>1.6431150077359464</v>
      </c>
      <c r="I10768" s="310">
        <f t="shared" si="1068"/>
        <v>2364.9917467838118</v>
      </c>
      <c r="J10768" s="552">
        <f t="shared" si="1069"/>
        <v>791.28571428571433</v>
      </c>
      <c r="K10768" s="310">
        <f>J10768/POBLA!$B$15*100000</f>
        <v>119.15930624716165</v>
      </c>
      <c r="L10768" s="202">
        <f t="shared" si="1070"/>
        <v>0.37820353321721822</v>
      </c>
      <c r="M10768" s="512">
        <f>SUM(C10768,C10744,C10720,C10696,C10672,C10648,C10624)/POBLA!$B$15*100000</f>
        <v>834.11514373013165</v>
      </c>
    </row>
    <row r="10769" spans="1:13" x14ac:dyDescent="0.25">
      <c r="A10769" s="402" t="s">
        <v>18</v>
      </c>
      <c r="B10769" s="269">
        <v>44341</v>
      </c>
      <c r="C10769" s="1">
        <v>485</v>
      </c>
      <c r="D10769" s="39">
        <f t="shared" si="1064"/>
        <v>71004</v>
      </c>
      <c r="F10769" s="39">
        <f t="shared" si="1067"/>
        <v>1519</v>
      </c>
      <c r="G10769" s="169">
        <f>SUM(C10769,C10745,C10721,C10697,C10673,C10649,C10625,C10601,C10577,C10553,C10529,C10505,C10481,C10457)/POBLA!$B$16*100000</f>
        <v>849.5070959457471</v>
      </c>
      <c r="H10769" s="258">
        <f t="shared" si="1066"/>
        <v>1.5288878189696677</v>
      </c>
      <c r="I10769" s="310">
        <f t="shared" si="1068"/>
        <v>1298.8010511197494</v>
      </c>
      <c r="J10769" s="552">
        <f t="shared" si="1069"/>
        <v>514.57142857142856</v>
      </c>
      <c r="K10769" s="310">
        <f>J10769/POBLA!$B$16*100000</f>
        <v>68.828858438414215</v>
      </c>
      <c r="L10769" s="202">
        <f t="shared" si="1070"/>
        <v>0.3102946526009458</v>
      </c>
      <c r="M10769" s="512">
        <f>SUM(C10769,C10745,C10721,C10697,C10673,C10649,C10625)/POBLA!$B$16*100000</f>
        <v>481.80200906889957</v>
      </c>
    </row>
    <row r="10770" spans="1:13" x14ac:dyDescent="0.25">
      <c r="A10770" s="402" t="s">
        <v>34</v>
      </c>
      <c r="B10770" s="269">
        <v>44341</v>
      </c>
      <c r="C10770" s="1">
        <v>430</v>
      </c>
      <c r="D10770" s="39">
        <f t="shared" si="1064"/>
        <v>42535</v>
      </c>
      <c r="E10770" s="1">
        <v>5</v>
      </c>
      <c r="F10770" s="39">
        <f t="shared" si="1067"/>
        <v>1355</v>
      </c>
      <c r="G10770" s="169">
        <f>SUM(C10770,C10746,C10722,C10698,C10674,C10650,C10626,C10602,C10578,C10554,C10530,C10506,C10482,C10458)/POBLA!$B$17*100000</f>
        <v>384.44338200656136</v>
      </c>
      <c r="H10770" s="258">
        <f t="shared" ref="H10770:H10793" si="1071">SUM(C10770,C10746,C10722,C10698,C10674,C10650,C10626,C10602,C10578,C10554,C10530,C10506,C10482,C10458)/SUM(C10434,C10410,C10386,C10362,C10338,C10314,C10290,C10266,C10242,C10218,C10194,C10170,C10146,C10122)</f>
        <v>1.8156498673740054</v>
      </c>
      <c r="I10770" s="310">
        <f t="shared" si="1068"/>
        <v>698.01457555302727</v>
      </c>
      <c r="J10770" s="552">
        <f t="shared" si="1069"/>
        <v>473</v>
      </c>
      <c r="K10770" s="310">
        <f>J10770/POBLA!$B$17*100000</f>
        <v>33.207034274854557</v>
      </c>
      <c r="L10770" s="202">
        <f t="shared" si="1070"/>
        <v>0.52933025404157052</v>
      </c>
      <c r="M10770" s="512">
        <f>SUM(C10770,C10746,C10722,C10698,C10674,C10650,C10626)/POBLA!$B$17*100000</f>
        <v>232.44923992398188</v>
      </c>
    </row>
    <row r="10771" spans="1:13" x14ac:dyDescent="0.25">
      <c r="A10771" s="402" t="s">
        <v>35</v>
      </c>
      <c r="B10771" s="269">
        <v>44341</v>
      </c>
      <c r="C10771" s="1">
        <v>222</v>
      </c>
      <c r="D10771" s="39">
        <f t="shared" si="1064"/>
        <v>33611</v>
      </c>
      <c r="F10771" s="39">
        <f t="shared" si="1067"/>
        <v>592</v>
      </c>
      <c r="G10771" s="169">
        <f>SUM(C10771,C10747,C10723,C10699,C10675,C10651,C10627,C10603,C10579,C10555,C10531,C10507,C10483,C10459)/POBLA!$B$18*100000</f>
        <v>845.47571289411269</v>
      </c>
      <c r="H10771" s="258">
        <f t="shared" si="1071"/>
        <v>1.5264617517910792</v>
      </c>
      <c r="I10771" s="310">
        <f t="shared" si="1068"/>
        <v>1290.5863378011588</v>
      </c>
      <c r="J10771" s="552">
        <f t="shared" si="1069"/>
        <v>441.28571428571428</v>
      </c>
      <c r="K10771" s="310">
        <f>J10771/POBLA!$B$18*100000</f>
        <v>56.486957437653601</v>
      </c>
      <c r="L10771" s="202">
        <f t="shared" si="1070"/>
        <v>-0.12144482366325371</v>
      </c>
      <c r="M10771" s="512">
        <f>SUM(C10771,C10747,C10723,C10699,C10675,C10651,C10627)/POBLA!$B$18*100000</f>
        <v>395.40870206357522</v>
      </c>
    </row>
    <row r="10772" spans="1:13" x14ac:dyDescent="0.25">
      <c r="A10772" s="402" t="s">
        <v>36</v>
      </c>
      <c r="B10772" s="269">
        <v>44341</v>
      </c>
      <c r="C10772" s="1">
        <v>484</v>
      </c>
      <c r="D10772" s="39">
        <f t="shared" si="1064"/>
        <v>49806</v>
      </c>
      <c r="E10772" s="1">
        <v>4</v>
      </c>
      <c r="F10772" s="39">
        <f t="shared" si="1067"/>
        <v>659</v>
      </c>
      <c r="G10772" s="169">
        <f>SUM(C10772,C10748,C10724,C10700,C10676,C10652,C10628,C10604,C10580,C10556,C10532,C10508,C10484,C10460)/POBLA!$B$19*100000</f>
        <v>1457.5234887710296</v>
      </c>
      <c r="H10772" s="258">
        <f t="shared" si="1071"/>
        <v>1.1325282788138185</v>
      </c>
      <c r="I10772" s="310">
        <f t="shared" si="1068"/>
        <v>1650.686568068566</v>
      </c>
      <c r="J10772" s="552">
        <f t="shared" si="1069"/>
        <v>632.57142857142856</v>
      </c>
      <c r="K10772" s="310">
        <f>J10772/POBLA!$B$19*100000</f>
        <v>124.44158664709175</v>
      </c>
      <c r="L10772" s="202">
        <f t="shared" si="1070"/>
        <v>0.48540758134854078</v>
      </c>
      <c r="M10772" s="512">
        <f>SUM(C10772,C10748,C10724,C10700,C10676,C10652,C10628)/POBLA!$B$19*100000</f>
        <v>871.09110652964227</v>
      </c>
    </row>
    <row r="10773" spans="1:13" x14ac:dyDescent="0.25">
      <c r="A10773" s="402" t="s">
        <v>37</v>
      </c>
      <c r="B10773" s="269">
        <v>44341</v>
      </c>
      <c r="C10773" s="1">
        <v>146</v>
      </c>
      <c r="D10773" s="39">
        <f t="shared" si="1064"/>
        <v>50296</v>
      </c>
      <c r="E10773" s="1">
        <v>2</v>
      </c>
      <c r="F10773" s="39">
        <f t="shared" si="1067"/>
        <v>768</v>
      </c>
      <c r="G10773" s="169">
        <f>SUM(C10773,C10749,C10725,C10701,C10677,C10653,C10629,C10605,C10581,C10557,C10533,C10509,C10485,C10461)/POBLA!$B$20*100000</f>
        <v>895.82114203523122</v>
      </c>
      <c r="H10773" s="258">
        <f t="shared" si="1071"/>
        <v>1.1037735849056605</v>
      </c>
      <c r="I10773" s="310">
        <f t="shared" si="1068"/>
        <v>988.78371337851001</v>
      </c>
      <c r="J10773" s="552">
        <f t="shared" si="1069"/>
        <v>224.28571428571428</v>
      </c>
      <c r="K10773" s="310">
        <f>J10773/POBLA!$B$20*100000</f>
        <v>61.330856139687462</v>
      </c>
      <c r="L10773" s="202">
        <f t="shared" si="1070"/>
        <v>-7.9718640093786597E-2</v>
      </c>
      <c r="M10773" s="512">
        <f>SUM(C10773,C10749,C10725,C10701,C10677,C10653,C10629)/POBLA!$B$20*100000</f>
        <v>429.3159929778123</v>
      </c>
    </row>
    <row r="10774" spans="1:13" x14ac:dyDescent="0.25">
      <c r="A10774" s="402" t="s">
        <v>22</v>
      </c>
      <c r="B10774" s="269">
        <v>44341</v>
      </c>
      <c r="C10774" s="1">
        <v>2296</v>
      </c>
      <c r="D10774" s="39">
        <f t="shared" si="1064"/>
        <v>326987</v>
      </c>
      <c r="E10774" s="1">
        <v>31</v>
      </c>
      <c r="F10774" s="39">
        <f t="shared" si="1067"/>
        <v>5242</v>
      </c>
      <c r="G10774" s="169">
        <f>SUM(C10774,C10750,C10726,C10702,C10678,C10654,C10630,C10606,C10582,C10558,C10534,C10510,C10486,C10462)/POBLA!$B$21*100000</f>
        <v>973.75366825980416</v>
      </c>
      <c r="H10774" s="258">
        <f t="shared" si="1071"/>
        <v>1.4142675263871207</v>
      </c>
      <c r="I10774" s="310">
        <f t="shared" si="1068"/>
        <v>1377.1481917201781</v>
      </c>
      <c r="J10774" s="552">
        <f t="shared" si="1069"/>
        <v>2722.8571428571427</v>
      </c>
      <c r="K10774" s="310">
        <f>J10774/POBLA!$B$21*100000</f>
        <v>76.994776716359397</v>
      </c>
      <c r="L10774" s="202">
        <f t="shared" si="1070"/>
        <v>0.23959417273673256</v>
      </c>
      <c r="M10774" s="512">
        <f>SUM(C10774,C10750,C10726,C10702,C10678,C10654,C10630)/POBLA!$B$21*100000</f>
        <v>538.96343701451588</v>
      </c>
    </row>
    <row r="10775" spans="1:13" x14ac:dyDescent="0.25">
      <c r="A10775" s="402" t="s">
        <v>38</v>
      </c>
      <c r="B10775" s="269">
        <v>44341</v>
      </c>
      <c r="C10775" s="1">
        <v>419</v>
      </c>
      <c r="D10775" s="39">
        <f t="shared" si="1064"/>
        <v>40529</v>
      </c>
      <c r="E10775" s="1">
        <v>11</v>
      </c>
      <c r="F10775" s="39">
        <f t="shared" si="1067"/>
        <v>464</v>
      </c>
      <c r="G10775" s="169">
        <f>SUM(C10775,C10751,C10727,C10703,C10679,C10655,C10631,C10607,C10583,C10559,C10535,C10511,C10487,C10463)/POBLA!$B$22*100000</f>
        <v>743.52482283277436</v>
      </c>
      <c r="H10775" s="258">
        <f t="shared" si="1071"/>
        <v>2.2541059807871089</v>
      </c>
      <c r="I10775" s="310">
        <f t="shared" si="1068"/>
        <v>1675.9837500110323</v>
      </c>
      <c r="J10775" s="552">
        <f t="shared" si="1069"/>
        <v>618.57142857142856</v>
      </c>
      <c r="K10775" s="310">
        <f>J10775/POBLA!$B$22*100000</f>
        <v>63.228376661807474</v>
      </c>
      <c r="L10775" s="202">
        <f t="shared" si="1070"/>
        <v>0.47078804347826098</v>
      </c>
      <c r="M10775" s="512">
        <f>SUM(C10775,C10751,C10727,C10703,C10679,C10655,C10631)/POBLA!$B$22*100000</f>
        <v>442.59863663265236</v>
      </c>
    </row>
    <row r="10776" spans="1:13" x14ac:dyDescent="0.25">
      <c r="A10776" s="402" t="s">
        <v>39</v>
      </c>
      <c r="B10776" s="269">
        <v>44341</v>
      </c>
      <c r="C10776" s="1">
        <v>112</v>
      </c>
      <c r="D10776" s="39">
        <f t="shared" si="1064"/>
        <v>28178</v>
      </c>
      <c r="E10776" s="1">
        <v>0</v>
      </c>
      <c r="F10776" s="39">
        <f t="shared" si="1067"/>
        <v>409</v>
      </c>
      <c r="G10776" s="169">
        <f>SUM(C10776,C10752,C10728,C10704,C10680,C10656,C10632,C10608,C10584,C10560,C10536,C10512,C10488,C10464)/POBLA!$B$23*100000</f>
        <v>583.04586325849687</v>
      </c>
      <c r="H10776" s="258">
        <f t="shared" si="1071"/>
        <v>1.0596094552929085</v>
      </c>
      <c r="I10776" s="310">
        <f t="shared" si="1068"/>
        <v>617.80090957811944</v>
      </c>
      <c r="J10776" s="552">
        <f t="shared" si="1069"/>
        <v>74.571428571428569</v>
      </c>
      <c r="K10776" s="310">
        <f>J10776/POBLA!$B$23*100000</f>
        <v>42.171254069687592</v>
      </c>
      <c r="L10776" s="202">
        <f t="shared" si="1070"/>
        <v>2.5540275049115824E-2</v>
      </c>
      <c r="M10776" s="512">
        <f>SUM(C10776,C10752,C10728,C10704,C10680,C10656,C10632)/POBLA!$B$23*100000</f>
        <v>295.19877848781312</v>
      </c>
    </row>
    <row r="10777" spans="1:13" ht="15.75" thickBot="1" x14ac:dyDescent="0.3">
      <c r="A10777" s="404" t="s">
        <v>40</v>
      </c>
      <c r="B10777" s="269">
        <v>44341</v>
      </c>
      <c r="C10777" s="1">
        <v>465</v>
      </c>
      <c r="D10777" s="177">
        <f t="shared" si="1064"/>
        <v>122328</v>
      </c>
      <c r="E10777" s="1">
        <v>10</v>
      </c>
      <c r="F10777" s="177">
        <f t="shared" si="1067"/>
        <v>1827</v>
      </c>
      <c r="G10777" s="178">
        <f>SUM(C10777,C10753,C10729,C10705,C10681,C10657,C10633,C10609,C10585,C10561,C10537,C10513,C10489,C10465)/POBLA!$B$24*100000</f>
        <v>611.2154915215832</v>
      </c>
      <c r="H10777" s="513">
        <f t="shared" si="1071"/>
        <v>1.3056851128198663</v>
      </c>
      <c r="I10777" s="514">
        <f t="shared" si="1068"/>
        <v>798.05496800460844</v>
      </c>
      <c r="J10777" s="553">
        <f t="shared" si="1069"/>
        <v>758.71428571428567</v>
      </c>
      <c r="K10777" s="514">
        <f>J10777/POBLA!$B$24*100000</f>
        <v>44.770991027930485</v>
      </c>
      <c r="L10777" s="515">
        <f t="shared" si="1070"/>
        <v>5.2308301961561332E-2</v>
      </c>
      <c r="M10777" s="516">
        <f>SUM(C10777,C10753,C10729,C10705,C10681,C10657,C10633)/POBLA!$B$24*100000</f>
        <v>313.39693719551343</v>
      </c>
    </row>
    <row r="10778" spans="1:13" x14ac:dyDescent="0.25">
      <c r="A10778" s="397" t="s">
        <v>16</v>
      </c>
      <c r="B10778" s="269">
        <v>44342</v>
      </c>
      <c r="C10778" s="1">
        <v>12659</v>
      </c>
      <c r="D10778" s="175">
        <f t="shared" si="1064"/>
        <v>1552271</v>
      </c>
      <c r="E10778" s="1">
        <v>168</v>
      </c>
      <c r="F10778" s="175">
        <f t="shared" ref="F10778:F10801" si="1072">E10778+F10754</f>
        <v>39136</v>
      </c>
      <c r="G10778" s="176">
        <f>SUM(C10778,C10754,C10730,C10706,C10682,C10658,C10634,C10610,C10586,C10562,C10538,C10514,C10490,C10466)/POBLA!$B$1*100000</f>
        <v>847.4078168575237</v>
      </c>
      <c r="H10778" s="313">
        <f t="shared" si="1071"/>
        <v>1.1760261400677237</v>
      </c>
      <c r="I10778" s="314">
        <f>G10778*H10778</f>
        <v>996.57374392217014</v>
      </c>
      <c r="J10778" s="551">
        <f>AVERAGE(C10778,C10754,C10730,C10706,C10682,C10658,C10634)</f>
        <v>10749.428571428571</v>
      </c>
      <c r="K10778" s="314">
        <f>J10778/POBLA!$B$1*100000</f>
        <v>61.281239181810186</v>
      </c>
      <c r="L10778" s="510">
        <f t="shared" si="1070"/>
        <v>2.5163830569898682E-2</v>
      </c>
      <c r="M10778" s="511">
        <f>SUM(C10778,C10754,C10730,C10706,C10682,C10658,C10634)/POBLA!$B$1*100000</f>
        <v>428.96867427267136</v>
      </c>
    </row>
    <row r="10779" spans="1:13" x14ac:dyDescent="0.25">
      <c r="A10779" s="402" t="s">
        <v>43</v>
      </c>
      <c r="B10779" s="269">
        <v>44342</v>
      </c>
      <c r="C10779" s="1">
        <v>3658</v>
      </c>
      <c r="D10779" s="39">
        <f t="shared" si="1064"/>
        <v>405942</v>
      </c>
      <c r="E10779" s="1">
        <v>59</v>
      </c>
      <c r="F10779" s="39">
        <f t="shared" si="1072"/>
        <v>8935</v>
      </c>
      <c r="G10779" s="169">
        <f>SUM(C10779,C10755,C10731,C10707,C10683,C10659,C10635,C10611,C10587,C10563,C10539,C10515,C10491,C10467)/POBLA!$B$2*100000</f>
        <v>1214.8667304364676</v>
      </c>
      <c r="H10779" s="258">
        <f t="shared" si="1071"/>
        <v>1.1629318394024277</v>
      </c>
      <c r="I10779" s="310">
        <f t="shared" ref="I10779:I10801" si="1073">G10779*H10779</f>
        <v>1412.8072014552945</v>
      </c>
      <c r="J10779" s="552">
        <f t="shared" ref="J10779:J10801" si="1074">AVERAGE(C10779,C10755,C10731,C10707,C10683,C10659,C10635)</f>
        <v>2694.7142857142858</v>
      </c>
      <c r="K10779" s="310">
        <f>J10779/POBLA!$B$2*100000</f>
        <v>87.614578716610623</v>
      </c>
      <c r="L10779" s="202">
        <f t="shared" si="1070"/>
        <v>1.9511404172521951E-2</v>
      </c>
      <c r="M10779" s="512">
        <f>SUM(C10779,C10755,C10731,C10707,C10683,C10659,C10635)/POBLA!$B$2*100000</f>
        <v>613.30205101627428</v>
      </c>
    </row>
    <row r="10780" spans="1:13" x14ac:dyDescent="0.25">
      <c r="A10780" s="402" t="s">
        <v>28</v>
      </c>
      <c r="B10780" s="269">
        <v>44342</v>
      </c>
      <c r="C10780" s="1">
        <v>321</v>
      </c>
      <c r="D10780" s="39">
        <f t="shared" si="1064"/>
        <v>21629</v>
      </c>
      <c r="E10780" s="1">
        <v>12</v>
      </c>
      <c r="F10780" s="39">
        <f t="shared" si="1072"/>
        <v>158</v>
      </c>
      <c r="G10780" s="169">
        <f>SUM(C10780,C10756,C10732,C10708,C10684,C10660,C10636,C10612,C10588,C10564,C10540,C10516,C10492,C10468)/POBLA!$B$3*100000</f>
        <v>1165.7575859695069</v>
      </c>
      <c r="H10780" s="258">
        <f t="shared" si="1071"/>
        <v>2.1707754370237562</v>
      </c>
      <c r="I10780" s="310">
        <f t="shared" si="1073"/>
        <v>2530.5979331467151</v>
      </c>
      <c r="J10780" s="552">
        <f t="shared" si="1074"/>
        <v>367</v>
      </c>
      <c r="K10780" s="310">
        <f>J10780/POBLA!$B$3*100000</f>
        <v>88.340498461864343</v>
      </c>
      <c r="L10780" s="202">
        <f t="shared" si="1070"/>
        <v>0.1297273526824978</v>
      </c>
      <c r="M10780" s="512">
        <f>SUM(C10780,C10756,C10732,C10708,C10684,C10660,C10636)/POBLA!$B$3*100000</f>
        <v>618.38348923305034</v>
      </c>
    </row>
    <row r="10781" spans="1:13" x14ac:dyDescent="0.25">
      <c r="A10781" s="402" t="s">
        <v>15</v>
      </c>
      <c r="B10781" s="269">
        <v>44342</v>
      </c>
      <c r="C10781" s="1">
        <v>591</v>
      </c>
      <c r="D10781" s="39">
        <f t="shared" si="1064"/>
        <v>55087</v>
      </c>
      <c r="E10781" s="1">
        <v>12</v>
      </c>
      <c r="F10781" s="39">
        <f t="shared" si="1072"/>
        <v>1185</v>
      </c>
      <c r="G10781" s="169">
        <f>SUM(C10781,C10757,C10733,C10709,C10685,C10661,C10637,C10613,C10589,C10565,C10541,C10517,C10493,C10469)/POBLA!$B$4*100000</f>
        <v>609.60980157587005</v>
      </c>
      <c r="H10781" s="258">
        <f t="shared" si="1071"/>
        <v>2.072537397685577</v>
      </c>
      <c r="I10781" s="310">
        <f t="shared" si="1073"/>
        <v>1263.4391117616747</v>
      </c>
      <c r="J10781" s="552">
        <f t="shared" si="1074"/>
        <v>601.42857142857144</v>
      </c>
      <c r="K10781" s="310">
        <f>J10781/POBLA!$B$4*100000</f>
        <v>49.930103784642569</v>
      </c>
      <c r="L10781" s="202">
        <f t="shared" si="1070"/>
        <v>0.34375997446536877</v>
      </c>
      <c r="M10781" s="512">
        <f>SUM(C10781,C10757,C10733,C10709,C10685,C10661,C10637)/POBLA!$B$4*100000</f>
        <v>349.51072649249801</v>
      </c>
    </row>
    <row r="10782" spans="1:13" x14ac:dyDescent="0.25">
      <c r="A10782" s="402" t="s">
        <v>29</v>
      </c>
      <c r="B10782" s="269">
        <v>44342</v>
      </c>
      <c r="C10782" s="1">
        <v>422</v>
      </c>
      <c r="D10782" s="39">
        <f t="shared" si="1064"/>
        <v>60917</v>
      </c>
      <c r="E10782" s="1">
        <v>4</v>
      </c>
      <c r="F10782" s="39">
        <f t="shared" si="1072"/>
        <v>1010</v>
      </c>
      <c r="G10782" s="169">
        <f>SUM(C10782,C10758,C10734,C10710,C10686,C10662,C10638,C10614,C10590,C10566,C10542,C10518,C10494,C10470)/POBLA!$B$5*100000</f>
        <v>617.77658587966926</v>
      </c>
      <c r="H10782" s="258">
        <f t="shared" si="1071"/>
        <v>1.4867807153965786</v>
      </c>
      <c r="I10782" s="310">
        <f t="shared" si="1073"/>
        <v>918.4983143094305</v>
      </c>
      <c r="J10782" s="552">
        <f t="shared" si="1074"/>
        <v>307</v>
      </c>
      <c r="K10782" s="310">
        <f>J10782/POBLA!$B$5*100000</f>
        <v>49.596603521197302</v>
      </c>
      <c r="L10782" s="202">
        <f t="shared" si="1070"/>
        <v>0.28298507462686562</v>
      </c>
      <c r="M10782" s="512">
        <f>SUM(C10782,C10758,C10734,C10710,C10686,C10662,C10638)/POBLA!$B$5*100000</f>
        <v>347.17622464838109</v>
      </c>
    </row>
    <row r="10783" spans="1:13" x14ac:dyDescent="0.25">
      <c r="A10783" s="402" t="s">
        <v>30</v>
      </c>
      <c r="B10783" s="269">
        <v>44342</v>
      </c>
      <c r="C10783" s="1">
        <v>721</v>
      </c>
      <c r="D10783" s="39">
        <f t="shared" si="1064"/>
        <v>48562</v>
      </c>
      <c r="E10783" s="1">
        <v>2</v>
      </c>
      <c r="F10783" s="39">
        <f t="shared" si="1072"/>
        <v>601</v>
      </c>
      <c r="G10783" s="169">
        <f>SUM(C10783,C10759,C10735,C10711,C10687,C10663,C10639,C10615,C10591,C10567,C10543,C10519,C10495,C10471)/POBLA!$B$6*100000</f>
        <v>810.04567269301162</v>
      </c>
      <c r="H10783" s="258">
        <f t="shared" si="1071"/>
        <v>3.9542682926829267</v>
      </c>
      <c r="I10783" s="310">
        <f t="shared" si="1073"/>
        <v>3203.1379191549881</v>
      </c>
      <c r="J10783" s="552">
        <f t="shared" si="1074"/>
        <v>948.71428571428567</v>
      </c>
      <c r="K10783" s="310">
        <f>J10783/POBLA!$B$6*100000</f>
        <v>84.646095579347772</v>
      </c>
      <c r="L10783" s="202">
        <f t="shared" si="1070"/>
        <v>1.7239540607054962</v>
      </c>
      <c r="M10783" s="512">
        <f>SUM(C10783,C10759,C10735,C10711,C10687,C10663,C10639)/POBLA!$B$6*100000</f>
        <v>592.52266905543445</v>
      </c>
    </row>
    <row r="10784" spans="1:13" x14ac:dyDescent="0.25">
      <c r="A10784" s="402" t="s">
        <v>20</v>
      </c>
      <c r="B10784" s="269">
        <v>44342</v>
      </c>
      <c r="C10784" s="1">
        <v>4523</v>
      </c>
      <c r="D10784" s="39">
        <f t="shared" si="1064"/>
        <v>291896</v>
      </c>
      <c r="E10784" s="1">
        <v>22</v>
      </c>
      <c r="F10784" s="39">
        <f t="shared" si="1072"/>
        <v>3769</v>
      </c>
      <c r="G10784" s="169">
        <f>SUM(C10784,C10760,C10736,C10712,C10688,C10664,C10640,C10616,C10592,C10568,C10544,C10520,C10496,C10472)/POBLA!$B$7*100000</f>
        <v>1191.2404100573071</v>
      </c>
      <c r="H10784" s="258">
        <f t="shared" si="1071"/>
        <v>1.8870213572602048</v>
      </c>
      <c r="I10784" s="310">
        <f t="shared" si="1073"/>
        <v>2247.8960954095428</v>
      </c>
      <c r="J10784" s="552">
        <f t="shared" si="1074"/>
        <v>3503.2857142857142</v>
      </c>
      <c r="K10784" s="310">
        <f>J10784/POBLA!$B$7*100000</f>
        <v>93.161342772426551</v>
      </c>
      <c r="L10784" s="202">
        <f t="shared" si="1070"/>
        <v>0.20963843535737192</v>
      </c>
      <c r="M10784" s="512">
        <f>SUM(C10784,C10760,C10736,C10712,C10688,C10664,C10640)/POBLA!$B$7*100000</f>
        <v>652.12939940698584</v>
      </c>
    </row>
    <row r="10785" spans="1:13" x14ac:dyDescent="0.25">
      <c r="A10785" s="402" t="s">
        <v>31</v>
      </c>
      <c r="B10785" s="269">
        <v>44342</v>
      </c>
      <c r="C10785" s="1">
        <v>829</v>
      </c>
      <c r="D10785" s="39">
        <f t="shared" si="1064"/>
        <v>80322</v>
      </c>
      <c r="E10785" s="1">
        <v>14</v>
      </c>
      <c r="F10785" s="39">
        <f t="shared" si="1072"/>
        <v>1265</v>
      </c>
      <c r="G10785" s="169">
        <f>SUM(C10785,C10761,C10737,C10713,C10689,C10665,C10641,C10617,C10593,C10569,C10545,C10521,C10497,C10473)/POBLA!$B$8*100000</f>
        <v>798.2187088958492</v>
      </c>
      <c r="H10785" s="258">
        <f t="shared" si="1071"/>
        <v>1.4470896010464356</v>
      </c>
      <c r="I10785" s="310">
        <f t="shared" si="1073"/>
        <v>1155.0939930038953</v>
      </c>
      <c r="J10785" s="552">
        <f t="shared" si="1074"/>
        <v>829.71428571428567</v>
      </c>
      <c r="K10785" s="310">
        <f>J10785/POBLA!$B$8*100000</f>
        <v>59.865630108948636</v>
      </c>
      <c r="L10785" s="202">
        <f t="shared" si="1070"/>
        <v>0.10523311132254998</v>
      </c>
      <c r="M10785" s="512">
        <f>SUM(C10785,C10761,C10737,C10713,C10689,C10665,C10641)/POBLA!$B$8*100000</f>
        <v>419.05941076264048</v>
      </c>
    </row>
    <row r="10786" spans="1:13" x14ac:dyDescent="0.25">
      <c r="A10786" s="402" t="s">
        <v>41</v>
      </c>
      <c r="B10786" s="269">
        <v>44342</v>
      </c>
      <c r="C10786" s="1">
        <v>845</v>
      </c>
      <c r="D10786" s="39">
        <f t="shared" si="1064"/>
        <v>25542</v>
      </c>
      <c r="E10786" s="1">
        <v>24</v>
      </c>
      <c r="F10786" s="39">
        <f t="shared" si="1072"/>
        <v>400</v>
      </c>
      <c r="G10786" s="169">
        <f>SUM(C10786,C10762,C10738,C10714,C10690,C10666,C10642,C10618,C10594,C10570,C10546,C10522,C10498,C10474)/POBLA!$B$9*100000</f>
        <v>3105.951324618758</v>
      </c>
      <c r="H10786" s="258">
        <f t="shared" si="1071"/>
        <v>8.3802942487739642</v>
      </c>
      <c r="I10786" s="310">
        <f t="shared" si="1073"/>
        <v>26028.786022674452</v>
      </c>
      <c r="J10786" s="552">
        <f t="shared" si="1074"/>
        <v>914.57142857142856</v>
      </c>
      <c r="K10786" s="310">
        <f>J10786/POBLA!$B$9*100000</f>
        <v>151.12062244134162</v>
      </c>
      <c r="L10786" s="202">
        <f>(SUM(C10786,C10762,C10738,C10714,C10690,C10666,C10642)/SUM(C10618,C10594,C10570,C10546,C10522,C10498,C10474))-1</f>
        <v>-0.48350141185962081</v>
      </c>
      <c r="M10786" s="512">
        <f>SUM(C10786,C10762,C10738,C10714,C10690,C10666,C10642)/POBLA!$B$9*100000</f>
        <v>1057.8443570893915</v>
      </c>
    </row>
    <row r="10787" spans="1:13" x14ac:dyDescent="0.25">
      <c r="A10787" s="402" t="s">
        <v>32</v>
      </c>
      <c r="B10787" s="269">
        <v>44342</v>
      </c>
      <c r="C10787" s="1">
        <v>126</v>
      </c>
      <c r="D10787" s="39">
        <f t="shared" si="1064"/>
        <v>27494</v>
      </c>
      <c r="E10787" s="1">
        <v>2</v>
      </c>
      <c r="F10787" s="39">
        <f t="shared" si="1072"/>
        <v>1090</v>
      </c>
      <c r="G10787" s="169">
        <f>SUM(C10787,C10763,C10739,C10715,C10691,C10667,C10643,C10619,C10595,C10571,C10547,C10523,C10499,C10475)/POBLA!$B$10*100000</f>
        <v>207.55473283165622</v>
      </c>
      <c r="H10787" s="258">
        <f t="shared" si="1071"/>
        <v>1.2861736334405145</v>
      </c>
      <c r="I10787" s="310">
        <f t="shared" si="1073"/>
        <v>266.95142486386652</v>
      </c>
      <c r="J10787" s="552">
        <f t="shared" si="1074"/>
        <v>127.28571428571429</v>
      </c>
      <c r="K10787" s="310">
        <f>J10787/POBLA!$B$10*100000</f>
        <v>16.511720263661228</v>
      </c>
      <c r="L10787" s="202">
        <f t="shared" ref="L10787:L10809" si="1075">(SUM(C10787,C10763,C10739,C10715,C10691,C10667,C10643)/SUM(C10619,C10595,C10571,C10547,C10523,C10499,C10475))-1</f>
        <v>0.25669957686882938</v>
      </c>
      <c r="M10787" s="512">
        <f>SUM(C10787,C10763,C10739,C10715,C10691,C10667,C10643)/POBLA!$B$10*100000</f>
        <v>115.58204184562858</v>
      </c>
    </row>
    <row r="10788" spans="1:13" x14ac:dyDescent="0.25">
      <c r="A10788" s="402" t="s">
        <v>33</v>
      </c>
      <c r="B10788" s="269">
        <v>44342</v>
      </c>
      <c r="C10788" s="1">
        <v>873</v>
      </c>
      <c r="D10788" s="39">
        <f t="shared" si="1064"/>
        <v>40473</v>
      </c>
      <c r="E10788" s="1">
        <v>23</v>
      </c>
      <c r="F10788" s="39">
        <f t="shared" si="1072"/>
        <v>524</v>
      </c>
      <c r="G10788" s="169">
        <f>SUM(C10788,C10764,C10740,C10716,C10692,C10668,C10644,C10620,C10596,C10572,C10548,C10524,C10500,C10476)/POBLA!$B$11*100000</f>
        <v>2491.1558248797528</v>
      </c>
      <c r="H10788" s="258">
        <f t="shared" si="1071"/>
        <v>1.7719785671760271</v>
      </c>
      <c r="I10788" s="310">
        <f t="shared" si="1073"/>
        <v>4414.2747291826381</v>
      </c>
      <c r="J10788" s="552">
        <f t="shared" si="1074"/>
        <v>684.28571428571433</v>
      </c>
      <c r="K10788" s="310">
        <f>J10788/POBLA!$B$11*100000</f>
        <v>190.91301859389174</v>
      </c>
      <c r="L10788" s="202">
        <f t="shared" si="1075"/>
        <v>0.15728436820488034</v>
      </c>
      <c r="M10788" s="512">
        <f>SUM(C10788,C10764,C10740,C10716,C10692,C10668,C10644)/POBLA!$B$11*100000</f>
        <v>1336.3911301572423</v>
      </c>
    </row>
    <row r="10789" spans="1:13" x14ac:dyDescent="0.25">
      <c r="A10789" s="402" t="s">
        <v>21</v>
      </c>
      <c r="B10789" s="269">
        <v>44342</v>
      </c>
      <c r="C10789" s="1">
        <v>126</v>
      </c>
      <c r="D10789" s="39">
        <f t="shared" si="1064"/>
        <v>16612</v>
      </c>
      <c r="E10789" s="1">
        <v>7</v>
      </c>
      <c r="F10789" s="39">
        <f t="shared" si="1072"/>
        <v>532</v>
      </c>
      <c r="G10789" s="169">
        <f>SUM(C10789,C10765,C10741,C10717,C10693,C10669,C10645,C10621,C10597,C10573,C10549,C10525,C10501,C10477)/POBLA!$B$12*100000</f>
        <v>557.00821536295734</v>
      </c>
      <c r="H10789" s="258">
        <f t="shared" si="1071"/>
        <v>1.9211218229623137</v>
      </c>
      <c r="I10789" s="310">
        <f t="shared" si="1073"/>
        <v>1070.0806381030695</v>
      </c>
      <c r="J10789" s="552">
        <f t="shared" si="1074"/>
        <v>158.71428571428572</v>
      </c>
      <c r="K10789" s="310">
        <f>J10789/POBLA!$B$12*100000</f>
        <v>40.330821641569713</v>
      </c>
      <c r="L10789" s="202">
        <f t="shared" si="1075"/>
        <v>2.7752081406105411E-2</v>
      </c>
      <c r="M10789" s="512">
        <f>SUM(C10789,C10765,C10741,C10717,C10693,C10669,C10645)/POBLA!$B$12*100000</f>
        <v>282.31575149098802</v>
      </c>
    </row>
    <row r="10790" spans="1:13" x14ac:dyDescent="0.25">
      <c r="A10790" s="402" t="s">
        <v>17</v>
      </c>
      <c r="B10790" s="269">
        <v>44342</v>
      </c>
      <c r="C10790" s="1">
        <v>907</v>
      </c>
      <c r="D10790" s="39">
        <f t="shared" si="1064"/>
        <v>116538</v>
      </c>
      <c r="E10790" s="1">
        <v>27</v>
      </c>
      <c r="F10790" s="39">
        <f t="shared" si="1072"/>
        <v>2445</v>
      </c>
      <c r="G10790" s="169">
        <f>SUM(C10790,C10766,C10742,C10718,C10694,C10670,C10646,C10622,C10598,C10574,C10550,C10526,C10502,C10478)/POBLA!$B$13*100000</f>
        <v>563.32140571098978</v>
      </c>
      <c r="H10790" s="258">
        <f t="shared" si="1071"/>
        <v>1.0654756248218189</v>
      </c>
      <c r="I10790" s="310">
        <f t="shared" si="1073"/>
        <v>600.20522672542222</v>
      </c>
      <c r="J10790" s="552">
        <f t="shared" si="1074"/>
        <v>723.28571428571433</v>
      </c>
      <c r="K10790" s="310">
        <f>J10790/POBLA!$B$13*100000</f>
        <v>36.339843498225648</v>
      </c>
      <c r="L10790" s="202">
        <f t="shared" si="1075"/>
        <v>-0.17661408359082775</v>
      </c>
      <c r="M10790" s="512">
        <f>SUM(C10790,C10766,C10742,C10718,C10694,C10670,C10646)/POBLA!$B$13*100000</f>
        <v>254.37890448757949</v>
      </c>
    </row>
    <row r="10791" spans="1:13" x14ac:dyDescent="0.25">
      <c r="A10791" s="402" t="s">
        <v>23</v>
      </c>
      <c r="B10791" s="269">
        <v>44342</v>
      </c>
      <c r="C10791" s="1">
        <v>163</v>
      </c>
      <c r="D10791" s="39">
        <f t="shared" si="1064"/>
        <v>19503</v>
      </c>
      <c r="E10791" s="1">
        <v>10</v>
      </c>
      <c r="F10791" s="39">
        <f t="shared" si="1072"/>
        <v>278</v>
      </c>
      <c r="G10791" s="169">
        <f>SUM(C10791,C10767,C10743,C10719,C10695,C10671,C10647,C10623,C10599,C10575,C10551,C10527,C10503,C10479)/POBLA!$B$14*100000</f>
        <v>171.72839956425705</v>
      </c>
      <c r="H10791" s="258">
        <f t="shared" si="1071"/>
        <v>1.0961538461538463</v>
      </c>
      <c r="I10791" s="310">
        <f t="shared" si="1073"/>
        <v>188.24074567620485</v>
      </c>
      <c r="J10791" s="552">
        <f t="shared" si="1074"/>
        <v>164.71428571428572</v>
      </c>
      <c r="K10791" s="310">
        <f>J10791/POBLA!$B$14*100000</f>
        <v>13.059150817675</v>
      </c>
      <c r="L10791" s="202">
        <f t="shared" si="1075"/>
        <v>0.13820335636722603</v>
      </c>
      <c r="M10791" s="512">
        <f>SUM(C10791,C10767,C10743,C10719,C10695,C10671,C10647)/POBLA!$B$14*100000</f>
        <v>91.414055723724999</v>
      </c>
    </row>
    <row r="10792" spans="1:13" x14ac:dyDescent="0.25">
      <c r="A10792" s="402" t="s">
        <v>19</v>
      </c>
      <c r="B10792" s="269">
        <v>44342</v>
      </c>
      <c r="C10792" s="1">
        <v>994</v>
      </c>
      <c r="D10792" s="39">
        <f t="shared" si="1064"/>
        <v>86432</v>
      </c>
      <c r="E10792" s="1">
        <v>7</v>
      </c>
      <c r="F10792" s="39">
        <f t="shared" si="1072"/>
        <v>1275</v>
      </c>
      <c r="G10792" s="169">
        <f>SUM(C10792,C10768,C10744,C10720,C10696,C10672,C10648,C10624,C10600,C10576,C10552,C10528,C10504,C10480)/POBLA!$B$15*100000</f>
        <v>1511.6172256297275</v>
      </c>
      <c r="H10792" s="258">
        <f t="shared" si="1071"/>
        <v>1.6746746746746746</v>
      </c>
      <c r="I10792" s="310">
        <f t="shared" si="1073"/>
        <v>2531.4670855640979</v>
      </c>
      <c r="J10792" s="552">
        <f t="shared" si="1074"/>
        <v>827.85714285714289</v>
      </c>
      <c r="K10792" s="310">
        <f>J10792/POBLA!$B$15*100000</f>
        <v>124.66657875109259</v>
      </c>
      <c r="L10792" s="202">
        <f t="shared" si="1075"/>
        <v>0.36577893000235684</v>
      </c>
      <c r="M10792" s="512">
        <f>SUM(C10792,C10768,C10744,C10720,C10696,C10672,C10648)/POBLA!$B$15*100000</f>
        <v>872.66605125764806</v>
      </c>
    </row>
    <row r="10793" spans="1:13" x14ac:dyDescent="0.25">
      <c r="A10793" s="402" t="s">
        <v>18</v>
      </c>
      <c r="B10793" s="269">
        <v>44342</v>
      </c>
      <c r="C10793" s="1">
        <v>649</v>
      </c>
      <c r="D10793" s="39">
        <f t="shared" si="1064"/>
        <v>71653</v>
      </c>
      <c r="E10793" s="1">
        <v>18</v>
      </c>
      <c r="F10793" s="39">
        <f t="shared" si="1072"/>
        <v>1537</v>
      </c>
      <c r="G10793" s="169">
        <f>SUM(C10793,C10769,C10745,C10721,C10697,C10673,C10649,C10625,C10601,C10577,C10553,C10529,C10505,C10481)/POBLA!$B$16*100000</f>
        <v>887.76233597731425</v>
      </c>
      <c r="H10793" s="258">
        <f t="shared" si="1071"/>
        <v>1.5813676435549202</v>
      </c>
      <c r="I10793" s="310">
        <f t="shared" si="1073"/>
        <v>1403.8786332812567</v>
      </c>
      <c r="J10793" s="552">
        <f t="shared" si="1074"/>
        <v>530.71428571428567</v>
      </c>
      <c r="K10793" s="310">
        <f>J10793/POBLA!$B$16*100000</f>
        <v>70.988120238397784</v>
      </c>
      <c r="L10793" s="202">
        <f t="shared" si="1075"/>
        <v>0.27138945927446945</v>
      </c>
      <c r="M10793" s="512">
        <f>SUM(C10793,C10769,C10745,C10721,C10697,C10673,C10649)/POBLA!$B$16*100000</f>
        <v>496.91684166878451</v>
      </c>
    </row>
    <row r="10794" spans="1:13" x14ac:dyDescent="0.25">
      <c r="A10794" s="402" t="s">
        <v>34</v>
      </c>
      <c r="B10794" s="269">
        <v>44342</v>
      </c>
      <c r="C10794" s="1">
        <v>371</v>
      </c>
      <c r="D10794" s="39">
        <f t="shared" si="1064"/>
        <v>42906</v>
      </c>
      <c r="E10794" s="1">
        <v>9</v>
      </c>
      <c r="F10794" s="39">
        <f t="shared" si="1072"/>
        <v>1364</v>
      </c>
      <c r="G10794" s="169">
        <f>SUM(C10794,C10770,C10746,C10722,C10698,C10674,C10650,C10626,C10602,C10578,C10554,C10530,C10506,C10482)/POBLA!$B$17*100000</f>
        <v>385.91769008218915</v>
      </c>
      <c r="H10794" s="258">
        <f t="shared" ref="H10794:H10817" si="1076">SUM(C10794,C10770,C10746,C10722,C10698,C10674,C10650,C10626,C10602,C10578,C10554,C10530,C10506,C10482)/SUM(C10458,C10434,C10410,C10386,C10362,C10338,C10314,C10290,C10266,C10242,C10218,C10194,C10170,C10146)</f>
        <v>1.7428662016487</v>
      </c>
      <c r="I10794" s="310">
        <f t="shared" si="1073"/>
        <v>672.60289866258518</v>
      </c>
      <c r="J10794" s="552">
        <f t="shared" si="1074"/>
        <v>459.57142857142856</v>
      </c>
      <c r="K10794" s="310">
        <f>J10794/POBLA!$B$17*100000</f>
        <v>32.264279450983722</v>
      </c>
      <c r="L10794" s="202">
        <f t="shared" si="1075"/>
        <v>0.41096491228070176</v>
      </c>
      <c r="M10794" s="512">
        <f>SUM(C10794,C10770,C10746,C10722,C10698,C10674,C10650)/POBLA!$B$17*100000</f>
        <v>225.84995615688601</v>
      </c>
    </row>
    <row r="10795" spans="1:13" x14ac:dyDescent="0.25">
      <c r="A10795" s="402" t="s">
        <v>35</v>
      </c>
      <c r="B10795" s="269">
        <v>44342</v>
      </c>
      <c r="C10795" s="1">
        <v>610</v>
      </c>
      <c r="D10795" s="39">
        <f t="shared" si="1064"/>
        <v>34221</v>
      </c>
      <c r="E10795" s="1">
        <v>7</v>
      </c>
      <c r="F10795" s="39">
        <f t="shared" si="1072"/>
        <v>599</v>
      </c>
      <c r="G10795" s="169">
        <f>SUM(C10795,C10771,C10747,C10723,C10699,C10675,C10651,C10627,C10603,C10579,C10555,C10531,C10507,C10483)/POBLA!$B$18*100000</f>
        <v>862.88444823909367</v>
      </c>
      <c r="H10795" s="258">
        <f t="shared" si="1076"/>
        <v>1.501336302895323</v>
      </c>
      <c r="I10795" s="310">
        <f t="shared" si="1073"/>
        <v>1295.4797473451517</v>
      </c>
      <c r="J10795" s="552">
        <f t="shared" si="1074"/>
        <v>434.28571428571428</v>
      </c>
      <c r="K10795" s="310">
        <f>J10795/POBLA!$B$18*100000</f>
        <v>55.590919589014867</v>
      </c>
      <c r="L10795" s="202">
        <f t="shared" si="1075"/>
        <v>-0.17860037827614161</v>
      </c>
      <c r="M10795" s="512">
        <f>SUM(C10795,C10771,C10747,C10723,C10699,C10675,C10651)/POBLA!$B$18*100000</f>
        <v>389.13643712310409</v>
      </c>
    </row>
    <row r="10796" spans="1:13" x14ac:dyDescent="0.25">
      <c r="A10796" s="402" t="s">
        <v>36</v>
      </c>
      <c r="B10796" s="269">
        <v>44342</v>
      </c>
      <c r="C10796" s="1">
        <v>550</v>
      </c>
      <c r="D10796" s="39">
        <f t="shared" si="1064"/>
        <v>50356</v>
      </c>
      <c r="E10796" s="1">
        <v>7</v>
      </c>
      <c r="F10796" s="39">
        <f t="shared" si="1072"/>
        <v>666</v>
      </c>
      <c r="G10796" s="169">
        <f>SUM(C10796,C10772,C10748,C10724,C10700,C10676,C10652,C10628,C10604,C10580,C10556,C10532,C10508,C10484)/POBLA!$B$19*100000</f>
        <v>1480.1466769487417</v>
      </c>
      <c r="H10796" s="258">
        <f t="shared" si="1076"/>
        <v>1.1734248284466624</v>
      </c>
      <c r="I10796" s="310">
        <f t="shared" si="1073"/>
        <v>1736.8408604744748</v>
      </c>
      <c r="J10796" s="552">
        <f t="shared" si="1074"/>
        <v>636.28571428571433</v>
      </c>
      <c r="K10796" s="310">
        <f>J10796/POBLA!$B$19*100000</f>
        <v>125.17227347022283</v>
      </c>
      <c r="L10796" s="202">
        <f t="shared" si="1075"/>
        <v>0.45081433224755707</v>
      </c>
      <c r="M10796" s="512">
        <f>SUM(C10796,C10772,C10748,C10724,C10700,C10676,C10652)/POBLA!$B$19*100000</f>
        <v>876.20591429155991</v>
      </c>
    </row>
    <row r="10797" spans="1:13" x14ac:dyDescent="0.25">
      <c r="A10797" s="402" t="s">
        <v>37</v>
      </c>
      <c r="B10797" s="269">
        <v>44342</v>
      </c>
      <c r="C10797" s="1">
        <v>315</v>
      </c>
      <c r="D10797" s="39">
        <f t="shared" si="1064"/>
        <v>50611</v>
      </c>
      <c r="E10797" s="1">
        <v>11</v>
      </c>
      <c r="F10797" s="39">
        <f t="shared" si="1072"/>
        <v>779</v>
      </c>
      <c r="G10797" s="169">
        <f>SUM(C10797,C10773,C10749,C10725,C10701,C10677,C10653,C10629,C10605,C10581,C10557,C10533,C10509,C10485)/POBLA!$B$20*100000</f>
        <v>919.06436458498547</v>
      </c>
      <c r="H10797" s="258">
        <f t="shared" si="1076"/>
        <v>1.1244563399130143</v>
      </c>
      <c r="I10797" s="310">
        <f t="shared" si="1073"/>
        <v>1033.4477515457129</v>
      </c>
      <c r="J10797" s="552">
        <f t="shared" si="1074"/>
        <v>232.14285714285714</v>
      </c>
      <c r="K10797" s="310">
        <f>J10797/POBLA!$B$20*100000</f>
        <v>63.479389316555498</v>
      </c>
      <c r="L10797" s="202">
        <f t="shared" si="1075"/>
        <v>-6.3940092165898577E-2</v>
      </c>
      <c r="M10797" s="512">
        <f>SUM(C10797,C10773,C10749,C10725,C10701,C10677,C10653)/POBLA!$B$20*100000</f>
        <v>444.35572521588847</v>
      </c>
    </row>
    <row r="10798" spans="1:13" x14ac:dyDescent="0.25">
      <c r="A10798" s="402" t="s">
        <v>22</v>
      </c>
      <c r="B10798" s="269">
        <v>44342</v>
      </c>
      <c r="C10798" s="1">
        <v>2717</v>
      </c>
      <c r="D10798" s="39">
        <f t="shared" si="1064"/>
        <v>329704</v>
      </c>
      <c r="E10798" s="1">
        <v>54</v>
      </c>
      <c r="F10798" s="39">
        <f t="shared" si="1072"/>
        <v>5296</v>
      </c>
      <c r="G10798" s="169">
        <f>SUM(C10798,C10774,C10750,C10726,C10702,C10678,C10654,C10630,C10606,C10582,C10558,C10534,C10510,C10486)/POBLA!$B$21*100000</f>
        <v>986.421853977669</v>
      </c>
      <c r="H10798" s="258">
        <f t="shared" si="1076"/>
        <v>1.4110508858506594</v>
      </c>
      <c r="I10798" s="310">
        <f t="shared" si="1073"/>
        <v>1391.8914308776396</v>
      </c>
      <c r="J10798" s="552">
        <f t="shared" si="1074"/>
        <v>2670.1428571428573</v>
      </c>
      <c r="K10798" s="310">
        <f>J10798/POBLA!$B$21*100000</f>
        <v>75.50416430249075</v>
      </c>
      <c r="L10798" s="202">
        <f t="shared" si="1075"/>
        <v>0.15426418822948196</v>
      </c>
      <c r="M10798" s="512">
        <f>SUM(C10798,C10774,C10750,C10726,C10702,C10678,C10654)/POBLA!$B$21*100000</f>
        <v>528.52915011743517</v>
      </c>
    </row>
    <row r="10799" spans="1:13" x14ac:dyDescent="0.25">
      <c r="A10799" s="402" t="s">
        <v>38</v>
      </c>
      <c r="B10799" s="269">
        <v>44342</v>
      </c>
      <c r="C10799" s="1">
        <v>555</v>
      </c>
      <c r="D10799" s="39">
        <f t="shared" si="1064"/>
        <v>41084</v>
      </c>
      <c r="E10799" s="1">
        <v>12</v>
      </c>
      <c r="F10799" s="39">
        <f t="shared" si="1072"/>
        <v>476</v>
      </c>
      <c r="G10799" s="169">
        <f>SUM(C10799,C10775,C10751,C10727,C10703,C10679,C10655,C10631,C10607,C10583,C10559,C10535,C10511,C10487)/POBLA!$B$22*100000</f>
        <v>765.29699595119348</v>
      </c>
      <c r="H10799" s="258">
        <f t="shared" si="1076"/>
        <v>2.2355927142430576</v>
      </c>
      <c r="I10799" s="310">
        <f t="shared" si="1073"/>
        <v>1710.8923883805869</v>
      </c>
      <c r="J10799" s="552">
        <f t="shared" si="1074"/>
        <v>606.57142857142856</v>
      </c>
      <c r="K10799" s="310">
        <f>J10799/POBLA!$B$22*100000</f>
        <v>62.001775359361325</v>
      </c>
      <c r="L10799" s="202">
        <f t="shared" si="1075"/>
        <v>0.31008947855600133</v>
      </c>
      <c r="M10799" s="512">
        <f>SUM(C10799,C10775,C10751,C10727,C10703,C10679,C10655)/POBLA!$B$22*100000</f>
        <v>434.01242751552928</v>
      </c>
    </row>
    <row r="10800" spans="1:13" x14ac:dyDescent="0.25">
      <c r="A10800" s="402" t="s">
        <v>39</v>
      </c>
      <c r="B10800" s="269">
        <v>44342</v>
      </c>
      <c r="C10800" s="1">
        <v>42</v>
      </c>
      <c r="D10800" s="39">
        <f t="shared" si="1064"/>
        <v>28220</v>
      </c>
      <c r="E10800" s="1">
        <v>4</v>
      </c>
      <c r="F10800" s="39">
        <f t="shared" si="1072"/>
        <v>413</v>
      </c>
      <c r="G10800" s="169">
        <f>SUM(C10800,C10776,C10752,C10728,C10704,C10680,C10656,C10632,C10608,C10584,C10560,C10536,C10512,C10488)/POBLA!$B$23*100000</f>
        <v>553.63908838997907</v>
      </c>
      <c r="H10800" s="258">
        <f t="shared" si="1076"/>
        <v>1.0145077720207254</v>
      </c>
      <c r="I10800" s="310">
        <f t="shared" si="1073"/>
        <v>561.67115806610309</v>
      </c>
      <c r="J10800" s="552">
        <f t="shared" si="1074"/>
        <v>65.285714285714292</v>
      </c>
      <c r="K10800" s="310">
        <f>J10800/POBLA!$B$23*100000</f>
        <v>36.920044271737993</v>
      </c>
      <c r="L10800" s="202">
        <f t="shared" si="1075"/>
        <v>-0.12452107279693492</v>
      </c>
      <c r="M10800" s="512">
        <f>SUM(C10800,C10776,C10752,C10728,C10704,C10680,C10656)/POBLA!$B$23*100000</f>
        <v>258.44030990216595</v>
      </c>
    </row>
    <row r="10801" spans="1:13" ht="15.75" thickBot="1" x14ac:dyDescent="0.3">
      <c r="A10801" s="404" t="s">
        <v>40</v>
      </c>
      <c r="B10801" s="269">
        <v>44342</v>
      </c>
      <c r="C10801" s="1">
        <v>1832</v>
      </c>
      <c r="D10801" s="177">
        <f t="shared" si="1064"/>
        <v>124160</v>
      </c>
      <c r="E10801" s="1">
        <v>16</v>
      </c>
      <c r="F10801" s="177">
        <f t="shared" si="1072"/>
        <v>1843</v>
      </c>
      <c r="G10801" s="178">
        <f>SUM(C10801,C10777,C10753,C10729,C10705,C10681,C10657,C10633,C10609,C10585,C10561,C10537,C10513,C10489)/POBLA!$B$24*100000</f>
        <v>682.20334982438919</v>
      </c>
      <c r="H10801" s="513">
        <f t="shared" si="1076"/>
        <v>1.5029901196047841</v>
      </c>
      <c r="I10801" s="514">
        <f t="shared" si="1073"/>
        <v>1025.3448943473431</v>
      </c>
      <c r="J10801" s="553">
        <f t="shared" si="1074"/>
        <v>902.28571428571433</v>
      </c>
      <c r="K10801" s="514">
        <f>J10801/POBLA!$B$24*100000</f>
        <v>53.243001192319525</v>
      </c>
      <c r="L10801" s="515">
        <f t="shared" si="1075"/>
        <v>0.20419447092469012</v>
      </c>
      <c r="M10801" s="516">
        <f>SUM(C10801,C10777,C10753,C10729,C10705,C10681,C10657)/POBLA!$B$24*100000</f>
        <v>372.70100834623668</v>
      </c>
    </row>
    <row r="10802" spans="1:13" x14ac:dyDescent="0.25">
      <c r="A10802" s="397" t="s">
        <v>16</v>
      </c>
      <c r="B10802" s="269">
        <v>44343</v>
      </c>
      <c r="C10802" s="1">
        <v>15550</v>
      </c>
      <c r="D10802" s="175">
        <f t="shared" si="1064"/>
        <v>1567821</v>
      </c>
      <c r="E10802" s="1">
        <v>150</v>
      </c>
      <c r="F10802" s="175">
        <f t="shared" ref="F10802:F10825" si="1077">E10802+F10778</f>
        <v>39286</v>
      </c>
      <c r="G10802" s="176">
        <f>SUM(C10802,C10778,C10754,C10730,C10706,C10682,C10658,C10634,C10610,C10586,C10562,C10538,C10514,C10490)/POBLA!$B$1*100000</f>
        <v>875.21102532611769</v>
      </c>
      <c r="H10802" s="313">
        <f t="shared" si="1076"/>
        <v>1.2295432520963312</v>
      </c>
      <c r="I10802" s="314">
        <f>G10802*H10802</f>
        <v>1076.1098103500392</v>
      </c>
      <c r="J10802" s="551">
        <f>AVERAGE(C10802,C10778,C10754,C10730,C10706,C10682,C10658)</f>
        <v>10869.571428571429</v>
      </c>
      <c r="K10802" s="314">
        <f>J10802/POBLA!$B$1*100000</f>
        <v>61.966159604847995</v>
      </c>
      <c r="L10802" s="510">
        <f t="shared" si="1075"/>
        <v>-1.7408148769936127E-2</v>
      </c>
      <c r="M10802" s="511">
        <f>SUM(C10802,C10778,C10754,C10730,C10706,C10682,C10658)/POBLA!$B$1*100000</f>
        <v>433.76311723393593</v>
      </c>
    </row>
    <row r="10803" spans="1:13" x14ac:dyDescent="0.25">
      <c r="A10803" s="402" t="s">
        <v>43</v>
      </c>
      <c r="B10803" s="269">
        <v>44343</v>
      </c>
      <c r="C10803" s="1">
        <v>3093</v>
      </c>
      <c r="D10803" s="39">
        <f t="shared" ref="D10803:D10866" si="1078">C10803+D10779</f>
        <v>409035</v>
      </c>
      <c r="E10803" s="1">
        <v>39</v>
      </c>
      <c r="F10803" s="39">
        <f t="shared" si="1077"/>
        <v>8974</v>
      </c>
      <c r="G10803" s="169">
        <f>SUM(C10803,C10779,C10755,C10731,C10707,C10683,C10659,C10635,C10611,C10587,C10563,C10539,C10515,C10491)/POBLA!$B$2*100000</f>
        <v>1230.4081809154891</v>
      </c>
      <c r="H10803" s="258">
        <f t="shared" si="1076"/>
        <v>1.191042709218519</v>
      </c>
      <c r="I10803" s="310">
        <f t="shared" ref="I10803:I10825" si="1079">G10803*H10803</f>
        <v>1465.4686932422137</v>
      </c>
      <c r="J10803" s="552">
        <f t="shared" ref="J10803:J10825" si="1080">AVERAGE(C10803,C10779,C10755,C10731,C10707,C10683,C10659)</f>
        <v>2701.5714285714284</v>
      </c>
      <c r="K10803" s="310">
        <f>J10803/POBLA!$B$2*100000</f>
        <v>87.837528394731649</v>
      </c>
      <c r="L10803" s="202">
        <f t="shared" si="1075"/>
        <v>-1.1092330445806597E-3</v>
      </c>
      <c r="M10803" s="512">
        <f>SUM(C10803,C10779,C10755,C10731,C10707,C10683,C10659)/POBLA!$B$2*100000</f>
        <v>614.86269876312167</v>
      </c>
    </row>
    <row r="10804" spans="1:13" x14ac:dyDescent="0.25">
      <c r="A10804" s="402" t="s">
        <v>28</v>
      </c>
      <c r="B10804" s="269">
        <v>44343</v>
      </c>
      <c r="C10804" s="1">
        <v>572</v>
      </c>
      <c r="D10804" s="39">
        <f t="shared" si="1078"/>
        <v>22201</v>
      </c>
      <c r="E10804" s="1">
        <v>7</v>
      </c>
      <c r="F10804" s="39">
        <f t="shared" si="1077"/>
        <v>165</v>
      </c>
      <c r="G10804" s="169">
        <f>SUM(C10804,C10780,C10756,C10732,C10708,C10684,C10660,C10636,C10612,C10588,C10564,C10540,C10516,C10492)/POBLA!$B$3*100000</f>
        <v>1243.025433398004</v>
      </c>
      <c r="H10804" s="258">
        <f t="shared" si="1076"/>
        <v>2.2191663085517832</v>
      </c>
      <c r="I10804" s="310">
        <f t="shared" si="1079"/>
        <v>2758.4801624698289</v>
      </c>
      <c r="J10804" s="552">
        <f t="shared" si="1080"/>
        <v>418.28571428571428</v>
      </c>
      <c r="K10804" s="310">
        <f>J10804/POBLA!$B$3*100000</f>
        <v>100.68547275061846</v>
      </c>
      <c r="L10804" s="202">
        <f t="shared" si="1075"/>
        <v>0.30948121645796056</v>
      </c>
      <c r="M10804" s="512">
        <f>SUM(C10804,C10780,C10756,C10732,C10708,C10684,C10660)/POBLA!$B$3*100000</f>
        <v>704.79830925432918</v>
      </c>
    </row>
    <row r="10805" spans="1:13" x14ac:dyDescent="0.25">
      <c r="A10805" s="402" t="s">
        <v>15</v>
      </c>
      <c r="B10805" s="269">
        <v>44343</v>
      </c>
      <c r="C10805" s="1">
        <v>861</v>
      </c>
      <c r="D10805" s="39">
        <f t="shared" si="1078"/>
        <v>55948</v>
      </c>
      <c r="E10805" s="1">
        <v>9</v>
      </c>
      <c r="F10805" s="39">
        <f t="shared" si="1077"/>
        <v>1194</v>
      </c>
      <c r="G10805" s="169">
        <f>SUM(C10805,C10781,C10757,C10733,C10709,C10685,C10661,C10637,C10613,C10589,C10565,C10541,C10517,C10493)/POBLA!$B$4*100000</f>
        <v>640.40991547817805</v>
      </c>
      <c r="H10805" s="258">
        <f t="shared" si="1076"/>
        <v>2.1233140655105971</v>
      </c>
      <c r="I10805" s="310">
        <f t="shared" si="1079"/>
        <v>1359.7913812272682</v>
      </c>
      <c r="J10805" s="552">
        <f t="shared" si="1080"/>
        <v>616.28571428571433</v>
      </c>
      <c r="K10805" s="310">
        <f>J10805/POBLA!$B$4*100000</f>
        <v>51.16353152659098</v>
      </c>
      <c r="L10805" s="202">
        <f t="shared" si="1075"/>
        <v>0.26882352941176468</v>
      </c>
      <c r="M10805" s="512">
        <f>SUM(C10805,C10781,C10757,C10733,C10709,C10685,C10661)/POBLA!$B$4*100000</f>
        <v>358.14472068613691</v>
      </c>
    </row>
    <row r="10806" spans="1:13" x14ac:dyDescent="0.25">
      <c r="A10806" s="402" t="s">
        <v>29</v>
      </c>
      <c r="B10806" s="269">
        <v>44343</v>
      </c>
      <c r="C10806" s="1">
        <v>504</v>
      </c>
      <c r="D10806" s="39">
        <f t="shared" si="1078"/>
        <v>61421</v>
      </c>
      <c r="E10806" s="1">
        <v>3</v>
      </c>
      <c r="F10806" s="39">
        <f t="shared" si="1077"/>
        <v>1013</v>
      </c>
      <c r="G10806" s="169">
        <f>SUM(C10806,C10782,C10758,C10734,C10710,C10686,C10662,C10638,C10614,C10590,C10566,C10542,C10518,C10494)/POBLA!$B$5*100000</f>
        <v>663.3343780392056</v>
      </c>
      <c r="H10806" s="258">
        <f t="shared" si="1076"/>
        <v>1.6045330207112154</v>
      </c>
      <c r="I10806" s="310">
        <f t="shared" si="1079"/>
        <v>1064.3419133368418</v>
      </c>
      <c r="J10806" s="552">
        <f t="shared" si="1080"/>
        <v>320.42857142857144</v>
      </c>
      <c r="K10806" s="310">
        <f>J10806/POBLA!$B$5*100000</f>
        <v>51.766022195460927</v>
      </c>
      <c r="L10806" s="202">
        <f t="shared" si="1075"/>
        <v>0.20397208803005906</v>
      </c>
      <c r="M10806" s="512">
        <f>SUM(C10806,C10782,C10758,C10734,C10710,C10686,C10662)/POBLA!$B$5*100000</f>
        <v>362.36215536822652</v>
      </c>
    </row>
    <row r="10807" spans="1:13" x14ac:dyDescent="0.25">
      <c r="A10807" s="402" t="s">
        <v>30</v>
      </c>
      <c r="B10807" s="269">
        <v>44343</v>
      </c>
      <c r="C10807" s="1">
        <v>691</v>
      </c>
      <c r="D10807" s="39">
        <f t="shared" si="1078"/>
        <v>49253</v>
      </c>
      <c r="F10807" s="39">
        <f t="shared" si="1077"/>
        <v>601</v>
      </c>
      <c r="G10807" s="169">
        <f>SUM(C10807,C10783,C10759,C10735,C10711,C10687,C10663,C10639,C10615,C10591,C10567,C10543,C10519,C10495)/POBLA!$B$6*100000</f>
        <v>831.72659553301617</v>
      </c>
      <c r="H10807" s="258">
        <f t="shared" si="1076"/>
        <v>3.6614296936370776</v>
      </c>
      <c r="I10807" s="310">
        <f t="shared" si="1079"/>
        <v>3045.308453872261</v>
      </c>
      <c r="J10807" s="552">
        <f t="shared" si="1080"/>
        <v>1013.7142857142857</v>
      </c>
      <c r="K10807" s="310">
        <f>J10807/POBLA!$B$6*100000</f>
        <v>90.44551938428728</v>
      </c>
      <c r="L10807" s="202">
        <f t="shared" si="1075"/>
        <v>2.1877807726864331</v>
      </c>
      <c r="M10807" s="512">
        <f>SUM(C10807,C10783,C10759,C10735,C10711,C10687,C10663)/POBLA!$B$6*100000</f>
        <v>633.11863569001105</v>
      </c>
    </row>
    <row r="10808" spans="1:13" x14ac:dyDescent="0.25">
      <c r="A10808" s="402" t="s">
        <v>20</v>
      </c>
      <c r="B10808" s="269">
        <v>44343</v>
      </c>
      <c r="C10808" s="1">
        <v>4933</v>
      </c>
      <c r="D10808" s="39">
        <f t="shared" si="1078"/>
        <v>296829</v>
      </c>
      <c r="E10808" s="1">
        <v>41</v>
      </c>
      <c r="F10808" s="39">
        <f t="shared" si="1077"/>
        <v>3810</v>
      </c>
      <c r="G10808" s="169">
        <f>SUM(C10808,C10784,C10760,C10736,C10712,C10688,C10664,C10640,C10616,C10592,C10568,C10544,C10520,C10496)/POBLA!$B$7*100000</f>
        <v>1251.4459705620338</v>
      </c>
      <c r="H10808" s="258">
        <f t="shared" si="1076"/>
        <v>1.9359085112509771</v>
      </c>
      <c r="I10808" s="310">
        <f t="shared" si="1079"/>
        <v>2422.6849057817808</v>
      </c>
      <c r="J10808" s="552">
        <f t="shared" si="1080"/>
        <v>3705.7142857142858</v>
      </c>
      <c r="K10808" s="310">
        <f>J10808/POBLA!$B$7*100000</f>
        <v>98.544437120937275</v>
      </c>
      <c r="L10808" s="202">
        <f t="shared" si="1075"/>
        <v>0.22821969696969702</v>
      </c>
      <c r="M10808" s="512">
        <f>SUM(C10808,C10784,C10760,C10736,C10712,C10688,C10664)/POBLA!$B$7*100000</f>
        <v>689.81105984656097</v>
      </c>
    </row>
    <row r="10809" spans="1:13" x14ac:dyDescent="0.25">
      <c r="A10809" s="402" t="s">
        <v>31</v>
      </c>
      <c r="B10809" s="269">
        <v>44343</v>
      </c>
      <c r="C10809" s="1">
        <v>1353</v>
      </c>
      <c r="D10809" s="39">
        <f t="shared" si="1078"/>
        <v>81675</v>
      </c>
      <c r="E10809" s="1">
        <v>21</v>
      </c>
      <c r="F10809" s="39">
        <f t="shared" si="1077"/>
        <v>1286</v>
      </c>
      <c r="G10809" s="169">
        <f>SUM(C10809,C10785,C10761,C10737,C10713,C10689,C10665,C10641,C10617,C10593,C10569,C10545,C10521,C10497)/POBLA!$B$8*100000</f>
        <v>837.68590891085682</v>
      </c>
      <c r="H10809" s="258">
        <f t="shared" si="1076"/>
        <v>1.5101456815816858</v>
      </c>
      <c r="I10809" s="310">
        <f t="shared" si="1079"/>
        <v>1265.0277578635598</v>
      </c>
      <c r="J10809" s="552">
        <f t="shared" si="1080"/>
        <v>858.71428571428567</v>
      </c>
      <c r="K10809" s="310">
        <f>J10809/POBLA!$B$8*100000</f>
        <v>61.958041078665687</v>
      </c>
      <c r="L10809" s="202">
        <f t="shared" si="1075"/>
        <v>7.3584568672977246E-2</v>
      </c>
      <c r="M10809" s="512">
        <f>SUM(C10809,C10785,C10761,C10737,C10713,C10689,C10665)/POBLA!$B$8*100000</f>
        <v>433.70628755065979</v>
      </c>
    </row>
    <row r="10810" spans="1:13" x14ac:dyDescent="0.25">
      <c r="A10810" s="402" t="s">
        <v>41</v>
      </c>
      <c r="B10810" s="269">
        <v>44343</v>
      </c>
      <c r="C10810" s="1">
        <v>1104</v>
      </c>
      <c r="D10810" s="39">
        <f t="shared" si="1078"/>
        <v>26646</v>
      </c>
      <c r="E10810" s="1">
        <v>27</v>
      </c>
      <c r="F10810" s="39">
        <f t="shared" si="1077"/>
        <v>427</v>
      </c>
      <c r="G10810" s="169">
        <f>SUM(C10810,C10786,C10762,C10738,C10714,C10690,C10666,C10642,C10618,C10594,C10570,C10546,C10522,C10498)/POBLA!$B$9*100000</f>
        <v>3264.5784072188544</v>
      </c>
      <c r="H10810" s="258">
        <f t="shared" si="1076"/>
        <v>8.3152356902356903</v>
      </c>
      <c r="I10810" s="310">
        <f t="shared" si="1079"/>
        <v>27145.738885279003</v>
      </c>
      <c r="J10810" s="552">
        <f t="shared" si="1080"/>
        <v>931.71428571428567</v>
      </c>
      <c r="K10810" s="310">
        <f>J10810/POBLA!$B$9*100000</f>
        <v>153.95324891634331</v>
      </c>
      <c r="L10810" s="202">
        <f>(SUM(C10810,C10786,C10762,C10738,C10714,C10690,C10666)/SUM(C10642,C10618,C10594,C10570,C10546,C10522,C10498))-1</f>
        <v>-0.50721571590479786</v>
      </c>
      <c r="M10810" s="512">
        <f>SUM(C10810,C10786,C10762,C10738,C10714,C10690,C10666)/POBLA!$B$9*100000</f>
        <v>1077.6727424144035</v>
      </c>
    </row>
    <row r="10811" spans="1:13" x14ac:dyDescent="0.25">
      <c r="A10811" s="402" t="s">
        <v>32</v>
      </c>
      <c r="B10811" s="269">
        <v>44343</v>
      </c>
      <c r="C10811" s="1">
        <v>228</v>
      </c>
      <c r="D10811" s="39">
        <f t="shared" si="1078"/>
        <v>27722</v>
      </c>
      <c r="F10811" s="39">
        <f t="shared" si="1077"/>
        <v>1090</v>
      </c>
      <c r="G10811" s="169">
        <f>SUM(C10811,C10787,C10763,C10739,C10715,C10691,C10667,C10643,C10619,C10595,C10571,C10547,C10523,C10499)/POBLA!$B$10*100000</f>
        <v>224.80771999828769</v>
      </c>
      <c r="H10811" s="258">
        <f t="shared" si="1076"/>
        <v>1.4310487200660611</v>
      </c>
      <c r="I10811" s="310">
        <f t="shared" si="1079"/>
        <v>321.71079996451903</v>
      </c>
      <c r="J10811" s="552">
        <f t="shared" si="1080"/>
        <v>136.28571428571428</v>
      </c>
      <c r="K10811" s="310">
        <f>J10811/POBLA!$B$10*100000</f>
        <v>17.679215635839288</v>
      </c>
      <c r="L10811" s="202">
        <f t="shared" ref="L10811:L10833" si="1081">(SUM(C10811,C10787,C10763,C10739,C10715,C10691,C10667)/SUM(C10643,C10619,C10595,C10571,C10547,C10523,C10499))-1</f>
        <v>0.22464698331193844</v>
      </c>
      <c r="M10811" s="512">
        <f>SUM(C10811,C10787,C10763,C10739,C10715,C10691,C10667)/POBLA!$B$10*100000</f>
        <v>123.75450945087505</v>
      </c>
    </row>
    <row r="10812" spans="1:13" x14ac:dyDescent="0.25">
      <c r="A10812" s="402" t="s">
        <v>33</v>
      </c>
      <c r="B10812" s="269">
        <v>44343</v>
      </c>
      <c r="C10812" s="1">
        <v>692</v>
      </c>
      <c r="D10812" s="39">
        <f t="shared" si="1078"/>
        <v>41165</v>
      </c>
      <c r="E10812" s="1">
        <v>10</v>
      </c>
      <c r="F10812" s="39">
        <f t="shared" si="1077"/>
        <v>534</v>
      </c>
      <c r="G10812" s="169">
        <f>SUM(C10812,C10788,C10764,C10740,C10716,C10692,C10668,C10644,C10620,C10596,C10572,C10548,C10524,C10500)/POBLA!$B$11*100000</f>
        <v>2504.8266318479582</v>
      </c>
      <c r="H10812" s="258">
        <f t="shared" si="1076"/>
        <v>1.6721922145650958</v>
      </c>
      <c r="I10812" s="310">
        <f t="shared" si="1079"/>
        <v>4188.5515926114667</v>
      </c>
      <c r="J10812" s="552">
        <f t="shared" si="1080"/>
        <v>682.42857142857144</v>
      </c>
      <c r="K10812" s="310">
        <f>J10812/POBLA!$B$11*100000</f>
        <v>190.39488305282273</v>
      </c>
      <c r="L10812" s="202">
        <f t="shared" si="1081"/>
        <v>0.13711021185432037</v>
      </c>
      <c r="M10812" s="512">
        <f>SUM(C10812,C10788,C10764,C10740,C10716,C10692,C10668)/POBLA!$B$11*100000</f>
        <v>1332.7641813697592</v>
      </c>
    </row>
    <row r="10813" spans="1:13" x14ac:dyDescent="0.25">
      <c r="A10813" s="402" t="s">
        <v>21</v>
      </c>
      <c r="B10813" s="269">
        <v>44343</v>
      </c>
      <c r="C10813" s="1">
        <v>135</v>
      </c>
      <c r="D10813" s="39">
        <f t="shared" si="1078"/>
        <v>16747</v>
      </c>
      <c r="E10813" s="1">
        <v>2</v>
      </c>
      <c r="F10813" s="39">
        <f t="shared" si="1077"/>
        <v>534</v>
      </c>
      <c r="G10813" s="169">
        <f>SUM(C10813,C10789,C10765,C10741,C10717,C10693,C10669,C10645,C10621,C10597,C10573,C10549,C10525,C10501)/POBLA!$B$12*100000</f>
        <v>584.70616037872492</v>
      </c>
      <c r="H10813" s="258">
        <f t="shared" si="1076"/>
        <v>2.0526315789473686</v>
      </c>
      <c r="I10813" s="310">
        <f t="shared" si="1079"/>
        <v>1200.1863291984355</v>
      </c>
      <c r="J10813" s="552">
        <f t="shared" si="1080"/>
        <v>162.28571428571428</v>
      </c>
      <c r="K10813" s="310">
        <f>J10813/POBLA!$B$12*100000</f>
        <v>41.238355881929067</v>
      </c>
      <c r="L10813" s="202">
        <f t="shared" si="1081"/>
        <v>-2.4892703862660959E-2</v>
      </c>
      <c r="M10813" s="512">
        <f>SUM(C10813,C10789,C10765,C10741,C10717,C10693,C10669)/POBLA!$B$12*100000</f>
        <v>288.66849117350347</v>
      </c>
    </row>
    <row r="10814" spans="1:13" x14ac:dyDescent="0.25">
      <c r="A10814" s="402" t="s">
        <v>17</v>
      </c>
      <c r="B10814" s="269">
        <v>44343</v>
      </c>
      <c r="C10814" s="1">
        <v>1103</v>
      </c>
      <c r="D10814" s="39">
        <f t="shared" si="1078"/>
        <v>117641</v>
      </c>
      <c r="E10814" s="1">
        <v>42</v>
      </c>
      <c r="F10814" s="39">
        <f t="shared" si="1077"/>
        <v>2487</v>
      </c>
      <c r="G10814" s="169">
        <f>SUM(C10814,C10790,C10766,C10742,C10718,C10694,C10670,C10646,C10622,C10598,C10574,C10550,C10526,C10502)/POBLA!$B$13*100000</f>
        <v>568.74761975101717</v>
      </c>
      <c r="H10814" s="258">
        <f t="shared" si="1076"/>
        <v>1.0640097753548265</v>
      </c>
      <c r="I10814" s="310">
        <f t="shared" si="1079"/>
        <v>605.1530271248721</v>
      </c>
      <c r="J10814" s="552">
        <f t="shared" si="1080"/>
        <v>720.85714285714289</v>
      </c>
      <c r="K10814" s="310">
        <f>J10814/POBLA!$B$13*100000</f>
        <v>36.217825457643016</v>
      </c>
      <c r="L10814" s="202">
        <f t="shared" si="1081"/>
        <v>-0.1957284029327383</v>
      </c>
      <c r="M10814" s="512">
        <f>SUM(C10814,C10790,C10766,C10742,C10718,C10694,C10670)/POBLA!$B$13*100000</f>
        <v>253.52477820350109</v>
      </c>
    </row>
    <row r="10815" spans="1:13" x14ac:dyDescent="0.25">
      <c r="A10815" s="402" t="s">
        <v>23</v>
      </c>
      <c r="B10815" s="269">
        <v>44343</v>
      </c>
      <c r="C10815" s="1">
        <v>159</v>
      </c>
      <c r="D10815" s="39">
        <f t="shared" si="1078"/>
        <v>19662</v>
      </c>
      <c r="E10815" s="1">
        <v>8</v>
      </c>
      <c r="F10815" s="39">
        <f t="shared" si="1077"/>
        <v>286</v>
      </c>
      <c r="G10815" s="169">
        <f>SUM(C10815,C10791,C10767,C10743,C10719,C10695,C10671,C10647,C10623,C10599,C10575,C10551,C10527,C10503)/POBLA!$B$14*100000</f>
        <v>171.33198128271442</v>
      </c>
      <c r="H10815" s="258">
        <f t="shared" si="1076"/>
        <v>1.0892137096774193</v>
      </c>
      <c r="I10815" s="310">
        <f t="shared" si="1079"/>
        <v>186.61714291932753</v>
      </c>
      <c r="J10815" s="552">
        <f t="shared" si="1080"/>
        <v>162.42857142857142</v>
      </c>
      <c r="K10815" s="310">
        <f>J10815/POBLA!$B$14*100000</f>
        <v>12.877931031826952</v>
      </c>
      <c r="L10815" s="202">
        <f t="shared" si="1081"/>
        <v>0.1103515625</v>
      </c>
      <c r="M10815" s="512">
        <f>SUM(C10815,C10791,C10767,C10743,C10719,C10695,C10671)/POBLA!$B$14*100000</f>
        <v>90.145517222788655</v>
      </c>
    </row>
    <row r="10816" spans="1:13" x14ac:dyDescent="0.25">
      <c r="A10816" s="402" t="s">
        <v>19</v>
      </c>
      <c r="B10816" s="269">
        <v>44343</v>
      </c>
      <c r="C10816" s="1">
        <v>903</v>
      </c>
      <c r="D10816" s="39">
        <f t="shared" si="1078"/>
        <v>87335</v>
      </c>
      <c r="E10816" s="1">
        <v>16</v>
      </c>
      <c r="F10816" s="39">
        <f t="shared" si="1077"/>
        <v>1291</v>
      </c>
      <c r="G10816" s="169">
        <f>SUM(C10816,C10792,C10768,C10744,C10720,C10696,C10672,C10648,C10624,C10600,C10576,C10552,C10528,C10504)/POBLA!$B$15*100000</f>
        <v>1549.8669541921852</v>
      </c>
      <c r="H10816" s="258">
        <f t="shared" si="1076"/>
        <v>1.640682289175833</v>
      </c>
      <c r="I10816" s="310">
        <f t="shared" si="1079"/>
        <v>2542.8392623220102</v>
      </c>
      <c r="J10816" s="552">
        <f t="shared" si="1080"/>
        <v>848.14285714285711</v>
      </c>
      <c r="K10816" s="310">
        <f>J10816/POBLA!$B$15*100000</f>
        <v>127.72139396811677</v>
      </c>
      <c r="L10816" s="202">
        <f t="shared" si="1081"/>
        <v>0.36326061997703785</v>
      </c>
      <c r="M10816" s="512">
        <f>SUM(C10816,C10792,C10768,C10744,C10720,C10696,C10672)/POBLA!$B$15*100000</f>
        <v>894.04975777681739</v>
      </c>
    </row>
    <row r="10817" spans="1:13" x14ac:dyDescent="0.25">
      <c r="A10817" s="402" t="s">
        <v>18</v>
      </c>
      <c r="B10817" s="269">
        <v>44343</v>
      </c>
      <c r="C10817" s="1">
        <v>728</v>
      </c>
      <c r="D10817" s="39">
        <f t="shared" si="1078"/>
        <v>72381</v>
      </c>
      <c r="E10817" s="1">
        <v>22</v>
      </c>
      <c r="F10817" s="39">
        <f t="shared" si="1077"/>
        <v>1559</v>
      </c>
      <c r="G10817" s="169">
        <f>SUM(C10817,C10793,C10769,C10745,C10721,C10697,C10673,C10649,C10625,C10601,C10577,C10553,C10529,C10505)/POBLA!$B$16*100000</f>
        <v>910.9027434089968</v>
      </c>
      <c r="H10817" s="258">
        <f t="shared" si="1076"/>
        <v>1.5459704880817253</v>
      </c>
      <c r="I10817" s="310">
        <f t="shared" si="1079"/>
        <v>1408.2287588229894</v>
      </c>
      <c r="J10817" s="552">
        <f t="shared" si="1080"/>
        <v>546.14285714285711</v>
      </c>
      <c r="K10817" s="310">
        <f>J10817/POBLA!$B$16*100000</f>
        <v>73.051839480859954</v>
      </c>
      <c r="L10817" s="202">
        <f t="shared" si="1081"/>
        <v>0.27987947773685962</v>
      </c>
      <c r="M10817" s="512">
        <f>SUM(C10817,C10793,C10769,C10745,C10721,C10697,C10673)/POBLA!$B$16*100000</f>
        <v>511.36287636601969</v>
      </c>
    </row>
    <row r="10818" spans="1:13" x14ac:dyDescent="0.25">
      <c r="A10818" s="402" t="s">
        <v>34</v>
      </c>
      <c r="B10818" s="269">
        <v>44343</v>
      </c>
      <c r="C10818" s="1">
        <v>615</v>
      </c>
      <c r="D10818" s="39">
        <f t="shared" si="1078"/>
        <v>43521</v>
      </c>
      <c r="E10818" s="1">
        <v>12</v>
      </c>
      <c r="F10818" s="39">
        <f t="shared" si="1077"/>
        <v>1376</v>
      </c>
      <c r="G10818" s="169">
        <f>SUM(C10818,C10794,C10770,C10746,C10722,C10698,C10674,C10650,C10626,C10602,C10578,C10554,C10530,C10506)/POBLA!$B$17*100000</f>
        <v>410.77031192848625</v>
      </c>
      <c r="H10818" s="258">
        <f t="shared" ref="H10818:H10841" si="1082">SUM(C10818,C10794,C10770,C10746,C10722,C10698,C10674,C10650,C10626,C10602,C10578,C10554,C10530,C10506)/SUM(C10482,C10458,C10434,C10410,C10386,C10362,C10338,C10314,C10290,C10266,C10242,C10218,C10194,C10170)</f>
        <v>1.8574603174603175</v>
      </c>
      <c r="I10818" s="310">
        <f t="shared" si="1079"/>
        <v>762.98955399795966</v>
      </c>
      <c r="J10818" s="552">
        <f t="shared" si="1080"/>
        <v>456.57142857142856</v>
      </c>
      <c r="K10818" s="310">
        <f>J10818/POBLA!$B$17*100000</f>
        <v>32.053664011608319</v>
      </c>
      <c r="L10818" s="202">
        <f t="shared" si="1081"/>
        <v>0.20376647834274952</v>
      </c>
      <c r="M10818" s="512">
        <f>SUM(C10818,C10794,C10770,C10746,C10722,C10698,C10674)/POBLA!$B$17*100000</f>
        <v>224.37564808125825</v>
      </c>
    </row>
    <row r="10819" spans="1:13" x14ac:dyDescent="0.25">
      <c r="A10819" s="402" t="s">
        <v>35</v>
      </c>
      <c r="B10819" s="269">
        <v>44343</v>
      </c>
      <c r="C10819" s="1">
        <v>750</v>
      </c>
      <c r="D10819" s="39">
        <f t="shared" si="1078"/>
        <v>34971</v>
      </c>
      <c r="E10819" s="1">
        <v>9</v>
      </c>
      <c r="F10819" s="39">
        <f t="shared" si="1077"/>
        <v>608</v>
      </c>
      <c r="G10819" s="169">
        <f>SUM(C10819,C10795,C10771,C10747,C10723,C10699,C10675,C10651,C10627,C10603,C10579,C10555,C10531,C10507)/POBLA!$B$18*100000</f>
        <v>886.18143230370038</v>
      </c>
      <c r="H10819" s="258">
        <f t="shared" si="1082"/>
        <v>1.4661160525201187</v>
      </c>
      <c r="I10819" s="310">
        <f t="shared" si="1079"/>
        <v>1299.244823345726</v>
      </c>
      <c r="J10819" s="552">
        <f t="shared" si="1080"/>
        <v>445</v>
      </c>
      <c r="K10819" s="310">
        <f>J10819/POBLA!$B$18*100000</f>
        <v>56.962406092033326</v>
      </c>
      <c r="L10819" s="202">
        <f t="shared" si="1081"/>
        <v>-0.18198529411764708</v>
      </c>
      <c r="M10819" s="512">
        <f>SUM(C10819,C10795,C10771,C10747,C10723,C10699,C10675)/POBLA!$B$18*100000</f>
        <v>398.73684264423326</v>
      </c>
    </row>
    <row r="10820" spans="1:13" x14ac:dyDescent="0.25">
      <c r="A10820" s="402" t="s">
        <v>36</v>
      </c>
      <c r="B10820" s="269">
        <v>44343</v>
      </c>
      <c r="C10820" s="1">
        <v>503</v>
      </c>
      <c r="D10820" s="39">
        <f t="shared" si="1078"/>
        <v>50859</v>
      </c>
      <c r="E10820" s="1">
        <v>9</v>
      </c>
      <c r="F10820" s="39">
        <f t="shared" si="1077"/>
        <v>675</v>
      </c>
      <c r="G10820" s="169">
        <f>SUM(C10820,C10796,C10772,C10748,C10724,C10700,C10676,C10652,C10628,C10604,C10580,C10556,C10532,C10508)/POBLA!$B$19*100000</f>
        <v>1463.6219134102391</v>
      </c>
      <c r="H10820" s="258">
        <f t="shared" si="1082"/>
        <v>1.1504561620535023</v>
      </c>
      <c r="I10820" s="310">
        <f t="shared" si="1079"/>
        <v>1683.8328491993473</v>
      </c>
      <c r="J10820" s="552">
        <f t="shared" si="1080"/>
        <v>602</v>
      </c>
      <c r="K10820" s="310">
        <f>J10820/POBLA!$B$19*100000</f>
        <v>118.42747202593601</v>
      </c>
      <c r="L10820" s="202">
        <f t="shared" si="1081"/>
        <v>0.30626162430254178</v>
      </c>
      <c r="M10820" s="512">
        <f>SUM(C10820,C10796,C10772,C10748,C10724,C10700,C10676)/POBLA!$B$19*100000</f>
        <v>828.99230418155207</v>
      </c>
    </row>
    <row r="10821" spans="1:13" x14ac:dyDescent="0.25">
      <c r="A10821" s="402" t="s">
        <v>37</v>
      </c>
      <c r="B10821" s="269">
        <v>44343</v>
      </c>
      <c r="C10821" s="1">
        <v>194</v>
      </c>
      <c r="D10821" s="39">
        <f t="shared" si="1078"/>
        <v>50805</v>
      </c>
      <c r="F10821" s="39">
        <f t="shared" si="1077"/>
        <v>779</v>
      </c>
      <c r="G10821" s="169">
        <f>SUM(C10821,C10797,C10773,C10749,C10725,C10701,C10677,C10653,C10629,C10605,C10581,C10557,C10533,C10509)/POBLA!$B$20*100000</f>
        <v>914.96261942914646</v>
      </c>
      <c r="H10821" s="258">
        <f t="shared" si="1082"/>
        <v>1.1277384563532187</v>
      </c>
      <c r="I10821" s="310">
        <f t="shared" si="1079"/>
        <v>1031.8385320559232</v>
      </c>
      <c r="J10821" s="552">
        <f t="shared" si="1080"/>
        <v>207</v>
      </c>
      <c r="K10821" s="310">
        <f>J10821/POBLA!$B$20*100000</f>
        <v>56.604083150577807</v>
      </c>
      <c r="L10821" s="202">
        <f t="shared" si="1081"/>
        <v>-0.23616236162361626</v>
      </c>
      <c r="M10821" s="512">
        <f>SUM(C10821,C10797,C10773,C10749,C10725,C10701,C10677)/POBLA!$B$20*100000</f>
        <v>396.22858205404458</v>
      </c>
    </row>
    <row r="10822" spans="1:13" x14ac:dyDescent="0.25">
      <c r="A10822" s="402" t="s">
        <v>22</v>
      </c>
      <c r="B10822" s="269">
        <v>44343</v>
      </c>
      <c r="C10822" s="1">
        <v>3542</v>
      </c>
      <c r="D10822" s="39">
        <f t="shared" si="1078"/>
        <v>333246</v>
      </c>
      <c r="E10822" s="1">
        <v>103</v>
      </c>
      <c r="F10822" s="39">
        <f t="shared" si="1077"/>
        <v>5399</v>
      </c>
      <c r="G10822" s="169">
        <f>SUM(C10822,C10798,C10774,C10750,C10726,C10702,C10678,C10654,C10630,C10606,C10582,C10558,C10534,C10510)/POBLA!$B$21*100000</f>
        <v>1024.907123535736</v>
      </c>
      <c r="H10822" s="258">
        <f t="shared" si="1082"/>
        <v>1.4748128255208333</v>
      </c>
      <c r="I10822" s="310">
        <f t="shared" si="1079"/>
        <v>1511.5461707581685</v>
      </c>
      <c r="J10822" s="552">
        <f t="shared" si="1080"/>
        <v>2755.1428571428573</v>
      </c>
      <c r="K10822" s="310">
        <f>J10822/POBLA!$B$21*100000</f>
        <v>77.907726324853499</v>
      </c>
      <c r="L10822" s="202">
        <f t="shared" si="1081"/>
        <v>0.1372132790848517</v>
      </c>
      <c r="M10822" s="512">
        <f>SUM(C10822,C10798,C10774,C10750,C10726,C10702,C10678)/POBLA!$B$21*100000</f>
        <v>545.35408427397442</v>
      </c>
    </row>
    <row r="10823" spans="1:13" x14ac:dyDescent="0.25">
      <c r="A10823" s="402" t="s">
        <v>38</v>
      </c>
      <c r="B10823" s="269">
        <v>44343</v>
      </c>
      <c r="C10823" s="1">
        <v>582</v>
      </c>
      <c r="D10823" s="39">
        <f t="shared" si="1078"/>
        <v>41666</v>
      </c>
      <c r="E10823" s="1">
        <v>8</v>
      </c>
      <c r="F10823" s="39">
        <f t="shared" si="1077"/>
        <v>484</v>
      </c>
      <c r="G10823" s="169">
        <f>SUM(C10823,C10799,C10775,C10751,C10727,C10703,C10679,C10655,C10631,C10607,C10583,C10559,C10535,C10511)/POBLA!$B$22*100000</f>
        <v>783.59379871268186</v>
      </c>
      <c r="H10823" s="258">
        <f t="shared" si="1082"/>
        <v>2.1796986067671309</v>
      </c>
      <c r="I10823" s="310">
        <f t="shared" si="1079"/>
        <v>1707.9983113253963</v>
      </c>
      <c r="J10823" s="552">
        <f t="shared" si="1080"/>
        <v>576.85714285714289</v>
      </c>
      <c r="K10823" s="310">
        <f>J10823/POBLA!$B$22*100000</f>
        <v>58.964476896161344</v>
      </c>
      <c r="L10823" s="202">
        <f t="shared" si="1081"/>
        <v>0.11300992282249167</v>
      </c>
      <c r="M10823" s="512">
        <f>SUM(C10823,C10799,C10775,C10751,C10727,C10703,C10679)/POBLA!$B$22*100000</f>
        <v>412.75133827312936</v>
      </c>
    </row>
    <row r="10824" spans="1:13" x14ac:dyDescent="0.25">
      <c r="A10824" s="402" t="s">
        <v>39</v>
      </c>
      <c r="B10824" s="269">
        <v>44343</v>
      </c>
      <c r="C10824" s="1">
        <v>79</v>
      </c>
      <c r="D10824" s="39">
        <f t="shared" si="1078"/>
        <v>28299</v>
      </c>
      <c r="F10824" s="39">
        <f t="shared" si="1077"/>
        <v>413</v>
      </c>
      <c r="G10824" s="169">
        <f>SUM(C10824,C10800,C10776,C10752,C10728,C10704,C10680,C10656,C10632,C10608,C10584,C10560,C10536,C10512)/POBLA!$B$23*100000</f>
        <v>532.14952213990841</v>
      </c>
      <c r="H10824" s="258">
        <f t="shared" si="1082"/>
        <v>0.95339412360688958</v>
      </c>
      <c r="I10824" s="310">
        <f t="shared" si="1079"/>
        <v>507.34822728840305</v>
      </c>
      <c r="J10824" s="552">
        <f t="shared" si="1080"/>
        <v>63.714285714285715</v>
      </c>
      <c r="K10824" s="310">
        <f>J10824/POBLA!$B$23*100000</f>
        <v>36.031377998238824</v>
      </c>
      <c r="L10824" s="202">
        <f t="shared" si="1081"/>
        <v>-9.8989898989898961E-2</v>
      </c>
      <c r="M10824" s="512">
        <f>SUM(C10824,C10800,C10776,C10752,C10728,C10704,C10680)/POBLA!$B$23*100000</f>
        <v>252.21964598767178</v>
      </c>
    </row>
    <row r="10825" spans="1:13" ht="15.75" thickBot="1" x14ac:dyDescent="0.3">
      <c r="A10825" s="403" t="s">
        <v>40</v>
      </c>
      <c r="B10825" s="270">
        <v>44343</v>
      </c>
      <c r="C10825" s="234">
        <v>2206</v>
      </c>
      <c r="D10825" s="67">
        <f t="shared" si="1078"/>
        <v>126366</v>
      </c>
      <c r="E10825" s="234">
        <v>11</v>
      </c>
      <c r="F10825" s="67">
        <f t="shared" si="1077"/>
        <v>1854</v>
      </c>
      <c r="G10825" s="257">
        <f>SUM(C10825,C10801,C10777,C10753,C10729,C10705,C10681,C10657,C10633,C10609,C10585,C10561,C10537,C10513)/POBLA!$B$24*100000</f>
        <v>767.53040145020589</v>
      </c>
      <c r="H10825" s="259">
        <f t="shared" si="1082"/>
        <v>1.6892207792207792</v>
      </c>
      <c r="I10825" s="312">
        <f t="shared" si="1079"/>
        <v>1296.5283028133542</v>
      </c>
      <c r="J10825" s="566">
        <f t="shared" si="1080"/>
        <v>1080.7142857142858</v>
      </c>
      <c r="K10825" s="312">
        <f>J10825/POBLA!$B$24*100000</f>
        <v>63.771897406570169</v>
      </c>
      <c r="L10825" s="262">
        <f t="shared" si="1081"/>
        <v>0.39011392870268291</v>
      </c>
      <c r="M10825" s="517">
        <f>SUM(C10825,C10801,C10777,C10753,C10729,C10705,C10681)/POBLA!$B$24*100000</f>
        <v>446.40328184599116</v>
      </c>
    </row>
    <row r="10826" spans="1:13" x14ac:dyDescent="0.25">
      <c r="A10826" s="397" t="s">
        <v>16</v>
      </c>
      <c r="B10826" s="267">
        <v>44344</v>
      </c>
      <c r="C10826" s="389">
        <v>15035</v>
      </c>
      <c r="D10826" s="175">
        <f t="shared" si="1078"/>
        <v>1582856</v>
      </c>
      <c r="E10826" s="43">
        <v>240</v>
      </c>
      <c r="F10826" s="175">
        <f t="shared" ref="F10826:F10849" si="1083">E10826+F10802</f>
        <v>39526</v>
      </c>
      <c r="G10826" s="176">
        <f>SUM(C10826,C10802,C10778,C10754,C10730,C10706,C10682,C10658,C10634,C10610,C10586,C10562,C10538,C10514)/POBLA!$B$1*100000</f>
        <v>896.53803022277748</v>
      </c>
      <c r="H10826" s="313">
        <f t="shared" si="1082"/>
        <v>1.2512471655328798</v>
      </c>
      <c r="I10826" s="314">
        <f>G10826*H10826</f>
        <v>1121.7906691086816</v>
      </c>
      <c r="J10826" s="551">
        <f>AVERAGE(C10826,C10802,C10778,C10754,C10730,C10706,C10682)</f>
        <v>11087.428571428571</v>
      </c>
      <c r="K10826" s="314">
        <f>J10826/POBLA!$B$1*100000</f>
        <v>63.208137779797624</v>
      </c>
      <c r="L10826" s="510">
        <f t="shared" si="1081"/>
        <v>-2.5599176407075874E-2</v>
      </c>
      <c r="M10826" s="511">
        <f>SUM(C10826,C10802,C10778,C10754,C10730,C10706,C10682)/POBLA!$B$1*100000</f>
        <v>442.4569644585834</v>
      </c>
    </row>
    <row r="10827" spans="1:13" x14ac:dyDescent="0.25">
      <c r="A10827" s="402" t="s">
        <v>43</v>
      </c>
      <c r="B10827" s="2">
        <v>44344</v>
      </c>
      <c r="C10827" s="4">
        <v>3026</v>
      </c>
      <c r="D10827" s="39">
        <f t="shared" si="1078"/>
        <v>412061</v>
      </c>
      <c r="E10827" s="1">
        <v>45</v>
      </c>
      <c r="F10827" s="39">
        <f t="shared" si="1083"/>
        <v>9019</v>
      </c>
      <c r="G10827" s="169">
        <f>SUM(C10827,C10803,C10779,C10755,C10731,C10707,C10683,C10659,C10635,C10611,C10587,C10563,C10539,C10515)/POBLA!$B$2*100000</f>
        <v>1238.6015815864375</v>
      </c>
      <c r="H10827" s="258">
        <f t="shared" si="1082"/>
        <v>1.196977314145667</v>
      </c>
      <c r="I10827" s="310">
        <f t="shared" ref="I10827:I10849" si="1084">G10827*H10827</f>
        <v>1482.5779944239093</v>
      </c>
      <c r="J10827" s="552">
        <f t="shared" ref="J10827:J10849" si="1085">AVERAGE(C10827,C10803,C10779,C10755,C10731,C10707,C10683)</f>
        <v>2715</v>
      </c>
      <c r="K10827" s="310">
        <f>J10827/POBLA!$B$2*100000</f>
        <v>88.274138181052038</v>
      </c>
      <c r="L10827" s="202">
        <f t="shared" si="1081"/>
        <v>-4.4525929806181752E-3</v>
      </c>
      <c r="M10827" s="512">
        <f>SUM(C10827,C10803,C10779,C10755,C10731,C10707,C10683)/POBLA!$B$2*100000</f>
        <v>617.91896726736434</v>
      </c>
    </row>
    <row r="10828" spans="1:13" x14ac:dyDescent="0.25">
      <c r="A10828" s="402" t="s">
        <v>28</v>
      </c>
      <c r="B10828" s="2">
        <v>44344</v>
      </c>
      <c r="C10828" s="4">
        <v>422</v>
      </c>
      <c r="D10828" s="39">
        <f t="shared" si="1078"/>
        <v>22623</v>
      </c>
      <c r="E10828" s="1">
        <v>3</v>
      </c>
      <c r="F10828" s="39">
        <f t="shared" si="1083"/>
        <v>168</v>
      </c>
      <c r="G10828" s="169">
        <f>SUM(C10828,C10804,C10780,C10756,C10732,C10708,C10684,C10660,C10636,C10612,C10588,C10564,C10540,C10516)/POBLA!$B$3*100000</f>
        <v>1297.6665591496205</v>
      </c>
      <c r="H10828" s="258">
        <f t="shared" si="1082"/>
        <v>2.3107586798114017</v>
      </c>
      <c r="I10828" s="310">
        <f t="shared" si="1084"/>
        <v>2998.5942650559814</v>
      </c>
      <c r="J10828" s="552">
        <f t="shared" si="1085"/>
        <v>398</v>
      </c>
      <c r="K10828" s="310">
        <f>J10828/POBLA!$B$3*100000</f>
        <v>95.802502419133546</v>
      </c>
      <c r="L10828" s="202">
        <f t="shared" si="1081"/>
        <v>6.9481765834932929E-2</v>
      </c>
      <c r="M10828" s="512">
        <f>SUM(C10828,C10804,C10780,C10756,C10732,C10708,C10684)/POBLA!$B$3*100000</f>
        <v>670.61751693393478</v>
      </c>
    </row>
    <row r="10829" spans="1:13" x14ac:dyDescent="0.25">
      <c r="A10829" s="402" t="s">
        <v>15</v>
      </c>
      <c r="B10829" s="2">
        <v>44344</v>
      </c>
      <c r="C10829" s="4">
        <v>727</v>
      </c>
      <c r="D10829" s="39">
        <f t="shared" si="1078"/>
        <v>56675</v>
      </c>
      <c r="E10829" s="1">
        <v>11</v>
      </c>
      <c r="F10829" s="39">
        <f t="shared" si="1083"/>
        <v>1205</v>
      </c>
      <c r="G10829" s="169">
        <f>SUM(C10829,C10805,C10781,C10757,C10733,C10709,C10685,C10661,C10637,C10613,C10589,C10565,C10541,C10517)/POBLA!$B$4*100000</f>
        <v>660.33451746349851</v>
      </c>
      <c r="H10829" s="258">
        <f t="shared" si="1082"/>
        <v>2.0306356905795253</v>
      </c>
      <c r="I10829" s="310">
        <f t="shared" si="1084"/>
        <v>1340.8988388829889</v>
      </c>
      <c r="J10829" s="552">
        <f t="shared" si="1085"/>
        <v>634.28571428571433</v>
      </c>
      <c r="K10829" s="310">
        <f>J10829/POBLA!$B$4*100000</f>
        <v>52.657876675490023</v>
      </c>
      <c r="L10829" s="202">
        <f t="shared" si="1081"/>
        <v>0.26351735913488894</v>
      </c>
      <c r="M10829" s="512">
        <f>SUM(C10829,C10805,C10781,C10757,C10733,C10709,C10685)/POBLA!$B$4*100000</f>
        <v>368.60513672843018</v>
      </c>
    </row>
    <row r="10830" spans="1:13" x14ac:dyDescent="0.25">
      <c r="A10830" s="402" t="s">
        <v>29</v>
      </c>
      <c r="B10830" s="2">
        <v>44344</v>
      </c>
      <c r="C10830" s="4">
        <v>440</v>
      </c>
      <c r="D10830" s="39">
        <f t="shared" si="1078"/>
        <v>61861</v>
      </c>
      <c r="E10830" s="1">
        <v>27</v>
      </c>
      <c r="F10830" s="39">
        <f t="shared" si="1083"/>
        <v>1040</v>
      </c>
      <c r="G10830" s="169">
        <f>SUM(C10830,C10806,C10782,C10758,C10734,C10710,C10686,C10662,C10638,C10614,C10590,C10566,C10542,C10518)/POBLA!$B$5*100000</f>
        <v>694.83710666016145</v>
      </c>
      <c r="H10830" s="258">
        <f t="shared" si="1082"/>
        <v>1.6024590163934427</v>
      </c>
      <c r="I10830" s="310">
        <f t="shared" si="1084"/>
        <v>1113.447986492308</v>
      </c>
      <c r="J10830" s="552">
        <f t="shared" si="1085"/>
        <v>329.71428571428572</v>
      </c>
      <c r="K10830" s="310">
        <f>J10830/POBLA!$B$5*100000</f>
        <v>53.266152129792161</v>
      </c>
      <c r="L10830" s="202">
        <f t="shared" si="1081"/>
        <v>0.15805318615153041</v>
      </c>
      <c r="M10830" s="512">
        <f>SUM(C10830,C10806,C10782,C10758,C10734,C10710,C10686)/POBLA!$B$5*100000</f>
        <v>372.8630649085452</v>
      </c>
    </row>
    <row r="10831" spans="1:13" x14ac:dyDescent="0.25">
      <c r="A10831" s="402" t="s">
        <v>30</v>
      </c>
      <c r="B10831" s="2">
        <v>44344</v>
      </c>
      <c r="C10831" s="4">
        <v>491</v>
      </c>
      <c r="D10831" s="39">
        <f t="shared" si="1078"/>
        <v>49744</v>
      </c>
      <c r="E10831" s="1">
        <v>1</v>
      </c>
      <c r="F10831" s="39">
        <f t="shared" si="1083"/>
        <v>602</v>
      </c>
      <c r="G10831" s="169">
        <f>SUM(C10831,C10807,C10783,C10759,C10735,C10711,C10687,C10663,C10639,C10615,C10591,C10567,C10543,C10519)/POBLA!$B$6*100000</f>
        <v>846.35898790240185</v>
      </c>
      <c r="H10831" s="258">
        <f t="shared" si="1082"/>
        <v>3.4382022471910112</v>
      </c>
      <c r="I10831" s="310">
        <f t="shared" si="1084"/>
        <v>2909.953374136348</v>
      </c>
      <c r="J10831" s="552">
        <f t="shared" si="1085"/>
        <v>986.14285714285711</v>
      </c>
      <c r="K10831" s="310">
        <f>J10831/POBLA!$B$6*100000</f>
        <v>87.985544012082173</v>
      </c>
      <c r="L10831" s="202">
        <f t="shared" si="1081"/>
        <v>1.6724738675958188</v>
      </c>
      <c r="M10831" s="512">
        <f>SUM(C10831,C10807,C10783,C10759,C10735,C10711,C10687)/POBLA!$B$6*100000</f>
        <v>615.89880808457531</v>
      </c>
    </row>
    <row r="10832" spans="1:13" x14ac:dyDescent="0.25">
      <c r="A10832" s="402" t="s">
        <v>20</v>
      </c>
      <c r="B10832" s="2">
        <v>44344</v>
      </c>
      <c r="C10832" s="4">
        <v>4654</v>
      </c>
      <c r="D10832" s="39">
        <f t="shared" si="1078"/>
        <v>301483</v>
      </c>
      <c r="E10832" s="1">
        <v>35</v>
      </c>
      <c r="F10832" s="39">
        <f t="shared" si="1083"/>
        <v>3845</v>
      </c>
      <c r="G10832" s="169">
        <f>SUM(C10832,C10808,C10784,C10760,C10736,C10712,C10688,C10664,C10640,C10616,C10592,C10568,C10544,C10520)/POBLA!$B$7*100000</f>
        <v>1298.4882128468669</v>
      </c>
      <c r="H10832" s="258">
        <f t="shared" si="1082"/>
        <v>1.9266493055555556</v>
      </c>
      <c r="I10832" s="310">
        <f t="shared" si="1084"/>
        <v>2501.7314135534907</v>
      </c>
      <c r="J10832" s="552">
        <f t="shared" si="1085"/>
        <v>3966.8571428571427</v>
      </c>
      <c r="K10832" s="310">
        <f>J10832/POBLA!$B$7*100000</f>
        <v>105.4888947561367</v>
      </c>
      <c r="L10832" s="202">
        <f t="shared" si="1081"/>
        <v>0.31845591377427462</v>
      </c>
      <c r="M10832" s="512">
        <f>SUM(C10832,C10808,C10784,C10760,C10736,C10712,C10688)/POBLA!$B$7*100000</f>
        <v>738.42226329295693</v>
      </c>
    </row>
    <row r="10833" spans="1:13" x14ac:dyDescent="0.25">
      <c r="A10833" s="402" t="s">
        <v>31</v>
      </c>
      <c r="B10833" s="2">
        <v>44344</v>
      </c>
      <c r="C10833" s="4">
        <v>1476</v>
      </c>
      <c r="D10833" s="39">
        <f t="shared" si="1078"/>
        <v>83151</v>
      </c>
      <c r="E10833" s="1">
        <v>13</v>
      </c>
      <c r="F10833" s="39">
        <f t="shared" si="1083"/>
        <v>1299</v>
      </c>
      <c r="G10833" s="169">
        <f>SUM(C10833,C10809,C10785,C10761,C10737,C10713,C10689,C10665,C10641,C10617,C10593,C10569,C10545,C10521)/POBLA!$B$8*100000</f>
        <v>877.44171733548058</v>
      </c>
      <c r="H10833" s="258">
        <f t="shared" si="1082"/>
        <v>1.5110586481113319</v>
      </c>
      <c r="I10833" s="310">
        <f t="shared" si="1084"/>
        <v>1325.8658951934367</v>
      </c>
      <c r="J10833" s="552">
        <f t="shared" si="1085"/>
        <v>922.71428571428567</v>
      </c>
      <c r="K10833" s="310">
        <f>J10833/POBLA!$B$8*100000</f>
        <v>66.575775632523971</v>
      </c>
      <c r="L10833" s="202">
        <f t="shared" si="1081"/>
        <v>0.13276043493511058</v>
      </c>
      <c r="M10833" s="512">
        <f>SUM(C10833,C10809,C10785,C10761,C10737,C10713,C10689)/POBLA!$B$8*100000</f>
        <v>466.03042942766791</v>
      </c>
    </row>
    <row r="10834" spans="1:13" x14ac:dyDescent="0.25">
      <c r="A10834" s="402" t="s">
        <v>41</v>
      </c>
      <c r="B10834" s="2">
        <v>44344</v>
      </c>
      <c r="C10834" s="4">
        <v>1203</v>
      </c>
      <c r="D10834" s="39">
        <f t="shared" si="1078"/>
        <v>27849</v>
      </c>
      <c r="E10834" s="1">
        <v>25</v>
      </c>
      <c r="F10834" s="39">
        <f t="shared" si="1083"/>
        <v>452</v>
      </c>
      <c r="G10834" s="169">
        <f>SUM(C10834,C10810,C10786,C10762,C10738,C10714,C10690,C10666,C10642,C10618,C10594,C10570,C10546,C10522)/POBLA!$B$9*100000</f>
        <v>3455.2613794277195</v>
      </c>
      <c r="H10834" s="258">
        <f t="shared" si="1082"/>
        <v>8.6623860811930413</v>
      </c>
      <c r="I10834" s="310">
        <f>G10834*H10834</f>
        <v>29930.808080038547</v>
      </c>
      <c r="J10834" s="552">
        <f t="shared" si="1085"/>
        <v>948.14285714285711</v>
      </c>
      <c r="K10834" s="310">
        <f>J10834/POBLA!$B$9*100000</f>
        <v>156.66784928822</v>
      </c>
      <c r="L10834" s="202">
        <f>(SUM(C10834,C10810,C10786,C10762,C10738,C10714,C10690)/SUM(C10666,C10642,C10618,C10594,C10570,C10546,C10522))-1</f>
        <v>-0.53502872355331377</v>
      </c>
      <c r="M10834" s="512">
        <f>SUM(C10834,C10810,C10786,C10762,C10738,C10714,C10690)/POBLA!$B$9*100000</f>
        <v>1096.6749450175398</v>
      </c>
    </row>
    <row r="10835" spans="1:13" x14ac:dyDescent="0.25">
      <c r="A10835" s="402" t="s">
        <v>32</v>
      </c>
      <c r="B10835" s="2">
        <v>44344</v>
      </c>
      <c r="C10835" s="4">
        <v>182</v>
      </c>
      <c r="D10835" s="39">
        <f t="shared" si="1078"/>
        <v>27904</v>
      </c>
      <c r="F10835" s="39">
        <f t="shared" si="1083"/>
        <v>1090</v>
      </c>
      <c r="G10835" s="169">
        <f>SUM(C10835,C10811,C10787,C10763,C10739,C10715,C10691,C10667,C10643,C10619,C10595,C10571,C10547,C10523)/POBLA!$B$10*100000</f>
        <v>235.8340651799694</v>
      </c>
      <c r="H10835" s="258">
        <f t="shared" si="1082"/>
        <v>1.4913863822805578</v>
      </c>
      <c r="I10835" s="310">
        <f t="shared" si="1084"/>
        <v>351.71971328727182</v>
      </c>
      <c r="J10835" s="552">
        <f t="shared" si="1085"/>
        <v>141.42857142857142</v>
      </c>
      <c r="K10835" s="310">
        <f>J10835/POBLA!$B$10*100000</f>
        <v>18.34635584851247</v>
      </c>
      <c r="L10835" s="202">
        <f t="shared" ref="L10835:L10857" si="1086">(SUM(C10835,C10811,C10787,C10763,C10739,C10715,C10691)/SUM(C10667,C10643,C10619,C10595,C10571,C10547,C10523))-1</f>
        <v>0.19565217391304346</v>
      </c>
      <c r="M10835" s="512">
        <f>SUM(C10835,C10811,C10787,C10763,C10739,C10715,C10691)/POBLA!$B$10*100000</f>
        <v>128.42449093958729</v>
      </c>
    </row>
    <row r="10836" spans="1:13" x14ac:dyDescent="0.25">
      <c r="A10836" s="402" t="s">
        <v>33</v>
      </c>
      <c r="B10836" s="2">
        <v>44344</v>
      </c>
      <c r="C10836" s="4">
        <v>570</v>
      </c>
      <c r="D10836" s="39">
        <f t="shared" si="1078"/>
        <v>41735</v>
      </c>
      <c r="E10836" s="1">
        <v>10</v>
      </c>
      <c r="F10836" s="39">
        <f t="shared" si="1083"/>
        <v>544</v>
      </c>
      <c r="G10836" s="169">
        <f>SUM(C10836,C10812,C10788,C10764,C10740,C10716,C10692,C10668,C10644,C10620,C10596,C10572,C10548,C10524)/POBLA!$B$11*100000</f>
        <v>2482.5069470019084</v>
      </c>
      <c r="H10836" s="258">
        <f t="shared" si="1082"/>
        <v>1.55913790082355</v>
      </c>
      <c r="I10836" s="310">
        <f t="shared" si="1084"/>
        <v>3870.5706701284353</v>
      </c>
      <c r="J10836" s="552">
        <f t="shared" si="1085"/>
        <v>641</v>
      </c>
      <c r="K10836" s="310">
        <f>J10836/POBLA!$B$11*100000</f>
        <v>178.83647482897541</v>
      </c>
      <c r="L10836" s="202">
        <f t="shared" si="1086"/>
        <v>1.7229653139877676E-2</v>
      </c>
      <c r="M10836" s="512">
        <f>SUM(C10836,C10812,C10788,C10764,C10740,C10716,C10692)/POBLA!$B$11*100000</f>
        <v>1251.855323802828</v>
      </c>
    </row>
    <row r="10837" spans="1:13" x14ac:dyDescent="0.25">
      <c r="A10837" s="402" t="s">
        <v>21</v>
      </c>
      <c r="B10837" s="2">
        <v>44344</v>
      </c>
      <c r="C10837" s="4">
        <v>210</v>
      </c>
      <c r="D10837" s="39">
        <f t="shared" si="1078"/>
        <v>16957</v>
      </c>
      <c r="F10837" s="39">
        <f t="shared" si="1083"/>
        <v>534</v>
      </c>
      <c r="G10837" s="169">
        <f>SUM(C10837,C10813,C10789,C10765,C10741,C10717,C10693,C10669,C10645,C10621,C10597,C10573,C10549,C10525)/POBLA!$B$12*100000</f>
        <v>617.99451631510601</v>
      </c>
      <c r="H10837" s="258">
        <f t="shared" si="1082"/>
        <v>2.1056277056277057</v>
      </c>
      <c r="I10837" s="310">
        <f t="shared" si="1084"/>
        <v>1301.2663754790804</v>
      </c>
      <c r="J10837" s="552">
        <f t="shared" si="1085"/>
        <v>171.28571428571428</v>
      </c>
      <c r="K10837" s="310">
        <f>J10837/POBLA!$B$12*100000</f>
        <v>43.525342167634641</v>
      </c>
      <c r="L10837" s="202">
        <f t="shared" si="1086"/>
        <v>-2.7575020275750206E-2</v>
      </c>
      <c r="M10837" s="512">
        <f>SUM(C10837,C10813,C10789,C10765,C10741,C10717,C10693)/POBLA!$B$12*100000</f>
        <v>304.67739517344251</v>
      </c>
    </row>
    <row r="10838" spans="1:13" x14ac:dyDescent="0.25">
      <c r="A10838" s="402" t="s">
        <v>17</v>
      </c>
      <c r="B10838" s="2">
        <v>44344</v>
      </c>
      <c r="C10838" s="4">
        <v>1127</v>
      </c>
      <c r="D10838" s="39">
        <f t="shared" si="1078"/>
        <v>118768</v>
      </c>
      <c r="E10838" s="1">
        <v>25</v>
      </c>
      <c r="F10838" s="39">
        <f t="shared" si="1083"/>
        <v>2512</v>
      </c>
      <c r="G10838" s="169">
        <f>SUM(C10838,C10814,C10790,C10766,C10742,C10718,C10694,C10670,C10646,C10622,C10598,C10574,C10550,C10526)/POBLA!$B$13*100000</f>
        <v>572.11388216473779</v>
      </c>
      <c r="H10838" s="258">
        <f t="shared" si="1082"/>
        <v>1.0466954683334866</v>
      </c>
      <c r="I10838" s="310">
        <f t="shared" si="1084"/>
        <v>598.82900783250943</v>
      </c>
      <c r="J10838" s="552">
        <f t="shared" si="1085"/>
        <v>729.85714285714289</v>
      </c>
      <c r="K10838" s="310">
        <f>J10838/POBLA!$B$13*100000</f>
        <v>36.670009960978632</v>
      </c>
      <c r="L10838" s="202">
        <f t="shared" si="1086"/>
        <v>-0.18620579802484871</v>
      </c>
      <c r="M10838" s="512">
        <f>SUM(C10838,C10814,C10790,C10766,C10742,C10718,C10694)/POBLA!$B$13*100000</f>
        <v>256.69006972685042</v>
      </c>
    </row>
    <row r="10839" spans="1:13" x14ac:dyDescent="0.25">
      <c r="A10839" s="402" t="s">
        <v>23</v>
      </c>
      <c r="B10839" s="2">
        <v>44344</v>
      </c>
      <c r="C10839" s="4">
        <v>214</v>
      </c>
      <c r="D10839" s="39">
        <f t="shared" si="1078"/>
        <v>19876</v>
      </c>
      <c r="F10839" s="39">
        <f t="shared" si="1083"/>
        <v>286</v>
      </c>
      <c r="G10839" s="169">
        <f>SUM(C10839,C10815,C10791,C10767,C10743,C10719,C10695,C10671,C10647,C10623,C10599,C10575,C10551,C10527)/POBLA!$B$14*100000</f>
        <v>177.75395744370465</v>
      </c>
      <c r="H10839" s="258">
        <f t="shared" si="1082"/>
        <v>1.1182044887780549</v>
      </c>
      <c r="I10839" s="310">
        <f t="shared" si="1084"/>
        <v>198.76527311161388</v>
      </c>
      <c r="J10839" s="552">
        <f t="shared" si="1085"/>
        <v>166.14285714285714</v>
      </c>
      <c r="K10839" s="310">
        <f>J10839/POBLA!$B$14*100000</f>
        <v>13.172413183830029</v>
      </c>
      <c r="L10839" s="202">
        <f t="shared" si="1086"/>
        <v>7.7849860982390995E-2</v>
      </c>
      <c r="M10839" s="512">
        <f>SUM(C10839,C10815,C10791,C10767,C10743,C10719,C10695)/POBLA!$B$14*100000</f>
        <v>92.206892286810216</v>
      </c>
    </row>
    <row r="10840" spans="1:13" x14ac:dyDescent="0.25">
      <c r="A10840" s="402" t="s">
        <v>19</v>
      </c>
      <c r="B10840" s="2">
        <v>44344</v>
      </c>
      <c r="C10840" s="4">
        <v>987</v>
      </c>
      <c r="D10840" s="39">
        <f t="shared" si="1078"/>
        <v>88322</v>
      </c>
      <c r="E10840" s="1">
        <v>16</v>
      </c>
      <c r="F10840" s="39">
        <f t="shared" si="1083"/>
        <v>1307</v>
      </c>
      <c r="G10840" s="169">
        <f>SUM(C10840,C10816,C10792,C10768,C10744,C10720,C10696,C10672,C10648,C10624,C10600,C10576,C10552,C10528)/POBLA!$B$15*100000</f>
        <v>1629.6793799327465</v>
      </c>
      <c r="H10840" s="258">
        <f t="shared" si="1082"/>
        <v>1.6954410151966159</v>
      </c>
      <c r="I10840" s="310">
        <f t="shared" si="1084"/>
        <v>2763.0252623581673</v>
      </c>
      <c r="J10840" s="552">
        <f t="shared" si="1085"/>
        <v>878.14285714285711</v>
      </c>
      <c r="K10840" s="310">
        <f>J10840/POBLA!$B$15*100000</f>
        <v>132.23907844399758</v>
      </c>
      <c r="L10840" s="202">
        <f t="shared" si="1086"/>
        <v>0.31486631016042788</v>
      </c>
      <c r="M10840" s="512">
        <f>SUM(C10840,C10816,C10792,C10768,C10744,C10720,C10696)/POBLA!$B$15*100000</f>
        <v>925.67354910798315</v>
      </c>
    </row>
    <row r="10841" spans="1:13" x14ac:dyDescent="0.25">
      <c r="A10841" s="402" t="s">
        <v>18</v>
      </c>
      <c r="B10841" s="2">
        <v>44344</v>
      </c>
      <c r="C10841" s="4">
        <v>600</v>
      </c>
      <c r="D10841" s="39">
        <f t="shared" si="1078"/>
        <v>72981</v>
      </c>
      <c r="E10841" s="1">
        <v>16</v>
      </c>
      <c r="F10841" s="39">
        <f t="shared" si="1083"/>
        <v>1575</v>
      </c>
      <c r="G10841" s="169">
        <f>SUM(C10841,C10817,C10793,C10769,C10745,C10721,C10697,C10673,C10649,C10625,C10601,C10577,C10553,C10529)/POBLA!$B$16*100000</f>
        <v>938.59097657869745</v>
      </c>
      <c r="H10841" s="258">
        <f t="shared" si="1082"/>
        <v>1.555530924407005</v>
      </c>
      <c r="I10841" s="310">
        <f t="shared" si="1084"/>
        <v>1460.0072894375348</v>
      </c>
      <c r="J10841" s="552">
        <f t="shared" si="1085"/>
        <v>529.71428571428567</v>
      </c>
      <c r="K10841" s="310">
        <f>J10841/POBLA!$B$16*100000</f>
        <v>70.854360657867829</v>
      </c>
      <c r="L10841" s="202">
        <f t="shared" si="1086"/>
        <v>0.12058023572076149</v>
      </c>
      <c r="M10841" s="512">
        <f>SUM(C10841,C10817,C10793,C10769,C10745,C10721,C10697)/POBLA!$B$16*100000</f>
        <v>495.98052460507489</v>
      </c>
    </row>
    <row r="10842" spans="1:13" x14ac:dyDescent="0.25">
      <c r="A10842" s="402" t="s">
        <v>34</v>
      </c>
      <c r="B10842" s="2">
        <v>44344</v>
      </c>
      <c r="C10842" s="4">
        <v>636</v>
      </c>
      <c r="D10842" s="39">
        <f t="shared" si="1078"/>
        <v>44157</v>
      </c>
      <c r="E10842" s="1">
        <v>8</v>
      </c>
      <c r="F10842" s="39">
        <f t="shared" si="1083"/>
        <v>1384</v>
      </c>
      <c r="G10842" s="169">
        <f>SUM(C10842,C10818,C10794,C10770,C10746,C10722,C10698,C10674,C10650,C10626,C10602,C10578,C10554,C10530)/POBLA!$B$17*100000</f>
        <v>428.60241912893667</v>
      </c>
      <c r="H10842" s="258">
        <f t="shared" ref="H10842:H10865" si="1087">SUM(C10842,C10818,C10794,C10770,C10746,C10722,C10698,C10674,C10650,C10626,C10602,C10578,C10554,C10530)/SUM(C10506,C10482,C10458,C10434,C10410,C10386,C10362,C10338,C10314,C10290,C10266,C10242,C10218,C10194)</f>
        <v>1.8686868686868687</v>
      </c>
      <c r="I10842" s="310">
        <f t="shared" si="1084"/>
        <v>800.92371251366956</v>
      </c>
      <c r="J10842" s="552">
        <f t="shared" si="1085"/>
        <v>479.14285714285717</v>
      </c>
      <c r="K10842" s="310">
        <f>J10842/POBLA!$B$17*100000</f>
        <v>33.638294460242271</v>
      </c>
      <c r="L10842" s="202">
        <f t="shared" si="1086"/>
        <v>0.21919302071973834</v>
      </c>
      <c r="M10842" s="512">
        <f>SUM(C10842,C10818,C10794,C10770,C10746,C10722,C10698)/POBLA!$B$17*100000</f>
        <v>235.4680612216959</v>
      </c>
    </row>
    <row r="10843" spans="1:13" x14ac:dyDescent="0.25">
      <c r="A10843" s="402" t="s">
        <v>35</v>
      </c>
      <c r="B10843" s="2">
        <v>44344</v>
      </c>
      <c r="C10843" s="4">
        <v>921</v>
      </c>
      <c r="D10843" s="39">
        <f t="shared" si="1078"/>
        <v>35892</v>
      </c>
      <c r="E10843" s="1">
        <v>9</v>
      </c>
      <c r="F10843" s="39">
        <f t="shared" si="1083"/>
        <v>617</v>
      </c>
      <c r="G10843" s="169">
        <f>SUM(C10843,C10819,C10795,C10771,C10747,C10723,C10699,C10675,C10651,C10627,C10603,C10579,C10555,C10531)/POBLA!$B$18*100000</f>
        <v>924.19903816737224</v>
      </c>
      <c r="H10843" s="258">
        <f t="shared" si="1087"/>
        <v>1.43026941362916</v>
      </c>
      <c r="I10843" s="310">
        <f t="shared" si="1084"/>
        <v>1321.8536163962813</v>
      </c>
      <c r="J10843" s="552">
        <f t="shared" si="1085"/>
        <v>476.42857142857144</v>
      </c>
      <c r="K10843" s="310">
        <f>J10843/POBLA!$B$18*100000</f>
        <v>60.985433167554149</v>
      </c>
      <c r="L10843" s="202">
        <f t="shared" si="1086"/>
        <v>-0.14157014157014158</v>
      </c>
      <c r="M10843" s="512">
        <f>SUM(C10843,C10819,C10795,C10771,C10747,C10723,C10699)/POBLA!$B$18*100000</f>
        <v>426.89803217287897</v>
      </c>
    </row>
    <row r="10844" spans="1:13" x14ac:dyDescent="0.25">
      <c r="A10844" s="402" t="s">
        <v>36</v>
      </c>
      <c r="B10844" s="2">
        <v>44344</v>
      </c>
      <c r="C10844" s="4">
        <v>638</v>
      </c>
      <c r="D10844" s="39">
        <f t="shared" si="1078"/>
        <v>51497</v>
      </c>
      <c r="E10844" s="1">
        <v>6</v>
      </c>
      <c r="F10844" s="39">
        <f t="shared" si="1083"/>
        <v>681</v>
      </c>
      <c r="G10844" s="169">
        <f>SUM(C10844,C10820,C10796,C10772,C10748,C10724,C10700,C10676,C10652,C10628,C10604,C10580,C10556,C10532)/POBLA!$B$19*100000</f>
        <v>1463.031743283864</v>
      </c>
      <c r="H10844" s="258">
        <f t="shared" si="1087"/>
        <v>1.1292134831460674</v>
      </c>
      <c r="I10844" s="310">
        <f t="shared" si="1084"/>
        <v>1652.0751707868351</v>
      </c>
      <c r="J10844" s="552">
        <f t="shared" si="1085"/>
        <v>581.57142857142856</v>
      </c>
      <c r="K10844" s="310">
        <f>J10844/POBLA!$B$19*100000</f>
        <v>114.40869449871511</v>
      </c>
      <c r="L10844" s="202">
        <f t="shared" si="1086"/>
        <v>0.20944741532976829</v>
      </c>
      <c r="M10844" s="512">
        <f>SUM(C10844,C10820,C10796,C10772,C10748,C10724,C10700)/POBLA!$B$19*100000</f>
        <v>800.86086149100572</v>
      </c>
    </row>
    <row r="10845" spans="1:13" x14ac:dyDescent="0.25">
      <c r="A10845" s="402" t="s">
        <v>37</v>
      </c>
      <c r="B10845" s="2">
        <v>44344</v>
      </c>
      <c r="C10845" s="4">
        <v>220</v>
      </c>
      <c r="D10845" s="39">
        <f t="shared" si="1078"/>
        <v>51025</v>
      </c>
      <c r="E10845" s="1">
        <v>4</v>
      </c>
      <c r="F10845" s="39">
        <f t="shared" si="1083"/>
        <v>783</v>
      </c>
      <c r="G10845" s="169">
        <f>SUM(C10845,C10821,C10797,C10773,C10749,C10725,C10701,C10677,C10653,C10629,C10605,C10581,C10557,C10533)/POBLA!$B$20*100000</f>
        <v>901.01668589929398</v>
      </c>
      <c r="H10845" s="258">
        <f t="shared" si="1087"/>
        <v>1.1101752021563343</v>
      </c>
      <c r="I10845" s="310">
        <f t="shared" si="1084"/>
        <v>1000.286381414479</v>
      </c>
      <c r="J10845" s="552">
        <f t="shared" si="1085"/>
        <v>193.71428571428572</v>
      </c>
      <c r="K10845" s="310">
        <f>J10845/POBLA!$B$20*100000</f>
        <v>52.971108869691861</v>
      </c>
      <c r="L10845" s="202">
        <f t="shared" si="1086"/>
        <v>-0.30067044868488912</v>
      </c>
      <c r="M10845" s="512">
        <f>SUM(C10845,C10821,C10797,C10773,C10749,C10725,C10701)/POBLA!$B$20*100000</f>
        <v>370.79776208784295</v>
      </c>
    </row>
    <row r="10846" spans="1:13" x14ac:dyDescent="0.25">
      <c r="A10846" s="402" t="s">
        <v>22</v>
      </c>
      <c r="B10846" s="2">
        <v>44344</v>
      </c>
      <c r="C10846" s="4">
        <v>3653</v>
      </c>
      <c r="D10846" s="39">
        <f t="shared" si="1078"/>
        <v>336899</v>
      </c>
      <c r="E10846" s="1">
        <v>44</v>
      </c>
      <c r="F10846" s="39">
        <f t="shared" si="1083"/>
        <v>5443</v>
      </c>
      <c r="G10846" s="169">
        <f>SUM(C10846,C10822,C10798,C10774,C10750,C10726,C10702,C10678,C10654,C10630,C10606,C10582,C10558,C10534)/POBLA!$B$21*100000</f>
        <v>1066.1918359198487</v>
      </c>
      <c r="H10846" s="258">
        <f t="shared" si="1087"/>
        <v>1.5188930067676443</v>
      </c>
      <c r="I10846" s="310">
        <f t="shared" si="1084"/>
        <v>1619.4313234514138</v>
      </c>
      <c r="J10846" s="552">
        <f t="shared" si="1085"/>
        <v>2757.7142857142858</v>
      </c>
      <c r="K10846" s="310">
        <f>J10846/POBLA!$B$21*100000</f>
        <v>77.980439125530012</v>
      </c>
      <c r="L10846" s="202">
        <f t="shared" si="1086"/>
        <v>4.9073419922830208E-2</v>
      </c>
      <c r="M10846" s="512">
        <f>SUM(C10846,C10822,C10798,C10774,C10750,C10726,C10702)/POBLA!$B$21*100000</f>
        <v>545.86307387871</v>
      </c>
    </row>
    <row r="10847" spans="1:13" x14ac:dyDescent="0.25">
      <c r="A10847" s="402" t="s">
        <v>38</v>
      </c>
      <c r="B10847" s="2">
        <v>44344</v>
      </c>
      <c r="C10847" s="4">
        <v>633</v>
      </c>
      <c r="D10847" s="39">
        <f t="shared" si="1078"/>
        <v>42299</v>
      </c>
      <c r="E10847" s="1">
        <v>9</v>
      </c>
      <c r="F10847" s="39">
        <f t="shared" si="1083"/>
        <v>493</v>
      </c>
      <c r="G10847" s="169">
        <f>SUM(C10847,C10823,C10799,C10775,C10751,C10727,C10703,C10679,C10655,C10631,C10607,C10583,C10559,C10535)/POBLA!$B$22*100000</f>
        <v>801.89060147417035</v>
      </c>
      <c r="H10847" s="258">
        <f t="shared" si="1087"/>
        <v>2.0585148255051169</v>
      </c>
      <c r="I10847" s="310">
        <f t="shared" si="1084"/>
        <v>1650.703691567795</v>
      </c>
      <c r="J10847" s="552">
        <f t="shared" si="1085"/>
        <v>575.14285714285711</v>
      </c>
      <c r="K10847" s="310">
        <f>J10847/POBLA!$B$22*100000</f>
        <v>58.789248138669031</v>
      </c>
      <c r="L10847" s="202">
        <f t="shared" si="1086"/>
        <v>5.4202670856245083E-2</v>
      </c>
      <c r="M10847" s="512">
        <f>SUM(C10847,C10823,C10799,C10775,C10751,C10727,C10703)/POBLA!$B$22*100000</f>
        <v>411.52473697068319</v>
      </c>
    </row>
    <row r="10848" spans="1:13" x14ac:dyDescent="0.25">
      <c r="A10848" s="402" t="s">
        <v>39</v>
      </c>
      <c r="B10848" s="2">
        <v>44344</v>
      </c>
      <c r="C10848" s="4">
        <v>80</v>
      </c>
      <c r="D10848" s="39">
        <f t="shared" si="1078"/>
        <v>28379</v>
      </c>
      <c r="E10848" s="1">
        <v>2</v>
      </c>
      <c r="F10848" s="39">
        <f t="shared" si="1083"/>
        <v>415</v>
      </c>
      <c r="G10848" s="169">
        <f>SUM(C10848,C10824,C10800,C10776,C10752,C10728,C10704,C10680,C10656,C10632,C10608,C10584,C10560,C10536)/POBLA!$B$23*100000</f>
        <v>537.23915625176721</v>
      </c>
      <c r="H10848" s="258">
        <f t="shared" si="1087"/>
        <v>0.95573440643863183</v>
      </c>
      <c r="I10848" s="310">
        <f t="shared" si="1084"/>
        <v>513.45794611587417</v>
      </c>
      <c r="J10848" s="552">
        <f t="shared" si="1085"/>
        <v>62.857142857142854</v>
      </c>
      <c r="K10848" s="310">
        <f>J10848/POBLA!$B$23*100000</f>
        <v>35.546650939966554</v>
      </c>
      <c r="L10848" s="202">
        <f t="shared" si="1086"/>
        <v>-0.13725490196078427</v>
      </c>
      <c r="M10848" s="512">
        <f>SUM(C10848,C10824,C10800,C10776,C10752,C10728,C10704)/POBLA!$B$23*100000</f>
        <v>248.82655657976588</v>
      </c>
    </row>
    <row r="10849" spans="1:16" ht="15.75" thickBot="1" x14ac:dyDescent="0.3">
      <c r="A10849" s="403" t="s">
        <v>40</v>
      </c>
      <c r="B10849" s="34">
        <v>44344</v>
      </c>
      <c r="C10849" s="27">
        <v>1062</v>
      </c>
      <c r="D10849" s="67">
        <f t="shared" si="1078"/>
        <v>127428</v>
      </c>
      <c r="E10849" s="234">
        <v>11</v>
      </c>
      <c r="F10849" s="67">
        <f t="shared" si="1083"/>
        <v>1865</v>
      </c>
      <c r="G10849" s="257">
        <f>SUM(C10849,C10825,C10801,C10777,C10753,C10729,C10705,C10681,C10657,C10633,C10609,C10585,C10561,C10537)/POBLA!$B$24*100000</f>
        <v>790.24887646814454</v>
      </c>
      <c r="H10849" s="259">
        <f t="shared" si="1087"/>
        <v>1.7311271975180973</v>
      </c>
      <c r="I10849" s="312">
        <f t="shared" si="1084"/>
        <v>1368.0213228621242</v>
      </c>
      <c r="J10849" s="566">
        <f t="shared" si="1085"/>
        <v>1043.2857142857142</v>
      </c>
      <c r="K10849" s="312">
        <f>J10849/POBLA!$B$24*100000</f>
        <v>61.563273861226953</v>
      </c>
      <c r="L10849" s="262">
        <f t="shared" si="1086"/>
        <v>0.19937592379701097</v>
      </c>
      <c r="M10849" s="517">
        <f>SUM(C10849,C10825,C10801,C10777,C10753,C10729,C10705)/POBLA!$B$24*100000</f>
        <v>430.94291702858868</v>
      </c>
    </row>
    <row r="10850" spans="1:16" x14ac:dyDescent="0.25">
      <c r="A10850" s="397" t="s">
        <v>16</v>
      </c>
      <c r="B10850" s="267">
        <v>44345</v>
      </c>
      <c r="C10850" s="389">
        <v>10962</v>
      </c>
      <c r="D10850" s="175">
        <f t="shared" si="1078"/>
        <v>1593818</v>
      </c>
      <c r="E10850" s="43">
        <v>224</v>
      </c>
      <c r="F10850" s="175">
        <f t="shared" ref="F10850:F10873" si="1088">E10850+F10826</f>
        <v>39750</v>
      </c>
      <c r="G10850" s="176">
        <f>SUM(C10850,C10826,C10802,C10778,C10754,C10730,C10706,C10682,C10658,C10634,C10610,C10586,C10562,C10538)/POBLA!$B$1*100000</f>
        <v>911.2007023944451</v>
      </c>
      <c r="H10850" s="313">
        <f t="shared" si="1087"/>
        <v>1.2628489258653519</v>
      </c>
      <c r="I10850" s="314">
        <f>G10850*H10850</f>
        <v>1150.7088282665793</v>
      </c>
      <c r="J10850" s="551">
        <f>AVERAGE(C10850,C10826,C10802,C10778,C10754,C10730,C10706)</f>
        <v>11036</v>
      </c>
      <c r="K10850" s="314">
        <f>J10850/POBLA!$B$1*100000</f>
        <v>62.914949489317721</v>
      </c>
      <c r="L10850" s="510">
        <f t="shared" si="1086"/>
        <v>-6.4553237349091241E-2</v>
      </c>
      <c r="M10850" s="511">
        <f>SUM(C10850,C10826,C10802,C10778,C10754,C10730,C10706)/POBLA!$B$1*100000</f>
        <v>440.40464642522397</v>
      </c>
      <c r="N10850" s="42" t="s">
        <v>270</v>
      </c>
      <c r="O10850" s="42">
        <v>10962</v>
      </c>
      <c r="P10850" s="42">
        <v>1593818</v>
      </c>
    </row>
    <row r="10851" spans="1:16" x14ac:dyDescent="0.25">
      <c r="A10851" s="402" t="s">
        <v>43</v>
      </c>
      <c r="B10851" s="2">
        <v>44345</v>
      </c>
      <c r="C10851" s="4">
        <v>2265</v>
      </c>
      <c r="D10851" s="39">
        <f t="shared" si="1078"/>
        <v>414326</v>
      </c>
      <c r="E10851" s="1">
        <v>41</v>
      </c>
      <c r="F10851" s="39">
        <f t="shared" si="1088"/>
        <v>9060</v>
      </c>
      <c r="G10851" s="169">
        <f>SUM(C10851,C10827,C10803,C10779,C10755,C10731,C10707,C10683,C10659,C10635,C10611,C10587,C10563,C10539)/POBLA!$B$2*100000</f>
        <v>1237.7237172288358</v>
      </c>
      <c r="H10851" s="258">
        <f t="shared" si="1087"/>
        <v>1.199558846699228</v>
      </c>
      <c r="I10851" s="310">
        <f t="shared" ref="I10851:I10857" si="1089">G10851*H10851</f>
        <v>1484.7224347713036</v>
      </c>
      <c r="J10851" s="552">
        <f t="shared" ref="J10851:J10873" si="1090">AVERAGE(C10851,C10827,C10803,C10779,C10755,C10731,C10707)</f>
        <v>2608.1428571428573</v>
      </c>
      <c r="K10851" s="310">
        <f>J10851/POBLA!$B$2*100000</f>
        <v>84.799839030332407</v>
      </c>
      <c r="L10851" s="202">
        <f t="shared" si="1086"/>
        <v>-7.8441270001514352E-2</v>
      </c>
      <c r="M10851" s="512">
        <f>SUM(C10851,C10827,C10803,C10779,C10755,C10731,C10707)/POBLA!$B$2*100000</f>
        <v>593.59887321232679</v>
      </c>
      <c r="N10851" s="42" t="s">
        <v>43</v>
      </c>
      <c r="O10851" s="42">
        <v>2265</v>
      </c>
      <c r="P10851" s="42">
        <v>414326</v>
      </c>
    </row>
    <row r="10852" spans="1:16" x14ac:dyDescent="0.25">
      <c r="A10852" s="402" t="s">
        <v>28</v>
      </c>
      <c r="B10852" s="2">
        <v>44345</v>
      </c>
      <c r="C10852" s="4">
        <v>298</v>
      </c>
      <c r="D10852" s="39">
        <f t="shared" si="1078"/>
        <v>22921</v>
      </c>
      <c r="F10852" s="39">
        <f t="shared" si="1088"/>
        <v>168</v>
      </c>
      <c r="G10852" s="169">
        <f>SUM(C10852,C10828,C10804,C10780,C10756,C10732,C10708,C10684,C10660,C10636,C10612,C10588,C10564,C10540)/POBLA!$B$3*100000</f>
        <v>1279.1319041589841</v>
      </c>
      <c r="H10852" s="258">
        <f t="shared" si="1087"/>
        <v>1.9902621722846443</v>
      </c>
      <c r="I10852" s="310">
        <f t="shared" si="1089"/>
        <v>2545.807842210053</v>
      </c>
      <c r="J10852" s="552">
        <f t="shared" si="1090"/>
        <v>403.42857142857144</v>
      </c>
      <c r="K10852" s="310">
        <f>J10852/POBLA!$B$3*100000</f>
        <v>97.109212789530915</v>
      </c>
      <c r="L10852" s="202">
        <f t="shared" si="1086"/>
        <v>0.13413654618473903</v>
      </c>
      <c r="M10852" s="512">
        <f>SUM(C10852,C10828,C10804,C10780,C10756,C10732,C10708)/POBLA!$B$3*100000</f>
        <v>679.76448952671637</v>
      </c>
      <c r="N10852" s="42" t="s">
        <v>28</v>
      </c>
      <c r="O10852" s="42">
        <v>298</v>
      </c>
      <c r="P10852" s="42">
        <v>22921</v>
      </c>
    </row>
    <row r="10853" spans="1:16" x14ac:dyDescent="0.25">
      <c r="A10853" s="402" t="s">
        <v>15</v>
      </c>
      <c r="B10853" s="2">
        <v>44345</v>
      </c>
      <c r="C10853" s="4">
        <v>700</v>
      </c>
      <c r="D10853" s="39">
        <f t="shared" si="1078"/>
        <v>57375</v>
      </c>
      <c r="E10853" s="1">
        <v>3</v>
      </c>
      <c r="F10853" s="39">
        <f t="shared" si="1088"/>
        <v>1208</v>
      </c>
      <c r="G10853" s="169">
        <f>SUM(C10853,C10829,C10805,C10781,C10757,C10733,C10709,C10685,C10661,C10637,C10613,C10589,C10565,C10541)/POBLA!$B$4*100000</f>
        <v>690.0553820916017</v>
      </c>
      <c r="H10853" s="258">
        <f t="shared" si="1087"/>
        <v>2.0599752168525405</v>
      </c>
      <c r="I10853" s="310">
        <f t="shared" si="1089"/>
        <v>1421.49698536441</v>
      </c>
      <c r="J10853" s="552">
        <f t="shared" si="1090"/>
        <v>636.42857142857144</v>
      </c>
      <c r="K10853" s="310">
        <f>J10853/POBLA!$B$4*100000</f>
        <v>52.835774907501815</v>
      </c>
      <c r="L10853" s="202">
        <f t="shared" si="1086"/>
        <v>0.15504277936219868</v>
      </c>
      <c r="M10853" s="512">
        <f>SUM(C10853,C10829,C10805,C10781,C10757,C10733,C10709)/POBLA!$B$4*100000</f>
        <v>369.85042435251273</v>
      </c>
      <c r="N10853" s="42" t="s">
        <v>15</v>
      </c>
      <c r="O10853" s="42">
        <v>700</v>
      </c>
      <c r="P10853" s="42">
        <v>57375</v>
      </c>
    </row>
    <row r="10854" spans="1:16" x14ac:dyDescent="0.25">
      <c r="A10854" s="402" t="s">
        <v>29</v>
      </c>
      <c r="B10854" s="2">
        <v>44345</v>
      </c>
      <c r="C10854" s="4">
        <v>313</v>
      </c>
      <c r="D10854" s="39">
        <f t="shared" si="1078"/>
        <v>62174</v>
      </c>
      <c r="F10854" s="39">
        <f t="shared" si="1088"/>
        <v>1040</v>
      </c>
      <c r="G10854" s="169">
        <f>SUM(C10854,C10830,C10806,C10782,C10758,C10734,C10710,C10686,C10662,C10638,C10614,C10590,C10566,C10542)/POBLA!$B$5*100000</f>
        <v>718.90842237566119</v>
      </c>
      <c r="H10854" s="258">
        <f t="shared" si="1087"/>
        <v>1.6264619883040936</v>
      </c>
      <c r="I10854" s="310">
        <f t="shared" si="1089"/>
        <v>1169.2772220656771</v>
      </c>
      <c r="J10854" s="552">
        <f t="shared" si="1090"/>
        <v>340.42857142857144</v>
      </c>
      <c r="K10854" s="310">
        <f>J10854/POBLA!$B$5*100000</f>
        <v>54.997071284789747</v>
      </c>
      <c r="L10854" s="202">
        <f t="shared" si="1086"/>
        <v>0.15287856797290766</v>
      </c>
      <c r="M10854" s="512">
        <f>SUM(C10854,C10830,C10806,C10782,C10758,C10734,C10710)/POBLA!$B$5*100000</f>
        <v>384.97949899352818</v>
      </c>
      <c r="N10854" s="42" t="s">
        <v>29</v>
      </c>
      <c r="O10854" s="42">
        <v>313</v>
      </c>
      <c r="P10854" s="42">
        <v>62174</v>
      </c>
    </row>
    <row r="10855" spans="1:16" x14ac:dyDescent="0.25">
      <c r="A10855" s="402" t="s">
        <v>30</v>
      </c>
      <c r="B10855" s="2">
        <v>44345</v>
      </c>
      <c r="C10855" s="4">
        <v>749</v>
      </c>
      <c r="D10855" s="39">
        <f t="shared" si="1078"/>
        <v>50493</v>
      </c>
      <c r="F10855" s="39">
        <f t="shared" si="1088"/>
        <v>602</v>
      </c>
      <c r="G10855" s="169">
        <f>SUM(C10855,C10831,C10807,C10783,C10759,C10735,C10711,C10687,C10663,C10639,C10615,C10591,C10567,C10543)/POBLA!$B$6*100000</f>
        <v>908.63587737698299</v>
      </c>
      <c r="H10855" s="258">
        <f t="shared" si="1087"/>
        <v>3.8256949661908339</v>
      </c>
      <c r="I10855" s="310">
        <f t="shared" si="1089"/>
        <v>3476.1637021815159</v>
      </c>
      <c r="J10855" s="552">
        <f t="shared" si="1090"/>
        <v>956.28571428571433</v>
      </c>
      <c r="K10855" s="310">
        <f>J10855/POBLA!$B$6*100000</f>
        <v>85.321632857725362</v>
      </c>
      <c r="L10855" s="202">
        <f t="shared" si="1086"/>
        <v>0.91805157593123199</v>
      </c>
      <c r="M10855" s="512">
        <f>SUM(C10855,C10831,C10807,C10783,C10759,C10735,C10711)/POBLA!$B$6*100000</f>
        <v>597.25143000407741</v>
      </c>
      <c r="N10855" s="42" t="s">
        <v>30</v>
      </c>
      <c r="O10855" s="42">
        <v>749</v>
      </c>
      <c r="P10855" s="42">
        <v>50493</v>
      </c>
    </row>
    <row r="10856" spans="1:16" x14ac:dyDescent="0.25">
      <c r="A10856" s="402" t="s">
        <v>20</v>
      </c>
      <c r="B10856" s="2">
        <v>44345</v>
      </c>
      <c r="C10856" s="4">
        <v>3393</v>
      </c>
      <c r="D10856" s="39">
        <f t="shared" si="1078"/>
        <v>304876</v>
      </c>
      <c r="E10856" s="1">
        <v>12</v>
      </c>
      <c r="F10856" s="39">
        <f t="shared" si="1088"/>
        <v>3857</v>
      </c>
      <c r="G10856" s="169">
        <f>SUM(C10856,C10832,C10808,C10784,C10760,C10736,C10712,C10688,C10664,C10640,C10616,C10592,C10568,C10544)/POBLA!$B$7*100000</f>
        <v>1332.2075815394433</v>
      </c>
      <c r="H10856" s="258">
        <f t="shared" si="1087"/>
        <v>1.9099123141441099</v>
      </c>
      <c r="I10856" s="310">
        <f t="shared" si="1089"/>
        <v>2544.3996649783262</v>
      </c>
      <c r="J10856" s="552">
        <f t="shared" si="1090"/>
        <v>3851.2857142857142</v>
      </c>
      <c r="K10856" s="310">
        <f>J10856/POBLA!$B$7*100000</f>
        <v>102.41555436944286</v>
      </c>
      <c r="L10856" s="202">
        <f t="shared" si="1086"/>
        <v>0.16513959719941229</v>
      </c>
      <c r="M10856" s="512">
        <f>SUM(C10856,C10832,C10808,C10784,C10760,C10736,C10712)/POBLA!$B$7*100000</f>
        <v>716.90888058610005</v>
      </c>
      <c r="N10856" s="42" t="s">
        <v>20</v>
      </c>
      <c r="O10856" s="42">
        <v>3393</v>
      </c>
      <c r="P10856" s="42">
        <v>304876</v>
      </c>
    </row>
    <row r="10857" spans="1:16" x14ac:dyDescent="0.25">
      <c r="A10857" s="402" t="s">
        <v>31</v>
      </c>
      <c r="B10857" s="2">
        <v>44345</v>
      </c>
      <c r="C10857" s="4">
        <v>1145</v>
      </c>
      <c r="D10857" s="39">
        <f t="shared" si="1078"/>
        <v>84296</v>
      </c>
      <c r="E10857" s="1">
        <v>3</v>
      </c>
      <c r="F10857" s="39">
        <f t="shared" si="1088"/>
        <v>1302</v>
      </c>
      <c r="G10857" s="169">
        <f>SUM(C10857,C10833,C10809,C10785,C10761,C10737,C10713,C10689,C10665,C10641,C10617,C10593,C10569,C10545)/POBLA!$B$8*100000</f>
        <v>910.19877182691289</v>
      </c>
      <c r="H10857" s="258">
        <f t="shared" si="1087"/>
        <v>1.5102358434095535</v>
      </c>
      <c r="I10857" s="310">
        <f t="shared" si="1089"/>
        <v>1374.6148098403576</v>
      </c>
      <c r="J10857" s="552">
        <f t="shared" si="1090"/>
        <v>961.57142857142856</v>
      </c>
      <c r="K10857" s="310">
        <f>J10857/POBLA!$B$8*100000</f>
        <v>69.379400183080804</v>
      </c>
      <c r="L10857" s="202">
        <f t="shared" si="1086"/>
        <v>0.14394969408565594</v>
      </c>
      <c r="M10857" s="512">
        <f>SUM(C10857,C10833,C10809,C10785,C10761,C10737,C10713)/POBLA!$B$8*100000</f>
        <v>485.65580128156563</v>
      </c>
      <c r="N10857" s="42" t="s">
        <v>31</v>
      </c>
      <c r="O10857" s="42">
        <v>1145</v>
      </c>
      <c r="P10857" s="42">
        <v>84296</v>
      </c>
    </row>
    <row r="10858" spans="1:16" x14ac:dyDescent="0.25">
      <c r="A10858" s="402" t="s">
        <v>41</v>
      </c>
      <c r="B10858" s="2">
        <v>44345</v>
      </c>
      <c r="C10858" s="4">
        <v>1021</v>
      </c>
      <c r="D10858" s="39">
        <f t="shared" si="1078"/>
        <v>28870</v>
      </c>
      <c r="E10858" s="1">
        <v>12</v>
      </c>
      <c r="F10858" s="39">
        <f t="shared" si="1088"/>
        <v>464</v>
      </c>
      <c r="G10858" s="169">
        <f>SUM(C10858,C10834,C10810,C10786,C10762,C10738,C10714,C10690,C10666,C10642,C10618,C10594,C10570,C10546)/POBLA!$B$9*100000</f>
        <v>3622.8112354240711</v>
      </c>
      <c r="H10858" s="258">
        <f t="shared" si="1087"/>
        <v>9.0937370385732059</v>
      </c>
      <c r="I10858" s="310">
        <f>G10858*H10858</f>
        <v>32944.892715335031</v>
      </c>
      <c r="J10858" s="552">
        <f t="shared" si="1090"/>
        <v>939.14285714285711</v>
      </c>
      <c r="K10858" s="310">
        <f>J10858/POBLA!$B$9*100000</f>
        <v>155.18072038884407</v>
      </c>
      <c r="L10858" s="202">
        <f>(SUM(C10858,C10834,C10810,C10786,C10762,C10738,C10714)/SUM(C10690,C10666,C10642,C10618,C10594,C10570,C10546))-1</f>
        <v>-0.57175428310859222</v>
      </c>
      <c r="M10858" s="512">
        <f>SUM(C10858,C10834,C10810,C10786,C10762,C10738,C10714)/POBLA!$B$9*100000</f>
        <v>1086.2650427219087</v>
      </c>
      <c r="N10858" s="42" t="s">
        <v>41</v>
      </c>
      <c r="O10858" s="42">
        <v>1021</v>
      </c>
      <c r="P10858" s="42">
        <v>28870</v>
      </c>
    </row>
    <row r="10859" spans="1:16" x14ac:dyDescent="0.25">
      <c r="A10859" s="402" t="s">
        <v>32</v>
      </c>
      <c r="B10859" s="2">
        <v>44345</v>
      </c>
      <c r="C10859" s="4">
        <v>165</v>
      </c>
      <c r="D10859" s="39">
        <f t="shared" si="1078"/>
        <v>28069</v>
      </c>
      <c r="E10859" s="1">
        <v>1</v>
      </c>
      <c r="F10859" s="39">
        <f t="shared" si="1088"/>
        <v>1091</v>
      </c>
      <c r="G10859" s="169">
        <f>SUM(C10859,C10835,C10811,C10787,C10763,C10739,C10715,C10691,C10667,C10643,C10619,C10595,C10571,C10547)/POBLA!$B$10*100000</f>
        <v>245.30374986541375</v>
      </c>
      <c r="H10859" s="258">
        <f t="shared" si="1087"/>
        <v>1.5103833865814698</v>
      </c>
      <c r="I10859" s="310">
        <f t="shared" ref="I10859:I10873" si="1091">G10859*H10859</f>
        <v>370.50270846285736</v>
      </c>
      <c r="J10859" s="552">
        <f t="shared" si="1090"/>
        <v>154.42857142857142</v>
      </c>
      <c r="K10859" s="310">
        <f>J10859/POBLA!$B$10*100000</f>
        <v>20.032738052769677</v>
      </c>
      <c r="L10859" s="202">
        <f t="shared" ref="L10859:L10881" si="1092">(SUM(C10859,C10835,C10811,C10787,C10763,C10739,C10715)/SUM(C10691,C10667,C10643,C10619,C10595,C10571,C10547))-1</f>
        <v>0.33456790123456792</v>
      </c>
      <c r="M10859" s="512">
        <f>SUM(C10859,C10835,C10811,C10787,C10763,C10739,C10715)/POBLA!$B$10*100000</f>
        <v>140.22916636938777</v>
      </c>
      <c r="N10859" s="42" t="s">
        <v>32</v>
      </c>
      <c r="O10859" s="42">
        <v>165</v>
      </c>
      <c r="P10859" s="42">
        <v>28069</v>
      </c>
    </row>
    <row r="10860" spans="1:16" x14ac:dyDescent="0.25">
      <c r="A10860" s="402" t="s">
        <v>33</v>
      </c>
      <c r="B10860" s="2">
        <v>44345</v>
      </c>
      <c r="C10860" s="4">
        <v>305</v>
      </c>
      <c r="D10860" s="39">
        <f t="shared" si="1078"/>
        <v>42040</v>
      </c>
      <c r="E10860" s="1">
        <v>1</v>
      </c>
      <c r="F10860" s="39">
        <f t="shared" si="1088"/>
        <v>545</v>
      </c>
      <c r="G10860" s="169">
        <f>SUM(C10860,C10836,C10812,C10788,C10764,C10740,C10716,C10692,C10668,C10644,C10620,C10596,C10572,C10548)/POBLA!$B$11*100000</f>
        <v>2418.6168491300905</v>
      </c>
      <c r="H10860" s="258">
        <f t="shared" si="1087"/>
        <v>1.4537984236122756</v>
      </c>
      <c r="I10860" s="310">
        <f t="shared" si="1091"/>
        <v>3516.1813625874147</v>
      </c>
      <c r="J10860" s="552">
        <f t="shared" si="1090"/>
        <v>580.14285714285711</v>
      </c>
      <c r="K10860" s="310">
        <f>J10860/POBLA!$B$11*100000</f>
        <v>161.85757171394454</v>
      </c>
      <c r="L10860" s="202">
        <f t="shared" si="1092"/>
        <v>-0.11870659722222221</v>
      </c>
      <c r="M10860" s="512">
        <f>SUM(C10860,C10836,C10812,C10788,C10764,C10740,C10716)/POBLA!$B$11*100000</f>
        <v>1133.0030019976118</v>
      </c>
      <c r="N10860" s="42" t="s">
        <v>33</v>
      </c>
      <c r="O10860" s="42">
        <v>305</v>
      </c>
      <c r="P10860" s="42">
        <v>42040</v>
      </c>
    </row>
    <row r="10861" spans="1:16" x14ac:dyDescent="0.25">
      <c r="A10861" s="402" t="s">
        <v>21</v>
      </c>
      <c r="B10861" s="2">
        <v>44345</v>
      </c>
      <c r="C10861" s="4">
        <v>223</v>
      </c>
      <c r="D10861" s="39">
        <f t="shared" si="1078"/>
        <v>17180</v>
      </c>
      <c r="F10861" s="39">
        <f t="shared" si="1088"/>
        <v>534</v>
      </c>
      <c r="G10861" s="169">
        <f>SUM(C10861,C10837,C10813,C10789,C10765,C10741,C10717,C10693,C10669,C10645,C10621,C10597,C10573,C10549)/POBLA!$B$12*100000</f>
        <v>640.61026958486116</v>
      </c>
      <c r="H10861" s="258">
        <f t="shared" si="1087"/>
        <v>2.0921161825726142</v>
      </c>
      <c r="I10861" s="310">
        <f t="shared" si="1091"/>
        <v>1340.231111720693</v>
      </c>
      <c r="J10861" s="552">
        <f t="shared" si="1090"/>
        <v>185</v>
      </c>
      <c r="K10861" s="310">
        <f>J10861/POBLA!$B$12*100000</f>
        <v>47.010273650614565</v>
      </c>
      <c r="L10861" s="202">
        <f t="shared" si="1092"/>
        <v>5.6280587275693295E-2</v>
      </c>
      <c r="M10861" s="512">
        <f>SUM(C10861,C10837,C10813,C10789,C10765,C10741,C10717)/POBLA!$B$12*100000</f>
        <v>329.07191555430194</v>
      </c>
      <c r="N10861" s="42" t="s">
        <v>21</v>
      </c>
      <c r="O10861" s="42">
        <v>223</v>
      </c>
      <c r="P10861" s="42">
        <v>17180</v>
      </c>
    </row>
    <row r="10862" spans="1:16" x14ac:dyDescent="0.25">
      <c r="A10862" s="402" t="s">
        <v>17</v>
      </c>
      <c r="B10862" s="2">
        <v>44345</v>
      </c>
      <c r="C10862" s="4">
        <v>660</v>
      </c>
      <c r="D10862" s="39">
        <f t="shared" si="1078"/>
        <v>119428</v>
      </c>
      <c r="E10862" s="1">
        <v>34</v>
      </c>
      <c r="F10862" s="39">
        <f t="shared" si="1088"/>
        <v>2546</v>
      </c>
      <c r="G10862" s="169">
        <f>SUM(C10862,C10838,C10814,C10790,C10766,C10742,C10718,C10694,C10670,C10646,C10622,C10598,C10574,C10550)/POBLA!$B$13*100000</f>
        <v>575.32941641067998</v>
      </c>
      <c r="H10862" s="258">
        <f t="shared" si="1087"/>
        <v>1.0418524247111274</v>
      </c>
      <c r="I10862" s="310">
        <f t="shared" si="1091"/>
        <v>599.40834749510486</v>
      </c>
      <c r="J10862" s="552">
        <f t="shared" si="1090"/>
        <v>710.14285714285711</v>
      </c>
      <c r="K10862" s="310">
        <f>J10862/POBLA!$B$13*100000</f>
        <v>35.679510572719664</v>
      </c>
      <c r="L10862" s="202">
        <f t="shared" si="1092"/>
        <v>-0.23287037037037039</v>
      </c>
      <c r="M10862" s="512">
        <f>SUM(C10862,C10838,C10814,C10790,C10766,C10742,C10718)/POBLA!$B$13*100000</f>
        <v>249.75657400903768</v>
      </c>
      <c r="N10862" s="42" t="s">
        <v>17</v>
      </c>
      <c r="O10862" s="42">
        <v>660</v>
      </c>
      <c r="P10862" s="42">
        <v>119428</v>
      </c>
    </row>
    <row r="10863" spans="1:16" x14ac:dyDescent="0.25">
      <c r="A10863" s="402" t="s">
        <v>23</v>
      </c>
      <c r="B10863" s="2">
        <v>44345</v>
      </c>
      <c r="C10863" s="4">
        <v>199</v>
      </c>
      <c r="D10863" s="39">
        <f t="shared" si="1078"/>
        <v>20075</v>
      </c>
      <c r="E10863" s="1">
        <v>6</v>
      </c>
      <c r="F10863" s="39">
        <f t="shared" si="1088"/>
        <v>292</v>
      </c>
      <c r="G10863" s="169">
        <f>SUM(C10863,C10839,C10815,C10791,C10767,C10743,C10719,C10695,C10671,C10647,C10623,C10599,C10575,C10551)/POBLA!$B$14*100000</f>
        <v>180.52888541450287</v>
      </c>
      <c r="H10863" s="258">
        <f t="shared" si="1087"/>
        <v>1.1031976744186047</v>
      </c>
      <c r="I10863" s="310">
        <f t="shared" si="1091"/>
        <v>199.15904655466232</v>
      </c>
      <c r="J10863" s="552">
        <f t="shared" si="1090"/>
        <v>170.85714285714286</v>
      </c>
      <c r="K10863" s="310">
        <f>J10863/POBLA!$B$14*100000</f>
        <v>13.54617899214163</v>
      </c>
      <c r="L10863" s="202">
        <f t="shared" si="1092"/>
        <v>0.1063829787234043</v>
      </c>
      <c r="M10863" s="512">
        <f>SUM(C10863,C10839,C10815,C10791,C10767,C10743,C10719)/POBLA!$B$14*100000</f>
        <v>94.82325294499141</v>
      </c>
      <c r="N10863" s="42" t="s">
        <v>23</v>
      </c>
      <c r="O10863" s="42">
        <v>199</v>
      </c>
      <c r="P10863" s="42">
        <v>20075</v>
      </c>
    </row>
    <row r="10864" spans="1:16" x14ac:dyDescent="0.25">
      <c r="A10864" s="402" t="s">
        <v>19</v>
      </c>
      <c r="B10864" s="2">
        <v>44345</v>
      </c>
      <c r="C10864" s="4">
        <v>628</v>
      </c>
      <c r="D10864" s="39">
        <f t="shared" si="1078"/>
        <v>88950</v>
      </c>
      <c r="E10864" s="1">
        <v>1</v>
      </c>
      <c r="F10864" s="39">
        <f t="shared" si="1088"/>
        <v>1308</v>
      </c>
      <c r="G10864" s="169">
        <f>SUM(C10864,C10840,C10816,C10792,C10768,C10744,C10720,C10696,C10672,C10648,C10624,C10600,C10576,C10552)/POBLA!$B$15*100000</f>
        <v>1652.5689812772096</v>
      </c>
      <c r="H10864" s="258">
        <f t="shared" si="1087"/>
        <v>1.6828707253488728</v>
      </c>
      <c r="I10864" s="310">
        <f t="shared" si="1091"/>
        <v>2781.0599602110256</v>
      </c>
      <c r="J10864" s="552">
        <f t="shared" si="1090"/>
        <v>872.42857142857144</v>
      </c>
      <c r="K10864" s="310">
        <f>J10864/POBLA!$B$15*100000</f>
        <v>131.37856711525839</v>
      </c>
      <c r="L10864" s="202">
        <f t="shared" si="1092"/>
        <v>0.25477707006369421</v>
      </c>
      <c r="M10864" s="512">
        <f>SUM(C10864,C10840,C10816,C10792,C10768,C10744,C10720)/POBLA!$B$15*100000</f>
        <v>919.64996980680883</v>
      </c>
      <c r="N10864" s="42" t="s">
        <v>19</v>
      </c>
      <c r="O10864" s="42">
        <v>628</v>
      </c>
      <c r="P10864" s="42">
        <v>88950</v>
      </c>
    </row>
    <row r="10865" spans="1:16" x14ac:dyDescent="0.25">
      <c r="A10865" s="402" t="s">
        <v>18</v>
      </c>
      <c r="B10865" s="2">
        <v>44345</v>
      </c>
      <c r="C10865" s="4">
        <v>463</v>
      </c>
      <c r="D10865" s="39">
        <f t="shared" si="1078"/>
        <v>73444</v>
      </c>
      <c r="E10865" s="1">
        <v>6</v>
      </c>
      <c r="F10865" s="39">
        <f t="shared" si="1088"/>
        <v>1581</v>
      </c>
      <c r="G10865" s="169">
        <f>SUM(C10865,C10841,C10817,C10793,C10769,C10745,C10721,C10697,C10673,C10649,C10625,C10601,C10577,C10553)/POBLA!$B$16*100000</f>
        <v>957.45107743342112</v>
      </c>
      <c r="H10865" s="258">
        <f t="shared" si="1087"/>
        <v>1.534076296613802</v>
      </c>
      <c r="I10865" s="310">
        <f t="shared" si="1091"/>
        <v>1468.8030030579573</v>
      </c>
      <c r="J10865" s="552">
        <f t="shared" si="1090"/>
        <v>517.71428571428567</v>
      </c>
      <c r="K10865" s="310">
        <f>J10865/POBLA!$B$16*100000</f>
        <v>69.249245691508364</v>
      </c>
      <c r="L10865" s="202">
        <f t="shared" si="1092"/>
        <v>2.5466893039049143E-2</v>
      </c>
      <c r="M10865" s="512">
        <f>SUM(C10865,C10841,C10817,C10793,C10769,C10745,C10721)/POBLA!$B$16*100000</f>
        <v>484.74471984055856</v>
      </c>
      <c r="N10865" s="42" t="s">
        <v>18</v>
      </c>
      <c r="O10865" s="42">
        <v>463</v>
      </c>
      <c r="P10865" s="42">
        <v>73444</v>
      </c>
    </row>
    <row r="10866" spans="1:16" x14ac:dyDescent="0.25">
      <c r="A10866" s="402" t="s">
        <v>34</v>
      </c>
      <c r="B10866" s="2">
        <v>44345</v>
      </c>
      <c r="C10866" s="4">
        <v>508</v>
      </c>
      <c r="D10866" s="39">
        <f t="shared" si="1078"/>
        <v>44665</v>
      </c>
      <c r="E10866" s="1">
        <v>2</v>
      </c>
      <c r="F10866" s="39">
        <f t="shared" si="1088"/>
        <v>1386</v>
      </c>
      <c r="G10866" s="169">
        <f>SUM(C10866,C10842,C10818,C10794,C10770,C10746,C10722,C10698,C10674,C10650,C10626,C10602,C10578,C10554)/POBLA!$B$17*100000</f>
        <v>442.36262783479611</v>
      </c>
      <c r="H10866" s="258">
        <f t="shared" ref="H10866:H10889" si="1093">SUM(C10866,C10842,C10818,C10794,C10770,C10746,C10722,C10698,C10674,C10650,C10626,C10602,C10578,C10554)/SUM(C10530,C10506,C10482,C10458,C10434,C10410,C10386,C10362,C10338,C10314,C10290,C10266,C10242,C10218)</f>
        <v>1.8258475804114749</v>
      </c>
      <c r="I10866" s="310">
        <f t="shared" si="1091"/>
        <v>807.68673369662429</v>
      </c>
      <c r="J10866" s="552">
        <f t="shared" si="1090"/>
        <v>465.57142857142856</v>
      </c>
      <c r="K10866" s="310">
        <f>J10866/POBLA!$B$17*100000</f>
        <v>32.685510329734512</v>
      </c>
      <c r="L10866" s="202">
        <f t="shared" si="1092"/>
        <v>7.1334648257725286E-2</v>
      </c>
      <c r="M10866" s="512">
        <f>SUM(C10866,C10842,C10818,C10794,C10770,C10746,C10722)/POBLA!$B$17*100000</f>
        <v>228.79857230814162</v>
      </c>
      <c r="N10866" s="42" t="s">
        <v>34</v>
      </c>
      <c r="O10866" s="42">
        <v>508</v>
      </c>
      <c r="P10866" s="42">
        <v>44665</v>
      </c>
    </row>
    <row r="10867" spans="1:16" x14ac:dyDescent="0.25">
      <c r="A10867" s="402" t="s">
        <v>35</v>
      </c>
      <c r="B10867" s="2">
        <v>44345</v>
      </c>
      <c r="C10867" s="4">
        <v>462</v>
      </c>
      <c r="D10867" s="39">
        <f t="shared" ref="D10867:D10897" si="1094">C10867+D10843</f>
        <v>36354</v>
      </c>
      <c r="E10867" s="1">
        <v>7</v>
      </c>
      <c r="F10867" s="39">
        <f t="shared" si="1088"/>
        <v>624</v>
      </c>
      <c r="G10867" s="169">
        <f>SUM(C10867,C10843,C10819,C10795,C10771,C10747,C10723,C10699,C10675,C10651,C10627,C10603,C10579,C10555)/POBLA!$B$18*100000</f>
        <v>946.98400060418544</v>
      </c>
      <c r="H10867" s="258">
        <f t="shared" si="1093"/>
        <v>1.4172413793103449</v>
      </c>
      <c r="I10867" s="310">
        <f t="shared" si="1091"/>
        <v>1342.1049112011042</v>
      </c>
      <c r="J10867" s="552">
        <f t="shared" si="1090"/>
        <v>491</v>
      </c>
      <c r="K10867" s="310">
        <f>J10867/POBLA!$B$18*100000</f>
        <v>62.85065481165924</v>
      </c>
      <c r="L10867" s="202">
        <f t="shared" si="1092"/>
        <v>-0.13228982580156523</v>
      </c>
      <c r="M10867" s="512">
        <f>SUM(C10867,C10843,C10819,C10795,C10771,C10747,C10723)/POBLA!$B$18*100000</f>
        <v>439.95458368161474</v>
      </c>
      <c r="N10867" s="42" t="s">
        <v>35</v>
      </c>
      <c r="O10867" s="42">
        <v>462</v>
      </c>
      <c r="P10867" s="42">
        <v>36354</v>
      </c>
    </row>
    <row r="10868" spans="1:16" x14ac:dyDescent="0.25">
      <c r="A10868" s="402" t="s">
        <v>36</v>
      </c>
      <c r="B10868" s="2">
        <v>44345</v>
      </c>
      <c r="C10868" s="4">
        <v>581</v>
      </c>
      <c r="D10868" s="39">
        <f t="shared" si="1094"/>
        <v>52078</v>
      </c>
      <c r="F10868" s="39">
        <f t="shared" si="1088"/>
        <v>681</v>
      </c>
      <c r="G10868" s="169">
        <f>SUM(C10868,C10844,C10820,C10796,C10772,C10748,C10724,C10700,C10676,C10652,C10628,C10604,C10580,C10556)/POBLA!$B$19*100000</f>
        <v>1486.6385483388678</v>
      </c>
      <c r="H10868" s="258">
        <f t="shared" si="1093"/>
        <v>1.1590490797546011</v>
      </c>
      <c r="I10868" s="310">
        <f t="shared" si="1091"/>
        <v>1723.0870413798809</v>
      </c>
      <c r="J10868" s="552">
        <f t="shared" si="1090"/>
        <v>580</v>
      </c>
      <c r="K10868" s="310">
        <f>J10868/POBLA!$B$19*100000</f>
        <v>114.09955776585197</v>
      </c>
      <c r="L10868" s="202">
        <f t="shared" si="1092"/>
        <v>0.16099513869030591</v>
      </c>
      <c r="M10868" s="512">
        <f>SUM(C10868,C10844,C10820,C10796,C10772,C10748,C10724)/POBLA!$B$19*100000</f>
        <v>798.6969043609638</v>
      </c>
      <c r="N10868" s="42" t="s">
        <v>36</v>
      </c>
      <c r="O10868" s="42">
        <v>581</v>
      </c>
      <c r="P10868" s="42">
        <v>52078</v>
      </c>
    </row>
    <row r="10869" spans="1:16" x14ac:dyDescent="0.25">
      <c r="A10869" s="402" t="s">
        <v>37</v>
      </c>
      <c r="B10869" s="2">
        <v>44345</v>
      </c>
      <c r="C10869" s="4">
        <v>188</v>
      </c>
      <c r="D10869" s="39">
        <f t="shared" si="1094"/>
        <v>51213</v>
      </c>
      <c r="E10869" s="1">
        <v>2</v>
      </c>
      <c r="F10869" s="39">
        <f t="shared" si="1088"/>
        <v>785</v>
      </c>
      <c r="G10869" s="169">
        <f>SUM(C10869,C10845,C10821,C10797,C10773,C10749,C10725,C10701,C10677,C10653,C10629,C10605,C10581,C10557)/POBLA!$B$20*100000</f>
        <v>899.37598783695842</v>
      </c>
      <c r="H10869" s="258">
        <f t="shared" si="1093"/>
        <v>1.0861955085865258</v>
      </c>
      <c r="I10869" s="310">
        <f t="shared" si="1091"/>
        <v>976.89815851907406</v>
      </c>
      <c r="J10869" s="552">
        <f t="shared" si="1090"/>
        <v>193</v>
      </c>
      <c r="K10869" s="310">
        <f>J10869/POBLA!$B$20*100000</f>
        <v>52.77578767179476</v>
      </c>
      <c r="L10869" s="202">
        <f t="shared" si="1092"/>
        <v>-0.30288957688338491</v>
      </c>
      <c r="M10869" s="512">
        <f>SUM(C10869,C10845,C10821,C10797,C10773,C10749,C10725)/POBLA!$B$20*100000</f>
        <v>369.4305137025633</v>
      </c>
      <c r="N10869" s="42" t="s">
        <v>37</v>
      </c>
      <c r="O10869" s="42">
        <v>188</v>
      </c>
      <c r="P10869" s="42">
        <v>51213</v>
      </c>
    </row>
    <row r="10870" spans="1:16" x14ac:dyDescent="0.25">
      <c r="A10870" s="402" t="s">
        <v>22</v>
      </c>
      <c r="B10870" s="2">
        <v>44345</v>
      </c>
      <c r="C10870" s="4">
        <v>3197</v>
      </c>
      <c r="D10870" s="39">
        <f t="shared" si="1094"/>
        <v>340096</v>
      </c>
      <c r="E10870" s="1">
        <v>55</v>
      </c>
      <c r="F10870" s="39">
        <f t="shared" si="1088"/>
        <v>5498</v>
      </c>
      <c r="G10870" s="169">
        <f>SUM(C10870,C10846,C10822,C10798,C10774,C10750,C10726,C10702,C10678,C10654,C10630,C10606,C10582,C10558)/POBLA!$B$21*100000</f>
        <v>1087.3431817166411</v>
      </c>
      <c r="H10870" s="258">
        <f t="shared" si="1093"/>
        <v>1.4894449393810281</v>
      </c>
      <c r="I10870" s="310">
        <f t="shared" si="1091"/>
        <v>1619.5377993783168</v>
      </c>
      <c r="J10870" s="552">
        <f t="shared" si="1090"/>
        <v>2771.1428571428573</v>
      </c>
      <c r="K10870" s="310">
        <f>J10870/POBLA!$B$21*100000</f>
        <v>78.36016152906295</v>
      </c>
      <c r="L10870" s="202">
        <f t="shared" si="1092"/>
        <v>1.8000524796641271E-2</v>
      </c>
      <c r="M10870" s="512">
        <f>SUM(C10870,C10846,C10822,C10798,C10774,C10750,C10726)/POBLA!$B$21*100000</f>
        <v>548.52113070344058</v>
      </c>
      <c r="N10870" s="42" t="s">
        <v>22</v>
      </c>
      <c r="O10870" s="42">
        <v>3197</v>
      </c>
      <c r="P10870" s="42">
        <v>340096</v>
      </c>
    </row>
    <row r="10871" spans="1:16" x14ac:dyDescent="0.25">
      <c r="A10871" s="402" t="s">
        <v>38</v>
      </c>
      <c r="B10871" s="2">
        <v>44345</v>
      </c>
      <c r="C10871" s="4">
        <v>662</v>
      </c>
      <c r="D10871" s="39">
        <f t="shared" si="1094"/>
        <v>42961</v>
      </c>
      <c r="E10871" s="1">
        <v>6</v>
      </c>
      <c r="F10871" s="39">
        <f t="shared" si="1088"/>
        <v>499</v>
      </c>
      <c r="G10871" s="169">
        <f>SUM(C10871,C10847,C10823,C10799,C10775,C10751,C10727,C10703,C10679,C10655,C10631,C10607,C10583,C10559)/POBLA!$B$22*100000</f>
        <v>821.4140055381049</v>
      </c>
      <c r="H10871" s="258">
        <f t="shared" si="1093"/>
        <v>1.9739621714566447</v>
      </c>
      <c r="I10871" s="310">
        <f t="shared" si="1091"/>
        <v>1621.4401740368978</v>
      </c>
      <c r="J10871" s="552">
        <f t="shared" si="1090"/>
        <v>556.85714285714289</v>
      </c>
      <c r="K10871" s="310">
        <f>J10871/POBLA!$B$22*100000</f>
        <v>56.920141392084417</v>
      </c>
      <c r="L10871" s="202">
        <f t="shared" si="1092"/>
        <v>-5.7999033349444229E-2</v>
      </c>
      <c r="M10871" s="512">
        <f>SUM(C10871,C10847,C10823,C10799,C10775,C10751,C10727)/POBLA!$B$22*100000</f>
        <v>398.44098974459098</v>
      </c>
      <c r="N10871" s="42" t="s">
        <v>38</v>
      </c>
      <c r="O10871" s="42">
        <v>662</v>
      </c>
      <c r="P10871" s="42">
        <v>42961</v>
      </c>
    </row>
    <row r="10872" spans="1:16" x14ac:dyDescent="0.25">
      <c r="A10872" s="402" t="s">
        <v>39</v>
      </c>
      <c r="B10872" s="2">
        <v>44345</v>
      </c>
      <c r="C10872" s="4">
        <v>40</v>
      </c>
      <c r="D10872" s="39">
        <f t="shared" si="1094"/>
        <v>28419</v>
      </c>
      <c r="F10872" s="39">
        <f t="shared" si="1088"/>
        <v>415</v>
      </c>
      <c r="G10872" s="169">
        <f>SUM(C10872,C10848,C10824,C10800,C10776,C10752,C10728,C10704,C10680,C10656,C10632,C10608,C10584,C10560)/POBLA!$B$23*100000</f>
        <v>540.63224565967312</v>
      </c>
      <c r="H10872" s="258">
        <f t="shared" si="1093"/>
        <v>0.98964803312629401</v>
      </c>
      <c r="I10872" s="310">
        <f t="shared" si="1091"/>
        <v>535.03563856174685</v>
      </c>
      <c r="J10872" s="552">
        <f t="shared" si="1090"/>
        <v>61</v>
      </c>
      <c r="K10872" s="310">
        <f>J10872/POBLA!$B$23*100000</f>
        <v>34.496408980376636</v>
      </c>
      <c r="L10872" s="202">
        <f t="shared" si="1092"/>
        <v>-0.19281663516068048</v>
      </c>
      <c r="M10872" s="512">
        <f>SUM(C10872,C10848,C10824,C10800,C10776,C10752,C10728)/POBLA!$B$23*100000</f>
        <v>241.47486286263646</v>
      </c>
      <c r="N10872" s="42" t="s">
        <v>39</v>
      </c>
      <c r="O10872" s="42">
        <v>40</v>
      </c>
      <c r="P10872" s="42">
        <v>28419</v>
      </c>
    </row>
    <row r="10873" spans="1:16" ht="15.75" thickBot="1" x14ac:dyDescent="0.3">
      <c r="A10873" s="403" t="s">
        <v>40</v>
      </c>
      <c r="B10873" s="34">
        <v>44345</v>
      </c>
      <c r="C10873" s="27">
        <v>714</v>
      </c>
      <c r="D10873" s="67">
        <f t="shared" si="1094"/>
        <v>128142</v>
      </c>
      <c r="E10873" s="234"/>
      <c r="F10873" s="67">
        <f t="shared" si="1088"/>
        <v>1865</v>
      </c>
      <c r="G10873" s="257">
        <f>SUM(C10873,C10849,C10825,C10801,C10777,C10753,C10729,C10705,C10681,C10657,C10633,C10609,C10585,C10561)/POBLA!$B$24*100000</f>
        <v>802.3457268023717</v>
      </c>
      <c r="H10873" s="259">
        <f t="shared" si="1093"/>
        <v>1.7133316532258065</v>
      </c>
      <c r="I10873" s="312">
        <f t="shared" si="1091"/>
        <v>1374.6843305609689</v>
      </c>
      <c r="J10873" s="566">
        <f t="shared" si="1090"/>
        <v>1040.8571428571429</v>
      </c>
      <c r="K10873" s="312">
        <f>J10873/POBLA!$B$24*100000</f>
        <v>61.419966226605453</v>
      </c>
      <c r="L10873" s="262">
        <f t="shared" si="1092"/>
        <v>0.15449215655205206</v>
      </c>
      <c r="M10873" s="517">
        <f>SUM(C10873,C10849,C10825,C10801,C10777,C10753,C10729)/POBLA!$B$24*100000</f>
        <v>429.9397635862382</v>
      </c>
      <c r="N10873" s="42" t="s">
        <v>40</v>
      </c>
      <c r="O10873" s="42">
        <v>714</v>
      </c>
      <c r="P10873" s="42">
        <v>128142</v>
      </c>
    </row>
    <row r="10874" spans="1:16" x14ac:dyDescent="0.25">
      <c r="A10874" s="397" t="s">
        <v>16</v>
      </c>
      <c r="B10874" s="267">
        <v>44346</v>
      </c>
      <c r="C10874" s="389">
        <v>6446</v>
      </c>
      <c r="D10874" s="175">
        <f t="shared" si="1094"/>
        <v>1600264</v>
      </c>
      <c r="E10874" s="43">
        <v>196</v>
      </c>
      <c r="F10874" s="175">
        <f t="shared" ref="F10874:F10897" si="1095">E10874+F10850</f>
        <v>39946</v>
      </c>
      <c r="G10874" s="176">
        <f>SUM(C10874,C10850,C10826,C10802,C10778,C10754,C10730,C10706,C10682,C10658,C10634,C10610,C10586,C10562)/POBLA!$B$1*100000</f>
        <v>917.07831320664945</v>
      </c>
      <c r="H10874" s="313">
        <f t="shared" si="1093"/>
        <v>1.2678593947036569</v>
      </c>
      <c r="I10874" s="314">
        <f>G10874*H10874</f>
        <v>1162.7263550780333</v>
      </c>
      <c r="J10874" s="551">
        <f>AVERAGE(C10874,C10850,C10826,C10802,C10778,C10754,C10730)</f>
        <v>10973.285714285714</v>
      </c>
      <c r="K10874" s="314">
        <f>J10874/POBLA!$B$1*100000</f>
        <v>62.557422657315819</v>
      </c>
      <c r="L10874" s="510">
        <f t="shared" si="1092"/>
        <v>-8.6136128395179257E-2</v>
      </c>
      <c r="M10874" s="511">
        <f>SUM(C10874,C10850,C10826,C10802,C10778,C10754,C10730)/POBLA!$B$1*100000</f>
        <v>437.90195860121077</v>
      </c>
      <c r="N10874" s="42" t="s">
        <v>270</v>
      </c>
      <c r="O10874" s="42">
        <v>6446</v>
      </c>
      <c r="P10874" s="42">
        <v>1600264</v>
      </c>
    </row>
    <row r="10875" spans="1:16" x14ac:dyDescent="0.25">
      <c r="A10875" s="402" t="s">
        <v>43</v>
      </c>
      <c r="B10875" s="2">
        <v>44346</v>
      </c>
      <c r="C10875" s="4">
        <v>1819</v>
      </c>
      <c r="D10875" s="39">
        <f t="shared" si="1094"/>
        <v>416145</v>
      </c>
      <c r="E10875" s="1">
        <v>30</v>
      </c>
      <c r="F10875" s="39">
        <f t="shared" si="1095"/>
        <v>9090</v>
      </c>
      <c r="G10875" s="169">
        <f>SUM(C10875,C10851,C10827,C10803,C10779,C10755,C10731,C10707,C10683,C10659,C10635,C10611,C10587,C10563)/POBLA!$B$2*100000</f>
        <v>1236.6832853976043</v>
      </c>
      <c r="H10875" s="258">
        <f t="shared" si="1093"/>
        <v>1.1928746158188546</v>
      </c>
      <c r="I10875" s="310">
        <f t="shared" ref="I10875:I10881" si="1096">G10875*H10875</f>
        <v>1475.2080989582662</v>
      </c>
      <c r="J10875" s="552">
        <f t="shared" ref="J10875:J10897" si="1097">AVERAGE(C10875,C10851,C10827,C10803,C10779,C10755,C10731)</f>
        <v>2612.2857142857142</v>
      </c>
      <c r="K10875" s="310">
        <f>J10875/POBLA!$B$2*100000</f>
        <v>84.934537794197198</v>
      </c>
      <c r="L10875" s="202">
        <f t="shared" si="1092"/>
        <v>-7.4126582278481012E-2</v>
      </c>
      <c r="M10875" s="512">
        <f>SUM(C10875,C10851,C10827,C10803,C10779,C10755,C10731)/POBLA!$B$2*100000</f>
        <v>594.54176455938034</v>
      </c>
      <c r="N10875" s="42" t="s">
        <v>43</v>
      </c>
      <c r="O10875" s="42">
        <v>1819</v>
      </c>
      <c r="P10875" s="42">
        <v>416145</v>
      </c>
    </row>
    <row r="10876" spans="1:16" x14ac:dyDescent="0.25">
      <c r="A10876" s="402" t="s">
        <v>28</v>
      </c>
      <c r="B10876" s="2">
        <v>44346</v>
      </c>
      <c r="C10876" s="4">
        <v>497</v>
      </c>
      <c r="D10876" s="39">
        <f t="shared" si="1094"/>
        <v>23418</v>
      </c>
      <c r="F10876" s="39">
        <f t="shared" si="1095"/>
        <v>168</v>
      </c>
      <c r="G10876" s="169">
        <f>SUM(C10876,C10852,C10828,C10804,C10780,C10756,C10732,C10708,C10684,C10660,C10636,C10612,C10588,C10564)/POBLA!$B$3*100000</f>
        <v>1297.185139539474</v>
      </c>
      <c r="H10876" s="258">
        <f t="shared" si="1093"/>
        <v>1.7785478547854785</v>
      </c>
      <c r="I10876" s="310">
        <f t="shared" si="1096"/>
        <v>2307.1058471875331</v>
      </c>
      <c r="J10876" s="552">
        <f t="shared" si="1097"/>
        <v>443.85714285714283</v>
      </c>
      <c r="K10876" s="310">
        <f>J10876/POBLA!$B$3*100000</f>
        <v>106.84076633749027</v>
      </c>
      <c r="L10876" s="202">
        <f t="shared" si="1092"/>
        <v>0.36152497808939521</v>
      </c>
      <c r="M10876" s="512">
        <f>SUM(C10876,C10852,C10828,C10804,C10780,C10756,C10732)/POBLA!$B$3*100000</f>
        <v>747.88536436243191</v>
      </c>
      <c r="N10876" s="42" t="s">
        <v>28</v>
      </c>
      <c r="O10876" s="42">
        <v>497</v>
      </c>
      <c r="P10876" s="42">
        <v>23418</v>
      </c>
    </row>
    <row r="10877" spans="1:16" x14ac:dyDescent="0.25">
      <c r="A10877" s="402" t="s">
        <v>15</v>
      </c>
      <c r="B10877" s="2">
        <v>44346</v>
      </c>
      <c r="C10877" s="4">
        <v>352</v>
      </c>
      <c r="D10877" s="39">
        <f t="shared" si="1094"/>
        <v>57727</v>
      </c>
      <c r="E10877" s="1">
        <v>6</v>
      </c>
      <c r="F10877" s="39">
        <f t="shared" si="1095"/>
        <v>1214</v>
      </c>
      <c r="G10877" s="169">
        <f>SUM(C10877,C10853,C10829,C10805,C10781,C10757,C10733,C10709,C10685,C10661,C10637,C10613,C10589,C10565)/POBLA!$B$4*100000</f>
        <v>699.85164473438431</v>
      </c>
      <c r="H10877" s="258">
        <f t="shared" si="1093"/>
        <v>2.0476074811756133</v>
      </c>
      <c r="I10877" s="310">
        <f t="shared" si="1096"/>
        <v>1433.0214634711829</v>
      </c>
      <c r="J10877" s="552">
        <f t="shared" si="1097"/>
        <v>619.14285714285711</v>
      </c>
      <c r="K10877" s="310">
        <f>J10877/POBLA!$B$4*100000</f>
        <v>51.400729169273369</v>
      </c>
      <c r="L10877" s="202">
        <f t="shared" si="1092"/>
        <v>5.810546875E-2</v>
      </c>
      <c r="M10877" s="512">
        <f>SUM(C10877,C10853,C10829,C10805,C10781,C10757,C10733)/POBLA!$B$4*100000</f>
        <v>359.8051041849136</v>
      </c>
      <c r="N10877" s="42" t="s">
        <v>15</v>
      </c>
      <c r="O10877" s="42">
        <v>352</v>
      </c>
      <c r="P10877" s="42">
        <v>57727</v>
      </c>
    </row>
    <row r="10878" spans="1:16" x14ac:dyDescent="0.25">
      <c r="A10878" s="402" t="s">
        <v>29</v>
      </c>
      <c r="B10878" s="2">
        <v>44346</v>
      </c>
      <c r="C10878" s="4">
        <v>128</v>
      </c>
      <c r="D10878" s="39">
        <f t="shared" si="1094"/>
        <v>62302</v>
      </c>
      <c r="F10878" s="39">
        <f t="shared" si="1095"/>
        <v>1040</v>
      </c>
      <c r="G10878" s="169">
        <f>SUM(C10878,C10854,C10830,C10806,C10782,C10758,C10734,C10710,C10686,C10662,C10638,C10614,C10590,C10566)/POBLA!$B$5*100000</f>
        <v>716.16203064973172</v>
      </c>
      <c r="H10878" s="258">
        <f t="shared" si="1093"/>
        <v>1.5753375977256574</v>
      </c>
      <c r="I10878" s="310">
        <f t="shared" si="1096"/>
        <v>1128.196972946077</v>
      </c>
      <c r="J10878" s="552">
        <f t="shared" si="1097"/>
        <v>322</v>
      </c>
      <c r="K10878" s="310">
        <f>J10878/POBLA!$B$5*100000</f>
        <v>52.019890338193903</v>
      </c>
      <c r="L10878" s="202">
        <f t="shared" si="1092"/>
        <v>3.4419458467186859E-2</v>
      </c>
      <c r="M10878" s="512">
        <f>SUM(C10878,C10854,C10830,C10806,C10782,C10758,C10734)/POBLA!$B$5*100000</f>
        <v>364.13923236735735</v>
      </c>
      <c r="N10878" s="42" t="s">
        <v>29</v>
      </c>
      <c r="O10878" s="42">
        <v>128</v>
      </c>
      <c r="P10878" s="42">
        <v>62302</v>
      </c>
    </row>
    <row r="10879" spans="1:16" x14ac:dyDescent="0.25">
      <c r="A10879" s="402" t="s">
        <v>30</v>
      </c>
      <c r="B10879" s="2">
        <v>44346</v>
      </c>
      <c r="C10879" s="4">
        <v>620</v>
      </c>
      <c r="D10879" s="39">
        <f t="shared" si="1094"/>
        <v>51113</v>
      </c>
      <c r="F10879" s="39">
        <f t="shared" si="1095"/>
        <v>602</v>
      </c>
      <c r="G10879" s="169">
        <f>SUM(C10879,C10855,C10831,C10807,C10783,C10759,C10735,C10711,C10687,C10663,C10639,C10615,C10591,C10567)/POBLA!$B$6*100000</f>
        <v>942.450979255015</v>
      </c>
      <c r="H10879" s="258">
        <f t="shared" si="1093"/>
        <v>3.8257877580586745</v>
      </c>
      <c r="I10879" s="310">
        <f t="shared" si="1096"/>
        <v>3605.6174190042461</v>
      </c>
      <c r="J10879" s="552">
        <f t="shared" si="1097"/>
        <v>517.57142857142856</v>
      </c>
      <c r="K10879" s="310">
        <f>J10879/POBLA!$B$6*100000</f>
        <v>46.178708670979823</v>
      </c>
      <c r="L10879" s="202">
        <f t="shared" si="1092"/>
        <v>-0.47795389048991355</v>
      </c>
      <c r="M10879" s="512">
        <f>SUM(C10879,C10855,C10831,C10807,C10783,C10759,C10735)/POBLA!$B$6*100000</f>
        <v>323.25096069685873</v>
      </c>
      <c r="N10879" s="42" t="s">
        <v>30</v>
      </c>
      <c r="O10879" s="42">
        <v>620</v>
      </c>
      <c r="P10879" s="42">
        <v>51113</v>
      </c>
    </row>
    <row r="10880" spans="1:16" x14ac:dyDescent="0.25">
      <c r="A10880" s="402" t="s">
        <v>20</v>
      </c>
      <c r="B10880" s="2">
        <v>44346</v>
      </c>
      <c r="C10880" s="4">
        <v>3441</v>
      </c>
      <c r="D10880" s="39">
        <f t="shared" si="1094"/>
        <v>308317</v>
      </c>
      <c r="E10880" s="1">
        <v>15</v>
      </c>
      <c r="F10880" s="39">
        <f t="shared" si="1095"/>
        <v>3872</v>
      </c>
      <c r="G10880" s="169">
        <f>SUM(C10880,C10856,C10832,C10808,C10784,C10760,C10736,C10712,C10688,C10664,C10640,C10616,C10592,C10568)/POBLA!$B$7*100000</f>
        <v>1374.1174593466208</v>
      </c>
      <c r="H10880" s="258">
        <f t="shared" si="1093"/>
        <v>1.9049251640492517</v>
      </c>
      <c r="I10880" s="310">
        <f t="shared" si="1096"/>
        <v>2617.5909266688027</v>
      </c>
      <c r="J10880" s="552">
        <f t="shared" si="1097"/>
        <v>3882.1428571428573</v>
      </c>
      <c r="K10880" s="310">
        <f>J10880/POBLA!$B$7*100000</f>
        <v>103.23612485587782</v>
      </c>
      <c r="L10880" s="202">
        <f t="shared" si="1092"/>
        <v>0.10927422646746665</v>
      </c>
      <c r="M10880" s="512">
        <f>SUM(C10880,C10856,C10832,C10808,C10784,C10760,C10736)/POBLA!$B$7*100000</f>
        <v>722.6528739911447</v>
      </c>
      <c r="N10880" s="42" t="s">
        <v>20</v>
      </c>
      <c r="O10880" s="42">
        <v>3441</v>
      </c>
      <c r="P10880" s="42">
        <v>308317</v>
      </c>
    </row>
    <row r="10881" spans="1:16" x14ac:dyDescent="0.25">
      <c r="A10881" s="402" t="s">
        <v>31</v>
      </c>
      <c r="B10881" s="2">
        <v>44346</v>
      </c>
      <c r="C10881" s="4">
        <v>737</v>
      </c>
      <c r="D10881" s="39">
        <f t="shared" si="1094"/>
        <v>85033</v>
      </c>
      <c r="E10881" s="1">
        <v>14</v>
      </c>
      <c r="F10881" s="39">
        <f t="shared" si="1095"/>
        <v>1316</v>
      </c>
      <c r="G10881" s="169">
        <f>SUM(C10881,C10857,C10833,C10809,C10785,C10761,C10737,C10713,C10689,C10665,C10641,C10617,C10593,C10569)/POBLA!$B$8*100000</f>
        <v>934.44187823466893</v>
      </c>
      <c r="H10881" s="258">
        <f t="shared" si="1093"/>
        <v>1.5152685152685152</v>
      </c>
      <c r="I10881" s="310">
        <f t="shared" si="1096"/>
        <v>1415.9303574373696</v>
      </c>
      <c r="J10881" s="552">
        <f t="shared" si="1097"/>
        <v>956</v>
      </c>
      <c r="K10881" s="310">
        <f>J10881/POBLA!$B$8*100000</f>
        <v>68.977409898258315</v>
      </c>
      <c r="L10881" s="202">
        <f t="shared" si="1092"/>
        <v>6.9180380252436446E-2</v>
      </c>
      <c r="M10881" s="512">
        <f>SUM(C10881,C10857,C10833,C10809,C10785,C10761,C10737)/POBLA!$B$8*100000</f>
        <v>482.84186928780821</v>
      </c>
      <c r="N10881" s="42" t="s">
        <v>31</v>
      </c>
      <c r="O10881" s="42">
        <v>737</v>
      </c>
      <c r="P10881" s="42">
        <v>85033</v>
      </c>
    </row>
    <row r="10882" spans="1:16" x14ac:dyDescent="0.25">
      <c r="A10882" s="402" t="s">
        <v>41</v>
      </c>
      <c r="B10882" s="2">
        <v>44346</v>
      </c>
      <c r="C10882" s="4">
        <v>777</v>
      </c>
      <c r="D10882" s="39">
        <f t="shared" si="1094"/>
        <v>29647</v>
      </c>
      <c r="E10882" s="1">
        <v>4</v>
      </c>
      <c r="F10882" s="39">
        <f t="shared" si="1095"/>
        <v>468</v>
      </c>
      <c r="G10882" s="169">
        <f>SUM(C10882,C10858,C10834,C10810,C10786,C10762,C10738,C10714,C10690,C10666,C10642,C10618,C10594,C10570)/POBLA!$B$9*100000</f>
        <v>3549.4462097215269</v>
      </c>
      <c r="H10882" s="258">
        <f t="shared" si="1093"/>
        <v>5.9225255031706645</v>
      </c>
      <c r="I10882" s="310">
        <f>G10882*H10882</f>
        <v>21021.685699208196</v>
      </c>
      <c r="J10882" s="552">
        <f t="shared" si="1097"/>
        <v>925.57142857142856</v>
      </c>
      <c r="K10882" s="310">
        <f>J10882/POBLA!$B$9*100000</f>
        <v>152.93822442946771</v>
      </c>
      <c r="L10882" s="202">
        <f>(SUM(C10882,C10858,C10834,C10810,C10786,C10762,C10738)/SUM(C10714,C10690,C10666,C10642,C10618,C10594,C10570))-1</f>
        <v>-0.56812425009998668</v>
      </c>
      <c r="M10882" s="512">
        <f>SUM(C10882,C10858,C10834,C10810,C10786,C10762,C10738)/POBLA!$B$9*100000</f>
        <v>1070.5675710062742</v>
      </c>
      <c r="N10882" s="42" t="s">
        <v>41</v>
      </c>
      <c r="O10882" s="42">
        <v>777</v>
      </c>
      <c r="P10882" s="42">
        <v>29647</v>
      </c>
    </row>
    <row r="10883" spans="1:16" x14ac:dyDescent="0.25">
      <c r="A10883" s="402" t="s">
        <v>32</v>
      </c>
      <c r="B10883" s="2">
        <v>44346</v>
      </c>
      <c r="C10883" s="4">
        <v>143</v>
      </c>
      <c r="D10883" s="39">
        <f t="shared" si="1094"/>
        <v>28212</v>
      </c>
      <c r="E10883" s="1">
        <v>1</v>
      </c>
      <c r="F10883" s="39">
        <f t="shared" si="1095"/>
        <v>1092</v>
      </c>
      <c r="G10883" s="169">
        <f>SUM(C10883,C10859,C10835,C10811,C10787,C10763,C10739,C10715,C10691,C10667,C10643,C10619,C10595,C10571)/POBLA!$B$10*100000</f>
        <v>255.55176479897676</v>
      </c>
      <c r="H10883" s="258">
        <f t="shared" si="1093"/>
        <v>1.5709728867623605</v>
      </c>
      <c r="I10883" s="310">
        <f t="shared" ref="I10883:I10897" si="1098">G10883*H10883</f>
        <v>401.4648936634643</v>
      </c>
      <c r="J10883" s="552">
        <f t="shared" si="1097"/>
        <v>154.57142857142858</v>
      </c>
      <c r="K10883" s="310">
        <f>J10883/POBLA!$B$10*100000</f>
        <v>20.051269725343936</v>
      </c>
      <c r="L10883" s="202">
        <f t="shared" ref="L10883:L10905" si="1099">(SUM(C10883,C10859,C10835,C10811,C10787,C10763,C10739)/SUM(C10715,C10691,C10667,C10643,C10619,C10595,C10571))-1</f>
        <v>0.21846846846846857</v>
      </c>
      <c r="M10883" s="512">
        <f>SUM(C10883,C10859,C10835,C10811,C10787,C10763,C10739)/POBLA!$B$10*100000</f>
        <v>140.35888807740753</v>
      </c>
      <c r="N10883" s="42" t="s">
        <v>32</v>
      </c>
      <c r="O10883" s="42">
        <v>143</v>
      </c>
      <c r="P10883" s="42">
        <v>28212</v>
      </c>
    </row>
    <row r="10884" spans="1:16" x14ac:dyDescent="0.25">
      <c r="A10884" s="402" t="s">
        <v>33</v>
      </c>
      <c r="B10884" s="2">
        <v>44346</v>
      </c>
      <c r="C10884" s="4">
        <v>298</v>
      </c>
      <c r="D10884" s="39">
        <f t="shared" si="1094"/>
        <v>42338</v>
      </c>
      <c r="F10884" s="39">
        <f t="shared" si="1095"/>
        <v>545</v>
      </c>
      <c r="G10884" s="169">
        <f>SUM(C10884,C10860,C10836,C10812,C10788,C10764,C10740,C10716,C10692,C10668,C10644,C10620,C10596,C10572)/POBLA!$B$11*100000</f>
        <v>2440.0995457944132</v>
      </c>
      <c r="H10884" s="258">
        <f t="shared" si="1093"/>
        <v>1.4605878423513694</v>
      </c>
      <c r="I10884" s="310">
        <f t="shared" si="1098"/>
        <v>3563.9797307144186</v>
      </c>
      <c r="J10884" s="552">
        <f t="shared" si="1097"/>
        <v>550.85714285714289</v>
      </c>
      <c r="K10884" s="310">
        <f>J10884/POBLA!$B$11*100000</f>
        <v>153.68697279708698</v>
      </c>
      <c r="L10884" s="202">
        <f t="shared" si="1099"/>
        <v>-0.21145194274028634</v>
      </c>
      <c r="M10884" s="512">
        <f>SUM(C10884,C10860,C10836,C10812,C10788,C10764,C10740)/POBLA!$B$11*100000</f>
        <v>1075.8088095796088</v>
      </c>
      <c r="N10884" s="42" t="s">
        <v>33</v>
      </c>
      <c r="O10884" s="42">
        <v>298</v>
      </c>
      <c r="P10884" s="42">
        <v>42338</v>
      </c>
    </row>
    <row r="10885" spans="1:16" x14ac:dyDescent="0.25">
      <c r="A10885" s="402" t="s">
        <v>21</v>
      </c>
      <c r="B10885" s="2">
        <v>44346</v>
      </c>
      <c r="C10885" s="4">
        <v>109</v>
      </c>
      <c r="D10885" s="39">
        <f t="shared" si="1094"/>
        <v>17289</v>
      </c>
      <c r="F10885" s="39">
        <f t="shared" si="1095"/>
        <v>534</v>
      </c>
      <c r="G10885" s="169">
        <f>SUM(C10885,C10861,C10837,C10813,C10789,C10765,C10741,C10717,C10693,C10669,C10645,C10621,C10597,C10573)/POBLA!$B$12*100000</f>
        <v>618.75684507700794</v>
      </c>
      <c r="H10885" s="258">
        <f t="shared" si="1093"/>
        <v>1.8601986249045073</v>
      </c>
      <c r="I10885" s="310">
        <f t="shared" si="1098"/>
        <v>1151.0106323625014</v>
      </c>
      <c r="J10885" s="552">
        <f t="shared" si="1097"/>
        <v>169.71428571428572</v>
      </c>
      <c r="K10885" s="310">
        <f>J10885/POBLA!$B$12*100000</f>
        <v>43.126027101876531</v>
      </c>
      <c r="L10885" s="202">
        <f t="shared" si="1099"/>
        <v>-4.7313552526062508E-2</v>
      </c>
      <c r="M10885" s="512">
        <f>SUM(C10885,C10861,C10837,C10813,C10789,C10765,C10741)/POBLA!$B$12*100000</f>
        <v>301.88218971313569</v>
      </c>
      <c r="N10885" s="42" t="s">
        <v>21</v>
      </c>
      <c r="O10885" s="42">
        <v>109</v>
      </c>
      <c r="P10885" s="42">
        <v>17289</v>
      </c>
    </row>
    <row r="10886" spans="1:16" x14ac:dyDescent="0.25">
      <c r="A10886" s="402" t="s">
        <v>17</v>
      </c>
      <c r="B10886" s="2">
        <v>44346</v>
      </c>
      <c r="C10886" s="4">
        <v>450</v>
      </c>
      <c r="D10886" s="39">
        <f t="shared" si="1094"/>
        <v>119878</v>
      </c>
      <c r="E10886" s="1">
        <v>14</v>
      </c>
      <c r="F10886" s="39">
        <f t="shared" si="1095"/>
        <v>2560</v>
      </c>
      <c r="G10886" s="169">
        <f>SUM(C10886,C10862,C10838,C10814,C10790,C10766,C10742,C10718,C10694,C10670,C10646,C10622,C10598,C10574)/POBLA!$B$13*100000</f>
        <v>579.85126144403614</v>
      </c>
      <c r="H10886" s="258">
        <f t="shared" si="1093"/>
        <v>1.0469926517282047</v>
      </c>
      <c r="I10886" s="310">
        <f t="shared" si="1098"/>
        <v>607.10000982723591</v>
      </c>
      <c r="J10886" s="552">
        <f t="shared" si="1097"/>
        <v>715</v>
      </c>
      <c r="K10886" s="310">
        <f>J10886/POBLA!$B$13*100000</f>
        <v>35.92354665388492</v>
      </c>
      <c r="L10886" s="202">
        <f t="shared" si="1099"/>
        <v>-0.23424112607099146</v>
      </c>
      <c r="M10886" s="512">
        <f>SUM(C10886,C10862,C10838,C10814,C10790,C10766,C10742)/POBLA!$B$13*100000</f>
        <v>251.46482657719443</v>
      </c>
      <c r="N10886" s="42" t="s">
        <v>17</v>
      </c>
      <c r="O10886" s="42">
        <v>450</v>
      </c>
      <c r="P10886" s="42">
        <v>119878</v>
      </c>
    </row>
    <row r="10887" spans="1:16" x14ac:dyDescent="0.25">
      <c r="A10887" s="402" t="s">
        <v>23</v>
      </c>
      <c r="B10887" s="2">
        <v>44346</v>
      </c>
      <c r="C10887" s="4">
        <v>189</v>
      </c>
      <c r="D10887" s="39">
        <f t="shared" si="1094"/>
        <v>20264</v>
      </c>
      <c r="E10887" s="1">
        <v>1</v>
      </c>
      <c r="F10887" s="39">
        <f t="shared" si="1095"/>
        <v>293</v>
      </c>
      <c r="G10887" s="169">
        <f>SUM(C10887,C10863,C10839,C10815,C10791,C10767,C10743,C10719,C10695,C10671,C10647,C10623,C10599,C10575)/POBLA!$B$14*100000</f>
        <v>185.99945769979084</v>
      </c>
      <c r="H10887" s="258">
        <f t="shared" si="1093"/>
        <v>1.1268011527377522</v>
      </c>
      <c r="I10887" s="310">
        <f t="shared" si="1098"/>
        <v>209.5844033447211</v>
      </c>
      <c r="J10887" s="552">
        <f t="shared" si="1097"/>
        <v>178</v>
      </c>
      <c r="K10887" s="310">
        <f>J10887/POBLA!$B$14*100000</f>
        <v>14.112490822916783</v>
      </c>
      <c r="L10887" s="202">
        <f t="shared" si="1099"/>
        <v>0.1327272727272728</v>
      </c>
      <c r="M10887" s="512">
        <f>SUM(C10887,C10863,C10839,C10815,C10791,C10767,C10743)/POBLA!$B$14*100000</f>
        <v>98.787435760417466</v>
      </c>
      <c r="N10887" s="42" t="s">
        <v>23</v>
      </c>
      <c r="O10887" s="42">
        <v>189</v>
      </c>
      <c r="P10887" s="42">
        <v>20264</v>
      </c>
    </row>
    <row r="10888" spans="1:16" x14ac:dyDescent="0.25">
      <c r="A10888" s="402" t="s">
        <v>19</v>
      </c>
      <c r="B10888" s="2">
        <v>44346</v>
      </c>
      <c r="C10888" s="4">
        <v>600</v>
      </c>
      <c r="D10888" s="39">
        <f t="shared" si="1094"/>
        <v>89550</v>
      </c>
      <c r="E10888" s="1">
        <v>5</v>
      </c>
      <c r="F10888" s="39">
        <f t="shared" si="1095"/>
        <v>1313</v>
      </c>
      <c r="G10888" s="169">
        <f>SUM(C10888,C10864,C10840,C10816,C10792,C10768,C10744,C10720,C10696,C10672,C10648,C10624,C10600,C10576)/POBLA!$B$15*100000</f>
        <v>1680.2774460626119</v>
      </c>
      <c r="H10888" s="258">
        <f t="shared" si="1093"/>
        <v>1.645480017696505</v>
      </c>
      <c r="I10888" s="310">
        <f t="shared" si="1098"/>
        <v>2764.8629616821449</v>
      </c>
      <c r="J10888" s="552">
        <f t="shared" si="1097"/>
        <v>844.71428571428567</v>
      </c>
      <c r="K10888" s="310">
        <f>J10888/POBLA!$B$15*100000</f>
        <v>127.20508717087324</v>
      </c>
      <c r="L10888" s="202">
        <f t="shared" si="1099"/>
        <v>0.12735938989513818</v>
      </c>
      <c r="M10888" s="512">
        <f>SUM(C10888,C10864,C10840,C10816,C10792,C10768,C10744)/POBLA!$B$15*100000</f>
        <v>890.43561019611275</v>
      </c>
      <c r="N10888" s="42" t="s">
        <v>19</v>
      </c>
      <c r="O10888" s="42">
        <v>600</v>
      </c>
      <c r="P10888" s="42">
        <v>89550</v>
      </c>
    </row>
    <row r="10889" spans="1:16" x14ac:dyDescent="0.25">
      <c r="A10889" s="402" t="s">
        <v>18</v>
      </c>
      <c r="B10889" s="2">
        <v>44346</v>
      </c>
      <c r="C10889" s="4">
        <v>170</v>
      </c>
      <c r="D10889" s="39">
        <f t="shared" si="1094"/>
        <v>73614</v>
      </c>
      <c r="E10889" s="1">
        <v>29</v>
      </c>
      <c r="F10889" s="39">
        <f t="shared" si="1095"/>
        <v>1610</v>
      </c>
      <c r="G10889" s="169">
        <f>SUM(C10889,C10865,C10841,C10817,C10793,C10769,C10745,C10721,C10697,C10673,C10649,C10625,C10601,C10577)/POBLA!$B$16*100000</f>
        <v>959.72499030243034</v>
      </c>
      <c r="H10889" s="258">
        <f t="shared" si="1093"/>
        <v>1.5217391304347827</v>
      </c>
      <c r="I10889" s="310">
        <f t="shared" si="1098"/>
        <v>1460.4510721993506</v>
      </c>
      <c r="J10889" s="552">
        <f t="shared" si="1097"/>
        <v>502.85714285714283</v>
      </c>
      <c r="K10889" s="310">
        <f>J10889/POBLA!$B$16*100000</f>
        <v>67.26196049506332</v>
      </c>
      <c r="L10889" s="202">
        <f t="shared" si="1099"/>
        <v>-3.6935704514363898E-2</v>
      </c>
      <c r="M10889" s="512">
        <f>SUM(C10889,C10865,C10841,C10817,C10793,C10769,C10745)/POBLA!$B$16*100000</f>
        <v>470.8337234654432</v>
      </c>
      <c r="N10889" s="42" t="s">
        <v>18</v>
      </c>
      <c r="O10889" s="42">
        <v>170</v>
      </c>
      <c r="P10889" s="42">
        <v>73614</v>
      </c>
    </row>
    <row r="10890" spans="1:16" x14ac:dyDescent="0.25">
      <c r="A10890" s="402" t="s">
        <v>34</v>
      </c>
      <c r="B10890" s="2">
        <v>44346</v>
      </c>
      <c r="C10890" s="4">
        <v>287</v>
      </c>
      <c r="D10890" s="39">
        <f t="shared" si="1094"/>
        <v>44952</v>
      </c>
      <c r="E10890" s="1">
        <v>1</v>
      </c>
      <c r="F10890" s="39">
        <f t="shared" si="1095"/>
        <v>1387</v>
      </c>
      <c r="G10890" s="169">
        <f>SUM(C10890,C10866,C10842,C10818,C10794,C10770,C10746,C10722,C10698,C10674,C10650,C10626,C10602,C10578)/POBLA!$B$17*100000</f>
        <v>455.91222110128007</v>
      </c>
      <c r="H10890" s="258">
        <f t="shared" ref="H10890:H10913" si="1100">SUM(C10890,C10866,C10842,C10818,C10794,C10770,C10746,C10722,C10698,C10674,C10650,C10626,C10602,C10578)/SUM(C10554,C10530,C10506,C10482,C10458,C10434,C10410,C10386,C10362,C10338,C10314,C10290,C10266,C10242)</f>
        <v>1.8511972633979477</v>
      </c>
      <c r="I10890" s="310">
        <f t="shared" si="1098"/>
        <v>843.98345605236966</v>
      </c>
      <c r="J10890" s="552">
        <f t="shared" si="1097"/>
        <v>457.42857142857144</v>
      </c>
      <c r="K10890" s="310">
        <f>J10890/POBLA!$B$17*100000</f>
        <v>32.113839851429866</v>
      </c>
      <c r="L10890" s="202">
        <f t="shared" si="1099"/>
        <v>-2.7339003645200477E-2</v>
      </c>
      <c r="M10890" s="512">
        <f>SUM(C10890,C10866,C10842,C10818,C10794,C10770,C10746)/POBLA!$B$17*100000</f>
        <v>224.79687896000905</v>
      </c>
      <c r="N10890" s="42" t="s">
        <v>34</v>
      </c>
      <c r="O10890" s="42">
        <v>287</v>
      </c>
      <c r="P10890" s="42">
        <v>44952</v>
      </c>
    </row>
    <row r="10891" spans="1:16" x14ac:dyDescent="0.25">
      <c r="A10891" s="402" t="s">
        <v>35</v>
      </c>
      <c r="B10891" s="2">
        <v>44346</v>
      </c>
      <c r="C10891" s="4">
        <v>255</v>
      </c>
      <c r="D10891" s="39">
        <f t="shared" si="1094"/>
        <v>36609</v>
      </c>
      <c r="E10891" s="1">
        <v>3</v>
      </c>
      <c r="F10891" s="39">
        <f t="shared" si="1095"/>
        <v>627</v>
      </c>
      <c r="G10891" s="169">
        <f>SUM(C10891,C10867,C10843,C10819,C10795,C10771,C10747,C10723,C10699,C10675,C10651,C10627,C10603,C10579)/POBLA!$B$18*100000</f>
        <v>945.19192490690807</v>
      </c>
      <c r="H10891" s="258">
        <f t="shared" si="1100"/>
        <v>1.3573529411764707</v>
      </c>
      <c r="I10891" s="310">
        <f t="shared" si="1098"/>
        <v>1282.9590392486414</v>
      </c>
      <c r="J10891" s="552">
        <f t="shared" si="1097"/>
        <v>497.57142857142856</v>
      </c>
      <c r="K10891" s="310">
        <f>J10891/POBLA!$B$18*100000</f>
        <v>63.691833200177228</v>
      </c>
      <c r="L10891" s="202">
        <f t="shared" si="1099"/>
        <v>-0.1071520123045373</v>
      </c>
      <c r="M10891" s="512">
        <f>SUM(C10891,C10867,C10843,C10819,C10795,C10771,C10747)/POBLA!$B$18*100000</f>
        <v>445.84283240124068</v>
      </c>
      <c r="N10891" s="42" t="s">
        <v>35</v>
      </c>
      <c r="O10891" s="42">
        <v>255</v>
      </c>
      <c r="P10891" s="42">
        <v>36609</v>
      </c>
    </row>
    <row r="10892" spans="1:16" x14ac:dyDescent="0.25">
      <c r="A10892" s="402" t="s">
        <v>36</v>
      </c>
      <c r="B10892" s="2">
        <v>44346</v>
      </c>
      <c r="C10892" s="4">
        <v>453</v>
      </c>
      <c r="D10892" s="39">
        <f t="shared" si="1094"/>
        <v>52531</v>
      </c>
      <c r="E10892" s="1">
        <v>4</v>
      </c>
      <c r="F10892" s="39">
        <f t="shared" si="1095"/>
        <v>685</v>
      </c>
      <c r="G10892" s="169">
        <f>SUM(C10892,C10868,C10844,C10820,C10796,C10772,C10748,C10724,C10700,C10676,C10652,C10628,C10604,C10580)/POBLA!$B$19*100000</f>
        <v>1527.7537338096663</v>
      </c>
      <c r="H10892" s="258">
        <f t="shared" si="1100"/>
        <v>1.2231847535044889</v>
      </c>
      <c r="I10892" s="310">
        <f t="shared" si="1098"/>
        <v>1868.7250743055392</v>
      </c>
      <c r="J10892" s="552">
        <f t="shared" si="1097"/>
        <v>547.28571428571433</v>
      </c>
      <c r="K10892" s="310">
        <f>J10892/POBLA!$B$19*100000</f>
        <v>107.66389305442831</v>
      </c>
      <c r="L10892" s="202">
        <f t="shared" si="1099"/>
        <v>-2.6429479034307479E-2</v>
      </c>
      <c r="M10892" s="512">
        <f>SUM(C10892,C10868,C10844,C10820,C10796,C10772,C10748)/POBLA!$B$19*100000</f>
        <v>753.64725138099811</v>
      </c>
      <c r="N10892" s="42" t="s">
        <v>36</v>
      </c>
      <c r="O10892" s="42">
        <v>453</v>
      </c>
      <c r="P10892" s="42">
        <v>52531</v>
      </c>
    </row>
    <row r="10893" spans="1:16" x14ac:dyDescent="0.25">
      <c r="A10893" s="402" t="s">
        <v>37</v>
      </c>
      <c r="B10893" s="2">
        <v>44346</v>
      </c>
      <c r="C10893" s="4">
        <v>111</v>
      </c>
      <c r="D10893" s="39">
        <f t="shared" si="1094"/>
        <v>51324</v>
      </c>
      <c r="F10893" s="39">
        <f t="shared" si="1095"/>
        <v>785</v>
      </c>
      <c r="G10893" s="169">
        <f>SUM(C10893,C10869,C10845,C10821,C10797,C10773,C10749,C10725,C10701,C10677,C10653,C10629,C10605,C10581)/POBLA!$B$20*100000</f>
        <v>870.39032206902971</v>
      </c>
      <c r="H10893" s="258">
        <f t="shared" si="1100"/>
        <v>1.0290979631425801</v>
      </c>
      <c r="I10893" s="310">
        <f t="shared" si="1098"/>
        <v>895.71690758025272</v>
      </c>
      <c r="J10893" s="552">
        <f t="shared" si="1097"/>
        <v>190.14285714285714</v>
      </c>
      <c r="K10893" s="310">
        <f>J10893/POBLA!$B$20*100000</f>
        <v>51.99450288020639</v>
      </c>
      <c r="L10893" s="202">
        <f t="shared" si="1099"/>
        <v>-0.28131749460043198</v>
      </c>
      <c r="M10893" s="512">
        <f>SUM(C10893,C10869,C10845,C10821,C10797,C10773,C10749)/POBLA!$B$20*100000</f>
        <v>363.9615201614447</v>
      </c>
      <c r="N10893" s="42" t="s">
        <v>37</v>
      </c>
      <c r="O10893" s="42">
        <v>111</v>
      </c>
      <c r="P10893" s="42">
        <v>51324</v>
      </c>
    </row>
    <row r="10894" spans="1:16" x14ac:dyDescent="0.25">
      <c r="A10894" s="402" t="s">
        <v>22</v>
      </c>
      <c r="B10894" s="2">
        <v>44346</v>
      </c>
      <c r="C10894" s="4">
        <v>2540</v>
      </c>
      <c r="D10894" s="39">
        <f t="shared" si="1094"/>
        <v>342636</v>
      </c>
      <c r="E10894" s="1">
        <v>11</v>
      </c>
      <c r="F10894" s="39">
        <f t="shared" si="1095"/>
        <v>5509</v>
      </c>
      <c r="G10894" s="169">
        <f>SUM(C10894,C10870,C10846,C10822,C10798,C10774,C10750,C10726,C10702,C10678,C10654,C10630,C10606,C10582)/POBLA!$B$21*100000</f>
        <v>1120.5971692260362</v>
      </c>
      <c r="H10894" s="258">
        <f t="shared" si="1100"/>
        <v>1.5029202063106797</v>
      </c>
      <c r="I10894" s="310">
        <f t="shared" si="1098"/>
        <v>1684.1681287643578</v>
      </c>
      <c r="J10894" s="552">
        <f t="shared" si="1097"/>
        <v>2864.4285714285716</v>
      </c>
      <c r="K10894" s="310">
        <f>J10894/POBLA!$B$21*100000</f>
        <v>80.998020353605582</v>
      </c>
      <c r="L10894" s="202">
        <f t="shared" si="1099"/>
        <v>2.415977117172341E-2</v>
      </c>
      <c r="M10894" s="512">
        <f>SUM(C10894,C10870,C10846,C10822,C10798,C10774,C10750)/POBLA!$B$21*100000</f>
        <v>566.98614247523903</v>
      </c>
      <c r="N10894" s="42" t="s">
        <v>22</v>
      </c>
      <c r="O10894" s="42">
        <v>2540</v>
      </c>
      <c r="P10894" s="42">
        <v>342636</v>
      </c>
    </row>
    <row r="10895" spans="1:16" x14ac:dyDescent="0.25">
      <c r="A10895" s="402" t="s">
        <v>38</v>
      </c>
      <c r="B10895" s="2">
        <v>44346</v>
      </c>
      <c r="C10895" s="4">
        <v>411</v>
      </c>
      <c r="D10895" s="39">
        <f t="shared" si="1094"/>
        <v>43372</v>
      </c>
      <c r="E10895" s="1">
        <v>11</v>
      </c>
      <c r="F10895" s="39">
        <f t="shared" si="1095"/>
        <v>510</v>
      </c>
      <c r="G10895" s="169">
        <f>SUM(C10895,C10871,C10847,C10823,C10799,C10775,C10751,C10727,C10703,C10679,C10655,C10631,C10607,C10583)/POBLA!$B$22*100000</f>
        <v>822.4361732901433</v>
      </c>
      <c r="H10895" s="258">
        <f t="shared" si="1100"/>
        <v>1.8874032371569318</v>
      </c>
      <c r="I10895" s="310">
        <f t="shared" si="1098"/>
        <v>1552.2686958227757</v>
      </c>
      <c r="J10895" s="552">
        <f t="shared" si="1097"/>
        <v>558.14285714285711</v>
      </c>
      <c r="K10895" s="310">
        <f>J10895/POBLA!$B$22*100000</f>
        <v>57.051562960203647</v>
      </c>
      <c r="L10895" s="202">
        <f t="shared" si="1099"/>
        <v>-5.6052186518482761E-2</v>
      </c>
      <c r="M10895" s="512">
        <f>SUM(C10895,C10871,C10847,C10823,C10799,C10775,C10751)/POBLA!$B$22*100000</f>
        <v>399.36094072142555</v>
      </c>
      <c r="N10895" s="42" t="s">
        <v>38</v>
      </c>
      <c r="O10895" s="42">
        <v>411</v>
      </c>
      <c r="P10895" s="42">
        <v>43372</v>
      </c>
    </row>
    <row r="10896" spans="1:16" x14ac:dyDescent="0.25">
      <c r="A10896" s="402" t="s">
        <v>39</v>
      </c>
      <c r="B10896" s="2">
        <v>44346</v>
      </c>
      <c r="C10896" s="4">
        <v>32</v>
      </c>
      <c r="D10896" s="39">
        <f t="shared" si="1094"/>
        <v>28451</v>
      </c>
      <c r="E10896" s="1">
        <v>3</v>
      </c>
      <c r="F10896" s="39">
        <f t="shared" si="1095"/>
        <v>418</v>
      </c>
      <c r="G10896" s="169">
        <f>SUM(C10896,C10872,C10848,C10824,C10800,C10776,C10752,C10728,C10704,C10680,C10656,C10632,C10608,C10584)/POBLA!$B$23*100000</f>
        <v>519.70819431092013</v>
      </c>
      <c r="H10896" s="258">
        <f t="shared" si="1100"/>
        <v>0.92734611503531783</v>
      </c>
      <c r="I10896" s="310">
        <f t="shared" si="1098"/>
        <v>481.94937494625185</v>
      </c>
      <c r="J10896" s="552">
        <f t="shared" si="1097"/>
        <v>57</v>
      </c>
      <c r="K10896" s="310">
        <f>J10896/POBLA!$B$23*100000</f>
        <v>32.234349375106035</v>
      </c>
      <c r="L10896" s="202">
        <f t="shared" si="1099"/>
        <v>-0.23269230769230764</v>
      </c>
      <c r="M10896" s="512">
        <f>SUM(C10896,C10872,C10848,C10824,C10800,C10776,C10752)/POBLA!$B$23*100000</f>
        <v>225.64044562574225</v>
      </c>
      <c r="N10896" s="42" t="s">
        <v>39</v>
      </c>
      <c r="O10896" s="42">
        <v>32</v>
      </c>
      <c r="P10896" s="42">
        <v>28451</v>
      </c>
    </row>
    <row r="10897" spans="1:16" ht="15.75" thickBot="1" x14ac:dyDescent="0.3">
      <c r="A10897" s="403" t="s">
        <v>40</v>
      </c>
      <c r="B10897" s="34">
        <v>44346</v>
      </c>
      <c r="C10897" s="27">
        <v>481</v>
      </c>
      <c r="D10897" s="67">
        <f t="shared" si="1094"/>
        <v>128623</v>
      </c>
      <c r="E10897" s="234"/>
      <c r="F10897" s="67">
        <f t="shared" si="1095"/>
        <v>1865</v>
      </c>
      <c r="G10897" s="257">
        <f>SUM(C10897,C10873,C10849,C10825,C10801,C10777,C10753,C10729,C10705,C10681,C10657,C10633,C10609,C10585)/POBLA!$B$24*100000</f>
        <v>809.01374674270176</v>
      </c>
      <c r="H10897" s="259">
        <f t="shared" si="1100"/>
        <v>1.6980431013128561</v>
      </c>
      <c r="I10897" s="312">
        <f t="shared" si="1098"/>
        <v>1373.7402115237107</v>
      </c>
      <c r="J10897" s="566">
        <f t="shared" si="1097"/>
        <v>1049.7142857142858</v>
      </c>
      <c r="K10897" s="312">
        <f>J10897/POBLA!$B$24*100000</f>
        <v>61.942617599930948</v>
      </c>
      <c r="L10897" s="262">
        <f t="shared" si="1099"/>
        <v>0.15498270983967299</v>
      </c>
      <c r="M10897" s="517">
        <f>SUM(C10897,C10873,C10849,C10825,C10801,C10777,C10753)/POBLA!$B$24*100000</f>
        <v>433.59832319951659</v>
      </c>
      <c r="N10897" s="42" t="s">
        <v>40</v>
      </c>
      <c r="O10897" s="42">
        <v>481</v>
      </c>
      <c r="P10897" s="42">
        <v>128623</v>
      </c>
    </row>
    <row r="10898" spans="1:16" x14ac:dyDescent="0.25">
      <c r="A10898" s="397" t="s">
        <v>16</v>
      </c>
      <c r="B10898" s="267">
        <v>44347</v>
      </c>
      <c r="C10898" s="389">
        <v>10022</v>
      </c>
      <c r="D10898" s="175">
        <f t="shared" ref="D10898:D10961" si="1101">C10898+D10874</f>
        <v>1610286</v>
      </c>
      <c r="E10898" s="43">
        <v>249</v>
      </c>
      <c r="F10898" s="175">
        <f t="shared" ref="F10898:F10921" si="1102">E10898+F10874</f>
        <v>40195</v>
      </c>
      <c r="G10898" s="176">
        <f>SUM(C10898,C10874,C10850,C10826,C10802,C10778,C10754,C10730,C10706,C10682,C10658,C10634,C10610,C10586)/POBLA!$B$1*100000</f>
        <v>923.02433461996566</v>
      </c>
      <c r="H10898" s="313">
        <f t="shared" si="1100"/>
        <v>1.2567257090519584</v>
      </c>
      <c r="I10898" s="314">
        <f>G10898*H10898</f>
        <v>1159.9884113974883</v>
      </c>
      <c r="J10898" s="551">
        <f>AVERAGE(C10898,C10874,C10850,C10826,C10802,C10778,C10754)</f>
        <v>11326.571428571429</v>
      </c>
      <c r="K10898" s="314">
        <f>J10898/POBLA!$B$1*100000</f>
        <v>64.571463330529241</v>
      </c>
      <c r="L10898" s="510">
        <f t="shared" si="1099"/>
        <v>-4.0388269610156957E-2</v>
      </c>
      <c r="M10898" s="511">
        <f>SUM(C10898,C10874,C10850,C10826,C10802,C10778,C10754)/POBLA!$B$1*100000</f>
        <v>452.00024331370469</v>
      </c>
      <c r="N10898" s="42" t="s">
        <v>270</v>
      </c>
      <c r="O10898" s="42">
        <v>10022</v>
      </c>
      <c r="P10898" s="42">
        <v>1610286</v>
      </c>
    </row>
    <row r="10899" spans="1:16" x14ac:dyDescent="0.25">
      <c r="A10899" s="402" t="s">
        <v>43</v>
      </c>
      <c r="B10899" s="2">
        <v>44347</v>
      </c>
      <c r="C10899" s="4">
        <v>2105</v>
      </c>
      <c r="D10899" s="39">
        <f t="shared" si="1101"/>
        <v>418250</v>
      </c>
      <c r="E10899" s="1">
        <v>70</v>
      </c>
      <c r="F10899" s="39">
        <f t="shared" si="1102"/>
        <v>9160</v>
      </c>
      <c r="G10899" s="169">
        <f>SUM(C10899,C10875,C10851,C10827,C10803,C10779,C10755,C10731,C10707,C10683,C10659,C10635,C10611,C10587)/POBLA!$B$2*100000</f>
        <v>1225.6286971907689</v>
      </c>
      <c r="H10899" s="258">
        <f t="shared" si="1100"/>
        <v>1.1601625015388404</v>
      </c>
      <c r="I10899" s="310">
        <f t="shared" ref="I10899:I10905" si="1103">G10899*H10899</f>
        <v>1421.9284552906324</v>
      </c>
      <c r="J10899" s="552">
        <f t="shared" ref="J10899:J10921" si="1104">AVERAGE(C10899,C10875,C10851,C10827,C10803,C10779,C10755)</f>
        <v>2608</v>
      </c>
      <c r="K10899" s="310">
        <f>J10899/POBLA!$B$2*100000</f>
        <v>84.795194245371547</v>
      </c>
      <c r="L10899" s="202">
        <f t="shared" si="1099"/>
        <v>-6.0905349794238672E-2</v>
      </c>
      <c r="M10899" s="512">
        <f>SUM(C10899,C10875,C10851,C10827,C10803,C10779,C10755)/POBLA!$B$2*100000</f>
        <v>593.56635971760079</v>
      </c>
      <c r="N10899" s="42" t="s">
        <v>43</v>
      </c>
      <c r="O10899" s="42">
        <v>2105</v>
      </c>
      <c r="P10899" s="42">
        <v>418250</v>
      </c>
    </row>
    <row r="10900" spans="1:16" x14ac:dyDescent="0.25">
      <c r="A10900" s="402" t="s">
        <v>28</v>
      </c>
      <c r="B10900" s="2">
        <v>44347</v>
      </c>
      <c r="C10900" s="4">
        <v>324</v>
      </c>
      <c r="D10900" s="39">
        <f t="shared" si="1101"/>
        <v>23742</v>
      </c>
      <c r="F10900" s="39">
        <f t="shared" si="1102"/>
        <v>168</v>
      </c>
      <c r="G10900" s="169">
        <f>SUM(C10900,C10876,C10852,C10828,C10804,C10780,C10756,C10732,C10708,C10684,C10660,C10636,C10612,C10588)/POBLA!$B$3*100000</f>
        <v>1335.9394181562591</v>
      </c>
      <c r="H10900" s="258">
        <f t="shared" si="1100"/>
        <v>1.8395757374875705</v>
      </c>
      <c r="I10900" s="310">
        <f t="shared" si="1103"/>
        <v>2457.5617403935162</v>
      </c>
      <c r="J10900" s="552">
        <f t="shared" si="1104"/>
        <v>419.85714285714283</v>
      </c>
      <c r="K10900" s="310">
        <f>J10900/POBLA!$B$3*100000</f>
        <v>101.06373101573347</v>
      </c>
      <c r="L10900" s="202">
        <f t="shared" si="1099"/>
        <v>0.12562236690923023</v>
      </c>
      <c r="M10900" s="512">
        <f>SUM(C10900,C10876,C10852,C10828,C10804,C10780,C10756)/POBLA!$B$3*100000</f>
        <v>707.44611711013442</v>
      </c>
      <c r="N10900" s="42" t="s">
        <v>28</v>
      </c>
      <c r="O10900" s="42">
        <v>324</v>
      </c>
      <c r="P10900" s="42">
        <v>23742</v>
      </c>
    </row>
    <row r="10901" spans="1:16" x14ac:dyDescent="0.25">
      <c r="A10901" s="402" t="s">
        <v>15</v>
      </c>
      <c r="B10901" s="2">
        <v>44347</v>
      </c>
      <c r="C10901" s="4">
        <v>480</v>
      </c>
      <c r="D10901" s="39">
        <f t="shared" si="1101"/>
        <v>58207</v>
      </c>
      <c r="E10901" s="1">
        <v>15</v>
      </c>
      <c r="F10901" s="39">
        <f t="shared" si="1102"/>
        <v>1229</v>
      </c>
      <c r="G10901" s="169">
        <f>SUM(C10901,C10877,C10853,C10829,C10805,C10781,C10757,C10733,C10709,C10685,C10661,C10637,C10613,C10589)/POBLA!$B$4*100000</f>
        <v>703.00637338206002</v>
      </c>
      <c r="H10901" s="258">
        <f t="shared" si="1100"/>
        <v>1.9399770904925544</v>
      </c>
      <c r="I10901" s="310">
        <f t="shared" si="1103"/>
        <v>1363.8162588314513</v>
      </c>
      <c r="J10901" s="552">
        <f t="shared" si="1104"/>
        <v>620.42857142857144</v>
      </c>
      <c r="K10901" s="310">
        <f>J10901/POBLA!$B$4*100000</f>
        <v>51.507468108480445</v>
      </c>
      <c r="L10901" s="202">
        <f t="shared" si="1099"/>
        <v>5.2848484848484922E-2</v>
      </c>
      <c r="M10901" s="512">
        <f>SUM(C10901,C10877,C10853,C10829,C10805,C10781,C10757)/POBLA!$B$4*100000</f>
        <v>360.55227675936311</v>
      </c>
      <c r="N10901" s="42" t="s">
        <v>15</v>
      </c>
      <c r="O10901" s="42">
        <v>480</v>
      </c>
      <c r="P10901" s="42">
        <v>58207</v>
      </c>
    </row>
    <row r="10902" spans="1:16" x14ac:dyDescent="0.25">
      <c r="A10902" s="402" t="s">
        <v>29</v>
      </c>
      <c r="B10902" s="2">
        <v>44347</v>
      </c>
      <c r="C10902" s="4">
        <v>444</v>
      </c>
      <c r="D10902" s="39">
        <f t="shared" si="1101"/>
        <v>62746</v>
      </c>
      <c r="E10902" s="1">
        <v>8</v>
      </c>
      <c r="F10902" s="39">
        <f t="shared" si="1102"/>
        <v>1048</v>
      </c>
      <c r="G10902" s="169">
        <f>SUM(C10902,C10878,C10854,C10830,C10806,C10782,C10758,C10734,C10710,C10686,C10662,C10638,C10614,C10590)/POBLA!$B$5*100000</f>
        <v>745.07991999922456</v>
      </c>
      <c r="H10902" s="258">
        <f t="shared" si="1100"/>
        <v>1.5612728503723765</v>
      </c>
      <c r="I10902" s="310">
        <f t="shared" si="1103"/>
        <v>1163.2730504524116</v>
      </c>
      <c r="J10902" s="552">
        <f t="shared" si="1104"/>
        <v>354.71428571428572</v>
      </c>
      <c r="K10902" s="310">
        <f>J10902/POBLA!$B$5*100000</f>
        <v>57.304963491453179</v>
      </c>
      <c r="L10902" s="202">
        <f t="shared" si="1099"/>
        <v>0.16627524659464532</v>
      </c>
      <c r="M10902" s="512">
        <f>SUM(C10902,C10878,C10854,C10830,C10806,C10782,C10758)/POBLA!$B$5*100000</f>
        <v>401.13474444017231</v>
      </c>
      <c r="N10902" s="42" t="s">
        <v>29</v>
      </c>
      <c r="O10902" s="42">
        <v>444</v>
      </c>
      <c r="P10902" s="42">
        <v>62746</v>
      </c>
    </row>
    <row r="10903" spans="1:16" x14ac:dyDescent="0.25">
      <c r="A10903" s="402" t="s">
        <v>30</v>
      </c>
      <c r="B10903" s="2">
        <v>44347</v>
      </c>
      <c r="C10903" s="4">
        <v>341</v>
      </c>
      <c r="D10903" s="39">
        <f t="shared" si="1101"/>
        <v>51454</v>
      </c>
      <c r="E10903" s="1">
        <v>10</v>
      </c>
      <c r="F10903" s="39">
        <f t="shared" si="1102"/>
        <v>612</v>
      </c>
      <c r="G10903" s="169">
        <f>SUM(C10903,C10879,C10855,C10831,C10807,C10783,C10759,C10735,C10711,C10687,C10663,C10639,C10615,C10591)/POBLA!$B$6*100000</f>
        <v>946.64440877550953</v>
      </c>
      <c r="H10903" s="258">
        <f t="shared" si="1100"/>
        <v>3.6113002042205582</v>
      </c>
      <c r="I10903" s="310">
        <f t="shared" si="1103"/>
        <v>3418.6171467352469</v>
      </c>
      <c r="J10903" s="552">
        <f t="shared" si="1104"/>
        <v>519.57142857142856</v>
      </c>
      <c r="K10903" s="310">
        <f>J10903/POBLA!$B$6*100000</f>
        <v>46.357152480362579</v>
      </c>
      <c r="L10903" s="202">
        <f t="shared" si="1099"/>
        <v>-0.47841675032267317</v>
      </c>
      <c r="M10903" s="512">
        <f>SUM(C10903,C10879,C10855,C10831,C10807,C10783,C10759)/POBLA!$B$6*100000</f>
        <v>324.50006736253806</v>
      </c>
      <c r="N10903" s="42" t="s">
        <v>30</v>
      </c>
      <c r="O10903" s="42">
        <v>341</v>
      </c>
      <c r="P10903" s="42">
        <v>51454</v>
      </c>
    </row>
    <row r="10904" spans="1:16" x14ac:dyDescent="0.25">
      <c r="A10904" s="402" t="s">
        <v>20</v>
      </c>
      <c r="B10904" s="2">
        <v>44347</v>
      </c>
      <c r="C10904" s="4">
        <v>3581</v>
      </c>
      <c r="D10904" s="39">
        <f t="shared" si="1101"/>
        <v>311898</v>
      </c>
      <c r="E10904" s="1">
        <v>34</v>
      </c>
      <c r="F10904" s="39">
        <f t="shared" si="1102"/>
        <v>3906</v>
      </c>
      <c r="G10904" s="169">
        <f>SUM(C10904,C10880,C10856,C10832,C10808,C10784,C10760,C10736,C10712,C10688,C10664,C10640,C10616,C10592)/POBLA!$B$7*100000</f>
        <v>1396.3488412291083</v>
      </c>
      <c r="H10904" s="258">
        <f t="shared" si="1100"/>
        <v>1.8318158032443748</v>
      </c>
      <c r="I10904" s="310">
        <f t="shared" si="1103"/>
        <v>2557.8538742054511</v>
      </c>
      <c r="J10904" s="552">
        <f t="shared" si="1104"/>
        <v>3992.7142857142858</v>
      </c>
      <c r="K10904" s="310">
        <f>J10904/POBLA!$B$7*100000</f>
        <v>106.1765024322697</v>
      </c>
      <c r="L10904" s="202">
        <f t="shared" si="1099"/>
        <v>0.13798859934853414</v>
      </c>
      <c r="M10904" s="512">
        <f>SUM(C10904,C10880,C10856,C10832,C10808,C10784,C10760)/POBLA!$B$7*100000</f>
        <v>743.23551702588793</v>
      </c>
      <c r="N10904" s="42" t="s">
        <v>20</v>
      </c>
      <c r="O10904" s="42">
        <v>3581</v>
      </c>
      <c r="P10904" s="42">
        <v>311898</v>
      </c>
    </row>
    <row r="10905" spans="1:16" x14ac:dyDescent="0.25">
      <c r="A10905" s="402" t="s">
        <v>31</v>
      </c>
      <c r="B10905" s="2">
        <v>44347</v>
      </c>
      <c r="C10905" s="4">
        <v>748</v>
      </c>
      <c r="D10905" s="39">
        <f t="shared" si="1101"/>
        <v>85781</v>
      </c>
      <c r="E10905" s="1">
        <v>20</v>
      </c>
      <c r="F10905" s="39">
        <f t="shared" si="1102"/>
        <v>1336</v>
      </c>
      <c r="G10905" s="169">
        <f>SUM(C10905,C10881,C10857,C10833,C10809,C10785,C10761,C10737,C10713,C10689,C10665,C10641,C10617,C10593)/POBLA!$B$8*100000</f>
        <v>954.8609232150111</v>
      </c>
      <c r="H10905" s="258">
        <f t="shared" si="1100"/>
        <v>1.5199264959228207</v>
      </c>
      <c r="I10905" s="310">
        <f t="shared" si="1103"/>
        <v>1451.3184171158214</v>
      </c>
      <c r="J10905" s="552">
        <f t="shared" si="1104"/>
        <v>996.71428571428567</v>
      </c>
      <c r="K10905" s="310">
        <f>J10905/POBLA!$B$8*100000</f>
        <v>71.91503121042264</v>
      </c>
      <c r="L10905" s="202">
        <f t="shared" si="1099"/>
        <v>0.11507112034521327</v>
      </c>
      <c r="M10905" s="512">
        <f>SUM(C10905,C10881,C10857,C10833,C10809,C10785,C10761)/POBLA!$B$8*100000</f>
        <v>503.4052184729585</v>
      </c>
      <c r="N10905" s="42" t="s">
        <v>31</v>
      </c>
      <c r="O10905" s="42">
        <v>748</v>
      </c>
      <c r="P10905" s="42">
        <v>85781</v>
      </c>
    </row>
    <row r="10906" spans="1:16" x14ac:dyDescent="0.25">
      <c r="A10906" s="402" t="s">
        <v>41</v>
      </c>
      <c r="B10906" s="2">
        <v>44347</v>
      </c>
      <c r="C10906" s="4">
        <v>860</v>
      </c>
      <c r="D10906" s="39">
        <f t="shared" si="1101"/>
        <v>30507</v>
      </c>
      <c r="E10906" s="1">
        <v>27</v>
      </c>
      <c r="F10906" s="39">
        <f t="shared" si="1102"/>
        <v>495</v>
      </c>
      <c r="G10906" s="169">
        <f>SUM(C10906,C10882,C10858,C10834,C10810,C10786,C10762,C10738,C10714,C10690,C10666,C10642,C10618,C10594)/POBLA!$B$9*100000</f>
        <v>2761.2678930522989</v>
      </c>
      <c r="H10906" s="258">
        <f t="shared" si="1100"/>
        <v>1.8221567986042961</v>
      </c>
      <c r="I10906" s="310">
        <f>G10906*H10906</f>
        <v>5031.4630640930072</v>
      </c>
      <c r="J10906" s="552">
        <f t="shared" si="1104"/>
        <v>940.14285714285711</v>
      </c>
      <c r="K10906" s="310">
        <f>J10906/POBLA!$B$9*100000</f>
        <v>155.34595693321918</v>
      </c>
      <c r="L10906" s="202">
        <f>(SUM(C10906,C10882,C10858,C10834,C10810,C10786,C10762)/SUM(C10738,C10714,C10690,C10666,C10642,C10618,C10594))-1</f>
        <v>-0.35034550839091805</v>
      </c>
      <c r="M10906" s="512">
        <f>SUM(C10906,C10882,C10858,C10834,C10810,C10786,C10762)/POBLA!$B$9*100000</f>
        <v>1087.4216985325343</v>
      </c>
      <c r="N10906" s="42" t="s">
        <v>41</v>
      </c>
      <c r="O10906" s="42">
        <v>860</v>
      </c>
      <c r="P10906" s="42">
        <v>30507</v>
      </c>
    </row>
    <row r="10907" spans="1:16" x14ac:dyDescent="0.25">
      <c r="A10907" s="402" t="s">
        <v>32</v>
      </c>
      <c r="B10907" s="2">
        <v>44347</v>
      </c>
      <c r="C10907" s="4">
        <v>157</v>
      </c>
      <c r="D10907" s="39">
        <f t="shared" si="1101"/>
        <v>28369</v>
      </c>
      <c r="F10907" s="39">
        <f t="shared" si="1102"/>
        <v>1092</v>
      </c>
      <c r="G10907" s="169">
        <f>SUM(C10907,C10883,C10859,C10835,C10811,C10787,C10763,C10739,C10715,C10691,C10667,C10643,C10619,C10595)/POBLA!$B$10*100000</f>
        <v>265.92950144055953</v>
      </c>
      <c r="H10907" s="258">
        <f t="shared" si="1100"/>
        <v>1.6386890487609913</v>
      </c>
      <c r="I10907" s="310">
        <f t="shared" ref="I10907:I10921" si="1105">G10907*H10907</f>
        <v>435.77576175311515</v>
      </c>
      <c r="J10907" s="552">
        <f t="shared" si="1104"/>
        <v>160.71428571428572</v>
      </c>
      <c r="K10907" s="310">
        <f>J10907/POBLA!$B$10*100000</f>
        <v>20.848131646036901</v>
      </c>
      <c r="L10907" s="202">
        <f t="shared" ref="L10907:L10929" si="1106">(SUM(C10907,C10883,C10859,C10835,C10811,C10787,C10763)/SUM(C10739,C10715,C10691,C10667,C10643,C10619,C10595))-1</f>
        <v>0.21621621621621623</v>
      </c>
      <c r="M10907" s="512">
        <f>SUM(C10907,C10883,C10859,C10835,C10811,C10787,C10763)/POBLA!$B$10*100000</f>
        <v>145.9369215222583</v>
      </c>
      <c r="N10907" s="42" t="s">
        <v>32</v>
      </c>
      <c r="O10907" s="42">
        <v>157</v>
      </c>
      <c r="P10907" s="42">
        <v>28369</v>
      </c>
    </row>
    <row r="10908" spans="1:16" x14ac:dyDescent="0.25">
      <c r="A10908" s="402" t="s">
        <v>33</v>
      </c>
      <c r="B10908" s="2">
        <v>44347</v>
      </c>
      <c r="C10908" s="4">
        <v>490</v>
      </c>
      <c r="D10908" s="39">
        <f t="shared" si="1101"/>
        <v>42828</v>
      </c>
      <c r="E10908" s="1">
        <v>16</v>
      </c>
      <c r="F10908" s="39">
        <f t="shared" si="1102"/>
        <v>561</v>
      </c>
      <c r="G10908" s="169">
        <f>SUM(C10908,C10884,C10860,C10836,C10812,C10788,C10764,C10740,C10716,C10692,C10668,C10644,C10620,C10596)/POBLA!$B$11*100000</f>
        <v>2434.7986206434762</v>
      </c>
      <c r="H10908" s="258">
        <f t="shared" si="1100"/>
        <v>1.3905353728489485</v>
      </c>
      <c r="I10908" s="310">
        <f t="shared" si="1105"/>
        <v>3385.6736077685814</v>
      </c>
      <c r="J10908" s="552">
        <f t="shared" si="1104"/>
        <v>527</v>
      </c>
      <c r="K10908" s="310">
        <f>J10908/POBLA!$B$11*100000</f>
        <v>147.03092392335421</v>
      </c>
      <c r="L10908" s="202">
        <f t="shared" si="1106"/>
        <v>-0.26776498610559751</v>
      </c>
      <c r="M10908" s="512">
        <f>SUM(C10908,C10884,C10860,C10836,C10812,C10788,C10764)/POBLA!$B$11*100000</f>
        <v>1029.2164674634794</v>
      </c>
      <c r="N10908" s="42" t="s">
        <v>33</v>
      </c>
      <c r="O10908" s="42">
        <v>490</v>
      </c>
      <c r="P10908" s="42">
        <v>42828</v>
      </c>
    </row>
    <row r="10909" spans="1:16" x14ac:dyDescent="0.25">
      <c r="A10909" s="402" t="s">
        <v>21</v>
      </c>
      <c r="B10909" s="2">
        <v>44347</v>
      </c>
      <c r="C10909" s="4">
        <v>112</v>
      </c>
      <c r="D10909" s="39">
        <f t="shared" si="1101"/>
        <v>17401</v>
      </c>
      <c r="F10909" s="39">
        <f t="shared" si="1102"/>
        <v>534</v>
      </c>
      <c r="G10909" s="169">
        <f>SUM(C10909,C10885,C10861,C10837,C10813,C10789,C10765,C10741,C10717,C10693,C10669,C10645,C10621,C10597)/POBLA!$B$12*100000</f>
        <v>606.05136571197693</v>
      </c>
      <c r="H10909" s="258">
        <f t="shared" si="1100"/>
        <v>1.9156626506024097</v>
      </c>
      <c r="I10909" s="310">
        <f t="shared" si="1105"/>
        <v>1160.9899656410162</v>
      </c>
      <c r="J10909" s="552">
        <f t="shared" si="1104"/>
        <v>158.14285714285714</v>
      </c>
      <c r="K10909" s="310">
        <f>J10909/POBLA!$B$12*100000</f>
        <v>40.185616163112222</v>
      </c>
      <c r="L10909" s="202">
        <f t="shared" si="1106"/>
        <v>-0.13380281690140849</v>
      </c>
      <c r="M10909" s="512">
        <f>SUM(C10909,C10885,C10861,C10837,C10813,C10789,C10765)/POBLA!$B$12*100000</f>
        <v>281.29931314178549</v>
      </c>
      <c r="N10909" s="42" t="s">
        <v>21</v>
      </c>
      <c r="O10909" s="42">
        <v>112</v>
      </c>
      <c r="P10909" s="42">
        <v>17401</v>
      </c>
    </row>
    <row r="10910" spans="1:16" x14ac:dyDescent="0.25">
      <c r="A10910" s="402" t="s">
        <v>17</v>
      </c>
      <c r="B10910" s="2">
        <v>44347</v>
      </c>
      <c r="C10910" s="4">
        <v>788</v>
      </c>
      <c r="D10910" s="39">
        <f t="shared" si="1101"/>
        <v>120666</v>
      </c>
      <c r="E10910" s="1">
        <v>18</v>
      </c>
      <c r="F10910" s="39">
        <f t="shared" si="1102"/>
        <v>2578</v>
      </c>
      <c r="G10910" s="169">
        <f>SUM(C10910,C10886,C10862,C10838,C10814,C10790,C10766,C10742,C10718,C10694,C10670,C10646,C10622,C10598)/POBLA!$B$13*100000</f>
        <v>574.3245619588231</v>
      </c>
      <c r="H10910" s="258">
        <f t="shared" si="1100"/>
        <v>1.010519801980198</v>
      </c>
      <c r="I10910" s="310">
        <f t="shared" si="1105"/>
        <v>580.3663426229939</v>
      </c>
      <c r="J10910" s="552">
        <f t="shared" si="1104"/>
        <v>780.42857142857144</v>
      </c>
      <c r="K10910" s="310">
        <f>J10910/POBLA!$B$13*100000</f>
        <v>39.210856217816847</v>
      </c>
      <c r="L10910" s="202">
        <f t="shared" si="1106"/>
        <v>-8.4617962466487895E-2</v>
      </c>
      <c r="M10910" s="512">
        <f>SUM(C10910,C10886,C10862,C10838,C10814,C10790,C10766)/POBLA!$B$13*100000</f>
        <v>274.47599352471792</v>
      </c>
      <c r="N10910" s="42" t="s">
        <v>17</v>
      </c>
      <c r="O10910" s="42">
        <v>788</v>
      </c>
      <c r="P10910" s="42">
        <v>120666</v>
      </c>
    </row>
    <row r="10911" spans="1:16" x14ac:dyDescent="0.25">
      <c r="A10911" s="402" t="s">
        <v>23</v>
      </c>
      <c r="B10911" s="2">
        <v>44347</v>
      </c>
      <c r="C10911" s="4">
        <v>191</v>
      </c>
      <c r="D10911" s="39">
        <f t="shared" si="1101"/>
        <v>20455</v>
      </c>
      <c r="E10911" s="1">
        <v>5</v>
      </c>
      <c r="F10911" s="39">
        <f t="shared" si="1102"/>
        <v>298</v>
      </c>
      <c r="G10911" s="169">
        <f>SUM(C10911,C10887,C10863,C10839,C10815,C10791,C10767,C10743,C10719,C10695,C10671,C10647,C10623,C10599)/POBLA!$B$14*100000</f>
        <v>189.09152029582319</v>
      </c>
      <c r="H10911" s="258">
        <f t="shared" si="1100"/>
        <v>1.1170960187353629</v>
      </c>
      <c r="I10911" s="310">
        <f t="shared" si="1105"/>
        <v>211.23338449908115</v>
      </c>
      <c r="J10911" s="552">
        <f t="shared" si="1104"/>
        <v>190.42857142857142</v>
      </c>
      <c r="K10911" s="310">
        <f>J10911/POBLA!$B$14*100000</f>
        <v>15.097873408465546</v>
      </c>
      <c r="L10911" s="202">
        <f t="shared" si="1106"/>
        <v>0.2671102661596958</v>
      </c>
      <c r="M10911" s="512">
        <f>SUM(C10911,C10887,C10863,C10839,C10815,C10791,C10767)/POBLA!$B$14*100000</f>
        <v>105.68511385925883</v>
      </c>
      <c r="N10911" s="42" t="s">
        <v>23</v>
      </c>
      <c r="O10911" s="42">
        <v>191</v>
      </c>
      <c r="P10911" s="42">
        <v>20455</v>
      </c>
    </row>
    <row r="10912" spans="1:16" x14ac:dyDescent="0.25">
      <c r="A10912" s="402" t="s">
        <v>19</v>
      </c>
      <c r="B10912" s="2">
        <v>44347</v>
      </c>
      <c r="C10912" s="4">
        <v>858</v>
      </c>
      <c r="D10912" s="39">
        <f t="shared" si="1101"/>
        <v>90408</v>
      </c>
      <c r="E10912" s="1">
        <v>12</v>
      </c>
      <c r="F10912" s="39">
        <f t="shared" si="1102"/>
        <v>1325</v>
      </c>
      <c r="G10912" s="169">
        <f>SUM(C10912,C10888,C10864,C10840,C10816,C10792,C10768,C10744,C10720,C10696,C10672,C10648,C10624,C10600)/POBLA!$B$15*100000</f>
        <v>1704.0705843022513</v>
      </c>
      <c r="H10912" s="258">
        <f t="shared" si="1100"/>
        <v>1.5808885163453479</v>
      </c>
      <c r="I10912" s="310">
        <f t="shared" si="1105"/>
        <v>2693.945617765336</v>
      </c>
      <c r="J10912" s="552">
        <f t="shared" si="1104"/>
        <v>844.28571428571433</v>
      </c>
      <c r="K10912" s="310">
        <f>J10912/POBLA!$B$15*100000</f>
        <v>127.14054882121781</v>
      </c>
      <c r="L10912" s="202">
        <f t="shared" si="1106"/>
        <v>9.3229744728079877E-2</v>
      </c>
      <c r="M10912" s="512">
        <f>SUM(C10912,C10888,C10864,C10840,C10816,C10792,C10768)/POBLA!$B$15*100000</f>
        <v>889.98384174852458</v>
      </c>
      <c r="N10912" s="42" t="s">
        <v>19</v>
      </c>
      <c r="O10912" s="42">
        <v>858</v>
      </c>
      <c r="P10912" s="42">
        <v>90408</v>
      </c>
    </row>
    <row r="10913" spans="1:16" x14ac:dyDescent="0.25">
      <c r="A10913" s="402" t="s">
        <v>18</v>
      </c>
      <c r="B10913" s="2">
        <v>44347</v>
      </c>
      <c r="C10913" s="4">
        <v>598</v>
      </c>
      <c r="D10913" s="39">
        <f t="shared" si="1101"/>
        <v>74212</v>
      </c>
      <c r="E10913" s="1">
        <v>15</v>
      </c>
      <c r="F10913" s="39">
        <f t="shared" si="1102"/>
        <v>1625</v>
      </c>
      <c r="G10913" s="169">
        <f>SUM(C10913,C10889,C10865,C10841,C10817,C10793,C10769,C10745,C10721,C10697,C10673,C10649,C10625,C10601)/POBLA!$B$16*100000</f>
        <v>985.40682976418179</v>
      </c>
      <c r="H10913" s="258">
        <f t="shared" si="1100"/>
        <v>1.535111481558658</v>
      </c>
      <c r="I10913" s="310">
        <f t="shared" si="1105"/>
        <v>1512.7093383773133</v>
      </c>
      <c r="J10913" s="552">
        <f t="shared" si="1104"/>
        <v>527.57142857142856</v>
      </c>
      <c r="K10913" s="310">
        <f>J10913/POBLA!$B$16*100000</f>
        <v>70.567732985303635</v>
      </c>
      <c r="L10913" s="202">
        <f t="shared" si="1106"/>
        <v>5.1714752313554158E-3</v>
      </c>
      <c r="M10913" s="512">
        <f>SUM(C10913,C10889,C10865,C10841,C10817,C10793,C10769)/POBLA!$B$16*100000</f>
        <v>493.97413089712552</v>
      </c>
      <c r="N10913" s="42" t="s">
        <v>18</v>
      </c>
      <c r="O10913" s="42">
        <v>598</v>
      </c>
      <c r="P10913" s="42">
        <v>74212</v>
      </c>
    </row>
    <row r="10914" spans="1:16" x14ac:dyDescent="0.25">
      <c r="A10914" s="402" t="s">
        <v>34</v>
      </c>
      <c r="B10914" s="2">
        <v>44347</v>
      </c>
      <c r="C10914" s="4">
        <v>427</v>
      </c>
      <c r="D10914" s="39">
        <f t="shared" si="1101"/>
        <v>45379</v>
      </c>
      <c r="E10914" s="1">
        <v>16</v>
      </c>
      <c r="F10914" s="39">
        <f t="shared" si="1102"/>
        <v>1403</v>
      </c>
      <c r="G10914" s="169">
        <f>SUM(C10914,C10890,C10866,C10842,C10818,C10794,C10770,C10746,C10722,C10698,C10674,C10650,C10626,C10602)/POBLA!$B$17*100000</f>
        <v>468.47894231734557</v>
      </c>
      <c r="H10914" s="258">
        <f t="shared" ref="H10914:H10937" si="1107">SUM(C10914,C10890,C10866,C10842,C10818,C10794,C10770,C10746,C10722,C10698,C10674,C10650,C10626,C10602)/SUM(C10578,C10554,C10530,C10506,C10482,C10458,C10434,C10410,C10386,C10362,C10338,C10314,C10290,C10266)</f>
        <v>1.8536111111111111</v>
      </c>
      <c r="I10914" s="310">
        <f t="shared" si="1105"/>
        <v>868.37777280101307</v>
      </c>
      <c r="J10914" s="552">
        <f t="shared" si="1104"/>
        <v>467.71428571428572</v>
      </c>
      <c r="K10914" s="310">
        <f>J10914/POBLA!$B$17*100000</f>
        <v>32.835949929288375</v>
      </c>
      <c r="L10914" s="202">
        <f t="shared" si="1106"/>
        <v>-3.6775522212415424E-2</v>
      </c>
      <c r="M10914" s="512">
        <f>SUM(C10914,C10890,C10866,C10842,C10818,C10794,C10770)/POBLA!$B$17*100000</f>
        <v>229.85164950501863</v>
      </c>
      <c r="N10914" s="42" t="s">
        <v>34</v>
      </c>
      <c r="O10914" s="42">
        <v>427</v>
      </c>
      <c r="P10914" s="42">
        <v>45379</v>
      </c>
    </row>
    <row r="10915" spans="1:16" x14ac:dyDescent="0.25">
      <c r="A10915" s="402" t="s">
        <v>35</v>
      </c>
      <c r="B10915" s="2">
        <v>44347</v>
      </c>
      <c r="C10915" s="4">
        <v>409</v>
      </c>
      <c r="D10915" s="39">
        <f t="shared" si="1101"/>
        <v>37018</v>
      </c>
      <c r="E10915" s="1">
        <v>8</v>
      </c>
      <c r="F10915" s="39">
        <f t="shared" si="1102"/>
        <v>635</v>
      </c>
      <c r="G10915" s="169">
        <f>SUM(C10915,C10891,C10867,C10843,C10819,C10795,C10771,C10747,C10723,C10699,C10675,C10651,C10627,C10603)/POBLA!$B$18*100000</f>
        <v>925.60709764380454</v>
      </c>
      <c r="H10915" s="258">
        <f t="shared" si="1107"/>
        <v>1.2610742936867807</v>
      </c>
      <c r="I10915" s="310">
        <f t="shared" si="1105"/>
        <v>1167.2593168926319</v>
      </c>
      <c r="J10915" s="552">
        <f t="shared" si="1104"/>
        <v>518.42857142857144</v>
      </c>
      <c r="K10915" s="310">
        <f>J10915/POBLA!$B$18*100000</f>
        <v>66.361660259386497</v>
      </c>
      <c r="L10915" s="202">
        <f t="shared" si="1106"/>
        <v>7.4958356468628473E-3</v>
      </c>
      <c r="M10915" s="512">
        <f>SUM(C10915,C10891,C10867,C10843,C10819,C10795,C10771)/POBLA!$B$18*100000</f>
        <v>464.53162181570548</v>
      </c>
      <c r="N10915" s="42" t="s">
        <v>35</v>
      </c>
      <c r="O10915" s="42">
        <v>409</v>
      </c>
      <c r="P10915" s="42">
        <v>37018</v>
      </c>
    </row>
    <row r="10916" spans="1:16" x14ac:dyDescent="0.25">
      <c r="A10916" s="402" t="s">
        <v>36</v>
      </c>
      <c r="B10916" s="2">
        <v>44347</v>
      </c>
      <c r="C10916" s="4">
        <v>532</v>
      </c>
      <c r="D10916" s="39">
        <f t="shared" si="1101"/>
        <v>53063</v>
      </c>
      <c r="E10916" s="1">
        <v>17</v>
      </c>
      <c r="F10916" s="39">
        <f t="shared" si="1102"/>
        <v>702</v>
      </c>
      <c r="G10916" s="169">
        <f>SUM(C10916,C10892,C10868,C10844,C10820,C10796,C10772,C10748,C10724,C10700,C10676,C10652,C10628,C10604)/POBLA!$B$19*100000</f>
        <v>1569.655812782298</v>
      </c>
      <c r="H10916" s="258">
        <f t="shared" si="1107"/>
        <v>1.2776621297037629</v>
      </c>
      <c r="I10916" s="310">
        <f t="shared" si="1105"/>
        <v>2005.4897886613219</v>
      </c>
      <c r="J10916" s="552">
        <f t="shared" si="1104"/>
        <v>534.42857142857144</v>
      </c>
      <c r="K10916" s="310">
        <f>J10916/POBLA!$B$19*100000</f>
        <v>105.13459251282075</v>
      </c>
      <c r="L10916" s="202">
        <f t="shared" si="1106"/>
        <v>-0.11727229825389329</v>
      </c>
      <c r="M10916" s="512">
        <f>SUM(C10916,C10892,C10868,C10844,C10820,C10796,C10772)/POBLA!$B$19*100000</f>
        <v>735.94214758974522</v>
      </c>
      <c r="N10916" s="42" t="s">
        <v>36</v>
      </c>
      <c r="O10916" s="42">
        <v>532</v>
      </c>
      <c r="P10916" s="42">
        <v>53063</v>
      </c>
    </row>
    <row r="10917" spans="1:16" x14ac:dyDescent="0.25">
      <c r="A10917" s="402" t="s">
        <v>37</v>
      </c>
      <c r="B10917" s="2">
        <v>44347</v>
      </c>
      <c r="C10917" s="4">
        <v>218</v>
      </c>
      <c r="D10917" s="39">
        <f t="shared" si="1101"/>
        <v>51542</v>
      </c>
      <c r="E10917" s="1">
        <v>6</v>
      </c>
      <c r="F10917" s="39">
        <f t="shared" si="1102"/>
        <v>791</v>
      </c>
      <c r="G10917" s="169">
        <f>SUM(C10917,C10893,C10869,C10845,C10821,C10797,C10773,C10749,C10725,C10701,C10677,C10653,C10629,C10605)/POBLA!$B$20*100000</f>
        <v>870.93722142314152</v>
      </c>
      <c r="H10917" s="258">
        <f t="shared" si="1107"/>
        <v>1.0085497150094997</v>
      </c>
      <c r="I10917" s="310">
        <f t="shared" si="1105"/>
        <v>878.38348645747499</v>
      </c>
      <c r="J10917" s="552">
        <f t="shared" si="1104"/>
        <v>198.85714285714286</v>
      </c>
      <c r="K10917" s="310">
        <f>J10917/POBLA!$B$20*100000</f>
        <v>54.37742149455093</v>
      </c>
      <c r="L10917" s="202">
        <f t="shared" si="1106"/>
        <v>-0.22364751812604577</v>
      </c>
      <c r="M10917" s="512">
        <f>SUM(C10917,C10893,C10869,C10845,C10821,C10797,C10773)/POBLA!$B$20*100000</f>
        <v>380.64195046185648</v>
      </c>
      <c r="N10917" s="42" t="s">
        <v>37</v>
      </c>
      <c r="O10917" s="42">
        <v>218</v>
      </c>
      <c r="P10917" s="42">
        <v>51542</v>
      </c>
    </row>
    <row r="10918" spans="1:16" x14ac:dyDescent="0.25">
      <c r="A10918" s="402" t="s">
        <v>22</v>
      </c>
      <c r="B10918" s="2">
        <v>44347</v>
      </c>
      <c r="C10918" s="4">
        <v>2435</v>
      </c>
      <c r="D10918" s="39">
        <f t="shared" si="1101"/>
        <v>345071</v>
      </c>
      <c r="E10918" s="1">
        <v>52</v>
      </c>
      <c r="F10918" s="39">
        <f t="shared" si="1102"/>
        <v>5561</v>
      </c>
      <c r="G10918" s="169">
        <f>SUM(C10918,C10894,C10870,C10846,C10822,C10798,C10774,C10750,C10726,C10702,C10678,C10654,C10630,C10606)/POBLA!$B$21*100000</f>
        <v>1143.6996418409815</v>
      </c>
      <c r="H10918" s="258">
        <f t="shared" si="1107"/>
        <v>1.5165922981739097</v>
      </c>
      <c r="I10918" s="310">
        <f t="shared" si="1105"/>
        <v>1734.5260682402916</v>
      </c>
      <c r="J10918" s="552">
        <f t="shared" si="1104"/>
        <v>2911.4285714285716</v>
      </c>
      <c r="K10918" s="310">
        <f>J10918/POBLA!$B$21*100000</f>
        <v>82.327048765970872</v>
      </c>
      <c r="L10918" s="202">
        <f t="shared" si="1106"/>
        <v>1.5648360410644768E-2</v>
      </c>
      <c r="M10918" s="512">
        <f>SUM(C10918,C10894,C10870,C10846,C10822,C10798,C10774)/POBLA!$B$21*100000</f>
        <v>576.28934136179601</v>
      </c>
      <c r="N10918" s="42" t="s">
        <v>22</v>
      </c>
      <c r="O10918" s="42">
        <v>2435</v>
      </c>
      <c r="P10918" s="42">
        <v>345071</v>
      </c>
    </row>
    <row r="10919" spans="1:16" x14ac:dyDescent="0.25">
      <c r="A10919" s="402" t="s">
        <v>38</v>
      </c>
      <c r="B10919" s="2">
        <v>44347</v>
      </c>
      <c r="C10919" s="4">
        <v>545</v>
      </c>
      <c r="D10919" s="39">
        <f t="shared" si="1101"/>
        <v>43917</v>
      </c>
      <c r="E10919" s="1">
        <v>13</v>
      </c>
      <c r="F10919" s="39">
        <f t="shared" si="1102"/>
        <v>523</v>
      </c>
      <c r="G10919" s="169">
        <f>SUM(C10919,C10895,C10871,C10847,C10823,C10799,C10775,C10751,C10727,C10703,C10679,C10655,C10631,C10607)/POBLA!$B$22*100000</f>
        <v>834.29331921378946</v>
      </c>
      <c r="H10919" s="258">
        <f t="shared" si="1107"/>
        <v>1.7793764988009593</v>
      </c>
      <c r="I10919" s="310">
        <f t="shared" si="1105"/>
        <v>1484.5219253156638</v>
      </c>
      <c r="J10919" s="552">
        <f t="shared" si="1104"/>
        <v>543.85714285714289</v>
      </c>
      <c r="K10919" s="310">
        <f>J10919/POBLA!$B$22*100000</f>
        <v>55.591323314434433</v>
      </c>
      <c r="L10919" s="202">
        <f t="shared" si="1106"/>
        <v>-0.12583237657864521</v>
      </c>
      <c r="M10919" s="512">
        <f>SUM(C10919,C10895,C10871,C10847,C10823,C10799,C10775)/POBLA!$B$22*100000</f>
        <v>389.13926320104099</v>
      </c>
      <c r="N10919" s="42" t="s">
        <v>38</v>
      </c>
      <c r="O10919" s="42">
        <v>545</v>
      </c>
      <c r="P10919" s="42">
        <v>43917</v>
      </c>
    </row>
    <row r="10920" spans="1:16" x14ac:dyDescent="0.25">
      <c r="A10920" s="402" t="s">
        <v>39</v>
      </c>
      <c r="B10920" s="2">
        <v>44347</v>
      </c>
      <c r="C10920" s="4">
        <v>29</v>
      </c>
      <c r="D10920" s="39">
        <f t="shared" si="1101"/>
        <v>28480</v>
      </c>
      <c r="E10920" s="1">
        <v>2</v>
      </c>
      <c r="F10920" s="39">
        <f t="shared" si="1102"/>
        <v>420</v>
      </c>
      <c r="G10920" s="169">
        <f>SUM(C10920,C10896,C10872,C10848,C10824,C10800,C10776,C10752,C10728,C10704,C10680,C10656,C10632,C10608)/POBLA!$B$23*100000</f>
        <v>510.09444098851998</v>
      </c>
      <c r="H10920" s="258">
        <f t="shared" si="1107"/>
        <v>0.90380761523046094</v>
      </c>
      <c r="I10920" s="310">
        <f t="shared" si="1105"/>
        <v>461.02724025214934</v>
      </c>
      <c r="J10920" s="552">
        <f t="shared" si="1104"/>
        <v>59.142857142857146</v>
      </c>
      <c r="K10920" s="310">
        <f>J10920/POBLA!$B$23*100000</f>
        <v>33.446167020786717</v>
      </c>
      <c r="L10920" s="202">
        <f t="shared" si="1106"/>
        <v>-0.15163934426229508</v>
      </c>
      <c r="M10920" s="512">
        <f>SUM(C10920,C10896,C10872,C10848,C10824,C10800,C10776)/POBLA!$B$23*100000</f>
        <v>234.12316914550698</v>
      </c>
      <c r="N10920" s="42" t="s">
        <v>39</v>
      </c>
      <c r="O10920" s="42">
        <v>29</v>
      </c>
      <c r="P10920" s="42">
        <v>28480</v>
      </c>
    </row>
    <row r="10921" spans="1:16" ht="15.75" thickBot="1" x14ac:dyDescent="0.3">
      <c r="A10921" s="403" t="s">
        <v>40</v>
      </c>
      <c r="B10921" s="34">
        <v>44347</v>
      </c>
      <c r="C10921" s="27">
        <v>1481</v>
      </c>
      <c r="D10921" s="67">
        <f t="shared" si="1101"/>
        <v>130104</v>
      </c>
      <c r="E10921" s="234">
        <v>25</v>
      </c>
      <c r="F10921" s="67">
        <f t="shared" si="1102"/>
        <v>1890</v>
      </c>
      <c r="G10921" s="257">
        <f>SUM(C10921,C10897,C10873,C10849,C10825,C10801,C10777,C10753,C10729,C10705,C10681,C10657,C10633,C10609)/POBLA!$B$24*100000</f>
        <v>842.7079006004758</v>
      </c>
      <c r="H10921" s="259">
        <f t="shared" si="1107"/>
        <v>1.6848749410099104</v>
      </c>
      <c r="I10921" s="312">
        <f t="shared" si="1105"/>
        <v>1419.8574243128121</v>
      </c>
      <c r="J10921" s="566">
        <f t="shared" si="1104"/>
        <v>1177.2857142857142</v>
      </c>
      <c r="K10921" s="312">
        <f>J10921/POBLA!$B$24*100000</f>
        <v>69.470483347990054</v>
      </c>
      <c r="L10921" s="262">
        <f t="shared" si="1106"/>
        <v>0.36440397350993381</v>
      </c>
      <c r="M10921" s="517">
        <f>SUM(C10921,C10897,C10873,C10849,C10825,C10801,C10777)/POBLA!$B$24*100000</f>
        <v>486.29338343593037</v>
      </c>
      <c r="N10921" s="42" t="s">
        <v>40</v>
      </c>
      <c r="O10921" s="42">
        <v>1481</v>
      </c>
      <c r="P10921" s="42">
        <v>130104</v>
      </c>
    </row>
    <row r="10922" spans="1:16" x14ac:dyDescent="0.25">
      <c r="A10922" s="397" t="s">
        <v>16</v>
      </c>
      <c r="B10922" s="267">
        <v>44348</v>
      </c>
      <c r="C10922" s="389">
        <v>13283</v>
      </c>
      <c r="D10922" s="175">
        <f t="shared" si="1101"/>
        <v>1623569</v>
      </c>
      <c r="E10922" s="43">
        <v>267</v>
      </c>
      <c r="F10922" s="175">
        <f t="shared" ref="F10922:F10945" si="1108">E10922+F10898</f>
        <v>40462</v>
      </c>
      <c r="G10922" s="176">
        <f>SUM(C10922,C10898,C10874,C10850,C10826,C10802,C10778,C10754,C10730,C10706,C10682,C10658,C10634,C10610)/POBLA!$B$1*100000</f>
        <v>915.55617733190786</v>
      </c>
      <c r="H10922" s="313">
        <f t="shared" si="1107"/>
        <v>1.2239284843311791</v>
      </c>
      <c r="I10922" s="314">
        <f>G10922*H10922</f>
        <v>1120.5752844418903</v>
      </c>
      <c r="J10922" s="551">
        <f>AVERAGE(C10922,C10898,C10874,C10850,C10826,C10802,C10778)</f>
        <v>11993.857142857143</v>
      </c>
      <c r="K10922" s="314">
        <f>J10922/POBLA!$B$1*100000</f>
        <v>68.375581399506132</v>
      </c>
      <c r="L10922" s="510">
        <f t="shared" si="1106"/>
        <v>9.5443751467863658E-2</v>
      </c>
      <c r="M10922" s="511">
        <f>SUM(C10922,C10898,C10874,C10850,C10826,C10802,C10778)/POBLA!$B$1*100000</f>
        <v>478.62906979654286</v>
      </c>
      <c r="N10922" s="42" t="s">
        <v>270</v>
      </c>
      <c r="O10922" s="42">
        <v>13283</v>
      </c>
      <c r="P10922" s="42">
        <v>1623569</v>
      </c>
    </row>
    <row r="10923" spans="1:16" x14ac:dyDescent="0.25">
      <c r="A10923" s="402" t="s">
        <v>43</v>
      </c>
      <c r="B10923" s="2">
        <v>44348</v>
      </c>
      <c r="C10923" s="4">
        <v>2430</v>
      </c>
      <c r="D10923" s="39">
        <f t="shared" si="1101"/>
        <v>420680</v>
      </c>
      <c r="E10923" s="1">
        <v>42</v>
      </c>
      <c r="F10923" s="39">
        <f t="shared" si="1108"/>
        <v>9202</v>
      </c>
      <c r="G10923" s="169">
        <f>SUM(C10923,C10899,C10875,C10851,C10827,C10803,C10779,C10755,C10731,C10707,C10683,C10659,C10635,C10611)/POBLA!$B$2*100000</f>
        <v>1191.9772301493736</v>
      </c>
      <c r="H10923" s="258">
        <f t="shared" si="1107"/>
        <v>1.1181565864519474</v>
      </c>
      <c r="I10923" s="310">
        <f t="shared" ref="I10923:I10929" si="1109">G10923*H10923</f>
        <v>1332.8171907922708</v>
      </c>
      <c r="J10923" s="552">
        <f t="shared" ref="J10923:J10945" si="1110">AVERAGE(C10923,C10899,C10875,C10851,C10827,C10803,C10779)</f>
        <v>2628</v>
      </c>
      <c r="K10923" s="310">
        <f>J10923/POBLA!$B$2*100000</f>
        <v>85.445464139891271</v>
      </c>
      <c r="L10923" s="202">
        <f t="shared" si="1106"/>
        <v>7.1721872433616607E-3</v>
      </c>
      <c r="M10923" s="512">
        <f>SUM(C10923,C10899,C10875,C10851,C10827,C10803,C10779)/POBLA!$B$2*100000</f>
        <v>598.11824897923884</v>
      </c>
      <c r="N10923" s="42" t="s">
        <v>43</v>
      </c>
      <c r="O10923" s="42">
        <v>2430</v>
      </c>
      <c r="P10923" s="42">
        <v>420680</v>
      </c>
    </row>
    <row r="10924" spans="1:16" x14ac:dyDescent="0.25">
      <c r="A10924" s="402" t="s">
        <v>28</v>
      </c>
      <c r="B10924" s="2">
        <v>44348</v>
      </c>
      <c r="C10924" s="4">
        <v>455</v>
      </c>
      <c r="D10924" s="39">
        <f t="shared" si="1101"/>
        <v>24197</v>
      </c>
      <c r="E10924" s="1">
        <v>8</v>
      </c>
      <c r="F10924" s="39">
        <f t="shared" si="1108"/>
        <v>176</v>
      </c>
      <c r="G10924" s="169">
        <f>SUM(C10924,C10900,C10876,C10852,C10828,C10804,C10780,C10756,C10732,C10708,C10684,C10660,C10636,C10612)/POBLA!$B$3*100000</f>
        <v>1339.5500652323572</v>
      </c>
      <c r="H10924" s="258">
        <f t="shared" si="1107"/>
        <v>1.6987179487179487</v>
      </c>
      <c r="I10924" s="310">
        <f t="shared" si="1109"/>
        <v>2275.517739016504</v>
      </c>
      <c r="J10924" s="552">
        <f t="shared" si="1110"/>
        <v>412.71428571428572</v>
      </c>
      <c r="K10924" s="310">
        <f>J10924/POBLA!$B$3*100000</f>
        <v>99.34437526521063</v>
      </c>
      <c r="L10924" s="202">
        <f t="shared" si="1106"/>
        <v>7.9596412556053764E-2</v>
      </c>
      <c r="M10924" s="512">
        <f>SUM(C10924,C10900,C10876,C10852,C10828,C10804,C10780)/POBLA!$B$3*100000</f>
        <v>695.41062685647444</v>
      </c>
      <c r="N10924" s="42" t="s">
        <v>28</v>
      </c>
      <c r="O10924" s="42">
        <v>455</v>
      </c>
      <c r="P10924" s="42">
        <v>24197</v>
      </c>
    </row>
    <row r="10925" spans="1:16" x14ac:dyDescent="0.25">
      <c r="A10925" s="402" t="s">
        <v>15</v>
      </c>
      <c r="B10925" s="2">
        <v>44348</v>
      </c>
      <c r="C10925" s="4">
        <v>791</v>
      </c>
      <c r="D10925" s="39">
        <f t="shared" si="1101"/>
        <v>58998</v>
      </c>
      <c r="E10925" s="1">
        <v>13</v>
      </c>
      <c r="F10925" s="39">
        <f t="shared" si="1108"/>
        <v>1242</v>
      </c>
      <c r="G10925" s="169">
        <f>SUM(C10925,C10901,C10877,C10853,C10829,C10805,C10781,C10757,C10733,C10709,C10685,C10661,C10637,C10613)/POBLA!$B$4*100000</f>
        <v>725.08947391579034</v>
      </c>
      <c r="H10925" s="258">
        <f t="shared" si="1107"/>
        <v>1.8970460469157255</v>
      </c>
      <c r="I10925" s="310">
        <f t="shared" si="1109"/>
        <v>1375.5281201521532</v>
      </c>
      <c r="J10925" s="552">
        <f t="shared" si="1110"/>
        <v>643.14285714285711</v>
      </c>
      <c r="K10925" s="310">
        <f>J10925/POBLA!$B$4*100000</f>
        <v>53.393189367805427</v>
      </c>
      <c r="L10925" s="202">
        <f t="shared" si="1106"/>
        <v>6.3799621928166461E-2</v>
      </c>
      <c r="M10925" s="512">
        <f>SUM(C10925,C10901,C10877,C10853,C10829,C10805,C10781)/POBLA!$B$4*100000</f>
        <v>373.75232557463795</v>
      </c>
      <c r="N10925" s="42" t="s">
        <v>15</v>
      </c>
      <c r="O10925" s="42">
        <v>791</v>
      </c>
      <c r="P10925" s="42">
        <v>58998</v>
      </c>
    </row>
    <row r="10926" spans="1:16" x14ac:dyDescent="0.25">
      <c r="A10926" s="402" t="s">
        <v>29</v>
      </c>
      <c r="B10926" s="2">
        <v>44348</v>
      </c>
      <c r="C10926" s="4">
        <v>506</v>
      </c>
      <c r="D10926" s="39">
        <f t="shared" si="1101"/>
        <v>63252</v>
      </c>
      <c r="F10926" s="39">
        <f t="shared" si="1108"/>
        <v>1048</v>
      </c>
      <c r="G10926" s="169">
        <f>SUM(C10926,C10902,C10878,C10854,C10830,C10806,C10782,C10758,C10734,C10710,C10686,C10662,C10638,C10614)/POBLA!$B$5*100000</f>
        <v>775.1286765299825</v>
      </c>
      <c r="H10926" s="258">
        <f t="shared" si="1107"/>
        <v>1.5407835581245986</v>
      </c>
      <c r="I10926" s="310">
        <f t="shared" si="1109"/>
        <v>1194.3055202282774</v>
      </c>
      <c r="J10926" s="552">
        <f t="shared" si="1110"/>
        <v>393.85714285714283</v>
      </c>
      <c r="K10926" s="310">
        <f>J10926/POBLA!$B$5*100000</f>
        <v>63.628588137710999</v>
      </c>
      <c r="L10926" s="202">
        <f t="shared" si="1106"/>
        <v>0.35080842724154837</v>
      </c>
      <c r="M10926" s="512">
        <f>SUM(C10926,C10902,C10878,C10854,C10830,C10806,C10782)/POBLA!$B$5*100000</f>
        <v>445.40011696397698</v>
      </c>
      <c r="N10926" s="42" t="s">
        <v>29</v>
      </c>
      <c r="O10926" s="42">
        <v>506</v>
      </c>
      <c r="P10926" s="42">
        <v>63252</v>
      </c>
    </row>
    <row r="10927" spans="1:16" x14ac:dyDescent="0.25">
      <c r="A10927" s="402" t="s">
        <v>30</v>
      </c>
      <c r="B10927" s="2">
        <v>44348</v>
      </c>
      <c r="C10927" s="4">
        <v>167</v>
      </c>
      <c r="D10927" s="39">
        <f t="shared" si="1101"/>
        <v>51621</v>
      </c>
      <c r="E10927" s="1">
        <v>23</v>
      </c>
      <c r="F10927" s="39">
        <f t="shared" si="1108"/>
        <v>635</v>
      </c>
      <c r="G10927" s="169">
        <f>SUM(C10927,C10903,C10879,C10855,C10831,C10807,C10783,C10759,C10735,C10711,C10687,C10663,C10639,C10615)/POBLA!$B$6*100000</f>
        <v>958.42170019477135</v>
      </c>
      <c r="H10927" s="258">
        <f t="shared" si="1107"/>
        <v>4.0413844996237769</v>
      </c>
      <c r="I10927" s="310">
        <f t="shared" si="1109"/>
        <v>3873.3506032702153</v>
      </c>
      <c r="J10927" s="552">
        <f t="shared" si="1110"/>
        <v>540</v>
      </c>
      <c r="K10927" s="310">
        <f>J10927/POBLA!$B$6*100000</f>
        <v>48.17982853334356</v>
      </c>
      <c r="L10927" s="202">
        <f t="shared" si="1106"/>
        <v>-0.45705257110025854</v>
      </c>
      <c r="M10927" s="512">
        <f>SUM(C10927,C10903,C10879,C10855,C10831,C10807,C10783)/POBLA!$B$6*100000</f>
        <v>337.25879973340494</v>
      </c>
      <c r="N10927" s="42" t="s">
        <v>30</v>
      </c>
      <c r="O10927" s="42">
        <v>167</v>
      </c>
      <c r="P10927" s="42">
        <v>51621</v>
      </c>
    </row>
    <row r="10928" spans="1:16" x14ac:dyDescent="0.25">
      <c r="A10928" s="402" t="s">
        <v>20</v>
      </c>
      <c r="B10928" s="2">
        <v>44348</v>
      </c>
      <c r="C10928" s="4">
        <v>5132</v>
      </c>
      <c r="D10928" s="39">
        <f t="shared" si="1101"/>
        <v>317030</v>
      </c>
      <c r="E10928" s="1">
        <v>43</v>
      </c>
      <c r="F10928" s="39">
        <f t="shared" si="1108"/>
        <v>3949</v>
      </c>
      <c r="G10928" s="169">
        <f>SUM(C10928,C10904,C10880,C10856,C10832,C10808,C10784,C10760,C10736,C10712,C10688,C10664,C10640,C10616)/POBLA!$B$7*100000</f>
        <v>1424.4837718890028</v>
      </c>
      <c r="H10928" s="258">
        <f t="shared" si="1107"/>
        <v>1.7340088048685744</v>
      </c>
      <c r="I10928" s="310">
        <f t="shared" si="1109"/>
        <v>2470.0674028479289</v>
      </c>
      <c r="J10928" s="552">
        <f t="shared" si="1110"/>
        <v>4236.7142857142853</v>
      </c>
      <c r="K10928" s="310">
        <f>J10928/POBLA!$B$7*100000</f>
        <v>112.66508757500526</v>
      </c>
      <c r="L10928" s="202">
        <f t="shared" si="1106"/>
        <v>0.24035968214136338</v>
      </c>
      <c r="M10928" s="512">
        <f>SUM(C10928,C10904,C10880,C10856,C10832,C10808,C10784)/POBLA!$B$7*100000</f>
        <v>788.65561302503693</v>
      </c>
      <c r="N10928" s="42" t="s">
        <v>20</v>
      </c>
      <c r="O10928" s="42">
        <v>5132</v>
      </c>
      <c r="P10928" s="42">
        <v>317030</v>
      </c>
    </row>
    <row r="10929" spans="1:16" x14ac:dyDescent="0.25">
      <c r="A10929" s="402" t="s">
        <v>31</v>
      </c>
      <c r="B10929" s="2">
        <v>44348</v>
      </c>
      <c r="C10929" s="4">
        <v>1271</v>
      </c>
      <c r="D10929" s="39">
        <f t="shared" si="1101"/>
        <v>87052</v>
      </c>
      <c r="E10929" s="1">
        <v>22</v>
      </c>
      <c r="F10929" s="39">
        <f t="shared" si="1108"/>
        <v>1358</v>
      </c>
      <c r="G10929" s="169">
        <f>SUM(C10929,C10905,C10881,C10857,C10833,C10809,C10785,C10761,C10737,C10713,C10689,C10665,C10641,C10617)/POBLA!$B$8*100000</f>
        <v>980.11415905642377</v>
      </c>
      <c r="H10929" s="258">
        <f t="shared" si="1107"/>
        <v>1.5028211085297045</v>
      </c>
      <c r="I10929" s="310">
        <f t="shared" si="1109"/>
        <v>1472.9362469988339</v>
      </c>
      <c r="J10929" s="552">
        <f t="shared" si="1110"/>
        <v>1079.8571428571429</v>
      </c>
      <c r="K10929" s="310">
        <f>J10929/POBLA!$B$8*100000</f>
        <v>77.913963153158207</v>
      </c>
      <c r="L10929" s="202">
        <f t="shared" si="1106"/>
        <v>0.25460580912863073</v>
      </c>
      <c r="M10929" s="512">
        <f>SUM(C10929,C10905,C10881,C10857,C10833,C10809,C10785)/POBLA!$B$8*100000</f>
        <v>545.39774207210735</v>
      </c>
      <c r="N10929" s="42" t="s">
        <v>31</v>
      </c>
      <c r="O10929" s="42">
        <v>1271</v>
      </c>
      <c r="P10929" s="42">
        <v>87052</v>
      </c>
    </row>
    <row r="10930" spans="1:16" x14ac:dyDescent="0.25">
      <c r="A10930" s="402" t="s">
        <v>41</v>
      </c>
      <c r="B10930" s="2">
        <v>44348</v>
      </c>
      <c r="C10930" s="4">
        <v>1057</v>
      </c>
      <c r="D10930" s="39">
        <f t="shared" si="1101"/>
        <v>31564</v>
      </c>
      <c r="E10930" s="1">
        <v>12</v>
      </c>
      <c r="F10930" s="39">
        <f t="shared" si="1108"/>
        <v>507</v>
      </c>
      <c r="G10930" s="169">
        <f>SUM(C10930,C10906,C10882,C10858,C10834,C10810,C10786,C10762,C10738,C10714,C10690,C10666,C10642,C10618)/POBLA!$B$9*100000</f>
        <v>2881.725333901747</v>
      </c>
      <c r="H10930" s="258">
        <f t="shared" si="1107"/>
        <v>1.8686381656487732</v>
      </c>
      <c r="I10930" s="310">
        <f>G10930*H10930</f>
        <v>5384.9019418457592</v>
      </c>
      <c r="J10930" s="552">
        <f t="shared" si="1110"/>
        <v>981</v>
      </c>
      <c r="K10930" s="310">
        <f>J10930/POBLA!$B$9*100000</f>
        <v>162.09705003197328</v>
      </c>
      <c r="L10930" s="202">
        <f>(SUM(C10930,C10906,C10882,C10858,C10834,C10810,C10786)/SUM(C10762,C10738,C10714,C10690,C10666,C10642,C10618))-1</f>
        <v>-0.35051546391752575</v>
      </c>
      <c r="M10930" s="512">
        <f>SUM(C10930,C10906,C10882,C10858,C10834,C10810,C10786)/POBLA!$B$9*100000</f>
        <v>1134.6793502238129</v>
      </c>
      <c r="N10930" s="42" t="s">
        <v>41</v>
      </c>
      <c r="O10930" s="42">
        <v>1057</v>
      </c>
      <c r="P10930" s="42">
        <v>31564</v>
      </c>
    </row>
    <row r="10931" spans="1:16" x14ac:dyDescent="0.25">
      <c r="A10931" s="402" t="s">
        <v>32</v>
      </c>
      <c r="B10931" s="2">
        <v>44348</v>
      </c>
      <c r="C10931" s="4">
        <v>278</v>
      </c>
      <c r="D10931" s="39">
        <f t="shared" si="1101"/>
        <v>28647</v>
      </c>
      <c r="F10931" s="39">
        <f t="shared" si="1108"/>
        <v>1092</v>
      </c>
      <c r="G10931" s="169">
        <f>SUM(C10931,C10907,C10883,C10859,C10835,C10811,C10787,C10763,C10739,C10715,C10691,C10667,C10643,C10619)/POBLA!$B$10*100000</f>
        <v>283.18248860719098</v>
      </c>
      <c r="H10931" s="258">
        <f t="shared" si="1107"/>
        <v>1.7380573248407643</v>
      </c>
      <c r="I10931" s="310">
        <f t="shared" ref="I10931:I10945" si="1111">G10931*H10931</f>
        <v>492.18739859036452</v>
      </c>
      <c r="J10931" s="552">
        <f t="shared" si="1110"/>
        <v>182.71428571428572</v>
      </c>
      <c r="K10931" s="310">
        <f>J10931/POBLA!$B$10*100000</f>
        <v>23.702009222472174</v>
      </c>
      <c r="L10931" s="202">
        <f t="shared" ref="L10931:L10953" si="1112">(SUM(C10931,C10907,C10883,C10859,C10835,C10811,C10787)/SUM(C10763,C10739,C10715,C10691,C10667,C10643,C10619))-1</f>
        <v>0.41482300884955747</v>
      </c>
      <c r="M10931" s="512">
        <f>SUM(C10931,C10907,C10883,C10859,C10835,C10811,C10787)/POBLA!$B$10*100000</f>
        <v>165.91406455730521</v>
      </c>
      <c r="N10931" s="42" t="s">
        <v>32</v>
      </c>
      <c r="O10931" s="42">
        <v>278</v>
      </c>
      <c r="P10931" s="42">
        <v>28647</v>
      </c>
    </row>
    <row r="10932" spans="1:16" x14ac:dyDescent="0.25">
      <c r="A10932" s="402" t="s">
        <v>33</v>
      </c>
      <c r="B10932" s="2">
        <v>44348</v>
      </c>
      <c r="C10932" s="4">
        <v>528</v>
      </c>
      <c r="D10932" s="39">
        <f t="shared" si="1101"/>
        <v>43356</v>
      </c>
      <c r="E10932" s="1">
        <v>10</v>
      </c>
      <c r="F10932" s="39">
        <f t="shared" si="1108"/>
        <v>571</v>
      </c>
      <c r="G10932" s="169">
        <f>SUM(C10932,C10908,C10884,C10860,C10836,C10812,C10788,C10764,C10740,C10716,C10692,C10668,C10644,C10620)/POBLA!$B$11*100000</f>
        <v>2359.190688227482</v>
      </c>
      <c r="H10932" s="258">
        <f t="shared" si="1107"/>
        <v>1.2731105088828667</v>
      </c>
      <c r="I10932" s="310">
        <f t="shared" si="1111"/>
        <v>3003.5104576410104</v>
      </c>
      <c r="J10932" s="552">
        <f t="shared" si="1110"/>
        <v>536.57142857142856</v>
      </c>
      <c r="K10932" s="310">
        <f>J10932/POBLA!$B$11*100000</f>
        <v>149.70131478886375</v>
      </c>
      <c r="L10932" s="202">
        <f t="shared" si="1112"/>
        <v>-0.20085106382978724</v>
      </c>
      <c r="M10932" s="512">
        <f>SUM(C10932,C10908,C10884,C10860,C10836,C10812,C10788)/POBLA!$B$11*100000</f>
        <v>1047.9092035220463</v>
      </c>
      <c r="N10932" s="42" t="s">
        <v>33</v>
      </c>
      <c r="O10932" s="42">
        <v>528</v>
      </c>
      <c r="P10932" s="42">
        <v>43356</v>
      </c>
    </row>
    <row r="10933" spans="1:16" x14ac:dyDescent="0.25">
      <c r="A10933" s="402" t="s">
        <v>21</v>
      </c>
      <c r="B10933" s="2">
        <v>44348</v>
      </c>
      <c r="C10933" s="4">
        <v>100</v>
      </c>
      <c r="D10933" s="39">
        <f t="shared" si="1101"/>
        <v>17501</v>
      </c>
      <c r="F10933" s="39">
        <f t="shared" si="1108"/>
        <v>534</v>
      </c>
      <c r="G10933" s="169">
        <f>SUM(C10933,C10909,C10885,C10861,C10837,C10813,C10789,C10765,C10741,C10717,C10693,C10669,C10645,C10621)/POBLA!$B$12*100000</f>
        <v>535.91711961700605</v>
      </c>
      <c r="H10933" s="258">
        <f t="shared" si="1107"/>
        <v>1.363283775048481</v>
      </c>
      <c r="I10933" s="310">
        <f t="shared" si="1111"/>
        <v>730.60711394458031</v>
      </c>
      <c r="J10933" s="552">
        <f t="shared" si="1110"/>
        <v>145</v>
      </c>
      <c r="K10933" s="310">
        <f>J10933/POBLA!$B$12*100000</f>
        <v>36.845890158589796</v>
      </c>
      <c r="L10933" s="202">
        <f t="shared" si="1112"/>
        <v>-7.2212065813528348E-2</v>
      </c>
      <c r="M10933" s="512">
        <f>SUM(C10933,C10909,C10885,C10861,C10837,C10813,C10789)/POBLA!$B$12*100000</f>
        <v>257.92123111012853</v>
      </c>
      <c r="N10933" s="42" t="s">
        <v>21</v>
      </c>
      <c r="O10933" s="42">
        <v>100</v>
      </c>
      <c r="P10933" s="42">
        <v>17501</v>
      </c>
    </row>
    <row r="10934" spans="1:16" x14ac:dyDescent="0.25">
      <c r="A10934" s="402" t="s">
        <v>17</v>
      </c>
      <c r="B10934" s="2">
        <v>44348</v>
      </c>
      <c r="C10934" s="4">
        <v>1033</v>
      </c>
      <c r="D10934" s="39">
        <f t="shared" si="1101"/>
        <v>121699</v>
      </c>
      <c r="E10934" s="1">
        <v>41</v>
      </c>
      <c r="F10934" s="39">
        <f t="shared" si="1108"/>
        <v>2619</v>
      </c>
      <c r="G10934" s="169">
        <f>SUM(C10934,C10910,C10886,C10862,C10838,C10814,C10790,C10766,C10742,C10718,C10694,C10670,C10646,C10622)/POBLA!$B$13*100000</f>
        <v>571.20951315806656</v>
      </c>
      <c r="H10934" s="258">
        <f t="shared" si="1107"/>
        <v>0.99929682693152855</v>
      </c>
      <c r="I10934" s="310">
        <f t="shared" si="1111"/>
        <v>570.80785401195908</v>
      </c>
      <c r="J10934" s="552">
        <f t="shared" si="1110"/>
        <v>866.85714285714289</v>
      </c>
      <c r="K10934" s="310">
        <f>J10934/POBLA!$B$13*100000</f>
        <v>43.553262956198544</v>
      </c>
      <c r="L10934" s="202">
        <f t="shared" si="1112"/>
        <v>0.1446896811922278</v>
      </c>
      <c r="M10934" s="512">
        <f>SUM(C10934,C10910,C10886,C10862,C10838,C10814,C10790)/POBLA!$B$13*100000</f>
        <v>304.87284069338978</v>
      </c>
      <c r="N10934" s="42" t="s">
        <v>17</v>
      </c>
      <c r="O10934" s="42">
        <v>1033</v>
      </c>
      <c r="P10934" s="42">
        <v>121699</v>
      </c>
    </row>
    <row r="10935" spans="1:16" x14ac:dyDescent="0.25">
      <c r="A10935" s="402" t="s">
        <v>23</v>
      </c>
      <c r="B10935" s="2">
        <v>44348</v>
      </c>
      <c r="C10935" s="4">
        <v>153</v>
      </c>
      <c r="D10935" s="39">
        <f t="shared" si="1101"/>
        <v>20608</v>
      </c>
      <c r="E10935" s="1">
        <v>3</v>
      </c>
      <c r="F10935" s="39">
        <f t="shared" si="1108"/>
        <v>301</v>
      </c>
      <c r="G10935" s="169">
        <f>SUM(C10935,C10911,C10887,C10863,C10839,C10815,C10791,C10767,C10743,C10719,C10695,C10671,C10647,C10623)/POBLA!$B$14*100000</f>
        <v>190.99432804722767</v>
      </c>
      <c r="H10935" s="258">
        <f t="shared" si="1107"/>
        <v>1.1040329972502292</v>
      </c>
      <c r="I10935" s="310">
        <f t="shared" si="1111"/>
        <v>210.86404045177429</v>
      </c>
      <c r="J10935" s="552">
        <f t="shared" si="1110"/>
        <v>181.14285714285714</v>
      </c>
      <c r="K10935" s="310">
        <f>J10935/POBLA!$B$14*100000</f>
        <v>14.361668028457848</v>
      </c>
      <c r="L10935" s="202">
        <f t="shared" si="1112"/>
        <v>0.11130587204206832</v>
      </c>
      <c r="M10935" s="512">
        <f>SUM(C10935,C10911,C10887,C10863,C10839,C10815,C10791)/POBLA!$B$14*100000</f>
        <v>100.53167619920494</v>
      </c>
      <c r="N10935" s="42" t="s">
        <v>23</v>
      </c>
      <c r="O10935" s="42">
        <v>153</v>
      </c>
      <c r="P10935" s="42">
        <v>20608</v>
      </c>
    </row>
    <row r="10936" spans="1:16" x14ac:dyDescent="0.25">
      <c r="A10936" s="402" t="s">
        <v>19</v>
      </c>
      <c r="B10936" s="2">
        <v>44348</v>
      </c>
      <c r="C10936" s="4">
        <v>845</v>
      </c>
      <c r="D10936" s="39">
        <f t="shared" si="1101"/>
        <v>91253</v>
      </c>
      <c r="E10936" s="1">
        <v>35</v>
      </c>
      <c r="F10936" s="39">
        <f t="shared" si="1108"/>
        <v>1360</v>
      </c>
      <c r="G10936" s="169">
        <f>SUM(C10936,C10912,C10888,C10864,C10840,C10816,C10792,C10768,C10744,C10720,C10696,C10672,C10648,C10624)/POBLA!$B$15*100000</f>
        <v>1709.792984638367</v>
      </c>
      <c r="H10936" s="258">
        <f t="shared" si="1107"/>
        <v>1.527306967984934</v>
      </c>
      <c r="I10936" s="310">
        <f t="shared" si="1111"/>
        <v>2611.3787392499353</v>
      </c>
      <c r="J10936" s="552">
        <f t="shared" si="1110"/>
        <v>830.71428571428567</v>
      </c>
      <c r="K10936" s="310">
        <f>J10936/POBLA!$B$15*100000</f>
        <v>125.09683441546218</v>
      </c>
      <c r="L10936" s="202">
        <f t="shared" si="1112"/>
        <v>4.9828488896912715E-2</v>
      </c>
      <c r="M10936" s="512">
        <f>SUM(C10936,C10912,C10888,C10864,C10840,C10816,C10792)/POBLA!$B$15*100000</f>
        <v>875.67784090823534</v>
      </c>
      <c r="N10936" s="42" t="s">
        <v>19</v>
      </c>
      <c r="O10936" s="42">
        <v>845</v>
      </c>
      <c r="P10936" s="42">
        <v>91253</v>
      </c>
    </row>
    <row r="10937" spans="1:16" x14ac:dyDescent="0.25">
      <c r="A10937" s="402" t="s">
        <v>18</v>
      </c>
      <c r="B10937" s="2">
        <v>44348</v>
      </c>
      <c r="C10937" s="4">
        <v>607</v>
      </c>
      <c r="D10937" s="39">
        <f t="shared" si="1101"/>
        <v>74819</v>
      </c>
      <c r="E10937" s="1">
        <v>15</v>
      </c>
      <c r="F10937" s="39">
        <f t="shared" si="1108"/>
        <v>1640</v>
      </c>
      <c r="G10937" s="169">
        <f>SUM(C10937,C10913,C10889,C10865,C10841,C10817,C10793,C10769,C10745,C10721,C10697,C10673,C10649,C10625)/POBLA!$B$16*100000</f>
        <v>992.09480879067974</v>
      </c>
      <c r="H10937" s="258">
        <f t="shared" si="1107"/>
        <v>1.4757262236370872</v>
      </c>
      <c r="I10937" s="310">
        <f t="shared" si="1111"/>
        <v>1464.0603256666279</v>
      </c>
      <c r="J10937" s="552">
        <f t="shared" si="1110"/>
        <v>545</v>
      </c>
      <c r="K10937" s="310">
        <f>J10937/POBLA!$B$16*100000</f>
        <v>72.898971388825714</v>
      </c>
      <c r="L10937" s="202">
        <f t="shared" si="1112"/>
        <v>5.9133814547473573E-2</v>
      </c>
      <c r="M10937" s="512">
        <f>SUM(C10937,C10913,C10889,C10865,C10841,C10817,C10793)/POBLA!$B$16*100000</f>
        <v>510.29279972178006</v>
      </c>
      <c r="N10937" s="42" t="s">
        <v>18</v>
      </c>
      <c r="O10937" s="42">
        <v>607</v>
      </c>
      <c r="P10937" s="42">
        <v>74819</v>
      </c>
    </row>
    <row r="10938" spans="1:16" x14ac:dyDescent="0.25">
      <c r="A10938" s="402" t="s">
        <v>34</v>
      </c>
      <c r="B10938" s="2">
        <v>44348</v>
      </c>
      <c r="C10938" s="4">
        <v>679</v>
      </c>
      <c r="D10938" s="39">
        <f t="shared" si="1101"/>
        <v>46058</v>
      </c>
      <c r="E10938" s="1">
        <v>12</v>
      </c>
      <c r="F10938" s="39">
        <f t="shared" si="1108"/>
        <v>1415</v>
      </c>
      <c r="G10938" s="169">
        <f>SUM(C10938,C10914,C10890,C10866,C10842,C10818,C10794,C10770,C10746,C10722,C10698,C10674,C10650,C10626)/POBLA!$B$17*100000</f>
        <v>479.78197089715854</v>
      </c>
      <c r="H10938" s="258">
        <f t="shared" ref="H10938:H10961" si="1113">SUM(C10938,C10914,C10890,C10866,C10842,C10818,C10794,C10770,C10746,C10722,C10698,C10674,C10650,C10626)/SUM(C10602,C10578,C10554,C10530,C10506,C10482,C10458,C10434,C10410,C10386,C10362,C10338,C10314,C10290)</f>
        <v>1.749615975422427</v>
      </c>
      <c r="I10938" s="310">
        <f t="shared" si="1111"/>
        <v>839.43420100132653</v>
      </c>
      <c r="J10938" s="552">
        <f t="shared" si="1110"/>
        <v>503.28571428571428</v>
      </c>
      <c r="K10938" s="310">
        <f>J10938/POBLA!$B$17*100000</f>
        <v>35.333247281882393</v>
      </c>
      <c r="L10938" s="202">
        <f t="shared" si="1112"/>
        <v>6.4028994261552397E-2</v>
      </c>
      <c r="M10938" s="512">
        <f>SUM(C10938,C10914,C10890,C10866,C10842,C10818,C10794)/POBLA!$B$17*100000</f>
        <v>247.33273097317672</v>
      </c>
      <c r="N10938" s="42" t="s">
        <v>34</v>
      </c>
      <c r="O10938" s="42">
        <v>679</v>
      </c>
      <c r="P10938" s="42">
        <v>46058</v>
      </c>
    </row>
    <row r="10939" spans="1:16" x14ac:dyDescent="0.25">
      <c r="A10939" s="402" t="s">
        <v>35</v>
      </c>
      <c r="B10939" s="2">
        <v>44348</v>
      </c>
      <c r="C10939" s="4">
        <v>616</v>
      </c>
      <c r="D10939" s="39">
        <f t="shared" si="1101"/>
        <v>37634</v>
      </c>
      <c r="E10939" s="1">
        <v>6</v>
      </c>
      <c r="F10939" s="39">
        <f t="shared" si="1108"/>
        <v>641</v>
      </c>
      <c r="G10939" s="169">
        <f>SUM(C10939,C10915,C10891,C10867,C10843,C10819,C10795,C10771,C10747,C10723,C10699,C10675,C10651,C10627)/POBLA!$B$18*100000</f>
        <v>910.37445421694611</v>
      </c>
      <c r="H10939" s="258">
        <f t="shared" si="1113"/>
        <v>1.1765095119933831</v>
      </c>
      <c r="I10939" s="310">
        <f t="shared" si="1111"/>
        <v>1071.0642048620216</v>
      </c>
      <c r="J10939" s="552">
        <f t="shared" si="1110"/>
        <v>574.71428571428567</v>
      </c>
      <c r="K10939" s="310">
        <f>J10939/POBLA!$B$18*100000</f>
        <v>73.566536021910139</v>
      </c>
      <c r="L10939" s="202">
        <f t="shared" si="1112"/>
        <v>0.30236322434444807</v>
      </c>
      <c r="M10939" s="512">
        <f>SUM(C10939,C10915,C10891,C10867,C10843,C10819,C10795)/POBLA!$B$18*100000</f>
        <v>514.965752153371</v>
      </c>
      <c r="N10939" s="42" t="s">
        <v>35</v>
      </c>
      <c r="O10939" s="42">
        <v>616</v>
      </c>
      <c r="P10939" s="42">
        <v>37634</v>
      </c>
    </row>
    <row r="10940" spans="1:16" x14ac:dyDescent="0.25">
      <c r="A10940" s="402" t="s">
        <v>36</v>
      </c>
      <c r="B10940" s="2">
        <v>44348</v>
      </c>
      <c r="C10940" s="4">
        <v>436</v>
      </c>
      <c r="D10940" s="39">
        <f t="shared" si="1101"/>
        <v>53499</v>
      </c>
      <c r="E10940" s="1">
        <v>6</v>
      </c>
      <c r="F10940" s="39">
        <f t="shared" si="1108"/>
        <v>708</v>
      </c>
      <c r="G10940" s="169">
        <f>SUM(C10940,C10916,C10892,C10868,C10844,C10820,C10796,C10772,C10748,C10724,C10700,C10676,C10652,C10628)/POBLA!$B$19*100000</f>
        <v>1597.5905320973861</v>
      </c>
      <c r="H10940" s="258">
        <f t="shared" si="1113"/>
        <v>1.3389942291838417</v>
      </c>
      <c r="I10940" s="310">
        <f t="shared" si="1111"/>
        <v>2139.1645030771429</v>
      </c>
      <c r="J10940" s="552">
        <f t="shared" si="1110"/>
        <v>527.57142857142856</v>
      </c>
      <c r="K10940" s="310">
        <f>J10940/POBLA!$B$19*100000</f>
        <v>103.78563222396339</v>
      </c>
      <c r="L10940" s="202">
        <f t="shared" si="1112"/>
        <v>-0.1659891598915989</v>
      </c>
      <c r="M10940" s="512">
        <f>SUM(C10940,C10916,C10892,C10868,C10844,C10820,C10796)/POBLA!$B$19*100000</f>
        <v>726.49942556774374</v>
      </c>
      <c r="N10940" s="42" t="s">
        <v>36</v>
      </c>
      <c r="O10940" s="42">
        <v>436</v>
      </c>
      <c r="P10940" s="42">
        <v>53499</v>
      </c>
    </row>
    <row r="10941" spans="1:16" x14ac:dyDescent="0.25">
      <c r="A10941" s="402" t="s">
        <v>37</v>
      </c>
      <c r="B10941" s="2">
        <v>44348</v>
      </c>
      <c r="C10941" s="4">
        <v>230</v>
      </c>
      <c r="D10941" s="39">
        <f t="shared" si="1101"/>
        <v>51772</v>
      </c>
      <c r="E10941" s="1">
        <v>1</v>
      </c>
      <c r="F10941" s="39">
        <f t="shared" si="1108"/>
        <v>792</v>
      </c>
      <c r="G10941" s="169">
        <f>SUM(C10941,C10917,C10893,C10869,C10845,C10821,C10797,C10773,C10749,C10725,C10701,C10677,C10653,C10629)/POBLA!$B$20*100000</f>
        <v>832.92771631236701</v>
      </c>
      <c r="H10941" s="258">
        <f t="shared" si="1113"/>
        <v>0.92275068161163287</v>
      </c>
      <c r="I10941" s="310">
        <f t="shared" si="1111"/>
        <v>768.58461796045742</v>
      </c>
      <c r="J10941" s="552">
        <f t="shared" si="1110"/>
        <v>210.85714285714286</v>
      </c>
      <c r="K10941" s="310">
        <f>J10941/POBLA!$B$20*100000</f>
        <v>57.658817619222106</v>
      </c>
      <c r="L10941" s="202">
        <f t="shared" si="1112"/>
        <v>-5.987261146496814E-2</v>
      </c>
      <c r="M10941" s="512">
        <f>SUM(C10941,C10917,C10893,C10869,C10845,C10821,C10797)/POBLA!$B$20*100000</f>
        <v>403.61172333455477</v>
      </c>
      <c r="N10941" s="42" t="s">
        <v>37</v>
      </c>
      <c r="O10941" s="42">
        <v>230</v>
      </c>
      <c r="P10941" s="42">
        <v>51772</v>
      </c>
    </row>
    <row r="10942" spans="1:16" x14ac:dyDescent="0.25">
      <c r="A10942" s="402" t="s">
        <v>22</v>
      </c>
      <c r="B10942" s="2">
        <v>44348</v>
      </c>
      <c r="C10942" s="4">
        <v>3328</v>
      </c>
      <c r="D10942" s="39">
        <f t="shared" si="1101"/>
        <v>348399</v>
      </c>
      <c r="E10942" s="1">
        <v>55</v>
      </c>
      <c r="F10942" s="39">
        <f t="shared" si="1108"/>
        <v>5616</v>
      </c>
      <c r="G10942" s="169">
        <f>SUM(C10942,C10918,C10894,C10870,C10846,C10822,C10798,C10774,C10750,C10726,C10702,C10678,C10654,C10630)/POBLA!$B$21*100000</f>
        <v>1144.4348490478219</v>
      </c>
      <c r="H10942" s="258">
        <f t="shared" si="1113"/>
        <v>1.4603976473135352</v>
      </c>
      <c r="I10942" s="310">
        <f t="shared" si="1111"/>
        <v>1671.3299610530598</v>
      </c>
      <c r="J10942" s="552">
        <f t="shared" si="1110"/>
        <v>3058.8571428571427</v>
      </c>
      <c r="K10942" s="310">
        <f>J10942/POBLA!$B$21*100000</f>
        <v>86.495916004758001</v>
      </c>
      <c r="L10942" s="202">
        <f t="shared" si="1112"/>
        <v>0.12339979013641122</v>
      </c>
      <c r="M10942" s="512">
        <f>SUM(C10942,C10918,C10894,C10870,C10846,C10822,C10798)/POBLA!$B$21*100000</f>
        <v>605.47141203330602</v>
      </c>
      <c r="N10942" s="42" t="s">
        <v>22</v>
      </c>
      <c r="O10942" s="42">
        <v>3328</v>
      </c>
      <c r="P10942" s="42">
        <v>348399</v>
      </c>
    </row>
    <row r="10943" spans="1:16" x14ac:dyDescent="0.25">
      <c r="A10943" s="402" t="s">
        <v>38</v>
      </c>
      <c r="B10943" s="2">
        <v>44348</v>
      </c>
      <c r="C10943" s="4">
        <v>383</v>
      </c>
      <c r="D10943" s="39">
        <f t="shared" si="1101"/>
        <v>44300</v>
      </c>
      <c r="E10943" s="1">
        <v>5</v>
      </c>
      <c r="F10943" s="39">
        <f t="shared" si="1108"/>
        <v>528</v>
      </c>
      <c r="G10943" s="169">
        <f>SUM(C10943,C10919,C10895,C10871,C10847,C10823,C10799,C10775,C10751,C10727,C10703,C10679,C10655,C10631)/POBLA!$B$22*100000</f>
        <v>828.05809592635478</v>
      </c>
      <c r="H10943" s="258">
        <f t="shared" si="1113"/>
        <v>1.6559689288634505</v>
      </c>
      <c r="I10943" s="310">
        <f t="shared" si="1111"/>
        <v>1371.238478147874</v>
      </c>
      <c r="J10943" s="552">
        <f t="shared" si="1110"/>
        <v>538.71428571428567</v>
      </c>
      <c r="K10943" s="310">
        <f>J10943/POBLA!$B$22*100000</f>
        <v>55.065637041957494</v>
      </c>
      <c r="L10943" s="202">
        <f t="shared" si="1112"/>
        <v>-0.12909930715935336</v>
      </c>
      <c r="M10943" s="512">
        <f>SUM(C10943,C10919,C10895,C10871,C10847,C10823,C10799)/POBLA!$B$22*100000</f>
        <v>385.45945929370254</v>
      </c>
      <c r="N10943" s="42" t="s">
        <v>38</v>
      </c>
      <c r="O10943" s="42">
        <v>383</v>
      </c>
      <c r="P10943" s="42">
        <v>44300</v>
      </c>
    </row>
    <row r="10944" spans="1:16" x14ac:dyDescent="0.25">
      <c r="A10944" s="402" t="s">
        <v>39</v>
      </c>
      <c r="B10944" s="2">
        <v>44348</v>
      </c>
      <c r="C10944" s="4">
        <v>49</v>
      </c>
      <c r="D10944" s="39">
        <f t="shared" si="1101"/>
        <v>28529</v>
      </c>
      <c r="E10944" s="1">
        <v>2</v>
      </c>
      <c r="F10944" s="39">
        <f t="shared" si="1108"/>
        <v>422</v>
      </c>
      <c r="G10944" s="169">
        <f>SUM(C10944,C10920,C10896,C10872,C10848,C10824,C10800,C10776,C10752,C10728,C10704,C10680,C10656,C10632)/POBLA!$B$23*100000</f>
        <v>493.69450885030824</v>
      </c>
      <c r="H10944" s="258">
        <f t="shared" si="1113"/>
        <v>0.873</v>
      </c>
      <c r="I10944" s="310">
        <f t="shared" si="1111"/>
        <v>430.99530622631909</v>
      </c>
      <c r="J10944" s="552">
        <f t="shared" si="1110"/>
        <v>50.142857142857146</v>
      </c>
      <c r="K10944" s="310">
        <f>J10944/POBLA!$B$23*100000</f>
        <v>28.356532908927868</v>
      </c>
      <c r="L10944" s="202">
        <f t="shared" si="1112"/>
        <v>-0.32758620689655171</v>
      </c>
      <c r="M10944" s="512">
        <f>SUM(C10944,C10920,C10896,C10872,C10848,C10824,C10800)/POBLA!$B$23*100000</f>
        <v>198.49573036249507</v>
      </c>
      <c r="N10944" s="42" t="s">
        <v>39</v>
      </c>
      <c r="O10944" s="42">
        <v>49</v>
      </c>
      <c r="P10944" s="42">
        <v>28529</v>
      </c>
    </row>
    <row r="10945" spans="1:16" ht="15.75" thickBot="1" x14ac:dyDescent="0.3">
      <c r="A10945" s="403" t="s">
        <v>40</v>
      </c>
      <c r="B10945" s="34">
        <v>44348</v>
      </c>
      <c r="C10945" s="27">
        <v>998</v>
      </c>
      <c r="D10945" s="67">
        <f t="shared" si="1101"/>
        <v>131102</v>
      </c>
      <c r="E10945" s="234">
        <v>20</v>
      </c>
      <c r="F10945" s="67">
        <f t="shared" si="1108"/>
        <v>1910</v>
      </c>
      <c r="G10945" s="257">
        <f>SUM(C10945,C10921,C10897,C10873,C10849,C10825,C10801,C10777,C10753,C10729,C10705,C10681,C10657,C10633)/POBLA!$B$24*100000</f>
        <v>831.14213150043429</v>
      </c>
      <c r="H10945" s="259">
        <f t="shared" si="1113"/>
        <v>1.6031185977691782</v>
      </c>
      <c r="I10945" s="312">
        <f t="shared" si="1111"/>
        <v>1332.4194083978621</v>
      </c>
      <c r="J10945" s="566">
        <f t="shared" si="1110"/>
        <v>1253.4285714285713</v>
      </c>
      <c r="K10945" s="312">
        <f>J10945/POBLA!$B$24*100000</f>
        <v>73.963599186417255</v>
      </c>
      <c r="L10945" s="262">
        <f t="shared" si="1112"/>
        <v>0.65204292976840517</v>
      </c>
      <c r="M10945" s="517">
        <f>SUM(C10945,C10921,C10897,C10873,C10849,C10825,C10801)/POBLA!$B$24*100000</f>
        <v>517.74519430492091</v>
      </c>
      <c r="N10945" s="42" t="s">
        <v>40</v>
      </c>
      <c r="O10945" s="42">
        <v>998</v>
      </c>
      <c r="P10945" s="42">
        <v>131102</v>
      </c>
    </row>
    <row r="10946" spans="1:16" x14ac:dyDescent="0.25">
      <c r="A10946" s="397" t="s">
        <v>16</v>
      </c>
      <c r="B10946" s="267">
        <v>44349</v>
      </c>
      <c r="C10946" s="389">
        <v>12274</v>
      </c>
      <c r="D10946" s="175">
        <f t="shared" si="1101"/>
        <v>1635843</v>
      </c>
      <c r="E10946" s="43">
        <v>306</v>
      </c>
      <c r="F10946" s="175">
        <f t="shared" ref="F10946:F10969" si="1114">E10946+F10922</f>
        <v>40768</v>
      </c>
      <c r="G10946" s="176">
        <f>SUM(C10946,C10922,C10898,C10874,C10850,C10826,C10802,C10778,C10754,C10730,C10706,C10682,C10658,C10634)/POBLA!$B$1*100000</f>
        <v>905.40290395020486</v>
      </c>
      <c r="H10946" s="313">
        <f t="shared" si="1113"/>
        <v>1.1817870643212192</v>
      </c>
      <c r="I10946" s="314">
        <f>G10946*H10946</f>
        <v>1069.9934398872194</v>
      </c>
      <c r="J10946" s="551">
        <f>AVERAGE(C10946,C10922,C10898,C10874,C10850,C10826,C10802)</f>
        <v>11938.857142857143</v>
      </c>
      <c r="K10946" s="314">
        <f>J10946/POBLA!$B$1*100000</f>
        <v>68.062032811076207</v>
      </c>
      <c r="L10946" s="510">
        <f t="shared" si="1112"/>
        <v>0.11065040002126358</v>
      </c>
      <c r="M10946" s="511">
        <f>SUM(C10946,C10922,C10898,C10874,C10850,C10826,C10802)/POBLA!$B$1*100000</f>
        <v>476.43422967753355</v>
      </c>
      <c r="N10946" s="42" t="s">
        <v>270</v>
      </c>
      <c r="O10946" s="42">
        <v>12274</v>
      </c>
      <c r="P10946" s="42">
        <v>1635843</v>
      </c>
    </row>
    <row r="10947" spans="1:16" x14ac:dyDescent="0.25">
      <c r="A10947" s="402" t="s">
        <v>43</v>
      </c>
      <c r="B10947" s="2">
        <v>44349</v>
      </c>
      <c r="C10947" s="4">
        <v>2227</v>
      </c>
      <c r="D10947" s="39">
        <f t="shared" si="1101"/>
        <v>422907</v>
      </c>
      <c r="E10947" s="1">
        <v>48</v>
      </c>
      <c r="F10947" s="39">
        <f t="shared" si="1114"/>
        <v>9250</v>
      </c>
      <c r="G10947" s="169">
        <f>SUM(C10947,C10923,C10899,C10875,C10851,C10827,C10803,C10779,C10755,C10731,C10707,C10683,C10659,C10635)/POBLA!$B$2*100000</f>
        <v>1164.8934890426272</v>
      </c>
      <c r="H10947" s="258">
        <f t="shared" si="1113"/>
        <v>1.0628615503278056</v>
      </c>
      <c r="I10947" s="310">
        <f t="shared" ref="I10947:I10953" si="1115">G10947*H10947</f>
        <v>1238.1204997306133</v>
      </c>
      <c r="J10947" s="552">
        <f t="shared" ref="J10947:J10969" si="1116">AVERAGE(C10947,C10923,C10899,C10875,C10851,C10827,C10803)</f>
        <v>2423.5714285714284</v>
      </c>
      <c r="K10947" s="310">
        <f>J10947/POBLA!$B$2*100000</f>
        <v>78.798776860907552</v>
      </c>
      <c r="L10947" s="202">
        <f t="shared" si="1112"/>
        <v>-0.10062026188835282</v>
      </c>
      <c r="M10947" s="512">
        <f>SUM(C10947,C10923,C10899,C10875,C10851,C10827,C10803)/POBLA!$B$2*100000</f>
        <v>551.59143802635288</v>
      </c>
      <c r="N10947" s="42" t="s">
        <v>43</v>
      </c>
      <c r="O10947" s="42">
        <v>2227</v>
      </c>
      <c r="P10947" s="42">
        <v>422907</v>
      </c>
    </row>
    <row r="10948" spans="1:16" x14ac:dyDescent="0.25">
      <c r="A10948" s="402" t="s">
        <v>28</v>
      </c>
      <c r="B10948" s="2">
        <v>44349</v>
      </c>
      <c r="C10948" s="4">
        <v>392</v>
      </c>
      <c r="D10948" s="39">
        <f t="shared" si="1101"/>
        <v>24589</v>
      </c>
      <c r="E10948" s="1">
        <v>2</v>
      </c>
      <c r="F10948" s="39">
        <f t="shared" si="1114"/>
        <v>178</v>
      </c>
      <c r="G10948" s="169">
        <f>SUM(C10948,C10924,C10900,C10876,C10852,C10828,C10804,C10780,C10756,C10732,C10708,C10684,C10660,C10636)/POBLA!$B$3*100000</f>
        <v>1330.8845122497221</v>
      </c>
      <c r="H10948" s="258">
        <f t="shared" si="1113"/>
        <v>1.5756625819321743</v>
      </c>
      <c r="I10948" s="310">
        <f t="shared" si="1115"/>
        <v>2097.0249268249395</v>
      </c>
      <c r="J10948" s="552">
        <f t="shared" si="1116"/>
        <v>422.85714285714283</v>
      </c>
      <c r="K10948" s="310">
        <f>J10948/POBLA!$B$3*100000</f>
        <v>101.78586043095308</v>
      </c>
      <c r="L10948" s="202">
        <f t="shared" si="1112"/>
        <v>0.15219929933826393</v>
      </c>
      <c r="M10948" s="512">
        <f>SUM(C10948,C10924,C10900,C10876,C10852,C10828,C10804)/POBLA!$B$3*100000</f>
        <v>712.50102301667152</v>
      </c>
      <c r="N10948" s="42" t="s">
        <v>28</v>
      </c>
      <c r="O10948" s="42">
        <v>392</v>
      </c>
      <c r="P10948" s="42">
        <v>24589</v>
      </c>
    </row>
    <row r="10949" spans="1:16" x14ac:dyDescent="0.25">
      <c r="A10949" s="402" t="s">
        <v>15</v>
      </c>
      <c r="B10949" s="2">
        <v>44349</v>
      </c>
      <c r="C10949" s="4">
        <v>802</v>
      </c>
      <c r="D10949" s="39">
        <f t="shared" si="1101"/>
        <v>59800</v>
      </c>
      <c r="E10949" s="1">
        <v>12</v>
      </c>
      <c r="F10949" s="39">
        <f t="shared" si="1114"/>
        <v>1254</v>
      </c>
      <c r="G10949" s="169">
        <f>SUM(C10949,C10925,C10901,C10877,C10853,C10829,C10805,C10781,C10757,C10733,C10709,C10685,C10661,C10637)/POBLA!$B$4*100000</f>
        <v>740.78009797923028</v>
      </c>
      <c r="H10949" s="258">
        <f t="shared" si="1113"/>
        <v>1.8273602293671922</v>
      </c>
      <c r="I10949" s="310">
        <f t="shared" si="1115"/>
        <v>1353.6720897539774</v>
      </c>
      <c r="J10949" s="552">
        <f t="shared" si="1116"/>
        <v>673.28571428571433</v>
      </c>
      <c r="K10949" s="310">
        <f>J10949/POBLA!$B$4*100000</f>
        <v>55.895624498104617</v>
      </c>
      <c r="L10949" s="202">
        <f t="shared" si="1112"/>
        <v>0.11947743467933503</v>
      </c>
      <c r="M10949" s="512">
        <f>SUM(C10949,C10925,C10901,C10877,C10853,C10829,C10805)/POBLA!$B$4*100000</f>
        <v>391.26937148673227</v>
      </c>
      <c r="N10949" s="42" t="s">
        <v>15</v>
      </c>
      <c r="O10949" s="42">
        <v>802</v>
      </c>
      <c r="P10949" s="42">
        <v>59800</v>
      </c>
    </row>
    <row r="10950" spans="1:16" x14ac:dyDescent="0.25">
      <c r="A10950" s="402" t="s">
        <v>29</v>
      </c>
      <c r="B10950" s="2">
        <v>44349</v>
      </c>
      <c r="C10950" s="4">
        <v>529</v>
      </c>
      <c r="D10950" s="39">
        <f t="shared" si="1101"/>
        <v>63781</v>
      </c>
      <c r="E10950" s="1">
        <v>9</v>
      </c>
      <c r="F10950" s="39">
        <f t="shared" si="1114"/>
        <v>1057</v>
      </c>
      <c r="G10950" s="169">
        <f>SUM(C10950,C10926,C10902,C10878,C10854,C10830,C10806,C10782,C10758,C10734,C10710,C10686,C10662,C10638)/POBLA!$B$5*100000</f>
        <v>809.86245424026731</v>
      </c>
      <c r="H10950" s="258">
        <f t="shared" si="1113"/>
        <v>1.608793324775353</v>
      </c>
      <c r="I10950" s="310">
        <f t="shared" si="1115"/>
        <v>1302.9013103679267</v>
      </c>
      <c r="J10950" s="552">
        <f t="shared" si="1116"/>
        <v>409.14285714285717</v>
      </c>
      <c r="K10950" s="310">
        <f>J10950/POBLA!$B$5*100000</f>
        <v>66.09803279884089</v>
      </c>
      <c r="L10950" s="202">
        <f t="shared" si="1112"/>
        <v>0.3327128897161471</v>
      </c>
      <c r="M10950" s="512">
        <f>SUM(C10950,C10926,C10902,C10878,C10854,C10830,C10806)/POBLA!$B$5*100000</f>
        <v>462.68622959188622</v>
      </c>
      <c r="N10950" s="42" t="s">
        <v>29</v>
      </c>
      <c r="O10950" s="42">
        <v>529</v>
      </c>
      <c r="P10950" s="42">
        <v>63781</v>
      </c>
    </row>
    <row r="10951" spans="1:16" x14ac:dyDescent="0.25">
      <c r="A10951" s="402" t="s">
        <v>30</v>
      </c>
      <c r="B10951" s="2">
        <v>44349</v>
      </c>
      <c r="C10951" s="4">
        <v>610</v>
      </c>
      <c r="D10951" s="39">
        <f t="shared" si="1101"/>
        <v>52231</v>
      </c>
      <c r="F10951" s="39">
        <f t="shared" si="1114"/>
        <v>635</v>
      </c>
      <c r="G10951" s="169">
        <f>SUM(C10951,C10927,C10903,C10879,C10855,C10831,C10807,C10783,C10759,C10735,C10711,C10687,C10663,C10639)/POBLA!$B$6*100000</f>
        <v>919.87783736809661</v>
      </c>
      <c r="H10951" s="258">
        <f t="shared" si="1113"/>
        <v>2.8928170594837264</v>
      </c>
      <c r="I10951" s="310">
        <f t="shared" si="1115"/>
        <v>2661.0383005794265</v>
      </c>
      <c r="J10951" s="552">
        <f t="shared" si="1116"/>
        <v>524.14285714285711</v>
      </c>
      <c r="K10951" s="310">
        <f>J10951/POBLA!$B$6*100000</f>
        <v>46.765024044666006</v>
      </c>
      <c r="L10951" s="202">
        <f t="shared" si="1112"/>
        <v>-0.44752296340912512</v>
      </c>
      <c r="M10951" s="512">
        <f>SUM(C10951,C10927,C10903,C10879,C10855,C10831,C10807)/POBLA!$B$6*100000</f>
        <v>327.3551683126621</v>
      </c>
      <c r="N10951" s="42" t="s">
        <v>30</v>
      </c>
      <c r="O10951" s="42">
        <v>610</v>
      </c>
      <c r="P10951" s="42">
        <v>52231</v>
      </c>
    </row>
    <row r="10952" spans="1:16" x14ac:dyDescent="0.25">
      <c r="A10952" s="402" t="s">
        <v>20</v>
      </c>
      <c r="B10952" s="2">
        <v>44349</v>
      </c>
      <c r="C10952" s="4">
        <v>4996</v>
      </c>
      <c r="D10952" s="39">
        <f t="shared" si="1101"/>
        <v>322026</v>
      </c>
      <c r="E10952" s="1">
        <v>35</v>
      </c>
      <c r="F10952" s="39">
        <f t="shared" si="1114"/>
        <v>3984</v>
      </c>
      <c r="G10952" s="169">
        <f>SUM(C10952,C10928,C10904,C10880,C10856,C10832,C10808,C10784,C10760,C10736,C10712,C10688,C10664,C10640)/POBLA!$B$7*100000</f>
        <v>1453.3632942865881</v>
      </c>
      <c r="H10952" s="258">
        <f t="shared" si="1113"/>
        <v>1.6565531037827352</v>
      </c>
      <c r="I10952" s="310">
        <f t="shared" si="1115"/>
        <v>2407.5734760743485</v>
      </c>
      <c r="J10952" s="552">
        <f t="shared" si="1116"/>
        <v>4304.2857142857147</v>
      </c>
      <c r="K10952" s="310">
        <f>J10952/POBLA!$B$7*100000</f>
        <v>114.46198498280033</v>
      </c>
      <c r="L10952" s="202">
        <f t="shared" si="1112"/>
        <v>0.22864249887860377</v>
      </c>
      <c r="M10952" s="512">
        <f>SUM(C10952,C10928,C10904,C10880,C10856,C10832,C10808)/POBLA!$B$7*100000</f>
        <v>801.23389487960219</v>
      </c>
      <c r="N10952" s="42" t="s">
        <v>20</v>
      </c>
      <c r="O10952" s="42">
        <v>4996</v>
      </c>
      <c r="P10952" s="42">
        <v>322026</v>
      </c>
    </row>
    <row r="10953" spans="1:16" x14ac:dyDescent="0.25">
      <c r="A10953" s="402" t="s">
        <v>31</v>
      </c>
      <c r="B10953" s="2">
        <v>44349</v>
      </c>
      <c r="C10953" s="4">
        <v>1214</v>
      </c>
      <c r="D10953" s="39">
        <f t="shared" si="1101"/>
        <v>88266</v>
      </c>
      <c r="E10953" s="1">
        <v>8</v>
      </c>
      <c r="F10953" s="39">
        <f t="shared" si="1114"/>
        <v>1366</v>
      </c>
      <c r="G10953" s="169">
        <f>SUM(C10953,C10929,C10905,C10881,C10857,C10833,C10809,C10785,C10761,C10737,C10713,C10689,C10665,C10641)/POBLA!$B$8*100000</f>
        <v>992.23571226030174</v>
      </c>
      <c r="H10953" s="258">
        <f t="shared" si="1113"/>
        <v>1.4881506330483714</v>
      </c>
      <c r="I10953" s="310">
        <f t="shared" si="1115"/>
        <v>1476.5962033333697</v>
      </c>
      <c r="J10953" s="552">
        <f t="shared" si="1116"/>
        <v>1134.8571428571429</v>
      </c>
      <c r="K10953" s="310">
        <f>J10953/POBLA!$B$8*100000</f>
        <v>81.882328785380182</v>
      </c>
      <c r="L10953" s="202">
        <f t="shared" si="1112"/>
        <v>0.36776859504132231</v>
      </c>
      <c r="M10953" s="512">
        <f>SUM(C10953,C10929,C10905,C10881,C10857,C10833,C10809)/POBLA!$B$8*100000</f>
        <v>573.17630149766114</v>
      </c>
      <c r="N10953" s="42" t="s">
        <v>31</v>
      </c>
      <c r="O10953" s="42">
        <v>1214</v>
      </c>
      <c r="P10953" s="42">
        <v>88266</v>
      </c>
    </row>
    <row r="10954" spans="1:16" x14ac:dyDescent="0.25">
      <c r="A10954" s="402" t="s">
        <v>41</v>
      </c>
      <c r="B10954" s="2">
        <v>44349</v>
      </c>
      <c r="C10954" s="4">
        <v>1018</v>
      </c>
      <c r="D10954" s="39">
        <f t="shared" si="1101"/>
        <v>32582</v>
      </c>
      <c r="E10954" s="1">
        <v>9</v>
      </c>
      <c r="F10954" s="39">
        <f t="shared" si="1114"/>
        <v>516</v>
      </c>
      <c r="G10954" s="169">
        <f>SUM(C10954,C10930,C10906,C10882,C10858,C10834,C10810,C10786,C10762,C10738,C10714,C10690,C10666,C10642)/POBLA!$B$9*100000</f>
        <v>2221.1096294900963</v>
      </c>
      <c r="H10954" s="258">
        <f t="shared" si="1113"/>
        <v>0.95645367866799491</v>
      </c>
      <c r="I10954" s="310">
        <f>G10954*H10954</f>
        <v>2124.3884758507097</v>
      </c>
      <c r="J10954" s="552">
        <f t="shared" si="1116"/>
        <v>1005.7142857142857</v>
      </c>
      <c r="K10954" s="310">
        <f>J10954/POBLA!$B$9*100000</f>
        <v>166.18075320010075</v>
      </c>
      <c r="L10954" s="202">
        <f>(SUM(C10954,C10930,C10906,C10882,C10858,C10834,C10810)/SUM(C10786,C10762,C10738,C10714,C10690,C10666,C10642))-1</f>
        <v>9.9656357388316241E-2</v>
      </c>
      <c r="M10954" s="512">
        <f>SUM(C10954,C10930,C10906,C10882,C10858,C10834,C10810)/POBLA!$B$9*100000</f>
        <v>1163.2652724007053</v>
      </c>
      <c r="N10954" s="42" t="s">
        <v>41</v>
      </c>
      <c r="O10954" s="42">
        <v>1018</v>
      </c>
      <c r="P10954" s="42">
        <v>32582</v>
      </c>
    </row>
    <row r="10955" spans="1:16" x14ac:dyDescent="0.25">
      <c r="A10955" s="402" t="s">
        <v>32</v>
      </c>
      <c r="B10955" s="2">
        <v>44349</v>
      </c>
      <c r="C10955" s="4">
        <v>248</v>
      </c>
      <c r="D10955" s="39">
        <f t="shared" si="1101"/>
        <v>28895</v>
      </c>
      <c r="F10955" s="39">
        <f t="shared" si="1114"/>
        <v>1092</v>
      </c>
      <c r="G10955" s="169">
        <f>SUM(C10955,C10931,C10907,C10883,C10859,C10835,C10811,C10787,C10763,C10739,C10715,C10691,C10667,C10643)/POBLA!$B$10*100000</f>
        <v>297.32215478134759</v>
      </c>
      <c r="H10955" s="258">
        <f t="shared" si="1113"/>
        <v>1.7456207159177457</v>
      </c>
      <c r="I10955" s="310">
        <f t="shared" ref="I10955:I10969" si="1117">G10955*H10955</f>
        <v>519.01171268762278</v>
      </c>
      <c r="J10955" s="552">
        <f t="shared" si="1116"/>
        <v>200.14285714285714</v>
      </c>
      <c r="K10955" s="310">
        <f>J10955/POBLA!$B$10*100000</f>
        <v>25.962873276531287</v>
      </c>
      <c r="L10955" s="202">
        <f t="shared" ref="L10955:L10977" si="1118">(SUM(C10955,C10931,C10907,C10883,C10859,C10835,C10811)/SUM(C10787,C10763,C10739,C10715,C10691,C10667,C10643))-1</f>
        <v>0.57239057239057245</v>
      </c>
      <c r="M10955" s="512">
        <f>SUM(C10955,C10931,C10907,C10883,C10859,C10835,C10811)/POBLA!$B$10*100000</f>
        <v>181.740112935719</v>
      </c>
      <c r="N10955" s="42" t="s">
        <v>32</v>
      </c>
      <c r="O10955" s="42">
        <v>248</v>
      </c>
      <c r="P10955" s="42">
        <v>28895</v>
      </c>
    </row>
    <row r="10956" spans="1:16" x14ac:dyDescent="0.25">
      <c r="A10956" s="402" t="s">
        <v>33</v>
      </c>
      <c r="B10956" s="2">
        <v>44349</v>
      </c>
      <c r="C10956" s="4">
        <v>429</v>
      </c>
      <c r="D10956" s="39">
        <f t="shared" si="1101"/>
        <v>43785</v>
      </c>
      <c r="E10956" s="1">
        <v>10</v>
      </c>
      <c r="F10956" s="39">
        <f t="shared" si="1114"/>
        <v>581</v>
      </c>
      <c r="G10956" s="169">
        <f>SUM(C10956,C10932,C10908,C10884,C10860,C10836,C10812,C10788,C10764,C10740,C10716,C10692,C10668,C10644)/POBLA!$B$11*100000</f>
        <v>2260.4260827837111</v>
      </c>
      <c r="H10956" s="258">
        <f t="shared" si="1113"/>
        <v>1.1510157692854099</v>
      </c>
      <c r="I10956" s="310">
        <f t="shared" si="1117"/>
        <v>2601.7860665880989</v>
      </c>
      <c r="J10956" s="552">
        <f t="shared" si="1116"/>
        <v>473.14285714285717</v>
      </c>
      <c r="K10956" s="310">
        <f>J10956/POBLA!$B$11*100000</f>
        <v>132.00499323235269</v>
      </c>
      <c r="L10956" s="202">
        <f t="shared" si="1118"/>
        <v>-0.30855949895615864</v>
      </c>
      <c r="M10956" s="512">
        <f>SUM(C10956,C10932,C10908,C10884,C10860,C10836,C10812)/POBLA!$B$11*100000</f>
        <v>924.03495262646902</v>
      </c>
      <c r="N10956" s="42" t="s">
        <v>33</v>
      </c>
      <c r="O10956" s="42">
        <v>429</v>
      </c>
      <c r="P10956" s="42">
        <v>43785</v>
      </c>
    </row>
    <row r="10957" spans="1:16" x14ac:dyDescent="0.25">
      <c r="A10957" s="402" t="s">
        <v>21</v>
      </c>
      <c r="B10957" s="2">
        <v>44349</v>
      </c>
      <c r="C10957" s="4">
        <v>245</v>
      </c>
      <c r="D10957" s="39">
        <f t="shared" si="1101"/>
        <v>17746</v>
      </c>
      <c r="F10957" s="39">
        <f t="shared" si="1114"/>
        <v>534</v>
      </c>
      <c r="G10957" s="169">
        <f>SUM(C10957,C10933,C10909,C10885,C10861,C10837,C10813,C10789,C10765,C10741,C10717,C10693,C10669,C10645)/POBLA!$B$12*100000</f>
        <v>570.47602348989017</v>
      </c>
      <c r="H10957" s="258">
        <f t="shared" si="1113"/>
        <v>1.4208860759493671</v>
      </c>
      <c r="I10957" s="310">
        <f t="shared" si="1117"/>
        <v>810.58143843974904</v>
      </c>
      <c r="J10957" s="552">
        <f t="shared" si="1116"/>
        <v>162</v>
      </c>
      <c r="K10957" s="310">
        <f>J10957/POBLA!$B$12*100000</f>
        <v>41.165753142700318</v>
      </c>
      <c r="L10957" s="202">
        <f t="shared" si="1118"/>
        <v>2.070207020702064E-2</v>
      </c>
      <c r="M10957" s="512">
        <f>SUM(C10957,C10933,C10909,C10885,C10861,C10837,C10813)/POBLA!$B$12*100000</f>
        <v>288.16027199890226</v>
      </c>
      <c r="N10957" s="42" t="s">
        <v>21</v>
      </c>
      <c r="O10957" s="42">
        <v>245</v>
      </c>
      <c r="P10957" s="42">
        <v>17746</v>
      </c>
    </row>
    <row r="10958" spans="1:16" x14ac:dyDescent="0.25">
      <c r="A10958" s="402" t="s">
        <v>17</v>
      </c>
      <c r="B10958" s="2">
        <v>44349</v>
      </c>
      <c r="C10958" s="4">
        <v>1042</v>
      </c>
      <c r="D10958" s="39">
        <f t="shared" si="1101"/>
        <v>122741</v>
      </c>
      <c r="E10958" s="1">
        <v>38</v>
      </c>
      <c r="F10958" s="39">
        <f t="shared" si="1114"/>
        <v>2657</v>
      </c>
      <c r="G10958" s="169">
        <f>SUM(C10958,C10934,C10910,C10886,C10862,C10838,C10814,C10790,C10766,C10742,C10718,C10694,C10670,C10646)/POBLA!$B$13*100000</f>
        <v>566.03451273100347</v>
      </c>
      <c r="H10958" s="258">
        <f t="shared" si="1113"/>
        <v>0.97549571391462464</v>
      </c>
      <c r="I10958" s="310">
        <f t="shared" si="1117"/>
        <v>552.16424109684692</v>
      </c>
      <c r="J10958" s="552">
        <f t="shared" si="1116"/>
        <v>886.14285714285711</v>
      </c>
      <c r="K10958" s="310">
        <f>J10958/POBLA!$B$13*100000</f>
        <v>44.522229749060564</v>
      </c>
      <c r="L10958" s="202">
        <f t="shared" si="1118"/>
        <v>0.22516294686944494</v>
      </c>
      <c r="M10958" s="512">
        <f>SUM(C10958,C10934,C10910,C10886,C10862,C10838,C10814)/POBLA!$B$13*100000</f>
        <v>311.65560824342401</v>
      </c>
      <c r="N10958" s="42" t="s">
        <v>17</v>
      </c>
      <c r="O10958" s="42">
        <v>1042</v>
      </c>
      <c r="P10958" s="42">
        <v>122741</v>
      </c>
    </row>
    <row r="10959" spans="1:16" x14ac:dyDescent="0.25">
      <c r="A10959" s="402" t="s">
        <v>23</v>
      </c>
      <c r="B10959" s="2">
        <v>44349</v>
      </c>
      <c r="C10959" s="4">
        <v>189</v>
      </c>
      <c r="D10959" s="39">
        <f t="shared" si="1101"/>
        <v>20797</v>
      </c>
      <c r="E10959" s="1">
        <v>4</v>
      </c>
      <c r="F10959" s="39">
        <f t="shared" si="1114"/>
        <v>305</v>
      </c>
      <c r="G10959" s="169">
        <f>SUM(C10959,C10935,C10911,C10887,C10863,C10839,C10815,C10791,C10767,C10743,C10719,C10695,C10671,C10647)/POBLA!$B$14*100000</f>
        <v>194.0071069869515</v>
      </c>
      <c r="H10959" s="258">
        <f t="shared" si="1113"/>
        <v>1.137081784386617</v>
      </c>
      <c r="I10959" s="310">
        <f t="shared" si="1117"/>
        <v>220.60194739640812</v>
      </c>
      <c r="J10959" s="552">
        <f t="shared" si="1116"/>
        <v>184.85714285714286</v>
      </c>
      <c r="K10959" s="310">
        <f>J10959/POBLA!$B$14*100000</f>
        <v>14.656150180460928</v>
      </c>
      <c r="L10959" s="202">
        <f t="shared" si="1118"/>
        <v>0.12228967909800526</v>
      </c>
      <c r="M10959" s="512">
        <f>SUM(C10959,C10935,C10911,C10887,C10863,C10839,C10815)/POBLA!$B$14*100000</f>
        <v>102.5930512632265</v>
      </c>
      <c r="N10959" s="42" t="s">
        <v>23</v>
      </c>
      <c r="O10959" s="42">
        <v>189</v>
      </c>
      <c r="P10959" s="42">
        <v>20797</v>
      </c>
    </row>
    <row r="10960" spans="1:16" x14ac:dyDescent="0.25">
      <c r="A10960" s="402" t="s">
        <v>19</v>
      </c>
      <c r="B10960" s="2">
        <v>44349</v>
      </c>
      <c r="C10960" s="4">
        <v>874</v>
      </c>
      <c r="D10960" s="39">
        <f t="shared" si="1101"/>
        <v>92127</v>
      </c>
      <c r="E10960" s="1">
        <v>8</v>
      </c>
      <c r="F10960" s="39">
        <f t="shared" si="1114"/>
        <v>1368</v>
      </c>
      <c r="G10960" s="169">
        <f>SUM(C10960,C10936,C10912,C10888,C10864,C10840,C10816,C10792,C10768,C10744,C10720,C10696,C10672,C10648)/POBLA!$B$15*100000</f>
        <v>1730.2731542623601</v>
      </c>
      <c r="H10960" s="258">
        <f t="shared" si="1113"/>
        <v>1.49609375</v>
      </c>
      <c r="I10960" s="310">
        <f t="shared" si="1117"/>
        <v>2588.6508518847027</v>
      </c>
      <c r="J10960" s="552">
        <f t="shared" si="1116"/>
        <v>813.57142857142856</v>
      </c>
      <c r="K10960" s="310">
        <f>J10960/POBLA!$B$15*100000</f>
        <v>122.51530042924456</v>
      </c>
      <c r="L10960" s="202">
        <f t="shared" si="1118"/>
        <v>-1.72562553925798E-2</v>
      </c>
      <c r="M10960" s="512">
        <f>SUM(C10960,C10936,C10912,C10888,C10864,C10840,C10816)/POBLA!$B$15*100000</f>
        <v>857.60710300471192</v>
      </c>
      <c r="N10960" s="42" t="s">
        <v>19</v>
      </c>
      <c r="O10960" s="42">
        <v>874</v>
      </c>
      <c r="P10960" s="42">
        <v>92127</v>
      </c>
    </row>
    <row r="10961" spans="1:16" x14ac:dyDescent="0.25">
      <c r="A10961" s="402" t="s">
        <v>18</v>
      </c>
      <c r="B10961" s="2">
        <v>44349</v>
      </c>
      <c r="C10961" s="4">
        <v>494</v>
      </c>
      <c r="D10961" s="39">
        <f t="shared" si="1101"/>
        <v>75313</v>
      </c>
      <c r="E10961" s="1">
        <v>8</v>
      </c>
      <c r="F10961" s="39">
        <f t="shared" si="1114"/>
        <v>1648</v>
      </c>
      <c r="G10961" s="169">
        <f>SUM(C10961,C10937,C10913,C10889,C10865,C10841,C10817,C10793,C10769,C10745,C10721,C10697,C10673,C10649)/POBLA!$B$16*100000</f>
        <v>986.47690640842143</v>
      </c>
      <c r="H10961" s="258">
        <f t="shared" si="1113"/>
        <v>1.4223722275795565</v>
      </c>
      <c r="I10961" s="310">
        <f t="shared" si="1117"/>
        <v>1403.137354823936</v>
      </c>
      <c r="J10961" s="552">
        <f t="shared" si="1116"/>
        <v>522.85714285714289</v>
      </c>
      <c r="K10961" s="310">
        <f>J10961/POBLA!$B$16*100000</f>
        <v>69.937152105662435</v>
      </c>
      <c r="L10961" s="202">
        <f t="shared" si="1118"/>
        <v>-1.4804845222072704E-2</v>
      </c>
      <c r="M10961" s="512">
        <f>SUM(C10961,C10937,C10913,C10889,C10865,C10841,C10817)/POBLA!$B$16*100000</f>
        <v>489.56006473963697</v>
      </c>
      <c r="N10961" s="42" t="s">
        <v>18</v>
      </c>
      <c r="O10961" s="42">
        <v>494</v>
      </c>
      <c r="P10961" s="42">
        <v>75313</v>
      </c>
    </row>
    <row r="10962" spans="1:16" x14ac:dyDescent="0.25">
      <c r="A10962" s="402" t="s">
        <v>34</v>
      </c>
      <c r="B10962" s="2">
        <v>44349</v>
      </c>
      <c r="C10962" s="4">
        <v>720</v>
      </c>
      <c r="D10962" s="39">
        <f t="shared" ref="D10962:D11025" si="1119">C10962+D10938</f>
        <v>46778</v>
      </c>
      <c r="E10962" s="1">
        <v>10</v>
      </c>
      <c r="F10962" s="39">
        <f t="shared" si="1114"/>
        <v>1425</v>
      </c>
      <c r="G10962" s="169">
        <f>SUM(C10962,C10938,C10914,C10890,C10866,C10842,C10818,C10794,C10770,C10746,C10722,C10698,C10674,C10650)/POBLA!$B$17*100000</f>
        <v>497.6842832440675</v>
      </c>
      <c r="H10962" s="258">
        <f t="shared" ref="H10962:H10985" si="1120">SUM(C10962,C10938,C10914,C10890,C10866,C10842,C10818,C10794,C10770,C10746,C10722,C10698,C10674,C10650)/SUM(C10626,C10602,C10578,C10554,C10530,C10506,C10482,C10458,C10434,C10410,C10386,C10362,C10338,C10314)</f>
        <v>1.7451994091580503</v>
      </c>
      <c r="I10962" s="310">
        <f t="shared" si="1117"/>
        <v>868.55831706479432</v>
      </c>
      <c r="J10962" s="552">
        <f t="shared" si="1116"/>
        <v>553.14285714285711</v>
      </c>
      <c r="K10962" s="310">
        <f>J10962/POBLA!$B$17*100000</f>
        <v>38.833475298168771</v>
      </c>
      <c r="L10962" s="202">
        <f t="shared" si="1118"/>
        <v>0.2036058439539945</v>
      </c>
      <c r="M10962" s="512">
        <f>SUM(C10962,C10938,C10914,C10890,C10866,C10842,C10818)/POBLA!$B$17*100000</f>
        <v>271.83432708718146</v>
      </c>
      <c r="N10962" s="42" t="s">
        <v>34</v>
      </c>
      <c r="O10962" s="42">
        <v>720</v>
      </c>
      <c r="P10962" s="42">
        <v>46778</v>
      </c>
    </row>
    <row r="10963" spans="1:16" x14ac:dyDescent="0.25">
      <c r="A10963" s="402" t="s">
        <v>35</v>
      </c>
      <c r="B10963" s="2">
        <v>44349</v>
      </c>
      <c r="C10963" s="4">
        <v>697</v>
      </c>
      <c r="D10963" s="39">
        <f t="shared" si="1119"/>
        <v>38331</v>
      </c>
      <c r="E10963" s="1">
        <v>11</v>
      </c>
      <c r="F10963" s="39">
        <f t="shared" si="1114"/>
        <v>652</v>
      </c>
      <c r="G10963" s="169">
        <f>SUM(C10963,C10939,C10915,C10891,C10867,C10843,C10819,C10795,C10771,C10747,C10723,C10699,C10675,C10651)/POBLA!$B$18*100000</f>
        <v>915.23865968098505</v>
      </c>
      <c r="H10963" s="258">
        <f t="shared" si="1120"/>
        <v>1.166394779771615</v>
      </c>
      <c r="I10963" s="310">
        <f t="shared" si="1117"/>
        <v>1067.5295948970706</v>
      </c>
      <c r="J10963" s="552">
        <f t="shared" si="1116"/>
        <v>587.14285714285711</v>
      </c>
      <c r="K10963" s="310">
        <f>J10963/POBLA!$B$18*100000</f>
        <v>75.157460365411552</v>
      </c>
      <c r="L10963" s="202">
        <f t="shared" si="1118"/>
        <v>0.35197368421052633</v>
      </c>
      <c r="M10963" s="512">
        <f>SUM(C10963,C10939,C10915,C10891,C10867,C10843,C10819)/POBLA!$B$18*100000</f>
        <v>526.10222255788085</v>
      </c>
      <c r="N10963" s="42" t="s">
        <v>35</v>
      </c>
      <c r="O10963" s="42">
        <v>697</v>
      </c>
      <c r="P10963" s="42">
        <v>38331</v>
      </c>
    </row>
    <row r="10964" spans="1:16" x14ac:dyDescent="0.25">
      <c r="A10964" s="402" t="s">
        <v>36</v>
      </c>
      <c r="B10964" s="2">
        <v>44349</v>
      </c>
      <c r="C10964" s="4">
        <v>509</v>
      </c>
      <c r="D10964" s="39">
        <f t="shared" si="1119"/>
        <v>54008</v>
      </c>
      <c r="E10964" s="1">
        <v>23</v>
      </c>
      <c r="F10964" s="39">
        <f t="shared" si="1114"/>
        <v>731</v>
      </c>
      <c r="G10964" s="169">
        <f>SUM(C10964,C10940,C10916,C10892,C10868,C10844,C10820,C10796,C10772,C10748,C10724,C10700,C10676,C10652)/POBLA!$B$19*100000</f>
        <v>1594.6396814655106</v>
      </c>
      <c r="H10964" s="258">
        <f t="shared" si="1120"/>
        <v>1.2876886417791897</v>
      </c>
      <c r="I10964" s="310">
        <f t="shared" si="1117"/>
        <v>2053.3994055535231</v>
      </c>
      <c r="J10964" s="552">
        <f t="shared" si="1116"/>
        <v>521.71428571428567</v>
      </c>
      <c r="K10964" s="310">
        <f>J10964/POBLA!$B$19*100000</f>
        <v>102.63339531056438</v>
      </c>
      <c r="L10964" s="202">
        <f t="shared" si="1118"/>
        <v>-0.18006286484059275</v>
      </c>
      <c r="M10964" s="512">
        <f>SUM(C10964,C10940,C10916,C10892,C10868,C10844,C10820)/POBLA!$B$19*100000</f>
        <v>718.43376717395063</v>
      </c>
      <c r="N10964" s="42" t="s">
        <v>36</v>
      </c>
      <c r="O10964" s="42">
        <v>509</v>
      </c>
      <c r="P10964" s="42">
        <v>54008</v>
      </c>
    </row>
    <row r="10965" spans="1:16" x14ac:dyDescent="0.25">
      <c r="A10965" s="402" t="s">
        <v>37</v>
      </c>
      <c r="B10965" s="2">
        <v>44349</v>
      </c>
      <c r="C10965" s="4">
        <v>234</v>
      </c>
      <c r="D10965" s="39">
        <f t="shared" si="1119"/>
        <v>52006</v>
      </c>
      <c r="F10965" s="39">
        <f t="shared" si="1114"/>
        <v>792</v>
      </c>
      <c r="G10965" s="169">
        <f>SUM(C10965,C10941,C10917,C10893,C10869,C10845,C10821,C10797,C10773,C10749,C10725,C10701,C10677,C10653)/POBLA!$B$20*100000</f>
        <v>825.81802470891296</v>
      </c>
      <c r="H10965" s="258">
        <f t="shared" si="1120"/>
        <v>0.90473337327741166</v>
      </c>
      <c r="I10965" s="310">
        <f t="shared" si="1117"/>
        <v>747.14512720818368</v>
      </c>
      <c r="J10965" s="552">
        <f t="shared" si="1116"/>
        <v>199.28571428571428</v>
      </c>
      <c r="K10965" s="310">
        <f>J10965/POBLA!$B$20*100000</f>
        <v>54.494614213289189</v>
      </c>
      <c r="L10965" s="202">
        <f t="shared" si="1118"/>
        <v>-0.1415384615384615</v>
      </c>
      <c r="M10965" s="512">
        <f>SUM(C10965,C10941,C10917,C10893,C10869,C10845,C10821)/POBLA!$B$20*100000</f>
        <v>381.46229949302432</v>
      </c>
      <c r="N10965" s="42" t="s">
        <v>37</v>
      </c>
      <c r="O10965" s="42">
        <v>234</v>
      </c>
      <c r="P10965" s="42">
        <v>52006</v>
      </c>
    </row>
    <row r="10966" spans="1:16" x14ac:dyDescent="0.25">
      <c r="A10966" s="402" t="s">
        <v>22</v>
      </c>
      <c r="B10966" s="2">
        <v>44349</v>
      </c>
      <c r="C10966" s="4">
        <v>3665</v>
      </c>
      <c r="D10966" s="39">
        <f t="shared" si="1119"/>
        <v>352064</v>
      </c>
      <c r="E10966" s="1">
        <v>34</v>
      </c>
      <c r="F10966" s="39">
        <f t="shared" si="1114"/>
        <v>5650</v>
      </c>
      <c r="G10966" s="169">
        <f>SUM(C10966,C10942,C10918,C10894,C10870,C10846,C10822,C10798,C10774,C10750,C10726,C10702,C10678,C10654)/POBLA!$B$21*100000</f>
        <v>1160.8073480001517</v>
      </c>
      <c r="H10966" s="258">
        <f t="shared" si="1120"/>
        <v>1.4400827895881569</v>
      </c>
      <c r="I10966" s="310">
        <f t="shared" si="1117"/>
        <v>1671.658683882489</v>
      </c>
      <c r="J10966" s="552">
        <f t="shared" si="1116"/>
        <v>3194.2857142857142</v>
      </c>
      <c r="K10966" s="310">
        <f>J10966/POBLA!$B$21*100000</f>
        <v>90.325456840388057</v>
      </c>
      <c r="L10966" s="202">
        <f t="shared" si="1118"/>
        <v>0.19629768337702647</v>
      </c>
      <c r="M10966" s="512">
        <f>SUM(C10966,C10942,C10918,C10894,C10870,C10846,C10822)/POBLA!$B$21*100000</f>
        <v>632.27819788271643</v>
      </c>
      <c r="N10966" s="42" t="s">
        <v>22</v>
      </c>
      <c r="O10966" s="42">
        <v>3665</v>
      </c>
      <c r="P10966" s="42">
        <v>352064</v>
      </c>
    </row>
    <row r="10967" spans="1:16" x14ac:dyDescent="0.25">
      <c r="A10967" s="402" t="s">
        <v>38</v>
      </c>
      <c r="B10967" s="2">
        <v>44349</v>
      </c>
      <c r="C10967" s="4">
        <v>525</v>
      </c>
      <c r="D10967" s="39">
        <f t="shared" si="1119"/>
        <v>44825</v>
      </c>
      <c r="E10967" s="1">
        <v>6</v>
      </c>
      <c r="F10967" s="39">
        <f t="shared" si="1114"/>
        <v>534</v>
      </c>
      <c r="G10967" s="169">
        <f>SUM(C10967,C10943,C10919,C10895,C10871,C10847,C10823,C10799,C10775,C10751,C10727,C10703,C10679,C10655)/POBLA!$B$22*100000</f>
        <v>816.40538355311639</v>
      </c>
      <c r="H10967" s="258">
        <f t="shared" si="1120"/>
        <v>1.5135493651696039</v>
      </c>
      <c r="I10967" s="310">
        <f t="shared" si="1117"/>
        <v>1235.6698499978663</v>
      </c>
      <c r="J10967" s="552">
        <f t="shared" si="1116"/>
        <v>534.42857142857144</v>
      </c>
      <c r="K10967" s="310">
        <f>J10967/POBLA!$B$22*100000</f>
        <v>54.627565148226736</v>
      </c>
      <c r="L10967" s="202">
        <f t="shared" si="1118"/>
        <v>-0.11893546867640137</v>
      </c>
      <c r="M10967" s="512">
        <f>SUM(C10967,C10943,C10919,C10895,C10871,C10847,C10823)/POBLA!$B$22*100000</f>
        <v>382.39295603758711</v>
      </c>
      <c r="N10967" s="42" t="s">
        <v>38</v>
      </c>
      <c r="O10967" s="42">
        <v>525</v>
      </c>
      <c r="P10967" s="42">
        <v>44825</v>
      </c>
    </row>
    <row r="10968" spans="1:16" x14ac:dyDescent="0.25">
      <c r="A10968" s="402" t="s">
        <v>39</v>
      </c>
      <c r="B10968" s="2">
        <v>44349</v>
      </c>
      <c r="C10968" s="4">
        <v>75</v>
      </c>
      <c r="D10968" s="39">
        <f t="shared" si="1119"/>
        <v>28604</v>
      </c>
      <c r="F10968" s="39">
        <f t="shared" si="1114"/>
        <v>422</v>
      </c>
      <c r="G10968" s="169">
        <f>SUM(C10968,C10944,C10920,C10896,C10872,C10848,C10824,C10800,C10776,C10752,C10728,C10704,C10680,C10656)/POBLA!$B$23*100000</f>
        <v>475.59803200814343</v>
      </c>
      <c r="H10968" s="258">
        <f t="shared" si="1120"/>
        <v>0.83848454636091729</v>
      </c>
      <c r="I10968" s="310">
        <f t="shared" si="1117"/>
        <v>398.78160011849315</v>
      </c>
      <c r="J10968" s="552">
        <f t="shared" si="1116"/>
        <v>54.857142857142854</v>
      </c>
      <c r="K10968" s="310">
        <f>J10968/POBLA!$B$23*100000</f>
        <v>31.022531729425356</v>
      </c>
      <c r="L10968" s="202">
        <f t="shared" si="1118"/>
        <v>-0.15973741794310725</v>
      </c>
      <c r="M10968" s="512">
        <f>SUM(C10968,C10944,C10920,C10896,C10872,C10848,C10824)/POBLA!$B$23*100000</f>
        <v>217.15772210597751</v>
      </c>
      <c r="N10968" s="42" t="s">
        <v>39</v>
      </c>
      <c r="O10968" s="42">
        <v>75</v>
      </c>
      <c r="P10968" s="42">
        <v>28604</v>
      </c>
    </row>
    <row r="10969" spans="1:16" ht="15.75" thickBot="1" x14ac:dyDescent="0.3">
      <c r="A10969" s="404" t="s">
        <v>40</v>
      </c>
      <c r="B10969" s="268">
        <v>44349</v>
      </c>
      <c r="C10969" s="390">
        <v>1009</v>
      </c>
      <c r="D10969" s="177">
        <f t="shared" si="1119"/>
        <v>132111</v>
      </c>
      <c r="E10969" s="44">
        <v>4</v>
      </c>
      <c r="F10969" s="177">
        <f t="shared" si="1114"/>
        <v>1914</v>
      </c>
      <c r="G10969" s="178">
        <f>SUM(C10969,C10945,C10921,C10897,C10873,C10849,C10825,C10801,C10777,C10753,C10729,C10705,C10681,C10657)/POBLA!$B$24*100000</f>
        <v>841.8817742361872</v>
      </c>
      <c r="H10969" s="513">
        <f t="shared" si="1120"/>
        <v>1.5679745026926035</v>
      </c>
      <c r="I10969" s="514">
        <f t="shared" si="1117"/>
        <v>1320.0491562839522</v>
      </c>
      <c r="J10969" s="553">
        <f t="shared" si="1116"/>
        <v>1135.8571428571429</v>
      </c>
      <c r="K10969" s="514">
        <f>J10969/POBLA!$B$24*100000</f>
        <v>67.025823698564366</v>
      </c>
      <c r="L10969" s="515">
        <f t="shared" si="1118"/>
        <v>0.25886637112096267</v>
      </c>
      <c r="M10969" s="516">
        <f>SUM(C10969,C10945,C10921,C10897,C10873,C10849,C10825)/POBLA!$B$24*100000</f>
        <v>469.18076588995052</v>
      </c>
      <c r="N10969" s="42" t="s">
        <v>40</v>
      </c>
      <c r="O10969" s="42">
        <v>1009</v>
      </c>
      <c r="P10969" s="42">
        <v>132111</v>
      </c>
    </row>
    <row r="10970" spans="1:16" x14ac:dyDescent="0.25">
      <c r="A10970" s="397" t="s">
        <v>16</v>
      </c>
      <c r="B10970" s="267">
        <v>44350</v>
      </c>
      <c r="C10970" s="43">
        <v>11362</v>
      </c>
      <c r="D10970" s="175">
        <f t="shared" si="1119"/>
        <v>1647205</v>
      </c>
      <c r="E10970" s="43">
        <v>226</v>
      </c>
      <c r="F10970" s="175">
        <f t="shared" ref="F10970:F10993" si="1121">E10970+F10946</f>
        <v>40994</v>
      </c>
      <c r="G10970" s="176">
        <f>SUM(C10970,C10946,C10922,C10898,C10874,C10850,C10826,C10802,C10778,C10754,C10730,C10706,C10682,C10658)/POBLA!$B$1*100000</f>
        <v>886.3220471233883</v>
      </c>
      <c r="H10970" s="313">
        <f t="shared" si="1120"/>
        <v>1.12368637881438</v>
      </c>
      <c r="I10970" s="314">
        <f>G10970*H10970</f>
        <v>995.94801159542851</v>
      </c>
      <c r="J10970" s="551">
        <f>AVERAGE(C10970,C10946,C10922,C10898,C10874,C10850,C10826)</f>
        <v>11340.571428571429</v>
      </c>
      <c r="K10970" s="314">
        <f>J10970/POBLA!$B$1*100000</f>
        <v>64.651275698493208</v>
      </c>
      <c r="L10970" s="510">
        <f t="shared" si="1118"/>
        <v>4.3331975238871223E-2</v>
      </c>
      <c r="M10970" s="511">
        <f>SUM(C10970,C10946,C10922,C10898,C10874,C10850,C10826)/POBLA!$B$1*100000</f>
        <v>452.55892988945249</v>
      </c>
      <c r="N10970" s="42" t="s">
        <v>270</v>
      </c>
      <c r="O10970" s="42">
        <v>11362</v>
      </c>
      <c r="P10970" s="42">
        <v>1647205</v>
      </c>
    </row>
    <row r="10971" spans="1:16" x14ac:dyDescent="0.25">
      <c r="A10971" s="402" t="s">
        <v>43</v>
      </c>
      <c r="B10971" s="269">
        <v>44350</v>
      </c>
      <c r="C10971" s="1">
        <v>1933</v>
      </c>
      <c r="D10971" s="39">
        <f t="shared" si="1119"/>
        <v>424840</v>
      </c>
      <c r="E10971" s="1">
        <v>41</v>
      </c>
      <c r="F10971" s="39">
        <f t="shared" si="1121"/>
        <v>9291</v>
      </c>
      <c r="G10971" s="169">
        <f>SUM(C10971,C10947,C10923,C10899,C10875,C10851,C10827,C10803,C10779,C10755,C10731,C10707,C10683,C10659)/POBLA!$B$2*100000</f>
        <v>1128.7384829073308</v>
      </c>
      <c r="H10971" s="258">
        <f t="shared" si="1120"/>
        <v>1.0224421275843789</v>
      </c>
      <c r="I10971" s="310">
        <f t="shared" ref="I10971:I10977" si="1122">G10971*H10971</f>
        <v>1154.0697759501354</v>
      </c>
      <c r="J10971" s="552">
        <f t="shared" ref="J10971:J10993" si="1123">AVERAGE(C10971,C10947,C10923,C10899,C10875,C10851,C10827)</f>
        <v>2257.8571428571427</v>
      </c>
      <c r="K10971" s="310">
        <f>J10971/POBLA!$B$2*100000</f>
        <v>73.41082630631557</v>
      </c>
      <c r="L10971" s="202">
        <f t="shared" si="1118"/>
        <v>-0.16424303315530642</v>
      </c>
      <c r="M10971" s="512">
        <f>SUM(C10971,C10947,C10923,C10899,C10875,C10851,C10827)/POBLA!$B$2*100000</f>
        <v>513.87578414420909</v>
      </c>
      <c r="N10971" s="42" t="s">
        <v>43</v>
      </c>
      <c r="O10971" s="42">
        <v>1933</v>
      </c>
      <c r="P10971" s="42">
        <v>424840</v>
      </c>
    </row>
    <row r="10972" spans="1:16" x14ac:dyDescent="0.25">
      <c r="A10972" s="402" t="s">
        <v>28</v>
      </c>
      <c r="B10972" s="269">
        <v>44350</v>
      </c>
      <c r="C10972" s="1">
        <v>391</v>
      </c>
      <c r="D10972" s="39">
        <f t="shared" si="1119"/>
        <v>24980</v>
      </c>
      <c r="E10972" s="1">
        <v>10</v>
      </c>
      <c r="F10972" s="39">
        <f t="shared" si="1121"/>
        <v>188</v>
      </c>
      <c r="G10972" s="169">
        <f>SUM(C10972,C10948,C10924,C10900,C10876,C10852,C10828,C10804,C10780,C10756,C10732,C10708,C10684,C10660)/POBLA!$B$3*100000</f>
        <v>1373.7308575527516</v>
      </c>
      <c r="H10972" s="258">
        <f t="shared" si="1120"/>
        <v>1.595917225950783</v>
      </c>
      <c r="I10972" s="310">
        <f t="shared" si="1122"/>
        <v>2192.3607393885777</v>
      </c>
      <c r="J10972" s="552">
        <f t="shared" si="1123"/>
        <v>397</v>
      </c>
      <c r="K10972" s="310">
        <f>J10972/POBLA!$B$3*100000</f>
        <v>95.561792614060337</v>
      </c>
      <c r="L10972" s="202">
        <f t="shared" si="1118"/>
        <v>-5.0887978142076462E-2</v>
      </c>
      <c r="M10972" s="512">
        <f>SUM(C10972,C10948,C10924,C10900,C10876,C10852,C10828)/POBLA!$B$3*100000</f>
        <v>668.93254829842238</v>
      </c>
      <c r="N10972" s="42" t="s">
        <v>28</v>
      </c>
      <c r="O10972" s="42">
        <v>391</v>
      </c>
      <c r="P10972" s="42">
        <v>24980</v>
      </c>
    </row>
    <row r="10973" spans="1:16" x14ac:dyDescent="0.25">
      <c r="A10973" s="402" t="s">
        <v>15</v>
      </c>
      <c r="B10973" s="269">
        <v>44350</v>
      </c>
      <c r="C10973" s="1">
        <v>833</v>
      </c>
      <c r="D10973" s="39">
        <f t="shared" si="1119"/>
        <v>60633</v>
      </c>
      <c r="E10973" s="1">
        <v>16</v>
      </c>
      <c r="F10973" s="39">
        <f t="shared" si="1121"/>
        <v>1270</v>
      </c>
      <c r="G10973" s="169">
        <f>SUM(C10973,C10949,C10925,C10901,C10877,C10853,C10829,C10805,C10781,C10757,C10733,C10709,C10685,C10661)/POBLA!$B$4*100000</f>
        <v>747.08955527458181</v>
      </c>
      <c r="H10973" s="258">
        <f t="shared" si="1120"/>
        <v>1.6829998129792407</v>
      </c>
      <c r="I10973" s="310">
        <f t="shared" si="1122"/>
        <v>1257.3515818058654</v>
      </c>
      <c r="J10973" s="552">
        <f t="shared" si="1123"/>
        <v>669.28571428571433</v>
      </c>
      <c r="K10973" s="310">
        <f>J10973/POBLA!$B$4*100000</f>
        <v>55.563547798349269</v>
      </c>
      <c r="L10973" s="202">
        <f t="shared" si="1118"/>
        <v>8.5999072786277164E-2</v>
      </c>
      <c r="M10973" s="512">
        <f>SUM(C10973,C10949,C10925,C10901,C10877,C10853,C10829)/POBLA!$B$4*100000</f>
        <v>388.94483458844491</v>
      </c>
      <c r="N10973" s="42" t="s">
        <v>15</v>
      </c>
      <c r="O10973" s="42">
        <v>833</v>
      </c>
      <c r="P10973" s="42">
        <v>60633</v>
      </c>
    </row>
    <row r="10974" spans="1:16" x14ac:dyDescent="0.25">
      <c r="A10974" s="402" t="s">
        <v>29</v>
      </c>
      <c r="B10974" s="269">
        <v>44350</v>
      </c>
      <c r="C10974" s="1">
        <v>491</v>
      </c>
      <c r="D10974" s="39">
        <f t="shared" si="1119"/>
        <v>64272</v>
      </c>
      <c r="E10974" s="1">
        <v>9</v>
      </c>
      <c r="F10974" s="39">
        <f t="shared" si="1121"/>
        <v>1066</v>
      </c>
      <c r="G10974" s="169">
        <f>SUM(C10974,C10950,C10926,C10902,C10878,C10854,C10830,C10806,C10782,C10758,C10734,C10710,C10686,C10662)/POBLA!$B$5*100000</f>
        <v>822.94820305204905</v>
      </c>
      <c r="H10974" s="258">
        <f t="shared" si="1120"/>
        <v>1.5278944211157768</v>
      </c>
      <c r="I10974" s="310">
        <f t="shared" si="1122"/>
        <v>1257.3779683104792</v>
      </c>
      <c r="J10974" s="552">
        <f t="shared" si="1123"/>
        <v>407.28571428571428</v>
      </c>
      <c r="K10974" s="310">
        <f>J10974/POBLA!$B$5*100000</f>
        <v>65.798006811974631</v>
      </c>
      <c r="L10974" s="202">
        <f t="shared" si="1118"/>
        <v>0.27106553722692817</v>
      </c>
      <c r="M10974" s="512">
        <f>SUM(C10974,C10950,C10926,C10902,C10878,C10854,C10830)/POBLA!$B$5*100000</f>
        <v>460.58604768382247</v>
      </c>
      <c r="N10974" s="42" t="s">
        <v>29</v>
      </c>
      <c r="O10974" s="42">
        <v>491</v>
      </c>
      <c r="P10974" s="42">
        <v>64272</v>
      </c>
    </row>
    <row r="10975" spans="1:16" x14ac:dyDescent="0.25">
      <c r="A10975" s="402" t="s">
        <v>30</v>
      </c>
      <c r="B10975" s="269">
        <v>44350</v>
      </c>
      <c r="C10975" s="1">
        <v>591</v>
      </c>
      <c r="D10975" s="39">
        <f t="shared" si="1119"/>
        <v>52822</v>
      </c>
      <c r="E10975" s="1">
        <v>2</v>
      </c>
      <c r="F10975" s="39">
        <f t="shared" si="1121"/>
        <v>637</v>
      </c>
      <c r="G10975" s="169">
        <f>SUM(C10975,C10951,C10927,C10903,C10879,C10855,C10831,C10807,C10783,C10759,C10735,C10711,C10687,C10663)/POBLA!$B$6*100000</f>
        <v>951.55161353353537</v>
      </c>
      <c r="H10975" s="258">
        <f t="shared" si="1120"/>
        <v>2.9832167832167831</v>
      </c>
      <c r="I10975" s="310">
        <f t="shared" si="1122"/>
        <v>2838.6847435902528</v>
      </c>
      <c r="J10975" s="552">
        <f t="shared" si="1123"/>
        <v>509.85714285714283</v>
      </c>
      <c r="K10975" s="310">
        <f>J10975/POBLA!$B$6*100000</f>
        <v>45.490425406217774</v>
      </c>
      <c r="L10975" s="202">
        <f t="shared" si="1118"/>
        <v>-0.4970405862457723</v>
      </c>
      <c r="M10975" s="512">
        <f>SUM(C10975,C10951,C10927,C10903,C10879,C10855,C10831)/POBLA!$B$6*100000</f>
        <v>318.43297784352444</v>
      </c>
      <c r="N10975" s="42" t="s">
        <v>30</v>
      </c>
      <c r="O10975" s="42">
        <v>591</v>
      </c>
      <c r="P10975" s="42">
        <v>52822</v>
      </c>
    </row>
    <row r="10976" spans="1:16" x14ac:dyDescent="0.25">
      <c r="A10976" s="402" t="s">
        <v>20</v>
      </c>
      <c r="B10976" s="269">
        <v>44350</v>
      </c>
      <c r="C10976" s="1">
        <v>5145</v>
      </c>
      <c r="D10976" s="39">
        <f t="shared" si="1119"/>
        <v>327171</v>
      </c>
      <c r="E10976" s="1">
        <v>48</v>
      </c>
      <c r="F10976" s="39">
        <f t="shared" si="1121"/>
        <v>4032</v>
      </c>
      <c r="G10976" s="169">
        <f>SUM(C10976,C10952,C10928,C10904,C10880,C10856,C10832,C10808,C10784,C10760,C10736,C10712,C10688,C10664)/POBLA!$B$7*100000</f>
        <v>1496.6825778829661</v>
      </c>
      <c r="H10976" s="258">
        <f t="shared" si="1120"/>
        <v>1.6246752496968997</v>
      </c>
      <c r="I10976" s="310">
        <f t="shared" si="1122"/>
        <v>2431.6231409390075</v>
      </c>
      <c r="J10976" s="552">
        <f t="shared" si="1123"/>
        <v>4334.5714285714284</v>
      </c>
      <c r="K10976" s="310">
        <f>J10976/POBLA!$B$7*100000</f>
        <v>115.26735971948646</v>
      </c>
      <c r="L10976" s="202">
        <f t="shared" si="1118"/>
        <v>0.16969930609097927</v>
      </c>
      <c r="M10976" s="512">
        <f>SUM(C10976,C10952,C10928,C10904,C10880,C10856,C10832)/POBLA!$B$7*100000</f>
        <v>806.87151803640529</v>
      </c>
      <c r="N10976" s="42" t="s">
        <v>20</v>
      </c>
      <c r="O10976" s="42">
        <v>5145</v>
      </c>
      <c r="P10976" s="42">
        <v>327171</v>
      </c>
    </row>
    <row r="10977" spans="1:16" x14ac:dyDescent="0.25">
      <c r="A10977" s="402" t="s">
        <v>31</v>
      </c>
      <c r="B10977" s="269">
        <v>44350</v>
      </c>
      <c r="C10977" s="1">
        <v>1054</v>
      </c>
      <c r="D10977" s="39">
        <f t="shared" si="1119"/>
        <v>89320</v>
      </c>
      <c r="E10977" s="1">
        <v>10</v>
      </c>
      <c r="F10977" s="39">
        <f t="shared" si="1121"/>
        <v>1376</v>
      </c>
      <c r="G10977" s="169">
        <f>SUM(C10977,C10953,C10929,C10905,C10881,C10857,C10833,C10809,C10785,C10761,C10737,C10713,C10689,C10665)/POBLA!$B$8*100000</f>
        <v>985.30911042951436</v>
      </c>
      <c r="H10977" s="258">
        <f t="shared" si="1120"/>
        <v>1.4129332643559234</v>
      </c>
      <c r="I10977" s="310">
        <f t="shared" si="1122"/>
        <v>1392.1760177988047</v>
      </c>
      <c r="J10977" s="552">
        <f t="shared" si="1123"/>
        <v>1092.1428571428571</v>
      </c>
      <c r="K10977" s="310">
        <f>J10977/POBLA!$B$8*100000</f>
        <v>78.800403268407777</v>
      </c>
      <c r="L10977" s="202">
        <f t="shared" si="1118"/>
        <v>0.27183496922309103</v>
      </c>
      <c r="M10977" s="512">
        <f>SUM(C10977,C10953,C10929,C10905,C10881,C10857,C10833)/POBLA!$B$8*100000</f>
        <v>551.60282287885445</v>
      </c>
      <c r="N10977" s="42" t="s">
        <v>31</v>
      </c>
      <c r="O10977" s="42">
        <v>1054</v>
      </c>
      <c r="P10977" s="42">
        <v>89320</v>
      </c>
    </row>
    <row r="10978" spans="1:16" x14ac:dyDescent="0.25">
      <c r="A10978" s="402" t="s">
        <v>41</v>
      </c>
      <c r="B10978" s="269">
        <v>44350</v>
      </c>
      <c r="C10978" s="1">
        <v>898</v>
      </c>
      <c r="D10978" s="39">
        <f t="shared" si="1119"/>
        <v>33480</v>
      </c>
      <c r="E10978" s="1">
        <v>10</v>
      </c>
      <c r="F10978" s="39">
        <f t="shared" si="1121"/>
        <v>526</v>
      </c>
      <c r="G10978" s="169">
        <f>SUM(C10978,C10954,C10930,C10906,C10882,C10858,C10834,C10810,C10786,C10762,C10738,C10714,C10690,C10666)/POBLA!$B$9*100000</f>
        <v>2206.8992866738377</v>
      </c>
      <c r="H10978" s="258">
        <f t="shared" si="1120"/>
        <v>0.9094994892747702</v>
      </c>
      <c r="I10978" s="310">
        <f>G10978*H10978</f>
        <v>2007.1737741107099</v>
      </c>
      <c r="J10978" s="552">
        <f t="shared" si="1123"/>
        <v>976.28571428571433</v>
      </c>
      <c r="K10978" s="310">
        <f>J10978/POBLA!$B$9*100000</f>
        <v>161.31807775134783</v>
      </c>
      <c r="L10978" s="202">
        <f>(SUM(C10978,C10954,C10930,C10906,C10882,C10858,C10834)/SUM(C10810,C10786,C10762,C10738,C10714,C10690,C10666))-1</f>
        <v>4.7838086476540864E-2</v>
      </c>
      <c r="M10978" s="512">
        <f>SUM(C10978,C10954,C10930,C10906,C10882,C10858,C10834)/POBLA!$B$9*100000</f>
        <v>1129.2265442594346</v>
      </c>
      <c r="N10978" s="42" t="s">
        <v>41</v>
      </c>
      <c r="O10978" s="42">
        <v>898</v>
      </c>
      <c r="P10978" s="42">
        <v>33480</v>
      </c>
    </row>
    <row r="10979" spans="1:16" x14ac:dyDescent="0.25">
      <c r="A10979" s="402" t="s">
        <v>32</v>
      </c>
      <c r="B10979" s="269">
        <v>44350</v>
      </c>
      <c r="C10979" s="1">
        <v>239</v>
      </c>
      <c r="D10979" s="39">
        <f t="shared" si="1119"/>
        <v>29134</v>
      </c>
      <c r="F10979" s="39">
        <f t="shared" si="1121"/>
        <v>1092</v>
      </c>
      <c r="G10979" s="169">
        <f>SUM(C10979,C10955,C10931,C10907,C10883,C10859,C10835,C10811,C10787,C10763,C10739,C10715,C10691,C10667)/POBLA!$B$10*100000</f>
        <v>306.92156117481164</v>
      </c>
      <c r="H10979" s="258">
        <f t="shared" si="1120"/>
        <v>1.7058399423215573</v>
      </c>
      <c r="I10979" s="310">
        <f t="shared" ref="I10979:I10993" si="1124">G10979*H10979</f>
        <v>523.55905821168301</v>
      </c>
      <c r="J10979" s="552">
        <f t="shared" si="1123"/>
        <v>201.71428571428572</v>
      </c>
      <c r="K10979" s="310">
        <f>J10979/POBLA!$B$10*100000</f>
        <v>26.166721674848091</v>
      </c>
      <c r="L10979" s="202">
        <f t="shared" ref="L10979:L11001" si="1125">(SUM(C10979,C10955,C10931,C10907,C10883,C10859,C10835)/SUM(C10811,C10787,C10763,C10739,C10715,C10691,C10667))-1</f>
        <v>0.48008385744234805</v>
      </c>
      <c r="M10979" s="512">
        <f>SUM(C10979,C10955,C10931,C10907,C10883,C10859,C10835)/POBLA!$B$10*100000</f>
        <v>183.16705172393665</v>
      </c>
      <c r="N10979" s="42" t="s">
        <v>32</v>
      </c>
      <c r="O10979" s="42">
        <v>239</v>
      </c>
      <c r="P10979" s="42">
        <v>29134</v>
      </c>
    </row>
    <row r="10980" spans="1:16" x14ac:dyDescent="0.25">
      <c r="A10980" s="402" t="s">
        <v>33</v>
      </c>
      <c r="B10980" s="269">
        <v>44350</v>
      </c>
      <c r="C10980" s="1">
        <v>436</v>
      </c>
      <c r="D10980" s="39">
        <f t="shared" si="1119"/>
        <v>44221</v>
      </c>
      <c r="E10980" s="1">
        <v>4</v>
      </c>
      <c r="F10980" s="39">
        <f t="shared" si="1121"/>
        <v>585</v>
      </c>
      <c r="G10980" s="169">
        <f>SUM(C10980,C10956,C10932,C10908,C10884,C10860,C10836,C10812,C10788,C10764,C10740,C10716,C10692,C10668)/POBLA!$B$11*100000</f>
        <v>2185.376142488868</v>
      </c>
      <c r="H10980" s="258">
        <f t="shared" si="1120"/>
        <v>1.065424374319913</v>
      </c>
      <c r="I10980" s="310">
        <f t="shared" si="1124"/>
        <v>2328.3530092648671</v>
      </c>
      <c r="J10980" s="552">
        <f t="shared" si="1123"/>
        <v>436.57142857142856</v>
      </c>
      <c r="K10980" s="310">
        <f>J10980/POBLA!$B$11*100000</f>
        <v>121.80170873130128</v>
      </c>
      <c r="L10980" s="202">
        <f t="shared" si="1125"/>
        <v>-0.36026795059660877</v>
      </c>
      <c r="M10980" s="512">
        <f>SUM(C10980,C10956,C10932,C10908,C10884,C10860,C10836)/POBLA!$B$11*100000</f>
        <v>852.61196111910897</v>
      </c>
      <c r="N10980" s="42" t="s">
        <v>33</v>
      </c>
      <c r="O10980" s="42">
        <v>436</v>
      </c>
      <c r="P10980" s="42">
        <v>44221</v>
      </c>
    </row>
    <row r="10981" spans="1:16" x14ac:dyDescent="0.25">
      <c r="A10981" s="402" t="s">
        <v>21</v>
      </c>
      <c r="B10981" s="269">
        <v>44350</v>
      </c>
      <c r="C10981" s="1">
        <v>187</v>
      </c>
      <c r="D10981" s="39">
        <f t="shared" si="1119"/>
        <v>17933</v>
      </c>
      <c r="F10981" s="39">
        <f t="shared" si="1121"/>
        <v>534</v>
      </c>
      <c r="G10981" s="169">
        <f>SUM(C10981,C10957,C10933,C10909,C10885,C10861,C10837,C10813,C10789,C10765,C10741,C10717,C10693,C10669)/POBLA!$B$12*100000</f>
        <v>590.04246171203795</v>
      </c>
      <c r="H10981" s="258">
        <f t="shared" si="1120"/>
        <v>1.4404466501240696</v>
      </c>
      <c r="I10981" s="310">
        <f t="shared" si="1124"/>
        <v>849.92468740406468</v>
      </c>
      <c r="J10981" s="552">
        <f t="shared" si="1123"/>
        <v>169.42857142857142</v>
      </c>
      <c r="K10981" s="310">
        <f>J10981/POBLA!$B$12*100000</f>
        <v>43.053424362647775</v>
      </c>
      <c r="L10981" s="202">
        <f t="shared" si="1125"/>
        <v>4.401408450704225E-2</v>
      </c>
      <c r="M10981" s="512">
        <f>SUM(C10981,C10957,C10933,C10909,C10885,C10861,C10837)/POBLA!$B$12*100000</f>
        <v>301.37397053853442</v>
      </c>
      <c r="N10981" s="42" t="s">
        <v>21</v>
      </c>
      <c r="O10981" s="42">
        <v>187</v>
      </c>
      <c r="P10981" s="42">
        <v>17933</v>
      </c>
    </row>
    <row r="10982" spans="1:16" x14ac:dyDescent="0.25">
      <c r="A10982" s="402" t="s">
        <v>17</v>
      </c>
      <c r="B10982" s="269">
        <v>44350</v>
      </c>
      <c r="C10982" s="1">
        <v>819</v>
      </c>
      <c r="D10982" s="39">
        <f t="shared" si="1119"/>
        <v>123560</v>
      </c>
      <c r="E10982" s="1">
        <v>35</v>
      </c>
      <c r="F10982" s="39">
        <f t="shared" si="1121"/>
        <v>2692</v>
      </c>
      <c r="G10982" s="169">
        <f>SUM(C10982,C10958,C10934,C10910,C10886,C10862,C10838,C10814,C10790,C10766,C10742,C10718,C10694,C10670)/POBLA!$B$13*100000</f>
        <v>550.91145323055684</v>
      </c>
      <c r="H10982" s="258">
        <f t="shared" si="1120"/>
        <v>0.92127373550663749</v>
      </c>
      <c r="I10982" s="310">
        <f t="shared" si="1124"/>
        <v>507.54025245110535</v>
      </c>
      <c r="J10982" s="552">
        <f t="shared" si="1123"/>
        <v>845.57142857142856</v>
      </c>
      <c r="K10982" s="310">
        <f>J10982/POBLA!$B$13*100000</f>
        <v>42.483810718150814</v>
      </c>
      <c r="L10982" s="202">
        <f t="shared" si="1125"/>
        <v>0.17300832342449457</v>
      </c>
      <c r="M10982" s="512">
        <f>SUM(C10982,C10958,C10934,C10910,C10886,C10862,C10838)/POBLA!$B$13*100000</f>
        <v>297.38667502705567</v>
      </c>
      <c r="N10982" s="42" t="s">
        <v>17</v>
      </c>
      <c r="O10982" s="42">
        <v>819</v>
      </c>
      <c r="P10982" s="42">
        <v>123560</v>
      </c>
    </row>
    <row r="10983" spans="1:16" x14ac:dyDescent="0.25">
      <c r="A10983" s="402" t="s">
        <v>23</v>
      </c>
      <c r="B10983" s="269">
        <v>44350</v>
      </c>
      <c r="C10983" s="1">
        <v>185</v>
      </c>
      <c r="D10983" s="39">
        <f t="shared" si="1119"/>
        <v>20982</v>
      </c>
      <c r="E10983" s="1">
        <v>6</v>
      </c>
      <c r="F10983" s="39">
        <f t="shared" si="1121"/>
        <v>311</v>
      </c>
      <c r="G10983" s="169">
        <f>SUM(C10983,C10959,C10935,C10911,C10887,C10863,C10839,C10815,C10791,C10767,C10743,C10719,C10695,C10671)/POBLA!$B$14*100000</f>
        <v>194.79994355003672</v>
      </c>
      <c r="H10983" s="258">
        <f t="shared" si="1120"/>
        <v>1.1322580645161291</v>
      </c>
      <c r="I10983" s="310">
        <f t="shared" si="1124"/>
        <v>220.56380705181579</v>
      </c>
      <c r="J10983" s="552">
        <f t="shared" si="1123"/>
        <v>188.57142857142858</v>
      </c>
      <c r="K10983" s="310">
        <f>J10983/POBLA!$B$14*100000</f>
        <v>14.950632332464007</v>
      </c>
      <c r="L10983" s="202">
        <f t="shared" si="1125"/>
        <v>0.16094986807387857</v>
      </c>
      <c r="M10983" s="512">
        <f>SUM(C10983,C10959,C10935,C10911,C10887,C10863,C10839)/POBLA!$B$14*100000</f>
        <v>104.65442632724806</v>
      </c>
      <c r="N10983" s="42" t="s">
        <v>23</v>
      </c>
      <c r="O10983" s="42">
        <v>185</v>
      </c>
      <c r="P10983" s="42">
        <v>20982</v>
      </c>
    </row>
    <row r="10984" spans="1:16" x14ac:dyDescent="0.25">
      <c r="A10984" s="402" t="s">
        <v>19</v>
      </c>
      <c r="B10984" s="269">
        <v>44350</v>
      </c>
      <c r="C10984" s="1">
        <v>588</v>
      </c>
      <c r="D10984" s="39">
        <f t="shared" si="1119"/>
        <v>92715</v>
      </c>
      <c r="E10984" s="1">
        <v>20</v>
      </c>
      <c r="F10984" s="39">
        <f t="shared" si="1121"/>
        <v>1388</v>
      </c>
      <c r="G10984" s="169">
        <f>SUM(C10984,C10960,C10936,C10912,C10888,C10864,C10840,C10816,C10792,C10768,C10744,C10720,C10696,C10672)/POBLA!$B$15*100000</f>
        <v>1704.2211737847806</v>
      </c>
      <c r="H10984" s="258">
        <f t="shared" si="1120"/>
        <v>1.4222696996355411</v>
      </c>
      <c r="I10984" s="310">
        <f t="shared" si="1124"/>
        <v>2423.862136951409</v>
      </c>
      <c r="J10984" s="552">
        <f t="shared" si="1123"/>
        <v>768.57142857142856</v>
      </c>
      <c r="K10984" s="310">
        <f>J10984/POBLA!$B$15*100000</f>
        <v>115.73877371542331</v>
      </c>
      <c r="L10984" s="202">
        <f t="shared" si="1125"/>
        <v>-9.3818426814889722E-2</v>
      </c>
      <c r="M10984" s="512">
        <f>SUM(C10984,C10960,C10936,C10912,C10888,C10864,C10840)/POBLA!$B$15*100000</f>
        <v>810.1714160079631</v>
      </c>
      <c r="N10984" s="42" t="s">
        <v>19</v>
      </c>
      <c r="O10984" s="42">
        <v>588</v>
      </c>
      <c r="P10984" s="42">
        <v>92715</v>
      </c>
    </row>
    <row r="10985" spans="1:16" x14ac:dyDescent="0.25">
      <c r="A10985" s="402" t="s">
        <v>18</v>
      </c>
      <c r="B10985" s="269">
        <v>44350</v>
      </c>
      <c r="C10985" s="1">
        <v>454</v>
      </c>
      <c r="D10985" s="39">
        <f t="shared" si="1119"/>
        <v>75767</v>
      </c>
      <c r="E10985" s="1">
        <v>21</v>
      </c>
      <c r="F10985" s="39">
        <f t="shared" si="1121"/>
        <v>1669</v>
      </c>
      <c r="G10985" s="169">
        <f>SUM(C10985,C10961,C10937,C10913,C10889,C10865,C10841,C10817,C10793,C10769,C10745,C10721,C10697,C10673)/POBLA!$B$16*100000</f>
        <v>964.27281604044902</v>
      </c>
      <c r="H10985" s="258">
        <f t="shared" si="1120"/>
        <v>1.3249402683330269</v>
      </c>
      <c r="I10985" s="310">
        <f t="shared" si="1124"/>
        <v>1277.603883630876</v>
      </c>
      <c r="J10985" s="552">
        <f t="shared" si="1123"/>
        <v>483.71428571428572</v>
      </c>
      <c r="K10985" s="310">
        <f>J10985/POBLA!$B$16*100000</f>
        <v>64.701419953489875</v>
      </c>
      <c r="L10985" s="202">
        <f t="shared" si="1125"/>
        <v>-0.11430813497253467</v>
      </c>
      <c r="M10985" s="512">
        <f>SUM(C10985,C10961,C10937,C10913,C10889,C10865,C10841)/POBLA!$B$16*100000</f>
        <v>452.90993967442921</v>
      </c>
      <c r="N10985" s="42" t="s">
        <v>18</v>
      </c>
      <c r="O10985" s="42">
        <v>454</v>
      </c>
      <c r="P10985" s="42">
        <v>75767</v>
      </c>
    </row>
    <row r="10986" spans="1:16" x14ac:dyDescent="0.25">
      <c r="A10986" s="402" t="s">
        <v>34</v>
      </c>
      <c r="B10986" s="269">
        <v>44350</v>
      </c>
      <c r="C10986" s="1">
        <v>642</v>
      </c>
      <c r="D10986" s="39">
        <f t="shared" si="1119"/>
        <v>47420</v>
      </c>
      <c r="E10986" s="1">
        <v>10</v>
      </c>
      <c r="F10986" s="39">
        <f t="shared" si="1121"/>
        <v>1435</v>
      </c>
      <c r="G10986" s="169">
        <f>SUM(C10986,C10962,C10938,C10914,C10890,C10866,C10842,C10818,C10794,C10770,C10746,C10722,C10698,C10674)/POBLA!$B$17*100000</f>
        <v>498.10551412281825</v>
      </c>
      <c r="H10986" s="258">
        <f t="shared" ref="H10986:H11009" si="1126">SUM(C10986,C10962,C10938,C10914,C10890,C10866,C10842,C10818,C10794,C10770,C10746,C10722,C10698,C10674)/SUM(C10650,C10626,C10602,C10578,C10554,C10530,C10506,C10482,C10458,C10434,C10410,C10386,C10362,C10338)</f>
        <v>1.5994138863841298</v>
      </c>
      <c r="I10986" s="310">
        <f t="shared" si="1124"/>
        <v>796.67687617254182</v>
      </c>
      <c r="J10986" s="552">
        <f t="shared" si="1123"/>
        <v>557</v>
      </c>
      <c r="K10986" s="310">
        <f>J10986/POBLA!$B$17*100000</f>
        <v>39.104266577365721</v>
      </c>
      <c r="L10986" s="202">
        <f t="shared" si="1125"/>
        <v>0.21996245306633289</v>
      </c>
      <c r="M10986" s="512">
        <f>SUM(C10986,C10962,C10938,C10914,C10890,C10866,C10842)/POBLA!$B$17*100000</f>
        <v>273.72986604156</v>
      </c>
      <c r="N10986" s="42" t="s">
        <v>34</v>
      </c>
      <c r="O10986" s="42">
        <v>642</v>
      </c>
      <c r="P10986" s="42">
        <v>47420</v>
      </c>
    </row>
    <row r="10987" spans="1:16" x14ac:dyDescent="0.25">
      <c r="A10987" s="402" t="s">
        <v>35</v>
      </c>
      <c r="B10987" s="269">
        <v>44350</v>
      </c>
      <c r="C10987" s="1">
        <v>534</v>
      </c>
      <c r="D10987" s="39">
        <f t="shared" si="1119"/>
        <v>38865</v>
      </c>
      <c r="E10987" s="1">
        <v>3</v>
      </c>
      <c r="F10987" s="39">
        <f t="shared" si="1121"/>
        <v>655</v>
      </c>
      <c r="G10987" s="169">
        <f>SUM(C10987,C10963,C10939,C10915,C10891,C10867,C10843,C10819,C10795,C10771,C10747,C10723,C10699,C10675)/POBLA!$B$18*100000</f>
        <v>897.18989730126214</v>
      </c>
      <c r="H10987" s="258">
        <f t="shared" si="1126"/>
        <v>1.0996234703482899</v>
      </c>
      <c r="I10987" s="310">
        <f t="shared" si="1124"/>
        <v>986.57106843183965</v>
      </c>
      <c r="J10987" s="552">
        <f t="shared" si="1123"/>
        <v>556.28571428571433</v>
      </c>
      <c r="K10987" s="310">
        <f>J10987/POBLA!$B$18*100000</f>
        <v>71.207579236718402</v>
      </c>
      <c r="L10987" s="202">
        <f t="shared" si="1125"/>
        <v>0.25008025682182988</v>
      </c>
      <c r="M10987" s="512">
        <f>SUM(C10987,C10963,C10939,C10915,C10891,C10867,C10843)/POBLA!$B$18*100000</f>
        <v>498.45305465702876</v>
      </c>
      <c r="N10987" s="42" t="s">
        <v>35</v>
      </c>
      <c r="O10987" s="42">
        <v>534</v>
      </c>
      <c r="P10987" s="42">
        <v>38865</v>
      </c>
    </row>
    <row r="10988" spans="1:16" x14ac:dyDescent="0.25">
      <c r="A10988" s="402" t="s">
        <v>36</v>
      </c>
      <c r="B10988" s="269">
        <v>44350</v>
      </c>
      <c r="C10988" s="1">
        <v>675</v>
      </c>
      <c r="D10988" s="39">
        <f t="shared" si="1119"/>
        <v>54683</v>
      </c>
      <c r="E10988" s="1">
        <v>19</v>
      </c>
      <c r="F10988" s="39">
        <f t="shared" si="1121"/>
        <v>750</v>
      </c>
      <c r="G10988" s="169">
        <f>SUM(C10988,C10964,C10940,C10916,C10892,C10868,C10844,C10820,C10796,C10772,C10748,C10724,C10700,C10676)/POBLA!$B$19*100000</f>
        <v>1581.2624919343414</v>
      </c>
      <c r="H10988" s="258">
        <f t="shared" si="1126"/>
        <v>1.2070881513740801</v>
      </c>
      <c r="I10988" s="310">
        <f t="shared" si="1124"/>
        <v>1908.7232182261953</v>
      </c>
      <c r="J10988" s="552">
        <f t="shared" si="1123"/>
        <v>546.28571428571433</v>
      </c>
      <c r="K10988" s="310">
        <f>J10988/POBLA!$B$19*100000</f>
        <v>107.46716967896994</v>
      </c>
      <c r="L10988" s="202">
        <f t="shared" si="1125"/>
        <v>-9.2548647365923165E-2</v>
      </c>
      <c r="M10988" s="512">
        <f>SUM(C10988,C10964,C10940,C10916,C10892,C10868,C10844)/POBLA!$B$19*100000</f>
        <v>752.27018775278952</v>
      </c>
      <c r="N10988" s="42" t="s">
        <v>36</v>
      </c>
      <c r="O10988" s="42">
        <v>675</v>
      </c>
      <c r="P10988" s="42">
        <v>54683</v>
      </c>
    </row>
    <row r="10989" spans="1:16" x14ac:dyDescent="0.25">
      <c r="A10989" s="402" t="s">
        <v>37</v>
      </c>
      <c r="B10989" s="269">
        <v>44350</v>
      </c>
      <c r="C10989" s="1">
        <v>179</v>
      </c>
      <c r="D10989" s="39">
        <f t="shared" si="1119"/>
        <v>52185</v>
      </c>
      <c r="F10989" s="39">
        <f t="shared" si="1121"/>
        <v>792</v>
      </c>
      <c r="G10989" s="169">
        <f>SUM(C10989,C10965,C10941,C10917,C10893,C10869,C10845,C10821,C10797,C10773,C10749,C10725,C10701,C10677)/POBLA!$B$20*100000</f>
        <v>773.58913639123</v>
      </c>
      <c r="H10989" s="258">
        <f t="shared" si="1126"/>
        <v>0.83871924103172246</v>
      </c>
      <c r="I10989" s="310">
        <f t="shared" si="1124"/>
        <v>648.8240933444381</v>
      </c>
      <c r="J10989" s="552">
        <f t="shared" si="1123"/>
        <v>197.14285714285714</v>
      </c>
      <c r="K10989" s="310">
        <f>J10989/POBLA!$B$20*100000</f>
        <v>53.908650619597907</v>
      </c>
      <c r="L10989" s="202">
        <f t="shared" si="1125"/>
        <v>-4.7619047619047672E-2</v>
      </c>
      <c r="M10989" s="512">
        <f>SUM(C10989,C10965,C10941,C10917,C10893,C10869,C10845)/POBLA!$B$20*100000</f>
        <v>377.36055433718531</v>
      </c>
      <c r="N10989" s="42" t="s">
        <v>37</v>
      </c>
      <c r="O10989" s="42">
        <v>179</v>
      </c>
      <c r="P10989" s="42">
        <v>52185</v>
      </c>
    </row>
    <row r="10990" spans="1:16" x14ac:dyDescent="0.25">
      <c r="A10990" s="402" t="s">
        <v>22</v>
      </c>
      <c r="B10990" s="269">
        <v>44350</v>
      </c>
      <c r="C10990" s="1">
        <v>2961</v>
      </c>
      <c r="D10990" s="39">
        <f t="shared" si="1119"/>
        <v>355025</v>
      </c>
      <c r="E10990" s="1">
        <v>39</v>
      </c>
      <c r="F10990" s="39">
        <f t="shared" si="1121"/>
        <v>5689</v>
      </c>
      <c r="G10990" s="169">
        <f>SUM(C10990,C10966,C10942,C10918,C10894,C10870,C10846,C10822,C10798,C10774,C10750,C10726,C10702,C10678)/POBLA!$B$21*100000</f>
        <v>1161.2032288038347</v>
      </c>
      <c r="H10990" s="258">
        <f t="shared" si="1126"/>
        <v>1.3940659266048816</v>
      </c>
      <c r="I10990" s="310">
        <f t="shared" si="1124"/>
        <v>1618.7938551389982</v>
      </c>
      <c r="J10990" s="552">
        <f t="shared" si="1123"/>
        <v>3111.2857142857142</v>
      </c>
      <c r="K10990" s="310">
        <f>J10990/POBLA!$B$21*100000</f>
        <v>87.978449218551489</v>
      </c>
      <c r="L10990" s="202">
        <f t="shared" si="1125"/>
        <v>0.12926475163330919</v>
      </c>
      <c r="M10990" s="512">
        <f>SUM(C10990,C10966,C10942,C10918,C10894,C10870,C10846)/POBLA!$B$21*100000</f>
        <v>615.8491445298605</v>
      </c>
      <c r="N10990" s="42" t="s">
        <v>22</v>
      </c>
      <c r="O10990" s="42">
        <v>2961</v>
      </c>
      <c r="P10990" s="42">
        <v>355025</v>
      </c>
    </row>
    <row r="10991" spans="1:16" x14ac:dyDescent="0.25">
      <c r="A10991" s="402" t="s">
        <v>38</v>
      </c>
      <c r="B10991" s="269">
        <v>44350</v>
      </c>
      <c r="C10991" s="1">
        <v>684</v>
      </c>
      <c r="D10991" s="39">
        <f t="shared" si="1119"/>
        <v>45509</v>
      </c>
      <c r="E10991" s="1">
        <v>14</v>
      </c>
      <c r="F10991" s="39">
        <f t="shared" si="1121"/>
        <v>548</v>
      </c>
      <c r="G10991" s="169">
        <f>SUM(C10991,C10967,C10943,C10919,C10895,C10871,C10847,C10823,C10799,C10775,C10751,C10727,C10703,C10679)/POBLA!$B$22*100000</f>
        <v>805.57040538150886</v>
      </c>
      <c r="H10991" s="258">
        <f t="shared" si="1126"/>
        <v>1.3773156239077247</v>
      </c>
      <c r="I10991" s="310">
        <f t="shared" si="1124"/>
        <v>1109.5247054896315</v>
      </c>
      <c r="J10991" s="552">
        <f t="shared" si="1123"/>
        <v>549</v>
      </c>
      <c r="K10991" s="310">
        <f>J10991/POBLA!$B$22*100000</f>
        <v>56.117009586911351</v>
      </c>
      <c r="L10991" s="202">
        <f t="shared" si="1125"/>
        <v>-4.8291233283803914E-2</v>
      </c>
      <c r="M10991" s="512">
        <f>SUM(C10991,C10967,C10943,C10919,C10895,C10871,C10847)/POBLA!$B$22*100000</f>
        <v>392.81906710837944</v>
      </c>
      <c r="N10991" s="42" t="s">
        <v>38</v>
      </c>
      <c r="O10991" s="42">
        <v>684</v>
      </c>
      <c r="P10991" s="42">
        <v>45509</v>
      </c>
    </row>
    <row r="10992" spans="1:16" x14ac:dyDescent="0.25">
      <c r="A10992" s="402" t="s">
        <v>39</v>
      </c>
      <c r="B10992" s="269">
        <v>44350</v>
      </c>
      <c r="C10992" s="1">
        <v>108</v>
      </c>
      <c r="D10992" s="39">
        <f t="shared" si="1119"/>
        <v>28712</v>
      </c>
      <c r="E10992" s="1">
        <v>1</v>
      </c>
      <c r="F10992" s="39">
        <f t="shared" si="1121"/>
        <v>423</v>
      </c>
      <c r="G10992" s="169">
        <f>SUM(C10992,C10968,C10944,C10920,C10896,C10872,C10848,C10824,C10800,C10776,C10752,C10728,C10704,C10680)/POBLA!$B$23*100000</f>
        <v>485.77730023186109</v>
      </c>
      <c r="H10992" s="258">
        <f t="shared" si="1126"/>
        <v>0.854726368159204</v>
      </c>
      <c r="I10992" s="310">
        <f t="shared" si="1124"/>
        <v>415.20666756136188</v>
      </c>
      <c r="J10992" s="552">
        <f t="shared" si="1123"/>
        <v>59</v>
      </c>
      <c r="K10992" s="310">
        <f>J10992/POBLA!$B$23*100000</f>
        <v>33.365379177741332</v>
      </c>
      <c r="L10992" s="202">
        <f t="shared" si="1125"/>
        <v>-7.3991031390134521E-2</v>
      </c>
      <c r="M10992" s="512">
        <f>SUM(C10992,C10968,C10944,C10920,C10896,C10872,C10848)/POBLA!$B$23*100000</f>
        <v>233.55765424418934</v>
      </c>
      <c r="N10992" s="42" t="s">
        <v>39</v>
      </c>
      <c r="O10992" s="42">
        <v>108</v>
      </c>
      <c r="P10992" s="42">
        <v>28712</v>
      </c>
    </row>
    <row r="10993" spans="1:16" ht="15.75" thickBot="1" x14ac:dyDescent="0.3">
      <c r="A10993" s="404" t="s">
        <v>40</v>
      </c>
      <c r="B10993" s="271">
        <v>44350</v>
      </c>
      <c r="C10993" s="44">
        <v>902</v>
      </c>
      <c r="D10993" s="177">
        <f t="shared" si="1119"/>
        <v>133013</v>
      </c>
      <c r="E10993" s="44">
        <v>9</v>
      </c>
      <c r="F10993" s="177">
        <f t="shared" si="1121"/>
        <v>1923</v>
      </c>
      <c r="G10993" s="178">
        <f>SUM(C10993,C10969,C10945,C10921,C10897,C10873,C10849,C10825,C10801,C10777,C10753,C10729,C10705,C10681)/POBLA!$B$24*100000</f>
        <v>838.63627780505294</v>
      </c>
      <c r="H10993" s="513">
        <f t="shared" si="1126"/>
        <v>1.4993142736575589</v>
      </c>
      <c r="I10993" s="514">
        <f t="shared" si="1124"/>
        <v>1257.3793417201616</v>
      </c>
      <c r="J10993" s="553">
        <f t="shared" si="1123"/>
        <v>949.57142857142856</v>
      </c>
      <c r="K10993" s="514">
        <f>J10993/POBLA!$B$24*100000</f>
        <v>56.033285137008846</v>
      </c>
      <c r="L10993" s="515">
        <f t="shared" si="1125"/>
        <v>-0.12134831460674156</v>
      </c>
      <c r="M10993" s="516">
        <f>SUM(C10993,C10969,C10945,C10921,C10897,C10873,C10849)/POBLA!$B$24*100000</f>
        <v>392.2329959590619</v>
      </c>
      <c r="N10993" s="42" t="s">
        <v>40</v>
      </c>
      <c r="O10993" s="42">
        <v>902</v>
      </c>
      <c r="P10993" s="42">
        <v>133013</v>
      </c>
    </row>
    <row r="10994" spans="1:16" x14ac:dyDescent="0.25">
      <c r="A10994" s="397" t="s">
        <v>16</v>
      </c>
      <c r="B10994" s="269">
        <v>44351</v>
      </c>
      <c r="C10994" s="608">
        <v>10412</v>
      </c>
      <c r="D10994" s="175">
        <f t="shared" si="1119"/>
        <v>1657617</v>
      </c>
      <c r="E10994" s="227">
        <v>253</v>
      </c>
      <c r="F10994" s="175">
        <f t="shared" ref="F10994:F11017" si="1127">E10994+F10970</f>
        <v>41247</v>
      </c>
      <c r="G10994" s="176">
        <f>SUM(C10994,C10970,C10946,C10922,C10898,C10874,C10850,C10826,C10802,C10778,C10754,C10730,C10706,C10682)/POBLA!$B$1*100000</f>
        <v>868.66071026964539</v>
      </c>
      <c r="H10994" s="313">
        <f t="shared" si="1126"/>
        <v>1.0724828435685378</v>
      </c>
      <c r="I10994" s="314">
        <f>G10994*H10994</f>
        <v>931.62370864625507</v>
      </c>
      <c r="J10994" s="551">
        <f>AVERAGE(C10994,C10970,C10946,C10922,C10898,C10874,C10850)</f>
        <v>10680.142857142857</v>
      </c>
      <c r="K10994" s="314">
        <f>J10994/POBLA!$B$1*100000</f>
        <v>60.886249401580301</v>
      </c>
      <c r="L10994" s="510">
        <f t="shared" si="1125"/>
        <v>-3.6734010204607537E-2</v>
      </c>
      <c r="M10994" s="511">
        <f>SUM(C10994,C10970,C10946,C10922,C10898,C10874,C10850)/POBLA!$B$1*100000</f>
        <v>426.20374581106211</v>
      </c>
      <c r="N10994" s="42" t="s">
        <v>270</v>
      </c>
      <c r="O10994" s="42">
        <v>10412</v>
      </c>
      <c r="P10994" s="42">
        <v>1657617</v>
      </c>
    </row>
    <row r="10995" spans="1:16" x14ac:dyDescent="0.25">
      <c r="A10995" s="402" t="s">
        <v>43</v>
      </c>
      <c r="B10995" s="269">
        <v>44351</v>
      </c>
      <c r="C10995" s="608">
        <v>1951</v>
      </c>
      <c r="D10995" s="39">
        <f t="shared" si="1119"/>
        <v>426791</v>
      </c>
      <c r="E10995" s="1">
        <v>39</v>
      </c>
      <c r="F10995" s="39">
        <f t="shared" si="1127"/>
        <v>9330</v>
      </c>
      <c r="G10995" s="169">
        <f>SUM(C10995,C10971,C10947,C10923,C10899,C10875,C10851,C10827,C10803,C10779,C10755,C10731,C10707,C10683)/POBLA!$B$2*100000</f>
        <v>1096.8427445811383</v>
      </c>
      <c r="H10995" s="258">
        <f t="shared" si="1126"/>
        <v>0.96920159737983735</v>
      </c>
      <c r="I10995" s="310">
        <f t="shared" ref="I10995:I11001" si="1128">G10995*H10995</f>
        <v>1063.0617401225243</v>
      </c>
      <c r="J10995" s="552">
        <f t="shared" ref="J10995:J11017" si="1129">AVERAGE(C10995,C10971,C10947,C10923,C10899,C10875,C10851)</f>
        <v>2104.2857142857142</v>
      </c>
      <c r="K10995" s="310">
        <f>J10995/POBLA!$B$2*100000</f>
        <v>68.417682473396297</v>
      </c>
      <c r="L10995" s="202">
        <f t="shared" si="1125"/>
        <v>-0.22494080505130232</v>
      </c>
      <c r="M10995" s="512">
        <f>SUM(C10995,C10971,C10947,C10923,C10899,C10875,C10851)/POBLA!$B$2*100000</f>
        <v>478.92377731377405</v>
      </c>
      <c r="N10995" s="42" t="s">
        <v>43</v>
      </c>
      <c r="O10995" s="42">
        <v>1951</v>
      </c>
      <c r="P10995" s="42">
        <v>426791</v>
      </c>
    </row>
    <row r="10996" spans="1:16" x14ac:dyDescent="0.25">
      <c r="A10996" s="402" t="s">
        <v>28</v>
      </c>
      <c r="B10996" s="269">
        <v>44351</v>
      </c>
      <c r="C10996" s="608">
        <v>467</v>
      </c>
      <c r="D10996" s="39">
        <f t="shared" si="1119"/>
        <v>25447</v>
      </c>
      <c r="E10996" s="1">
        <v>4</v>
      </c>
      <c r="F10996" s="39">
        <f t="shared" si="1127"/>
        <v>192</v>
      </c>
      <c r="G10996" s="169">
        <f>SUM(C10996,C10972,C10948,C10924,C10900,C10876,C10852,C10828,C10804,C10780,C10756,C10732,C10708,C10684)/POBLA!$B$3*100000</f>
        <v>1350.3820064606512</v>
      </c>
      <c r="H10996" s="258">
        <f t="shared" si="1126"/>
        <v>1.4188163884673748</v>
      </c>
      <c r="I10996" s="310">
        <f t="shared" si="1128"/>
        <v>1915.9441214578283</v>
      </c>
      <c r="J10996" s="552">
        <f t="shared" si="1129"/>
        <v>403.42857142857144</v>
      </c>
      <c r="K10996" s="310">
        <f>J10996/POBLA!$B$3*100000</f>
        <v>97.109212789530915</v>
      </c>
      <c r="L10996" s="202">
        <f t="shared" si="1125"/>
        <v>1.3639626704953445E-2</v>
      </c>
      <c r="M10996" s="512">
        <f>SUM(C10996,C10972,C10948,C10924,C10900,C10876,C10852)/POBLA!$B$3*100000</f>
        <v>679.76448952671637</v>
      </c>
      <c r="N10996" s="42" t="s">
        <v>28</v>
      </c>
      <c r="O10996" s="42">
        <v>467</v>
      </c>
      <c r="P10996" s="42">
        <v>25447</v>
      </c>
    </row>
    <row r="10997" spans="1:16" x14ac:dyDescent="0.25">
      <c r="A10997" s="402" t="s">
        <v>15</v>
      </c>
      <c r="B10997" s="269">
        <v>44351</v>
      </c>
      <c r="C10997" s="608">
        <v>664</v>
      </c>
      <c r="D10997" s="39">
        <f t="shared" si="1119"/>
        <v>61297</v>
      </c>
      <c r="E10997" s="1">
        <v>21</v>
      </c>
      <c r="F10997" s="39">
        <f t="shared" si="1127"/>
        <v>1291</v>
      </c>
      <c r="G10997" s="169">
        <f>SUM(C10997,C10973,C10949,C10925,C10901,C10877,C10853,C10829,C10805,C10781,C10757,C10733,C10709,C10685)/POBLA!$B$4*100000</f>
        <v>752.31976329572842</v>
      </c>
      <c r="H10997" s="258">
        <f t="shared" si="1126"/>
        <v>1.6196604110813226</v>
      </c>
      <c r="I10997" s="310">
        <f t="shared" si="1128"/>
        <v>1218.5025370841629</v>
      </c>
      <c r="J10997" s="552">
        <f t="shared" si="1129"/>
        <v>660.28571428571433</v>
      </c>
      <c r="K10997" s="310">
        <f>J10997/POBLA!$B$4*100000</f>
        <v>54.816375223899747</v>
      </c>
      <c r="L10997" s="202">
        <f t="shared" si="1125"/>
        <v>4.0990990990990905E-2</v>
      </c>
      <c r="M10997" s="512">
        <f>SUM(C10997,C10973,C10949,C10925,C10901,C10877,C10853)/POBLA!$B$4*100000</f>
        <v>383.71462656729824</v>
      </c>
      <c r="N10997" s="42" t="s">
        <v>15</v>
      </c>
      <c r="O10997" s="42">
        <v>664</v>
      </c>
      <c r="P10997" s="42">
        <v>61297</v>
      </c>
    </row>
    <row r="10998" spans="1:16" x14ac:dyDescent="0.25">
      <c r="A10998" s="402" t="s">
        <v>29</v>
      </c>
      <c r="B10998" s="269">
        <v>44351</v>
      </c>
      <c r="C10998" s="608">
        <v>490</v>
      </c>
      <c r="D10998" s="39">
        <f t="shared" si="1119"/>
        <v>64762</v>
      </c>
      <c r="E10998" s="1">
        <v>6</v>
      </c>
      <c r="F10998" s="39">
        <f t="shared" si="1127"/>
        <v>1072</v>
      </c>
      <c r="G10998" s="169">
        <f>SUM(C10998,C10974,C10950,C10926,C10902,C10878,C10854,C10830,C10806,C10782,C10758,C10734,C10710,C10686)/POBLA!$B$5*100000</f>
        <v>841.52673531568962</v>
      </c>
      <c r="H10998" s="258">
        <f t="shared" si="1126"/>
        <v>1.516448326055313</v>
      </c>
      <c r="I10998" s="310">
        <f t="shared" si="1128"/>
        <v>1276.1318091002699</v>
      </c>
      <c r="J10998" s="552">
        <f t="shared" si="1129"/>
        <v>414.42857142857144</v>
      </c>
      <c r="K10998" s="310">
        <f>J10998/POBLA!$B$5*100000</f>
        <v>66.951952915306364</v>
      </c>
      <c r="L10998" s="202">
        <f t="shared" si="1125"/>
        <v>0.25693240901213166</v>
      </c>
      <c r="M10998" s="512">
        <f>SUM(C10998,C10974,C10950,C10926,C10902,C10878,C10854)/POBLA!$B$5*100000</f>
        <v>468.66367040714454</v>
      </c>
      <c r="N10998" s="42" t="s">
        <v>29</v>
      </c>
      <c r="O10998" s="42">
        <v>490</v>
      </c>
      <c r="P10998" s="42">
        <v>64762</v>
      </c>
    </row>
    <row r="10999" spans="1:16" x14ac:dyDescent="0.25">
      <c r="A10999" s="402" t="s">
        <v>30</v>
      </c>
      <c r="B10999" s="269">
        <v>44351</v>
      </c>
      <c r="C10999" s="608">
        <v>562</v>
      </c>
      <c r="D10999" s="39">
        <f t="shared" si="1119"/>
        <v>53384</v>
      </c>
      <c r="F10999" s="39">
        <f t="shared" si="1127"/>
        <v>637</v>
      </c>
      <c r="G10999" s="169">
        <f>SUM(C10999,C10975,C10951,C10927,C10903,C10879,C10855,C10831,C10807,C10783,C10759,C10735,C10711,C10687)/POBLA!$B$6*100000</f>
        <v>940.66654116118741</v>
      </c>
      <c r="H10999" s="258">
        <f t="shared" si="1126"/>
        <v>2.5558787878787879</v>
      </c>
      <c r="I10999" s="310">
        <f t="shared" si="1128"/>
        <v>2404.2296590211877</v>
      </c>
      <c r="J10999" s="552">
        <f t="shared" si="1129"/>
        <v>520</v>
      </c>
      <c r="K10999" s="310">
        <f>J10999/POBLA!$B$6*100000</f>
        <v>46.395390439516021</v>
      </c>
      <c r="L10999" s="202">
        <f t="shared" si="1125"/>
        <v>-0.47269303201506596</v>
      </c>
      <c r="M10999" s="512">
        <f>SUM(C10999,C10975,C10951,C10927,C10903,C10879,C10855)/POBLA!$B$6*100000</f>
        <v>324.76773307661216</v>
      </c>
      <c r="N10999" s="42" t="s">
        <v>30</v>
      </c>
      <c r="O10999" s="42">
        <v>562</v>
      </c>
      <c r="P10999" s="42">
        <v>53384</v>
      </c>
    </row>
    <row r="11000" spans="1:16" x14ac:dyDescent="0.25">
      <c r="A11000" s="402" t="s">
        <v>20</v>
      </c>
      <c r="B11000" s="269">
        <v>44351</v>
      </c>
      <c r="C11000" s="608">
        <v>5357</v>
      </c>
      <c r="D11000" s="39">
        <f t="shared" si="1119"/>
        <v>332528</v>
      </c>
      <c r="E11000" s="1">
        <v>53</v>
      </c>
      <c r="F11000" s="39">
        <f t="shared" si="1127"/>
        <v>4085</v>
      </c>
      <c r="G11000" s="169">
        <f>SUM(C11000,C10976,C10952,C10928,C10904,C10880,C10856,C10832,C10808,C10784,C10760,C10736,C10712,C10688)/POBLA!$B$7*100000</f>
        <v>1563.9883524578177</v>
      </c>
      <c r="H11000" s="258">
        <f t="shared" si="1126"/>
        <v>1.6389299150062699</v>
      </c>
      <c r="I11000" s="310">
        <f t="shared" si="1128"/>
        <v>2563.2672975644873</v>
      </c>
      <c r="J11000" s="552">
        <f t="shared" si="1129"/>
        <v>4435</v>
      </c>
      <c r="K11000" s="310">
        <f>J11000/POBLA!$B$7*100000</f>
        <v>117.93801273783723</v>
      </c>
      <c r="L11000" s="202">
        <f t="shared" si="1125"/>
        <v>0.11801354076634984</v>
      </c>
      <c r="M11000" s="512">
        <f>SUM(C11000,C10976,C10952,C10928,C10904,C10880,C10856)/POBLA!$B$7*100000</f>
        <v>825.5660891648605</v>
      </c>
      <c r="N11000" s="42" t="s">
        <v>20</v>
      </c>
      <c r="O11000" s="42">
        <v>5357</v>
      </c>
      <c r="P11000" s="42">
        <v>332528</v>
      </c>
    </row>
    <row r="11001" spans="1:16" x14ac:dyDescent="0.25">
      <c r="A11001" s="402" t="s">
        <v>31</v>
      </c>
      <c r="B11001" s="269">
        <v>44351</v>
      </c>
      <c r="C11001" s="608">
        <v>1038</v>
      </c>
      <c r="D11001" s="39">
        <f t="shared" si="1119"/>
        <v>90358</v>
      </c>
      <c r="E11001" s="1">
        <v>10</v>
      </c>
      <c r="F11001" s="39">
        <f t="shared" si="1127"/>
        <v>1386</v>
      </c>
      <c r="G11001" s="169">
        <f>SUM(C11001,C10977,C10953,C10929,C10905,C10881,C10857,C10833,C10809,C10785,C10761,C10737,C10713,C10689)/POBLA!$B$8*100000</f>
        <v>986.03063145355463</v>
      </c>
      <c r="H11001" s="258">
        <f t="shared" si="1126"/>
        <v>1.3731913183279743</v>
      </c>
      <c r="I11001" s="310">
        <f t="shared" si="1128"/>
        <v>1354.0087027174716</v>
      </c>
      <c r="J11001" s="552">
        <f t="shared" si="1129"/>
        <v>1029.5714285714287</v>
      </c>
      <c r="K11001" s="310">
        <f>J11001/POBLA!$B$8*100000</f>
        <v>74.285743146555248</v>
      </c>
      <c r="L11001" s="202">
        <f t="shared" si="1125"/>
        <v>0.11580740052639737</v>
      </c>
      <c r="M11001" s="512">
        <f>SUM(C11001,C10977,C10953,C10929,C10905,C10881,C10857)/POBLA!$B$8*100000</f>
        <v>520.00020202588667</v>
      </c>
      <c r="N11001" s="42" t="s">
        <v>31</v>
      </c>
      <c r="O11001" s="42">
        <v>1038</v>
      </c>
      <c r="P11001" s="42">
        <v>90358</v>
      </c>
    </row>
    <row r="11002" spans="1:16" x14ac:dyDescent="0.25">
      <c r="A11002" s="402" t="s">
        <v>41</v>
      </c>
      <c r="B11002" s="269">
        <v>44351</v>
      </c>
      <c r="C11002" s="608">
        <v>713</v>
      </c>
      <c r="D11002" s="39">
        <f t="shared" si="1119"/>
        <v>34193</v>
      </c>
      <c r="E11002" s="1">
        <v>15</v>
      </c>
      <c r="F11002" s="39">
        <f t="shared" si="1127"/>
        <v>541</v>
      </c>
      <c r="G11002" s="169">
        <f>SUM(C11002,C10978,C10954,C10930,C10906,C10882,C10858,C10834,C10810,C10786,C10762,C10738,C10714,C10690)/POBLA!$B$9*100000</f>
        <v>2144.9355825331754</v>
      </c>
      <c r="H11002" s="258">
        <f t="shared" si="1126"/>
        <v>0.84035735094193043</v>
      </c>
      <c r="I11002" s="310">
        <f>G11002*H11002</f>
        <v>1802.5123840786657</v>
      </c>
      <c r="J11002" s="552">
        <f t="shared" si="1129"/>
        <v>906.28571428571433</v>
      </c>
      <c r="K11002" s="310">
        <f>J11002/POBLA!$B$9*100000</f>
        <v>149.75151964509078</v>
      </c>
      <c r="L11002" s="202">
        <f>(SUM(C11002,C10978,C10954,C10930,C10906,C10882,C10858)/SUM(C10834,C10810,C10786,C10762,C10738,C10714,C10690))-1</f>
        <v>-4.4146451710110002E-2</v>
      </c>
      <c r="M11002" s="512">
        <f>SUM(C11002,C10978,C10954,C10930,C10906,C10882,C10858)/POBLA!$B$9*100000</f>
        <v>1048.2606375156356</v>
      </c>
      <c r="N11002" s="42" t="s">
        <v>41</v>
      </c>
      <c r="O11002" s="42">
        <v>713</v>
      </c>
      <c r="P11002" s="42">
        <v>34193</v>
      </c>
    </row>
    <row r="11003" spans="1:16" x14ac:dyDescent="0.25">
      <c r="A11003" s="402" t="s">
        <v>32</v>
      </c>
      <c r="B11003" s="269">
        <v>44351</v>
      </c>
      <c r="C11003" s="608">
        <v>247</v>
      </c>
      <c r="D11003" s="39">
        <f t="shared" si="1119"/>
        <v>29381</v>
      </c>
      <c r="F11003" s="39">
        <f t="shared" si="1127"/>
        <v>1092</v>
      </c>
      <c r="G11003" s="169">
        <f>SUM(C11003,C10979,C10955,C10931,C10907,C10883,C10859,C10835,C10811,C10787,C10763,C10739,C10715,C10691)/POBLA!$B$10*100000</f>
        <v>320.02345368481002</v>
      </c>
      <c r="H11003" s="258">
        <f t="shared" si="1126"/>
        <v>1.7533759772565742</v>
      </c>
      <c r="I11003" s="310">
        <f t="shared" ref="I11003:I11017" si="1130">G11003*H11003</f>
        <v>561.1214358496278</v>
      </c>
      <c r="J11003" s="552">
        <f t="shared" si="1129"/>
        <v>211</v>
      </c>
      <c r="K11003" s="310">
        <f>J11003/POBLA!$B$10*100000</f>
        <v>27.371280392174668</v>
      </c>
      <c r="L11003" s="202">
        <f t="shared" ref="L11003:L11025" si="1131">(SUM(C11003,C10979,C10955,C10931,C10907,C10883,C10859)/SUM(C10835,C10811,C10787,C10763,C10739,C10715,C10691))-1</f>
        <v>0.49191919191919187</v>
      </c>
      <c r="M11003" s="512">
        <f>SUM(C11003,C10979,C10955,C10931,C10907,C10883,C10859)/POBLA!$B$10*100000</f>
        <v>191.59896274522268</v>
      </c>
      <c r="N11003" s="42" t="s">
        <v>32</v>
      </c>
      <c r="O11003" s="42">
        <v>247</v>
      </c>
      <c r="P11003" s="42">
        <v>29381</v>
      </c>
    </row>
    <row r="11004" spans="1:16" x14ac:dyDescent="0.25">
      <c r="A11004" s="402" t="s">
        <v>33</v>
      </c>
      <c r="B11004" s="269">
        <v>44351</v>
      </c>
      <c r="C11004" s="608">
        <v>458</v>
      </c>
      <c r="D11004" s="39">
        <f t="shared" si="1119"/>
        <v>44679</v>
      </c>
      <c r="E11004" s="1">
        <v>7</v>
      </c>
      <c r="F11004" s="39">
        <f t="shared" si="1127"/>
        <v>592</v>
      </c>
      <c r="G11004" s="169">
        <f>SUM(C11004,C10980,C10956,C10932,C10908,C10884,C10860,C10836,C10812,C10788,C10764,C10740,C10716,C10692)/POBLA!$B$11*100000</f>
        <v>2073.2197261374668</v>
      </c>
      <c r="H11004" s="258">
        <f t="shared" si="1126"/>
        <v>0.94710680601580421</v>
      </c>
      <c r="I11004" s="310">
        <f t="shared" si="1130"/>
        <v>1963.5605129910164</v>
      </c>
      <c r="J11004" s="552">
        <f t="shared" si="1129"/>
        <v>420.57142857142856</v>
      </c>
      <c r="K11004" s="310">
        <f>J11004/POBLA!$B$11*100000</f>
        <v>117.33777176209129</v>
      </c>
      <c r="L11004" s="202">
        <f t="shared" si="1131"/>
        <v>-0.34388232672164032</v>
      </c>
      <c r="M11004" s="512">
        <f>SUM(C11004,C10980,C10956,C10932,C10908,C10884,C10860)/POBLA!$B$11*100000</f>
        <v>821.36440233463895</v>
      </c>
      <c r="N11004" s="42" t="s">
        <v>33</v>
      </c>
      <c r="O11004" s="42">
        <v>458</v>
      </c>
      <c r="P11004" s="42">
        <v>44679</v>
      </c>
    </row>
    <row r="11005" spans="1:16" x14ac:dyDescent="0.25">
      <c r="A11005" s="402" t="s">
        <v>21</v>
      </c>
      <c r="B11005" s="269">
        <v>44351</v>
      </c>
      <c r="C11005" s="608">
        <v>219</v>
      </c>
      <c r="D11005" s="39">
        <f t="shared" si="1119"/>
        <v>18152</v>
      </c>
      <c r="E11005" s="1">
        <v>12</v>
      </c>
      <c r="F11005" s="39">
        <f t="shared" si="1127"/>
        <v>546</v>
      </c>
      <c r="G11005" s="169">
        <f>SUM(C11005,C10981,C10957,C10933,C10909,C10885,C10861,C10837,C10813,C10789,C10765,C10741,C10717,C10693)/POBLA!$B$12*100000</f>
        <v>608.33835199768248</v>
      </c>
      <c r="H11005" s="258">
        <f t="shared" si="1126"/>
        <v>1.4301075268817205</v>
      </c>
      <c r="I11005" s="310">
        <f t="shared" si="1130"/>
        <v>869.98925608270724</v>
      </c>
      <c r="J11005" s="552">
        <f t="shared" si="1129"/>
        <v>170.71428571428572</v>
      </c>
      <c r="K11005" s="310">
        <f>J11005/POBLA!$B$12*100000</f>
        <v>43.380136689177142</v>
      </c>
      <c r="L11005" s="202">
        <f t="shared" si="1131"/>
        <v>-3.3361134278565574E-3</v>
      </c>
      <c r="M11005" s="512">
        <f>SUM(C11005,C10981,C10957,C10933,C10909,C10885,C10861)/POBLA!$B$12*100000</f>
        <v>303.66095682424003</v>
      </c>
      <c r="N11005" s="42" t="s">
        <v>21</v>
      </c>
      <c r="O11005" s="42">
        <v>219</v>
      </c>
      <c r="P11005" s="42">
        <v>18152</v>
      </c>
    </row>
    <row r="11006" spans="1:16" x14ac:dyDescent="0.25">
      <c r="A11006" s="402" t="s">
        <v>17</v>
      </c>
      <c r="B11006" s="269">
        <v>44351</v>
      </c>
      <c r="C11006" s="608">
        <v>733</v>
      </c>
      <c r="D11006" s="39">
        <f t="shared" si="1119"/>
        <v>124293</v>
      </c>
      <c r="E11006" s="1">
        <v>23</v>
      </c>
      <c r="F11006" s="39">
        <f t="shared" si="1127"/>
        <v>2715</v>
      </c>
      <c r="G11006" s="169">
        <f>SUM(C11006,C10982,C10958,C10934,C10910,C10886,C10862,C10838,C10814,C10790,C10766,C10742,C10718,C10694)/POBLA!$B$13*100000</f>
        <v>534.28111205232483</v>
      </c>
      <c r="H11006" s="258">
        <f t="shared" si="1126"/>
        <v>0.88300257410944116</v>
      </c>
      <c r="I11006" s="310">
        <f t="shared" si="1130"/>
        <v>471.77159724025762</v>
      </c>
      <c r="J11006" s="552">
        <f t="shared" si="1129"/>
        <v>789.28571428571433</v>
      </c>
      <c r="K11006" s="310">
        <f>J11006/POBLA!$B$13*100000</f>
        <v>39.655863189353482</v>
      </c>
      <c r="L11006" s="202">
        <f t="shared" si="1131"/>
        <v>8.1424936386768509E-2</v>
      </c>
      <c r="M11006" s="512">
        <f>SUM(C11006,C10982,C10958,C10934,C10910,C10886,C10862)/POBLA!$B$13*100000</f>
        <v>277.59104232547435</v>
      </c>
      <c r="N11006" s="42" t="s">
        <v>17</v>
      </c>
      <c r="O11006" s="42">
        <v>733</v>
      </c>
      <c r="P11006" s="42">
        <v>124293</v>
      </c>
    </row>
    <row r="11007" spans="1:16" x14ac:dyDescent="0.25">
      <c r="A11007" s="402" t="s">
        <v>23</v>
      </c>
      <c r="B11007" s="269">
        <v>44351</v>
      </c>
      <c r="C11007" s="608">
        <v>168</v>
      </c>
      <c r="D11007" s="39">
        <f t="shared" si="1119"/>
        <v>21150</v>
      </c>
      <c r="E11007" s="1">
        <v>6</v>
      </c>
      <c r="F11007" s="39">
        <f t="shared" si="1127"/>
        <v>317</v>
      </c>
      <c r="G11007" s="169">
        <f>SUM(C11007,C10983,C10959,C10935,C10911,C10887,C10863,C10839,C10815,C10791,C10767,C10743,C10719,C10695)/POBLA!$B$14*100000</f>
        <v>193.21427042386628</v>
      </c>
      <c r="H11007" s="258">
        <f t="shared" si="1126"/>
        <v>1.1425222691045476</v>
      </c>
      <c r="I11007" s="310">
        <f t="shared" si="1130"/>
        <v>220.75160666805539</v>
      </c>
      <c r="J11007" s="552">
        <f t="shared" si="1129"/>
        <v>182</v>
      </c>
      <c r="K11007" s="310">
        <f>J11007/POBLA!$B$14*100000</f>
        <v>14.429625448150867</v>
      </c>
      <c r="L11007" s="202">
        <f t="shared" si="1131"/>
        <v>9.5442820292347408E-2</v>
      </c>
      <c r="M11007" s="512">
        <f>SUM(C11007,C10983,C10959,C10935,C10911,C10887,C10863)/POBLA!$B$14*100000</f>
        <v>101.00737813705607</v>
      </c>
      <c r="N11007" s="42" t="s">
        <v>23</v>
      </c>
      <c r="O11007" s="42">
        <v>168</v>
      </c>
      <c r="P11007" s="42">
        <v>21150</v>
      </c>
    </row>
    <row r="11008" spans="1:16" x14ac:dyDescent="0.25">
      <c r="A11008" s="402" t="s">
        <v>19</v>
      </c>
      <c r="B11008" s="269">
        <v>44351</v>
      </c>
      <c r="C11008" s="608">
        <v>617</v>
      </c>
      <c r="D11008" s="39">
        <f t="shared" si="1119"/>
        <v>93332</v>
      </c>
      <c r="E11008" s="1">
        <v>4</v>
      </c>
      <c r="F11008" s="39">
        <f t="shared" si="1127"/>
        <v>1392</v>
      </c>
      <c r="G11008" s="169">
        <f>SUM(C11008,C10984,C10960,C10936,C10912,C10888,C10864,C10840,C10816,C10792,C10768,C10744,C10720,C10696)/POBLA!$B$15*100000</f>
        <v>1680.1268565800829</v>
      </c>
      <c r="H11008" s="258">
        <f t="shared" si="1126"/>
        <v>1.373000246123554</v>
      </c>
      <c r="I11008" s="310">
        <f t="shared" si="1130"/>
        <v>2306.8145876032468</v>
      </c>
      <c r="J11008" s="552">
        <f t="shared" si="1129"/>
        <v>715.71428571428567</v>
      </c>
      <c r="K11008" s="310">
        <f>J11008/POBLA!$B$15*100000</f>
        <v>107.77904392458564</v>
      </c>
      <c r="L11008" s="202">
        <f t="shared" si="1131"/>
        <v>-0.18496827720839437</v>
      </c>
      <c r="M11008" s="512">
        <f>SUM(C11008,C10984,C10960,C10936,C10912,C10888,C10864)/POBLA!$B$15*100000</f>
        <v>754.45330747209948</v>
      </c>
      <c r="N11008" s="42" t="s">
        <v>19</v>
      </c>
      <c r="O11008" s="42">
        <v>617</v>
      </c>
      <c r="P11008" s="42">
        <v>93332</v>
      </c>
    </row>
    <row r="11009" spans="1:16" x14ac:dyDescent="0.25">
      <c r="A11009" s="402" t="s">
        <v>18</v>
      </c>
      <c r="B11009" s="269">
        <v>44351</v>
      </c>
      <c r="C11009" s="608">
        <v>468</v>
      </c>
      <c r="D11009" s="39">
        <f t="shared" si="1119"/>
        <v>76235</v>
      </c>
      <c r="E11009" s="1">
        <v>16</v>
      </c>
      <c r="F11009" s="39">
        <f t="shared" si="1127"/>
        <v>1685</v>
      </c>
      <c r="G11009" s="169">
        <f>SUM(C11009,C10985,C10961,C10937,C10913,C10889,C10865,C10841,C10817,C10793,C10769,C10745,C10721,C10697)/POBLA!$B$16*100000</f>
        <v>931.23419964954985</v>
      </c>
      <c r="H11009" s="258">
        <f t="shared" si="1126"/>
        <v>1.1931448157669238</v>
      </c>
      <c r="I11009" s="310">
        <f t="shared" si="1130"/>
        <v>1111.0972575767209</v>
      </c>
      <c r="J11009" s="552">
        <f t="shared" si="1129"/>
        <v>464.85714285714283</v>
      </c>
      <c r="K11009" s="310">
        <f>J11009/POBLA!$B$16*100000</f>
        <v>62.179096434925007</v>
      </c>
      <c r="L11009" s="202">
        <f t="shared" si="1131"/>
        <v>-0.12243797195253503</v>
      </c>
      <c r="M11009" s="512">
        <f>SUM(C11009,C10985,C10961,C10937,C10913,C10889,C10865)/POBLA!$B$16*100000</f>
        <v>435.25367504447502</v>
      </c>
      <c r="N11009" s="42" t="s">
        <v>18</v>
      </c>
      <c r="O11009" s="42">
        <v>468</v>
      </c>
      <c r="P11009" s="42">
        <v>76235</v>
      </c>
    </row>
    <row r="11010" spans="1:16" x14ac:dyDescent="0.25">
      <c r="A11010" s="402" t="s">
        <v>34</v>
      </c>
      <c r="B11010" s="269">
        <v>44351</v>
      </c>
      <c r="C11010" s="608">
        <v>652</v>
      </c>
      <c r="D11010" s="39">
        <f t="shared" si="1119"/>
        <v>48072</v>
      </c>
      <c r="E11010" s="1">
        <v>6</v>
      </c>
      <c r="F11010" s="39">
        <f t="shared" si="1127"/>
        <v>1441</v>
      </c>
      <c r="G11010" s="169">
        <f>SUM(C11010,C10986,C10962,C10938,C10914,C10890,C10866,C10842,C10818,C10794,C10770,C10746,C10722,C10698)/POBLA!$B$17*100000</f>
        <v>510.32120960659142</v>
      </c>
      <c r="H11010" s="258">
        <f t="shared" ref="H11010:H11033" si="1132">SUM(C11010,C10986,C10962,C10938,C10914,C10890,C10866,C10842,C10818,C10794,C10770,C10746,C10722,C10698)/SUM(C10674,C10650,C10626,C10602,C10578,C10554,C10530,C10506,C10482,C10458,C10434,C10410,C10386,C10362)</f>
        <v>1.5652454780361758</v>
      </c>
      <c r="I11010" s="310">
        <f t="shared" si="1130"/>
        <v>798.77796568266865</v>
      </c>
      <c r="J11010" s="552">
        <f t="shared" si="1129"/>
        <v>559.28571428571433</v>
      </c>
      <c r="K11010" s="310">
        <f>J11010/POBLA!$B$17*100000</f>
        <v>39.264735483556507</v>
      </c>
      <c r="L11010" s="202">
        <f t="shared" si="1131"/>
        <v>0.16726296958855102</v>
      </c>
      <c r="M11010" s="512">
        <f>SUM(C11010,C10986,C10962,C10938,C10914,C10890,C10866)/POBLA!$B$17*100000</f>
        <v>274.85314838489552</v>
      </c>
      <c r="N11010" s="42" t="s">
        <v>34</v>
      </c>
      <c r="O11010" s="42">
        <v>652</v>
      </c>
      <c r="P11010" s="42">
        <v>48072</v>
      </c>
    </row>
    <row r="11011" spans="1:16" x14ac:dyDescent="0.25">
      <c r="A11011" s="402" t="s">
        <v>35</v>
      </c>
      <c r="B11011" s="269">
        <v>44351</v>
      </c>
      <c r="C11011" s="608">
        <v>410</v>
      </c>
      <c r="D11011" s="39">
        <f t="shared" si="1119"/>
        <v>39275</v>
      </c>
      <c r="E11011" s="1">
        <v>8</v>
      </c>
      <c r="F11011" s="39">
        <f t="shared" si="1127"/>
        <v>663</v>
      </c>
      <c r="G11011" s="169">
        <f>SUM(C11011,C10987,C10963,C10939,C10915,C10891,C10867,C10843,C10819,C10795,C10771,C10747,C10723,C10699)/POBLA!$B$18*100000</f>
        <v>859.94032387928064</v>
      </c>
      <c r="H11011" s="258">
        <f t="shared" si="1132"/>
        <v>1.0186504927975739</v>
      </c>
      <c r="I11011" s="310">
        <f t="shared" si="1130"/>
        <v>875.97863469613458</v>
      </c>
      <c r="J11011" s="552">
        <f t="shared" si="1129"/>
        <v>483.28571428571428</v>
      </c>
      <c r="K11011" s="310">
        <f>J11011/POBLA!$B$18*100000</f>
        <v>61.863184529485949</v>
      </c>
      <c r="L11011" s="202">
        <f t="shared" si="1131"/>
        <v>1.4392803598200832E-2</v>
      </c>
      <c r="M11011" s="512">
        <f>SUM(C11011,C10987,C10963,C10939,C10915,C10891,C10867)/POBLA!$B$18*100000</f>
        <v>433.04229170640173</v>
      </c>
      <c r="N11011" s="42" t="s">
        <v>35</v>
      </c>
      <c r="O11011" s="42">
        <v>410</v>
      </c>
      <c r="P11011" s="42">
        <v>39275</v>
      </c>
    </row>
    <row r="11012" spans="1:16" x14ac:dyDescent="0.25">
      <c r="A11012" s="402" t="s">
        <v>36</v>
      </c>
      <c r="B11012" s="269">
        <v>44351</v>
      </c>
      <c r="C11012" s="608">
        <v>559</v>
      </c>
      <c r="D11012" s="39">
        <f t="shared" si="1119"/>
        <v>55242</v>
      </c>
      <c r="E11012" s="1">
        <v>8</v>
      </c>
      <c r="F11012" s="39">
        <f t="shared" si="1127"/>
        <v>758</v>
      </c>
      <c r="G11012" s="169">
        <f>SUM(C11012,C10988,C10964,C10940,C10916,C10892,C10868,C10844,C10820,C10796,C10772,C10748,C10724,C10700)/POBLA!$B$19*100000</f>
        <v>1537.5899025825845</v>
      </c>
      <c r="H11012" s="258">
        <f t="shared" si="1132"/>
        <v>1.1183288024037774</v>
      </c>
      <c r="I11012" s="310">
        <f t="shared" si="1130"/>
        <v>1719.5310743433224</v>
      </c>
      <c r="J11012" s="552">
        <f t="shared" si="1129"/>
        <v>535</v>
      </c>
      <c r="K11012" s="310">
        <f>J11012/POBLA!$B$19*100000</f>
        <v>105.24700587022554</v>
      </c>
      <c r="L11012" s="202">
        <f t="shared" si="1131"/>
        <v>-8.0078604765413952E-2</v>
      </c>
      <c r="M11012" s="512">
        <f>SUM(C11012,C10988,C10964,C10940,C10916,C10892,C10868)/POBLA!$B$19*100000</f>
        <v>736.72904109157867</v>
      </c>
      <c r="N11012" s="42" t="s">
        <v>36</v>
      </c>
      <c r="O11012" s="42">
        <v>559</v>
      </c>
      <c r="P11012" s="42">
        <v>55242</v>
      </c>
    </row>
    <row r="11013" spans="1:16" x14ac:dyDescent="0.25">
      <c r="A11013" s="402" t="s">
        <v>37</v>
      </c>
      <c r="B11013" s="269">
        <v>44351</v>
      </c>
      <c r="C11013" s="608">
        <v>218</v>
      </c>
      <c r="D11013" s="39">
        <f t="shared" si="1119"/>
        <v>52403</v>
      </c>
      <c r="E11013" s="1">
        <v>4</v>
      </c>
      <c r="F11013" s="39">
        <f t="shared" si="1127"/>
        <v>796</v>
      </c>
      <c r="G11013" s="169">
        <f>SUM(C11013,C10989,C10965,C10941,C10917,C10893,C10869,C10845,C10821,C10797,C10773,C10749,C10725,C10701)/POBLA!$B$20*100000</f>
        <v>747.61141707091645</v>
      </c>
      <c r="H11013" s="258">
        <f t="shared" si="1132"/>
        <v>0.7966200466200466</v>
      </c>
      <c r="I11013" s="310">
        <f t="shared" si="1130"/>
        <v>595.56224192071261</v>
      </c>
      <c r="J11013" s="552">
        <f t="shared" si="1129"/>
        <v>196.85714285714286</v>
      </c>
      <c r="K11013" s="310">
        <f>J11013/POBLA!$B$20*100000</f>
        <v>53.830522140439072</v>
      </c>
      <c r="L11013" s="202">
        <f t="shared" si="1131"/>
        <v>1.6224188790560534E-2</v>
      </c>
      <c r="M11013" s="512">
        <f>SUM(C11013,C10989,C10965,C10941,C10917,C10893,C10869)/POBLA!$B$20*100000</f>
        <v>376.81365498307349</v>
      </c>
      <c r="N11013" s="42" t="s">
        <v>37</v>
      </c>
      <c r="O11013" s="42">
        <v>218</v>
      </c>
      <c r="P11013" s="42">
        <v>52403</v>
      </c>
    </row>
    <row r="11014" spans="1:16" x14ac:dyDescent="0.25">
      <c r="A11014" s="402" t="s">
        <v>22</v>
      </c>
      <c r="B11014" s="269">
        <v>44351</v>
      </c>
      <c r="C11014" s="608">
        <v>2883</v>
      </c>
      <c r="D11014" s="39">
        <f t="shared" si="1119"/>
        <v>357908</v>
      </c>
      <c r="E11014" s="1">
        <v>25</v>
      </c>
      <c r="F11014" s="39">
        <f t="shared" si="1127"/>
        <v>5714</v>
      </c>
      <c r="G11014" s="169">
        <f>SUM(C11014,C10990,C10966,C10942,C10918,C10894,C10870,C10846,C10822,C10798,C10774,C10750,C10726,C10702)/POBLA!$B$21*100000</f>
        <v>1139.9387742059903</v>
      </c>
      <c r="H11014" s="258">
        <f t="shared" si="1132"/>
        <v>1.2943235086367431</v>
      </c>
      <c r="I11014" s="310">
        <f t="shared" si="1130"/>
        <v>1475.4495538613653</v>
      </c>
      <c r="J11014" s="552">
        <f t="shared" si="1129"/>
        <v>3001.2857142857142</v>
      </c>
      <c r="K11014" s="310">
        <f>J11014/POBLA!$B$21*100000</f>
        <v>84.867957189611474</v>
      </c>
      <c r="L11014" s="202">
        <f t="shared" si="1131"/>
        <v>8.8323663489432214E-2</v>
      </c>
      <c r="M11014" s="512">
        <f>SUM(C11014,C10990,C10966,C10942,C10918,C10894,C10870)/POBLA!$B$21*100000</f>
        <v>594.0757003272804</v>
      </c>
      <c r="N11014" s="42" t="s">
        <v>22</v>
      </c>
      <c r="O11014" s="42">
        <v>2883</v>
      </c>
      <c r="P11014" s="42">
        <v>357908</v>
      </c>
    </row>
    <row r="11015" spans="1:16" x14ac:dyDescent="0.25">
      <c r="A11015" s="402" t="s">
        <v>38</v>
      </c>
      <c r="B11015" s="269">
        <v>44351</v>
      </c>
      <c r="C11015" s="608">
        <v>670</v>
      </c>
      <c r="D11015" s="39">
        <f t="shared" si="1119"/>
        <v>46179</v>
      </c>
      <c r="E11015" s="1">
        <v>14</v>
      </c>
      <c r="F11015" s="39">
        <f t="shared" si="1127"/>
        <v>562</v>
      </c>
      <c r="G11015" s="169">
        <f>SUM(C11015,C10991,C10967,C10943,C10919,C10895,C10871,C10847,C10823,C10799,C10775,C10751,C10727,C10703)/POBLA!$B$22*100000</f>
        <v>808.12582476160503</v>
      </c>
      <c r="H11015" s="258">
        <f t="shared" si="1132"/>
        <v>1.3137254901960784</v>
      </c>
      <c r="I11015" s="310">
        <f t="shared" si="1130"/>
        <v>1061.6554952750498</v>
      </c>
      <c r="J11015" s="552">
        <f t="shared" si="1129"/>
        <v>554.28571428571433</v>
      </c>
      <c r="K11015" s="310">
        <f>J11015/POBLA!$B$22*100000</f>
        <v>56.657298255845959</v>
      </c>
      <c r="L11015" s="202">
        <f t="shared" si="1131"/>
        <v>-3.626428216592148E-2</v>
      </c>
      <c r="M11015" s="512">
        <f>SUM(C11015,C10991,C10967,C10943,C10919,C10895,C10871)/POBLA!$B$22*100000</f>
        <v>396.60108779092172</v>
      </c>
      <c r="N11015" s="42" t="s">
        <v>38</v>
      </c>
      <c r="O11015" s="42">
        <v>670</v>
      </c>
      <c r="P11015" s="42">
        <v>46179</v>
      </c>
    </row>
    <row r="11016" spans="1:16" x14ac:dyDescent="0.25">
      <c r="A11016" s="402" t="s">
        <v>39</v>
      </c>
      <c r="B11016" s="269">
        <v>44351</v>
      </c>
      <c r="C11016" s="608">
        <v>43</v>
      </c>
      <c r="D11016" s="39">
        <f t="shared" si="1119"/>
        <v>28755</v>
      </c>
      <c r="E11016" s="1">
        <v>2</v>
      </c>
      <c r="F11016" s="39">
        <f t="shared" si="1127"/>
        <v>425</v>
      </c>
      <c r="G11016" s="169">
        <f>SUM(C11016,C10992,C10968,C10944,C10920,C10896,C10872,C10848,C10824,C10800,C10776,C10752,C10728,C10704)/POBLA!$B$23*100000</f>
        <v>461.46015947520215</v>
      </c>
      <c r="H11016" s="258">
        <f t="shared" si="1132"/>
        <v>0.80952380952380953</v>
      </c>
      <c r="I11016" s="310">
        <f t="shared" si="1130"/>
        <v>373.56298624183029</v>
      </c>
      <c r="J11016" s="552">
        <f t="shared" si="1129"/>
        <v>53.714285714285715</v>
      </c>
      <c r="K11016" s="310">
        <f>J11016/POBLA!$B$23*100000</f>
        <v>30.376228985062326</v>
      </c>
      <c r="L11016" s="202">
        <f t="shared" si="1131"/>
        <v>-0.1454545454545455</v>
      </c>
      <c r="M11016" s="512">
        <f>SUM(C11016,C10992,C10968,C10944,C10920,C10896,C10872)/POBLA!$B$23*100000</f>
        <v>212.63360289543633</v>
      </c>
      <c r="N11016" s="42" t="s">
        <v>39</v>
      </c>
      <c r="O11016" s="42">
        <v>43</v>
      </c>
      <c r="P11016" s="42">
        <v>28755</v>
      </c>
    </row>
    <row r="11017" spans="1:16" ht="15.75" thickBot="1" x14ac:dyDescent="0.3">
      <c r="A11017" s="404" t="s">
        <v>40</v>
      </c>
      <c r="B11017" s="269">
        <v>44351</v>
      </c>
      <c r="C11017" s="608">
        <v>951</v>
      </c>
      <c r="D11017" s="177">
        <f t="shared" si="1119"/>
        <v>133964</v>
      </c>
      <c r="E11017" s="1">
        <v>3</v>
      </c>
      <c r="F11017" s="177">
        <f t="shared" si="1127"/>
        <v>1926</v>
      </c>
      <c r="G11017" s="178">
        <f>SUM(C11017,C10993,C10969,C10945,C10921,C10897,C10873,C10849,C10825,C10801,C10777,C10753,C10729,C10705)/POBLA!$B$24*100000</f>
        <v>816.6259110993617</v>
      </c>
      <c r="H11017" s="513">
        <f t="shared" si="1132"/>
        <v>1.3558342314098168</v>
      </c>
      <c r="I11017" s="514">
        <f t="shared" si="1130"/>
        <v>1107.2093645247444</v>
      </c>
      <c r="J11017" s="553">
        <f t="shared" si="1129"/>
        <v>933.71428571428567</v>
      </c>
      <c r="K11017" s="514">
        <f>J11017/POBLA!$B$24*100000</f>
        <v>55.097570581539003</v>
      </c>
      <c r="L11017" s="515">
        <f t="shared" si="1131"/>
        <v>-0.10502533205531972</v>
      </c>
      <c r="M11017" s="516">
        <f>SUM(C11017,C10993,C10969,C10945,C10921,C10897,C10873)/POBLA!$B$24*100000</f>
        <v>385.68299407077302</v>
      </c>
      <c r="N11017" s="42" t="s">
        <v>40</v>
      </c>
      <c r="O11017" s="42">
        <v>951</v>
      </c>
      <c r="P11017" s="42">
        <v>133964</v>
      </c>
    </row>
    <row r="11018" spans="1:16" x14ac:dyDescent="0.25">
      <c r="A11018" s="397" t="s">
        <v>16</v>
      </c>
      <c r="B11018" s="269">
        <v>44352</v>
      </c>
      <c r="C11018" s="608">
        <v>7819</v>
      </c>
      <c r="D11018" s="175">
        <f t="shared" si="1119"/>
        <v>1665436</v>
      </c>
      <c r="E11018" s="1">
        <v>254</v>
      </c>
      <c r="F11018" s="175">
        <f t="shared" ref="F11018:F11041" si="1133">E11018+F10994</f>
        <v>41501</v>
      </c>
      <c r="G11018" s="176">
        <f>SUM(C11018,C10994,C10970,C10946,C10922,C10898,C10874,C10850,C10826,C10802,C10778,C10754,C10730,C10706)/POBLA!$B$1*100000</f>
        <v>848.69051562837342</v>
      </c>
      <c r="H11018" s="313">
        <f t="shared" si="1132"/>
        <v>1.0199788974608439</v>
      </c>
      <c r="I11018" s="314">
        <f>G11018*H11018</f>
        <v>865.64641641610342</v>
      </c>
      <c r="J11018" s="551">
        <f>AVERAGE(C11018,C10994,C10970,C10946,C10922,C10898,C10874)</f>
        <v>10231.142857142857</v>
      </c>
      <c r="K11018" s="314">
        <f>J11018/POBLA!$B$1*100000</f>
        <v>58.32655274330704</v>
      </c>
      <c r="L11018" s="510">
        <f t="shared" si="1131"/>
        <v>-7.2930150675710625E-2</v>
      </c>
      <c r="M11018" s="511">
        <f>SUM(C11018,C10994,C10970,C10946,C10922,C10898,C10874)/POBLA!$B$1*100000</f>
        <v>408.28586920314928</v>
      </c>
      <c r="N11018" s="42" t="s">
        <v>270</v>
      </c>
      <c r="O11018" s="42">
        <v>7819</v>
      </c>
      <c r="P11018" s="42">
        <v>1665436</v>
      </c>
    </row>
    <row r="11019" spans="1:16" x14ac:dyDescent="0.25">
      <c r="A11019" s="402" t="s">
        <v>43</v>
      </c>
      <c r="B11019" s="269">
        <v>44352</v>
      </c>
      <c r="C11019" s="608">
        <v>1704</v>
      </c>
      <c r="D11019" s="39">
        <f t="shared" si="1119"/>
        <v>428495</v>
      </c>
      <c r="E11019" s="1">
        <v>37</v>
      </c>
      <c r="F11019" s="39">
        <f t="shared" si="1133"/>
        <v>9367</v>
      </c>
      <c r="G11019" s="169">
        <f>SUM(C11019,C10995,C10971,C10947,C10923,C10899,C10875,C10851,C10827,C10803,C10779,C10755,C10731,C10707)/POBLA!$B$2*100000</f>
        <v>1054.2825799848226</v>
      </c>
      <c r="H11019" s="258">
        <f t="shared" si="1132"/>
        <v>0.90661522115976068</v>
      </c>
      <c r="I11019" s="310">
        <f t="shared" ref="I11019:I11025" si="1134">G11019*H11019</f>
        <v>955.82863441782308</v>
      </c>
      <c r="J11019" s="552">
        <f t="shared" ref="J11019:J11041" si="1135">AVERAGE(C11019,C10995,C10971,C10947,C10923,C10899,C10875)</f>
        <v>2024.1428571428571</v>
      </c>
      <c r="K11019" s="310">
        <f>J11019/POBLA!$B$2*100000</f>
        <v>65.811958110356557</v>
      </c>
      <c r="L11019" s="202">
        <f t="shared" si="1131"/>
        <v>-0.22391411513392123</v>
      </c>
      <c r="M11019" s="512">
        <f>SUM(C11019,C10995,C10971,C10947,C10923,C10899,C10875)/POBLA!$B$2*100000</f>
        <v>460.6837067724959</v>
      </c>
      <c r="N11019" s="42" t="s">
        <v>43</v>
      </c>
      <c r="O11019" s="42">
        <v>1704</v>
      </c>
      <c r="P11019" s="42">
        <v>428495</v>
      </c>
    </row>
    <row r="11020" spans="1:16" x14ac:dyDescent="0.25">
      <c r="A11020" s="402" t="s">
        <v>28</v>
      </c>
      <c r="B11020" s="269">
        <v>44352</v>
      </c>
      <c r="C11020" s="608">
        <v>503</v>
      </c>
      <c r="D11020" s="39">
        <f t="shared" si="1119"/>
        <v>25950</v>
      </c>
      <c r="F11020" s="39">
        <f t="shared" si="1133"/>
        <v>192</v>
      </c>
      <c r="G11020" s="169">
        <f>SUM(C11020,C10996,C10972,C10948,C10924,C10900,C10876,C10852,C10828,C10804,C10780,C10756,C10732,C10708)/POBLA!$B$3*100000</f>
        <v>1408.8744890934388</v>
      </c>
      <c r="H11020" s="258">
        <f t="shared" si="1132"/>
        <v>1.4059572423732885</v>
      </c>
      <c r="I11020" s="310">
        <f t="shared" si="1134"/>
        <v>1980.8172915358869</v>
      </c>
      <c r="J11020" s="552">
        <f t="shared" si="1135"/>
        <v>432.71428571428572</v>
      </c>
      <c r="K11020" s="310">
        <f>J11020/POBLA!$B$3*100000</f>
        <v>104.15857136667462</v>
      </c>
      <c r="L11020" s="202">
        <f t="shared" si="1131"/>
        <v>7.2592067988668463E-2</v>
      </c>
      <c r="M11020" s="512">
        <f>SUM(C11020,C10996,C10972,C10948,C10924,C10900,C10876)/POBLA!$B$3*100000</f>
        <v>729.10999956672242</v>
      </c>
      <c r="N11020" s="42" t="s">
        <v>28</v>
      </c>
      <c r="O11020" s="42">
        <v>503</v>
      </c>
      <c r="P11020" s="42">
        <v>25950</v>
      </c>
    </row>
    <row r="11021" spans="1:16" x14ac:dyDescent="0.25">
      <c r="A11021" s="402" t="s">
        <v>15</v>
      </c>
      <c r="B11021" s="269">
        <v>44352</v>
      </c>
      <c r="C11021" s="608">
        <v>815</v>
      </c>
      <c r="D11021" s="39">
        <f t="shared" si="1119"/>
        <v>62112</v>
      </c>
      <c r="E11021" s="1">
        <v>14</v>
      </c>
      <c r="F11021" s="39">
        <f t="shared" si="1133"/>
        <v>1305</v>
      </c>
      <c r="G11021" s="169">
        <f>SUM(C11021,C10997,C10973,C10949,C10925,C10901,C10877,C10853,C10829,C10805,C10781,C10757,C10733,C10709)/POBLA!$B$4*100000</f>
        <v>763.11225603777712</v>
      </c>
      <c r="H11021" s="258">
        <f t="shared" si="1132"/>
        <v>1.5210987919907331</v>
      </c>
      <c r="I11021" s="310">
        <f t="shared" si="1134"/>
        <v>1160.7691308123858</v>
      </c>
      <c r="J11021" s="552">
        <f t="shared" si="1135"/>
        <v>676.71428571428567</v>
      </c>
      <c r="K11021" s="310">
        <f>J11021/POBLA!$B$4*100000</f>
        <v>56.180261669323471</v>
      </c>
      <c r="L11021" s="202">
        <f t="shared" si="1131"/>
        <v>6.3299663299663189E-2</v>
      </c>
      <c r="M11021" s="512">
        <f>SUM(C11021,C10997,C10973,C10949,C10925,C10901,C10877)/POBLA!$B$4*100000</f>
        <v>393.26183168526438</v>
      </c>
      <c r="N11021" s="42" t="s">
        <v>15</v>
      </c>
      <c r="O11021" s="42">
        <v>815</v>
      </c>
      <c r="P11021" s="42">
        <v>62112</v>
      </c>
    </row>
    <row r="11022" spans="1:16" x14ac:dyDescent="0.25">
      <c r="A11022" s="402" t="s">
        <v>29</v>
      </c>
      <c r="B11022" s="269">
        <v>44352</v>
      </c>
      <c r="C11022" s="608">
        <v>283</v>
      </c>
      <c r="D11022" s="39">
        <f t="shared" si="1119"/>
        <v>65045</v>
      </c>
      <c r="E11022" s="1">
        <v>6</v>
      </c>
      <c r="F11022" s="39">
        <f t="shared" si="1133"/>
        <v>1078</v>
      </c>
      <c r="G11022" s="169">
        <f>SUM(C11022,C10998,C10974,C10950,C10926,C10902,C10878,C10854,C10830,C10806,C10782,C10758,C10734,C10710)/POBLA!$B$5*100000</f>
        <v>848.7965957666795</v>
      </c>
      <c r="H11022" s="258">
        <f t="shared" si="1132"/>
        <v>1.4816694867456288</v>
      </c>
      <c r="I11022" s="310">
        <f t="shared" si="1134"/>
        <v>1257.636016401053</v>
      </c>
      <c r="J11022" s="552">
        <f t="shared" si="1135"/>
        <v>410.14285714285717</v>
      </c>
      <c r="K11022" s="310">
        <f>J11022/POBLA!$B$5*100000</f>
        <v>66.259585253307336</v>
      </c>
      <c r="L11022" s="202">
        <f t="shared" si="1131"/>
        <v>0.20478388585816187</v>
      </c>
      <c r="M11022" s="512">
        <f>SUM(C11022,C10998,C10974,C10950,C10926,C10902,C10878)/POBLA!$B$5*100000</f>
        <v>463.81709677315126</v>
      </c>
      <c r="N11022" s="42" t="s">
        <v>29</v>
      </c>
      <c r="O11022" s="42">
        <v>283</v>
      </c>
      <c r="P11022" s="42">
        <v>65045</v>
      </c>
    </row>
    <row r="11023" spans="1:16" x14ac:dyDescent="0.25">
      <c r="A11023" s="402" t="s">
        <v>30</v>
      </c>
      <c r="B11023" s="269">
        <v>44352</v>
      </c>
      <c r="C11023" s="608">
        <v>531</v>
      </c>
      <c r="D11023" s="39">
        <f t="shared" si="1119"/>
        <v>53915</v>
      </c>
      <c r="F11023" s="39">
        <f t="shared" si="1133"/>
        <v>637</v>
      </c>
      <c r="G11023" s="169">
        <f>SUM(C11023,C10999,C10975,C10951,C10927,C10903,C10879,C10855,C10831,C10807,C10783,C10759,C10735,C10711)/POBLA!$B$6*100000</f>
        <v>902.56878785796948</v>
      </c>
      <c r="H11023" s="258">
        <f t="shared" si="1132"/>
        <v>2.1000622794270294</v>
      </c>
      <c r="I11023" s="310">
        <f t="shared" si="1134"/>
        <v>1895.4506659686983</v>
      </c>
      <c r="J11023" s="552">
        <f t="shared" si="1135"/>
        <v>488.85714285714283</v>
      </c>
      <c r="K11023" s="310">
        <f>J11023/POBLA!$B$6*100000</f>
        <v>43.616765407698857</v>
      </c>
      <c r="L11023" s="202">
        <f t="shared" si="1131"/>
        <v>-0.48879593665969523</v>
      </c>
      <c r="M11023" s="512">
        <f>SUM(C11023,C10999,C10975,C10951,C10927,C10903,C10879)/POBLA!$B$6*100000</f>
        <v>305.31735785389202</v>
      </c>
      <c r="N11023" s="42" t="s">
        <v>30</v>
      </c>
      <c r="O11023" s="42">
        <v>531</v>
      </c>
      <c r="P11023" s="42">
        <v>53915</v>
      </c>
    </row>
    <row r="11024" spans="1:16" x14ac:dyDescent="0.25">
      <c r="A11024" s="402" t="s">
        <v>20</v>
      </c>
      <c r="B11024" s="269">
        <v>44352</v>
      </c>
      <c r="C11024" s="608">
        <v>3272</v>
      </c>
      <c r="D11024" s="39">
        <f t="shared" si="1119"/>
        <v>335800</v>
      </c>
      <c r="E11024" s="1">
        <v>21</v>
      </c>
      <c r="F11024" s="39">
        <f t="shared" si="1133"/>
        <v>4106</v>
      </c>
      <c r="G11024" s="169">
        <f>SUM(C11024,C11000,C10976,C10952,C10928,C10904,C10880,C10856,C10832,C10808,C10784,C10760,C10736,C10712)/POBLA!$B$7*100000</f>
        <v>1539.2572697416533</v>
      </c>
      <c r="H11024" s="258">
        <f t="shared" si="1132"/>
        <v>1.5040796175033779</v>
      </c>
      <c r="I11024" s="310">
        <f t="shared" si="1134"/>
        <v>2315.1654855123197</v>
      </c>
      <c r="J11024" s="552">
        <f t="shared" si="1135"/>
        <v>4417.7142857142853</v>
      </c>
      <c r="K11024" s="310">
        <f>J11024/POBLA!$B$7*100000</f>
        <v>117.47834130793615</v>
      </c>
      <c r="L11024" s="202">
        <f t="shared" si="1131"/>
        <v>0.14707518824882237</v>
      </c>
      <c r="M11024" s="512">
        <f>SUM(C11024,C11000,C10976,C10952,C10928,C10904,C10880)/POBLA!$B$7*100000</f>
        <v>822.34838915555326</v>
      </c>
      <c r="N11024" s="42" t="s">
        <v>20</v>
      </c>
      <c r="O11024" s="42">
        <v>3272</v>
      </c>
      <c r="P11024" s="42">
        <v>335800</v>
      </c>
    </row>
    <row r="11025" spans="1:16" x14ac:dyDescent="0.25">
      <c r="A11025" s="402" t="s">
        <v>31</v>
      </c>
      <c r="B11025" s="269">
        <v>44352</v>
      </c>
      <c r="C11025" s="608">
        <v>838</v>
      </c>
      <c r="D11025" s="39">
        <f t="shared" si="1119"/>
        <v>91196</v>
      </c>
      <c r="E11025" s="1">
        <v>10</v>
      </c>
      <c r="F11025" s="39">
        <f t="shared" si="1133"/>
        <v>1396</v>
      </c>
      <c r="G11025" s="169">
        <f>SUM(C11025,C11001,C10977,C10953,C10929,C10905,C10881,C10857,C10833,C10809,C10785,C10761,C10737,C10713)/POBLA!$B$8*100000</f>
        <v>983.5053078694134</v>
      </c>
      <c r="H11025" s="258">
        <f t="shared" si="1132"/>
        <v>1.3087854056649064</v>
      </c>
      <c r="I11025" s="310">
        <f t="shared" si="1134"/>
        <v>1287.1973933334589</v>
      </c>
      <c r="J11025" s="552">
        <f t="shared" si="1135"/>
        <v>985.71428571428567</v>
      </c>
      <c r="K11025" s="310">
        <f>J11025/POBLA!$B$8*100000</f>
        <v>71.121358083978251</v>
      </c>
      <c r="L11025" s="202">
        <f t="shared" si="1131"/>
        <v>2.510771059277972E-2</v>
      </c>
      <c r="M11025" s="512">
        <f>SUM(C11025,C11001,C10977,C10953,C10929,C10905,C10881)/POBLA!$B$8*100000</f>
        <v>497.84950658784777</v>
      </c>
      <c r="N11025" s="42" t="s">
        <v>31</v>
      </c>
      <c r="O11025" s="42">
        <v>838</v>
      </c>
      <c r="P11025" s="42">
        <v>91196</v>
      </c>
    </row>
    <row r="11026" spans="1:16" x14ac:dyDescent="0.25">
      <c r="A11026" s="402" t="s">
        <v>41</v>
      </c>
      <c r="B11026" s="269">
        <v>44352</v>
      </c>
      <c r="C11026" s="608">
        <v>601</v>
      </c>
      <c r="D11026" s="39">
        <f t="shared" ref="D11026:D11090" si="1136">C11026+D11002</f>
        <v>34794</v>
      </c>
      <c r="E11026" s="1">
        <v>5</v>
      </c>
      <c r="F11026" s="39">
        <f t="shared" si="1133"/>
        <v>546</v>
      </c>
      <c r="G11026" s="169">
        <f>SUM(C11026,C11002,C10978,C10954,C10930,C10906,C10882,C10858,C10834,C10810,C10786,C10762,C10738,C10714)/POBLA!$B$9*100000</f>
        <v>2065.1263316000022</v>
      </c>
      <c r="H11026" s="258">
        <f t="shared" si="1132"/>
        <v>0.76211964144155131</v>
      </c>
      <c r="I11026" s="310">
        <f>G11026*H11026</f>
        <v>1573.8733393704999</v>
      </c>
      <c r="J11026" s="552">
        <f t="shared" si="1135"/>
        <v>846.28571428571433</v>
      </c>
      <c r="K11026" s="310">
        <f>J11026/POBLA!$B$9*100000</f>
        <v>139.83732698258478</v>
      </c>
      <c r="L11026" s="202">
        <f>(SUM(C11026,C11002,C10978,C10954,C10930,C10906,C10882)/SUM(C10858,C10834,C10810,C10786,C10762,C10738,C10714))-1</f>
        <v>-9.8874353513842439E-2</v>
      </c>
      <c r="M11026" s="512">
        <f>SUM(C11026,C11002,C10978,C10954,C10930,C10906,C10882)/POBLA!$B$9*100000</f>
        <v>978.86128887809343</v>
      </c>
      <c r="N11026" s="42" t="s">
        <v>41</v>
      </c>
      <c r="O11026" s="42">
        <v>601</v>
      </c>
      <c r="P11026" s="42">
        <v>34794</v>
      </c>
    </row>
    <row r="11027" spans="1:16" x14ac:dyDescent="0.25">
      <c r="A11027" s="402" t="s">
        <v>32</v>
      </c>
      <c r="B11027" s="269">
        <v>44352</v>
      </c>
      <c r="C11027" s="608">
        <v>211</v>
      </c>
      <c r="D11027" s="39">
        <f t="shared" si="1136"/>
        <v>29592</v>
      </c>
      <c r="F11027" s="39">
        <f t="shared" si="1133"/>
        <v>1092</v>
      </c>
      <c r="G11027" s="169">
        <f>SUM(C11027,C11003,C10979,C10955,C10931,C10907,C10883,C10859,C10835,C10811,C10787,C10763,C10739,C10715)/POBLA!$B$10*100000</f>
        <v>337.79532768352055</v>
      </c>
      <c r="H11027" s="258">
        <f t="shared" si="1132"/>
        <v>1.8653295128939829</v>
      </c>
      <c r="I11027" s="310">
        <f t="shared" ref="I11027:I11041" si="1137">G11027*H11027</f>
        <v>630.09959404576466</v>
      </c>
      <c r="J11027" s="552">
        <f t="shared" si="1135"/>
        <v>217.57142857142858</v>
      </c>
      <c r="K11027" s="310">
        <f>J11027/POBLA!$B$10*100000</f>
        <v>28.223737330590399</v>
      </c>
      <c r="L11027" s="202">
        <f t="shared" ref="L11027:L11049" si="1138">(SUM(C11027,C11003,C10979,C10955,C10931,C10907,C10883)/SUM(C10859,C10835,C10811,C10787,C10763,C10739,C10715))-1</f>
        <v>0.40888066604995377</v>
      </c>
      <c r="M11027" s="512">
        <f>SUM(C11027,C11003,C10979,C10955,C10931,C10907,C10883)/POBLA!$B$10*100000</f>
        <v>197.56616131413278</v>
      </c>
      <c r="N11027" s="42" t="s">
        <v>32</v>
      </c>
      <c r="O11027" s="42">
        <v>211</v>
      </c>
      <c r="P11027" s="42">
        <v>29592</v>
      </c>
    </row>
    <row r="11028" spans="1:16" x14ac:dyDescent="0.25">
      <c r="A11028" s="402" t="s">
        <v>33</v>
      </c>
      <c r="B11028" s="269">
        <v>44352</v>
      </c>
      <c r="C11028" s="608">
        <v>329</v>
      </c>
      <c r="D11028" s="39">
        <f t="shared" si="1136"/>
        <v>45008</v>
      </c>
      <c r="F11028" s="39">
        <f t="shared" si="1133"/>
        <v>592</v>
      </c>
      <c r="G11028" s="169">
        <f>SUM(C11028,C11004,C10980,C10956,C10932,C10908,C10884,C10860,C10836,C10812,C10788,C10764,C10740,C10716)/POBLA!$B$11*100000</f>
        <v>1961.0633097860659</v>
      </c>
      <c r="H11028" s="258">
        <f t="shared" si="1132"/>
        <v>0.85688162867243689</v>
      </c>
      <c r="I11028" s="310">
        <f t="shared" si="1137"/>
        <v>1680.3991228192438</v>
      </c>
      <c r="J11028" s="552">
        <f t="shared" si="1135"/>
        <v>424</v>
      </c>
      <c r="K11028" s="310">
        <f>J11028/POBLA!$B$11*100000</f>
        <v>118.29432968406485</v>
      </c>
      <c r="L11028" s="202">
        <f t="shared" si="1138"/>
        <v>-0.26914553065747349</v>
      </c>
      <c r="M11028" s="512">
        <f>SUM(C11028,C11004,C10980,C10956,C10932,C10908,C10884)/POBLA!$B$11*100000</f>
        <v>828.060307788454</v>
      </c>
      <c r="N11028" s="42" t="s">
        <v>33</v>
      </c>
      <c r="O11028" s="42">
        <v>329</v>
      </c>
      <c r="P11028" s="42">
        <v>45008</v>
      </c>
    </row>
    <row r="11029" spans="1:16" x14ac:dyDescent="0.25">
      <c r="A11029" s="402" t="s">
        <v>21</v>
      </c>
      <c r="B11029" s="269">
        <v>44352</v>
      </c>
      <c r="C11029" s="608">
        <v>96</v>
      </c>
      <c r="D11029" s="39">
        <f t="shared" si="1136"/>
        <v>18248</v>
      </c>
      <c r="E11029" s="1">
        <v>11</v>
      </c>
      <c r="F11029" s="39">
        <f t="shared" si="1133"/>
        <v>557</v>
      </c>
      <c r="G11029" s="169">
        <f>SUM(C11029,C11005,C10981,C10957,C10933,C10909,C10885,C10861,C10837,C10813,C10789,C10765,C10741,C10717)/POBLA!$B$12*100000</f>
        <v>600.46095479136329</v>
      </c>
      <c r="H11029" s="258">
        <f t="shared" si="1132"/>
        <v>1.3842999414176917</v>
      </c>
      <c r="I11029" s="310">
        <f t="shared" si="1137"/>
        <v>831.21806454129546</v>
      </c>
      <c r="J11029" s="552">
        <f t="shared" si="1135"/>
        <v>152.57142857142858</v>
      </c>
      <c r="K11029" s="310">
        <f>J11029/POBLA!$B$12*100000</f>
        <v>38.769862748151631</v>
      </c>
      <c r="L11029" s="202">
        <f t="shared" si="1138"/>
        <v>-0.17528957528957534</v>
      </c>
      <c r="M11029" s="512">
        <f>SUM(C11029,C11005,C10981,C10957,C10933,C10909,C10885)/POBLA!$B$12*100000</f>
        <v>271.38903923706141</v>
      </c>
      <c r="N11029" s="42" t="s">
        <v>21</v>
      </c>
      <c r="O11029" s="42">
        <v>96</v>
      </c>
      <c r="P11029" s="42">
        <v>18248</v>
      </c>
    </row>
    <row r="11030" spans="1:16" x14ac:dyDescent="0.25">
      <c r="A11030" s="402" t="s">
        <v>17</v>
      </c>
      <c r="B11030" s="269">
        <v>44352</v>
      </c>
      <c r="C11030" s="608">
        <v>571</v>
      </c>
      <c r="D11030" s="39">
        <f t="shared" si="1136"/>
        <v>124864</v>
      </c>
      <c r="E11030" s="1">
        <v>19</v>
      </c>
      <c r="F11030" s="39">
        <f t="shared" si="1133"/>
        <v>2734</v>
      </c>
      <c r="G11030" s="169">
        <f>SUM(C11030,C11006,C10982,C10958,C10934,C10910,C10886,C10862,C10838,C10814,C10790,C10766,C10742,C10718)/POBLA!$B$13*100000</f>
        <v>522.87601402374878</v>
      </c>
      <c r="H11030" s="258">
        <f t="shared" si="1132"/>
        <v>0.85859252536919395</v>
      </c>
      <c r="I11030" s="310">
        <f t="shared" si="1137"/>
        <v>448.93743733562854</v>
      </c>
      <c r="J11030" s="552">
        <f t="shared" si="1135"/>
        <v>776.57142857142856</v>
      </c>
      <c r="K11030" s="310">
        <f>J11030/POBLA!$B$13*100000</f>
        <v>39.01706285924444</v>
      </c>
      <c r="L11030" s="202">
        <f t="shared" si="1138"/>
        <v>9.3542546771273383E-2</v>
      </c>
      <c r="M11030" s="512">
        <f>SUM(C11030,C11006,C10982,C10958,C10934,C10910,C10886)/POBLA!$B$13*100000</f>
        <v>273.11944001471107</v>
      </c>
      <c r="N11030" s="42" t="s">
        <v>17</v>
      </c>
      <c r="O11030" s="42">
        <v>571</v>
      </c>
      <c r="P11030" s="42">
        <v>124864</v>
      </c>
    </row>
    <row r="11031" spans="1:16" x14ac:dyDescent="0.25">
      <c r="A11031" s="402" t="s">
        <v>23</v>
      </c>
      <c r="B11031" s="269">
        <v>44352</v>
      </c>
      <c r="C11031" s="608">
        <v>182</v>
      </c>
      <c r="D11031" s="39">
        <f t="shared" si="1136"/>
        <v>21332</v>
      </c>
      <c r="E11031" s="1">
        <v>5</v>
      </c>
      <c r="F11031" s="39">
        <f t="shared" si="1133"/>
        <v>322</v>
      </c>
      <c r="G11031" s="169">
        <f>SUM(C11031,C11007,C10983,C10959,C10935,C10911,C10887,C10863,C10839,C10815,C10791,C10767,C10743,C10719)/POBLA!$B$14*100000</f>
        <v>194.48280892480264</v>
      </c>
      <c r="H11031" s="258">
        <f t="shared" si="1132"/>
        <v>1.1367006487488416</v>
      </c>
      <c r="I11031" s="310">
        <f t="shared" si="1137"/>
        <v>221.06873507532015</v>
      </c>
      <c r="J11031" s="552">
        <f t="shared" si="1135"/>
        <v>179.57142857142858</v>
      </c>
      <c r="K11031" s="310">
        <f>J11031/POBLA!$B$14*100000</f>
        <v>14.237079425687316</v>
      </c>
      <c r="L11031" s="202">
        <f t="shared" si="1138"/>
        <v>5.1003344481605373E-2</v>
      </c>
      <c r="M11031" s="512">
        <f>SUM(C11031,C11007,C10983,C10959,C10935,C10911,C10887)/POBLA!$B$14*100000</f>
        <v>99.659555979811202</v>
      </c>
      <c r="N11031" s="42" t="s">
        <v>23</v>
      </c>
      <c r="O11031" s="42">
        <v>182</v>
      </c>
      <c r="P11031" s="42">
        <v>21332</v>
      </c>
    </row>
    <row r="11032" spans="1:16" x14ac:dyDescent="0.25">
      <c r="A11032" s="402" t="s">
        <v>19</v>
      </c>
      <c r="B11032" s="269">
        <v>44352</v>
      </c>
      <c r="C11032" s="608">
        <v>419</v>
      </c>
      <c r="D11032" s="39">
        <f t="shared" si="1136"/>
        <v>93751</v>
      </c>
      <c r="E11032" s="1">
        <v>26</v>
      </c>
      <c r="F11032" s="39">
        <f t="shared" si="1133"/>
        <v>1418</v>
      </c>
      <c r="G11032" s="169">
        <f>SUM(C11032,C11008,C10984,C10960,C10936,C10912,C10888,C10864,C10840,C10816,C10792,C10768,C10744,C10720)/POBLA!$B$15*100000</f>
        <v>1642.630075430272</v>
      </c>
      <c r="H11032" s="258">
        <f t="shared" si="1132"/>
        <v>1.3007393274505128</v>
      </c>
      <c r="I11032" s="310">
        <f t="shared" si="1137"/>
        <v>2136.6335395651572</v>
      </c>
      <c r="J11032" s="552">
        <f t="shared" si="1135"/>
        <v>685.85714285714289</v>
      </c>
      <c r="K11032" s="310">
        <f>J11032/POBLA!$B$15*100000</f>
        <v>103.28287223192331</v>
      </c>
      <c r="L11032" s="202">
        <f t="shared" si="1138"/>
        <v>-0.21385295562469298</v>
      </c>
      <c r="M11032" s="512">
        <f>SUM(C11032,C11008,C10984,C10960,C10936,C10912,C10888)/POBLA!$B$15*100000</f>
        <v>722.98010562346303</v>
      </c>
      <c r="N11032" s="42" t="s">
        <v>19</v>
      </c>
      <c r="O11032" s="42">
        <v>419</v>
      </c>
      <c r="P11032" s="42">
        <v>93751</v>
      </c>
    </row>
    <row r="11033" spans="1:16" x14ac:dyDescent="0.25">
      <c r="A11033" s="402" t="s">
        <v>18</v>
      </c>
      <c r="B11033" s="269">
        <v>44352</v>
      </c>
      <c r="C11033" s="608">
        <v>317</v>
      </c>
      <c r="D11033" s="39">
        <f t="shared" si="1136"/>
        <v>76552</v>
      </c>
      <c r="E11033" s="1">
        <v>7</v>
      </c>
      <c r="F11033" s="39">
        <f t="shared" si="1133"/>
        <v>1692</v>
      </c>
      <c r="G11033" s="169">
        <f>SUM(C11033,C11009,C10985,C10961,C10937,C10913,C10889,C10865,C10841,C10817,C10793,C10769,C10745,C10721)/POBLA!$B$16*100000</f>
        <v>900.46949612766002</v>
      </c>
      <c r="H11033" s="258">
        <f t="shared" si="1132"/>
        <v>1.1018003273322423</v>
      </c>
      <c r="I11033" s="310">
        <f t="shared" si="1137"/>
        <v>992.13758558615507</v>
      </c>
      <c r="J11033" s="552">
        <f t="shared" si="1135"/>
        <v>444</v>
      </c>
      <c r="K11033" s="310">
        <f>J11033/POBLA!$B$16*100000</f>
        <v>59.389253755300224</v>
      </c>
      <c r="L11033" s="202">
        <f t="shared" si="1138"/>
        <v>-0.14238410596026485</v>
      </c>
      <c r="M11033" s="512">
        <f>SUM(C11033,C11009,C10985,C10961,C10937,C10913,C10889)/POBLA!$B$16*100000</f>
        <v>415.72477628710158</v>
      </c>
      <c r="N11033" s="42" t="s">
        <v>18</v>
      </c>
      <c r="O11033" s="42">
        <v>317</v>
      </c>
      <c r="P11033" s="42">
        <v>76552</v>
      </c>
    </row>
    <row r="11034" spans="1:16" x14ac:dyDescent="0.25">
      <c r="A11034" s="402" t="s">
        <v>34</v>
      </c>
      <c r="B11034" s="269">
        <v>44352</v>
      </c>
      <c r="C11034" s="608">
        <v>638</v>
      </c>
      <c r="D11034" s="39">
        <f t="shared" si="1136"/>
        <v>48710</v>
      </c>
      <c r="F11034" s="39">
        <f t="shared" si="1133"/>
        <v>1441</v>
      </c>
      <c r="G11034" s="169">
        <f>SUM(C11034,C11010,C10986,C10962,C10938,C10914,C10890,C10866,C10842,C10818,C10794,C10770,C10746,C10722)/POBLA!$B$17*100000</f>
        <v>512.77838973263772</v>
      </c>
      <c r="H11034" s="258">
        <f t="shared" ref="H11034:H11057" si="1139">SUM(C11034,C11010,C10986,C10962,C10938,C10914,C10890,C10866,C10842,C10818,C10794,C10770,C10746,C10722)/SUM(C10698,C10674,C10650,C10626,C10602,C10578,C10554,C10530,C10506,C10482,C10458,C10434,C10410,C10386)</f>
        <v>1.4420533070088846</v>
      </c>
      <c r="I11034" s="310">
        <f t="shared" si="1137"/>
        <v>739.45377267664094</v>
      </c>
      <c r="J11034" s="552">
        <f t="shared" si="1135"/>
        <v>577.85714285714289</v>
      </c>
      <c r="K11034" s="310">
        <f>J11034/POBLA!$B$17*100000</f>
        <v>40.568545346356593</v>
      </c>
      <c r="L11034" s="202">
        <f t="shared" si="1138"/>
        <v>0.24117827554464566</v>
      </c>
      <c r="M11034" s="512">
        <f>SUM(C11034,C11010,C10986,C10962,C10938,C10914,C10890)/POBLA!$B$17*100000</f>
        <v>283.9798174244961</v>
      </c>
      <c r="N11034" s="42" t="s">
        <v>34</v>
      </c>
      <c r="O11034" s="42">
        <v>638</v>
      </c>
      <c r="P11034" s="42">
        <v>48710</v>
      </c>
    </row>
    <row r="11035" spans="1:16" x14ac:dyDescent="0.25">
      <c r="A11035" s="402" t="s">
        <v>35</v>
      </c>
      <c r="B11035" s="269">
        <v>44352</v>
      </c>
      <c r="C11035" s="608">
        <v>215</v>
      </c>
      <c r="D11035" s="39">
        <f t="shared" si="1136"/>
        <v>39490</v>
      </c>
      <c r="E11035" s="1">
        <v>1</v>
      </c>
      <c r="F11035" s="39">
        <f t="shared" si="1133"/>
        <v>664</v>
      </c>
      <c r="G11035" s="169">
        <f>SUM(C11035,C11011,C10987,C10963,C10939,C10915,C10891,C10867,C10843,C10819,C10795,C10771,C10747,C10723)/POBLA!$B$18*100000</f>
        <v>841.37953987176422</v>
      </c>
      <c r="H11035" s="258">
        <f t="shared" si="1139"/>
        <v>0.98221757322175729</v>
      </c>
      <c r="I11035" s="310">
        <f t="shared" si="1137"/>
        <v>826.41776981128305</v>
      </c>
      <c r="J11035" s="552">
        <f t="shared" si="1135"/>
        <v>448</v>
      </c>
      <c r="K11035" s="310">
        <f>J11035/POBLA!$B$18*100000</f>
        <v>57.346422312878495</v>
      </c>
      <c r="L11035" s="202">
        <f t="shared" si="1138"/>
        <v>-8.7576374745417462E-2</v>
      </c>
      <c r="M11035" s="512">
        <f>SUM(C11035,C11011,C10987,C10963,C10939,C10915,C10891)/POBLA!$B$18*100000</f>
        <v>401.42495619014949</v>
      </c>
      <c r="N11035" s="42" t="s">
        <v>35</v>
      </c>
      <c r="O11035" s="42">
        <v>215</v>
      </c>
      <c r="P11035" s="42">
        <v>39490</v>
      </c>
    </row>
    <row r="11036" spans="1:16" x14ac:dyDescent="0.25">
      <c r="A11036" s="402" t="s">
        <v>36</v>
      </c>
      <c r="B11036" s="269">
        <v>44352</v>
      </c>
      <c r="C11036" s="608">
        <v>442</v>
      </c>
      <c r="D11036" s="39">
        <f t="shared" si="1136"/>
        <v>55684</v>
      </c>
      <c r="E11036" s="1">
        <v>2</v>
      </c>
      <c r="F11036" s="39">
        <f t="shared" si="1133"/>
        <v>760</v>
      </c>
      <c r="G11036" s="169">
        <f>SUM(C11036,C11012,C10988,C10964,C10940,C10916,C10892,C10868,C10844,C10820,C10796,C10772,C10748,C10724)/POBLA!$B$19*100000</f>
        <v>1508.0813962638297</v>
      </c>
      <c r="H11036" s="258">
        <f t="shared" si="1139"/>
        <v>1.0858356940509915</v>
      </c>
      <c r="I11036" s="310">
        <f t="shared" si="1137"/>
        <v>1637.5286095975237</v>
      </c>
      <c r="J11036" s="552">
        <f t="shared" si="1135"/>
        <v>515.14285714285711</v>
      </c>
      <c r="K11036" s="310">
        <f>J11036/POBLA!$B$19*100000</f>
        <v>101.34064170040941</v>
      </c>
      <c r="L11036" s="202">
        <f t="shared" si="1138"/>
        <v>-0.11182266009852215</v>
      </c>
      <c r="M11036" s="512">
        <f>SUM(C11036,C11012,C10988,C10964,C10940,C10916,C10892)/POBLA!$B$19*100000</f>
        <v>709.38449190286588</v>
      </c>
      <c r="N11036" s="42" t="s">
        <v>36</v>
      </c>
      <c r="O11036" s="42">
        <v>442</v>
      </c>
      <c r="P11036" s="42">
        <v>55684</v>
      </c>
    </row>
    <row r="11037" spans="1:16" x14ac:dyDescent="0.25">
      <c r="A11037" s="402" t="s">
        <v>37</v>
      </c>
      <c r="B11037" s="269">
        <v>44352</v>
      </c>
      <c r="C11037" s="608">
        <v>224</v>
      </c>
      <c r="D11037" s="39">
        <f t="shared" si="1136"/>
        <v>52627</v>
      </c>
      <c r="E11037" s="1">
        <v>2</v>
      </c>
      <c r="F11037" s="39">
        <f t="shared" si="1133"/>
        <v>798</v>
      </c>
      <c r="G11037" s="169">
        <f>SUM(C11037,C11013,C10989,C10965,C10941,C10917,C10893,C10869,C10845,C10821,C10797,C10773,C10749,C10725)/POBLA!$B$20*100000</f>
        <v>756.08835705965032</v>
      </c>
      <c r="H11037" s="258">
        <f t="shared" si="1139"/>
        <v>0.80753504672897192</v>
      </c>
      <c r="I11037" s="310">
        <f t="shared" si="1137"/>
        <v>610.56784674939638</v>
      </c>
      <c r="J11037" s="552">
        <f t="shared" si="1135"/>
        <v>202</v>
      </c>
      <c r="K11037" s="310">
        <f>J11037/POBLA!$B$20*100000</f>
        <v>55.236834765298141</v>
      </c>
      <c r="L11037" s="202">
        <f t="shared" si="1138"/>
        <v>4.663212435233155E-2</v>
      </c>
      <c r="M11037" s="512">
        <f>SUM(C11037,C11013,C10989,C10965,C10941,C10917,C10893)/POBLA!$B$20*100000</f>
        <v>386.65784335708702</v>
      </c>
      <c r="N11037" s="42" t="s">
        <v>37</v>
      </c>
      <c r="O11037" s="42">
        <v>224</v>
      </c>
      <c r="P11037" s="42">
        <v>52627</v>
      </c>
    </row>
    <row r="11038" spans="1:16" x14ac:dyDescent="0.25">
      <c r="A11038" s="402" t="s">
        <v>22</v>
      </c>
      <c r="B11038" s="269">
        <v>44352</v>
      </c>
      <c r="C11038" s="608">
        <v>2375</v>
      </c>
      <c r="D11038" s="39">
        <f t="shared" si="1136"/>
        <v>360283</v>
      </c>
      <c r="E11038" s="1">
        <v>11</v>
      </c>
      <c r="F11038" s="39">
        <f t="shared" si="1133"/>
        <v>5725</v>
      </c>
      <c r="G11038" s="169">
        <f>SUM(C11038,C11014,C10990,C10966,C10942,C10918,C10894,C10870,C10846,C10822,C10798,C10774,C10750,C10726)/POBLA!$B$21*100000</f>
        <v>1119.3529724144601</v>
      </c>
      <c r="H11038" s="258">
        <f t="shared" si="1139"/>
        <v>1.220215159828612</v>
      </c>
      <c r="I11038" s="310">
        <f t="shared" si="1137"/>
        <v>1365.8514661393422</v>
      </c>
      <c r="J11038" s="552">
        <f t="shared" si="1135"/>
        <v>2883.8571428571427</v>
      </c>
      <c r="K11038" s="310">
        <f>J11038/POBLA!$B$21*100000</f>
        <v>81.54740595871705</v>
      </c>
      <c r="L11038" s="202">
        <f t="shared" si="1138"/>
        <v>4.0674296319208159E-2</v>
      </c>
      <c r="M11038" s="512">
        <f>SUM(C11038,C11014,C10990,C10966,C10942,C10918,C10894)/POBLA!$B$21*100000</f>
        <v>570.83184171101948</v>
      </c>
      <c r="N11038" s="42" t="s">
        <v>22</v>
      </c>
      <c r="O11038" s="42">
        <v>2375</v>
      </c>
      <c r="P11038" s="42">
        <v>360283</v>
      </c>
    </row>
    <row r="11039" spans="1:16" x14ac:dyDescent="0.25">
      <c r="A11039" s="402" t="s">
        <v>38</v>
      </c>
      <c r="B11039" s="269">
        <v>44352</v>
      </c>
      <c r="C11039" s="608">
        <v>616</v>
      </c>
      <c r="D11039" s="39">
        <f t="shared" si="1136"/>
        <v>46795</v>
      </c>
      <c r="E11039" s="1">
        <v>10</v>
      </c>
      <c r="F11039" s="39">
        <f t="shared" si="1133"/>
        <v>572</v>
      </c>
      <c r="G11039" s="169">
        <f>SUM(C11039,C11015,C10991,C10967,C10943,C10919,C10895,C10871,C10847,C10823,C10799,C10775,C10751,C10727)/POBLA!$B$22*100000</f>
        <v>790.34010587613579</v>
      </c>
      <c r="H11039" s="258">
        <f t="shared" si="1139"/>
        <v>1.1813598166539343</v>
      </c>
      <c r="I11039" s="310">
        <f t="shared" si="1137"/>
        <v>933.67604257208279</v>
      </c>
      <c r="J11039" s="552">
        <f t="shared" si="1135"/>
        <v>547.71428571428567</v>
      </c>
      <c r="K11039" s="310">
        <f>J11039/POBLA!$B$22*100000</f>
        <v>55.985588018792107</v>
      </c>
      <c r="L11039" s="202">
        <f t="shared" si="1138"/>
        <v>-1.641867624422777E-2</v>
      </c>
      <c r="M11039" s="512">
        <f>SUM(C11039,C11015,C10991,C10967,C10943,C10919,C10895)/POBLA!$B$22*100000</f>
        <v>391.89911613154482</v>
      </c>
      <c r="N11039" s="42" t="s">
        <v>38</v>
      </c>
      <c r="O11039" s="42">
        <v>616</v>
      </c>
      <c r="P11039" s="42">
        <v>46795</v>
      </c>
    </row>
    <row r="11040" spans="1:16" x14ac:dyDescent="0.25">
      <c r="A11040" s="402" t="s">
        <v>39</v>
      </c>
      <c r="B11040" s="269">
        <v>44352</v>
      </c>
      <c r="C11040" s="608">
        <v>24</v>
      </c>
      <c r="D11040" s="39">
        <f t="shared" si="1136"/>
        <v>28779</v>
      </c>
      <c r="E11040" s="1">
        <v>1</v>
      </c>
      <c r="F11040" s="39">
        <f t="shared" si="1133"/>
        <v>426</v>
      </c>
      <c r="G11040" s="169">
        <f>SUM(C11040,C11016,C10992,C10968,C10944,C10920,C10896,C10872,C10848,C10824,C10800,C10776,C10752,C10728)/POBLA!$B$23*100000</f>
        <v>445.06022733699035</v>
      </c>
      <c r="H11040" s="258">
        <f t="shared" si="1139"/>
        <v>0.77536945812807878</v>
      </c>
      <c r="I11040" s="310">
        <f t="shared" si="1137"/>
        <v>345.08610730464176</v>
      </c>
      <c r="J11040" s="552">
        <f t="shared" si="1135"/>
        <v>51.428571428571431</v>
      </c>
      <c r="K11040" s="310">
        <f>J11040/POBLA!$B$23*100000</f>
        <v>29.083623496336273</v>
      </c>
      <c r="L11040" s="202">
        <f t="shared" si="1138"/>
        <v>-0.15690866510538637</v>
      </c>
      <c r="M11040" s="512">
        <f>SUM(C11040,C11016,C10992,C10968,C10944,C10920,C10896)/POBLA!$B$23*100000</f>
        <v>203.58536447435392</v>
      </c>
      <c r="N11040" s="42" t="s">
        <v>39</v>
      </c>
      <c r="O11040" s="42">
        <v>24</v>
      </c>
      <c r="P11040" s="42">
        <v>28779</v>
      </c>
    </row>
    <row r="11041" spans="1:16" ht="15.75" thickBot="1" x14ac:dyDescent="0.3">
      <c r="A11041" s="403" t="s">
        <v>40</v>
      </c>
      <c r="B11041" s="270">
        <v>44352</v>
      </c>
      <c r="C11041" s="608">
        <v>602</v>
      </c>
      <c r="D11041" s="67">
        <f t="shared" si="1136"/>
        <v>134566</v>
      </c>
      <c r="E11041" s="234">
        <v>14</v>
      </c>
      <c r="F11041" s="67">
        <f t="shared" si="1133"/>
        <v>1940</v>
      </c>
      <c r="G11041" s="257">
        <f>SUM(C11041,C11017,C10993,C10969,C10945,C10921,C10897,C10873,C10849,C10825,C10801,C10777,C10753,C10729)/POBLA!$B$24*100000</f>
        <v>809.01374674270176</v>
      </c>
      <c r="H11041" s="259">
        <f t="shared" si="1139"/>
        <v>1.2915685350918511</v>
      </c>
      <c r="I11041" s="312">
        <f t="shared" si="1137"/>
        <v>1044.8966997496411</v>
      </c>
      <c r="J11041" s="566">
        <f t="shared" si="1135"/>
        <v>917.71428571428567</v>
      </c>
      <c r="K11041" s="312">
        <f>J11041/POBLA!$B$24*100000</f>
        <v>54.153426165209083</v>
      </c>
      <c r="L11041" s="262">
        <f t="shared" si="1138"/>
        <v>-0.11830908591819933</v>
      </c>
      <c r="M11041" s="517">
        <f>SUM(C11041,C11017,C10993,C10969,C10945,C10921,C10897)/POBLA!$B$24*100000</f>
        <v>379.07398315646361</v>
      </c>
      <c r="N11041" s="42" t="s">
        <v>40</v>
      </c>
      <c r="O11041" s="42">
        <v>602</v>
      </c>
      <c r="P11041" s="42">
        <v>134566</v>
      </c>
    </row>
    <row r="11042" spans="1:16" x14ac:dyDescent="0.25">
      <c r="A11042" s="397" t="s">
        <v>16</v>
      </c>
      <c r="B11042" s="267">
        <v>44353</v>
      </c>
      <c r="C11042" s="545">
        <v>4479</v>
      </c>
      <c r="D11042" s="175">
        <f t="shared" si="1136"/>
        <v>1669915</v>
      </c>
      <c r="E11042" s="43">
        <v>225</v>
      </c>
      <c r="F11042" s="175">
        <f t="shared" ref="F11042:F11065" si="1140">E11042+F11018</f>
        <v>41726</v>
      </c>
      <c r="G11042" s="176">
        <f>SUM(C11042,C11018,C10994,C10970,C10946,C10922,C10898,C10874,C10850,C10826,C10802,C10778,C10754,C10730)/POBLA!$B$1*100000</f>
        <v>834.97419010542126</v>
      </c>
      <c r="H11042" s="313">
        <f t="shared" si="1139"/>
        <v>0.98563247397357989</v>
      </c>
      <c r="I11042" s="314">
        <f>G11042*H11042</f>
        <v>822.97767669769257</v>
      </c>
      <c r="J11042" s="551">
        <f>AVERAGE(C11042,C11018,C10994,C10970,C10946,C10922,C10898)</f>
        <v>9950.1428571428569</v>
      </c>
      <c r="K11042" s="314">
        <f>J11042/POBLA!$B$1*100000</f>
        <v>56.724604500601508</v>
      </c>
      <c r="L11042" s="510">
        <f t="shared" si="1138"/>
        <v>-9.3239425618059424E-2</v>
      </c>
      <c r="M11042" s="511">
        <f>SUM(C11042,C11018,C10994,C10970,C10946,C10922,C10898)/POBLA!$B$1*100000</f>
        <v>397.07223150421055</v>
      </c>
      <c r="N11042"/>
    </row>
    <row r="11043" spans="1:16" x14ac:dyDescent="0.25">
      <c r="A11043" s="402" t="s">
        <v>43</v>
      </c>
      <c r="B11043" s="2">
        <v>44353</v>
      </c>
      <c r="C11043" s="4">
        <v>1204</v>
      </c>
      <c r="D11043" s="39">
        <f t="shared" si="1136"/>
        <v>429699</v>
      </c>
      <c r="E11043" s="1">
        <v>9</v>
      </c>
      <c r="F11043" s="39">
        <f t="shared" si="1140"/>
        <v>9376</v>
      </c>
      <c r="G11043" s="169">
        <f>SUM(C11043,C11019,C10995,C10971,C10947,C10923,C10899,C10875,C10851,C10827,C10803,C10779,C10755,C10731)/POBLA!$B$2*100000</f>
        <v>1035.2296720753948</v>
      </c>
      <c r="H11043" s="258">
        <f t="shared" si="1139"/>
        <v>0.88456730101402969</v>
      </c>
      <c r="I11043" s="310">
        <f t="shared" ref="I11043:I11049" si="1141">G11043*H11043</f>
        <v>915.73031695737097</v>
      </c>
      <c r="J11043" s="552">
        <f t="shared" ref="J11043:J11065" si="1142">AVERAGE(C11043,C11019,C10995,C10971,C10947,C10923,C10899)</f>
        <v>1936.2857142857142</v>
      </c>
      <c r="K11043" s="310">
        <f>J11043/POBLA!$B$2*100000</f>
        <v>62.955415359430646</v>
      </c>
      <c r="L11043" s="202">
        <f t="shared" si="1138"/>
        <v>-0.25877720660614678</v>
      </c>
      <c r="M11043" s="512">
        <f>SUM(C11043,C11019,C10995,C10971,C10947,C10923,C10899)/POBLA!$B$2*100000</f>
        <v>440.68790751601455</v>
      </c>
      <c r="N11043"/>
    </row>
    <row r="11044" spans="1:16" x14ac:dyDescent="0.25">
      <c r="A11044" s="402" t="s">
        <v>28</v>
      </c>
      <c r="B11044" s="2">
        <v>44353</v>
      </c>
      <c r="C11044" s="4">
        <v>323</v>
      </c>
      <c r="D11044" s="39">
        <f t="shared" si="1136"/>
        <v>26273</v>
      </c>
      <c r="E11044" s="1">
        <v>7</v>
      </c>
      <c r="F11044" s="39">
        <f t="shared" si="1140"/>
        <v>199</v>
      </c>
      <c r="G11044" s="169">
        <f>SUM(C11044,C11020,C10996,C10972,C10948,C10924,C10900,C10876,C10852,C10828,C10804,C10780,C10756,C10732)/POBLA!$B$3*100000</f>
        <v>1435.1118578464175</v>
      </c>
      <c r="H11044" s="258">
        <f t="shared" si="1139"/>
        <v>1.4397488529340738</v>
      </c>
      <c r="I11044" s="310">
        <f t="shared" si="1141"/>
        <v>2066.2006511664672</v>
      </c>
      <c r="J11044" s="552">
        <f t="shared" si="1142"/>
        <v>407.85714285714283</v>
      </c>
      <c r="K11044" s="310">
        <f>J11044/POBLA!$B$3*100000</f>
        <v>98.175213354855074</v>
      </c>
      <c r="L11044" s="202">
        <f t="shared" si="1138"/>
        <v>-8.110717734148698E-2</v>
      </c>
      <c r="M11044" s="512">
        <f>SUM(C11044,C11020,C10996,C10972,C10948,C10924,C10900)/POBLA!$B$3*100000</f>
        <v>687.22649348398556</v>
      </c>
      <c r="N11044"/>
    </row>
    <row r="11045" spans="1:16" x14ac:dyDescent="0.25">
      <c r="A11045" s="402" t="s">
        <v>15</v>
      </c>
      <c r="B11045" s="2">
        <v>44353</v>
      </c>
      <c r="C11045" s="4">
        <v>714</v>
      </c>
      <c r="D11045" s="39">
        <f t="shared" si="1136"/>
        <v>62826</v>
      </c>
      <c r="E11045" s="1">
        <v>4</v>
      </c>
      <c r="F11045" s="39">
        <f t="shared" si="1140"/>
        <v>1309</v>
      </c>
      <c r="G11045" s="169">
        <f>SUM(C11045,C11021,C10997,C10973,C10949,C10925,C10901,C10877,C10853,C10829,C10805,C10781,C10757,C10733)/POBLA!$B$4*100000</f>
        <v>783.11987719803642</v>
      </c>
      <c r="H11045" s="258">
        <f t="shared" si="1139"/>
        <v>1.4706891175553476</v>
      </c>
      <c r="I11045" s="310">
        <f t="shared" si="1141"/>
        <v>1151.7258811364325</v>
      </c>
      <c r="J11045" s="552">
        <f t="shared" si="1142"/>
        <v>728.42857142857144</v>
      </c>
      <c r="K11045" s="310">
        <f>J11045/POBLA!$B$4*100000</f>
        <v>60.473539001874691</v>
      </c>
      <c r="L11045" s="202">
        <f t="shared" si="1138"/>
        <v>0.17651130595293041</v>
      </c>
      <c r="M11045" s="512">
        <f>SUM(C11045,C11021,C10997,C10973,C10949,C10925,C10901)/POBLA!$B$4*100000</f>
        <v>423.31477301312287</v>
      </c>
    </row>
    <row r="11046" spans="1:16" x14ac:dyDescent="0.25">
      <c r="A11046" s="402" t="s">
        <v>29</v>
      </c>
      <c r="B11046" s="2">
        <v>44353</v>
      </c>
      <c r="C11046" s="4">
        <v>222</v>
      </c>
      <c r="D11046" s="39">
        <f t="shared" si="1136"/>
        <v>65267</v>
      </c>
      <c r="F11046" s="39">
        <f t="shared" si="1140"/>
        <v>1078</v>
      </c>
      <c r="G11046" s="169">
        <f>SUM(C11046,C11022,C10998,C10974,C10950,C10926,C10902,C10878,C10854,C10830,C10806,C10782,C10758,C10734)/POBLA!$B$5*100000</f>
        <v>843.1422598603541</v>
      </c>
      <c r="H11046" s="258">
        <f t="shared" si="1139"/>
        <v>1.4086369770580296</v>
      </c>
      <c r="I11046" s="310">
        <f t="shared" si="1141"/>
        <v>1187.6813641595647</v>
      </c>
      <c r="J11046" s="552">
        <f t="shared" si="1142"/>
        <v>423.57142857142856</v>
      </c>
      <c r="K11046" s="310">
        <f>J11046/POBLA!$B$5*100000</f>
        <v>68.42900392757096</v>
      </c>
      <c r="L11046" s="202">
        <f t="shared" si="1138"/>
        <v>0.31543921916592721</v>
      </c>
      <c r="M11046" s="512">
        <f>SUM(C11046,C11022,C10998,C10974,C10950,C10926,C10902)/POBLA!$B$5*100000</f>
        <v>479.00302749299664</v>
      </c>
    </row>
    <row r="11047" spans="1:16" x14ac:dyDescent="0.25">
      <c r="A11047" s="402" t="s">
        <v>30</v>
      </c>
      <c r="B11047" s="2">
        <v>44353</v>
      </c>
      <c r="C11047" s="4">
        <v>722</v>
      </c>
      <c r="D11047" s="39">
        <f t="shared" si="1136"/>
        <v>54637</v>
      </c>
      <c r="F11047" s="39">
        <f t="shared" si="1140"/>
        <v>637</v>
      </c>
      <c r="G11047" s="169">
        <f>SUM(C11047,C11023,C10999,C10975,C10951,C10927,C10903,C10879,C10855,C10831,C10807,C10783,C10759,C10735)/POBLA!$B$6*100000</f>
        <v>637.66895282927123</v>
      </c>
      <c r="H11047" s="258">
        <f t="shared" si="1139"/>
        <v>0.86745964316057778</v>
      </c>
      <c r="I11047" s="310">
        <f t="shared" si="1141"/>
        <v>553.1520822758589</v>
      </c>
      <c r="J11047" s="552">
        <f t="shared" si="1142"/>
        <v>503.42857142857144</v>
      </c>
      <c r="K11047" s="310">
        <f>J11047/POBLA!$B$6*100000</f>
        <v>44.916856018916064</v>
      </c>
      <c r="L11047" s="202">
        <f t="shared" si="1138"/>
        <v>-2.7325420921887944E-2</v>
      </c>
      <c r="M11047" s="512">
        <f>SUM(C11047,C11023,C10999,C10975,C10951,C10927,C10903)/POBLA!$B$6*100000</f>
        <v>314.41799213241245</v>
      </c>
    </row>
    <row r="11048" spans="1:16" x14ac:dyDescent="0.25">
      <c r="A11048" s="402" t="s">
        <v>20</v>
      </c>
      <c r="B11048" s="2">
        <v>44353</v>
      </c>
      <c r="C11048" s="4">
        <v>2661</v>
      </c>
      <c r="D11048" s="39">
        <f t="shared" si="1136"/>
        <v>338461</v>
      </c>
      <c r="E11048" s="1">
        <v>16</v>
      </c>
      <c r="F11048" s="39">
        <f t="shared" si="1140"/>
        <v>4122</v>
      </c>
      <c r="G11048" s="169">
        <f>SUM(C11048,C11024,C11000,C10976,C10952,C10928,C10904,C10880,C10856,C10832,C10808,C10784,C10760,C10736)/POBLA!$B$7*100000</f>
        <v>1524.2590647395923</v>
      </c>
      <c r="H11048" s="258">
        <f t="shared" si="1139"/>
        <v>1.4136782913234351</v>
      </c>
      <c r="I11048" s="310">
        <f t="shared" si="1141"/>
        <v>2154.811950175324</v>
      </c>
      <c r="J11048" s="552">
        <f t="shared" si="1142"/>
        <v>4306.2857142857147</v>
      </c>
      <c r="K11048" s="310">
        <f>J11048/POBLA!$B$7*100000</f>
        <v>114.5151701069211</v>
      </c>
      <c r="L11048" s="202">
        <f t="shared" si="1138"/>
        <v>0.10925482980680767</v>
      </c>
      <c r="M11048" s="512">
        <f>SUM(C11048,C11024,C11000,C10976,C10952,C10928,C10904)/POBLA!$B$7*100000</f>
        <v>801.6061907484476</v>
      </c>
    </row>
    <row r="11049" spans="1:16" x14ac:dyDescent="0.25">
      <c r="A11049" s="402" t="s">
        <v>31</v>
      </c>
      <c r="B11049" s="2">
        <v>44353</v>
      </c>
      <c r="C11049" s="4">
        <v>513</v>
      </c>
      <c r="D11049" s="39">
        <f t="shared" si="1136"/>
        <v>91709</v>
      </c>
      <c r="E11049" s="1">
        <v>11</v>
      </c>
      <c r="F11049" s="39">
        <f t="shared" si="1140"/>
        <v>1407</v>
      </c>
      <c r="G11049" s="169">
        <f>SUM(C11049,C11025,C11001,C10977,C10953,C10929,C10905,C10881,C10857,C10833,C10809,C10785,C10761,C10737)/POBLA!$B$8*100000</f>
        <v>964.52930493715178</v>
      </c>
      <c r="H11049" s="258">
        <f t="shared" si="1139"/>
        <v>1.2255225522552256</v>
      </c>
      <c r="I11049" s="310">
        <f t="shared" si="1141"/>
        <v>1182.052415511537</v>
      </c>
      <c r="J11049" s="552">
        <f t="shared" si="1142"/>
        <v>953.71428571428567</v>
      </c>
      <c r="K11049" s="310">
        <f>J11049/POBLA!$B$8*100000</f>
        <v>68.812490807049087</v>
      </c>
      <c r="L11049" s="202">
        <f t="shared" si="1138"/>
        <v>-2.3909145248057762E-3</v>
      </c>
      <c r="M11049" s="512">
        <f>SUM(C11049,C11025,C11001,C10977,C10953,C10929,C10905)/POBLA!$B$8*100000</f>
        <v>481.68743564934368</v>
      </c>
    </row>
    <row r="11050" spans="1:16" x14ac:dyDescent="0.25">
      <c r="A11050" s="402" t="s">
        <v>41</v>
      </c>
      <c r="B11050" s="2">
        <v>44353</v>
      </c>
      <c r="C11050" s="4">
        <v>468</v>
      </c>
      <c r="D11050" s="39">
        <f t="shared" si="1136"/>
        <v>35262</v>
      </c>
      <c r="E11050" s="1">
        <v>13</v>
      </c>
      <c r="F11050" s="39">
        <f t="shared" si="1140"/>
        <v>559</v>
      </c>
      <c r="G11050" s="169">
        <f>SUM(C11050,C11026,C11002,C10978,C10954,C10930,C10906,C10882,C10858,C10834,C10810,C10786,C10762,C10738)/POBLA!$B$9*100000</f>
        <v>1998.3707676724614</v>
      </c>
      <c r="H11050" s="258">
        <f t="shared" si="1139"/>
        <v>0.70045175489401135</v>
      </c>
      <c r="I11050" s="310">
        <f>G11050*H11050</f>
        <v>1399.7623111450682</v>
      </c>
      <c r="J11050" s="552">
        <f t="shared" si="1142"/>
        <v>802.14285714285711</v>
      </c>
      <c r="K11050" s="310">
        <f>J11050/POBLA!$B$9*100000</f>
        <v>132.54331380945536</v>
      </c>
      <c r="L11050" s="202">
        <f>(SUM(C11050,C11026,C11002,C10978,C10954,C10930,C10906)/SUM(C10882,C10858,C10834,C10810,C10786,C10762,C10738))-1</f>
        <v>-0.13335391264083962</v>
      </c>
      <c r="M11050" s="512">
        <f>SUM(C11050,C11026,C11002,C10978,C10954,C10930,C10906)/POBLA!$B$9*100000</f>
        <v>927.80319666618743</v>
      </c>
    </row>
    <row r="11051" spans="1:16" x14ac:dyDescent="0.25">
      <c r="A11051" s="402" t="s">
        <v>32</v>
      </c>
      <c r="B11051" s="2">
        <v>44353</v>
      </c>
      <c r="C11051" s="4">
        <v>140</v>
      </c>
      <c r="D11051" s="39">
        <f t="shared" si="1136"/>
        <v>29732</v>
      </c>
      <c r="F11051" s="39">
        <f t="shared" si="1140"/>
        <v>1092</v>
      </c>
      <c r="G11051" s="169">
        <f>SUM(C11051,C11027,C11003,C10979,C10955,C10931,C10907,C10883,C10859,C10835,C10811,C10787,C10763,C10739)/POBLA!$B$10*100000</f>
        <v>337.53588426748098</v>
      </c>
      <c r="H11051" s="258">
        <f t="shared" si="1139"/>
        <v>1.767663043478261</v>
      </c>
      <c r="I11051" s="310">
        <f t="shared" ref="I11051:I11065" si="1143">G11051*H11051</f>
        <v>596.64970846738152</v>
      </c>
      <c r="J11051" s="552">
        <f t="shared" si="1142"/>
        <v>217.14285714285714</v>
      </c>
      <c r="K11051" s="310">
        <f>J11051/POBLA!$B$10*100000</f>
        <v>28.168142312867634</v>
      </c>
      <c r="L11051" s="202">
        <f t="shared" ref="L11051:L11073" si="1144">(SUM(C11051,C11027,C11003,C10979,C10955,C10931,C10907)/SUM(C10883,C10859,C10835,C10811,C10787,C10763,C10739))-1</f>
        <v>0.40480591497227358</v>
      </c>
      <c r="M11051" s="512">
        <f>SUM(C11051,C11027,C11003,C10979,C10955,C10931,C10907)/POBLA!$B$10*100000</f>
        <v>197.17699619007342</v>
      </c>
    </row>
    <row r="11052" spans="1:16" x14ac:dyDescent="0.25">
      <c r="A11052" s="402" t="s">
        <v>33</v>
      </c>
      <c r="B11052" s="2">
        <v>44353</v>
      </c>
      <c r="C11052" s="4">
        <v>165</v>
      </c>
      <c r="D11052" s="39">
        <f t="shared" si="1136"/>
        <v>45173</v>
      </c>
      <c r="E11052" s="1">
        <v>3</v>
      </c>
      <c r="F11052" s="39">
        <f t="shared" si="1140"/>
        <v>595</v>
      </c>
      <c r="G11052" s="169">
        <f>SUM(C11052,C11028,C11004,C10980,C10956,C10932,C10908,C10884,C10860,C10836,C10812,C10788,C10764,C10740)/POBLA!$B$11*100000</f>
        <v>1866.7626413115045</v>
      </c>
      <c r="H11052" s="258">
        <f t="shared" si="1139"/>
        <v>0.79333649513872417</v>
      </c>
      <c r="I11052" s="310">
        <f t="shared" si="1143"/>
        <v>1480.9709311139763</v>
      </c>
      <c r="J11052" s="552">
        <f t="shared" si="1142"/>
        <v>405</v>
      </c>
      <c r="K11052" s="310">
        <f>J11052/POBLA!$B$11*100000</f>
        <v>112.993404533128</v>
      </c>
      <c r="L11052" s="202">
        <f t="shared" si="1144"/>
        <v>-0.2647821576763485</v>
      </c>
      <c r="M11052" s="512">
        <f>SUM(C11052,C11028,C11004,C10980,C10956,C10932,C10908)/POBLA!$B$11*100000</f>
        <v>790.953831731896</v>
      </c>
    </row>
    <row r="11053" spans="1:16" x14ac:dyDescent="0.25">
      <c r="A11053" s="402" t="s">
        <v>21</v>
      </c>
      <c r="B11053" s="2">
        <v>44353</v>
      </c>
      <c r="C11053" s="4">
        <v>231</v>
      </c>
      <c r="D11053" s="39">
        <f t="shared" si="1136"/>
        <v>18479</v>
      </c>
      <c r="F11053" s="39">
        <f t="shared" si="1140"/>
        <v>557</v>
      </c>
      <c r="G11053" s="169">
        <f>SUM(C11053,C11029,C11005,C10981,C10957,C10933,C10909,C10885,C10861,C10837,C10813,C10789,C10765,C10741)/POBLA!$B$12*100000</f>
        <v>604.27259860087258</v>
      </c>
      <c r="H11053" s="258">
        <f t="shared" si="1139"/>
        <v>1.3101928374655647</v>
      </c>
      <c r="I11053" s="310">
        <f t="shared" si="1143"/>
        <v>791.71363056356745</v>
      </c>
      <c r="J11053" s="552">
        <f t="shared" si="1142"/>
        <v>170</v>
      </c>
      <c r="K11053" s="310">
        <f>J11053/POBLA!$B$12*100000</f>
        <v>43.198629841105273</v>
      </c>
      <c r="L11053" s="202">
        <f t="shared" si="1144"/>
        <v>1.6835016835017313E-3</v>
      </c>
      <c r="M11053" s="512">
        <f>SUM(C11053,C11029,C11005,C10981,C10957,C10933,C10909)/POBLA!$B$12*100000</f>
        <v>302.39040888773695</v>
      </c>
    </row>
    <row r="11054" spans="1:16" x14ac:dyDescent="0.25">
      <c r="A11054" s="402" t="s">
        <v>17</v>
      </c>
      <c r="B11054" s="2">
        <v>44353</v>
      </c>
      <c r="C11054" s="4">
        <v>279</v>
      </c>
      <c r="D11054" s="39">
        <f t="shared" si="1136"/>
        <v>125143</v>
      </c>
      <c r="E11054" s="1">
        <v>9</v>
      </c>
      <c r="F11054" s="39">
        <f t="shared" si="1140"/>
        <v>2743</v>
      </c>
      <c r="G11054" s="169">
        <f>SUM(C11054,C11030,C11006,C10982,C10958,C10934,C10910,C10886,C10862,C10838,C10814,C10790,C10766,C10742)/POBLA!$B$13*100000</f>
        <v>515.99276102852889</v>
      </c>
      <c r="H11054" s="258">
        <f t="shared" si="1139"/>
        <v>0.83857271168449421</v>
      </c>
      <c r="I11054" s="310">
        <f t="shared" si="1143"/>
        <v>432.69744882526265</v>
      </c>
      <c r="J11054" s="552">
        <f t="shared" si="1142"/>
        <v>752.14285714285711</v>
      </c>
      <c r="K11054" s="310">
        <f>J11054/POBLA!$B$13*100000</f>
        <v>37.789704921619197</v>
      </c>
      <c r="L11054" s="202">
        <f t="shared" si="1144"/>
        <v>5.1948051948051965E-2</v>
      </c>
      <c r="M11054" s="512">
        <f>SUM(C11054,C11030,C11006,C10982,C10958,C10934,C10910)/POBLA!$B$13*100000</f>
        <v>264.52793445133437</v>
      </c>
    </row>
    <row r="11055" spans="1:16" x14ac:dyDescent="0.25">
      <c r="A11055" s="402" t="s">
        <v>23</v>
      </c>
      <c r="B11055" s="2">
        <v>44353</v>
      </c>
      <c r="C11055" s="4">
        <v>149</v>
      </c>
      <c r="D11055" s="39">
        <f t="shared" si="1136"/>
        <v>21481</v>
      </c>
      <c r="E11055" s="1">
        <v>5</v>
      </c>
      <c r="F11055" s="39">
        <f t="shared" si="1140"/>
        <v>327</v>
      </c>
      <c r="G11055" s="169">
        <f>SUM(C11055,C11031,C11007,C10983,C10959,C10935,C10911,C10887,C10863,C10839,C10815,C10791,C10767,C10743)/POBLA!$B$14*100000</f>
        <v>195.27564548788783</v>
      </c>
      <c r="H11055" s="258">
        <f t="shared" si="1139"/>
        <v>1.1628895184135977</v>
      </c>
      <c r="I11055" s="310">
        <f t="shared" si="1143"/>
        <v>227.08400133931431</v>
      </c>
      <c r="J11055" s="552">
        <f t="shared" si="1142"/>
        <v>173.85714285714286</v>
      </c>
      <c r="K11055" s="310">
        <f>J11055/POBLA!$B$14*100000</f>
        <v>13.784029961067194</v>
      </c>
      <c r="L11055" s="202">
        <f t="shared" si="1144"/>
        <v>-2.3274478330658099E-2</v>
      </c>
      <c r="M11055" s="512">
        <f>SUM(C11055,C11031,C11007,C10983,C10959,C10935,C10911)/POBLA!$B$14*100000</f>
        <v>96.488209727470363</v>
      </c>
    </row>
    <row r="11056" spans="1:16" x14ac:dyDescent="0.25">
      <c r="A11056" s="402" t="s">
        <v>19</v>
      </c>
      <c r="B11056" s="2">
        <v>44353</v>
      </c>
      <c r="C11056" s="4">
        <v>340</v>
      </c>
      <c r="D11056" s="39">
        <f t="shared" si="1136"/>
        <v>94091</v>
      </c>
      <c r="E11056" s="1">
        <v>1</v>
      </c>
      <c r="F11056" s="39">
        <f t="shared" si="1140"/>
        <v>1419</v>
      </c>
      <c r="G11056" s="169">
        <f>SUM(C11056,C11032,C11008,C10984,C10960,C10936,C10912,C10888,C10864,C10840,C10816,C10792,C10768,C10744)/POBLA!$B$15*100000</f>
        <v>1574.2624503619418</v>
      </c>
      <c r="H11056" s="258">
        <f t="shared" si="1139"/>
        <v>1.1799097065462754</v>
      </c>
      <c r="I11056" s="310">
        <f t="shared" si="1143"/>
        <v>1857.487545833379</v>
      </c>
      <c r="J11056" s="552">
        <f t="shared" si="1142"/>
        <v>648.71428571428567</v>
      </c>
      <c r="K11056" s="310">
        <f>J11056/POBLA!$B$15*100000</f>
        <v>97.689548595118438</v>
      </c>
      <c r="L11056" s="202">
        <f t="shared" si="1144"/>
        <v>-0.23203111787586672</v>
      </c>
      <c r="M11056" s="512">
        <f>SUM(C11056,C11032,C11008,C10984,C10960,C10936,C10912)/POBLA!$B$15*100000</f>
        <v>683.82684016582914</v>
      </c>
    </row>
    <row r="11057" spans="1:16" x14ac:dyDescent="0.25">
      <c r="A11057" s="402" t="s">
        <v>18</v>
      </c>
      <c r="B11057" s="2">
        <v>44353</v>
      </c>
      <c r="C11057" s="4">
        <v>184</v>
      </c>
      <c r="D11057" s="39">
        <f t="shared" si="1136"/>
        <v>76736</v>
      </c>
      <c r="E11057" s="1">
        <v>3</v>
      </c>
      <c r="F11057" s="39">
        <f t="shared" si="1140"/>
        <v>1695</v>
      </c>
      <c r="G11057" s="169">
        <f>SUM(C11057,C11033,C11009,C10985,C10961,C10937,C10913,C10889,C10865,C10841,C10817,C10793,C10769,C10745)/POBLA!$B$16*100000</f>
        <v>888.43113387996414</v>
      </c>
      <c r="H11057" s="258">
        <f t="shared" si="1139"/>
        <v>1.0659605199807414</v>
      </c>
      <c r="I11057" s="310">
        <f t="shared" si="1143"/>
        <v>947.03251343776617</v>
      </c>
      <c r="J11057" s="552">
        <f t="shared" si="1142"/>
        <v>446</v>
      </c>
      <c r="K11057" s="310">
        <f>J11057/POBLA!$B$16*100000</f>
        <v>59.656772916360133</v>
      </c>
      <c r="L11057" s="202">
        <f t="shared" si="1144"/>
        <v>-0.11306818181818179</v>
      </c>
      <c r="M11057" s="512">
        <f>SUM(C11057,C11033,C11009,C10985,C10961,C10937,C10913)/POBLA!$B$16*100000</f>
        <v>417.59741041452094</v>
      </c>
    </row>
    <row r="11058" spans="1:16" x14ac:dyDescent="0.25">
      <c r="A11058" s="402" t="s">
        <v>34</v>
      </c>
      <c r="B11058" s="2">
        <v>44353</v>
      </c>
      <c r="C11058" s="4">
        <v>419</v>
      </c>
      <c r="D11058" s="39">
        <f t="shared" si="1136"/>
        <v>49129</v>
      </c>
      <c r="E11058" s="1">
        <v>1</v>
      </c>
      <c r="F11058" s="39">
        <f t="shared" si="1140"/>
        <v>1442</v>
      </c>
      <c r="G11058" s="169">
        <f>SUM(C11058,C11034,C11010,C10986,C10962,C10938,C10914,C10890,C10866,C10842,C10818,C10794,C10770,C10746)/POBLA!$B$17*100000</f>
        <v>518.04377571702275</v>
      </c>
      <c r="H11058" s="258">
        <f t="shared" ref="H11058:H11081" si="1145">SUM(C11058,C11034,C11010,C10986,C10962,C10938,C10914,C10890,C10866,C10842,C10818,C10794,C10770,C10746)/SUM(C10722,C10698,C10674,C10650,C10626,C10602,C10578,C10554,C10530,C10506,C10482,C10458,C10434,C10410)</f>
        <v>1.3933157099697886</v>
      </c>
      <c r="I11058" s="310">
        <f t="shared" si="1143"/>
        <v>721.79853115859351</v>
      </c>
      <c r="J11058" s="552">
        <f t="shared" si="1142"/>
        <v>596.71428571428567</v>
      </c>
      <c r="K11058" s="310">
        <f>J11058/POBLA!$B$17*100000</f>
        <v>41.89241382243052</v>
      </c>
      <c r="L11058" s="202">
        <f t="shared" si="1144"/>
        <v>0.30449718925671454</v>
      </c>
      <c r="M11058" s="512">
        <f>SUM(C11058,C11034,C11010,C10986,C10962,C10938,C10914)/POBLA!$B$17*100000</f>
        <v>293.24689675701364</v>
      </c>
    </row>
    <row r="11059" spans="1:16" x14ac:dyDescent="0.25">
      <c r="A11059" s="402" t="s">
        <v>35</v>
      </c>
      <c r="B11059" s="2">
        <v>44353</v>
      </c>
      <c r="C11059" s="4">
        <v>135</v>
      </c>
      <c r="D11059" s="39">
        <f t="shared" si="1136"/>
        <v>39625</v>
      </c>
      <c r="E11059" s="1">
        <v>3</v>
      </c>
      <c r="F11059" s="39">
        <f t="shared" si="1140"/>
        <v>667</v>
      </c>
      <c r="G11059" s="169">
        <f>SUM(C11059,C11035,C11011,C10987,C10963,C10939,C10915,C10891,C10867,C10843,C10819,C10795,C10771,C10747)/POBLA!$B$18*100000</f>
        <v>831.90713975758342</v>
      </c>
      <c r="H11059" s="258">
        <f t="shared" si="1145"/>
        <v>0.94462209302325584</v>
      </c>
      <c r="I11059" s="310">
        <f t="shared" si="1143"/>
        <v>785.83786355879863</v>
      </c>
      <c r="J11059" s="552">
        <f t="shared" si="1142"/>
        <v>430.85714285714283</v>
      </c>
      <c r="K11059" s="310">
        <f>J11059/POBLA!$B$18*100000</f>
        <v>55.152043908048967</v>
      </c>
      <c r="L11059" s="202">
        <f t="shared" si="1144"/>
        <v>-0.13407981625035892</v>
      </c>
      <c r="M11059" s="512">
        <f>SUM(C11059,C11035,C11011,C10987,C10963,C10939,C10915)/POBLA!$B$18*100000</f>
        <v>386.06430735634274</v>
      </c>
    </row>
    <row r="11060" spans="1:16" x14ac:dyDescent="0.25">
      <c r="A11060" s="402" t="s">
        <v>36</v>
      </c>
      <c r="B11060" s="2">
        <v>44353</v>
      </c>
      <c r="C11060" s="4">
        <v>435</v>
      </c>
      <c r="D11060" s="39">
        <f t="shared" si="1136"/>
        <v>56119</v>
      </c>
      <c r="F11060" s="39">
        <f t="shared" si="1140"/>
        <v>760</v>
      </c>
      <c r="G11060" s="169">
        <f>SUM(C11060,C11036,C11012,C10988,C10964,C10940,C10916,C10892,C10868,C10844,C10820,C10796,C10772,C10748)/POBLA!$B$19*100000</f>
        <v>1459.4907225256134</v>
      </c>
      <c r="H11060" s="258">
        <f t="shared" si="1145"/>
        <v>1.0231692180388912</v>
      </c>
      <c r="I11060" s="310">
        <f t="shared" si="1143"/>
        <v>1493.3059813015482</v>
      </c>
      <c r="J11060" s="552">
        <f t="shared" si="1142"/>
        <v>512.57142857142856</v>
      </c>
      <c r="K11060" s="310">
        <f>J11060/POBLA!$B$19*100000</f>
        <v>100.83478159208789</v>
      </c>
      <c r="L11060" s="202">
        <f t="shared" si="1144"/>
        <v>-6.3429913860610809E-2</v>
      </c>
      <c r="M11060" s="512">
        <f>SUM(C11060,C11036,C11012,C10988,C10964,C10940,C10916)/POBLA!$B$19*100000</f>
        <v>705.84347114461525</v>
      </c>
    </row>
    <row r="11061" spans="1:16" x14ac:dyDescent="0.25">
      <c r="A11061" s="402" t="s">
        <v>37</v>
      </c>
      <c r="B11061" s="2">
        <v>44353</v>
      </c>
      <c r="C11061" s="4">
        <v>81</v>
      </c>
      <c r="D11061" s="39">
        <f t="shared" si="1136"/>
        <v>52708</v>
      </c>
      <c r="E11061" s="1">
        <v>2</v>
      </c>
      <c r="F11061" s="39">
        <f t="shared" si="1140"/>
        <v>800</v>
      </c>
      <c r="G11061" s="169">
        <f>SUM(C11061,C11037,C11013,C10989,C10965,C10941,C10917,C10893,C10869,C10845,C10821,C10797,C10773,C10749)/POBLA!$B$20*100000</f>
        <v>742.41587320685369</v>
      </c>
      <c r="H11061" s="258">
        <f t="shared" si="1145"/>
        <v>0.79085348092047769</v>
      </c>
      <c r="I11061" s="310">
        <f t="shared" si="1143"/>
        <v>587.14217761625628</v>
      </c>
      <c r="J11061" s="552">
        <f t="shared" si="1142"/>
        <v>197.71428571428572</v>
      </c>
      <c r="K11061" s="310">
        <f>J11061/POBLA!$B$20*100000</f>
        <v>54.064907577915577</v>
      </c>
      <c r="L11061" s="202">
        <f t="shared" si="1144"/>
        <v>3.981968444778361E-2</v>
      </c>
      <c r="M11061" s="512">
        <f>SUM(C11061,C11037,C11013,C10989,C10965,C10941,C10917)/POBLA!$B$20*100000</f>
        <v>378.45435304540905</v>
      </c>
    </row>
    <row r="11062" spans="1:16" x14ac:dyDescent="0.25">
      <c r="A11062" s="402" t="s">
        <v>22</v>
      </c>
      <c r="B11062" s="2">
        <v>44353</v>
      </c>
      <c r="C11062" s="4">
        <v>1504</v>
      </c>
      <c r="D11062" s="39">
        <f t="shared" si="1136"/>
        <v>361787</v>
      </c>
      <c r="E11062" s="1">
        <v>13</v>
      </c>
      <c r="F11062" s="39">
        <f t="shared" si="1140"/>
        <v>5738</v>
      </c>
      <c r="G11062" s="169">
        <f>SUM(C11062,C11038,C11014,C10990,C10966,C10942,C10918,C10894,C10870,C10846,C10822,C10798,C10774,C10750)/POBLA!$B$21*100000</f>
        <v>1108.5228047136961</v>
      </c>
      <c r="H11062" s="258">
        <f t="shared" si="1145"/>
        <v>1.1708030941074574</v>
      </c>
      <c r="I11062" s="310">
        <f t="shared" si="1143"/>
        <v>1297.8619296474722</v>
      </c>
      <c r="J11062" s="552">
        <f t="shared" si="1142"/>
        <v>2735.8571428571427</v>
      </c>
      <c r="K11062" s="310">
        <f>J11062/POBLA!$B$21*100000</f>
        <v>77.362380319779575</v>
      </c>
      <c r="L11062" s="202">
        <f t="shared" si="1144"/>
        <v>-4.4885541868236012E-2</v>
      </c>
      <c r="M11062" s="512">
        <f>SUM(C11062,C11038,C11014,C10990,C10966,C10942,C10918)/POBLA!$B$21*100000</f>
        <v>541.5366622384571</v>
      </c>
    </row>
    <row r="11063" spans="1:16" x14ac:dyDescent="0.25">
      <c r="A11063" s="402" t="s">
        <v>38</v>
      </c>
      <c r="B11063" s="2">
        <v>44353</v>
      </c>
      <c r="C11063" s="4">
        <v>472</v>
      </c>
      <c r="D11063" s="39">
        <f t="shared" si="1136"/>
        <v>47267</v>
      </c>
      <c r="E11063" s="1">
        <v>12</v>
      </c>
      <c r="F11063" s="39">
        <f t="shared" si="1140"/>
        <v>584</v>
      </c>
      <c r="G11063" s="169">
        <f>SUM(C11063,C11039,C11015,C10991,C10967,C10943,C10919,C10895,C10871,C10847,C10823,C10799,C10775,C10751)/POBLA!$B$22*100000</f>
        <v>797.49528014040493</v>
      </c>
      <c r="H11063" s="258">
        <f t="shared" si="1145"/>
        <v>1.171295601261072</v>
      </c>
      <c r="I11063" s="310">
        <f t="shared" si="1143"/>
        <v>934.1027136549227</v>
      </c>
      <c r="J11063" s="552">
        <f t="shared" si="1142"/>
        <v>556.42857142857144</v>
      </c>
      <c r="K11063" s="310">
        <f>J11063/POBLA!$B$22*100000</f>
        <v>56.876334202711348</v>
      </c>
      <c r="L11063" s="202">
        <f t="shared" si="1144"/>
        <v>-3.0714102892244188E-3</v>
      </c>
      <c r="M11063" s="512">
        <f>SUM(C11063,C11039,C11015,C10991,C10967,C10943,C10919)/POBLA!$B$22*100000</f>
        <v>398.13433941897938</v>
      </c>
    </row>
    <row r="11064" spans="1:16" x14ac:dyDescent="0.25">
      <c r="A11064" s="402" t="s">
        <v>39</v>
      </c>
      <c r="B11064" s="2">
        <v>44353</v>
      </c>
      <c r="C11064" s="4">
        <v>40</v>
      </c>
      <c r="D11064" s="39">
        <f t="shared" si="1136"/>
        <v>28819</v>
      </c>
      <c r="F11064" s="39">
        <f t="shared" si="1140"/>
        <v>426</v>
      </c>
      <c r="G11064" s="169">
        <f>SUM(C11064,C11040,C11016,C10992,C10968,C10944,C10920,C10896,C10872,C10848,C10824,C10800,C10776,C10752)/POBLA!$B$23*100000</f>
        <v>433.7499293106373</v>
      </c>
      <c r="H11064" s="258">
        <f t="shared" si="1145"/>
        <v>0.7424975798644724</v>
      </c>
      <c r="I11064" s="310">
        <f t="shared" si="1143"/>
        <v>322.05827277953415</v>
      </c>
      <c r="J11064" s="552">
        <f t="shared" si="1142"/>
        <v>52.571428571428569</v>
      </c>
      <c r="K11064" s="310">
        <f>J11064/POBLA!$B$23*100000</f>
        <v>29.729926240699299</v>
      </c>
      <c r="L11064" s="202">
        <f t="shared" si="1144"/>
        <v>-7.7694235588972482E-2</v>
      </c>
      <c r="M11064" s="512">
        <f>SUM(C11064,C11040,C11016,C10992,C10968,C10944,C10920)/POBLA!$B$23*100000</f>
        <v>208.10948368489511</v>
      </c>
    </row>
    <row r="11065" spans="1:16" ht="15.75" thickBot="1" x14ac:dyDescent="0.3">
      <c r="A11065" s="403" t="s">
        <v>40</v>
      </c>
      <c r="B11065" s="34">
        <v>44353</v>
      </c>
      <c r="C11065" s="27">
        <v>535</v>
      </c>
      <c r="D11065" s="67">
        <f t="shared" si="1136"/>
        <v>135101</v>
      </c>
      <c r="E11065" s="234">
        <v>10</v>
      </c>
      <c r="F11065" s="67">
        <f t="shared" si="1140"/>
        <v>1950</v>
      </c>
      <c r="G11065" s="257">
        <f>SUM(C11065,C11041,C11017,C10993,C10969,C10945,C10921,C10897,C10873,C10849,C10825,C10801,C10777,C10753)/POBLA!$B$24*100000</f>
        <v>815.85879376109369</v>
      </c>
      <c r="H11065" s="259">
        <f t="shared" si="1145"/>
        <v>1.2900998413735187</v>
      </c>
      <c r="I11065" s="312">
        <f t="shared" si="1143"/>
        <v>1052.5393004143773</v>
      </c>
      <c r="J11065" s="566">
        <f t="shared" si="1142"/>
        <v>925.42857142857144</v>
      </c>
      <c r="K11065" s="312">
        <f>J11065/POBLA!$B$24*100000</f>
        <v>54.60863865165387</v>
      </c>
      <c r="L11065" s="262">
        <f t="shared" si="1144"/>
        <v>-0.1183995645073489</v>
      </c>
      <c r="M11065" s="517">
        <f>SUM(C11065,C11041,C11017,C10993,C10969,C10945,C10921)/POBLA!$B$24*100000</f>
        <v>382.26047056157711</v>
      </c>
    </row>
    <row r="11066" spans="1:16" x14ac:dyDescent="0.25">
      <c r="A11066" s="397" t="s">
        <v>16</v>
      </c>
      <c r="B11066" s="267">
        <v>44354</v>
      </c>
      <c r="C11066" s="43">
        <v>7621</v>
      </c>
      <c r="D11066" s="175">
        <f t="shared" si="1136"/>
        <v>1677536</v>
      </c>
      <c r="E11066" s="43">
        <v>322</v>
      </c>
      <c r="F11066" s="175">
        <f t="shared" ref="F11066:F11089" si="1146">E11066+F11042</f>
        <v>42048</v>
      </c>
      <c r="G11066" s="176">
        <f>SUM(C11066,C11042,C11018,C10994,C10970,C10946,C10922,C10898,C10874,C10850,C10826,C10802,C10778,C10754)/POBLA!$B$1*100000</f>
        <v>835.38465371209327</v>
      </c>
      <c r="H11066" s="313">
        <f t="shared" si="1145"/>
        <v>0.98389230201094435</v>
      </c>
      <c r="I11066" s="314">
        <f>G11066*H11066</f>
        <v>821.92853000540708</v>
      </c>
      <c r="J11066" s="551">
        <f>AVERAGE(C11066,C11042,C11018,C10994,C10970,C10946,C10922)</f>
        <v>9607.1428571428569</v>
      </c>
      <c r="K11066" s="314">
        <f>J11066/POBLA!$B$1*100000</f>
        <v>54.769201485484082</v>
      </c>
      <c r="L11066" s="510">
        <f t="shared" si="1144"/>
        <v>-0.15180485836087076</v>
      </c>
      <c r="M11066" s="511">
        <f>SUM(C11066,C11042,C11018,C10994,C10970,C10946,C10922)/POBLA!$B$1*100000</f>
        <v>383.38441039838858</v>
      </c>
      <c r="N11066" s="42" t="s">
        <v>16</v>
      </c>
      <c r="O11066" s="42">
        <v>7621</v>
      </c>
      <c r="P11066" s="42">
        <v>1677536</v>
      </c>
    </row>
    <row r="11067" spans="1:16" x14ac:dyDescent="0.25">
      <c r="A11067" s="402" t="s">
        <v>43</v>
      </c>
      <c r="B11067" s="2">
        <v>44354</v>
      </c>
      <c r="C11067" s="1">
        <v>1595</v>
      </c>
      <c r="D11067" s="39">
        <f t="shared" si="1136"/>
        <v>431294</v>
      </c>
      <c r="E11067" s="1">
        <v>72</v>
      </c>
      <c r="F11067" s="39">
        <f t="shared" si="1146"/>
        <v>9448</v>
      </c>
      <c r="G11067" s="169">
        <f>SUM(C11067,C11043,C11019,C10995,C10971,C10947,C10923,C10899,C10875,C10851,C10827,C10803,C10779,C10755)/POBLA!$B$2*100000</f>
        <v>1017.6723849233625</v>
      </c>
      <c r="H11067" s="258">
        <f t="shared" si="1145"/>
        <v>0.8633291959729692</v>
      </c>
      <c r="I11067" s="310">
        <f t="shared" ref="I11067:I11073" si="1147">G11067*H11067</f>
        <v>878.58628183978055</v>
      </c>
      <c r="J11067" s="552">
        <f t="shared" ref="J11067:J11089" si="1148">AVERAGE(C11067,C11043,C11019,C10995,C10971,C10947,C10923)</f>
        <v>1863.4285714285713</v>
      </c>
      <c r="K11067" s="310">
        <f>J11067/POBLA!$B$2*100000</f>
        <v>60.586575029394517</v>
      </c>
      <c r="L11067" s="202">
        <f>(SUM(C11067,C11043,C11019,C10995,C10971,C10947,C10923)/SUM(C10899,C10875,C10851,C10827,C10803,C10779,C10755))-1</f>
        <v>-0.28549517966695881</v>
      </c>
      <c r="M11067" s="512">
        <f>SUM(C11067,C11043,C11019,C10995,C10971,C10947,C10923)/POBLA!$B$2*100000</f>
        <v>424.10602520576168</v>
      </c>
      <c r="N11067" s="42" t="s">
        <v>43</v>
      </c>
      <c r="O11067" s="42">
        <v>1595</v>
      </c>
      <c r="P11067" s="42">
        <v>431294</v>
      </c>
    </row>
    <row r="11068" spans="1:16" x14ac:dyDescent="0.25">
      <c r="A11068" s="402" t="s">
        <v>28</v>
      </c>
      <c r="B11068" s="2">
        <v>44354</v>
      </c>
      <c r="C11068" s="1">
        <v>437</v>
      </c>
      <c r="D11068" s="39">
        <f t="shared" si="1136"/>
        <v>26710</v>
      </c>
      <c r="F11068" s="39">
        <f t="shared" si="1146"/>
        <v>199</v>
      </c>
      <c r="G11068" s="169">
        <f>SUM(C11068,C11044,C11020,C10996,C10972,C10948,C10924,C10900,C10876,C10852,C10828,C10804,C10780,C10756)/POBLA!$B$3*100000</f>
        <v>1421.8728185673915</v>
      </c>
      <c r="H11068" s="258">
        <f t="shared" si="1145"/>
        <v>1.3262236192186798</v>
      </c>
      <c r="I11068" s="310">
        <f t="shared" si="1147"/>
        <v>1885.7213155091113</v>
      </c>
      <c r="J11068" s="552">
        <f t="shared" si="1148"/>
        <v>424</v>
      </c>
      <c r="K11068" s="310">
        <f>J11068/POBLA!$B$3*100000</f>
        <v>102.06095735103675</v>
      </c>
      <c r="L11068" s="202">
        <f t="shared" si="1144"/>
        <v>9.867301803334394E-3</v>
      </c>
      <c r="M11068" s="512">
        <f>SUM(C11068,C11044,C11020,C10996,C10972,C10948,C10924)/POBLA!$B$3*100000</f>
        <v>714.4267014572572</v>
      </c>
      <c r="N11068" s="42" t="s">
        <v>28</v>
      </c>
      <c r="O11068" s="42">
        <v>437</v>
      </c>
      <c r="P11068" s="42">
        <v>26710</v>
      </c>
    </row>
    <row r="11069" spans="1:16" x14ac:dyDescent="0.25">
      <c r="A11069" s="402" t="s">
        <v>15</v>
      </c>
      <c r="B11069" s="2">
        <v>44354</v>
      </c>
      <c r="C11069" s="1">
        <v>506</v>
      </c>
      <c r="D11069" s="39">
        <f t="shared" si="1136"/>
        <v>63332</v>
      </c>
      <c r="E11069" s="1">
        <v>16</v>
      </c>
      <c r="F11069" s="39">
        <f t="shared" si="1146"/>
        <v>1325</v>
      </c>
      <c r="G11069" s="169">
        <f>SUM(C11069,C11045,C11021,C10997,C10973,C10949,C10925,C10901,C10877,C10853,C10829,C10805,C10781,C10757)/POBLA!$B$4*100000</f>
        <v>786.02554832089572</v>
      </c>
      <c r="H11069" s="258">
        <f t="shared" si="1145"/>
        <v>1.4114490161001789</v>
      </c>
      <c r="I11069" s="310">
        <f t="shared" si="1147"/>
        <v>1109.434986807132</v>
      </c>
      <c r="J11069" s="552">
        <f t="shared" si="1148"/>
        <v>732.14285714285711</v>
      </c>
      <c r="K11069" s="310">
        <f>J11069/POBLA!$B$4*100000</f>
        <v>60.781895937361796</v>
      </c>
      <c r="L11069" s="202">
        <f t="shared" si="1144"/>
        <v>0.18005986645176142</v>
      </c>
      <c r="M11069" s="512">
        <f>SUM(C11069,C11045,C11021,C10997,C10973,C10949,C10925)/POBLA!$B$4*100000</f>
        <v>425.47327156153256</v>
      </c>
      <c r="N11069" s="42" t="s">
        <v>15</v>
      </c>
      <c r="O11069" s="42">
        <v>506</v>
      </c>
      <c r="P11069" s="42">
        <v>63332</v>
      </c>
    </row>
    <row r="11070" spans="1:16" x14ac:dyDescent="0.25">
      <c r="A11070" s="402" t="s">
        <v>29</v>
      </c>
      <c r="B11070" s="2">
        <v>44354</v>
      </c>
      <c r="C11070" s="1">
        <v>245</v>
      </c>
      <c r="D11070" s="39">
        <f t="shared" si="1136"/>
        <v>65512</v>
      </c>
      <c r="E11070" s="1">
        <v>5</v>
      </c>
      <c r="F11070" s="39">
        <f t="shared" si="1146"/>
        <v>1083</v>
      </c>
      <c r="G11070" s="169">
        <f>SUM(C11070,C11046,C11022,C10998,C10974,C10950,C10926,C10902,C10878,C10854,C10830,C10806,C10782,C10758)/POBLA!$B$5*100000</f>
        <v>847.98883349434732</v>
      </c>
      <c r="H11070" s="258">
        <f t="shared" si="1145"/>
        <v>1.4232646420824295</v>
      </c>
      <c r="I11070" s="310">
        <f t="shared" si="1147"/>
        <v>1206.9125235932293</v>
      </c>
      <c r="J11070" s="552">
        <f t="shared" si="1148"/>
        <v>395.14285714285717</v>
      </c>
      <c r="K11070" s="310">
        <f>J11070/POBLA!$B$5*100000</f>
        <v>63.836298436310713</v>
      </c>
      <c r="L11070" s="202">
        <f t="shared" si="1144"/>
        <v>0.11397503020539679</v>
      </c>
      <c r="M11070" s="512">
        <f>SUM(C11070,C11046,C11022,C10998,C10974,C10950,C10926)/POBLA!$B$5*100000</f>
        <v>446.85408905417495</v>
      </c>
      <c r="N11070" s="42" t="s">
        <v>29</v>
      </c>
      <c r="O11070" s="42">
        <v>245</v>
      </c>
      <c r="P11070" s="42">
        <v>65512</v>
      </c>
    </row>
    <row r="11071" spans="1:16" x14ac:dyDescent="0.25">
      <c r="A11071" s="402" t="s">
        <v>30</v>
      </c>
      <c r="B11071" s="2">
        <v>44354</v>
      </c>
      <c r="C11071" s="1">
        <v>310</v>
      </c>
      <c r="D11071" s="39">
        <f t="shared" si="1136"/>
        <v>54947</v>
      </c>
      <c r="E11071" s="1">
        <v>13</v>
      </c>
      <c r="F11071" s="39">
        <f t="shared" si="1146"/>
        <v>650</v>
      </c>
      <c r="G11071" s="169">
        <f>SUM(C11071,C11047,C11023,C10999,C10975,C10951,C10927,C10903,C10879,C10855,C10831,C10807,C10783,C10759)/POBLA!$B$6*100000</f>
        <v>636.1521804495178</v>
      </c>
      <c r="H11071" s="258">
        <f t="shared" si="1145"/>
        <v>0.84548796395114434</v>
      </c>
      <c r="I11071" s="310">
        <f t="shared" si="1147"/>
        <v>537.85901181134375</v>
      </c>
      <c r="J11071" s="552">
        <f t="shared" si="1148"/>
        <v>499</v>
      </c>
      <c r="K11071" s="310">
        <f>J11071/POBLA!$B$6*100000</f>
        <v>44.521730440997104</v>
      </c>
      <c r="L11071" s="202">
        <f t="shared" si="1144"/>
        <v>-3.9593071212537856E-2</v>
      </c>
      <c r="M11071" s="512">
        <f>SUM(C11071,C11047,C11023,C10999,C10975,C10951,C10927)/POBLA!$B$6*100000</f>
        <v>311.6521130869798</v>
      </c>
      <c r="N11071" s="42" t="s">
        <v>30</v>
      </c>
      <c r="O11071" s="42">
        <v>310</v>
      </c>
      <c r="P11071" s="42">
        <v>54947</v>
      </c>
    </row>
    <row r="11072" spans="1:16" x14ac:dyDescent="0.25">
      <c r="A11072" s="402" t="s">
        <v>20</v>
      </c>
      <c r="B11072" s="2">
        <v>44354</v>
      </c>
      <c r="C11072" s="1">
        <v>2957</v>
      </c>
      <c r="D11072" s="39">
        <f t="shared" si="1136"/>
        <v>341418</v>
      </c>
      <c r="E11072" s="1">
        <v>54</v>
      </c>
      <c r="F11072" s="39">
        <f t="shared" si="1146"/>
        <v>4176</v>
      </c>
      <c r="G11072" s="169">
        <f>SUM(C11072,C11048,C11024,C11000,C10976,C10952,C10928,C10904,C10880,C10856,C10832,C10808,C10784,C10760)/POBLA!$B$7*100000</f>
        <v>1528.247949048651</v>
      </c>
      <c r="H11072" s="258">
        <f t="shared" si="1145"/>
        <v>1.3694507327534851</v>
      </c>
      <c r="I11072" s="310">
        <f t="shared" si="1147"/>
        <v>2092.8602736536859</v>
      </c>
      <c r="J11072" s="552">
        <f t="shared" si="1148"/>
        <v>4217.1428571428569</v>
      </c>
      <c r="K11072" s="310">
        <f>J11072/POBLA!$B$7*100000</f>
        <v>112.14463314610903</v>
      </c>
      <c r="L11072" s="202">
        <f t="shared" si="1144"/>
        <v>5.6209524491037222E-2</v>
      </c>
      <c r="M11072" s="512">
        <f>SUM(C11072,C11048,C11024,C11000,C10976,C10952,C10928)/POBLA!$B$7*100000</f>
        <v>785.01243202276328</v>
      </c>
      <c r="N11072" s="42" t="s">
        <v>20</v>
      </c>
      <c r="O11072" s="42">
        <v>2957</v>
      </c>
      <c r="P11072" s="42">
        <v>341418</v>
      </c>
    </row>
    <row r="11073" spans="1:16" x14ac:dyDescent="0.25">
      <c r="A11073" s="402" t="s">
        <v>31</v>
      </c>
      <c r="B11073" s="2">
        <v>44354</v>
      </c>
      <c r="C11073" s="1">
        <v>670</v>
      </c>
      <c r="D11073" s="39">
        <f t="shared" si="1136"/>
        <v>92379</v>
      </c>
      <c r="E11073" s="1">
        <v>16</v>
      </c>
      <c r="F11073" s="39">
        <f t="shared" si="1146"/>
        <v>1423</v>
      </c>
      <c r="G11073" s="169">
        <f>SUM(C11073,C11049,C11025,C11001,C10977,C10953,C10929,C10905,C10881,C10857,C10833,C10809,C10785,C10761)/POBLA!$B$8*100000</f>
        <v>979.46479013478734</v>
      </c>
      <c r="H11073" s="258">
        <f t="shared" si="1145"/>
        <v>1.2392733248128538</v>
      </c>
      <c r="I11073" s="310">
        <f t="shared" si="1147"/>
        <v>1213.824587007462</v>
      </c>
      <c r="J11073" s="552">
        <f t="shared" si="1148"/>
        <v>942.57142857142856</v>
      </c>
      <c r="K11073" s="310">
        <f>J11073/POBLA!$B$8*100000</f>
        <v>68.008510237404124</v>
      </c>
      <c r="L11073" s="202">
        <f t="shared" si="1144"/>
        <v>-5.432134155080981E-2</v>
      </c>
      <c r="M11073" s="512">
        <f>SUM(C11073,C11049,C11025,C11001,C10977,C10953,C10929)/POBLA!$B$8*100000</f>
        <v>476.05957166182884</v>
      </c>
      <c r="N11073" s="42" t="s">
        <v>31</v>
      </c>
      <c r="O11073" s="42">
        <v>670</v>
      </c>
      <c r="P11073" s="42">
        <v>92379</v>
      </c>
    </row>
    <row r="11074" spans="1:16" x14ac:dyDescent="0.25">
      <c r="A11074" s="402" t="s">
        <v>41</v>
      </c>
      <c r="B11074" s="2">
        <v>44354</v>
      </c>
      <c r="C11074" s="1">
        <v>474</v>
      </c>
      <c r="D11074" s="39">
        <f t="shared" si="1136"/>
        <v>35736</v>
      </c>
      <c r="E11074" s="1">
        <v>9</v>
      </c>
      <c r="F11074" s="39">
        <f t="shared" si="1146"/>
        <v>568</v>
      </c>
      <c r="G11074" s="169">
        <f>SUM(C11074,C11050,C11026,C11002,C10978,C10954,C10930,C10906,C10882,C10858,C10834,C10810,C10786,C10762)/POBLA!$B$9*100000</f>
        <v>1951.4435890699331</v>
      </c>
      <c r="H11074" s="258">
        <f t="shared" si="1145"/>
        <v>0.66066234056835982</v>
      </c>
      <c r="I11074" s="310">
        <f>G11074*H11074</f>
        <v>1289.2452890420625</v>
      </c>
      <c r="J11074" s="552">
        <f t="shared" si="1148"/>
        <v>747</v>
      </c>
      <c r="K11074" s="310">
        <f>J11074/POBLA!$B$9*100000</f>
        <v>123.43169864819984</v>
      </c>
      <c r="L11074" s="202">
        <f>(SUM(C11074,C11050,C11026,C11002,C10978,C10954,C10930)/SUM(C10906,C10882,C10858,C10834,C10810,C10786,C10762))-1</f>
        <v>-0.20543990275034185</v>
      </c>
      <c r="M11074" s="512">
        <f>SUM(C11074,C11050,C11026,C11002,C10978,C10954,C10930)/POBLA!$B$9*100000</f>
        <v>864.02189053739869</v>
      </c>
      <c r="N11074" s="42" t="s">
        <v>41</v>
      </c>
      <c r="O11074" s="42">
        <v>474</v>
      </c>
      <c r="P11074" s="42">
        <v>35736</v>
      </c>
    </row>
    <row r="11075" spans="1:16" x14ac:dyDescent="0.25">
      <c r="A11075" s="402" t="s">
        <v>32</v>
      </c>
      <c r="B11075" s="2">
        <v>44354</v>
      </c>
      <c r="C11075" s="1">
        <v>289</v>
      </c>
      <c r="D11075" s="39">
        <f t="shared" si="1136"/>
        <v>30021</v>
      </c>
      <c r="F11075" s="39">
        <f t="shared" si="1146"/>
        <v>1092</v>
      </c>
      <c r="G11075" s="169">
        <f>SUM(C11075,C11051,C11027,C11003,C10979,C10955,C10931,C10907,C10883,C10859,C10835,C10811,C10787,C10763)/POBLA!$B$10*100000</f>
        <v>360.23718317094335</v>
      </c>
      <c r="H11075" s="258">
        <f t="shared" si="1145"/>
        <v>1.805591677503251</v>
      </c>
      <c r="I11075" s="310">
        <f t="shared" ref="I11075:I11089" si="1149">G11075*H11075</f>
        <v>650.44125986066956</v>
      </c>
      <c r="J11075" s="552">
        <f t="shared" si="1148"/>
        <v>236</v>
      </c>
      <c r="K11075" s="310">
        <f>J11075/POBLA!$B$10*100000</f>
        <v>30.614323092669295</v>
      </c>
      <c r="L11075" s="202">
        <f t="shared" ref="L11075:L11090" si="1150">(SUM(C11075,C11051,C11027,C11003,C10979,C10955,C10931)/SUM(C10907,C10883,C10859,C10835,C10811,C10787,C10763))-1</f>
        <v>0.46844444444444444</v>
      </c>
      <c r="M11075" s="512">
        <f>SUM(C11075,C11051,C11027,C11003,C10979,C10955,C10931)/POBLA!$B$10*100000</f>
        <v>214.30026164868508</v>
      </c>
      <c r="N11075" s="42" t="s">
        <v>32</v>
      </c>
      <c r="O11075" s="42">
        <v>289</v>
      </c>
      <c r="P11075" s="42">
        <v>30021</v>
      </c>
    </row>
    <row r="11076" spans="1:16" x14ac:dyDescent="0.25">
      <c r="A11076" s="402" t="s">
        <v>33</v>
      </c>
      <c r="B11076" s="2">
        <v>44354</v>
      </c>
      <c r="C11076" s="1">
        <v>418</v>
      </c>
      <c r="D11076" s="39">
        <f t="shared" si="1136"/>
        <v>45591</v>
      </c>
      <c r="E11076" s="1">
        <v>6</v>
      </c>
      <c r="F11076" s="39">
        <f t="shared" si="1146"/>
        <v>601</v>
      </c>
      <c r="G11076" s="169">
        <f>SUM(C11076,C11052,C11028,C11004,C10980,C10956,C10932,C10908,C10884,C10860,C10836,C10812,C10788,C10764)/POBLA!$B$11*100000</f>
        <v>1800.0825828339305</v>
      </c>
      <c r="H11076" s="258">
        <f t="shared" si="1145"/>
        <v>0.74693216022227371</v>
      </c>
      <c r="I11076" s="310">
        <f t="shared" si="1149"/>
        <v>1344.5395721746377</v>
      </c>
      <c r="J11076" s="552">
        <f t="shared" si="1148"/>
        <v>394.71428571428572</v>
      </c>
      <c r="K11076" s="310">
        <f>J11076/POBLA!$B$11*100000</f>
        <v>110.12373076720729</v>
      </c>
      <c r="L11076" s="202">
        <f t="shared" si="1150"/>
        <v>-0.25101653564651671</v>
      </c>
      <c r="M11076" s="512">
        <f>SUM(C11076,C11052,C11028,C11004,C10980,C10956,C10932)/POBLA!$B$11*100000</f>
        <v>770.86611537045098</v>
      </c>
      <c r="N11076" s="42" t="s">
        <v>33</v>
      </c>
      <c r="O11076" s="42">
        <v>418</v>
      </c>
      <c r="P11076" s="42">
        <v>45591</v>
      </c>
    </row>
    <row r="11077" spans="1:16" x14ac:dyDescent="0.25">
      <c r="A11077" s="402" t="s">
        <v>21</v>
      </c>
      <c r="B11077" s="2">
        <v>44354</v>
      </c>
      <c r="C11077" s="1">
        <v>141</v>
      </c>
      <c r="D11077" s="39">
        <f t="shared" si="1136"/>
        <v>18620</v>
      </c>
      <c r="E11077" s="1">
        <v>23</v>
      </c>
      <c r="F11077" s="39">
        <f t="shared" si="1146"/>
        <v>580</v>
      </c>
      <c r="G11077" s="169">
        <f>SUM(C11077,C11053,C11029,C11005,C10981,C10957,C10933,C10909,C10885,C10861,C10837,C10813,C10789,C10765)/POBLA!$B$12*100000</f>
        <v>591.05890006124037</v>
      </c>
      <c r="H11077" s="258">
        <f t="shared" si="1145"/>
        <v>1.2152560083594566</v>
      </c>
      <c r="I11077" s="310">
        <f t="shared" si="1149"/>
        <v>718.28787959375393</v>
      </c>
      <c r="J11077" s="552">
        <f t="shared" si="1148"/>
        <v>174.14285714285714</v>
      </c>
      <c r="K11077" s="310">
        <f>J11077/POBLA!$B$12*100000</f>
        <v>44.251369559922125</v>
      </c>
      <c r="L11077" s="202">
        <f t="shared" si="1150"/>
        <v>0.10117434507678413</v>
      </c>
      <c r="M11077" s="512">
        <f>SUM(C11077,C11053,C11029,C11005,C10981,C10957,C10933)/POBLA!$B$12*100000</f>
        <v>309.75958691945488</v>
      </c>
      <c r="N11077" s="42" t="s">
        <v>21</v>
      </c>
      <c r="O11077" s="42">
        <v>141</v>
      </c>
      <c r="P11077" s="42">
        <v>18620</v>
      </c>
    </row>
    <row r="11078" spans="1:16" ht="12.75" customHeight="1" x14ac:dyDescent="0.25">
      <c r="A11078" s="402" t="s">
        <v>17</v>
      </c>
      <c r="B11078" s="2">
        <v>44354</v>
      </c>
      <c r="C11078" s="1">
        <v>658</v>
      </c>
      <c r="D11078" s="39">
        <f t="shared" si="1136"/>
        <v>125801</v>
      </c>
      <c r="E11078" s="1">
        <v>27</v>
      </c>
      <c r="F11078" s="39">
        <f t="shared" si="1146"/>
        <v>2770</v>
      </c>
      <c r="G11078" s="169">
        <f>SUM(C11078,C11054,C11030,C11006,C10982,C10958,C10934,C10910,C10886,C10862,C10838,C10814,C10790,C10766)/POBLA!$B$13*100000</f>
        <v>532.47237403898237</v>
      </c>
      <c r="H11078" s="258">
        <f t="shared" si="1145"/>
        <v>0.90287953654796382</v>
      </c>
      <c r="I11078" s="310">
        <f t="shared" si="1149"/>
        <v>480.75841029691043</v>
      </c>
      <c r="J11078" s="552">
        <f t="shared" si="1148"/>
        <v>733.57142857142856</v>
      </c>
      <c r="K11078" s="310">
        <f>J11078/POBLA!$B$13*100000</f>
        <v>36.856625787752058</v>
      </c>
      <c r="L11078" s="202">
        <f t="shared" si="1150"/>
        <v>-6.004027091341757E-2</v>
      </c>
      <c r="M11078" s="512">
        <f>SUM(C11078,C11054,C11030,C11006,C10982,C10958,C10934)/POBLA!$B$13*100000</f>
        <v>257.99638051426444</v>
      </c>
      <c r="N11078" s="42" t="s">
        <v>17</v>
      </c>
      <c r="O11078" s="42">
        <v>658</v>
      </c>
      <c r="P11078" s="42">
        <v>125801</v>
      </c>
    </row>
    <row r="11079" spans="1:16" x14ac:dyDescent="0.25">
      <c r="A11079" s="402" t="s">
        <v>23</v>
      </c>
      <c r="B11079" s="2">
        <v>44354</v>
      </c>
      <c r="C11079" s="1">
        <v>194</v>
      </c>
      <c r="D11079" s="39">
        <f t="shared" si="1136"/>
        <v>21675</v>
      </c>
      <c r="E11079" s="1">
        <v>4</v>
      </c>
      <c r="F11079" s="39">
        <f t="shared" si="1146"/>
        <v>331</v>
      </c>
      <c r="G11079" s="169">
        <f>SUM(C11079,C11055,C11031,C11007,C10983,C10959,C10935,C10911,C10887,C10863,C10839,C10815,C10791,C10767)/POBLA!$B$14*100000</f>
        <v>202.41117455565472</v>
      </c>
      <c r="H11079" s="258">
        <f t="shared" si="1145"/>
        <v>1.2393203883495145</v>
      </c>
      <c r="I11079" s="310">
        <f t="shared" si="1149"/>
        <v>250.85229545659539</v>
      </c>
      <c r="J11079" s="552">
        <f t="shared" si="1148"/>
        <v>174.28571428571428</v>
      </c>
      <c r="K11079" s="310">
        <f>J11079/POBLA!$B$14*100000</f>
        <v>13.818008670913702</v>
      </c>
      <c r="L11079" s="202">
        <f t="shared" si="1150"/>
        <v>-8.4771192798199557E-2</v>
      </c>
      <c r="M11079" s="512">
        <f>SUM(C11079,C11055,C11031,C11007,C10983,C10959,C10935)/POBLA!$B$14*100000</f>
        <v>96.726060696395919</v>
      </c>
      <c r="N11079" s="42" t="s">
        <v>23</v>
      </c>
      <c r="O11079" s="42">
        <v>194</v>
      </c>
      <c r="P11079" s="42">
        <v>21675</v>
      </c>
    </row>
    <row r="11080" spans="1:16" x14ac:dyDescent="0.25">
      <c r="A11080" s="402" t="s">
        <v>19</v>
      </c>
      <c r="B11080" s="2">
        <v>44354</v>
      </c>
      <c r="C11080" s="1">
        <v>532</v>
      </c>
      <c r="D11080" s="39">
        <f t="shared" si="1136"/>
        <v>94623</v>
      </c>
      <c r="E11080" s="1">
        <v>17</v>
      </c>
      <c r="F11080" s="39">
        <f t="shared" si="1146"/>
        <v>1436</v>
      </c>
      <c r="G11080" s="169">
        <f>SUM(C11080,C11056,C11032,C11008,C10984,C10960,C10936,C10912,C10888,C10864,C10840,C10816,C10792,C10768)/POBLA!$B$15*100000</f>
        <v>1524.718510609782</v>
      </c>
      <c r="H11080" s="258">
        <f t="shared" si="1145"/>
        <v>1.0916442048517521</v>
      </c>
      <c r="I11080" s="310">
        <f t="shared" si="1149"/>
        <v>1664.4501261373632</v>
      </c>
      <c r="J11080" s="552">
        <f t="shared" si="1148"/>
        <v>602.14285714285711</v>
      </c>
      <c r="K11080" s="310">
        <f>J11080/POBLA!$B$15*100000</f>
        <v>90.676381265893909</v>
      </c>
      <c r="L11080" s="202">
        <f t="shared" si="1150"/>
        <v>-0.28680203045685282</v>
      </c>
      <c r="M11080" s="512">
        <f>SUM(C11080,C11056,C11032,C11008,C10984,C10960,C10936)/POBLA!$B$15*100000</f>
        <v>634.73466886125743</v>
      </c>
      <c r="N11080" s="42" t="s">
        <v>19</v>
      </c>
      <c r="O11080" s="42">
        <v>532</v>
      </c>
      <c r="P11080" s="42">
        <v>94623</v>
      </c>
    </row>
    <row r="11081" spans="1:16" x14ac:dyDescent="0.25">
      <c r="A11081" s="402" t="s">
        <v>18</v>
      </c>
      <c r="B11081" s="2">
        <v>44354</v>
      </c>
      <c r="C11081" s="1">
        <v>389</v>
      </c>
      <c r="D11081" s="39">
        <f t="shared" si="1136"/>
        <v>77125</v>
      </c>
      <c r="E11081" s="1">
        <v>9</v>
      </c>
      <c r="F11081" s="39">
        <f t="shared" si="1146"/>
        <v>1704</v>
      </c>
      <c r="G11081" s="169">
        <f>SUM(C11081,C11057,C11033,C11009,C10985,C10961,C10937,C10913,C10889,C10865,C10841,C10817,C10793,C10769)/POBLA!$B$16*100000</f>
        <v>883.61578898088578</v>
      </c>
      <c r="H11081" s="258">
        <f t="shared" si="1145"/>
        <v>1.0434370557573842</v>
      </c>
      <c r="I11081" s="310">
        <f t="shared" si="1149"/>
        <v>921.9974572749536</v>
      </c>
      <c r="J11081" s="552">
        <f t="shared" si="1148"/>
        <v>416.14285714285717</v>
      </c>
      <c r="K11081" s="310">
        <f>J11081/POBLA!$B$16*100000</f>
        <v>55.663094011965747</v>
      </c>
      <c r="L11081" s="202">
        <f t="shared" si="1150"/>
        <v>-0.21121039805036557</v>
      </c>
      <c r="M11081" s="512">
        <f>SUM(C11081,C11057,C11033,C11009,C10985,C10961,C10937)/POBLA!$B$16*100000</f>
        <v>389.64165808376026</v>
      </c>
      <c r="N11081" s="42" t="s">
        <v>18</v>
      </c>
      <c r="O11081" s="42">
        <v>389</v>
      </c>
      <c r="P11081" s="42">
        <v>77125</v>
      </c>
    </row>
    <row r="11082" spans="1:16" x14ac:dyDescent="0.25">
      <c r="A11082" s="402" t="s">
        <v>34</v>
      </c>
      <c r="B11082" s="2">
        <v>44354</v>
      </c>
      <c r="C11082" s="1">
        <v>348</v>
      </c>
      <c r="D11082" s="39">
        <f t="shared" si="1136"/>
        <v>49477</v>
      </c>
      <c r="E11082" s="1">
        <v>8</v>
      </c>
      <c r="F11082" s="39">
        <f t="shared" si="1146"/>
        <v>1450</v>
      </c>
      <c r="G11082" s="169">
        <f>SUM(C11082,C11058,C11034,C11010,C10986,C10962,C10938,C10914,C10890,C10866,C10842,C10818,C10794,C10770)/POBLA!$B$17*100000</f>
        <v>517.55233969181347</v>
      </c>
      <c r="H11082" s="258">
        <f t="shared" ref="H11082:H11105" si="1151">SUM(C11082,C11058,C11034,C11010,C10986,C10962,C10938,C10914,C10890,C10866,C10842,C10818,C10794,C10770)/SUM(C10746,C10722,C10698,C10674,C10650,C10626,C10602,C10578,C10554,C10530,C10506,C10482,C10458,C10434)</f>
        <v>1.3733233979135619</v>
      </c>
      <c r="I11082" s="310">
        <f t="shared" si="1149"/>
        <v>710.76673774367532</v>
      </c>
      <c r="J11082" s="552">
        <f t="shared" si="1148"/>
        <v>585.42857142857144</v>
      </c>
      <c r="K11082" s="310">
        <f>J11082/POBLA!$B$17*100000</f>
        <v>41.100098598113554</v>
      </c>
      <c r="L11082" s="202">
        <f t="shared" si="1150"/>
        <v>0.25167990226023207</v>
      </c>
      <c r="M11082" s="512">
        <f>SUM(C11082,C11058,C11034,C11010,C10986,C10962,C10938)/POBLA!$B$17*100000</f>
        <v>287.70069018679487</v>
      </c>
      <c r="N11082" s="42" t="s">
        <v>34</v>
      </c>
      <c r="O11082" s="42">
        <v>348</v>
      </c>
      <c r="P11082" s="42">
        <v>49477</v>
      </c>
    </row>
    <row r="11083" spans="1:16" x14ac:dyDescent="0.25">
      <c r="A11083" s="402" t="s">
        <v>35</v>
      </c>
      <c r="B11083" s="2">
        <v>44354</v>
      </c>
      <c r="C11083" s="1">
        <v>471</v>
      </c>
      <c r="D11083" s="39">
        <f t="shared" si="1136"/>
        <v>40096</v>
      </c>
      <c r="E11083" s="1">
        <v>19</v>
      </c>
      <c r="F11083" s="39">
        <f t="shared" si="1146"/>
        <v>686</v>
      </c>
      <c r="G11083" s="169">
        <f>SUM(C11083,C11059,C11035,C11011,C10987,C10963,C10939,C10915,C10891,C10867,C10843,C10819,C10795,C10771)/POBLA!$B$18*100000</f>
        <v>858.53226440284845</v>
      </c>
      <c r="H11083" s="258">
        <f t="shared" si="1151"/>
        <v>0.97983929875821763</v>
      </c>
      <c r="I11083" s="310">
        <f t="shared" si="1149"/>
        <v>841.22365191379174</v>
      </c>
      <c r="J11083" s="552">
        <f t="shared" si="1148"/>
        <v>439.71428571428572</v>
      </c>
      <c r="K11083" s="310">
        <f>J11083/POBLA!$B$18*100000</f>
        <v>56.28580608387756</v>
      </c>
      <c r="L11083" s="202">
        <f t="shared" si="1150"/>
        <v>-0.15183246073298429</v>
      </c>
      <c r="M11083" s="512">
        <f>SUM(C11083,C11059,C11035,C11011,C10987,C10963,C10939)/POBLA!$B$18*100000</f>
        <v>394.00064258714286</v>
      </c>
      <c r="N11083" s="42" t="s">
        <v>35</v>
      </c>
      <c r="O11083" s="42">
        <v>471</v>
      </c>
      <c r="P11083" s="42">
        <v>40096</v>
      </c>
    </row>
    <row r="11084" spans="1:16" x14ac:dyDescent="0.25">
      <c r="A11084" s="402" t="s">
        <v>36</v>
      </c>
      <c r="B11084" s="2">
        <v>44354</v>
      </c>
      <c r="C11084" s="1">
        <v>572</v>
      </c>
      <c r="D11084" s="39">
        <f t="shared" si="1136"/>
        <v>56691</v>
      </c>
      <c r="E11084" s="1">
        <v>16</v>
      </c>
      <c r="F11084" s="39">
        <f t="shared" si="1146"/>
        <v>776</v>
      </c>
      <c r="G11084" s="169">
        <f>SUM(C11084,C11060,C11036,C11012,C10988,C10964,C10940,C10916,C10892,C10868,C10844,C10820,C10796,C10772)/POBLA!$B$19*100000</f>
        <v>1449.6545537526952</v>
      </c>
      <c r="H11084" s="258">
        <f t="shared" si="1151"/>
        <v>0.98912751677852351</v>
      </c>
      <c r="I11084" s="310">
        <f t="shared" si="1149"/>
        <v>1433.8932089400821</v>
      </c>
      <c r="J11084" s="552">
        <f t="shared" si="1148"/>
        <v>518.28571428571433</v>
      </c>
      <c r="K11084" s="310">
        <f>J11084/POBLA!$B$19*100000</f>
        <v>101.95891516613571</v>
      </c>
      <c r="L11084" s="202">
        <f t="shared" si="1150"/>
        <v>-3.0205827318898648E-2</v>
      </c>
      <c r="M11084" s="512">
        <f>SUM(C11084,C11060,C11036,C11012,C10988,C10964,C10940)/POBLA!$B$19*100000</f>
        <v>713.71240616294995</v>
      </c>
      <c r="N11084" s="42" t="s">
        <v>36</v>
      </c>
      <c r="O11084" s="42">
        <v>572</v>
      </c>
      <c r="P11084" s="42">
        <v>56691</v>
      </c>
    </row>
    <row r="11085" spans="1:16" x14ac:dyDescent="0.25">
      <c r="A11085" s="402" t="s">
        <v>37</v>
      </c>
      <c r="B11085" s="2">
        <v>44354</v>
      </c>
      <c r="C11085" s="1">
        <v>119</v>
      </c>
      <c r="D11085" s="39">
        <f t="shared" si="1136"/>
        <v>52827</v>
      </c>
      <c r="E11085" s="1">
        <v>3</v>
      </c>
      <c r="F11085" s="39">
        <f t="shared" si="1146"/>
        <v>803</v>
      </c>
      <c r="G11085" s="169">
        <f>SUM(C11085,C11061,C11037,C11013,C10989,C10965,C10941,C10917,C10893,C10869,C10845,C10821,C10797,C10773)/POBLA!$B$20*100000</f>
        <v>732.0247854787284</v>
      </c>
      <c r="H11085" s="258">
        <f t="shared" si="1151"/>
        <v>0.80005977286312013</v>
      </c>
      <c r="I11085" s="310">
        <f t="shared" si="1149"/>
        <v>585.66358360028573</v>
      </c>
      <c r="J11085" s="552">
        <f t="shared" si="1148"/>
        <v>183.57142857142858</v>
      </c>
      <c r="K11085" s="310">
        <f>J11085/POBLA!$B$20*100000</f>
        <v>50.197547859553126</v>
      </c>
      <c r="L11085" s="202">
        <f t="shared" si="1150"/>
        <v>-7.6867816091954033E-2</v>
      </c>
      <c r="M11085" s="512">
        <f>SUM(C11085,C11061,C11037,C11013,C10989,C10965,C10941)/POBLA!$B$20*100000</f>
        <v>351.38283501687181</v>
      </c>
      <c r="N11085" s="42" t="s">
        <v>37</v>
      </c>
      <c r="O11085" s="42">
        <v>119</v>
      </c>
      <c r="P11085" s="42">
        <v>52827</v>
      </c>
    </row>
    <row r="11086" spans="1:16" x14ac:dyDescent="0.25">
      <c r="A11086" s="402" t="s">
        <v>22</v>
      </c>
      <c r="B11086" s="2">
        <v>44354</v>
      </c>
      <c r="C11086" s="1">
        <v>1763</v>
      </c>
      <c r="D11086" s="39">
        <f t="shared" si="1136"/>
        <v>363550</v>
      </c>
      <c r="E11086" s="1">
        <v>49</v>
      </c>
      <c r="F11086" s="39">
        <f t="shared" si="1146"/>
        <v>5787</v>
      </c>
      <c r="G11086" s="169">
        <f>SUM(C11086,C11062,C11038,C11014,C10990,C10966,C10942,C10918,C10894,C10870,C10846,C10822,C10798,C10774)/POBLA!$B$21*100000</f>
        <v>1098.8237250234561</v>
      </c>
      <c r="H11086" s="258">
        <f t="shared" si="1151"/>
        <v>1.13185948968892</v>
      </c>
      <c r="I11086" s="310">
        <f t="shared" si="1149"/>
        <v>1243.7140606631272</v>
      </c>
      <c r="J11086" s="552">
        <f t="shared" si="1148"/>
        <v>2639.8571428571427</v>
      </c>
      <c r="K11086" s="310">
        <f>J11086/POBLA!$B$21*100000</f>
        <v>74.647769094522843</v>
      </c>
      <c r="L11086" s="202">
        <f t="shared" si="1150"/>
        <v>-9.3277723258096135E-2</v>
      </c>
      <c r="M11086" s="512">
        <f>SUM(C11086,C11062,C11038,C11014,C10990,C10966,C10942)/POBLA!$B$21*100000</f>
        <v>522.53438366165994</v>
      </c>
      <c r="N11086" s="42" t="s">
        <v>22</v>
      </c>
      <c r="O11086" s="42">
        <v>1763</v>
      </c>
      <c r="P11086" s="42">
        <v>363550</v>
      </c>
    </row>
    <row r="11087" spans="1:16" x14ac:dyDescent="0.25">
      <c r="A11087" s="402" t="s">
        <v>38</v>
      </c>
      <c r="B11087" s="2">
        <v>44354</v>
      </c>
      <c r="C11087" s="1">
        <v>460</v>
      </c>
      <c r="D11087" s="39">
        <f t="shared" si="1136"/>
        <v>47727</v>
      </c>
      <c r="E11087" s="1">
        <v>12</v>
      </c>
      <c r="F11087" s="39">
        <f t="shared" si="1146"/>
        <v>596</v>
      </c>
      <c r="G11087" s="169">
        <f>SUM(C11087,C11063,C11039,C11015,C10991,C10967,C10943,C10919,C10895,C10871,C10847,C10823,C10799,C10775)/POBLA!$B$22*100000</f>
        <v>778.58517672769347</v>
      </c>
      <c r="H11087" s="258">
        <f t="shared" si="1151"/>
        <v>1.0753917831427362</v>
      </c>
      <c r="I11087" s="310">
        <f t="shared" si="1149"/>
        <v>837.28410152969673</v>
      </c>
      <c r="J11087" s="552">
        <f t="shared" si="1148"/>
        <v>544.28571428571433</v>
      </c>
      <c r="K11087" s="310">
        <f>J11087/POBLA!$B$22*100000</f>
        <v>55.635130503807503</v>
      </c>
      <c r="L11087" s="202">
        <f t="shared" si="1150"/>
        <v>7.8802206461769941E-4</v>
      </c>
      <c r="M11087" s="512">
        <f>SUM(C11087,C11063,C11039,C11015,C10991,C10967,C10943)/POBLA!$B$22*100000</f>
        <v>389.44591352665253</v>
      </c>
      <c r="N11087" s="42" t="s">
        <v>38</v>
      </c>
      <c r="O11087" s="42">
        <v>460</v>
      </c>
      <c r="P11087" s="42">
        <v>47727</v>
      </c>
    </row>
    <row r="11088" spans="1:16" x14ac:dyDescent="0.25">
      <c r="A11088" s="402" t="s">
        <v>39</v>
      </c>
      <c r="B11088" s="2">
        <v>44354</v>
      </c>
      <c r="C11088" s="1">
        <v>25</v>
      </c>
      <c r="D11088" s="39">
        <f t="shared" si="1136"/>
        <v>28844</v>
      </c>
      <c r="E11088" s="1">
        <v>1</v>
      </c>
      <c r="F11088" s="39">
        <f t="shared" si="1146"/>
        <v>427</v>
      </c>
      <c r="G11088" s="169">
        <f>SUM(C11088,C11064,C11040,C11016,C10992,C10968,C10944,C10920,C10896,C10872,C10848,C10824,C10800,C10776)/POBLA!$B$23*100000</f>
        <v>439.97059322513144</v>
      </c>
      <c r="H11088" s="258">
        <f t="shared" si="1151"/>
        <v>0.77106045589692762</v>
      </c>
      <c r="I11088" s="310">
        <f t="shared" si="1149"/>
        <v>339.24392619341154</v>
      </c>
      <c r="J11088" s="552">
        <f t="shared" si="1148"/>
        <v>52</v>
      </c>
      <c r="K11088" s="310">
        <f>J11088/POBLA!$B$23*100000</f>
        <v>29.406774868517783</v>
      </c>
      <c r="L11088" s="202">
        <f t="shared" si="1150"/>
        <v>-0.12077294685990336</v>
      </c>
      <c r="M11088" s="512">
        <f>SUM(C11088,C11064,C11040,C11016,C10992,C10968,C10944)/POBLA!$B$23*100000</f>
        <v>205.84742407962452</v>
      </c>
      <c r="N11088" s="42" t="s">
        <v>39</v>
      </c>
      <c r="O11088" s="42">
        <v>25</v>
      </c>
      <c r="P11088" s="42">
        <v>28844</v>
      </c>
    </row>
    <row r="11089" spans="1:16" ht="15.75" thickBot="1" x14ac:dyDescent="0.3">
      <c r="A11089" s="403" t="s">
        <v>40</v>
      </c>
      <c r="B11089" s="34">
        <v>44354</v>
      </c>
      <c r="C11089" s="234">
        <v>1001</v>
      </c>
      <c r="D11089" s="67">
        <f t="shared" si="1136"/>
        <v>136102</v>
      </c>
      <c r="E11089" s="234">
        <v>32</v>
      </c>
      <c r="F11089" s="67">
        <f t="shared" si="1146"/>
        <v>1982</v>
      </c>
      <c r="G11089" s="257">
        <f>SUM(C11089,C11065,C11041,C11017,C10993,C10969,C10945,C10921,C10897,C10873,C10849,C10825,C10801,C10777)/POBLA!$B$24*100000</f>
        <v>840.22952150760977</v>
      </c>
      <c r="H11089" s="259">
        <f t="shared" si="1151"/>
        <v>1.316110546261207</v>
      </c>
      <c r="I11089" s="312">
        <f t="shared" si="1149"/>
        <v>1105.834934536173</v>
      </c>
      <c r="J11089" s="566">
        <f t="shared" si="1148"/>
        <v>856.85714285714289</v>
      </c>
      <c r="K11089" s="312">
        <f>J11089/POBLA!$B$24*100000</f>
        <v>50.562305438811357</v>
      </c>
      <c r="L11089" s="262">
        <f t="shared" si="1150"/>
        <v>-0.27217570683169523</v>
      </c>
      <c r="M11089" s="517">
        <f>SUM(C11089,C11065,C11041,C11017,C10993,C10969,C10945)/POBLA!$B$24*100000</f>
        <v>353.93613807167947</v>
      </c>
      <c r="N11089" s="42" t="s">
        <v>40</v>
      </c>
      <c r="O11089" s="42">
        <v>1001</v>
      </c>
      <c r="P11089" s="42">
        <v>136102</v>
      </c>
    </row>
    <row r="11090" spans="1:16" x14ac:dyDescent="0.25">
      <c r="A11090" s="397" t="s">
        <v>16</v>
      </c>
      <c r="B11090" s="267">
        <v>44355</v>
      </c>
      <c r="C11090" s="43">
        <v>10819</v>
      </c>
      <c r="D11090" s="175">
        <f t="shared" si="1136"/>
        <v>1688355</v>
      </c>
      <c r="E11090" s="43">
        <v>337</v>
      </c>
      <c r="F11090" s="175">
        <f t="shared" ref="F11090:F11113" si="1152">E11090+F11066</f>
        <v>42385</v>
      </c>
      <c r="G11090" s="176">
        <f>SUM(C11090,C11066,C11042,C11018,C10994,C10970,C10946,C10922,C10898,C10874,C10850,C10826,C10802,C10778)/POBLA!$B$1*100000</f>
        <v>847.96650343327144</v>
      </c>
      <c r="H11090" s="313">
        <f t="shared" si="1151"/>
        <v>1.0164553934465439</v>
      </c>
      <c r="I11090" s="314">
        <f>G11090*H11090</f>
        <v>861.92012587675606</v>
      </c>
      <c r="J11090" s="551">
        <f>AVERAGE(C11090,C11066,C11042,C11018,C10994,C10970,C10946)</f>
        <v>9255.1428571428569</v>
      </c>
      <c r="K11090" s="314">
        <f>J11090/POBLA!$B$1*100000</f>
        <v>52.762490519532669</v>
      </c>
      <c r="L11090" s="510">
        <f t="shared" si="1150"/>
        <v>-0.22834308038638829</v>
      </c>
      <c r="M11090" s="511">
        <f>SUM(C11090,C11066,C11042,C11018,C10994,C10970,C10946)/POBLA!$B$1*100000</f>
        <v>369.33743363672863</v>
      </c>
      <c r="N11090" s="42" t="s">
        <v>270</v>
      </c>
      <c r="O11090" s="42">
        <v>10819</v>
      </c>
      <c r="P11090" s="42">
        <v>1688355</v>
      </c>
    </row>
    <row r="11091" spans="1:16" x14ac:dyDescent="0.25">
      <c r="A11091" s="402" t="s">
        <v>43</v>
      </c>
      <c r="B11091" s="2">
        <v>44355</v>
      </c>
      <c r="C11091" s="1">
        <v>2131</v>
      </c>
      <c r="D11091" s="39">
        <f t="shared" ref="D11091:D11137" si="1153">C11091+D11067</f>
        <v>433425</v>
      </c>
      <c r="E11091" s="1">
        <v>55</v>
      </c>
      <c r="F11091" s="39">
        <f t="shared" si="1152"/>
        <v>9503</v>
      </c>
      <c r="G11091" s="169">
        <f>SUM(C11091,C11067,C11043,C11019,C10995,C10971,C10947,C10923,C10899,C10875,C10851,C10827,C10803,C10779)/POBLA!$B$2*100000</f>
        <v>1012.5027392619306</v>
      </c>
      <c r="H11091" s="258">
        <f t="shared" si="1151"/>
        <v>0.86678542600272779</v>
      </c>
      <c r="I11091" s="310">
        <f t="shared" ref="I11091:I11097" si="1154">G11091*H11091</f>
        <v>877.6226181800813</v>
      </c>
      <c r="J11091" s="552">
        <f t="shared" ref="J11091:J11113" si="1155">AVERAGE(C11091,C11067,C11043,C11019,C10995,C10971,C10947)</f>
        <v>1820.7142857142858</v>
      </c>
      <c r="K11091" s="310">
        <f>J11091/POBLA!$B$2*100000</f>
        <v>59.197784326098834</v>
      </c>
      <c r="L11091" s="202">
        <f t="shared" ref="L11091:L11098" si="1156">(SUM(C11091,C11067,C11043,C11019,C10995,C10971,C10947)/SUM(C10923,C10899,C10875,C10851,C10827,C10803,C10779))-1</f>
        <v>-0.30718634485757779</v>
      </c>
      <c r="M11091" s="512">
        <f>SUM(C11091,C11067,C11043,C11019,C10995,C10971,C10947)/POBLA!$B$2*100000</f>
        <v>414.38449028269179</v>
      </c>
      <c r="N11091" s="42" t="s">
        <v>43</v>
      </c>
      <c r="O11091" s="42">
        <v>2131</v>
      </c>
      <c r="P11091" s="42">
        <v>433425</v>
      </c>
    </row>
    <row r="11092" spans="1:16" x14ac:dyDescent="0.25">
      <c r="A11092" s="402" t="s">
        <v>28</v>
      </c>
      <c r="B11092" s="2">
        <v>44355</v>
      </c>
      <c r="C11092" s="1">
        <v>506</v>
      </c>
      <c r="D11092" s="39">
        <f t="shared" si="1153"/>
        <v>27216</v>
      </c>
      <c r="E11092" s="1">
        <v>2</v>
      </c>
      <c r="F11092" s="39">
        <f t="shared" si="1152"/>
        <v>201</v>
      </c>
      <c r="G11092" s="169">
        <f>SUM(C11092,C11068,C11044,C11020,C10996,C10972,C10948,C10924,C10900,C10876,C10852,C10828,C10804,C10780)/POBLA!$B$3*100000</f>
        <v>1422.1135283724648</v>
      </c>
      <c r="H11092" s="258">
        <f t="shared" si="1151"/>
        <v>1.2298084929225646</v>
      </c>
      <c r="I11092" s="310">
        <f t="shared" si="1154"/>
        <v>1748.9272950925317</v>
      </c>
      <c r="J11092" s="552">
        <f t="shared" si="1155"/>
        <v>431.28571428571428</v>
      </c>
      <c r="K11092" s="310">
        <f>J11092/POBLA!$B$3*100000</f>
        <v>103.81470021657005</v>
      </c>
      <c r="L11092" s="202">
        <f t="shared" si="1156"/>
        <v>4.4998269297334748E-2</v>
      </c>
      <c r="M11092" s="512">
        <f>SUM(C11092,C11068,C11044,C11020,C10996,C10972,C10948)/POBLA!$B$3*100000</f>
        <v>726.70290151599033</v>
      </c>
      <c r="N11092" s="42" t="s">
        <v>28</v>
      </c>
      <c r="O11092" s="42">
        <v>506</v>
      </c>
      <c r="P11092" s="42">
        <v>27216</v>
      </c>
    </row>
    <row r="11093" spans="1:16" x14ac:dyDescent="0.25">
      <c r="A11093" s="402" t="s">
        <v>15</v>
      </c>
      <c r="B11093" s="2">
        <v>44355</v>
      </c>
      <c r="C11093" s="1">
        <v>762</v>
      </c>
      <c r="D11093" s="39">
        <f t="shared" si="1153"/>
        <v>64094</v>
      </c>
      <c r="E11093" s="1">
        <v>22</v>
      </c>
      <c r="F11093" s="39">
        <f t="shared" si="1152"/>
        <v>1347</v>
      </c>
      <c r="G11093" s="169">
        <f>SUM(C11093,C11069,C11045,C11021,C10997,C10973,C10949,C10925,C10901,C10877,C10853,C10829,C10805,C10781)/POBLA!$B$4*100000</f>
        <v>796.81804106294442</v>
      </c>
      <c r="H11093" s="258">
        <f t="shared" si="1151"/>
        <v>1.3606464417351858</v>
      </c>
      <c r="I11093" s="310">
        <f t="shared" si="1154"/>
        <v>1084.1876322826965</v>
      </c>
      <c r="J11093" s="552">
        <f t="shared" si="1155"/>
        <v>728</v>
      </c>
      <c r="K11093" s="310">
        <f>J11093/POBLA!$B$4*100000</f>
        <v>60.43795935547233</v>
      </c>
      <c r="L11093" s="202">
        <f t="shared" si="1156"/>
        <v>0.13194135939582408</v>
      </c>
      <c r="M11093" s="512">
        <f>SUM(C11093,C11069,C11045,C11021,C10997,C10973,C10949)/POBLA!$B$4*100000</f>
        <v>423.06571548830635</v>
      </c>
      <c r="N11093" s="42" t="s">
        <v>15</v>
      </c>
      <c r="O11093" s="42">
        <v>762</v>
      </c>
      <c r="P11093" s="42">
        <v>64094</v>
      </c>
    </row>
    <row r="11094" spans="1:16" x14ac:dyDescent="0.25">
      <c r="A11094" s="402" t="s">
        <v>29</v>
      </c>
      <c r="B11094" s="2">
        <v>44355</v>
      </c>
      <c r="C11094" s="1">
        <v>326</v>
      </c>
      <c r="D11094" s="39">
        <f t="shared" si="1153"/>
        <v>65838</v>
      </c>
      <c r="E11094" s="1">
        <v>2</v>
      </c>
      <c r="F11094" s="39">
        <f t="shared" si="1152"/>
        <v>1085</v>
      </c>
      <c r="G11094" s="169">
        <f>SUM(C11094,C11070,C11046,C11022,C10998,C10974,C10950,C10926,C10902,C10878,C10854,C10830,C10806,C10782)/POBLA!$B$5*100000</f>
        <v>863.17476421419269</v>
      </c>
      <c r="H11094" s="258">
        <f t="shared" si="1151"/>
        <v>1.4654415798134943</v>
      </c>
      <c r="I11094" s="310">
        <f t="shared" si="1154"/>
        <v>1264.9321901251869</v>
      </c>
      <c r="J11094" s="552">
        <f t="shared" si="1155"/>
        <v>369.42857142857144</v>
      </c>
      <c r="K11094" s="310">
        <f>J11094/POBLA!$B$5*100000</f>
        <v>59.682092464316526</v>
      </c>
      <c r="L11094" s="202">
        <f t="shared" si="1156"/>
        <v>-6.2023939064200229E-2</v>
      </c>
      <c r="M11094" s="512">
        <f>SUM(C11094,C11070,C11046,C11022,C10998,C10974,C10950)/POBLA!$B$5*100000</f>
        <v>417.77464725021565</v>
      </c>
      <c r="N11094" s="42" t="s">
        <v>29</v>
      </c>
      <c r="O11094" s="42">
        <v>326</v>
      </c>
      <c r="P11094" s="42">
        <v>65838</v>
      </c>
    </row>
    <row r="11095" spans="1:16" x14ac:dyDescent="0.25">
      <c r="A11095" s="402" t="s">
        <v>30</v>
      </c>
      <c r="B11095" s="2">
        <v>44355</v>
      </c>
      <c r="C11095" s="1">
        <v>115</v>
      </c>
      <c r="D11095" s="39">
        <f t="shared" si="1153"/>
        <v>55062</v>
      </c>
      <c r="E11095" s="1">
        <v>11</v>
      </c>
      <c r="F11095" s="39">
        <f t="shared" si="1152"/>
        <v>661</v>
      </c>
      <c r="G11095" s="169">
        <f>SUM(C11095,C11071,C11047,C11023,C10999,C10975,C10951,C10927,C10903,C10879,C10855,C10831,C10807,C10783)/POBLA!$B$6*100000</f>
        <v>644.27137377643305</v>
      </c>
      <c r="H11095" s="258">
        <f t="shared" si="1151"/>
        <v>0.85770281506117119</v>
      </c>
      <c r="I11095" s="310">
        <f t="shared" si="1154"/>
        <v>552.59337095137471</v>
      </c>
      <c r="J11095" s="552">
        <f t="shared" si="1155"/>
        <v>491.57142857142856</v>
      </c>
      <c r="K11095" s="310">
        <f>J11095/POBLA!$B$6*100000</f>
        <v>43.858939149004023</v>
      </c>
      <c r="L11095" s="202">
        <f t="shared" si="1156"/>
        <v>-8.9682539682539697E-2</v>
      </c>
      <c r="M11095" s="512">
        <f>SUM(C11095,C11071,C11047,C11023,C10999,C10975,C10951)/POBLA!$B$6*100000</f>
        <v>307.01257404302817</v>
      </c>
      <c r="N11095" s="42" t="s">
        <v>30</v>
      </c>
      <c r="O11095" s="42">
        <v>115</v>
      </c>
      <c r="P11095" s="42">
        <v>55062</v>
      </c>
    </row>
    <row r="11096" spans="1:16" x14ac:dyDescent="0.25">
      <c r="A11096" s="402" t="s">
        <v>20</v>
      </c>
      <c r="B11096" s="2">
        <v>44355</v>
      </c>
      <c r="C11096" s="1">
        <v>5528</v>
      </c>
      <c r="D11096" s="39">
        <f t="shared" si="1153"/>
        <v>346946</v>
      </c>
      <c r="E11096" s="1">
        <v>44</v>
      </c>
      <c r="F11096" s="39">
        <f t="shared" si="1152"/>
        <v>4220</v>
      </c>
      <c r="G11096" s="169">
        <f>SUM(C11096,C11072,C11048,C11024,C11000,C10976,C10952,C10928,C10904,C10880,C10856,C10832,C10808,C10784)/POBLA!$B$7*100000</f>
        <v>1584.1986996237154</v>
      </c>
      <c r="H11096" s="258">
        <f t="shared" si="1151"/>
        <v>1.39049553019163</v>
      </c>
      <c r="I11096" s="310">
        <f t="shared" si="1154"/>
        <v>2202.8212107621689</v>
      </c>
      <c r="J11096" s="552">
        <f t="shared" si="1155"/>
        <v>4273.7142857142853</v>
      </c>
      <c r="K11096" s="310">
        <f>J11096/POBLA!$B$7*100000</f>
        <v>113.64901237123975</v>
      </c>
      <c r="L11096" s="202">
        <f t="shared" si="1156"/>
        <v>8.7331827224601533E-3</v>
      </c>
      <c r="M11096" s="512">
        <f>SUM(C11096,C11072,C11048,C11024,C11000,C10976,C10952)/POBLA!$B$7*100000</f>
        <v>795.54308659867831</v>
      </c>
      <c r="N11096" s="42" t="s">
        <v>20</v>
      </c>
      <c r="O11096" s="42">
        <v>5528</v>
      </c>
      <c r="P11096" s="42">
        <v>346946</v>
      </c>
    </row>
    <row r="11097" spans="1:16" x14ac:dyDescent="0.25">
      <c r="A11097" s="402" t="s">
        <v>31</v>
      </c>
      <c r="B11097" s="2">
        <v>44355</v>
      </c>
      <c r="C11097" s="1">
        <v>1148</v>
      </c>
      <c r="D11097" s="39">
        <f t="shared" si="1153"/>
        <v>93527</v>
      </c>
      <c r="E11097" s="1">
        <v>18</v>
      </c>
      <c r="F11097" s="39">
        <f t="shared" si="1152"/>
        <v>1441</v>
      </c>
      <c r="G11097" s="169">
        <f>SUM(C11097,C11073,C11049,C11025,C11001,C10977,C10953,C10929,C10905,C10881,C10857,C10833,C10809,C10785)/POBLA!$B$8*100000</f>
        <v>1012.5826051382397</v>
      </c>
      <c r="H11097" s="258">
        <f t="shared" si="1151"/>
        <v>1.2839890210430009</v>
      </c>
      <c r="I11097" s="310">
        <f t="shared" si="1154"/>
        <v>1300.1449478966199</v>
      </c>
      <c r="J11097" s="552">
        <f t="shared" si="1155"/>
        <v>925</v>
      </c>
      <c r="K11097" s="310">
        <f>J11097/POBLA!$B$8*100000</f>
        <v>66.740694723733199</v>
      </c>
      <c r="L11097" s="202">
        <f t="shared" si="1156"/>
        <v>-0.14340521232967318</v>
      </c>
      <c r="M11097" s="512">
        <f>SUM(C11097,C11073,C11049,C11025,C11001,C10977,C10953)/POBLA!$B$8*100000</f>
        <v>467.18486306613244</v>
      </c>
      <c r="N11097" s="42" t="s">
        <v>31</v>
      </c>
      <c r="O11097" s="42">
        <v>1148</v>
      </c>
      <c r="P11097" s="42">
        <v>93527</v>
      </c>
    </row>
    <row r="11098" spans="1:16" x14ac:dyDescent="0.25">
      <c r="A11098" s="402" t="s">
        <v>41</v>
      </c>
      <c r="B11098" s="2">
        <v>44355</v>
      </c>
      <c r="C11098" s="1">
        <v>586</v>
      </c>
      <c r="D11098" s="39">
        <f t="shared" si="1153"/>
        <v>36322</v>
      </c>
      <c r="E11098" s="1">
        <v>8</v>
      </c>
      <c r="F11098" s="39">
        <f t="shared" si="1152"/>
        <v>576</v>
      </c>
      <c r="G11098" s="169">
        <f>SUM(C11098,C11074,C11050,C11026,C11002,C10978,C10954,C10930,C10906,C10882,C10858,C10834,C10810,C10786)/POBLA!$B$9*100000</f>
        <v>1920.8748283605394</v>
      </c>
      <c r="H11098" s="258">
        <f t="shared" si="1151"/>
        <v>0.63614972091496114</v>
      </c>
      <c r="I11098" s="310">
        <f>G11098*H11098</f>
        <v>1221.963985974131</v>
      </c>
      <c r="J11098" s="552">
        <f t="shared" si="1155"/>
        <v>679.71428571428567</v>
      </c>
      <c r="K11098" s="310">
        <f>J11098/POBLA!$B$9*100000</f>
        <v>112.31363973381809</v>
      </c>
      <c r="L11098" s="202">
        <f t="shared" si="1156"/>
        <v>-0.3071210135430319</v>
      </c>
      <c r="M11098" s="512">
        <f>SUM(C11098,C11074,C11050,C11026,C11002,C10978,C10954)/POBLA!$B$9*100000</f>
        <v>786.19547813672671</v>
      </c>
      <c r="N11098" s="42" t="s">
        <v>41</v>
      </c>
      <c r="O11098" s="42">
        <v>586</v>
      </c>
      <c r="P11098" s="42">
        <v>36322</v>
      </c>
    </row>
    <row r="11099" spans="1:16" x14ac:dyDescent="0.25">
      <c r="A11099" s="402" t="s">
        <v>32</v>
      </c>
      <c r="B11099" s="2">
        <v>44355</v>
      </c>
      <c r="C11099" s="1">
        <v>262</v>
      </c>
      <c r="D11099" s="39">
        <f t="shared" si="1153"/>
        <v>30283</v>
      </c>
      <c r="F11099" s="39">
        <f t="shared" si="1152"/>
        <v>1092</v>
      </c>
      <c r="G11099" s="169">
        <f>SUM(C11099,C11075,C11051,C11027,C11003,C10979,C10955,C10931,C10907,C10883,C10859,C10835,C10811,C10787)/POBLA!$B$10*100000</f>
        <v>378.1387788776737</v>
      </c>
      <c r="H11099" s="258">
        <f t="shared" si="1151"/>
        <v>1.8650031989763276</v>
      </c>
      <c r="I11099" s="310">
        <f t="shared" ref="I11099:I11113" si="1157">G11099*H11099</f>
        <v>705.23003226386368</v>
      </c>
      <c r="J11099" s="552">
        <f t="shared" si="1155"/>
        <v>233.71428571428572</v>
      </c>
      <c r="K11099" s="310">
        <f>J11099/POBLA!$B$10*100000</f>
        <v>30.317816331481218</v>
      </c>
      <c r="L11099" s="202">
        <f t="shared" ref="L11099:L11114" si="1158">(SUM(C11099,C11075,C11051,C11027,C11003,C10979,C10955)/SUM(C10931,C10907,C10883,C10859,C10835,C10811,C10787))-1</f>
        <v>0.27912431587177489</v>
      </c>
      <c r="M11099" s="512">
        <f>SUM(C11099,C11075,C11051,C11027,C11003,C10979,C10955)/POBLA!$B$10*100000</f>
        <v>212.22471432036852</v>
      </c>
      <c r="N11099" s="42" t="s">
        <v>32</v>
      </c>
      <c r="O11099" s="42">
        <v>262</v>
      </c>
      <c r="P11099" s="42">
        <v>30283</v>
      </c>
    </row>
    <row r="11100" spans="1:16" x14ac:dyDescent="0.25">
      <c r="A11100" s="402" t="s">
        <v>33</v>
      </c>
      <c r="B11100" s="2">
        <v>44355</v>
      </c>
      <c r="C11100" s="1">
        <v>313</v>
      </c>
      <c r="D11100" s="39">
        <f t="shared" si="1153"/>
        <v>45904</v>
      </c>
      <c r="E11100" s="1">
        <v>16</v>
      </c>
      <c r="F11100" s="39">
        <f t="shared" si="1152"/>
        <v>617</v>
      </c>
      <c r="G11100" s="169">
        <f>SUM(C11100,C11076,C11052,C11028,C11004,C10980,C10956,C10932,C10908,C10884,C10860,C10836,C10812,C10788)/POBLA!$B$11*100000</f>
        <v>1758.7911658687381</v>
      </c>
      <c r="H11100" s="258">
        <f t="shared" si="1151"/>
        <v>0.72426470588235292</v>
      </c>
      <c r="I11100" s="310">
        <f t="shared" si="1157"/>
        <v>1273.8303664564021</v>
      </c>
      <c r="J11100" s="552">
        <f t="shared" si="1155"/>
        <v>364</v>
      </c>
      <c r="K11100" s="310">
        <f>J11100/POBLA!$B$11*100000</f>
        <v>101.55456604952738</v>
      </c>
      <c r="L11100" s="202">
        <f t="shared" si="1158"/>
        <v>-0.32161874334398299</v>
      </c>
      <c r="M11100" s="512">
        <f>SUM(C11100,C11076,C11052,C11028,C11004,C10980,C10956)/POBLA!$B$11*100000</f>
        <v>710.88196234669169</v>
      </c>
      <c r="N11100" s="42" t="s">
        <v>33</v>
      </c>
      <c r="O11100" s="42">
        <v>313</v>
      </c>
      <c r="P11100" s="42">
        <v>45904</v>
      </c>
    </row>
    <row r="11101" spans="1:16" x14ac:dyDescent="0.25">
      <c r="A11101" s="402" t="s">
        <v>21</v>
      </c>
      <c r="B11101" s="2">
        <v>44355</v>
      </c>
      <c r="C11101" s="1">
        <v>190</v>
      </c>
      <c r="D11101" s="39">
        <f t="shared" si="1153"/>
        <v>18810</v>
      </c>
      <c r="F11101" s="39">
        <f t="shared" si="1152"/>
        <v>580</v>
      </c>
      <c r="G11101" s="169">
        <f>SUM(C11101,C11077,C11053,C11029,C11005,C10981,C10957,C10933,C10909,C10885,C10861,C10837,C10813,C10789)/POBLA!$B$12*100000</f>
        <v>590.55068088663916</v>
      </c>
      <c r="H11101" s="258">
        <f t="shared" si="1151"/>
        <v>1.1098376313276026</v>
      </c>
      <c r="I11101" s="310">
        <f t="shared" si="1157"/>
        <v>655.41536885413052</v>
      </c>
      <c r="J11101" s="552">
        <f t="shared" si="1155"/>
        <v>187</v>
      </c>
      <c r="K11101" s="310">
        <f>J11101/POBLA!$B$12*100000</f>
        <v>47.518492825215802</v>
      </c>
      <c r="L11101" s="202">
        <f t="shared" si="1158"/>
        <v>0.28965517241379302</v>
      </c>
      <c r="M11101" s="512">
        <f>SUM(C11101,C11077,C11053,C11029,C11005,C10981,C10957)/POBLA!$B$12*100000</f>
        <v>332.62944977651063</v>
      </c>
      <c r="N11101" s="42" t="s">
        <v>21</v>
      </c>
      <c r="O11101" s="42">
        <v>190</v>
      </c>
      <c r="P11101" s="42">
        <v>18810</v>
      </c>
    </row>
    <row r="11102" spans="1:16" x14ac:dyDescent="0.25">
      <c r="A11102" s="402" t="s">
        <v>17</v>
      </c>
      <c r="B11102" s="2">
        <v>44355</v>
      </c>
      <c r="C11102" s="1">
        <v>900</v>
      </c>
      <c r="D11102" s="39">
        <f t="shared" si="1153"/>
        <v>126701</v>
      </c>
      <c r="E11102" s="1">
        <v>29</v>
      </c>
      <c r="F11102" s="39">
        <f t="shared" si="1152"/>
        <v>2799</v>
      </c>
      <c r="G11102" s="169">
        <f>SUM(C11102,C11078,C11054,C11030,C11006,C10982,C10958,C10934,C10910,C10886,C10862,C10838,C10814,C10790)/POBLA!$B$13*100000</f>
        <v>556.1869391028057</v>
      </c>
      <c r="H11102" s="258">
        <f t="shared" si="1151"/>
        <v>0.99460916442048519</v>
      </c>
      <c r="I11102" s="310">
        <f t="shared" si="1157"/>
        <v>553.18862676262881</v>
      </c>
      <c r="J11102" s="552">
        <f t="shared" si="1155"/>
        <v>714.57142857142856</v>
      </c>
      <c r="K11102" s="310">
        <f>J11102/POBLA!$B$13*100000</f>
        <v>35.902014058487985</v>
      </c>
      <c r="L11102" s="202">
        <f t="shared" si="1158"/>
        <v>-0.17567567567567566</v>
      </c>
      <c r="M11102" s="512">
        <f>SUM(C11102,C11078,C11054,C11030,C11006,C10982,C10958)/POBLA!$B$13*100000</f>
        <v>251.31409840941586</v>
      </c>
      <c r="N11102" s="42" t="s">
        <v>17</v>
      </c>
      <c r="O11102" s="42">
        <v>900</v>
      </c>
      <c r="P11102" s="42">
        <v>126701</v>
      </c>
    </row>
    <row r="11103" spans="1:16" x14ac:dyDescent="0.25">
      <c r="A11103" s="402" t="s">
        <v>23</v>
      </c>
      <c r="B11103" s="2">
        <v>44355</v>
      </c>
      <c r="C11103" s="1">
        <v>200</v>
      </c>
      <c r="D11103" s="39">
        <f t="shared" si="1153"/>
        <v>21875</v>
      </c>
      <c r="E11103" s="1">
        <v>6</v>
      </c>
      <c r="F11103" s="39">
        <f t="shared" si="1152"/>
        <v>337</v>
      </c>
      <c r="G11103" s="169">
        <f>SUM(C11103,C11079,C11055,C11031,C11007,C10983,C10959,C10935,C10911,C10887,C10863,C10839,C10815,C10791)/POBLA!$B$14*100000</f>
        <v>200.98406874210136</v>
      </c>
      <c r="H11103" s="258">
        <f t="shared" si="1151"/>
        <v>1.1834733893557423</v>
      </c>
      <c r="I11103" s="310">
        <f t="shared" si="1157"/>
        <v>237.8592970407222</v>
      </c>
      <c r="J11103" s="552">
        <f t="shared" si="1155"/>
        <v>181</v>
      </c>
      <c r="K11103" s="310">
        <f>J11103/POBLA!$B$14*100000</f>
        <v>14.350341791842347</v>
      </c>
      <c r="L11103" s="202">
        <f t="shared" si="1158"/>
        <v>-7.8864353312302349E-4</v>
      </c>
      <c r="M11103" s="512">
        <f>SUM(C11103,C11079,C11055,C11031,C11007,C10983,C10959)/POBLA!$B$14*100000</f>
        <v>100.45239254289642</v>
      </c>
      <c r="N11103" s="42" t="s">
        <v>23</v>
      </c>
      <c r="O11103" s="42">
        <v>200</v>
      </c>
      <c r="P11103" s="42">
        <v>21875</v>
      </c>
    </row>
    <row r="11104" spans="1:16" x14ac:dyDescent="0.25">
      <c r="A11104" s="402" t="s">
        <v>19</v>
      </c>
      <c r="B11104" s="2">
        <v>44355</v>
      </c>
      <c r="C11104" s="1">
        <v>574</v>
      </c>
      <c r="D11104" s="39">
        <f t="shared" si="1153"/>
        <v>95197</v>
      </c>
      <c r="E11104" s="1">
        <v>33</v>
      </c>
      <c r="F11104" s="39">
        <f t="shared" si="1152"/>
        <v>1469</v>
      </c>
      <c r="G11104" s="169">
        <f>SUM(C11104,C11080,C11056,C11032,C11008,C10984,C10960,C10936,C10912,C10888,C10864,C10840,C10816,C10792)/POBLA!$B$15*100000</f>
        <v>1469.6027600040359</v>
      </c>
      <c r="H11104" s="258">
        <f t="shared" si="1151"/>
        <v>1.0210295040803516</v>
      </c>
      <c r="I11104" s="310">
        <f t="shared" si="1157"/>
        <v>1500.5077772420368</v>
      </c>
      <c r="J11104" s="552">
        <f t="shared" si="1155"/>
        <v>563.42857142857144</v>
      </c>
      <c r="K11104" s="310">
        <f>J11104/POBLA!$B$15*100000</f>
        <v>84.846417013685794</v>
      </c>
      <c r="L11104" s="202">
        <f t="shared" si="1158"/>
        <v>-0.32175408426483232</v>
      </c>
      <c r="M11104" s="512">
        <f>SUM(C11104,C11080,C11056,C11032,C11008,C10984,C10960)/POBLA!$B$15*100000</f>
        <v>593.92491909580053</v>
      </c>
      <c r="N11104" s="42" t="s">
        <v>19</v>
      </c>
      <c r="O11104" s="42">
        <v>574</v>
      </c>
      <c r="P11104" s="42">
        <v>95197</v>
      </c>
    </row>
    <row r="11105" spans="1:16" x14ac:dyDescent="0.25">
      <c r="A11105" s="402" t="s">
        <v>18</v>
      </c>
      <c r="B11105" s="2">
        <v>44355</v>
      </c>
      <c r="C11105" s="1">
        <v>471</v>
      </c>
      <c r="D11105" s="39">
        <f t="shared" si="1153"/>
        <v>77596</v>
      </c>
      <c r="E11105" s="1">
        <v>14</v>
      </c>
      <c r="F11105" s="39">
        <f t="shared" si="1152"/>
        <v>1718</v>
      </c>
      <c r="G11105" s="169">
        <f>SUM(C11105,C11081,C11057,C11033,C11009,C10985,C10961,C10937,C10913,C10889,C10865,C10841,C10817,C10793)/POBLA!$B$16*100000</f>
        <v>881.74315485346642</v>
      </c>
      <c r="H11105" s="258">
        <f t="shared" si="1151"/>
        <v>1.0379467800346402</v>
      </c>
      <c r="I11105" s="310">
        <f t="shared" si="1157"/>
        <v>915.20246839774063</v>
      </c>
      <c r="J11105" s="552">
        <f t="shared" si="1155"/>
        <v>396.71428571428572</v>
      </c>
      <c r="K11105" s="310">
        <f>J11105/POBLA!$B$16*100000</f>
        <v>53.064336447383766</v>
      </c>
      <c r="L11105" s="202">
        <f t="shared" si="1158"/>
        <v>-0.27208387942332901</v>
      </c>
      <c r="M11105" s="512">
        <f>SUM(C11105,C11081,C11057,C11033,C11009,C10985,C10961)/POBLA!$B$16*100000</f>
        <v>371.45035513168631</v>
      </c>
      <c r="N11105" s="42" t="s">
        <v>18</v>
      </c>
      <c r="O11105" s="42">
        <v>471</v>
      </c>
      <c r="P11105" s="42">
        <v>77596</v>
      </c>
    </row>
    <row r="11106" spans="1:16" x14ac:dyDescent="0.25">
      <c r="A11106" s="402" t="s">
        <v>34</v>
      </c>
      <c r="B11106" s="2">
        <v>44355</v>
      </c>
      <c r="C11106" s="1">
        <v>563</v>
      </c>
      <c r="D11106" s="39">
        <f t="shared" si="1153"/>
        <v>50040</v>
      </c>
      <c r="E11106" s="1">
        <v>20</v>
      </c>
      <c r="F11106" s="39">
        <f t="shared" si="1152"/>
        <v>1470</v>
      </c>
      <c r="G11106" s="169">
        <f>SUM(C11106,C11082,C11058,C11034,C11010,C10986,C10962,C10938,C10914,C10890,C10866,C10842,C10818,C10794)/POBLA!$B$17*100000</f>
        <v>526.88962417078949</v>
      </c>
      <c r="H11106" s="258">
        <f t="shared" ref="H11106:H11129" si="1159">SUM(C11106,C11082,C11058,C11034,C11010,C10986,C10962,C10938,C10914,C10890,C10866,C10842,C10818,C10794)/SUM(C10770,C10746,C10722,C10698,C10674,C10650,C10626,C10602,C10578,C10554,C10530,C10506,C10482,C10458)</f>
        <v>1.3705259313367422</v>
      </c>
      <c r="I11106" s="310">
        <f t="shared" si="1157"/>
        <v>722.11589287833726</v>
      </c>
      <c r="J11106" s="552">
        <f t="shared" si="1155"/>
        <v>568.85714285714289</v>
      </c>
      <c r="K11106" s="310">
        <f>J11106/POBLA!$B$17*100000</f>
        <v>39.936699028230393</v>
      </c>
      <c r="L11106" s="202">
        <f t="shared" si="1158"/>
        <v>0.13028668748225947</v>
      </c>
      <c r="M11106" s="512">
        <f>SUM(C11106,C11082,C11058,C11034,C11010,C10986,C10962)/POBLA!$B$17*100000</f>
        <v>279.55689319761274</v>
      </c>
      <c r="N11106" s="42" t="s">
        <v>34</v>
      </c>
      <c r="O11106" s="42">
        <v>563</v>
      </c>
      <c r="P11106" s="42">
        <v>50040</v>
      </c>
    </row>
    <row r="11107" spans="1:16" x14ac:dyDescent="0.25">
      <c r="A11107" s="402" t="s">
        <v>35</v>
      </c>
      <c r="B11107" s="2">
        <v>44355</v>
      </c>
      <c r="C11107" s="1">
        <v>735</v>
      </c>
      <c r="D11107" s="39">
        <f t="shared" si="1153"/>
        <v>40831</v>
      </c>
      <c r="E11107" s="1">
        <v>4</v>
      </c>
      <c r="F11107" s="39">
        <f t="shared" si="1152"/>
        <v>690</v>
      </c>
      <c r="G11107" s="169">
        <f>SUM(C11107,C11083,C11059,C11035,C11011,C10987,C10963,C10939,C10915,C10891,C10867,C10843,C10819,C10795)/POBLA!$B$18*100000</f>
        <v>924.19903816737224</v>
      </c>
      <c r="H11107" s="258">
        <f t="shared" si="1159"/>
        <v>1.093111279333838</v>
      </c>
      <c r="I11107" s="310">
        <f t="shared" si="1157"/>
        <v>1010.2523929702388</v>
      </c>
      <c r="J11107" s="552">
        <f t="shared" si="1155"/>
        <v>456.71428571428572</v>
      </c>
      <c r="K11107" s="310">
        <f>J11107/POBLA!$B$18*100000</f>
        <v>58.461898002000176</v>
      </c>
      <c r="L11107" s="202">
        <f t="shared" si="1158"/>
        <v>-0.20531941337310466</v>
      </c>
      <c r="M11107" s="512">
        <f>SUM(C11107,C11083,C11059,C11035,C11011,C10987,C10963)/POBLA!$B$18*100000</f>
        <v>409.23328601400118</v>
      </c>
      <c r="N11107" s="42" t="s">
        <v>35</v>
      </c>
      <c r="O11107" s="42">
        <v>735</v>
      </c>
      <c r="P11107" s="42">
        <v>40831</v>
      </c>
    </row>
    <row r="11108" spans="1:16" x14ac:dyDescent="0.25">
      <c r="A11108" s="402" t="s">
        <v>36</v>
      </c>
      <c r="B11108" s="2">
        <v>44355</v>
      </c>
      <c r="C11108" s="1">
        <v>436</v>
      </c>
      <c r="D11108" s="39">
        <f t="shared" si="1153"/>
        <v>57127</v>
      </c>
      <c r="E11108" s="1">
        <v>6</v>
      </c>
      <c r="F11108" s="39">
        <f t="shared" si="1152"/>
        <v>782</v>
      </c>
      <c r="G11108" s="169">
        <f>SUM(C11108,C11084,C11060,C11036,C11012,C10988,C10964,C10940,C10916,C10892,C10868,C10844,C10820,C10796)/POBLA!$B$19*100000</f>
        <v>1440.2118317306936</v>
      </c>
      <c r="H11108" s="258">
        <f t="shared" si="1159"/>
        <v>0.98812255365096502</v>
      </c>
      <c r="I11108" s="310">
        <f t="shared" si="1157"/>
        <v>1423.1057929680669</v>
      </c>
      <c r="J11108" s="552">
        <f t="shared" si="1155"/>
        <v>518.28571428571433</v>
      </c>
      <c r="K11108" s="310">
        <f>J11108/POBLA!$B$19*100000</f>
        <v>101.95891516613571</v>
      </c>
      <c r="L11108" s="202">
        <f t="shared" si="1158"/>
        <v>-1.7600866504197121E-2</v>
      </c>
      <c r="M11108" s="512">
        <f>SUM(C11108,C11084,C11060,C11036,C11012,C10988,C10964)/POBLA!$B$19*100000</f>
        <v>713.71240616294995</v>
      </c>
      <c r="N11108" s="42" t="s">
        <v>36</v>
      </c>
      <c r="O11108" s="42">
        <v>436</v>
      </c>
      <c r="P11108" s="42">
        <v>57127</v>
      </c>
    </row>
    <row r="11109" spans="1:16" x14ac:dyDescent="0.25">
      <c r="A11109" s="402" t="s">
        <v>37</v>
      </c>
      <c r="B11109" s="2">
        <v>44355</v>
      </c>
      <c r="C11109" s="1">
        <v>132</v>
      </c>
      <c r="D11109" s="39">
        <f t="shared" si="1153"/>
        <v>52959</v>
      </c>
      <c r="E11109" s="1">
        <v>4</v>
      </c>
      <c r="F11109" s="39">
        <f t="shared" si="1152"/>
        <v>807</v>
      </c>
      <c r="G11109" s="169">
        <f>SUM(C11109,C11085,C11061,C11037,C11013,C10989,C10965,C10941,C10917,C10893,C10869,C10845,C10821,C10797)/POBLA!$B$20*100000</f>
        <v>728.19648999994524</v>
      </c>
      <c r="H11109" s="258">
        <f t="shared" si="1159"/>
        <v>0.81288156288156288</v>
      </c>
      <c r="I11109" s="310">
        <f t="shared" si="1157"/>
        <v>591.93750087602382</v>
      </c>
      <c r="J11109" s="552">
        <f t="shared" si="1155"/>
        <v>169.57142857142858</v>
      </c>
      <c r="K11109" s="310">
        <f>J11109/POBLA!$B$20*100000</f>
        <v>46.369252380770085</v>
      </c>
      <c r="L11109" s="202">
        <f t="shared" si="1158"/>
        <v>-0.19579945799457998</v>
      </c>
      <c r="M11109" s="512">
        <f>SUM(C11109,C11085,C11061,C11037,C11013,C10989,C10965)/POBLA!$B$20*100000</f>
        <v>324.58476666539059</v>
      </c>
      <c r="N11109" s="42" t="s">
        <v>37</v>
      </c>
      <c r="O11109" s="42">
        <v>132</v>
      </c>
      <c r="P11109" s="42">
        <v>52959</v>
      </c>
    </row>
    <row r="11110" spans="1:16" x14ac:dyDescent="0.25">
      <c r="A11110" s="402" t="s">
        <v>22</v>
      </c>
      <c r="B11110" s="2">
        <v>44355</v>
      </c>
      <c r="C11110" s="1">
        <v>2837</v>
      </c>
      <c r="D11110" s="39">
        <f t="shared" si="1153"/>
        <v>366387</v>
      </c>
      <c r="E11110" s="1">
        <v>55</v>
      </c>
      <c r="F11110" s="39">
        <f t="shared" si="1152"/>
        <v>5842</v>
      </c>
      <c r="G11110" s="169">
        <f>SUM(C11110,C11086,C11062,C11038,C11014,C10990,C10966,C10942,C10918,C10894,C10870,C10846,C10822,C10798)/POBLA!$B$21*100000</f>
        <v>1114.1216903657883</v>
      </c>
      <c r="H11110" s="258">
        <f t="shared" si="1159"/>
        <v>1.1441514693924961</v>
      </c>
      <c r="I11110" s="310">
        <f t="shared" si="1157"/>
        <v>1274.7239691140683</v>
      </c>
      <c r="J11110" s="552">
        <f t="shared" si="1155"/>
        <v>2569.7142857142858</v>
      </c>
      <c r="K11110" s="310">
        <f>J11110/POBLA!$B$21*100000</f>
        <v>72.664325476068896</v>
      </c>
      <c r="L11110" s="202">
        <f t="shared" si="1158"/>
        <v>-0.15991033065570703</v>
      </c>
      <c r="M11110" s="512">
        <f>SUM(C11110,C11086,C11062,C11038,C11014,C10990,C10966)/POBLA!$B$21*100000</f>
        <v>508.65027833248223</v>
      </c>
      <c r="N11110" s="42" t="s">
        <v>22</v>
      </c>
      <c r="O11110" s="42">
        <v>2837</v>
      </c>
      <c r="P11110" s="42">
        <v>366387</v>
      </c>
    </row>
    <row r="11111" spans="1:16" x14ac:dyDescent="0.25">
      <c r="A11111" s="402" t="s">
        <v>38</v>
      </c>
      <c r="B11111" s="2">
        <v>44355</v>
      </c>
      <c r="C11111" s="1">
        <v>421</v>
      </c>
      <c r="D11111" s="39">
        <f t="shared" si="1153"/>
        <v>48148</v>
      </c>
      <c r="E11111" s="1">
        <v>8</v>
      </c>
      <c r="F11111" s="39">
        <f t="shared" si="1152"/>
        <v>604</v>
      </c>
      <c r="G11111" s="169">
        <f>SUM(C11111,C11087,C11063,C11039,C11015,C10991,C10967,C10943,C10919,C10895,C10871,C10847,C10823,C10799)/POBLA!$B$22*100000</f>
        <v>778.78961027810124</v>
      </c>
      <c r="H11111" s="258">
        <f t="shared" si="1159"/>
        <v>1.0474291998900191</v>
      </c>
      <c r="I11111" s="310">
        <f t="shared" si="1157"/>
        <v>815.7269783762514</v>
      </c>
      <c r="J11111" s="552">
        <f t="shared" si="1155"/>
        <v>549.71428571428567</v>
      </c>
      <c r="K11111" s="310">
        <f>J11111/POBLA!$B$22*100000</f>
        <v>56.190021569199807</v>
      </c>
      <c r="L11111" s="202">
        <f t="shared" si="1158"/>
        <v>2.0418987006099121E-2</v>
      </c>
      <c r="M11111" s="512">
        <f>SUM(C11111,C11087,C11063,C11039,C11015,C10991,C10967)/POBLA!$B$22*100000</f>
        <v>393.33015098439864</v>
      </c>
      <c r="N11111" s="42" t="s">
        <v>38</v>
      </c>
      <c r="O11111" s="42">
        <v>421</v>
      </c>
      <c r="P11111" s="42">
        <v>48148</v>
      </c>
    </row>
    <row r="11112" spans="1:16" x14ac:dyDescent="0.25">
      <c r="A11112" s="402" t="s">
        <v>39</v>
      </c>
      <c r="B11112" s="2">
        <v>44355</v>
      </c>
      <c r="C11112" s="1">
        <v>37</v>
      </c>
      <c r="D11112" s="39">
        <f t="shared" si="1153"/>
        <v>28881</v>
      </c>
      <c r="E11112" s="1">
        <v>1</v>
      </c>
      <c r="F11112" s="39">
        <f t="shared" si="1152"/>
        <v>428</v>
      </c>
      <c r="G11112" s="169">
        <f>SUM(C11112,C11088,C11064,C11040,C11016,C10992,C10968,C10944,C10920,C10896,C10872,C10848,C10824,C10800)/POBLA!$B$23*100000</f>
        <v>397.55697562630775</v>
      </c>
      <c r="H11112" s="258">
        <f t="shared" si="1159"/>
        <v>0.68186226964112517</v>
      </c>
      <c r="I11112" s="310">
        <f t="shared" si="1157"/>
        <v>271.07910171221567</v>
      </c>
      <c r="J11112" s="552">
        <f t="shared" si="1155"/>
        <v>50.285714285714285</v>
      </c>
      <c r="K11112" s="310">
        <f>J11112/POBLA!$B$23*100000</f>
        <v>28.437320751973246</v>
      </c>
      <c r="L11112" s="202">
        <f t="shared" si="1158"/>
        <v>2.8490028490029129E-3</v>
      </c>
      <c r="M11112" s="512">
        <f>SUM(C11112,C11088,C11064,C11040,C11016,C10992,C10968)/POBLA!$B$23*100000</f>
        <v>199.06124526381271</v>
      </c>
      <c r="N11112" s="42" t="s">
        <v>39</v>
      </c>
      <c r="O11112" s="42">
        <v>37</v>
      </c>
      <c r="P11112" s="42">
        <v>28881</v>
      </c>
    </row>
    <row r="11113" spans="1:16" ht="15.75" thickBot="1" x14ac:dyDescent="0.3">
      <c r="A11113" s="403" t="s">
        <v>40</v>
      </c>
      <c r="B11113" s="34">
        <v>44355</v>
      </c>
      <c r="C11113" s="234">
        <v>1145</v>
      </c>
      <c r="D11113" s="67">
        <f t="shared" si="1153"/>
        <v>137247</v>
      </c>
      <c r="E11113" s="234">
        <v>27</v>
      </c>
      <c r="F11113" s="67">
        <f t="shared" si="1152"/>
        <v>2009</v>
      </c>
      <c r="G11113" s="257">
        <f>SUM(C11113,C11089,C11065,C11041,C11017,C10993,C10969,C10945,C10921,C10897,C10873,C10849,C10825,C10801)/POBLA!$B$24*100000</f>
        <v>880.35565920163151</v>
      </c>
      <c r="H11113" s="259">
        <f t="shared" si="1159"/>
        <v>1.4403359721954045</v>
      </c>
      <c r="I11113" s="312">
        <f t="shared" si="1157"/>
        <v>1268.0079242739082</v>
      </c>
      <c r="J11113" s="566">
        <f t="shared" si="1155"/>
        <v>877.85714285714289</v>
      </c>
      <c r="K11113" s="312">
        <f>J11113/POBLA!$B$24*100000</f>
        <v>51.801494985244382</v>
      </c>
      <c r="L11113" s="262">
        <f t="shared" si="1158"/>
        <v>-0.29963528607248691</v>
      </c>
      <c r="M11113" s="517">
        <f>SUM(C11113,C11089,C11065,C11041,C11017,C10993,C10969)/POBLA!$B$24*100000</f>
        <v>362.6104648967106</v>
      </c>
      <c r="N11113" s="42" t="s">
        <v>40</v>
      </c>
      <c r="O11113" s="42">
        <v>1145</v>
      </c>
      <c r="P11113" s="42">
        <v>137247</v>
      </c>
    </row>
    <row r="11114" spans="1:16" x14ac:dyDescent="0.25">
      <c r="A11114" s="397" t="s">
        <v>16</v>
      </c>
      <c r="B11114" s="267">
        <v>44356</v>
      </c>
      <c r="C11114" s="389">
        <v>10428</v>
      </c>
      <c r="D11114" s="175">
        <f t="shared" si="1153"/>
        <v>1698783</v>
      </c>
      <c r="E11114" s="43">
        <v>287</v>
      </c>
      <c r="F11114" s="175">
        <f t="shared" ref="F11114:F11137" si="1160">E11114+F11090</f>
        <v>42672</v>
      </c>
      <c r="G11114" s="176">
        <f>SUM(C11114,C11090,C11066,C11042,C11018,C10994,C10970,C10946,C10922,C10898,C10874,C10850,C10826,C10802)/POBLA!$B$1*100000</f>
        <v>835.24783250986923</v>
      </c>
      <c r="H11114" s="313">
        <f t="shared" si="1159"/>
        <v>0.98565037505466047</v>
      </c>
      <c r="I11114" s="314">
        <f>G11114*H11114</f>
        <v>823.26233937694485</v>
      </c>
      <c r="J11114" s="551">
        <f>AVERAGE(C11114,C11090,C11066,C11042,C11018,C10994,C10970)</f>
        <v>8991.4285714285706</v>
      </c>
      <c r="K11114" s="314">
        <f>J11114/POBLA!$B$1*100000</f>
        <v>51.259086118905103</v>
      </c>
      <c r="L11114" s="510">
        <f t="shared" si="1158"/>
        <v>-0.24687694443114916</v>
      </c>
      <c r="M11114" s="511">
        <f>SUM(C11114,C11090,C11066,C11042,C11018,C10994,C10970)/POBLA!$B$1*100000</f>
        <v>358.81360283233573</v>
      </c>
    </row>
    <row r="11115" spans="1:16" x14ac:dyDescent="0.25">
      <c r="A11115" s="402" t="s">
        <v>43</v>
      </c>
      <c r="B11115" s="2">
        <v>44356</v>
      </c>
      <c r="C11115" s="4">
        <v>1688</v>
      </c>
      <c r="D11115" s="39">
        <f t="shared" si="1153"/>
        <v>435113</v>
      </c>
      <c r="E11115" s="1">
        <v>54</v>
      </c>
      <c r="F11115" s="39">
        <f t="shared" si="1160"/>
        <v>9557</v>
      </c>
      <c r="G11115" s="169">
        <f>SUM(C11115,C11091,C11067,C11043,C11019,C10995,C10971,C10947,C10923,C10899,C10875,C10851,C10827,C10803)/POBLA!$B$2*100000</f>
        <v>948.45115465173831</v>
      </c>
      <c r="H11115" s="258">
        <f t="shared" si="1159"/>
        <v>0.78070386725545293</v>
      </c>
      <c r="I11115" s="310">
        <f t="shared" ref="I11115:I11121" si="1161">G11115*H11115</f>
        <v>740.45948433951173</v>
      </c>
      <c r="J11115" s="552">
        <f t="shared" ref="J11115:J11137" si="1162">AVERAGE(C11115,C11091,C11067,C11043,C11019,C10995,C10971)</f>
        <v>1743.7142857142858</v>
      </c>
      <c r="K11115" s="310">
        <f>J11115/POBLA!$B$2*100000</f>
        <v>56.694245232197908</v>
      </c>
      <c r="L11115" s="202">
        <f t="shared" ref="L11115:L11122" si="1163">(SUM(C11115,C11091,C11067,C11043,C11019,C10995,C10971)/SUM(C10947,C10923,C10899,C10875,C10851,C10827,C10803))-1</f>
        <v>-0.28051871500147363</v>
      </c>
      <c r="M11115" s="512">
        <f>SUM(C11115,C11091,C11067,C11043,C11019,C10995,C10971)/POBLA!$B$2*100000</f>
        <v>396.85971662538537</v>
      </c>
    </row>
    <row r="11116" spans="1:16" x14ac:dyDescent="0.25">
      <c r="A11116" s="402" t="s">
        <v>28</v>
      </c>
      <c r="B11116" s="2">
        <v>44356</v>
      </c>
      <c r="C11116" s="4">
        <v>332</v>
      </c>
      <c r="D11116" s="39">
        <f t="shared" si="1153"/>
        <v>27548</v>
      </c>
      <c r="E11116" s="1">
        <v>1</v>
      </c>
      <c r="F11116" s="39">
        <f t="shared" si="1160"/>
        <v>202</v>
      </c>
      <c r="G11116" s="169">
        <f>SUM(C11116,C11092,C11068,C11044,C11020,C10996,C10972,C10948,C10924,C10900,C10876,C10852,C10828,C10804)/POBLA!$B$3*100000</f>
        <v>1424.76133622827</v>
      </c>
      <c r="H11116" s="258">
        <f t="shared" si="1159"/>
        <v>1.22217633698121</v>
      </c>
      <c r="I11116" s="310">
        <f t="shared" si="1161"/>
        <v>1741.3095909839212</v>
      </c>
      <c r="J11116" s="552">
        <f t="shared" si="1162"/>
        <v>422.71428571428572</v>
      </c>
      <c r="K11116" s="310">
        <f>J11116/POBLA!$B$3*100000</f>
        <v>101.75147331594262</v>
      </c>
      <c r="L11116" s="202">
        <f t="shared" si="1163"/>
        <v>-3.3783783783780663E-4</v>
      </c>
      <c r="M11116" s="512">
        <f>SUM(C11116,C11092,C11068,C11044,C11020,C10996,C10972)/POBLA!$B$3*100000</f>
        <v>712.26031321159837</v>
      </c>
    </row>
    <row r="11117" spans="1:16" x14ac:dyDescent="0.25">
      <c r="A11117" s="402" t="s">
        <v>15</v>
      </c>
      <c r="B11117" s="2">
        <v>44356</v>
      </c>
      <c r="C11117" s="4">
        <v>881</v>
      </c>
      <c r="D11117" s="39">
        <f t="shared" si="1153"/>
        <v>64975</v>
      </c>
      <c r="E11117" s="1">
        <v>10</v>
      </c>
      <c r="F11117" s="39">
        <f t="shared" si="1160"/>
        <v>1357</v>
      </c>
      <c r="G11117" s="169">
        <f>SUM(C11117,C11093,C11069,C11045,C11021,C10997,C10973,C10949,C10925,C10901,C10877,C10853,C10829,C10805)/POBLA!$B$4*100000</f>
        <v>820.89360179520668</v>
      </c>
      <c r="H11117" s="258">
        <f t="shared" si="1159"/>
        <v>1.346588587770666</v>
      </c>
      <c r="I11117" s="310">
        <f t="shared" si="1161"/>
        <v>1105.4059559513828</v>
      </c>
      <c r="J11117" s="552">
        <f t="shared" si="1162"/>
        <v>739.28571428571433</v>
      </c>
      <c r="K11117" s="310">
        <f>J11117/POBLA!$B$4*100000</f>
        <v>61.374890044067762</v>
      </c>
      <c r="L11117" s="202">
        <f t="shared" si="1163"/>
        <v>9.802673456397204E-2</v>
      </c>
      <c r="M11117" s="512">
        <f>SUM(C11117,C11093,C11069,C11045,C11021,C10997,C10973)/POBLA!$B$4*100000</f>
        <v>429.62423030847435</v>
      </c>
    </row>
    <row r="11118" spans="1:16" x14ac:dyDescent="0.25">
      <c r="A11118" s="402" t="s">
        <v>29</v>
      </c>
      <c r="B11118" s="2">
        <v>44356</v>
      </c>
      <c r="C11118" s="4">
        <v>338</v>
      </c>
      <c r="D11118" s="39">
        <f t="shared" si="1153"/>
        <v>66176</v>
      </c>
      <c r="E11118" s="1">
        <v>4</v>
      </c>
      <c r="F11118" s="39">
        <f t="shared" si="1160"/>
        <v>1089</v>
      </c>
      <c r="G11118" s="169">
        <f>SUM(C11118,C11094,C11070,C11046,C11022,C10998,C10974,C10950,C10926,C10902,C10878,C10854,C10830,C10806)/POBLA!$B$5*100000</f>
        <v>849.60435803901157</v>
      </c>
      <c r="H11118" s="258">
        <f t="shared" si="1159"/>
        <v>1.3752615062761506</v>
      </c>
      <c r="I11118" s="310">
        <f t="shared" si="1161"/>
        <v>1168.4281691755129</v>
      </c>
      <c r="J11118" s="552">
        <f t="shared" si="1162"/>
        <v>342.14285714285717</v>
      </c>
      <c r="K11118" s="310">
        <f>J11118/POBLA!$B$5*100000</f>
        <v>55.274018349589362</v>
      </c>
      <c r="L11118" s="202">
        <f t="shared" si="1163"/>
        <v>-0.16375698324022347</v>
      </c>
      <c r="M11118" s="512">
        <f>SUM(C11118,C11094,C11070,C11046,C11022,C10998,C10974)/POBLA!$B$5*100000</f>
        <v>386.91812844712547</v>
      </c>
    </row>
    <row r="11119" spans="1:16" x14ac:dyDescent="0.25">
      <c r="A11119" s="402" t="s">
        <v>30</v>
      </c>
      <c r="B11119" s="2">
        <v>44356</v>
      </c>
      <c r="C11119" s="4">
        <v>884</v>
      </c>
      <c r="D11119" s="39">
        <f t="shared" si="1153"/>
        <v>55946</v>
      </c>
      <c r="E11119" s="1">
        <v>1</v>
      </c>
      <c r="F11119" s="39">
        <f t="shared" si="1160"/>
        <v>662</v>
      </c>
      <c r="G11119" s="169">
        <f>SUM(C11119,C11095,C11071,C11047,C11023,C10999,C10975,C10951,C10927,C10903,C10879,C10855,C10831,C10807)/POBLA!$B$6*100000</f>
        <v>658.81454424112758</v>
      </c>
      <c r="H11119" s="258">
        <f t="shared" si="1159"/>
        <v>0.81330543011344858</v>
      </c>
      <c r="I11119" s="310">
        <f t="shared" si="1161"/>
        <v>535.81744626902582</v>
      </c>
      <c r="J11119" s="552">
        <f t="shared" si="1162"/>
        <v>530.71428571428567</v>
      </c>
      <c r="K11119" s="310">
        <f>J11119/POBLA!$B$6*100000</f>
        <v>47.351339418352204</v>
      </c>
      <c r="L11119" s="202">
        <f t="shared" si="1163"/>
        <v>1.2537476151539995E-2</v>
      </c>
      <c r="M11119" s="512">
        <f>SUM(C11119,C11095,C11071,C11047,C11023,C10999,C10975)/POBLA!$B$6*100000</f>
        <v>331.45937592846542</v>
      </c>
    </row>
    <row r="11120" spans="1:16" x14ac:dyDescent="0.25">
      <c r="A11120" s="402" t="s">
        <v>20</v>
      </c>
      <c r="B11120" s="2">
        <v>44356</v>
      </c>
      <c r="C11120" s="4">
        <v>4351</v>
      </c>
      <c r="D11120" s="39">
        <f t="shared" si="1153"/>
        <v>351297</v>
      </c>
      <c r="E11120" s="1">
        <v>39</v>
      </c>
      <c r="F11120" s="39">
        <f t="shared" si="1160"/>
        <v>4259</v>
      </c>
      <c r="G11120" s="169">
        <f>SUM(C11120,C11096,C11072,C11048,C11024,C11000,C10976,C10952,C10928,C10904,C10880,C10856,C10832,C10808)/POBLA!$B$7*100000</f>
        <v>1579.6247789493279</v>
      </c>
      <c r="H11120" s="258">
        <f t="shared" si="1159"/>
        <v>1.3260335744262881</v>
      </c>
      <c r="I11120" s="310">
        <f t="shared" si="1161"/>
        <v>2094.6354918825127</v>
      </c>
      <c r="J11120" s="552">
        <f t="shared" si="1162"/>
        <v>4181.5714285714284</v>
      </c>
      <c r="K11120" s="310">
        <f>J11120/POBLA!$B$7*100000</f>
        <v>111.19869772424653</v>
      </c>
      <c r="L11120" s="202">
        <f t="shared" si="1163"/>
        <v>-2.850979090607364E-2</v>
      </c>
      <c r="M11120" s="512">
        <f>SUM(C11120,C11096,C11072,C11048,C11024,C11000,C10976)/POBLA!$B$7*100000</f>
        <v>778.39088406972564</v>
      </c>
    </row>
    <row r="11121" spans="1:13" x14ac:dyDescent="0.25">
      <c r="A11121" s="402" t="s">
        <v>31</v>
      </c>
      <c r="B11121" s="2">
        <v>44356</v>
      </c>
      <c r="C11121" s="4">
        <v>1015</v>
      </c>
      <c r="D11121" s="39">
        <f t="shared" si="1153"/>
        <v>94542</v>
      </c>
      <c r="E11121" s="1">
        <v>11</v>
      </c>
      <c r="F11121" s="39">
        <f t="shared" si="1160"/>
        <v>1452</v>
      </c>
      <c r="G11121" s="169">
        <f>SUM(C11121,C11097,C11073,C11049,C11025,C11001,C10977,C10953,C10929,C10905,C10881,C10857,C10833,C10809)/POBLA!$B$8*100000</f>
        <v>1026.0028961853905</v>
      </c>
      <c r="H11121" s="258">
        <f t="shared" si="1159"/>
        <v>1.2853656331917203</v>
      </c>
      <c r="I11121" s="310">
        <f t="shared" si="1161"/>
        <v>1318.7888623118731</v>
      </c>
      <c r="J11121" s="552">
        <f t="shared" si="1162"/>
        <v>896.57142857142856</v>
      </c>
      <c r="K11121" s="310">
        <f>J11121/POBLA!$B$8*100000</f>
        <v>64.689513526818473</v>
      </c>
      <c r="L11121" s="202">
        <f t="shared" si="1163"/>
        <v>-0.20996978851963743</v>
      </c>
      <c r="M11121" s="512">
        <f>SUM(C11121,C11097,C11073,C11049,C11025,C11001,C10977)/POBLA!$B$8*100000</f>
        <v>452.82659468772925</v>
      </c>
    </row>
    <row r="11122" spans="1:13" x14ac:dyDescent="0.25">
      <c r="A11122" s="402" t="s">
        <v>41</v>
      </c>
      <c r="B11122" s="2">
        <v>44356</v>
      </c>
      <c r="C11122" s="4">
        <v>581</v>
      </c>
      <c r="D11122" s="39">
        <f t="shared" si="1153"/>
        <v>36903</v>
      </c>
      <c r="E11122" s="1">
        <v>18</v>
      </c>
      <c r="F11122" s="39">
        <f t="shared" si="1160"/>
        <v>594</v>
      </c>
      <c r="G11122" s="169">
        <f>SUM(C11122,C11098,C11074,C11050,C11026,C11002,C10978,C10954,C10930,C10906,C10882,C10858,C10834,C10810)/POBLA!$B$9*100000</f>
        <v>1877.2523806455131</v>
      </c>
      <c r="H11122" s="258">
        <f t="shared" si="1159"/>
        <v>0.60440495823801665</v>
      </c>
      <c r="I11122" s="310">
        <f>G11122*H11122</f>
        <v>1134.6206467262687</v>
      </c>
      <c r="J11122" s="552">
        <f t="shared" si="1162"/>
        <v>617.28571428571433</v>
      </c>
      <c r="K11122" s="310">
        <f>J11122/POBLA!$B$9*100000</f>
        <v>101.99815832068685</v>
      </c>
      <c r="L11122" s="202">
        <f t="shared" si="1163"/>
        <v>-0.38622159090909092</v>
      </c>
      <c r="M11122" s="512">
        <f>SUM(C11122,C11098,C11074,C11050,C11026,C11002,C10978)/POBLA!$B$9*100000</f>
        <v>713.98710824480781</v>
      </c>
    </row>
    <row r="11123" spans="1:13" x14ac:dyDescent="0.25">
      <c r="A11123" s="402" t="s">
        <v>32</v>
      </c>
      <c r="B11123" s="2">
        <v>44356</v>
      </c>
      <c r="C11123" s="4">
        <v>323</v>
      </c>
      <c r="D11123" s="39">
        <f t="shared" si="1153"/>
        <v>30606</v>
      </c>
      <c r="E11123" s="1">
        <v>8</v>
      </c>
      <c r="F11123" s="39">
        <f t="shared" si="1160"/>
        <v>1100</v>
      </c>
      <c r="G11123" s="169">
        <f>SUM(C11123,C11099,C11075,C11051,C11027,C11003,C10979,C10955,C10931,C10907,C10883,C10859,C10835,C10811)/POBLA!$B$10*100000</f>
        <v>403.69395535757138</v>
      </c>
      <c r="H11123" s="258">
        <f t="shared" si="1159"/>
        <v>1.9450000000000001</v>
      </c>
      <c r="I11123" s="310">
        <f t="shared" ref="I11123:I11137" si="1164">G11123*H11123</f>
        <v>785.18474317047639</v>
      </c>
      <c r="J11123" s="552">
        <f t="shared" si="1162"/>
        <v>244.42857142857142</v>
      </c>
      <c r="K11123" s="310">
        <f>J11123/POBLA!$B$10*100000</f>
        <v>31.707691774550341</v>
      </c>
      <c r="L11123" s="202">
        <f t="shared" ref="L11123:L11137" si="1165">(SUM(C11123,C11099,C11075,C11051,C11027,C11003,C10979)/SUM(C10955,C10931,C10907,C10883,C10859,C10835,C10811))-1</f>
        <v>0.22127052105638834</v>
      </c>
      <c r="M11123" s="512">
        <f>SUM(C11123,C11099,C11075,C11051,C11027,C11003,C10979)/POBLA!$B$10*100000</f>
        <v>221.95384242185241</v>
      </c>
    </row>
    <row r="11124" spans="1:13" x14ac:dyDescent="0.25">
      <c r="A11124" s="402" t="s">
        <v>33</v>
      </c>
      <c r="B11124" s="2">
        <v>44356</v>
      </c>
      <c r="C11124" s="4">
        <v>400</v>
      </c>
      <c r="D11124" s="39">
        <f t="shared" si="1153"/>
        <v>46304</v>
      </c>
      <c r="E11124" s="1">
        <v>12</v>
      </c>
      <c r="F11124" s="39">
        <f t="shared" si="1160"/>
        <v>629</v>
      </c>
      <c r="G11124" s="169">
        <f>SUM(C11124,C11100,C11076,C11052,C11028,C11004,C10980,C10956,C10932,C10908,C10884,C10860,C10836,C10812)/POBLA!$B$11*100000</f>
        <v>1626.8260292164673</v>
      </c>
      <c r="H11124" s="258">
        <f t="shared" si="1159"/>
        <v>0.65304065404860567</v>
      </c>
      <c r="I11124" s="310">
        <f t="shared" si="1164"/>
        <v>1062.3835341428178</v>
      </c>
      <c r="J11124" s="552">
        <f t="shared" si="1162"/>
        <v>359.85714285714283</v>
      </c>
      <c r="K11124" s="310">
        <f>J11124/POBLA!$B$11*100000</f>
        <v>100.39872522714265</v>
      </c>
      <c r="L11124" s="202">
        <f t="shared" si="1165"/>
        <v>-0.23943236714975846</v>
      </c>
      <c r="M11124" s="512">
        <f>SUM(C11124,C11100,C11076,C11052,C11028,C11004,C10980)/POBLA!$B$11*100000</f>
        <v>702.79107658999862</v>
      </c>
    </row>
    <row r="11125" spans="1:13" x14ac:dyDescent="0.25">
      <c r="A11125" s="402" t="s">
        <v>21</v>
      </c>
      <c r="B11125" s="2">
        <v>44356</v>
      </c>
      <c r="C11125" s="4">
        <v>188</v>
      </c>
      <c r="D11125" s="39">
        <f t="shared" si="1153"/>
        <v>18998</v>
      </c>
      <c r="F11125" s="39">
        <f t="shared" si="1160"/>
        <v>580</v>
      </c>
      <c r="G11125" s="169">
        <f>SUM(C11125,C11101,C11077,C11053,C11029,C11005,C10981,C10957,C10933,C10909,C10885,C10861,C10837,C10813)/POBLA!$B$12*100000</f>
        <v>606.30547529927753</v>
      </c>
      <c r="H11125" s="258">
        <f t="shared" si="1159"/>
        <v>1.0885036496350364</v>
      </c>
      <c r="I11125" s="310">
        <f t="shared" si="1164"/>
        <v>659.96572265696898</v>
      </c>
      <c r="J11125" s="552">
        <f t="shared" si="1162"/>
        <v>178.85714285714286</v>
      </c>
      <c r="K11125" s="310">
        <f>J11125/POBLA!$B$12*100000</f>
        <v>45.449314757196476</v>
      </c>
      <c r="L11125" s="202">
        <f t="shared" si="1165"/>
        <v>0.10405643738977077</v>
      </c>
      <c r="M11125" s="512">
        <f>SUM(C11125,C11101,C11077,C11053,C11029,C11005,C10981)/POBLA!$B$12*100000</f>
        <v>318.14520330037533</v>
      </c>
    </row>
    <row r="11126" spans="1:13" x14ac:dyDescent="0.25">
      <c r="A11126" s="402" t="s">
        <v>17</v>
      </c>
      <c r="B11126" s="2">
        <v>44356</v>
      </c>
      <c r="C11126" s="4">
        <v>772</v>
      </c>
      <c r="D11126" s="39">
        <f t="shared" si="1153"/>
        <v>127473</v>
      </c>
      <c r="E11126" s="1">
        <v>23</v>
      </c>
      <c r="F11126" s="39">
        <f t="shared" si="1160"/>
        <v>2822</v>
      </c>
      <c r="G11126" s="169">
        <f>SUM(C11126,C11102,C11078,C11054,C11030,C11006,C10982,C10958,C10934,C10910,C10886,C10862,C10838,C10814)/POBLA!$B$13*100000</f>
        <v>549.40417155277146</v>
      </c>
      <c r="H11126" s="258">
        <f t="shared" si="1159"/>
        <v>0.97529432750624334</v>
      </c>
      <c r="I11126" s="310">
        <f t="shared" si="1164"/>
        <v>535.83077202368497</v>
      </c>
      <c r="J11126" s="552">
        <f t="shared" si="1162"/>
        <v>676</v>
      </c>
      <c r="K11126" s="310">
        <f>J11126/POBLA!$B$13*100000</f>
        <v>33.964080472763925</v>
      </c>
      <c r="L11126" s="202">
        <f t="shared" si="1165"/>
        <v>-0.23714331774947606</v>
      </c>
      <c r="M11126" s="512">
        <f>SUM(C11126,C11102,C11078,C11054,C11030,C11006,C10982)/POBLA!$B$13*100000</f>
        <v>237.74856330934747</v>
      </c>
    </row>
    <row r="11127" spans="1:13" x14ac:dyDescent="0.25">
      <c r="A11127" s="402" t="s">
        <v>23</v>
      </c>
      <c r="B11127" s="2">
        <v>44356</v>
      </c>
      <c r="C11127" s="4">
        <v>176</v>
      </c>
      <c r="D11127" s="39">
        <f t="shared" si="1153"/>
        <v>22051</v>
      </c>
      <c r="E11127" s="1">
        <v>5</v>
      </c>
      <c r="F11127" s="39">
        <f t="shared" si="1160"/>
        <v>342</v>
      </c>
      <c r="G11127" s="169">
        <f>SUM(C11127,C11103,C11079,C11055,C11031,C11007,C10983,C10959,C10935,C10911,C10887,C10863,C10839,C10815)/POBLA!$B$14*100000</f>
        <v>202.01475627411213</v>
      </c>
      <c r="H11127" s="258">
        <f t="shared" si="1159"/>
        <v>1.1763619575253925</v>
      </c>
      <c r="I11127" s="310">
        <f t="shared" si="1164"/>
        <v>237.64247413962963</v>
      </c>
      <c r="J11127" s="552">
        <f t="shared" si="1162"/>
        <v>179.14285714285714</v>
      </c>
      <c r="K11127" s="310">
        <f>J11127/POBLA!$B$14*100000</f>
        <v>14.203100715840808</v>
      </c>
      <c r="L11127" s="202">
        <f t="shared" si="1165"/>
        <v>-3.0911901081916549E-2</v>
      </c>
      <c r="M11127" s="512">
        <f>SUM(C11127,C11103,C11079,C11055,C11031,C11007,C10983)/POBLA!$B$14*100000</f>
        <v>99.421705010885645</v>
      </c>
    </row>
    <row r="11128" spans="1:13" x14ac:dyDescent="0.25">
      <c r="A11128" s="402" t="s">
        <v>19</v>
      </c>
      <c r="B11128" s="2">
        <v>44356</v>
      </c>
      <c r="C11128" s="4">
        <v>502</v>
      </c>
      <c r="D11128" s="39">
        <f t="shared" si="1153"/>
        <v>95699</v>
      </c>
      <c r="E11128" s="1">
        <v>5</v>
      </c>
      <c r="F11128" s="39">
        <f t="shared" si="1160"/>
        <v>1474</v>
      </c>
      <c r="G11128" s="169">
        <f>SUM(C11128,C11104,C11080,C11056,C11032,C11008,C10984,C10960,C10936,C10912,C10888,C10864,C10840,C10816)/POBLA!$B$15*100000</f>
        <v>1395.5127345995902</v>
      </c>
      <c r="H11128" s="258">
        <f t="shared" si="1159"/>
        <v>0.92319187089061561</v>
      </c>
      <c r="I11128" s="310">
        <f t="shared" si="1164"/>
        <v>1288.3260123066748</v>
      </c>
      <c r="J11128" s="552">
        <f t="shared" si="1162"/>
        <v>510.28571428571428</v>
      </c>
      <c r="K11128" s="310">
        <f>J11128/POBLA!$B$15*100000</f>
        <v>76.843661656411172</v>
      </c>
      <c r="L11128" s="202">
        <f t="shared" si="1165"/>
        <v>-0.37278314310798943</v>
      </c>
      <c r="M11128" s="512">
        <f>SUM(C11128,C11104,C11080,C11056,C11032,C11008,C10984)/POBLA!$B$15*100000</f>
        <v>537.90563159487806</v>
      </c>
    </row>
    <row r="11129" spans="1:13" x14ac:dyDescent="0.25">
      <c r="A11129" s="402" t="s">
        <v>18</v>
      </c>
      <c r="B11129" s="2">
        <v>44356</v>
      </c>
      <c r="C11129" s="4">
        <v>423</v>
      </c>
      <c r="D11129" s="39">
        <f t="shared" si="1153"/>
        <v>78019</v>
      </c>
      <c r="E11129" s="1">
        <v>12</v>
      </c>
      <c r="F11129" s="39">
        <f t="shared" si="1160"/>
        <v>1730</v>
      </c>
      <c r="G11129" s="169">
        <f>SUM(C11129,C11105,C11081,C11057,C11033,C11009,C10985,C10961,C10937,C10913,C10889,C10865,C10841,C10817)/POBLA!$B$16*100000</f>
        <v>851.51348965369652</v>
      </c>
      <c r="H11129" s="258">
        <f t="shared" si="1159"/>
        <v>0.95916829893023958</v>
      </c>
      <c r="I11129" s="310">
        <f t="shared" si="1164"/>
        <v>816.74474538728828</v>
      </c>
      <c r="J11129" s="552">
        <f t="shared" si="1162"/>
        <v>386.57142857142856</v>
      </c>
      <c r="K11129" s="310">
        <f>J11129/POBLA!$B$16*100000</f>
        <v>51.707632130579924</v>
      </c>
      <c r="L11129" s="202">
        <f t="shared" si="1165"/>
        <v>-0.26065573770491801</v>
      </c>
      <c r="M11129" s="512">
        <f>SUM(C11129,C11105,C11081,C11057,C11033,C11009,C10985)/POBLA!$B$16*100000</f>
        <v>361.95342491405944</v>
      </c>
    </row>
    <row r="11130" spans="1:13" x14ac:dyDescent="0.25">
      <c r="A11130" s="402" t="s">
        <v>34</v>
      </c>
      <c r="B11130" s="2">
        <v>44356</v>
      </c>
      <c r="C11130" s="4">
        <v>654</v>
      </c>
      <c r="D11130" s="39">
        <f t="shared" si="1153"/>
        <v>50694</v>
      </c>
      <c r="E11130" s="1">
        <v>25</v>
      </c>
      <c r="F11130" s="39">
        <f t="shared" si="1160"/>
        <v>1495</v>
      </c>
      <c r="G11130" s="169">
        <f>SUM(C11130,C11106,C11082,C11058,C11034,C11010,C10986,C10962,C10938,C10914,C10890,C10866,C10842,C10818)/POBLA!$B$17*100000</f>
        <v>546.75768061853546</v>
      </c>
      <c r="H11130" s="258">
        <f t="shared" ref="H11130:H11137" si="1166">SUM(C11130,C11106,C11082,C11058,C11034,C11010,C10986,C10962,C10938,C10914,C10890,C10866,C10842,C10818)/SUM(C10794,C10770,C10746,C10722,C10698,C10674,C10650,C10626,C10602,C10578,C10554,C10530,C10506,C10482)</f>
        <v>1.4167727851555394</v>
      </c>
      <c r="I11130" s="310">
        <f t="shared" si="1164"/>
        <v>774.6314019751054</v>
      </c>
      <c r="J11130" s="552">
        <f t="shared" si="1162"/>
        <v>559.42857142857144</v>
      </c>
      <c r="K11130" s="310">
        <f>J11130/POBLA!$B$17*100000</f>
        <v>39.274764790193423</v>
      </c>
      <c r="L11130" s="202">
        <f t="shared" si="1165"/>
        <v>1.1363636363636465E-2</v>
      </c>
      <c r="M11130" s="512">
        <f>SUM(C11130,C11106,C11082,C11058,C11034,C11010,C10986)/POBLA!$B$17*100000</f>
        <v>274.923353531354</v>
      </c>
    </row>
    <row r="11131" spans="1:13" x14ac:dyDescent="0.25">
      <c r="A11131" s="402" t="s">
        <v>35</v>
      </c>
      <c r="B11131" s="2">
        <v>44356</v>
      </c>
      <c r="C11131" s="4">
        <v>710</v>
      </c>
      <c r="D11131" s="39">
        <f t="shared" si="1153"/>
        <v>41541</v>
      </c>
      <c r="F11131" s="39">
        <f t="shared" si="1160"/>
        <v>690</v>
      </c>
      <c r="G11131" s="169">
        <f>SUM(C11131,C11107,C11083,C11059,C11035,C11011,C10987,C10963,C10939,C10915,C10891,C10867,C10843,C10819)/POBLA!$B$18*100000</f>
        <v>936.99957886221114</v>
      </c>
      <c r="H11131" s="258">
        <f t="shared" si="1166"/>
        <v>1.0858923008455719</v>
      </c>
      <c r="I11131" s="310">
        <f t="shared" si="1164"/>
        <v>1017.4806285820183</v>
      </c>
      <c r="J11131" s="552">
        <f t="shared" si="1162"/>
        <v>458.57142857142856</v>
      </c>
      <c r="K11131" s="310">
        <f>J11131/POBLA!$B$18*100000</f>
        <v>58.699622329190035</v>
      </c>
      <c r="L11131" s="202">
        <f t="shared" si="1165"/>
        <v>-0.21897810218978098</v>
      </c>
      <c r="M11131" s="512">
        <f>SUM(C11131,C11107,C11083,C11059,C11035,C11011,C10987)/POBLA!$B$18*100000</f>
        <v>410.89735630433029</v>
      </c>
    </row>
    <row r="11132" spans="1:13" x14ac:dyDescent="0.25">
      <c r="A11132" s="402" t="s">
        <v>36</v>
      </c>
      <c r="B11132" s="2">
        <v>44356</v>
      </c>
      <c r="C11132" s="4">
        <v>534</v>
      </c>
      <c r="D11132" s="39">
        <f t="shared" si="1153"/>
        <v>57661</v>
      </c>
      <c r="E11132" s="1">
        <v>3</v>
      </c>
      <c r="F11132" s="39">
        <f t="shared" si="1160"/>
        <v>785</v>
      </c>
      <c r="G11132" s="169">
        <f>SUM(C11132,C11108,C11084,C11060,C11036,C11012,C10988,C10964,C10940,C10916,C10892,C10868,C10844,C10820)/POBLA!$B$19*100000</f>
        <v>1437.0642577233598</v>
      </c>
      <c r="H11132" s="258">
        <f t="shared" si="1166"/>
        <v>0.97089314194577347</v>
      </c>
      <c r="I11132" s="310">
        <f t="shared" si="1164"/>
        <v>1395.2358323590036</v>
      </c>
      <c r="J11132" s="552">
        <f t="shared" si="1162"/>
        <v>521.85714285714289</v>
      </c>
      <c r="K11132" s="310">
        <f>J11132/POBLA!$B$19*100000</f>
        <v>102.66149864991559</v>
      </c>
      <c r="L11132" s="202">
        <f t="shared" si="1165"/>
        <v>2.7382256297925345E-4</v>
      </c>
      <c r="M11132" s="512">
        <f>SUM(C11132,C11108,C11084,C11060,C11036,C11012,C10988)/POBLA!$B$19*100000</f>
        <v>718.63049054940905</v>
      </c>
    </row>
    <row r="11133" spans="1:13" x14ac:dyDescent="0.25">
      <c r="A11133" s="402" t="s">
        <v>37</v>
      </c>
      <c r="B11133" s="2">
        <v>44356</v>
      </c>
      <c r="C11133" s="4">
        <v>185</v>
      </c>
      <c r="D11133" s="39">
        <f t="shared" si="1153"/>
        <v>53144</v>
      </c>
      <c r="E11133" s="1">
        <v>1</v>
      </c>
      <c r="F11133" s="39">
        <f t="shared" si="1160"/>
        <v>808</v>
      </c>
      <c r="G11133" s="169">
        <f>SUM(C11133,C11109,C11085,C11061,C11037,C11013,C10989,C10965,C10941,C10917,C10893,C10869,C10845,C10821)/POBLA!$B$20*100000</f>
        <v>692.64803198267418</v>
      </c>
      <c r="H11133" s="258">
        <f t="shared" si="1166"/>
        <v>0.75364474858673014</v>
      </c>
      <c r="I11133" s="310">
        <f t="shared" si="1164"/>
        <v>522.01055192267586</v>
      </c>
      <c r="J11133" s="552">
        <f t="shared" si="1162"/>
        <v>162.57142857142858</v>
      </c>
      <c r="K11133" s="310">
        <f>J11133/POBLA!$B$20*100000</f>
        <v>44.455104641378561</v>
      </c>
      <c r="L11133" s="202">
        <f t="shared" si="1165"/>
        <v>-0.18422939068100364</v>
      </c>
      <c r="M11133" s="512">
        <f>SUM(C11133,C11109,C11085,C11061,C11037,C11013,C10989)/POBLA!$B$20*100000</f>
        <v>311.18573248964992</v>
      </c>
    </row>
    <row r="11134" spans="1:13" x14ac:dyDescent="0.25">
      <c r="A11134" s="402" t="s">
        <v>22</v>
      </c>
      <c r="B11134" s="2">
        <v>44356</v>
      </c>
      <c r="C11134" s="4">
        <v>2733</v>
      </c>
      <c r="D11134" s="39">
        <f t="shared" si="1153"/>
        <v>369120</v>
      </c>
      <c r="E11134" s="1">
        <v>64</v>
      </c>
      <c r="F11134" s="39">
        <f t="shared" si="1160"/>
        <v>5906</v>
      </c>
      <c r="G11134" s="169">
        <f>SUM(C11134,C11110,C11086,C11062,C11038,C11014,C10990,C10966,C10942,C10918,C10894,C10870,C10846,C10822)/POBLA!$B$21*100000</f>
        <v>1114.5741255699977</v>
      </c>
      <c r="H11134" s="258">
        <f t="shared" si="1166"/>
        <v>1.1299162940029812</v>
      </c>
      <c r="I11134" s="310">
        <f t="shared" si="1164"/>
        <v>1259.3754653556653</v>
      </c>
      <c r="J11134" s="552">
        <f t="shared" si="1162"/>
        <v>2436.5714285714284</v>
      </c>
      <c r="K11134" s="310">
        <f>J11134/POBLA!$B$21*100000</f>
        <v>68.899418241040181</v>
      </c>
      <c r="L11134" s="202">
        <f t="shared" si="1165"/>
        <v>-0.23720930232558135</v>
      </c>
      <c r="M11134" s="512">
        <f>SUM(C11134,C11110,C11086,C11062,C11038,C11014,C10990)/POBLA!$B$21*100000</f>
        <v>482.29592768728128</v>
      </c>
    </row>
    <row r="11135" spans="1:13" x14ac:dyDescent="0.25">
      <c r="A11135" s="402" t="s">
        <v>38</v>
      </c>
      <c r="B11135" s="2">
        <v>44356</v>
      </c>
      <c r="C11135" s="4">
        <v>659</v>
      </c>
      <c r="D11135" s="39">
        <f t="shared" si="1153"/>
        <v>48807</v>
      </c>
      <c r="E11135" s="1">
        <v>9</v>
      </c>
      <c r="F11135" s="39">
        <f t="shared" si="1160"/>
        <v>613</v>
      </c>
      <c r="G11135" s="169">
        <f>SUM(C11135,C11111,C11087,C11063,C11039,C11015,C10991,C10967,C10943,C10919,C10895,C10871,C10847,C10823)/POBLA!$B$22*100000</f>
        <v>789.42015489930111</v>
      </c>
      <c r="H11135" s="258">
        <f t="shared" si="1166"/>
        <v>1.0315213035928943</v>
      </c>
      <c r="I11135" s="310">
        <f t="shared" si="1164"/>
        <v>814.30370726423166</v>
      </c>
      <c r="J11135" s="552">
        <f t="shared" si="1162"/>
        <v>568.85714285714289</v>
      </c>
      <c r="K11135" s="310">
        <f>J11135/POBLA!$B$22*100000</f>
        <v>58.146742694530573</v>
      </c>
      <c r="L11135" s="202">
        <f t="shared" si="1165"/>
        <v>6.4421277733226479E-2</v>
      </c>
      <c r="M11135" s="512">
        <f>SUM(C11135,C11111,C11087,C11063,C11039,C11015,C10991)/POBLA!$B$22*100000</f>
        <v>407.027198861714</v>
      </c>
    </row>
    <row r="11136" spans="1:13" x14ac:dyDescent="0.25">
      <c r="A11136" s="402" t="s">
        <v>39</v>
      </c>
      <c r="B11136" s="2">
        <v>44356</v>
      </c>
      <c r="C11136" s="4">
        <v>43</v>
      </c>
      <c r="D11136" s="39">
        <f t="shared" si="1153"/>
        <v>28924</v>
      </c>
      <c r="F11136" s="39">
        <f t="shared" si="1160"/>
        <v>428</v>
      </c>
      <c r="G11136" s="169">
        <f>SUM(C11136,C11112,C11088,C11064,C11040,C11016,C10992,C10968,C10944,C10920,C10896,C10872,C10848,C10824)/POBLA!$B$23*100000</f>
        <v>398.12249052762542</v>
      </c>
      <c r="H11136" s="258">
        <f t="shared" si="1166"/>
        <v>0.7191011235955056</v>
      </c>
      <c r="I11136" s="310">
        <f t="shared" si="1164"/>
        <v>286.29033026705645</v>
      </c>
      <c r="J11136" s="552">
        <f t="shared" si="1162"/>
        <v>45.714285714285715</v>
      </c>
      <c r="K11136" s="310">
        <f>J11136/POBLA!$B$23*100000</f>
        <v>25.852109774521129</v>
      </c>
      <c r="L11136" s="202">
        <f t="shared" si="1165"/>
        <v>-0.16666666666666663</v>
      </c>
      <c r="M11136" s="512">
        <f>SUM(C11136,C11112,C11088,C11064,C11040,C11016,C10992)/POBLA!$B$23*100000</f>
        <v>180.96476842164793</v>
      </c>
    </row>
    <row r="11137" spans="1:13" ht="15.75" thickBot="1" x14ac:dyDescent="0.3">
      <c r="A11137" s="404" t="s">
        <v>40</v>
      </c>
      <c r="B11137" s="268">
        <v>44356</v>
      </c>
      <c r="C11137" s="390">
        <v>957</v>
      </c>
      <c r="D11137" s="177">
        <f t="shared" si="1153"/>
        <v>138204</v>
      </c>
      <c r="E11137" s="44">
        <v>15</v>
      </c>
      <c r="F11137" s="177">
        <f t="shared" si="1160"/>
        <v>2024</v>
      </c>
      <c r="G11137" s="178">
        <f>SUM(C11137,C11113,C11089,C11065,C11041,C11017,C10993,C10969,C10945,C10921,C10897,C10873,C10849,C10825)/POBLA!$B$24*100000</f>
        <v>828.72276143358886</v>
      </c>
      <c r="H11137" s="513">
        <f t="shared" si="1166"/>
        <v>1.2147738084940749</v>
      </c>
      <c r="I11137" s="514">
        <f t="shared" si="1164"/>
        <v>1006.7107050924074</v>
      </c>
      <c r="J11137" s="553">
        <f t="shared" si="1162"/>
        <v>870.42857142857144</v>
      </c>
      <c r="K11137" s="514">
        <f>J11137/POBLA!$B$24*100000</f>
        <v>51.363142220519762</v>
      </c>
      <c r="L11137" s="515">
        <f t="shared" si="1165"/>
        <v>-0.23368129794994341</v>
      </c>
      <c r="M11137" s="516">
        <f>SUM(C11137,C11113,C11089,C11065,C11041,C11017,C10993)/POBLA!$B$24*100000</f>
        <v>359.54199554363834</v>
      </c>
    </row>
    <row r="11138" spans="1:13" x14ac:dyDescent="0.25">
      <c r="A11138" s="637"/>
      <c r="B11138" s="227"/>
      <c r="C11138" s="227"/>
      <c r="D11138" s="264"/>
      <c r="E11138" s="227"/>
    </row>
  </sheetData>
  <autoFilter ref="A1:H10993" xr:uid="{5FE24857-404C-485B-9226-DFEF87E52CC6}"/>
  <sortState xmlns:xlrd2="http://schemas.microsoft.com/office/spreadsheetml/2017/richdata2" ref="A2:E3889">
    <sortCondition ref="B2:B3889"/>
    <sortCondition ref="A2:A3889"/>
  </sortState>
  <conditionalFormatting sqref="C3893:E3913 C3890:E3891 D3891:D3913">
    <cfRule type="colorScale" priority="2337">
      <colorScale>
        <cfvo type="min"/>
        <cfvo type="percentile" val="50"/>
        <cfvo type="max"/>
        <color rgb="FFF8696B"/>
        <color rgb="FFFCFCFF"/>
        <color rgb="FF63BE7B"/>
      </colorScale>
    </cfRule>
  </conditionalFormatting>
  <conditionalFormatting sqref="A3890:A3913 C3893:E3913 C3890:E3891 D3891:D3913">
    <cfRule type="colorScale" priority="2336">
      <colorScale>
        <cfvo type="min"/>
        <cfvo type="percentile" val="50"/>
        <cfvo type="max"/>
        <color rgb="FF63BE7B"/>
        <color rgb="FFFFEB84"/>
        <color rgb="FFF8696B"/>
      </colorScale>
    </cfRule>
  </conditionalFormatting>
  <conditionalFormatting sqref="C3893:C3913 C3890:C3891">
    <cfRule type="colorScale" priority="2335">
      <colorScale>
        <cfvo type="min"/>
        <cfvo type="percentile" val="50"/>
        <cfvo type="max"/>
        <color rgb="FF63BE7B"/>
        <color rgb="FFFFEB84"/>
        <color rgb="FFF8696B"/>
      </colorScale>
    </cfRule>
  </conditionalFormatting>
  <conditionalFormatting sqref="D3890:D3913">
    <cfRule type="colorScale" priority="2334">
      <colorScale>
        <cfvo type="min"/>
        <cfvo type="percentile" val="50"/>
        <cfvo type="max"/>
        <color rgb="FF63BE7B"/>
        <color rgb="FFFFEB84"/>
        <color rgb="FFF8696B"/>
      </colorScale>
    </cfRule>
  </conditionalFormatting>
  <conditionalFormatting sqref="E3893:E3913 E3890:E3891">
    <cfRule type="colorScale" priority="2333">
      <colorScale>
        <cfvo type="min"/>
        <cfvo type="percentile" val="50"/>
        <cfvo type="max"/>
        <color rgb="FF63BE7B"/>
        <color rgb="FFFFEB84"/>
        <color rgb="FFF8696B"/>
      </colorScale>
    </cfRule>
  </conditionalFormatting>
  <conditionalFormatting sqref="A3914:A3937">
    <cfRule type="colorScale" priority="2332">
      <colorScale>
        <cfvo type="min"/>
        <cfvo type="percentile" val="50"/>
        <cfvo type="max"/>
        <color rgb="FF63BE7B"/>
        <color rgb="FFFFEB84"/>
        <color rgb="FFF8696B"/>
      </colorScale>
    </cfRule>
  </conditionalFormatting>
  <conditionalFormatting sqref="A3938:A3961">
    <cfRule type="colorScale" priority="2328">
      <colorScale>
        <cfvo type="min"/>
        <cfvo type="percentile" val="50"/>
        <cfvo type="max"/>
        <color rgb="FF63BE7B"/>
        <color rgb="FFFFEB84"/>
        <color rgb="FFF8696B"/>
      </colorScale>
    </cfRule>
  </conditionalFormatting>
  <conditionalFormatting sqref="A3962:A3985">
    <cfRule type="colorScale" priority="2324">
      <colorScale>
        <cfvo type="min"/>
        <cfvo type="percentile" val="50"/>
        <cfvo type="max"/>
        <color rgb="FF63BE7B"/>
        <color rgb="FFFFEB84"/>
        <color rgb="FFF8696B"/>
      </colorScale>
    </cfRule>
  </conditionalFormatting>
  <conditionalFormatting sqref="A3986:A4009">
    <cfRule type="colorScale" priority="2320">
      <colorScale>
        <cfvo type="min"/>
        <cfvo type="percentile" val="50"/>
        <cfvo type="max"/>
        <color rgb="FF63BE7B"/>
        <color rgb="FFFFEB84"/>
        <color rgb="FFF8696B"/>
      </colorScale>
    </cfRule>
  </conditionalFormatting>
  <conditionalFormatting sqref="D3986:D4009">
    <cfRule type="colorScale" priority="2319">
      <colorScale>
        <cfvo type="min"/>
        <cfvo type="percentile" val="50"/>
        <cfvo type="max"/>
        <color rgb="FFF8696B"/>
        <color rgb="FFFCFCFF"/>
        <color rgb="FF63BE7B"/>
      </colorScale>
    </cfRule>
  </conditionalFormatting>
  <conditionalFormatting sqref="D3986:D4009">
    <cfRule type="colorScale" priority="2318">
      <colorScale>
        <cfvo type="min"/>
        <cfvo type="percentile" val="50"/>
        <cfvo type="max"/>
        <color rgb="FF63BE7B"/>
        <color rgb="FFFFEB84"/>
        <color rgb="FFF8696B"/>
      </colorScale>
    </cfRule>
  </conditionalFormatting>
  <conditionalFormatting sqref="D3986:D4009">
    <cfRule type="colorScale" priority="2317">
      <colorScale>
        <cfvo type="min"/>
        <cfvo type="percentile" val="50"/>
        <cfvo type="max"/>
        <color rgb="FF63BE7B"/>
        <color rgb="FFFFEB84"/>
        <color rgb="FFF8696B"/>
      </colorScale>
    </cfRule>
  </conditionalFormatting>
  <conditionalFormatting sqref="D3962:D3985">
    <cfRule type="colorScale" priority="2316">
      <colorScale>
        <cfvo type="min"/>
        <cfvo type="percentile" val="50"/>
        <cfvo type="max"/>
        <color rgb="FFF8696B"/>
        <color rgb="FFFCFCFF"/>
        <color rgb="FF63BE7B"/>
      </colorScale>
    </cfRule>
  </conditionalFormatting>
  <conditionalFormatting sqref="D3962:D3985">
    <cfRule type="colorScale" priority="2315">
      <colorScale>
        <cfvo type="min"/>
        <cfvo type="percentile" val="50"/>
        <cfvo type="max"/>
        <color rgb="FF63BE7B"/>
        <color rgb="FFFFEB84"/>
        <color rgb="FFF8696B"/>
      </colorScale>
    </cfRule>
  </conditionalFormatting>
  <conditionalFormatting sqref="D3962:D3985">
    <cfRule type="colorScale" priority="2314">
      <colorScale>
        <cfvo type="min"/>
        <cfvo type="percentile" val="50"/>
        <cfvo type="max"/>
        <color rgb="FF63BE7B"/>
        <color rgb="FFFFEB84"/>
        <color rgb="FFF8696B"/>
      </colorScale>
    </cfRule>
  </conditionalFormatting>
  <conditionalFormatting sqref="D3938:D3961">
    <cfRule type="colorScale" priority="2313">
      <colorScale>
        <cfvo type="min"/>
        <cfvo type="percentile" val="50"/>
        <cfvo type="max"/>
        <color rgb="FFF8696B"/>
        <color rgb="FFFCFCFF"/>
        <color rgb="FF63BE7B"/>
      </colorScale>
    </cfRule>
  </conditionalFormatting>
  <conditionalFormatting sqref="D3938:D3961">
    <cfRule type="colorScale" priority="2312">
      <colorScale>
        <cfvo type="min"/>
        <cfvo type="percentile" val="50"/>
        <cfvo type="max"/>
        <color rgb="FF63BE7B"/>
        <color rgb="FFFFEB84"/>
        <color rgb="FFF8696B"/>
      </colorScale>
    </cfRule>
  </conditionalFormatting>
  <conditionalFormatting sqref="D3938:D3961">
    <cfRule type="colorScale" priority="2311">
      <colorScale>
        <cfvo type="min"/>
        <cfvo type="percentile" val="50"/>
        <cfvo type="max"/>
        <color rgb="FF63BE7B"/>
        <color rgb="FFFFEB84"/>
        <color rgb="FFF8696B"/>
      </colorScale>
    </cfRule>
  </conditionalFormatting>
  <conditionalFormatting sqref="D3914:D3937">
    <cfRule type="colorScale" priority="2310">
      <colorScale>
        <cfvo type="min"/>
        <cfvo type="percentile" val="50"/>
        <cfvo type="max"/>
        <color rgb="FFF8696B"/>
        <color rgb="FFFCFCFF"/>
        <color rgb="FF63BE7B"/>
      </colorScale>
    </cfRule>
  </conditionalFormatting>
  <conditionalFormatting sqref="D3914:D3937">
    <cfRule type="colorScale" priority="2309">
      <colorScale>
        <cfvo type="min"/>
        <cfvo type="percentile" val="50"/>
        <cfvo type="max"/>
        <color rgb="FF63BE7B"/>
        <color rgb="FFFFEB84"/>
        <color rgb="FFF8696B"/>
      </colorScale>
    </cfRule>
  </conditionalFormatting>
  <conditionalFormatting sqref="D3914:D3937">
    <cfRule type="colorScale" priority="2308">
      <colorScale>
        <cfvo type="min"/>
        <cfvo type="percentile" val="50"/>
        <cfvo type="max"/>
        <color rgb="FF63BE7B"/>
        <color rgb="FFFFEB84"/>
        <color rgb="FFF8696B"/>
      </colorScale>
    </cfRule>
  </conditionalFormatting>
  <conditionalFormatting sqref="A4010:A4033">
    <cfRule type="colorScale" priority="2307">
      <colorScale>
        <cfvo type="min"/>
        <cfvo type="percentile" val="50"/>
        <cfvo type="max"/>
        <color rgb="FF63BE7B"/>
        <color rgb="FFFFEB84"/>
        <color rgb="FFF8696B"/>
      </colorScale>
    </cfRule>
  </conditionalFormatting>
  <conditionalFormatting sqref="D4010:D4033">
    <cfRule type="colorScale" priority="2306">
      <colorScale>
        <cfvo type="min"/>
        <cfvo type="percentile" val="50"/>
        <cfvo type="max"/>
        <color rgb="FFF8696B"/>
        <color rgb="FFFCFCFF"/>
        <color rgb="FF63BE7B"/>
      </colorScale>
    </cfRule>
  </conditionalFormatting>
  <conditionalFormatting sqref="D4010:D4033">
    <cfRule type="colorScale" priority="2305">
      <colorScale>
        <cfvo type="min"/>
        <cfvo type="percentile" val="50"/>
        <cfvo type="max"/>
        <color rgb="FF63BE7B"/>
        <color rgb="FFFFEB84"/>
        <color rgb="FFF8696B"/>
      </colorScale>
    </cfRule>
  </conditionalFormatting>
  <conditionalFormatting sqref="D4010:D4033">
    <cfRule type="colorScale" priority="2304">
      <colorScale>
        <cfvo type="min"/>
        <cfvo type="percentile" val="50"/>
        <cfvo type="max"/>
        <color rgb="FF63BE7B"/>
        <color rgb="FFFFEB84"/>
        <color rgb="FFF8696B"/>
      </colorScale>
    </cfRule>
  </conditionalFormatting>
  <conditionalFormatting sqref="A4034:A4057">
    <cfRule type="colorScale" priority="2303">
      <colorScale>
        <cfvo type="min"/>
        <cfvo type="percentile" val="50"/>
        <cfvo type="max"/>
        <color rgb="FF63BE7B"/>
        <color rgb="FFFFEB84"/>
        <color rgb="FFF8696B"/>
      </colorScale>
    </cfRule>
  </conditionalFormatting>
  <conditionalFormatting sqref="D4034:D4057">
    <cfRule type="colorScale" priority="2302">
      <colorScale>
        <cfvo type="min"/>
        <cfvo type="percentile" val="50"/>
        <cfvo type="max"/>
        <color rgb="FFF8696B"/>
        <color rgb="FFFCFCFF"/>
        <color rgb="FF63BE7B"/>
      </colorScale>
    </cfRule>
  </conditionalFormatting>
  <conditionalFormatting sqref="D4034:D4057">
    <cfRule type="colorScale" priority="2301">
      <colorScale>
        <cfvo type="min"/>
        <cfvo type="percentile" val="50"/>
        <cfvo type="max"/>
        <color rgb="FF63BE7B"/>
        <color rgb="FFFFEB84"/>
        <color rgb="FFF8696B"/>
      </colorScale>
    </cfRule>
  </conditionalFormatting>
  <conditionalFormatting sqref="D4034:D4057">
    <cfRule type="colorScale" priority="2300">
      <colorScale>
        <cfvo type="min"/>
        <cfvo type="percentile" val="50"/>
        <cfvo type="max"/>
        <color rgb="FF63BE7B"/>
        <color rgb="FFFFEB84"/>
        <color rgb="FFF8696B"/>
      </colorScale>
    </cfRule>
  </conditionalFormatting>
  <conditionalFormatting sqref="A4058:A4081">
    <cfRule type="colorScale" priority="2299">
      <colorScale>
        <cfvo type="min"/>
        <cfvo type="percentile" val="50"/>
        <cfvo type="max"/>
        <color rgb="FF63BE7B"/>
        <color rgb="FFFFEB84"/>
        <color rgb="FFF8696B"/>
      </colorScale>
    </cfRule>
  </conditionalFormatting>
  <conditionalFormatting sqref="D4058:D4081">
    <cfRule type="colorScale" priority="2298">
      <colorScale>
        <cfvo type="min"/>
        <cfvo type="percentile" val="50"/>
        <cfvo type="max"/>
        <color rgb="FFF8696B"/>
        <color rgb="FFFCFCFF"/>
        <color rgb="FF63BE7B"/>
      </colorScale>
    </cfRule>
  </conditionalFormatting>
  <conditionalFormatting sqref="D4058:D4081">
    <cfRule type="colorScale" priority="2297">
      <colorScale>
        <cfvo type="min"/>
        <cfvo type="percentile" val="50"/>
        <cfvo type="max"/>
        <color rgb="FF63BE7B"/>
        <color rgb="FFFFEB84"/>
        <color rgb="FFF8696B"/>
      </colorScale>
    </cfRule>
  </conditionalFormatting>
  <conditionalFormatting sqref="D4058:D4081">
    <cfRule type="colorScale" priority="2296">
      <colorScale>
        <cfvo type="min"/>
        <cfvo type="percentile" val="50"/>
        <cfvo type="max"/>
        <color rgb="FF63BE7B"/>
        <color rgb="FFFFEB84"/>
        <color rgb="FFF8696B"/>
      </colorScale>
    </cfRule>
  </conditionalFormatting>
  <conditionalFormatting sqref="A4082:A4105">
    <cfRule type="colorScale" priority="2295">
      <colorScale>
        <cfvo type="min"/>
        <cfvo type="percentile" val="50"/>
        <cfvo type="max"/>
        <color rgb="FF63BE7B"/>
        <color rgb="FFFFEB84"/>
        <color rgb="FFF8696B"/>
      </colorScale>
    </cfRule>
  </conditionalFormatting>
  <conditionalFormatting sqref="D4082:D4105">
    <cfRule type="colorScale" priority="2294">
      <colorScale>
        <cfvo type="min"/>
        <cfvo type="percentile" val="50"/>
        <cfvo type="max"/>
        <color rgb="FFF8696B"/>
        <color rgb="FFFCFCFF"/>
        <color rgb="FF63BE7B"/>
      </colorScale>
    </cfRule>
  </conditionalFormatting>
  <conditionalFormatting sqref="D4082:D4105">
    <cfRule type="colorScale" priority="2293">
      <colorScale>
        <cfvo type="min"/>
        <cfvo type="percentile" val="50"/>
        <cfvo type="max"/>
        <color rgb="FF63BE7B"/>
        <color rgb="FFFFEB84"/>
        <color rgb="FFF8696B"/>
      </colorScale>
    </cfRule>
  </conditionalFormatting>
  <conditionalFormatting sqref="D4082:D4105">
    <cfRule type="colorScale" priority="2292">
      <colorScale>
        <cfvo type="min"/>
        <cfvo type="percentile" val="50"/>
        <cfvo type="max"/>
        <color rgb="FF63BE7B"/>
        <color rgb="FFFFEB84"/>
        <color rgb="FFF8696B"/>
      </colorScale>
    </cfRule>
  </conditionalFormatting>
  <conditionalFormatting sqref="C4082:C4105">
    <cfRule type="colorScale" priority="2291">
      <colorScale>
        <cfvo type="min"/>
        <cfvo type="percentile" val="50"/>
        <cfvo type="max"/>
        <color rgb="FF63BE7B"/>
        <color rgb="FFFFEB84"/>
        <color rgb="FFF8696B"/>
      </colorScale>
    </cfRule>
  </conditionalFormatting>
  <conditionalFormatting sqref="A4106:A4129">
    <cfRule type="colorScale" priority="2290">
      <colorScale>
        <cfvo type="min"/>
        <cfvo type="percentile" val="50"/>
        <cfvo type="max"/>
        <color rgb="FF63BE7B"/>
        <color rgb="FFFFEB84"/>
        <color rgb="FFF8696B"/>
      </colorScale>
    </cfRule>
  </conditionalFormatting>
  <conditionalFormatting sqref="D4106:D4129">
    <cfRule type="colorScale" priority="2289">
      <colorScale>
        <cfvo type="min"/>
        <cfvo type="percentile" val="50"/>
        <cfvo type="max"/>
        <color rgb="FFF8696B"/>
        <color rgb="FFFCFCFF"/>
        <color rgb="FF63BE7B"/>
      </colorScale>
    </cfRule>
  </conditionalFormatting>
  <conditionalFormatting sqref="D4106:D4129">
    <cfRule type="colorScale" priority="2288">
      <colorScale>
        <cfvo type="min"/>
        <cfvo type="percentile" val="50"/>
        <cfvo type="max"/>
        <color rgb="FF63BE7B"/>
        <color rgb="FFFFEB84"/>
        <color rgb="FFF8696B"/>
      </colorScale>
    </cfRule>
  </conditionalFormatting>
  <conditionalFormatting sqref="D4106:D4129">
    <cfRule type="colorScale" priority="2287">
      <colorScale>
        <cfvo type="min"/>
        <cfvo type="percentile" val="50"/>
        <cfvo type="max"/>
        <color rgb="FF63BE7B"/>
        <color rgb="FFFFEB84"/>
        <color rgb="FFF8696B"/>
      </colorScale>
    </cfRule>
  </conditionalFormatting>
  <conditionalFormatting sqref="A4130:A4153">
    <cfRule type="colorScale" priority="2286">
      <colorScale>
        <cfvo type="min"/>
        <cfvo type="percentile" val="50"/>
        <cfvo type="max"/>
        <color rgb="FF63BE7B"/>
        <color rgb="FFFFEB84"/>
        <color rgb="FFF8696B"/>
      </colorScale>
    </cfRule>
  </conditionalFormatting>
  <conditionalFormatting sqref="D4130:D4153">
    <cfRule type="colorScale" priority="2285">
      <colorScale>
        <cfvo type="min"/>
        <cfvo type="percentile" val="50"/>
        <cfvo type="max"/>
        <color rgb="FFF8696B"/>
        <color rgb="FFFCFCFF"/>
        <color rgb="FF63BE7B"/>
      </colorScale>
    </cfRule>
  </conditionalFormatting>
  <conditionalFormatting sqref="D4130:D4153">
    <cfRule type="colorScale" priority="2284">
      <colorScale>
        <cfvo type="min"/>
        <cfvo type="percentile" val="50"/>
        <cfvo type="max"/>
        <color rgb="FF63BE7B"/>
        <color rgb="FFFFEB84"/>
        <color rgb="FFF8696B"/>
      </colorScale>
    </cfRule>
  </conditionalFormatting>
  <conditionalFormatting sqref="D4130:D4153">
    <cfRule type="colorScale" priority="2283">
      <colorScale>
        <cfvo type="min"/>
        <cfvo type="percentile" val="50"/>
        <cfvo type="max"/>
        <color rgb="FF63BE7B"/>
        <color rgb="FFFFEB84"/>
        <color rgb="FFF8696B"/>
      </colorScale>
    </cfRule>
  </conditionalFormatting>
  <conditionalFormatting sqref="A4154:A4177">
    <cfRule type="colorScale" priority="2282">
      <colorScale>
        <cfvo type="min"/>
        <cfvo type="percentile" val="50"/>
        <cfvo type="max"/>
        <color rgb="FF63BE7B"/>
        <color rgb="FFFFEB84"/>
        <color rgb="FFF8696B"/>
      </colorScale>
    </cfRule>
  </conditionalFormatting>
  <conditionalFormatting sqref="D4154:D4177">
    <cfRule type="colorScale" priority="2281">
      <colorScale>
        <cfvo type="min"/>
        <cfvo type="percentile" val="50"/>
        <cfvo type="max"/>
        <color rgb="FFF8696B"/>
        <color rgb="FFFCFCFF"/>
        <color rgb="FF63BE7B"/>
      </colorScale>
    </cfRule>
  </conditionalFormatting>
  <conditionalFormatting sqref="D4154:D4177">
    <cfRule type="colorScale" priority="2280">
      <colorScale>
        <cfvo type="min"/>
        <cfvo type="percentile" val="50"/>
        <cfvo type="max"/>
        <color rgb="FF63BE7B"/>
        <color rgb="FFFFEB84"/>
        <color rgb="FFF8696B"/>
      </colorScale>
    </cfRule>
  </conditionalFormatting>
  <conditionalFormatting sqref="D4154:D4177">
    <cfRule type="colorScale" priority="2279">
      <colorScale>
        <cfvo type="min"/>
        <cfvo type="percentile" val="50"/>
        <cfvo type="max"/>
        <color rgb="FF63BE7B"/>
        <color rgb="FFFFEB84"/>
        <color rgb="FFF8696B"/>
      </colorScale>
    </cfRule>
  </conditionalFormatting>
  <conditionalFormatting sqref="A4178:A4201">
    <cfRule type="colorScale" priority="2278">
      <colorScale>
        <cfvo type="min"/>
        <cfvo type="percentile" val="50"/>
        <cfvo type="max"/>
        <color rgb="FF63BE7B"/>
        <color rgb="FFFFEB84"/>
        <color rgb="FFF8696B"/>
      </colorScale>
    </cfRule>
  </conditionalFormatting>
  <conditionalFormatting sqref="D4178:D4201">
    <cfRule type="colorScale" priority="2277">
      <colorScale>
        <cfvo type="min"/>
        <cfvo type="percentile" val="50"/>
        <cfvo type="max"/>
        <color rgb="FFF8696B"/>
        <color rgb="FFFCFCFF"/>
        <color rgb="FF63BE7B"/>
      </colorScale>
    </cfRule>
  </conditionalFormatting>
  <conditionalFormatting sqref="D4178:D4201">
    <cfRule type="colorScale" priority="2276">
      <colorScale>
        <cfvo type="min"/>
        <cfvo type="percentile" val="50"/>
        <cfvo type="max"/>
        <color rgb="FF63BE7B"/>
        <color rgb="FFFFEB84"/>
        <color rgb="FFF8696B"/>
      </colorScale>
    </cfRule>
  </conditionalFormatting>
  <conditionalFormatting sqref="D4178:D4201">
    <cfRule type="colorScale" priority="2275">
      <colorScale>
        <cfvo type="min"/>
        <cfvo type="percentile" val="50"/>
        <cfvo type="max"/>
        <color rgb="FF63BE7B"/>
        <color rgb="FFFFEB84"/>
        <color rgb="FFF8696B"/>
      </colorScale>
    </cfRule>
  </conditionalFormatting>
  <conditionalFormatting sqref="A4202:A4225">
    <cfRule type="colorScale" priority="2274">
      <colorScale>
        <cfvo type="min"/>
        <cfvo type="percentile" val="50"/>
        <cfvo type="max"/>
        <color rgb="FF63BE7B"/>
        <color rgb="FFFFEB84"/>
        <color rgb="FFF8696B"/>
      </colorScale>
    </cfRule>
  </conditionalFormatting>
  <conditionalFormatting sqref="D4202:D4225">
    <cfRule type="colorScale" priority="2273">
      <colorScale>
        <cfvo type="min"/>
        <cfvo type="percentile" val="50"/>
        <cfvo type="max"/>
        <color rgb="FFF8696B"/>
        <color rgb="FFFCFCFF"/>
        <color rgb="FF63BE7B"/>
      </colorScale>
    </cfRule>
  </conditionalFormatting>
  <conditionalFormatting sqref="D4202:D4225">
    <cfRule type="colorScale" priority="2272">
      <colorScale>
        <cfvo type="min"/>
        <cfvo type="percentile" val="50"/>
        <cfvo type="max"/>
        <color rgb="FF63BE7B"/>
        <color rgb="FFFFEB84"/>
        <color rgb="FFF8696B"/>
      </colorScale>
    </cfRule>
  </conditionalFormatting>
  <conditionalFormatting sqref="D4202:D4225">
    <cfRule type="colorScale" priority="2271">
      <colorScale>
        <cfvo type="min"/>
        <cfvo type="percentile" val="50"/>
        <cfvo type="max"/>
        <color rgb="FF63BE7B"/>
        <color rgb="FFFFEB84"/>
        <color rgb="FFF8696B"/>
      </colorScale>
    </cfRule>
  </conditionalFormatting>
  <conditionalFormatting sqref="A4226:A4249">
    <cfRule type="colorScale" priority="2270">
      <colorScale>
        <cfvo type="min"/>
        <cfvo type="percentile" val="50"/>
        <cfvo type="max"/>
        <color rgb="FF63BE7B"/>
        <color rgb="FFFFEB84"/>
        <color rgb="FFF8696B"/>
      </colorScale>
    </cfRule>
  </conditionalFormatting>
  <conditionalFormatting sqref="D4226:D4249">
    <cfRule type="colorScale" priority="2269">
      <colorScale>
        <cfvo type="min"/>
        <cfvo type="percentile" val="50"/>
        <cfvo type="max"/>
        <color rgb="FFF8696B"/>
        <color rgb="FFFCFCFF"/>
        <color rgb="FF63BE7B"/>
      </colorScale>
    </cfRule>
  </conditionalFormatting>
  <conditionalFormatting sqref="D4226:D4249">
    <cfRule type="colorScale" priority="2268">
      <colorScale>
        <cfvo type="min"/>
        <cfvo type="percentile" val="50"/>
        <cfvo type="max"/>
        <color rgb="FF63BE7B"/>
        <color rgb="FFFFEB84"/>
        <color rgb="FFF8696B"/>
      </colorScale>
    </cfRule>
  </conditionalFormatting>
  <conditionalFormatting sqref="D4226:D4249">
    <cfRule type="colorScale" priority="2267">
      <colorScale>
        <cfvo type="min"/>
        <cfvo type="percentile" val="50"/>
        <cfvo type="max"/>
        <color rgb="FF63BE7B"/>
        <color rgb="FFFFEB84"/>
        <color rgb="FFF8696B"/>
      </colorScale>
    </cfRule>
  </conditionalFormatting>
  <conditionalFormatting sqref="A4250:A4273">
    <cfRule type="colorScale" priority="2266">
      <colorScale>
        <cfvo type="min"/>
        <cfvo type="percentile" val="50"/>
        <cfvo type="max"/>
        <color rgb="FF63BE7B"/>
        <color rgb="FFFFEB84"/>
        <color rgb="FFF8696B"/>
      </colorScale>
    </cfRule>
  </conditionalFormatting>
  <conditionalFormatting sqref="D4250:D4273">
    <cfRule type="colorScale" priority="2265">
      <colorScale>
        <cfvo type="min"/>
        <cfvo type="percentile" val="50"/>
        <cfvo type="max"/>
        <color rgb="FFF8696B"/>
        <color rgb="FFFCFCFF"/>
        <color rgb="FF63BE7B"/>
      </colorScale>
    </cfRule>
  </conditionalFormatting>
  <conditionalFormatting sqref="D4250:D4273">
    <cfRule type="colorScale" priority="2264">
      <colorScale>
        <cfvo type="min"/>
        <cfvo type="percentile" val="50"/>
        <cfvo type="max"/>
        <color rgb="FF63BE7B"/>
        <color rgb="FFFFEB84"/>
        <color rgb="FFF8696B"/>
      </colorScale>
    </cfRule>
  </conditionalFormatting>
  <conditionalFormatting sqref="D4250:D4273">
    <cfRule type="colorScale" priority="2263">
      <colorScale>
        <cfvo type="min"/>
        <cfvo type="percentile" val="50"/>
        <cfvo type="max"/>
        <color rgb="FF63BE7B"/>
        <color rgb="FFFFEB84"/>
        <color rgb="FFF8696B"/>
      </colorScale>
    </cfRule>
  </conditionalFormatting>
  <conditionalFormatting sqref="A4274:A4297">
    <cfRule type="colorScale" priority="2262">
      <colorScale>
        <cfvo type="min"/>
        <cfvo type="percentile" val="50"/>
        <cfvo type="max"/>
        <color rgb="FF63BE7B"/>
        <color rgb="FFFFEB84"/>
        <color rgb="FFF8696B"/>
      </colorScale>
    </cfRule>
  </conditionalFormatting>
  <conditionalFormatting sqref="D4274:D4297">
    <cfRule type="colorScale" priority="2261">
      <colorScale>
        <cfvo type="min"/>
        <cfvo type="percentile" val="50"/>
        <cfvo type="max"/>
        <color rgb="FFF8696B"/>
        <color rgb="FFFCFCFF"/>
        <color rgb="FF63BE7B"/>
      </colorScale>
    </cfRule>
  </conditionalFormatting>
  <conditionalFormatting sqref="D4274:D4297">
    <cfRule type="colorScale" priority="2260">
      <colorScale>
        <cfvo type="min"/>
        <cfvo type="percentile" val="50"/>
        <cfvo type="max"/>
        <color rgb="FF63BE7B"/>
        <color rgb="FFFFEB84"/>
        <color rgb="FFF8696B"/>
      </colorScale>
    </cfRule>
  </conditionalFormatting>
  <conditionalFormatting sqref="D4274:D4297">
    <cfRule type="colorScale" priority="2259">
      <colorScale>
        <cfvo type="min"/>
        <cfvo type="percentile" val="50"/>
        <cfvo type="max"/>
        <color rgb="FF63BE7B"/>
        <color rgb="FFFFEB84"/>
        <color rgb="FFF8696B"/>
      </colorScale>
    </cfRule>
  </conditionalFormatting>
  <conditionalFormatting sqref="A4298:A4321">
    <cfRule type="colorScale" priority="2258">
      <colorScale>
        <cfvo type="min"/>
        <cfvo type="percentile" val="50"/>
        <cfvo type="max"/>
        <color rgb="FF63BE7B"/>
        <color rgb="FFFFEB84"/>
        <color rgb="FFF8696B"/>
      </colorScale>
    </cfRule>
  </conditionalFormatting>
  <conditionalFormatting sqref="D4298:D4321">
    <cfRule type="colorScale" priority="2257">
      <colorScale>
        <cfvo type="min"/>
        <cfvo type="percentile" val="50"/>
        <cfvo type="max"/>
        <color rgb="FFF8696B"/>
        <color rgb="FFFCFCFF"/>
        <color rgb="FF63BE7B"/>
      </colorScale>
    </cfRule>
  </conditionalFormatting>
  <conditionalFormatting sqref="D4298:D4321">
    <cfRule type="colorScale" priority="2256">
      <colorScale>
        <cfvo type="min"/>
        <cfvo type="percentile" val="50"/>
        <cfvo type="max"/>
        <color rgb="FF63BE7B"/>
        <color rgb="FFFFEB84"/>
        <color rgb="FFF8696B"/>
      </colorScale>
    </cfRule>
  </conditionalFormatting>
  <conditionalFormatting sqref="D4298:D4321">
    <cfRule type="colorScale" priority="2255">
      <colorScale>
        <cfvo type="min"/>
        <cfvo type="percentile" val="50"/>
        <cfvo type="max"/>
        <color rgb="FF63BE7B"/>
        <color rgb="FFFFEB84"/>
        <color rgb="FFF8696B"/>
      </colorScale>
    </cfRule>
  </conditionalFormatting>
  <conditionalFormatting sqref="A4322:A4345">
    <cfRule type="colorScale" priority="2254">
      <colorScale>
        <cfvo type="min"/>
        <cfvo type="percentile" val="50"/>
        <cfvo type="max"/>
        <color rgb="FF63BE7B"/>
        <color rgb="FFFFEB84"/>
        <color rgb="FFF8696B"/>
      </colorScale>
    </cfRule>
  </conditionalFormatting>
  <conditionalFormatting sqref="D4322:D4345">
    <cfRule type="colorScale" priority="2253">
      <colorScale>
        <cfvo type="min"/>
        <cfvo type="percentile" val="50"/>
        <cfvo type="max"/>
        <color rgb="FFF8696B"/>
        <color rgb="FFFCFCFF"/>
        <color rgb="FF63BE7B"/>
      </colorScale>
    </cfRule>
  </conditionalFormatting>
  <conditionalFormatting sqref="D4322:D4345">
    <cfRule type="colorScale" priority="2252">
      <colorScale>
        <cfvo type="min"/>
        <cfvo type="percentile" val="50"/>
        <cfvo type="max"/>
        <color rgb="FF63BE7B"/>
        <color rgb="FFFFEB84"/>
        <color rgb="FFF8696B"/>
      </colorScale>
    </cfRule>
  </conditionalFormatting>
  <conditionalFormatting sqref="D4322:D4345">
    <cfRule type="colorScale" priority="2251">
      <colorScale>
        <cfvo type="min"/>
        <cfvo type="percentile" val="50"/>
        <cfvo type="max"/>
        <color rgb="FF63BE7B"/>
        <color rgb="FFFFEB84"/>
        <color rgb="FFF8696B"/>
      </colorScale>
    </cfRule>
  </conditionalFormatting>
  <conditionalFormatting sqref="A4346:A4369">
    <cfRule type="colorScale" priority="2250">
      <colorScale>
        <cfvo type="min"/>
        <cfvo type="percentile" val="50"/>
        <cfvo type="max"/>
        <color rgb="FF63BE7B"/>
        <color rgb="FFFFEB84"/>
        <color rgb="FFF8696B"/>
      </colorScale>
    </cfRule>
  </conditionalFormatting>
  <conditionalFormatting sqref="D4346:D4369">
    <cfRule type="colorScale" priority="2249">
      <colorScale>
        <cfvo type="min"/>
        <cfvo type="percentile" val="50"/>
        <cfvo type="max"/>
        <color rgb="FFF8696B"/>
        <color rgb="FFFCFCFF"/>
        <color rgb="FF63BE7B"/>
      </colorScale>
    </cfRule>
  </conditionalFormatting>
  <conditionalFormatting sqref="D4346:D4369">
    <cfRule type="colorScale" priority="2248">
      <colorScale>
        <cfvo type="min"/>
        <cfvo type="percentile" val="50"/>
        <cfvo type="max"/>
        <color rgb="FF63BE7B"/>
        <color rgb="FFFFEB84"/>
        <color rgb="FFF8696B"/>
      </colorScale>
    </cfRule>
  </conditionalFormatting>
  <conditionalFormatting sqref="D4346:D4369">
    <cfRule type="colorScale" priority="2247">
      <colorScale>
        <cfvo type="min"/>
        <cfvo type="percentile" val="50"/>
        <cfvo type="max"/>
        <color rgb="FF63BE7B"/>
        <color rgb="FFFFEB84"/>
        <color rgb="FFF8696B"/>
      </colorScale>
    </cfRule>
  </conditionalFormatting>
  <conditionalFormatting sqref="A4370:A4393">
    <cfRule type="colorScale" priority="2246">
      <colorScale>
        <cfvo type="min"/>
        <cfvo type="percentile" val="50"/>
        <cfvo type="max"/>
        <color rgb="FF63BE7B"/>
        <color rgb="FFFFEB84"/>
        <color rgb="FFF8696B"/>
      </colorScale>
    </cfRule>
  </conditionalFormatting>
  <conditionalFormatting sqref="D4370:D4393">
    <cfRule type="colorScale" priority="2245">
      <colorScale>
        <cfvo type="min"/>
        <cfvo type="percentile" val="50"/>
        <cfvo type="max"/>
        <color rgb="FFF8696B"/>
        <color rgb="FFFCFCFF"/>
        <color rgb="FF63BE7B"/>
      </colorScale>
    </cfRule>
  </conditionalFormatting>
  <conditionalFormatting sqref="D4370:D4393">
    <cfRule type="colorScale" priority="2244">
      <colorScale>
        <cfvo type="min"/>
        <cfvo type="percentile" val="50"/>
        <cfvo type="max"/>
        <color rgb="FF63BE7B"/>
        <color rgb="FFFFEB84"/>
        <color rgb="FFF8696B"/>
      </colorScale>
    </cfRule>
  </conditionalFormatting>
  <conditionalFormatting sqref="D4370:D4393">
    <cfRule type="colorScale" priority="2243">
      <colorScale>
        <cfvo type="min"/>
        <cfvo type="percentile" val="50"/>
        <cfvo type="max"/>
        <color rgb="FF63BE7B"/>
        <color rgb="FFFFEB84"/>
        <color rgb="FFF8696B"/>
      </colorScale>
    </cfRule>
  </conditionalFormatting>
  <conditionalFormatting sqref="A4394:A4417">
    <cfRule type="colorScale" priority="2242">
      <colorScale>
        <cfvo type="min"/>
        <cfvo type="percentile" val="50"/>
        <cfvo type="max"/>
        <color rgb="FF63BE7B"/>
        <color rgb="FFFFEB84"/>
        <color rgb="FFF8696B"/>
      </colorScale>
    </cfRule>
  </conditionalFormatting>
  <conditionalFormatting sqref="D4394:D4417">
    <cfRule type="colorScale" priority="2241">
      <colorScale>
        <cfvo type="min"/>
        <cfvo type="percentile" val="50"/>
        <cfvo type="max"/>
        <color rgb="FFF8696B"/>
        <color rgb="FFFCFCFF"/>
        <color rgb="FF63BE7B"/>
      </colorScale>
    </cfRule>
  </conditionalFormatting>
  <conditionalFormatting sqref="D4394:D4417">
    <cfRule type="colorScale" priority="2240">
      <colorScale>
        <cfvo type="min"/>
        <cfvo type="percentile" val="50"/>
        <cfvo type="max"/>
        <color rgb="FF63BE7B"/>
        <color rgb="FFFFEB84"/>
        <color rgb="FFF8696B"/>
      </colorScale>
    </cfRule>
  </conditionalFormatting>
  <conditionalFormatting sqref="D4394:D4417">
    <cfRule type="colorScale" priority="2239">
      <colorScale>
        <cfvo type="min"/>
        <cfvo type="percentile" val="50"/>
        <cfvo type="max"/>
        <color rgb="FF63BE7B"/>
        <color rgb="FFFFEB84"/>
        <color rgb="FFF8696B"/>
      </colorScale>
    </cfRule>
  </conditionalFormatting>
  <conditionalFormatting sqref="A4418:A4441">
    <cfRule type="colorScale" priority="2171">
      <colorScale>
        <cfvo type="min"/>
        <cfvo type="percentile" val="50"/>
        <cfvo type="max"/>
        <color rgb="FF63BE7B"/>
        <color rgb="FFFFEB84"/>
        <color rgb="FFF8696B"/>
      </colorScale>
    </cfRule>
  </conditionalFormatting>
  <conditionalFormatting sqref="D4418:D4441">
    <cfRule type="colorScale" priority="2170">
      <colorScale>
        <cfvo type="min"/>
        <cfvo type="percentile" val="50"/>
        <cfvo type="max"/>
        <color rgb="FFF8696B"/>
        <color rgb="FFFCFCFF"/>
        <color rgb="FF63BE7B"/>
      </colorScale>
    </cfRule>
  </conditionalFormatting>
  <conditionalFormatting sqref="D4418:D4441">
    <cfRule type="colorScale" priority="2169">
      <colorScale>
        <cfvo type="min"/>
        <cfvo type="percentile" val="50"/>
        <cfvo type="max"/>
        <color rgb="FF63BE7B"/>
        <color rgb="FFFFEB84"/>
        <color rgb="FFF8696B"/>
      </colorScale>
    </cfRule>
  </conditionalFormatting>
  <conditionalFormatting sqref="D4418:D4441">
    <cfRule type="colorScale" priority="2168">
      <colorScale>
        <cfvo type="min"/>
        <cfvo type="percentile" val="50"/>
        <cfvo type="max"/>
        <color rgb="FF63BE7B"/>
        <color rgb="FFFFEB84"/>
        <color rgb="FFF8696B"/>
      </colorScale>
    </cfRule>
  </conditionalFormatting>
  <conditionalFormatting sqref="A4442:A4465">
    <cfRule type="colorScale" priority="2167">
      <colorScale>
        <cfvo type="min"/>
        <cfvo type="percentile" val="50"/>
        <cfvo type="max"/>
        <color rgb="FF63BE7B"/>
        <color rgb="FFFFEB84"/>
        <color rgb="FFF8696B"/>
      </colorScale>
    </cfRule>
  </conditionalFormatting>
  <conditionalFormatting sqref="D4442:D4465">
    <cfRule type="colorScale" priority="2166">
      <colorScale>
        <cfvo type="min"/>
        <cfvo type="percentile" val="50"/>
        <cfvo type="max"/>
        <color rgb="FFF8696B"/>
        <color rgb="FFFCFCFF"/>
        <color rgb="FF63BE7B"/>
      </colorScale>
    </cfRule>
  </conditionalFormatting>
  <conditionalFormatting sqref="D4442:D4465">
    <cfRule type="colorScale" priority="2165">
      <colorScale>
        <cfvo type="min"/>
        <cfvo type="percentile" val="50"/>
        <cfvo type="max"/>
        <color rgb="FF63BE7B"/>
        <color rgb="FFFFEB84"/>
        <color rgb="FFF8696B"/>
      </colorScale>
    </cfRule>
  </conditionalFormatting>
  <conditionalFormatting sqref="D4442:D4465">
    <cfRule type="colorScale" priority="2164">
      <colorScale>
        <cfvo type="min"/>
        <cfvo type="percentile" val="50"/>
        <cfvo type="max"/>
        <color rgb="FF63BE7B"/>
        <color rgb="FFFFEB84"/>
        <color rgb="FFF8696B"/>
      </colorScale>
    </cfRule>
  </conditionalFormatting>
  <conditionalFormatting sqref="A4466:A4489">
    <cfRule type="colorScale" priority="2163">
      <colorScale>
        <cfvo type="min"/>
        <cfvo type="percentile" val="50"/>
        <cfvo type="max"/>
        <color rgb="FF63BE7B"/>
        <color rgb="FFFFEB84"/>
        <color rgb="FFF8696B"/>
      </colorScale>
    </cfRule>
  </conditionalFormatting>
  <conditionalFormatting sqref="D4466:D4489">
    <cfRule type="colorScale" priority="2162">
      <colorScale>
        <cfvo type="min"/>
        <cfvo type="percentile" val="50"/>
        <cfvo type="max"/>
        <color rgb="FFF8696B"/>
        <color rgb="FFFCFCFF"/>
        <color rgb="FF63BE7B"/>
      </colorScale>
    </cfRule>
  </conditionalFormatting>
  <conditionalFormatting sqref="D4466:D4489">
    <cfRule type="colorScale" priority="2161">
      <colorScale>
        <cfvo type="min"/>
        <cfvo type="percentile" val="50"/>
        <cfvo type="max"/>
        <color rgb="FF63BE7B"/>
        <color rgb="FFFFEB84"/>
        <color rgb="FFF8696B"/>
      </colorScale>
    </cfRule>
  </conditionalFormatting>
  <conditionalFormatting sqref="D4466:D4489">
    <cfRule type="colorScale" priority="2160">
      <colorScale>
        <cfvo type="min"/>
        <cfvo type="percentile" val="50"/>
        <cfvo type="max"/>
        <color rgb="FF63BE7B"/>
        <color rgb="FFFFEB84"/>
        <color rgb="FFF8696B"/>
      </colorScale>
    </cfRule>
  </conditionalFormatting>
  <conditionalFormatting sqref="A4490:A4513">
    <cfRule type="colorScale" priority="2159">
      <colorScale>
        <cfvo type="min"/>
        <cfvo type="percentile" val="50"/>
        <cfvo type="max"/>
        <color rgb="FF63BE7B"/>
        <color rgb="FFFFEB84"/>
        <color rgb="FFF8696B"/>
      </colorScale>
    </cfRule>
  </conditionalFormatting>
  <conditionalFormatting sqref="D4490:D4513">
    <cfRule type="colorScale" priority="2158">
      <colorScale>
        <cfvo type="min"/>
        <cfvo type="percentile" val="50"/>
        <cfvo type="max"/>
        <color rgb="FFF8696B"/>
        <color rgb="FFFCFCFF"/>
        <color rgb="FF63BE7B"/>
      </colorScale>
    </cfRule>
  </conditionalFormatting>
  <conditionalFormatting sqref="D4490:D4513">
    <cfRule type="colorScale" priority="2157">
      <colorScale>
        <cfvo type="min"/>
        <cfvo type="percentile" val="50"/>
        <cfvo type="max"/>
        <color rgb="FF63BE7B"/>
        <color rgb="FFFFEB84"/>
        <color rgb="FFF8696B"/>
      </colorScale>
    </cfRule>
  </conditionalFormatting>
  <conditionalFormatting sqref="D4490:D4513">
    <cfRule type="colorScale" priority="2156">
      <colorScale>
        <cfvo type="min"/>
        <cfvo type="percentile" val="50"/>
        <cfvo type="max"/>
        <color rgb="FF63BE7B"/>
        <color rgb="FFFFEB84"/>
        <color rgb="FFF8696B"/>
      </colorScale>
    </cfRule>
  </conditionalFormatting>
  <conditionalFormatting sqref="A4514:A4537">
    <cfRule type="colorScale" priority="2155">
      <colorScale>
        <cfvo type="min"/>
        <cfvo type="percentile" val="50"/>
        <cfvo type="max"/>
        <color rgb="FF63BE7B"/>
        <color rgb="FFFFEB84"/>
        <color rgb="FFF8696B"/>
      </colorScale>
    </cfRule>
  </conditionalFormatting>
  <conditionalFormatting sqref="D4514:D4537">
    <cfRule type="colorScale" priority="2154">
      <colorScale>
        <cfvo type="min"/>
        <cfvo type="percentile" val="50"/>
        <cfvo type="max"/>
        <color rgb="FFF8696B"/>
        <color rgb="FFFCFCFF"/>
        <color rgb="FF63BE7B"/>
      </colorScale>
    </cfRule>
  </conditionalFormatting>
  <conditionalFormatting sqref="D4514:D4537">
    <cfRule type="colorScale" priority="2153">
      <colorScale>
        <cfvo type="min"/>
        <cfvo type="percentile" val="50"/>
        <cfvo type="max"/>
        <color rgb="FF63BE7B"/>
        <color rgb="FFFFEB84"/>
        <color rgb="FFF8696B"/>
      </colorScale>
    </cfRule>
  </conditionalFormatting>
  <conditionalFormatting sqref="D4514:D4537">
    <cfRule type="colorScale" priority="2152">
      <colorScale>
        <cfvo type="min"/>
        <cfvo type="percentile" val="50"/>
        <cfvo type="max"/>
        <color rgb="FF63BE7B"/>
        <color rgb="FFFFEB84"/>
        <color rgb="FFF8696B"/>
      </colorScale>
    </cfRule>
  </conditionalFormatting>
  <conditionalFormatting sqref="A4538:A4561">
    <cfRule type="colorScale" priority="2151">
      <colorScale>
        <cfvo type="min"/>
        <cfvo type="percentile" val="50"/>
        <cfvo type="max"/>
        <color rgb="FF63BE7B"/>
        <color rgb="FFFFEB84"/>
        <color rgb="FFF8696B"/>
      </colorScale>
    </cfRule>
  </conditionalFormatting>
  <conditionalFormatting sqref="D4538:D4561">
    <cfRule type="colorScale" priority="2150">
      <colorScale>
        <cfvo type="min"/>
        <cfvo type="percentile" val="50"/>
        <cfvo type="max"/>
        <color rgb="FFF8696B"/>
        <color rgb="FFFCFCFF"/>
        <color rgb="FF63BE7B"/>
      </colorScale>
    </cfRule>
  </conditionalFormatting>
  <conditionalFormatting sqref="D4538:D4561">
    <cfRule type="colorScale" priority="2149">
      <colorScale>
        <cfvo type="min"/>
        <cfvo type="percentile" val="50"/>
        <cfvo type="max"/>
        <color rgb="FF63BE7B"/>
        <color rgb="FFFFEB84"/>
        <color rgb="FFF8696B"/>
      </colorScale>
    </cfRule>
  </conditionalFormatting>
  <conditionalFormatting sqref="D4538:D4561">
    <cfRule type="colorScale" priority="2148">
      <colorScale>
        <cfvo type="min"/>
        <cfvo type="percentile" val="50"/>
        <cfvo type="max"/>
        <color rgb="FF63BE7B"/>
        <color rgb="FFFFEB84"/>
        <color rgb="FFF8696B"/>
      </colorScale>
    </cfRule>
  </conditionalFormatting>
  <conditionalFormatting sqref="A4562:A4585">
    <cfRule type="colorScale" priority="2147">
      <colorScale>
        <cfvo type="min"/>
        <cfvo type="percentile" val="50"/>
        <cfvo type="max"/>
        <color rgb="FF63BE7B"/>
        <color rgb="FFFFEB84"/>
        <color rgb="FFF8696B"/>
      </colorScale>
    </cfRule>
  </conditionalFormatting>
  <conditionalFormatting sqref="D4562:D4585">
    <cfRule type="colorScale" priority="2146">
      <colorScale>
        <cfvo type="min"/>
        <cfvo type="percentile" val="50"/>
        <cfvo type="max"/>
        <color rgb="FFF8696B"/>
        <color rgb="FFFCFCFF"/>
        <color rgb="FF63BE7B"/>
      </colorScale>
    </cfRule>
  </conditionalFormatting>
  <conditionalFormatting sqref="D4562:D4585">
    <cfRule type="colorScale" priority="2145">
      <colorScale>
        <cfvo type="min"/>
        <cfvo type="percentile" val="50"/>
        <cfvo type="max"/>
        <color rgb="FF63BE7B"/>
        <color rgb="FFFFEB84"/>
        <color rgb="FFF8696B"/>
      </colorScale>
    </cfRule>
  </conditionalFormatting>
  <conditionalFormatting sqref="D4562:D4585">
    <cfRule type="colorScale" priority="2144">
      <colorScale>
        <cfvo type="min"/>
        <cfvo type="percentile" val="50"/>
        <cfvo type="max"/>
        <color rgb="FF63BE7B"/>
        <color rgb="FFFFEB84"/>
        <color rgb="FFF8696B"/>
      </colorScale>
    </cfRule>
  </conditionalFormatting>
  <conditionalFormatting sqref="C1354:E1354">
    <cfRule type="colorScale" priority="2143">
      <colorScale>
        <cfvo type="min"/>
        <cfvo type="percentile" val="50"/>
        <cfvo type="max"/>
        <color rgb="FFF8696B"/>
        <color rgb="FFFCFCFF"/>
        <color rgb="FF63BE7B"/>
      </colorScale>
    </cfRule>
  </conditionalFormatting>
  <conditionalFormatting sqref="B1355:E3889 B2:E1353">
    <cfRule type="colorScale" priority="2340">
      <colorScale>
        <cfvo type="min"/>
        <cfvo type="percentile" val="50"/>
        <cfvo type="max"/>
        <color rgb="FFF8696B"/>
        <color rgb="FFFCFCFF"/>
        <color rgb="FF63BE7B"/>
      </colorScale>
    </cfRule>
  </conditionalFormatting>
  <conditionalFormatting sqref="B1354">
    <cfRule type="colorScale" priority="2141">
      <colorScale>
        <cfvo type="min"/>
        <cfvo type="percentile" val="50"/>
        <cfvo type="max"/>
        <color rgb="FFF8696B"/>
        <color rgb="FFFCFCFF"/>
        <color rgb="FF63BE7B"/>
      </colorScale>
    </cfRule>
  </conditionalFormatting>
  <conditionalFormatting sqref="F4563:F4569 F4571:F4578 F4580">
    <cfRule type="colorScale" priority="2140">
      <colorScale>
        <cfvo type="min"/>
        <cfvo type="percentile" val="50"/>
        <cfvo type="max"/>
        <color rgb="FF63BE7B"/>
        <color rgb="FFFFEB84"/>
        <color rgb="FFF8696B"/>
      </colorScale>
    </cfRule>
  </conditionalFormatting>
  <conditionalFormatting sqref="A4586:A4609">
    <cfRule type="colorScale" priority="2139">
      <colorScale>
        <cfvo type="min"/>
        <cfvo type="percentile" val="50"/>
        <cfvo type="max"/>
        <color rgb="FF63BE7B"/>
        <color rgb="FFFFEB84"/>
        <color rgb="FFF8696B"/>
      </colorScale>
    </cfRule>
  </conditionalFormatting>
  <conditionalFormatting sqref="C4586:C4609">
    <cfRule type="colorScale" priority="2135">
      <colorScale>
        <cfvo type="min"/>
        <cfvo type="percentile" val="50"/>
        <cfvo type="max"/>
        <color rgb="FF63BE7B"/>
        <color rgb="FFFFEB84"/>
        <color rgb="FFF8696B"/>
      </colorScale>
    </cfRule>
  </conditionalFormatting>
  <conditionalFormatting sqref="D4586:D4609">
    <cfRule type="colorScale" priority="2134">
      <colorScale>
        <cfvo type="min"/>
        <cfvo type="percentile" val="50"/>
        <cfvo type="max"/>
        <color rgb="FFF8696B"/>
        <color rgb="FFFCFCFF"/>
        <color rgb="FF63BE7B"/>
      </colorScale>
    </cfRule>
  </conditionalFormatting>
  <conditionalFormatting sqref="D4586:D4609">
    <cfRule type="colorScale" priority="2133">
      <colorScale>
        <cfvo type="min"/>
        <cfvo type="percentile" val="50"/>
        <cfvo type="max"/>
        <color rgb="FF63BE7B"/>
        <color rgb="FFFFEB84"/>
        <color rgb="FFF8696B"/>
      </colorScale>
    </cfRule>
  </conditionalFormatting>
  <conditionalFormatting sqref="D4586:D4609">
    <cfRule type="colorScale" priority="2132">
      <colorScale>
        <cfvo type="min"/>
        <cfvo type="percentile" val="50"/>
        <cfvo type="max"/>
        <color rgb="FF63BE7B"/>
        <color rgb="FFFFEB84"/>
        <color rgb="FFF8696B"/>
      </colorScale>
    </cfRule>
  </conditionalFormatting>
  <conditionalFormatting sqref="F4587:F4593 F4595:F4602 F4604">
    <cfRule type="colorScale" priority="2131">
      <colorScale>
        <cfvo type="min"/>
        <cfvo type="percentile" val="50"/>
        <cfvo type="max"/>
        <color rgb="FF63BE7B"/>
        <color rgb="FFFFEB84"/>
        <color rgb="FFF8696B"/>
      </colorScale>
    </cfRule>
  </conditionalFormatting>
  <conditionalFormatting sqref="A4610:A4633">
    <cfRule type="colorScale" priority="2130">
      <colorScale>
        <cfvo type="min"/>
        <cfvo type="percentile" val="50"/>
        <cfvo type="max"/>
        <color rgb="FF63BE7B"/>
        <color rgb="FFFFEB84"/>
        <color rgb="FFF8696B"/>
      </colorScale>
    </cfRule>
  </conditionalFormatting>
  <conditionalFormatting sqref="D4610:D4633">
    <cfRule type="colorScale" priority="2129">
      <colorScale>
        <cfvo type="min"/>
        <cfvo type="percentile" val="50"/>
        <cfvo type="max"/>
        <color rgb="FFF8696B"/>
        <color rgb="FFFCFCFF"/>
        <color rgb="FF63BE7B"/>
      </colorScale>
    </cfRule>
  </conditionalFormatting>
  <conditionalFormatting sqref="D4610:D4633">
    <cfRule type="colorScale" priority="2128">
      <colorScale>
        <cfvo type="min"/>
        <cfvo type="percentile" val="50"/>
        <cfvo type="max"/>
        <color rgb="FF63BE7B"/>
        <color rgb="FFFFEB84"/>
        <color rgb="FFF8696B"/>
      </colorScale>
    </cfRule>
  </conditionalFormatting>
  <conditionalFormatting sqref="D4610:D4633">
    <cfRule type="colorScale" priority="2115">
      <colorScale>
        <cfvo type="min"/>
        <cfvo type="percentile" val="50"/>
        <cfvo type="max"/>
        <color rgb="FF63BE7B"/>
        <color rgb="FFFFEB84"/>
        <color rgb="FFF8696B"/>
      </colorScale>
    </cfRule>
  </conditionalFormatting>
  <conditionalFormatting sqref="F4611:F4617 F4619:F4626 F4628 F4631:F4632">
    <cfRule type="colorScale" priority="2126">
      <colorScale>
        <cfvo type="min"/>
        <cfvo type="percentile" val="50"/>
        <cfvo type="max"/>
        <color rgb="FF63BE7B"/>
        <color rgb="FFFFEB84"/>
        <color rgb="FFF8696B"/>
      </colorScale>
    </cfRule>
  </conditionalFormatting>
  <conditionalFormatting sqref="A4634:A4657">
    <cfRule type="colorScale" priority="2125">
      <colorScale>
        <cfvo type="min"/>
        <cfvo type="percentile" val="50"/>
        <cfvo type="max"/>
        <color rgb="FF63BE7B"/>
        <color rgb="FFFFEB84"/>
        <color rgb="FFF8696B"/>
      </colorScale>
    </cfRule>
  </conditionalFormatting>
  <conditionalFormatting sqref="D4634:D4657">
    <cfRule type="colorScale" priority="2124">
      <colorScale>
        <cfvo type="min"/>
        <cfvo type="percentile" val="50"/>
        <cfvo type="max"/>
        <color rgb="FFF8696B"/>
        <color rgb="FFFCFCFF"/>
        <color rgb="FF63BE7B"/>
      </colorScale>
    </cfRule>
  </conditionalFormatting>
  <conditionalFormatting sqref="D4634:D4657">
    <cfRule type="colorScale" priority="2123">
      <colorScale>
        <cfvo type="min"/>
        <cfvo type="percentile" val="50"/>
        <cfvo type="max"/>
        <color rgb="FF63BE7B"/>
        <color rgb="FFFFEB84"/>
        <color rgb="FFF8696B"/>
      </colorScale>
    </cfRule>
  </conditionalFormatting>
  <conditionalFormatting sqref="D4634:D4657">
    <cfRule type="colorScale" priority="2122">
      <colorScale>
        <cfvo type="min"/>
        <cfvo type="percentile" val="50"/>
        <cfvo type="max"/>
        <color rgb="FF63BE7B"/>
        <color rgb="FFFFEB84"/>
        <color rgb="FFF8696B"/>
      </colorScale>
    </cfRule>
  </conditionalFormatting>
  <conditionalFormatting sqref="F4635:F4641 F4643:F4650 F4652 F4655:F4656">
    <cfRule type="colorScale" priority="2121">
      <colorScale>
        <cfvo type="min"/>
        <cfvo type="percentile" val="50"/>
        <cfvo type="max"/>
        <color rgb="FF63BE7B"/>
        <color rgb="FFFFEB84"/>
        <color rgb="FFF8696B"/>
      </colorScale>
    </cfRule>
  </conditionalFormatting>
  <conditionalFormatting sqref="F4634:F4657">
    <cfRule type="colorScale" priority="2120">
      <colorScale>
        <cfvo type="min"/>
        <cfvo type="percentile" val="50"/>
        <cfvo type="max"/>
        <color rgb="FF63BE7B"/>
        <color rgb="FFFFEB84"/>
        <color rgb="FFF8696B"/>
      </colorScale>
    </cfRule>
  </conditionalFormatting>
  <conditionalFormatting sqref="E4634:E4657">
    <cfRule type="colorScale" priority="2119">
      <colorScale>
        <cfvo type="min"/>
        <cfvo type="percentile" val="50"/>
        <cfvo type="max"/>
        <color rgb="FF63BE7B"/>
        <color rgb="FFFFEB84"/>
        <color rgb="FFF8696B"/>
      </colorScale>
    </cfRule>
  </conditionalFormatting>
  <conditionalFormatting sqref="E4610:E4633">
    <cfRule type="colorScale" priority="2118">
      <colorScale>
        <cfvo type="min"/>
        <cfvo type="percentile" val="50"/>
        <cfvo type="max"/>
        <color rgb="FF63BE7B"/>
        <color rgb="FFFFEB84"/>
        <color rgb="FFF8696B"/>
      </colorScale>
    </cfRule>
  </conditionalFormatting>
  <conditionalFormatting sqref="C4610:D4633">
    <cfRule type="colorScale" priority="2117">
      <colorScale>
        <cfvo type="min"/>
        <cfvo type="percentile" val="50"/>
        <cfvo type="max"/>
        <color rgb="FF63BE7B"/>
        <color rgb="FFFFEB84"/>
        <color rgb="FFF8696B"/>
      </colorScale>
    </cfRule>
  </conditionalFormatting>
  <conditionalFormatting sqref="C4610:C4633">
    <cfRule type="colorScale" priority="2116">
      <colorScale>
        <cfvo type="min"/>
        <cfvo type="percentile" val="50"/>
        <cfvo type="max"/>
        <color rgb="FF63BE7B"/>
        <color rgb="FFFFEB84"/>
        <color rgb="FFF8696B"/>
      </colorScale>
    </cfRule>
  </conditionalFormatting>
  <conditionalFormatting sqref="A4658:A4681">
    <cfRule type="colorScale" priority="2114">
      <colorScale>
        <cfvo type="min"/>
        <cfvo type="percentile" val="50"/>
        <cfvo type="max"/>
        <color rgb="FF63BE7B"/>
        <color rgb="FFFFEB84"/>
        <color rgb="FFF8696B"/>
      </colorScale>
    </cfRule>
  </conditionalFormatting>
  <conditionalFormatting sqref="D4658:D4681">
    <cfRule type="colorScale" priority="2113">
      <colorScale>
        <cfvo type="min"/>
        <cfvo type="percentile" val="50"/>
        <cfvo type="max"/>
        <color rgb="FFF8696B"/>
        <color rgb="FFFCFCFF"/>
        <color rgb="FF63BE7B"/>
      </colorScale>
    </cfRule>
  </conditionalFormatting>
  <conditionalFormatting sqref="D4658:D4681">
    <cfRule type="colorScale" priority="2112">
      <colorScale>
        <cfvo type="min"/>
        <cfvo type="percentile" val="50"/>
        <cfvo type="max"/>
        <color rgb="FF63BE7B"/>
        <color rgb="FFFFEB84"/>
        <color rgb="FFF8696B"/>
      </colorScale>
    </cfRule>
  </conditionalFormatting>
  <conditionalFormatting sqref="D4658:D4681">
    <cfRule type="colorScale" priority="2111">
      <colorScale>
        <cfvo type="min"/>
        <cfvo type="percentile" val="50"/>
        <cfvo type="max"/>
        <color rgb="FF63BE7B"/>
        <color rgb="FFFFEB84"/>
        <color rgb="FFF8696B"/>
      </colorScale>
    </cfRule>
  </conditionalFormatting>
  <conditionalFormatting sqref="F4659:F4665 F4667:F4674 F4676 F4679:F4680">
    <cfRule type="colorScale" priority="2110">
      <colorScale>
        <cfvo type="min"/>
        <cfvo type="percentile" val="50"/>
        <cfvo type="max"/>
        <color rgb="FF63BE7B"/>
        <color rgb="FFFFEB84"/>
        <color rgb="FFF8696B"/>
      </colorScale>
    </cfRule>
  </conditionalFormatting>
  <conditionalFormatting sqref="F4658:F4681">
    <cfRule type="colorScale" priority="2109">
      <colorScale>
        <cfvo type="min"/>
        <cfvo type="percentile" val="50"/>
        <cfvo type="max"/>
        <color rgb="FF63BE7B"/>
        <color rgb="FFFFEB84"/>
        <color rgb="FFF8696B"/>
      </colorScale>
    </cfRule>
  </conditionalFormatting>
  <conditionalFormatting sqref="A4682:A4705">
    <cfRule type="colorScale" priority="2108">
      <colorScale>
        <cfvo type="min"/>
        <cfvo type="percentile" val="50"/>
        <cfvo type="max"/>
        <color rgb="FF63BE7B"/>
        <color rgb="FFFFEB84"/>
        <color rgb="FFF8696B"/>
      </colorScale>
    </cfRule>
  </conditionalFormatting>
  <conditionalFormatting sqref="D4682:D4705">
    <cfRule type="colorScale" priority="2107">
      <colorScale>
        <cfvo type="min"/>
        <cfvo type="percentile" val="50"/>
        <cfvo type="max"/>
        <color rgb="FFF8696B"/>
        <color rgb="FFFCFCFF"/>
        <color rgb="FF63BE7B"/>
      </colorScale>
    </cfRule>
  </conditionalFormatting>
  <conditionalFormatting sqref="D4682:D4705">
    <cfRule type="colorScale" priority="2106">
      <colorScale>
        <cfvo type="min"/>
        <cfvo type="percentile" val="50"/>
        <cfvo type="max"/>
        <color rgb="FF63BE7B"/>
        <color rgb="FFFFEB84"/>
        <color rgb="FFF8696B"/>
      </colorScale>
    </cfRule>
  </conditionalFormatting>
  <conditionalFormatting sqref="D4682:D4705">
    <cfRule type="colorScale" priority="2105">
      <colorScale>
        <cfvo type="min"/>
        <cfvo type="percentile" val="50"/>
        <cfvo type="max"/>
        <color rgb="FF63BE7B"/>
        <color rgb="FFFFEB84"/>
        <color rgb="FFF8696B"/>
      </colorScale>
    </cfRule>
  </conditionalFormatting>
  <conditionalFormatting sqref="F4683:F4689 F4691:F4698 F4700 F4703:F4704">
    <cfRule type="colorScale" priority="2104">
      <colorScale>
        <cfvo type="min"/>
        <cfvo type="percentile" val="50"/>
        <cfvo type="max"/>
        <color rgb="FF63BE7B"/>
        <color rgb="FFFFEB84"/>
        <color rgb="FFF8696B"/>
      </colorScale>
    </cfRule>
  </conditionalFormatting>
  <conditionalFormatting sqref="F4682:F4705">
    <cfRule type="colorScale" priority="2103">
      <colorScale>
        <cfvo type="min"/>
        <cfvo type="percentile" val="50"/>
        <cfvo type="max"/>
        <color rgb="FF63BE7B"/>
        <color rgb="FFFFEB84"/>
        <color rgb="FFF8696B"/>
      </colorScale>
    </cfRule>
  </conditionalFormatting>
  <conditionalFormatting sqref="D4706:D4729">
    <cfRule type="colorScale" priority="2102">
      <colorScale>
        <cfvo type="min"/>
        <cfvo type="percentile" val="50"/>
        <cfvo type="max"/>
        <color rgb="FFF8696B"/>
        <color rgb="FFFCFCFF"/>
        <color rgb="FF63BE7B"/>
      </colorScale>
    </cfRule>
  </conditionalFormatting>
  <conditionalFormatting sqref="D4706:D4729">
    <cfRule type="colorScale" priority="2101">
      <colorScale>
        <cfvo type="min"/>
        <cfvo type="percentile" val="50"/>
        <cfvo type="max"/>
        <color rgb="FF63BE7B"/>
        <color rgb="FFFFEB84"/>
        <color rgb="FFF8696B"/>
      </colorScale>
    </cfRule>
  </conditionalFormatting>
  <conditionalFormatting sqref="D4706:D4729">
    <cfRule type="colorScale" priority="2100">
      <colorScale>
        <cfvo type="min"/>
        <cfvo type="percentile" val="50"/>
        <cfvo type="max"/>
        <color rgb="FF63BE7B"/>
        <color rgb="FFFFEB84"/>
        <color rgb="FFF8696B"/>
      </colorScale>
    </cfRule>
  </conditionalFormatting>
  <conditionalFormatting sqref="F4707:F4713 F4715:F4722 F4724 F4727:F4728">
    <cfRule type="colorScale" priority="2099">
      <colorScale>
        <cfvo type="min"/>
        <cfvo type="percentile" val="50"/>
        <cfvo type="max"/>
        <color rgb="FF63BE7B"/>
        <color rgb="FFFFEB84"/>
        <color rgb="FFF8696B"/>
      </colorScale>
    </cfRule>
  </conditionalFormatting>
  <conditionalFormatting sqref="F4706:F4729">
    <cfRule type="colorScale" priority="2098">
      <colorScale>
        <cfvo type="min"/>
        <cfvo type="percentile" val="50"/>
        <cfvo type="max"/>
        <color rgb="FF63BE7B"/>
        <color rgb="FFFFEB84"/>
        <color rgb="FFF8696B"/>
      </colorScale>
    </cfRule>
  </conditionalFormatting>
  <conditionalFormatting sqref="D4730:D4753">
    <cfRule type="colorScale" priority="2097">
      <colorScale>
        <cfvo type="min"/>
        <cfvo type="percentile" val="50"/>
        <cfvo type="max"/>
        <color rgb="FFF8696B"/>
        <color rgb="FFFCFCFF"/>
        <color rgb="FF63BE7B"/>
      </colorScale>
    </cfRule>
  </conditionalFormatting>
  <conditionalFormatting sqref="D4730:D4753">
    <cfRule type="colorScale" priority="2096">
      <colorScale>
        <cfvo type="min"/>
        <cfvo type="percentile" val="50"/>
        <cfvo type="max"/>
        <color rgb="FF63BE7B"/>
        <color rgb="FFFFEB84"/>
        <color rgb="FFF8696B"/>
      </colorScale>
    </cfRule>
  </conditionalFormatting>
  <conditionalFormatting sqref="D4730:D4753">
    <cfRule type="colorScale" priority="2095">
      <colorScale>
        <cfvo type="min"/>
        <cfvo type="percentile" val="50"/>
        <cfvo type="max"/>
        <color rgb="FF63BE7B"/>
        <color rgb="FFFFEB84"/>
        <color rgb="FFF8696B"/>
      </colorScale>
    </cfRule>
  </conditionalFormatting>
  <conditionalFormatting sqref="F4731:F4737 F4739:F4746 F4748 F4751:F4752">
    <cfRule type="colorScale" priority="2094">
      <colorScale>
        <cfvo type="min"/>
        <cfvo type="percentile" val="50"/>
        <cfvo type="max"/>
        <color rgb="FF63BE7B"/>
        <color rgb="FFFFEB84"/>
        <color rgb="FFF8696B"/>
      </colorScale>
    </cfRule>
  </conditionalFormatting>
  <conditionalFormatting sqref="F4730:F4753">
    <cfRule type="colorScale" priority="2093">
      <colorScale>
        <cfvo type="min"/>
        <cfvo type="percentile" val="50"/>
        <cfvo type="max"/>
        <color rgb="FF63BE7B"/>
        <color rgb="FFFFEB84"/>
        <color rgb="FFF8696B"/>
      </colorScale>
    </cfRule>
  </conditionalFormatting>
  <conditionalFormatting sqref="D4754:D4777">
    <cfRule type="colorScale" priority="2092">
      <colorScale>
        <cfvo type="min"/>
        <cfvo type="percentile" val="50"/>
        <cfvo type="max"/>
        <color rgb="FFF8696B"/>
        <color rgb="FFFCFCFF"/>
        <color rgb="FF63BE7B"/>
      </colorScale>
    </cfRule>
  </conditionalFormatting>
  <conditionalFormatting sqref="D4754:D4777">
    <cfRule type="colorScale" priority="2091">
      <colorScale>
        <cfvo type="min"/>
        <cfvo type="percentile" val="50"/>
        <cfvo type="max"/>
        <color rgb="FF63BE7B"/>
        <color rgb="FFFFEB84"/>
        <color rgb="FFF8696B"/>
      </colorScale>
    </cfRule>
  </conditionalFormatting>
  <conditionalFormatting sqref="D4754:D4777">
    <cfRule type="colorScale" priority="2090">
      <colorScale>
        <cfvo type="min"/>
        <cfvo type="percentile" val="50"/>
        <cfvo type="max"/>
        <color rgb="FF63BE7B"/>
        <color rgb="FFFFEB84"/>
        <color rgb="FFF8696B"/>
      </colorScale>
    </cfRule>
  </conditionalFormatting>
  <conditionalFormatting sqref="F4755:F4761 F4763:F4770 F4772 F4775:F4776">
    <cfRule type="colorScale" priority="2089">
      <colorScale>
        <cfvo type="min"/>
        <cfvo type="percentile" val="50"/>
        <cfvo type="max"/>
        <color rgb="FF63BE7B"/>
        <color rgb="FFFFEB84"/>
        <color rgb="FFF8696B"/>
      </colorScale>
    </cfRule>
  </conditionalFormatting>
  <conditionalFormatting sqref="F4754:F4777">
    <cfRule type="colorScale" priority="2088">
      <colorScale>
        <cfvo type="min"/>
        <cfvo type="percentile" val="50"/>
        <cfvo type="max"/>
        <color rgb="FF63BE7B"/>
        <color rgb="FFFFEB84"/>
        <color rgb="FFF8696B"/>
      </colorScale>
    </cfRule>
  </conditionalFormatting>
  <conditionalFormatting sqref="F4779:F4785 F4787:F4794 F4796 F4799:F4800">
    <cfRule type="colorScale" priority="2087">
      <colorScale>
        <cfvo type="min"/>
        <cfvo type="percentile" val="50"/>
        <cfvo type="max"/>
        <color rgb="FF63BE7B"/>
        <color rgb="FFFFEB84"/>
        <color rgb="FFF8696B"/>
      </colorScale>
    </cfRule>
  </conditionalFormatting>
  <conditionalFormatting sqref="F4778:F4801">
    <cfRule type="colorScale" priority="2086">
      <colorScale>
        <cfvo type="min"/>
        <cfvo type="percentile" val="50"/>
        <cfvo type="max"/>
        <color rgb="FF63BE7B"/>
        <color rgb="FFFFEB84"/>
        <color rgb="FFF8696B"/>
      </colorScale>
    </cfRule>
  </conditionalFormatting>
  <conditionalFormatting sqref="D4778:D4801">
    <cfRule type="colorScale" priority="2085">
      <colorScale>
        <cfvo type="min"/>
        <cfvo type="percentile" val="50"/>
        <cfvo type="max"/>
        <color rgb="FFF8696B"/>
        <color rgb="FFFCFCFF"/>
        <color rgb="FF63BE7B"/>
      </colorScale>
    </cfRule>
  </conditionalFormatting>
  <conditionalFormatting sqref="D4778:D4801">
    <cfRule type="colorScale" priority="2084">
      <colorScale>
        <cfvo type="min"/>
        <cfvo type="percentile" val="50"/>
        <cfvo type="max"/>
        <color rgb="FF63BE7B"/>
        <color rgb="FFFFEB84"/>
        <color rgb="FFF8696B"/>
      </colorScale>
    </cfRule>
  </conditionalFormatting>
  <conditionalFormatting sqref="D4778:D4801">
    <cfRule type="colorScale" priority="2083">
      <colorScale>
        <cfvo type="min"/>
        <cfvo type="percentile" val="50"/>
        <cfvo type="max"/>
        <color rgb="FF63BE7B"/>
        <color rgb="FFFFEB84"/>
        <color rgb="FFF8696B"/>
      </colorScale>
    </cfRule>
  </conditionalFormatting>
  <conditionalFormatting sqref="D4802:D4825">
    <cfRule type="colorScale" priority="2082">
      <colorScale>
        <cfvo type="min"/>
        <cfvo type="percentile" val="50"/>
        <cfvo type="max"/>
        <color rgb="FFF8696B"/>
        <color rgb="FFFCFCFF"/>
        <color rgb="FF63BE7B"/>
      </colorScale>
    </cfRule>
  </conditionalFormatting>
  <conditionalFormatting sqref="D4802:D4825">
    <cfRule type="colorScale" priority="2081">
      <colorScale>
        <cfvo type="min"/>
        <cfvo type="percentile" val="50"/>
        <cfvo type="max"/>
        <color rgb="FF63BE7B"/>
        <color rgb="FFFFEB84"/>
        <color rgb="FFF8696B"/>
      </colorScale>
    </cfRule>
  </conditionalFormatting>
  <conditionalFormatting sqref="D4802:D4825">
    <cfRule type="colorScale" priority="2080">
      <colorScale>
        <cfvo type="min"/>
        <cfvo type="percentile" val="50"/>
        <cfvo type="max"/>
        <color rgb="FF63BE7B"/>
        <color rgb="FFFFEB84"/>
        <color rgb="FFF8696B"/>
      </colorScale>
    </cfRule>
  </conditionalFormatting>
  <conditionalFormatting sqref="F4803:F4809 F4811:F4818 F4820 F4823:F4824">
    <cfRule type="colorScale" priority="2079">
      <colorScale>
        <cfvo type="min"/>
        <cfvo type="percentile" val="50"/>
        <cfvo type="max"/>
        <color rgb="FF63BE7B"/>
        <color rgb="FFFFEB84"/>
        <color rgb="FFF8696B"/>
      </colorScale>
    </cfRule>
  </conditionalFormatting>
  <conditionalFormatting sqref="F4802:F4825">
    <cfRule type="colorScale" priority="2078">
      <colorScale>
        <cfvo type="min"/>
        <cfvo type="percentile" val="50"/>
        <cfvo type="max"/>
        <color rgb="FF63BE7B"/>
        <color rgb="FFFFEB84"/>
        <color rgb="FFF8696B"/>
      </colorScale>
    </cfRule>
  </conditionalFormatting>
  <conditionalFormatting sqref="D4826:D4849">
    <cfRule type="colorScale" priority="2077">
      <colorScale>
        <cfvo type="min"/>
        <cfvo type="percentile" val="50"/>
        <cfvo type="max"/>
        <color rgb="FFF8696B"/>
        <color rgb="FFFCFCFF"/>
        <color rgb="FF63BE7B"/>
      </colorScale>
    </cfRule>
  </conditionalFormatting>
  <conditionalFormatting sqref="D4826:D4849">
    <cfRule type="colorScale" priority="2076">
      <colorScale>
        <cfvo type="min"/>
        <cfvo type="percentile" val="50"/>
        <cfvo type="max"/>
        <color rgb="FF63BE7B"/>
        <color rgb="FFFFEB84"/>
        <color rgb="FFF8696B"/>
      </colorScale>
    </cfRule>
  </conditionalFormatting>
  <conditionalFormatting sqref="D4826:D4849">
    <cfRule type="colorScale" priority="2075">
      <colorScale>
        <cfvo type="min"/>
        <cfvo type="percentile" val="50"/>
        <cfvo type="max"/>
        <color rgb="FF63BE7B"/>
        <color rgb="FFFFEB84"/>
        <color rgb="FFF8696B"/>
      </colorScale>
    </cfRule>
  </conditionalFormatting>
  <conditionalFormatting sqref="F4827:F4833 F4835:F4842 F4844 F4847:F4848">
    <cfRule type="colorScale" priority="2074">
      <colorScale>
        <cfvo type="min"/>
        <cfvo type="percentile" val="50"/>
        <cfvo type="max"/>
        <color rgb="FF63BE7B"/>
        <color rgb="FFFFEB84"/>
        <color rgb="FFF8696B"/>
      </colorScale>
    </cfRule>
  </conditionalFormatting>
  <conditionalFormatting sqref="F4826:F4849">
    <cfRule type="colorScale" priority="2073">
      <colorScale>
        <cfvo type="min"/>
        <cfvo type="percentile" val="50"/>
        <cfvo type="max"/>
        <color rgb="FF63BE7B"/>
        <color rgb="FFFFEB84"/>
        <color rgb="FFF8696B"/>
      </colorScale>
    </cfRule>
  </conditionalFormatting>
  <conditionalFormatting sqref="D4850:D4873">
    <cfRule type="colorScale" priority="2072">
      <colorScale>
        <cfvo type="min"/>
        <cfvo type="percentile" val="50"/>
        <cfvo type="max"/>
        <color rgb="FFF8696B"/>
        <color rgb="FFFCFCFF"/>
        <color rgb="FF63BE7B"/>
      </colorScale>
    </cfRule>
  </conditionalFormatting>
  <conditionalFormatting sqref="D4850:D4873">
    <cfRule type="colorScale" priority="2071">
      <colorScale>
        <cfvo type="min"/>
        <cfvo type="percentile" val="50"/>
        <cfvo type="max"/>
        <color rgb="FF63BE7B"/>
        <color rgb="FFFFEB84"/>
        <color rgb="FFF8696B"/>
      </colorScale>
    </cfRule>
  </conditionalFormatting>
  <conditionalFormatting sqref="D4850:D4873">
    <cfRule type="colorScale" priority="2070">
      <colorScale>
        <cfvo type="min"/>
        <cfvo type="percentile" val="50"/>
        <cfvo type="max"/>
        <color rgb="FF63BE7B"/>
        <color rgb="FFFFEB84"/>
        <color rgb="FFF8696B"/>
      </colorScale>
    </cfRule>
  </conditionalFormatting>
  <conditionalFormatting sqref="F4851:F4857 F4859:F4866 F4868 F4871:F4872">
    <cfRule type="colorScale" priority="2069">
      <colorScale>
        <cfvo type="min"/>
        <cfvo type="percentile" val="50"/>
        <cfvo type="max"/>
        <color rgb="FF63BE7B"/>
        <color rgb="FFFFEB84"/>
        <color rgb="FFF8696B"/>
      </colorScale>
    </cfRule>
  </conditionalFormatting>
  <conditionalFormatting sqref="F4850:F4873">
    <cfRule type="colorScale" priority="2068">
      <colorScale>
        <cfvo type="min"/>
        <cfvo type="percentile" val="50"/>
        <cfvo type="max"/>
        <color rgb="FF63BE7B"/>
        <color rgb="FFFFEB84"/>
        <color rgb="FFF8696B"/>
      </colorScale>
    </cfRule>
  </conditionalFormatting>
  <conditionalFormatting sqref="D4874:D4897">
    <cfRule type="colorScale" priority="2067">
      <colorScale>
        <cfvo type="min"/>
        <cfvo type="percentile" val="50"/>
        <cfvo type="max"/>
        <color rgb="FFF8696B"/>
        <color rgb="FFFCFCFF"/>
        <color rgb="FF63BE7B"/>
      </colorScale>
    </cfRule>
  </conditionalFormatting>
  <conditionalFormatting sqref="D4874:D4897">
    <cfRule type="colorScale" priority="2066">
      <colorScale>
        <cfvo type="min"/>
        <cfvo type="percentile" val="50"/>
        <cfvo type="max"/>
        <color rgb="FF63BE7B"/>
        <color rgb="FFFFEB84"/>
        <color rgb="FFF8696B"/>
      </colorScale>
    </cfRule>
  </conditionalFormatting>
  <conditionalFormatting sqref="D4874:D4897">
    <cfRule type="colorScale" priority="2065">
      <colorScale>
        <cfvo type="min"/>
        <cfvo type="percentile" val="50"/>
        <cfvo type="max"/>
        <color rgb="FF63BE7B"/>
        <color rgb="FFFFEB84"/>
        <color rgb="FFF8696B"/>
      </colorScale>
    </cfRule>
  </conditionalFormatting>
  <conditionalFormatting sqref="F4875:F4881 F4883:F4890 F4892 F4895:F4896">
    <cfRule type="colorScale" priority="2064">
      <colorScale>
        <cfvo type="min"/>
        <cfvo type="percentile" val="50"/>
        <cfvo type="max"/>
        <color rgb="FF63BE7B"/>
        <color rgb="FFFFEB84"/>
        <color rgb="FFF8696B"/>
      </colorScale>
    </cfRule>
  </conditionalFormatting>
  <conditionalFormatting sqref="F4874:F4897">
    <cfRule type="colorScale" priority="2063">
      <colorScale>
        <cfvo type="min"/>
        <cfvo type="percentile" val="50"/>
        <cfvo type="max"/>
        <color rgb="FF63BE7B"/>
        <color rgb="FFFFEB84"/>
        <color rgb="FFF8696B"/>
      </colorScale>
    </cfRule>
  </conditionalFormatting>
  <conditionalFormatting sqref="D4898:D4921">
    <cfRule type="colorScale" priority="2062">
      <colorScale>
        <cfvo type="min"/>
        <cfvo type="percentile" val="50"/>
        <cfvo type="max"/>
        <color rgb="FFF8696B"/>
        <color rgb="FFFCFCFF"/>
        <color rgb="FF63BE7B"/>
      </colorScale>
    </cfRule>
  </conditionalFormatting>
  <conditionalFormatting sqref="D4898:D4921">
    <cfRule type="colorScale" priority="2061">
      <colorScale>
        <cfvo type="min"/>
        <cfvo type="percentile" val="50"/>
        <cfvo type="max"/>
        <color rgb="FF63BE7B"/>
        <color rgb="FFFFEB84"/>
        <color rgb="FFF8696B"/>
      </colorScale>
    </cfRule>
  </conditionalFormatting>
  <conditionalFormatting sqref="D4898:D4921">
    <cfRule type="colorScale" priority="2060">
      <colorScale>
        <cfvo type="min"/>
        <cfvo type="percentile" val="50"/>
        <cfvo type="max"/>
        <color rgb="FF63BE7B"/>
        <color rgb="FFFFEB84"/>
        <color rgb="FFF8696B"/>
      </colorScale>
    </cfRule>
  </conditionalFormatting>
  <conditionalFormatting sqref="F4899:F4905 F4907:F4914 F4916 F4919:F4920">
    <cfRule type="colorScale" priority="2059">
      <colorScale>
        <cfvo type="min"/>
        <cfvo type="percentile" val="50"/>
        <cfvo type="max"/>
        <color rgb="FF63BE7B"/>
        <color rgb="FFFFEB84"/>
        <color rgb="FFF8696B"/>
      </colorScale>
    </cfRule>
  </conditionalFormatting>
  <conditionalFormatting sqref="F4898:F4921">
    <cfRule type="colorScale" priority="2058">
      <colorScale>
        <cfvo type="min"/>
        <cfvo type="percentile" val="50"/>
        <cfvo type="max"/>
        <color rgb="FF63BE7B"/>
        <color rgb="FFFFEB84"/>
        <color rgb="FFF8696B"/>
      </colorScale>
    </cfRule>
  </conditionalFormatting>
  <conditionalFormatting sqref="D4922:D4945">
    <cfRule type="colorScale" priority="2057">
      <colorScale>
        <cfvo type="min"/>
        <cfvo type="percentile" val="50"/>
        <cfvo type="max"/>
        <color rgb="FFF8696B"/>
        <color rgb="FFFCFCFF"/>
        <color rgb="FF63BE7B"/>
      </colorScale>
    </cfRule>
  </conditionalFormatting>
  <conditionalFormatting sqref="D4922:D4945">
    <cfRule type="colorScale" priority="2056">
      <colorScale>
        <cfvo type="min"/>
        <cfvo type="percentile" val="50"/>
        <cfvo type="max"/>
        <color rgb="FF63BE7B"/>
        <color rgb="FFFFEB84"/>
        <color rgb="FFF8696B"/>
      </colorScale>
    </cfRule>
  </conditionalFormatting>
  <conditionalFormatting sqref="D4922:D4945">
    <cfRule type="colorScale" priority="2055">
      <colorScale>
        <cfvo type="min"/>
        <cfvo type="percentile" val="50"/>
        <cfvo type="max"/>
        <color rgb="FF63BE7B"/>
        <color rgb="FFFFEB84"/>
        <color rgb="FFF8696B"/>
      </colorScale>
    </cfRule>
  </conditionalFormatting>
  <conditionalFormatting sqref="F4923:F4929 F4931:F4938 F4940 F4943:F4944">
    <cfRule type="colorScale" priority="2054">
      <colorScale>
        <cfvo type="min"/>
        <cfvo type="percentile" val="50"/>
        <cfvo type="max"/>
        <color rgb="FF63BE7B"/>
        <color rgb="FFFFEB84"/>
        <color rgb="FFF8696B"/>
      </colorScale>
    </cfRule>
  </conditionalFormatting>
  <conditionalFormatting sqref="F4922:F4945">
    <cfRule type="colorScale" priority="2053">
      <colorScale>
        <cfvo type="min"/>
        <cfvo type="percentile" val="50"/>
        <cfvo type="max"/>
        <color rgb="FF63BE7B"/>
        <color rgb="FFFFEB84"/>
        <color rgb="FFF8696B"/>
      </colorScale>
    </cfRule>
  </conditionalFormatting>
  <conditionalFormatting sqref="D4946:D4969">
    <cfRule type="colorScale" priority="2052">
      <colorScale>
        <cfvo type="min"/>
        <cfvo type="percentile" val="50"/>
        <cfvo type="max"/>
        <color rgb="FFF8696B"/>
        <color rgb="FFFCFCFF"/>
        <color rgb="FF63BE7B"/>
      </colorScale>
    </cfRule>
  </conditionalFormatting>
  <conditionalFormatting sqref="D4946:D4969">
    <cfRule type="colorScale" priority="2051">
      <colorScale>
        <cfvo type="min"/>
        <cfvo type="percentile" val="50"/>
        <cfvo type="max"/>
        <color rgb="FF63BE7B"/>
        <color rgb="FFFFEB84"/>
        <color rgb="FFF8696B"/>
      </colorScale>
    </cfRule>
  </conditionalFormatting>
  <conditionalFormatting sqref="D4946:D4969">
    <cfRule type="colorScale" priority="2050">
      <colorScale>
        <cfvo type="min"/>
        <cfvo type="percentile" val="50"/>
        <cfvo type="max"/>
        <color rgb="FF63BE7B"/>
        <color rgb="FFFFEB84"/>
        <color rgb="FFF8696B"/>
      </colorScale>
    </cfRule>
  </conditionalFormatting>
  <conditionalFormatting sqref="F4947:F4953 F4955:F4962 F4964 F4967:F4968">
    <cfRule type="colorScale" priority="2049">
      <colorScale>
        <cfvo type="min"/>
        <cfvo type="percentile" val="50"/>
        <cfvo type="max"/>
        <color rgb="FF63BE7B"/>
        <color rgb="FFFFEB84"/>
        <color rgb="FFF8696B"/>
      </colorScale>
    </cfRule>
  </conditionalFormatting>
  <conditionalFormatting sqref="F4946:F4969">
    <cfRule type="colorScale" priority="2048">
      <colorScale>
        <cfvo type="min"/>
        <cfvo type="percentile" val="50"/>
        <cfvo type="max"/>
        <color rgb="FF63BE7B"/>
        <color rgb="FFFFEB84"/>
        <color rgb="FFF8696B"/>
      </colorScale>
    </cfRule>
  </conditionalFormatting>
  <conditionalFormatting sqref="D4970:D4993">
    <cfRule type="colorScale" priority="2047">
      <colorScale>
        <cfvo type="min"/>
        <cfvo type="percentile" val="50"/>
        <cfvo type="max"/>
        <color rgb="FFF8696B"/>
        <color rgb="FFFCFCFF"/>
        <color rgb="FF63BE7B"/>
      </colorScale>
    </cfRule>
  </conditionalFormatting>
  <conditionalFormatting sqref="D4970:D4993">
    <cfRule type="colorScale" priority="2046">
      <colorScale>
        <cfvo type="min"/>
        <cfvo type="percentile" val="50"/>
        <cfvo type="max"/>
        <color rgb="FF63BE7B"/>
        <color rgb="FFFFEB84"/>
        <color rgb="FFF8696B"/>
      </colorScale>
    </cfRule>
  </conditionalFormatting>
  <conditionalFormatting sqref="D4970:D4993">
    <cfRule type="colorScale" priority="2045">
      <colorScale>
        <cfvo type="min"/>
        <cfvo type="percentile" val="50"/>
        <cfvo type="max"/>
        <color rgb="FF63BE7B"/>
        <color rgb="FFFFEB84"/>
        <color rgb="FFF8696B"/>
      </colorScale>
    </cfRule>
  </conditionalFormatting>
  <conditionalFormatting sqref="F4971:F4977 F4979:F4986 F4988 F4991:F4992">
    <cfRule type="colorScale" priority="2044">
      <colorScale>
        <cfvo type="min"/>
        <cfvo type="percentile" val="50"/>
        <cfvo type="max"/>
        <color rgb="FF63BE7B"/>
        <color rgb="FFFFEB84"/>
        <color rgb="FFF8696B"/>
      </colorScale>
    </cfRule>
  </conditionalFormatting>
  <conditionalFormatting sqref="F4970:F4993">
    <cfRule type="colorScale" priority="2043">
      <colorScale>
        <cfvo type="min"/>
        <cfvo type="percentile" val="50"/>
        <cfvo type="max"/>
        <color rgb="FF63BE7B"/>
        <color rgb="FFFFEB84"/>
        <color rgb="FFF8696B"/>
      </colorScale>
    </cfRule>
  </conditionalFormatting>
  <conditionalFormatting sqref="D4994:D5017">
    <cfRule type="colorScale" priority="2042">
      <colorScale>
        <cfvo type="min"/>
        <cfvo type="percentile" val="50"/>
        <cfvo type="max"/>
        <color rgb="FFF8696B"/>
        <color rgb="FFFCFCFF"/>
        <color rgb="FF63BE7B"/>
      </colorScale>
    </cfRule>
  </conditionalFormatting>
  <conditionalFormatting sqref="D4994:D5017">
    <cfRule type="colorScale" priority="2041">
      <colorScale>
        <cfvo type="min"/>
        <cfvo type="percentile" val="50"/>
        <cfvo type="max"/>
        <color rgb="FF63BE7B"/>
        <color rgb="FFFFEB84"/>
        <color rgb="FFF8696B"/>
      </colorScale>
    </cfRule>
  </conditionalFormatting>
  <conditionalFormatting sqref="D4994:D5017">
    <cfRule type="colorScale" priority="2040">
      <colorScale>
        <cfvo type="min"/>
        <cfvo type="percentile" val="50"/>
        <cfvo type="max"/>
        <color rgb="FF63BE7B"/>
        <color rgb="FFFFEB84"/>
        <color rgb="FFF8696B"/>
      </colorScale>
    </cfRule>
  </conditionalFormatting>
  <conditionalFormatting sqref="F4995:F5001 F5003:F5010 F5012 F5015:F5016">
    <cfRule type="colorScale" priority="2039">
      <colorScale>
        <cfvo type="min"/>
        <cfvo type="percentile" val="50"/>
        <cfvo type="max"/>
        <color rgb="FF63BE7B"/>
        <color rgb="FFFFEB84"/>
        <color rgb="FFF8696B"/>
      </colorScale>
    </cfRule>
  </conditionalFormatting>
  <conditionalFormatting sqref="F4994:F5017">
    <cfRule type="colorScale" priority="2038">
      <colorScale>
        <cfvo type="min"/>
        <cfvo type="percentile" val="50"/>
        <cfvo type="max"/>
        <color rgb="FF63BE7B"/>
        <color rgb="FFFFEB84"/>
        <color rgb="FFF8696B"/>
      </colorScale>
    </cfRule>
  </conditionalFormatting>
  <conditionalFormatting sqref="D5018:D5041">
    <cfRule type="colorScale" priority="2037">
      <colorScale>
        <cfvo type="min"/>
        <cfvo type="percentile" val="50"/>
        <cfvo type="max"/>
        <color rgb="FFF8696B"/>
        <color rgb="FFFCFCFF"/>
        <color rgb="FF63BE7B"/>
      </colorScale>
    </cfRule>
  </conditionalFormatting>
  <conditionalFormatting sqref="D5018:D5041">
    <cfRule type="colorScale" priority="2036">
      <colorScale>
        <cfvo type="min"/>
        <cfvo type="percentile" val="50"/>
        <cfvo type="max"/>
        <color rgb="FF63BE7B"/>
        <color rgb="FFFFEB84"/>
        <color rgb="FFF8696B"/>
      </colorScale>
    </cfRule>
  </conditionalFormatting>
  <conditionalFormatting sqref="D5018:D5041">
    <cfRule type="colorScale" priority="2035">
      <colorScale>
        <cfvo type="min"/>
        <cfvo type="percentile" val="50"/>
        <cfvo type="max"/>
        <color rgb="FF63BE7B"/>
        <color rgb="FFFFEB84"/>
        <color rgb="FFF8696B"/>
      </colorScale>
    </cfRule>
  </conditionalFormatting>
  <conditionalFormatting sqref="F5019:F5025 F5027:F5034 F5036 F5039:F5040">
    <cfRule type="colorScale" priority="2034">
      <colorScale>
        <cfvo type="min"/>
        <cfvo type="percentile" val="50"/>
        <cfvo type="max"/>
        <color rgb="FF63BE7B"/>
        <color rgb="FFFFEB84"/>
        <color rgb="FFF8696B"/>
      </colorScale>
    </cfRule>
  </conditionalFormatting>
  <conditionalFormatting sqref="F5018:F5041">
    <cfRule type="colorScale" priority="2033">
      <colorScale>
        <cfvo type="min"/>
        <cfvo type="percentile" val="50"/>
        <cfvo type="max"/>
        <color rgb="FF63BE7B"/>
        <color rgb="FFFFEB84"/>
        <color rgb="FFF8696B"/>
      </colorScale>
    </cfRule>
  </conditionalFormatting>
  <conditionalFormatting sqref="D5042:D5065">
    <cfRule type="colorScale" priority="2032">
      <colorScale>
        <cfvo type="min"/>
        <cfvo type="percentile" val="50"/>
        <cfvo type="max"/>
        <color rgb="FFF8696B"/>
        <color rgb="FFFCFCFF"/>
        <color rgb="FF63BE7B"/>
      </colorScale>
    </cfRule>
  </conditionalFormatting>
  <conditionalFormatting sqref="D5042:D5065">
    <cfRule type="colorScale" priority="2031">
      <colorScale>
        <cfvo type="min"/>
        <cfvo type="percentile" val="50"/>
        <cfvo type="max"/>
        <color rgb="FF63BE7B"/>
        <color rgb="FFFFEB84"/>
        <color rgb="FFF8696B"/>
      </colorScale>
    </cfRule>
  </conditionalFormatting>
  <conditionalFormatting sqref="D5042:D5065">
    <cfRule type="colorScale" priority="2030">
      <colorScale>
        <cfvo type="min"/>
        <cfvo type="percentile" val="50"/>
        <cfvo type="max"/>
        <color rgb="FF63BE7B"/>
        <color rgb="FFFFEB84"/>
        <color rgb="FFF8696B"/>
      </colorScale>
    </cfRule>
  </conditionalFormatting>
  <conditionalFormatting sqref="F5043:F5049 F5051:F5058 F5060 F5063:F5064">
    <cfRule type="colorScale" priority="2029">
      <colorScale>
        <cfvo type="min"/>
        <cfvo type="percentile" val="50"/>
        <cfvo type="max"/>
        <color rgb="FF63BE7B"/>
        <color rgb="FFFFEB84"/>
        <color rgb="FFF8696B"/>
      </colorScale>
    </cfRule>
  </conditionalFormatting>
  <conditionalFormatting sqref="F5042:F5065">
    <cfRule type="colorScale" priority="2028">
      <colorScale>
        <cfvo type="min"/>
        <cfvo type="percentile" val="50"/>
        <cfvo type="max"/>
        <color rgb="FF63BE7B"/>
        <color rgb="FFFFEB84"/>
        <color rgb="FFF8696B"/>
      </colorScale>
    </cfRule>
  </conditionalFormatting>
  <conditionalFormatting sqref="D5066:D5089">
    <cfRule type="colorScale" priority="2027">
      <colorScale>
        <cfvo type="min"/>
        <cfvo type="percentile" val="50"/>
        <cfvo type="max"/>
        <color rgb="FFF8696B"/>
        <color rgb="FFFCFCFF"/>
        <color rgb="FF63BE7B"/>
      </colorScale>
    </cfRule>
  </conditionalFormatting>
  <conditionalFormatting sqref="D5066:D5089">
    <cfRule type="colorScale" priority="2026">
      <colorScale>
        <cfvo type="min"/>
        <cfvo type="percentile" val="50"/>
        <cfvo type="max"/>
        <color rgb="FF63BE7B"/>
        <color rgb="FFFFEB84"/>
        <color rgb="FFF8696B"/>
      </colorScale>
    </cfRule>
  </conditionalFormatting>
  <conditionalFormatting sqref="D5066:D5089">
    <cfRule type="colorScale" priority="2025">
      <colorScale>
        <cfvo type="min"/>
        <cfvo type="percentile" val="50"/>
        <cfvo type="max"/>
        <color rgb="FF63BE7B"/>
        <color rgb="FFFFEB84"/>
        <color rgb="FFF8696B"/>
      </colorScale>
    </cfRule>
  </conditionalFormatting>
  <conditionalFormatting sqref="F5067:F5073 F5075:F5082 F5084 F5087:F5088">
    <cfRule type="colorScale" priority="2024">
      <colorScale>
        <cfvo type="min"/>
        <cfvo type="percentile" val="50"/>
        <cfvo type="max"/>
        <color rgb="FF63BE7B"/>
        <color rgb="FFFFEB84"/>
        <color rgb="FFF8696B"/>
      </colorScale>
    </cfRule>
  </conditionalFormatting>
  <conditionalFormatting sqref="F5066:F5089">
    <cfRule type="colorScale" priority="2023">
      <colorScale>
        <cfvo type="min"/>
        <cfvo type="percentile" val="50"/>
        <cfvo type="max"/>
        <color rgb="FF63BE7B"/>
        <color rgb="FFFFEB84"/>
        <color rgb="FFF8696B"/>
      </colorScale>
    </cfRule>
  </conditionalFormatting>
  <conditionalFormatting sqref="D5090:D5113">
    <cfRule type="colorScale" priority="2022">
      <colorScale>
        <cfvo type="min"/>
        <cfvo type="percentile" val="50"/>
        <cfvo type="max"/>
        <color rgb="FFF8696B"/>
        <color rgb="FFFCFCFF"/>
        <color rgb="FF63BE7B"/>
      </colorScale>
    </cfRule>
  </conditionalFormatting>
  <conditionalFormatting sqref="D5090:D5113">
    <cfRule type="colorScale" priority="2021">
      <colorScale>
        <cfvo type="min"/>
        <cfvo type="percentile" val="50"/>
        <cfvo type="max"/>
        <color rgb="FF63BE7B"/>
        <color rgb="FFFFEB84"/>
        <color rgb="FFF8696B"/>
      </colorScale>
    </cfRule>
  </conditionalFormatting>
  <conditionalFormatting sqref="D5090:D5113">
    <cfRule type="colorScale" priority="2020">
      <colorScale>
        <cfvo type="min"/>
        <cfvo type="percentile" val="50"/>
        <cfvo type="max"/>
        <color rgb="FF63BE7B"/>
        <color rgb="FFFFEB84"/>
        <color rgb="FFF8696B"/>
      </colorScale>
    </cfRule>
  </conditionalFormatting>
  <conditionalFormatting sqref="F5091:F5097 F5099:F5106 F5108 F5111:F5112">
    <cfRule type="colorScale" priority="2019">
      <colorScale>
        <cfvo type="min"/>
        <cfvo type="percentile" val="50"/>
        <cfvo type="max"/>
        <color rgb="FF63BE7B"/>
        <color rgb="FFFFEB84"/>
        <color rgb="FFF8696B"/>
      </colorScale>
    </cfRule>
  </conditionalFormatting>
  <conditionalFormatting sqref="F5090:F5113">
    <cfRule type="colorScale" priority="2018">
      <colorScale>
        <cfvo type="min"/>
        <cfvo type="percentile" val="50"/>
        <cfvo type="max"/>
        <color rgb="FF63BE7B"/>
        <color rgb="FFFFEB84"/>
        <color rgb="FFF8696B"/>
      </colorScale>
    </cfRule>
  </conditionalFormatting>
  <conditionalFormatting sqref="D5114:D5137">
    <cfRule type="colorScale" priority="2017">
      <colorScale>
        <cfvo type="min"/>
        <cfvo type="percentile" val="50"/>
        <cfvo type="max"/>
        <color rgb="FFF8696B"/>
        <color rgb="FFFCFCFF"/>
        <color rgb="FF63BE7B"/>
      </colorScale>
    </cfRule>
  </conditionalFormatting>
  <conditionalFormatting sqref="D5114:D5137">
    <cfRule type="colorScale" priority="2016">
      <colorScale>
        <cfvo type="min"/>
        <cfvo type="percentile" val="50"/>
        <cfvo type="max"/>
        <color rgb="FF63BE7B"/>
        <color rgb="FFFFEB84"/>
        <color rgb="FFF8696B"/>
      </colorScale>
    </cfRule>
  </conditionalFormatting>
  <conditionalFormatting sqref="D5114:D5137">
    <cfRule type="colorScale" priority="2015">
      <colorScale>
        <cfvo type="min"/>
        <cfvo type="percentile" val="50"/>
        <cfvo type="max"/>
        <color rgb="FF63BE7B"/>
        <color rgb="FFFFEB84"/>
        <color rgb="FFF8696B"/>
      </colorScale>
    </cfRule>
  </conditionalFormatting>
  <conditionalFormatting sqref="F5115:F5121 F5123:F5130 F5132 F5135:F5136">
    <cfRule type="colorScale" priority="2014">
      <colorScale>
        <cfvo type="min"/>
        <cfvo type="percentile" val="50"/>
        <cfvo type="max"/>
        <color rgb="FF63BE7B"/>
        <color rgb="FFFFEB84"/>
        <color rgb="FFF8696B"/>
      </colorScale>
    </cfRule>
  </conditionalFormatting>
  <conditionalFormatting sqref="F5114:F5137">
    <cfRule type="colorScale" priority="2013">
      <colorScale>
        <cfvo type="min"/>
        <cfvo type="percentile" val="50"/>
        <cfvo type="max"/>
        <color rgb="FF63BE7B"/>
        <color rgb="FFFFEB84"/>
        <color rgb="FFF8696B"/>
      </colorScale>
    </cfRule>
  </conditionalFormatting>
  <conditionalFormatting sqref="D5138:D5161">
    <cfRule type="colorScale" priority="2012">
      <colorScale>
        <cfvo type="min"/>
        <cfvo type="percentile" val="50"/>
        <cfvo type="max"/>
        <color rgb="FFF8696B"/>
        <color rgb="FFFCFCFF"/>
        <color rgb="FF63BE7B"/>
      </colorScale>
    </cfRule>
  </conditionalFormatting>
  <conditionalFormatting sqref="D5138:D5161">
    <cfRule type="colorScale" priority="2011">
      <colorScale>
        <cfvo type="min"/>
        <cfvo type="percentile" val="50"/>
        <cfvo type="max"/>
        <color rgb="FF63BE7B"/>
        <color rgb="FFFFEB84"/>
        <color rgb="FFF8696B"/>
      </colorScale>
    </cfRule>
  </conditionalFormatting>
  <conditionalFormatting sqref="D5138:D5161">
    <cfRule type="colorScale" priority="2010">
      <colorScale>
        <cfvo type="min"/>
        <cfvo type="percentile" val="50"/>
        <cfvo type="max"/>
        <color rgb="FF63BE7B"/>
        <color rgb="FFFFEB84"/>
        <color rgb="FFF8696B"/>
      </colorScale>
    </cfRule>
  </conditionalFormatting>
  <conditionalFormatting sqref="F5139:F5145 F5147:F5154 F5156 F5159:F5160">
    <cfRule type="colorScale" priority="2009">
      <colorScale>
        <cfvo type="min"/>
        <cfvo type="percentile" val="50"/>
        <cfvo type="max"/>
        <color rgb="FF63BE7B"/>
        <color rgb="FFFFEB84"/>
        <color rgb="FFF8696B"/>
      </colorScale>
    </cfRule>
  </conditionalFormatting>
  <conditionalFormatting sqref="F5138:F5161">
    <cfRule type="colorScale" priority="2008">
      <colorScale>
        <cfvo type="min"/>
        <cfvo type="percentile" val="50"/>
        <cfvo type="max"/>
        <color rgb="FF63BE7B"/>
        <color rgb="FFFFEB84"/>
        <color rgb="FFF8696B"/>
      </colorScale>
    </cfRule>
  </conditionalFormatting>
  <conditionalFormatting sqref="D5162:D5185">
    <cfRule type="colorScale" priority="2007">
      <colorScale>
        <cfvo type="min"/>
        <cfvo type="percentile" val="50"/>
        <cfvo type="max"/>
        <color rgb="FFF8696B"/>
        <color rgb="FFFCFCFF"/>
        <color rgb="FF63BE7B"/>
      </colorScale>
    </cfRule>
  </conditionalFormatting>
  <conditionalFormatting sqref="D5162:D5185">
    <cfRule type="colorScale" priority="2006">
      <colorScale>
        <cfvo type="min"/>
        <cfvo type="percentile" val="50"/>
        <cfvo type="max"/>
        <color rgb="FF63BE7B"/>
        <color rgb="FFFFEB84"/>
        <color rgb="FFF8696B"/>
      </colorScale>
    </cfRule>
  </conditionalFormatting>
  <conditionalFormatting sqref="D5162:D5185">
    <cfRule type="colorScale" priority="2005">
      <colorScale>
        <cfvo type="min"/>
        <cfvo type="percentile" val="50"/>
        <cfvo type="max"/>
        <color rgb="FF63BE7B"/>
        <color rgb="FFFFEB84"/>
        <color rgb="FFF8696B"/>
      </colorScale>
    </cfRule>
  </conditionalFormatting>
  <conditionalFormatting sqref="F5163:F5169 F5171:F5178 F5180 F5183:F5184">
    <cfRule type="colorScale" priority="2004">
      <colorScale>
        <cfvo type="min"/>
        <cfvo type="percentile" val="50"/>
        <cfvo type="max"/>
        <color rgb="FF63BE7B"/>
        <color rgb="FFFFEB84"/>
        <color rgb="FFF8696B"/>
      </colorScale>
    </cfRule>
  </conditionalFormatting>
  <conditionalFormatting sqref="F5162:F5185">
    <cfRule type="colorScale" priority="2003">
      <colorScale>
        <cfvo type="min"/>
        <cfvo type="percentile" val="50"/>
        <cfvo type="max"/>
        <color rgb="FF63BE7B"/>
        <color rgb="FFFFEB84"/>
        <color rgb="FFF8696B"/>
      </colorScale>
    </cfRule>
  </conditionalFormatting>
  <conditionalFormatting sqref="D5186:D5209">
    <cfRule type="colorScale" priority="2002">
      <colorScale>
        <cfvo type="min"/>
        <cfvo type="percentile" val="50"/>
        <cfvo type="max"/>
        <color rgb="FFF8696B"/>
        <color rgb="FFFCFCFF"/>
        <color rgb="FF63BE7B"/>
      </colorScale>
    </cfRule>
  </conditionalFormatting>
  <conditionalFormatting sqref="D5186:D5209">
    <cfRule type="colorScale" priority="2001">
      <colorScale>
        <cfvo type="min"/>
        <cfvo type="percentile" val="50"/>
        <cfvo type="max"/>
        <color rgb="FF63BE7B"/>
        <color rgb="FFFFEB84"/>
        <color rgb="FFF8696B"/>
      </colorScale>
    </cfRule>
  </conditionalFormatting>
  <conditionalFormatting sqref="D5186:D5209">
    <cfRule type="colorScale" priority="2000">
      <colorScale>
        <cfvo type="min"/>
        <cfvo type="percentile" val="50"/>
        <cfvo type="max"/>
        <color rgb="FF63BE7B"/>
        <color rgb="FFFFEB84"/>
        <color rgb="FFF8696B"/>
      </colorScale>
    </cfRule>
  </conditionalFormatting>
  <conditionalFormatting sqref="F5187:F5193 F5195:F5202 F5204 F5207:F5208">
    <cfRule type="colorScale" priority="1999">
      <colorScale>
        <cfvo type="min"/>
        <cfvo type="percentile" val="50"/>
        <cfvo type="max"/>
        <color rgb="FF63BE7B"/>
        <color rgb="FFFFEB84"/>
        <color rgb="FFF8696B"/>
      </colorScale>
    </cfRule>
  </conditionalFormatting>
  <conditionalFormatting sqref="F5186:F5209">
    <cfRule type="colorScale" priority="1998">
      <colorScale>
        <cfvo type="min"/>
        <cfvo type="percentile" val="50"/>
        <cfvo type="max"/>
        <color rgb="FF63BE7B"/>
        <color rgb="FFFFEB84"/>
        <color rgb="FFF8696B"/>
      </colorScale>
    </cfRule>
  </conditionalFormatting>
  <conditionalFormatting sqref="D5210:D5233">
    <cfRule type="colorScale" priority="1997">
      <colorScale>
        <cfvo type="min"/>
        <cfvo type="percentile" val="50"/>
        <cfvo type="max"/>
        <color rgb="FFF8696B"/>
        <color rgb="FFFCFCFF"/>
        <color rgb="FF63BE7B"/>
      </colorScale>
    </cfRule>
  </conditionalFormatting>
  <conditionalFormatting sqref="D5210:D5233">
    <cfRule type="colorScale" priority="1996">
      <colorScale>
        <cfvo type="min"/>
        <cfvo type="percentile" val="50"/>
        <cfvo type="max"/>
        <color rgb="FF63BE7B"/>
        <color rgb="FFFFEB84"/>
        <color rgb="FFF8696B"/>
      </colorScale>
    </cfRule>
  </conditionalFormatting>
  <conditionalFormatting sqref="D5210:D5233">
    <cfRule type="colorScale" priority="1995">
      <colorScale>
        <cfvo type="min"/>
        <cfvo type="percentile" val="50"/>
        <cfvo type="max"/>
        <color rgb="FF63BE7B"/>
        <color rgb="FFFFEB84"/>
        <color rgb="FFF8696B"/>
      </colorScale>
    </cfRule>
  </conditionalFormatting>
  <conditionalFormatting sqref="F5211:F5217 F5219:F5226 F5228 F5231:F5232">
    <cfRule type="colorScale" priority="1994">
      <colorScale>
        <cfvo type="min"/>
        <cfvo type="percentile" val="50"/>
        <cfvo type="max"/>
        <color rgb="FF63BE7B"/>
        <color rgb="FFFFEB84"/>
        <color rgb="FFF8696B"/>
      </colorScale>
    </cfRule>
  </conditionalFormatting>
  <conditionalFormatting sqref="F5210:F5233">
    <cfRule type="colorScale" priority="1993">
      <colorScale>
        <cfvo type="min"/>
        <cfvo type="percentile" val="50"/>
        <cfvo type="max"/>
        <color rgb="FF63BE7B"/>
        <color rgb="FFFFEB84"/>
        <color rgb="FFF8696B"/>
      </colorScale>
    </cfRule>
  </conditionalFormatting>
  <conditionalFormatting sqref="D5234:D5257">
    <cfRule type="colorScale" priority="1992">
      <colorScale>
        <cfvo type="min"/>
        <cfvo type="percentile" val="50"/>
        <cfvo type="max"/>
        <color rgb="FFF8696B"/>
        <color rgb="FFFCFCFF"/>
        <color rgb="FF63BE7B"/>
      </colorScale>
    </cfRule>
  </conditionalFormatting>
  <conditionalFormatting sqref="D5234:D5257">
    <cfRule type="colorScale" priority="1991">
      <colorScale>
        <cfvo type="min"/>
        <cfvo type="percentile" val="50"/>
        <cfvo type="max"/>
        <color rgb="FF63BE7B"/>
        <color rgb="FFFFEB84"/>
        <color rgb="FFF8696B"/>
      </colorScale>
    </cfRule>
  </conditionalFormatting>
  <conditionalFormatting sqref="D5234:D5257">
    <cfRule type="colorScale" priority="1990">
      <colorScale>
        <cfvo type="min"/>
        <cfvo type="percentile" val="50"/>
        <cfvo type="max"/>
        <color rgb="FF63BE7B"/>
        <color rgb="FFFFEB84"/>
        <color rgb="FFF8696B"/>
      </colorScale>
    </cfRule>
  </conditionalFormatting>
  <conditionalFormatting sqref="F5235:F5241 F5243:F5250 F5252 F5255:F5256">
    <cfRule type="colorScale" priority="1989">
      <colorScale>
        <cfvo type="min"/>
        <cfvo type="percentile" val="50"/>
        <cfvo type="max"/>
        <color rgb="FF63BE7B"/>
        <color rgb="FFFFEB84"/>
        <color rgb="FFF8696B"/>
      </colorScale>
    </cfRule>
  </conditionalFormatting>
  <conditionalFormatting sqref="F5234:F5257">
    <cfRule type="colorScale" priority="1988">
      <colorScale>
        <cfvo type="min"/>
        <cfvo type="percentile" val="50"/>
        <cfvo type="max"/>
        <color rgb="FF63BE7B"/>
        <color rgb="FFFFEB84"/>
        <color rgb="FFF8696B"/>
      </colorScale>
    </cfRule>
  </conditionalFormatting>
  <conditionalFormatting sqref="D5258:D5281">
    <cfRule type="colorScale" priority="1987">
      <colorScale>
        <cfvo type="min"/>
        <cfvo type="percentile" val="50"/>
        <cfvo type="max"/>
        <color rgb="FFF8696B"/>
        <color rgb="FFFCFCFF"/>
        <color rgb="FF63BE7B"/>
      </colorScale>
    </cfRule>
  </conditionalFormatting>
  <conditionalFormatting sqref="D5258:D5281">
    <cfRule type="colorScale" priority="1986">
      <colorScale>
        <cfvo type="min"/>
        <cfvo type="percentile" val="50"/>
        <cfvo type="max"/>
        <color rgb="FF63BE7B"/>
        <color rgb="FFFFEB84"/>
        <color rgb="FFF8696B"/>
      </colorScale>
    </cfRule>
  </conditionalFormatting>
  <conditionalFormatting sqref="D5258:D5281">
    <cfRule type="colorScale" priority="1985">
      <colorScale>
        <cfvo type="min"/>
        <cfvo type="percentile" val="50"/>
        <cfvo type="max"/>
        <color rgb="FF63BE7B"/>
        <color rgb="FFFFEB84"/>
        <color rgb="FFF8696B"/>
      </colorScale>
    </cfRule>
  </conditionalFormatting>
  <conditionalFormatting sqref="F5259:F5265 F5267:F5274 F5276 F5279:F5280">
    <cfRule type="colorScale" priority="1984">
      <colorScale>
        <cfvo type="min"/>
        <cfvo type="percentile" val="50"/>
        <cfvo type="max"/>
        <color rgb="FF63BE7B"/>
        <color rgb="FFFFEB84"/>
        <color rgb="FFF8696B"/>
      </colorScale>
    </cfRule>
  </conditionalFormatting>
  <conditionalFormatting sqref="F5258:F5281">
    <cfRule type="colorScale" priority="1983">
      <colorScale>
        <cfvo type="min"/>
        <cfvo type="percentile" val="50"/>
        <cfvo type="max"/>
        <color rgb="FF63BE7B"/>
        <color rgb="FFFFEB84"/>
        <color rgb="FFF8696B"/>
      </colorScale>
    </cfRule>
  </conditionalFormatting>
  <conditionalFormatting sqref="D5282:D5305">
    <cfRule type="colorScale" priority="1982">
      <colorScale>
        <cfvo type="min"/>
        <cfvo type="percentile" val="50"/>
        <cfvo type="max"/>
        <color rgb="FFF8696B"/>
        <color rgb="FFFCFCFF"/>
        <color rgb="FF63BE7B"/>
      </colorScale>
    </cfRule>
  </conditionalFormatting>
  <conditionalFormatting sqref="D5282:D5305">
    <cfRule type="colorScale" priority="1981">
      <colorScale>
        <cfvo type="min"/>
        <cfvo type="percentile" val="50"/>
        <cfvo type="max"/>
        <color rgb="FF63BE7B"/>
        <color rgb="FFFFEB84"/>
        <color rgb="FFF8696B"/>
      </colorScale>
    </cfRule>
  </conditionalFormatting>
  <conditionalFormatting sqref="D5282:D5305">
    <cfRule type="colorScale" priority="1980">
      <colorScale>
        <cfvo type="min"/>
        <cfvo type="percentile" val="50"/>
        <cfvo type="max"/>
        <color rgb="FF63BE7B"/>
        <color rgb="FFFFEB84"/>
        <color rgb="FFF8696B"/>
      </colorScale>
    </cfRule>
  </conditionalFormatting>
  <conditionalFormatting sqref="F5283:F5289 F5291:F5298 F5300 F5303:F5304">
    <cfRule type="colorScale" priority="1979">
      <colorScale>
        <cfvo type="min"/>
        <cfvo type="percentile" val="50"/>
        <cfvo type="max"/>
        <color rgb="FF63BE7B"/>
        <color rgb="FFFFEB84"/>
        <color rgb="FFF8696B"/>
      </colorScale>
    </cfRule>
  </conditionalFormatting>
  <conditionalFormatting sqref="F5282:F5305">
    <cfRule type="colorScale" priority="1978">
      <colorScale>
        <cfvo type="min"/>
        <cfvo type="percentile" val="50"/>
        <cfvo type="max"/>
        <color rgb="FF63BE7B"/>
        <color rgb="FFFFEB84"/>
        <color rgb="FFF8696B"/>
      </colorScale>
    </cfRule>
  </conditionalFormatting>
  <conditionalFormatting sqref="C5282:C5305">
    <cfRule type="colorScale" priority="1977">
      <colorScale>
        <cfvo type="min"/>
        <cfvo type="percentile" val="50"/>
        <cfvo type="max"/>
        <color rgb="FF63BE7B"/>
        <color rgb="FFFFEB84"/>
        <color rgb="FFF8696B"/>
      </colorScale>
    </cfRule>
  </conditionalFormatting>
  <conditionalFormatting sqref="D5306:D5329">
    <cfRule type="colorScale" priority="1976">
      <colorScale>
        <cfvo type="min"/>
        <cfvo type="percentile" val="50"/>
        <cfvo type="max"/>
        <color rgb="FFF8696B"/>
        <color rgb="FFFCFCFF"/>
        <color rgb="FF63BE7B"/>
      </colorScale>
    </cfRule>
  </conditionalFormatting>
  <conditionalFormatting sqref="D5306:D5329">
    <cfRule type="colorScale" priority="1975">
      <colorScale>
        <cfvo type="min"/>
        <cfvo type="percentile" val="50"/>
        <cfvo type="max"/>
        <color rgb="FF63BE7B"/>
        <color rgb="FFFFEB84"/>
        <color rgb="FFF8696B"/>
      </colorScale>
    </cfRule>
  </conditionalFormatting>
  <conditionalFormatting sqref="D5306:D5329">
    <cfRule type="colorScale" priority="1974">
      <colorScale>
        <cfvo type="min"/>
        <cfvo type="percentile" val="50"/>
        <cfvo type="max"/>
        <color rgb="FF63BE7B"/>
        <color rgb="FFFFEB84"/>
        <color rgb="FFF8696B"/>
      </colorScale>
    </cfRule>
  </conditionalFormatting>
  <conditionalFormatting sqref="F5307:F5313 F5315:F5322 F5324 F5327:F5328">
    <cfRule type="colorScale" priority="1973">
      <colorScale>
        <cfvo type="min"/>
        <cfvo type="percentile" val="50"/>
        <cfvo type="max"/>
        <color rgb="FF63BE7B"/>
        <color rgb="FFFFEB84"/>
        <color rgb="FFF8696B"/>
      </colorScale>
    </cfRule>
  </conditionalFormatting>
  <conditionalFormatting sqref="F5306:F5329">
    <cfRule type="colorScale" priority="1972">
      <colorScale>
        <cfvo type="min"/>
        <cfvo type="percentile" val="50"/>
        <cfvo type="max"/>
        <color rgb="FF63BE7B"/>
        <color rgb="FFFFEB84"/>
        <color rgb="FFF8696B"/>
      </colorScale>
    </cfRule>
  </conditionalFormatting>
  <conditionalFormatting sqref="D5330:D5353">
    <cfRule type="colorScale" priority="1971">
      <colorScale>
        <cfvo type="min"/>
        <cfvo type="percentile" val="50"/>
        <cfvo type="max"/>
        <color rgb="FFF8696B"/>
        <color rgb="FFFCFCFF"/>
        <color rgb="FF63BE7B"/>
      </colorScale>
    </cfRule>
  </conditionalFormatting>
  <conditionalFormatting sqref="D5330:D5353">
    <cfRule type="colorScale" priority="1970">
      <colorScale>
        <cfvo type="min"/>
        <cfvo type="percentile" val="50"/>
        <cfvo type="max"/>
        <color rgb="FF63BE7B"/>
        <color rgb="FFFFEB84"/>
        <color rgb="FFF8696B"/>
      </colorScale>
    </cfRule>
  </conditionalFormatting>
  <conditionalFormatting sqref="D5330:D5353">
    <cfRule type="colorScale" priority="1969">
      <colorScale>
        <cfvo type="min"/>
        <cfvo type="percentile" val="50"/>
        <cfvo type="max"/>
        <color rgb="FF63BE7B"/>
        <color rgb="FFFFEB84"/>
        <color rgb="FFF8696B"/>
      </colorScale>
    </cfRule>
  </conditionalFormatting>
  <conditionalFormatting sqref="F5331:F5337 F5339:F5346 F5348 F5351:F5352">
    <cfRule type="colorScale" priority="1968">
      <colorScale>
        <cfvo type="min"/>
        <cfvo type="percentile" val="50"/>
        <cfvo type="max"/>
        <color rgb="FF63BE7B"/>
        <color rgb="FFFFEB84"/>
        <color rgb="FFF8696B"/>
      </colorScale>
    </cfRule>
  </conditionalFormatting>
  <conditionalFormatting sqref="F5330:F5353">
    <cfRule type="colorScale" priority="1967">
      <colorScale>
        <cfvo type="min"/>
        <cfvo type="percentile" val="50"/>
        <cfvo type="max"/>
        <color rgb="FF63BE7B"/>
        <color rgb="FFFFEB84"/>
        <color rgb="FFF8696B"/>
      </colorScale>
    </cfRule>
  </conditionalFormatting>
  <conditionalFormatting sqref="D5354:D5377">
    <cfRule type="colorScale" priority="1966">
      <colorScale>
        <cfvo type="min"/>
        <cfvo type="percentile" val="50"/>
        <cfvo type="max"/>
        <color rgb="FFF8696B"/>
        <color rgb="FFFCFCFF"/>
        <color rgb="FF63BE7B"/>
      </colorScale>
    </cfRule>
  </conditionalFormatting>
  <conditionalFormatting sqref="D5354:D5377">
    <cfRule type="colorScale" priority="1965">
      <colorScale>
        <cfvo type="min"/>
        <cfvo type="percentile" val="50"/>
        <cfvo type="max"/>
        <color rgb="FF63BE7B"/>
        <color rgb="FFFFEB84"/>
        <color rgb="FFF8696B"/>
      </colorScale>
    </cfRule>
  </conditionalFormatting>
  <conditionalFormatting sqref="D5354:D5377">
    <cfRule type="colorScale" priority="1964">
      <colorScale>
        <cfvo type="min"/>
        <cfvo type="percentile" val="50"/>
        <cfvo type="max"/>
        <color rgb="FF63BE7B"/>
        <color rgb="FFFFEB84"/>
        <color rgb="FFF8696B"/>
      </colorScale>
    </cfRule>
  </conditionalFormatting>
  <conditionalFormatting sqref="F5355:F5361 F5363:F5370 F5372 F5375:F5376">
    <cfRule type="colorScale" priority="1963">
      <colorScale>
        <cfvo type="min"/>
        <cfvo type="percentile" val="50"/>
        <cfvo type="max"/>
        <color rgb="FF63BE7B"/>
        <color rgb="FFFFEB84"/>
        <color rgb="FFF8696B"/>
      </colorScale>
    </cfRule>
  </conditionalFormatting>
  <conditionalFormatting sqref="F5354:F5377">
    <cfRule type="colorScale" priority="1962">
      <colorScale>
        <cfvo type="min"/>
        <cfvo type="percentile" val="50"/>
        <cfvo type="max"/>
        <color rgb="FF63BE7B"/>
        <color rgb="FFFFEB84"/>
        <color rgb="FFF8696B"/>
      </colorScale>
    </cfRule>
  </conditionalFormatting>
  <conditionalFormatting sqref="D5378:D5401">
    <cfRule type="colorScale" priority="1961">
      <colorScale>
        <cfvo type="min"/>
        <cfvo type="percentile" val="50"/>
        <cfvo type="max"/>
        <color rgb="FFF8696B"/>
        <color rgb="FFFCFCFF"/>
        <color rgb="FF63BE7B"/>
      </colorScale>
    </cfRule>
  </conditionalFormatting>
  <conditionalFormatting sqref="D5378:D5401">
    <cfRule type="colorScale" priority="1960">
      <colorScale>
        <cfvo type="min"/>
        <cfvo type="percentile" val="50"/>
        <cfvo type="max"/>
        <color rgb="FF63BE7B"/>
        <color rgb="FFFFEB84"/>
        <color rgb="FFF8696B"/>
      </colorScale>
    </cfRule>
  </conditionalFormatting>
  <conditionalFormatting sqref="D5378:D5401">
    <cfRule type="colorScale" priority="1959">
      <colorScale>
        <cfvo type="min"/>
        <cfvo type="percentile" val="50"/>
        <cfvo type="max"/>
        <color rgb="FF63BE7B"/>
        <color rgb="FFFFEB84"/>
        <color rgb="FFF8696B"/>
      </colorScale>
    </cfRule>
  </conditionalFormatting>
  <conditionalFormatting sqref="F5379:F5385 F5387:F5394 F5396 F5399:F5400">
    <cfRule type="colorScale" priority="1958">
      <colorScale>
        <cfvo type="min"/>
        <cfvo type="percentile" val="50"/>
        <cfvo type="max"/>
        <color rgb="FF63BE7B"/>
        <color rgb="FFFFEB84"/>
        <color rgb="FFF8696B"/>
      </colorScale>
    </cfRule>
  </conditionalFormatting>
  <conditionalFormatting sqref="F5378:F5401">
    <cfRule type="colorScale" priority="1957">
      <colorScale>
        <cfvo type="min"/>
        <cfvo type="percentile" val="50"/>
        <cfvo type="max"/>
        <color rgb="FF63BE7B"/>
        <color rgb="FFFFEB84"/>
        <color rgb="FFF8696B"/>
      </colorScale>
    </cfRule>
  </conditionalFormatting>
  <conditionalFormatting sqref="D5402:D5425">
    <cfRule type="colorScale" priority="1956">
      <colorScale>
        <cfvo type="min"/>
        <cfvo type="percentile" val="50"/>
        <cfvo type="max"/>
        <color rgb="FFF8696B"/>
        <color rgb="FFFCFCFF"/>
        <color rgb="FF63BE7B"/>
      </colorScale>
    </cfRule>
  </conditionalFormatting>
  <conditionalFormatting sqref="D5402:D5425">
    <cfRule type="colorScale" priority="1955">
      <colorScale>
        <cfvo type="min"/>
        <cfvo type="percentile" val="50"/>
        <cfvo type="max"/>
        <color rgb="FF63BE7B"/>
        <color rgb="FFFFEB84"/>
        <color rgb="FFF8696B"/>
      </colorScale>
    </cfRule>
  </conditionalFormatting>
  <conditionalFormatting sqref="D5402:D5425">
    <cfRule type="colorScale" priority="1954">
      <colorScale>
        <cfvo type="min"/>
        <cfvo type="percentile" val="50"/>
        <cfvo type="max"/>
        <color rgb="FF63BE7B"/>
        <color rgb="FFFFEB84"/>
        <color rgb="FFF8696B"/>
      </colorScale>
    </cfRule>
  </conditionalFormatting>
  <conditionalFormatting sqref="F5403:F5409 F5411:F5418 F5420 F5423:F5424">
    <cfRule type="colorScale" priority="1953">
      <colorScale>
        <cfvo type="min"/>
        <cfvo type="percentile" val="50"/>
        <cfvo type="max"/>
        <color rgb="FF63BE7B"/>
        <color rgb="FFFFEB84"/>
        <color rgb="FFF8696B"/>
      </colorScale>
    </cfRule>
  </conditionalFormatting>
  <conditionalFormatting sqref="F5402:F5425">
    <cfRule type="colorScale" priority="1952">
      <colorScale>
        <cfvo type="min"/>
        <cfvo type="percentile" val="50"/>
        <cfvo type="max"/>
        <color rgb="FF63BE7B"/>
        <color rgb="FFFFEB84"/>
        <color rgb="FFF8696B"/>
      </colorScale>
    </cfRule>
  </conditionalFormatting>
  <conditionalFormatting sqref="D5426:D5449">
    <cfRule type="colorScale" priority="1951">
      <colorScale>
        <cfvo type="min"/>
        <cfvo type="percentile" val="50"/>
        <cfvo type="max"/>
        <color rgb="FFF8696B"/>
        <color rgb="FFFCFCFF"/>
        <color rgb="FF63BE7B"/>
      </colorScale>
    </cfRule>
  </conditionalFormatting>
  <conditionalFormatting sqref="D5426:D5449">
    <cfRule type="colorScale" priority="1950">
      <colorScale>
        <cfvo type="min"/>
        <cfvo type="percentile" val="50"/>
        <cfvo type="max"/>
        <color rgb="FF63BE7B"/>
        <color rgb="FFFFEB84"/>
        <color rgb="FFF8696B"/>
      </colorScale>
    </cfRule>
  </conditionalFormatting>
  <conditionalFormatting sqref="D5426:D5449">
    <cfRule type="colorScale" priority="1949">
      <colorScale>
        <cfvo type="min"/>
        <cfvo type="percentile" val="50"/>
        <cfvo type="max"/>
        <color rgb="FF63BE7B"/>
        <color rgb="FFFFEB84"/>
        <color rgb="FFF8696B"/>
      </colorScale>
    </cfRule>
  </conditionalFormatting>
  <conditionalFormatting sqref="F5427:F5433 F5435:F5442 F5444 F5447:F5448">
    <cfRule type="colorScale" priority="1948">
      <colorScale>
        <cfvo type="min"/>
        <cfvo type="percentile" val="50"/>
        <cfvo type="max"/>
        <color rgb="FF63BE7B"/>
        <color rgb="FFFFEB84"/>
        <color rgb="FFF8696B"/>
      </colorScale>
    </cfRule>
  </conditionalFormatting>
  <conditionalFormatting sqref="F5426:F5449">
    <cfRule type="colorScale" priority="1947">
      <colorScale>
        <cfvo type="min"/>
        <cfvo type="percentile" val="50"/>
        <cfvo type="max"/>
        <color rgb="FF63BE7B"/>
        <color rgb="FFFFEB84"/>
        <color rgb="FFF8696B"/>
      </colorScale>
    </cfRule>
  </conditionalFormatting>
  <conditionalFormatting sqref="D5450:D5473">
    <cfRule type="colorScale" priority="1946">
      <colorScale>
        <cfvo type="min"/>
        <cfvo type="percentile" val="50"/>
        <cfvo type="max"/>
        <color rgb="FFF8696B"/>
        <color rgb="FFFCFCFF"/>
        <color rgb="FF63BE7B"/>
      </colorScale>
    </cfRule>
  </conditionalFormatting>
  <conditionalFormatting sqref="D5450:D5473">
    <cfRule type="colorScale" priority="1945">
      <colorScale>
        <cfvo type="min"/>
        <cfvo type="percentile" val="50"/>
        <cfvo type="max"/>
        <color rgb="FF63BE7B"/>
        <color rgb="FFFFEB84"/>
        <color rgb="FFF8696B"/>
      </colorScale>
    </cfRule>
  </conditionalFormatting>
  <conditionalFormatting sqref="D5450:D5473">
    <cfRule type="colorScale" priority="1944">
      <colorScale>
        <cfvo type="min"/>
        <cfvo type="percentile" val="50"/>
        <cfvo type="max"/>
        <color rgb="FF63BE7B"/>
        <color rgb="FFFFEB84"/>
        <color rgb="FFF8696B"/>
      </colorScale>
    </cfRule>
  </conditionalFormatting>
  <conditionalFormatting sqref="F5451:F5457 F5459:F5466 F5468 F5471:F5472">
    <cfRule type="colorScale" priority="1943">
      <colorScale>
        <cfvo type="min"/>
        <cfvo type="percentile" val="50"/>
        <cfvo type="max"/>
        <color rgb="FF63BE7B"/>
        <color rgb="FFFFEB84"/>
        <color rgb="FFF8696B"/>
      </colorScale>
    </cfRule>
  </conditionalFormatting>
  <conditionalFormatting sqref="F5450:F5473">
    <cfRule type="colorScale" priority="1942">
      <colorScale>
        <cfvo type="min"/>
        <cfvo type="percentile" val="50"/>
        <cfvo type="max"/>
        <color rgb="FF63BE7B"/>
        <color rgb="FFFFEB84"/>
        <color rgb="FFF8696B"/>
      </colorScale>
    </cfRule>
  </conditionalFormatting>
  <conditionalFormatting sqref="F5475:F5481 F5483:F5490 F5492 F5495:F5496">
    <cfRule type="colorScale" priority="1938">
      <colorScale>
        <cfvo type="min"/>
        <cfvo type="percentile" val="50"/>
        <cfvo type="max"/>
        <color rgb="FF63BE7B"/>
        <color rgb="FFFFEB84"/>
        <color rgb="FFF8696B"/>
      </colorScale>
    </cfRule>
  </conditionalFormatting>
  <conditionalFormatting sqref="F5474:F5497">
    <cfRule type="colorScale" priority="1937">
      <colorScale>
        <cfvo type="min"/>
        <cfvo type="percentile" val="50"/>
        <cfvo type="max"/>
        <color rgb="FF63BE7B"/>
        <color rgb="FFFFEB84"/>
        <color rgb="FFF8696B"/>
      </colorScale>
    </cfRule>
  </conditionalFormatting>
  <conditionalFormatting sqref="F5499:F5505 F5507:F5514 F5516 F5519:F5520">
    <cfRule type="colorScale" priority="1933">
      <colorScale>
        <cfvo type="min"/>
        <cfvo type="percentile" val="50"/>
        <cfvo type="max"/>
        <color rgb="FF63BE7B"/>
        <color rgb="FFFFEB84"/>
        <color rgb="FFF8696B"/>
      </colorScale>
    </cfRule>
  </conditionalFormatting>
  <conditionalFormatting sqref="F5498:F5521">
    <cfRule type="colorScale" priority="1932">
      <colorScale>
        <cfvo type="min"/>
        <cfvo type="percentile" val="50"/>
        <cfvo type="max"/>
        <color rgb="FF63BE7B"/>
        <color rgb="FFFFEB84"/>
        <color rgb="FFF8696B"/>
      </colorScale>
    </cfRule>
  </conditionalFormatting>
  <conditionalFormatting sqref="F5522:F5545">
    <cfRule type="colorScale" priority="1930">
      <colorScale>
        <cfvo type="min"/>
        <cfvo type="percentile" val="50"/>
        <cfvo type="max"/>
        <color rgb="FF63BE7B"/>
        <color rgb="FFFFEB84"/>
        <color rgb="FFF8696B"/>
      </colorScale>
    </cfRule>
  </conditionalFormatting>
  <conditionalFormatting sqref="F5546:F5569">
    <cfRule type="colorScale" priority="1928">
      <colorScale>
        <cfvo type="min"/>
        <cfvo type="percentile" val="50"/>
        <cfvo type="max"/>
        <color rgb="FF63BE7B"/>
        <color rgb="FFFFEB84"/>
        <color rgb="FFF8696B"/>
      </colorScale>
    </cfRule>
  </conditionalFormatting>
  <conditionalFormatting sqref="E5690:E5713">
    <cfRule type="colorScale" priority="1915">
      <colorScale>
        <cfvo type="min"/>
        <cfvo type="percentile" val="50"/>
        <cfvo type="max"/>
        <color rgb="FF63BE7B"/>
        <color rgb="FFFFEB84"/>
        <color rgb="FFF8696B"/>
      </colorScale>
    </cfRule>
  </conditionalFormatting>
  <conditionalFormatting sqref="E5714:E5737">
    <cfRule type="colorScale" priority="1912">
      <colorScale>
        <cfvo type="min"/>
        <cfvo type="percentile" val="50"/>
        <cfvo type="max"/>
        <color rgb="FF63BE7B"/>
        <color rgb="FFFFEB84"/>
        <color rgb="FFF8696B"/>
      </colorScale>
    </cfRule>
  </conditionalFormatting>
  <conditionalFormatting sqref="D5738:D5761">
    <cfRule type="colorScale" priority="1911">
      <colorScale>
        <cfvo type="min"/>
        <cfvo type="percentile" val="50"/>
        <cfvo type="max"/>
        <color rgb="FF63BE7B"/>
        <color rgb="FFFFEB84"/>
        <color rgb="FFF8696B"/>
      </colorScale>
    </cfRule>
  </conditionalFormatting>
  <conditionalFormatting sqref="D5714:D5737">
    <cfRule type="colorScale" priority="1909">
      <colorScale>
        <cfvo type="min"/>
        <cfvo type="percentile" val="50"/>
        <cfvo type="max"/>
        <color rgb="FF63BE7B"/>
        <color rgb="FFFFEB84"/>
        <color rgb="FFF8696B"/>
      </colorScale>
    </cfRule>
  </conditionalFormatting>
  <conditionalFormatting sqref="D5690:D5713">
    <cfRule type="colorScale" priority="1908">
      <colorScale>
        <cfvo type="min"/>
        <cfvo type="percentile" val="50"/>
        <cfvo type="max"/>
        <color rgb="FF63BE7B"/>
        <color rgb="FFFFEB84"/>
        <color rgb="FFF8696B"/>
      </colorScale>
    </cfRule>
  </conditionalFormatting>
  <conditionalFormatting sqref="D5666:D5689">
    <cfRule type="colorScale" priority="1907">
      <colorScale>
        <cfvo type="min"/>
        <cfvo type="percentile" val="50"/>
        <cfvo type="max"/>
        <color rgb="FF63BE7B"/>
        <color rgb="FFFFEB84"/>
        <color rgb="FFF8696B"/>
      </colorScale>
    </cfRule>
  </conditionalFormatting>
  <conditionalFormatting sqref="D5642:D5665">
    <cfRule type="colorScale" priority="1906">
      <colorScale>
        <cfvo type="min"/>
        <cfvo type="percentile" val="50"/>
        <cfvo type="max"/>
        <color rgb="FF63BE7B"/>
        <color rgb="FFFFEB84"/>
        <color rgb="FFF8696B"/>
      </colorScale>
    </cfRule>
  </conditionalFormatting>
  <conditionalFormatting sqref="D5618:D5641">
    <cfRule type="colorScale" priority="1905">
      <colorScale>
        <cfvo type="min"/>
        <cfvo type="percentile" val="50"/>
        <cfvo type="max"/>
        <color rgb="FF63BE7B"/>
        <color rgb="FFFFEB84"/>
        <color rgb="FFF8696B"/>
      </colorScale>
    </cfRule>
  </conditionalFormatting>
  <conditionalFormatting sqref="D5594:D5617">
    <cfRule type="colorScale" priority="1904">
      <colorScale>
        <cfvo type="min"/>
        <cfvo type="percentile" val="50"/>
        <cfvo type="max"/>
        <color rgb="FF63BE7B"/>
        <color rgb="FFFFEB84"/>
        <color rgb="FFF8696B"/>
      </colorScale>
    </cfRule>
  </conditionalFormatting>
  <conditionalFormatting sqref="D5570:D5593">
    <cfRule type="colorScale" priority="1903">
      <colorScale>
        <cfvo type="min"/>
        <cfvo type="percentile" val="50"/>
        <cfvo type="max"/>
        <color rgb="FF63BE7B"/>
        <color rgb="FFFFEB84"/>
        <color rgb="FFF8696B"/>
      </colorScale>
    </cfRule>
  </conditionalFormatting>
  <conditionalFormatting sqref="D5546:D5569">
    <cfRule type="colorScale" priority="1902">
      <colorScale>
        <cfvo type="min"/>
        <cfvo type="percentile" val="50"/>
        <cfvo type="max"/>
        <color rgb="FF63BE7B"/>
        <color rgb="FFFFEB84"/>
        <color rgb="FFF8696B"/>
      </colorScale>
    </cfRule>
  </conditionalFormatting>
  <conditionalFormatting sqref="D5522:D5545">
    <cfRule type="colorScale" priority="1901">
      <colorScale>
        <cfvo type="min"/>
        <cfvo type="percentile" val="50"/>
        <cfvo type="max"/>
        <color rgb="FF63BE7B"/>
        <color rgb="FFFFEB84"/>
        <color rgb="FFF8696B"/>
      </colorScale>
    </cfRule>
  </conditionalFormatting>
  <conditionalFormatting sqref="D5498:D5521">
    <cfRule type="colorScale" priority="1900">
      <colorScale>
        <cfvo type="min"/>
        <cfvo type="percentile" val="50"/>
        <cfvo type="max"/>
        <color rgb="FF63BE7B"/>
        <color rgb="FFFFEB84"/>
        <color rgb="FFF8696B"/>
      </colorScale>
    </cfRule>
  </conditionalFormatting>
  <conditionalFormatting sqref="D5474:D5497">
    <cfRule type="colorScale" priority="1899">
      <colorScale>
        <cfvo type="min"/>
        <cfvo type="percentile" val="50"/>
        <cfvo type="max"/>
        <color rgb="FF63BE7B"/>
        <color rgb="FFFFEB84"/>
        <color rgb="FFF8696B"/>
      </colorScale>
    </cfRule>
  </conditionalFormatting>
  <conditionalFormatting sqref="D5762:D5785">
    <cfRule type="colorScale" priority="1898">
      <colorScale>
        <cfvo type="min"/>
        <cfvo type="percentile" val="50"/>
        <cfvo type="max"/>
        <color rgb="FF63BE7B"/>
        <color rgb="FFFFEB84"/>
        <color rgb="FFF8696B"/>
      </colorScale>
    </cfRule>
  </conditionalFormatting>
  <conditionalFormatting sqref="D5786:D5809">
    <cfRule type="colorScale" priority="1896">
      <colorScale>
        <cfvo type="min"/>
        <cfvo type="percentile" val="50"/>
        <cfvo type="max"/>
        <color rgb="FF63BE7B"/>
        <color rgb="FFFFEB84"/>
        <color rgb="FFF8696B"/>
      </colorScale>
    </cfRule>
  </conditionalFormatting>
  <conditionalFormatting sqref="D5810:D5833">
    <cfRule type="colorScale" priority="1894">
      <colorScale>
        <cfvo type="min"/>
        <cfvo type="percentile" val="50"/>
        <cfvo type="max"/>
        <color rgb="FF63BE7B"/>
        <color rgb="FFFFEB84"/>
        <color rgb="FFF8696B"/>
      </colorScale>
    </cfRule>
  </conditionalFormatting>
  <conditionalFormatting sqref="F5570:F5593">
    <cfRule type="colorScale" priority="1892">
      <colorScale>
        <cfvo type="min"/>
        <cfvo type="percentile" val="50"/>
        <cfvo type="max"/>
        <color rgb="FF63BE7B"/>
        <color rgb="FFFFEB84"/>
        <color rgb="FFF8696B"/>
      </colorScale>
    </cfRule>
  </conditionalFormatting>
  <conditionalFormatting sqref="F5594:F5617">
    <cfRule type="colorScale" priority="1891">
      <colorScale>
        <cfvo type="min"/>
        <cfvo type="percentile" val="50"/>
        <cfvo type="max"/>
        <color rgb="FF63BE7B"/>
        <color rgb="FFFFEB84"/>
        <color rgb="FFF8696B"/>
      </colorScale>
    </cfRule>
  </conditionalFormatting>
  <conditionalFormatting sqref="F5618:F5641">
    <cfRule type="colorScale" priority="1890">
      <colorScale>
        <cfvo type="min"/>
        <cfvo type="percentile" val="50"/>
        <cfvo type="max"/>
        <color rgb="FF63BE7B"/>
        <color rgb="FFFFEB84"/>
        <color rgb="FFF8696B"/>
      </colorScale>
    </cfRule>
  </conditionalFormatting>
  <conditionalFormatting sqref="F5642:F5665">
    <cfRule type="colorScale" priority="1889">
      <colorScale>
        <cfvo type="min"/>
        <cfvo type="percentile" val="50"/>
        <cfvo type="max"/>
        <color rgb="FF63BE7B"/>
        <color rgb="FFFFEB84"/>
        <color rgb="FFF8696B"/>
      </colorScale>
    </cfRule>
  </conditionalFormatting>
  <conditionalFormatting sqref="F5666:F5689">
    <cfRule type="colorScale" priority="1888">
      <colorScale>
        <cfvo type="min"/>
        <cfvo type="percentile" val="50"/>
        <cfvo type="max"/>
        <color rgb="FF63BE7B"/>
        <color rgb="FFFFEB84"/>
        <color rgb="FFF8696B"/>
      </colorScale>
    </cfRule>
  </conditionalFormatting>
  <conditionalFormatting sqref="F5690:F5713">
    <cfRule type="colorScale" priority="1887">
      <colorScale>
        <cfvo type="min"/>
        <cfvo type="percentile" val="50"/>
        <cfvo type="max"/>
        <color rgb="FF63BE7B"/>
        <color rgb="FFFFEB84"/>
        <color rgb="FFF8696B"/>
      </colorScale>
    </cfRule>
  </conditionalFormatting>
  <conditionalFormatting sqref="F5714:F5737">
    <cfRule type="colorScale" priority="1886">
      <colorScale>
        <cfvo type="min"/>
        <cfvo type="percentile" val="50"/>
        <cfvo type="max"/>
        <color rgb="FF63BE7B"/>
        <color rgb="FFFFEB84"/>
        <color rgb="FFF8696B"/>
      </colorScale>
    </cfRule>
  </conditionalFormatting>
  <conditionalFormatting sqref="F5738:F5761">
    <cfRule type="colorScale" priority="1885">
      <colorScale>
        <cfvo type="min"/>
        <cfvo type="percentile" val="50"/>
        <cfvo type="max"/>
        <color rgb="FF63BE7B"/>
        <color rgb="FFFFEB84"/>
        <color rgb="FFF8696B"/>
      </colorScale>
    </cfRule>
  </conditionalFormatting>
  <conditionalFormatting sqref="F5762:F5785">
    <cfRule type="colorScale" priority="1884">
      <colorScale>
        <cfvo type="min"/>
        <cfvo type="percentile" val="50"/>
        <cfvo type="max"/>
        <color rgb="FF63BE7B"/>
        <color rgb="FFFFEB84"/>
        <color rgb="FFF8696B"/>
      </colorScale>
    </cfRule>
  </conditionalFormatting>
  <conditionalFormatting sqref="F5786:F5809">
    <cfRule type="colorScale" priority="1883">
      <colorScale>
        <cfvo type="min"/>
        <cfvo type="percentile" val="50"/>
        <cfvo type="max"/>
        <color rgb="FF63BE7B"/>
        <color rgb="FFFFEB84"/>
        <color rgb="FFF8696B"/>
      </colorScale>
    </cfRule>
  </conditionalFormatting>
  <conditionalFormatting sqref="F5810:F5833">
    <cfRule type="colorScale" priority="1882">
      <colorScale>
        <cfvo type="min"/>
        <cfvo type="percentile" val="50"/>
        <cfvo type="max"/>
        <color rgb="FF63BE7B"/>
        <color rgb="FFFFEB84"/>
        <color rgb="FFF8696B"/>
      </colorScale>
    </cfRule>
  </conditionalFormatting>
  <conditionalFormatting sqref="D5834:D5857">
    <cfRule type="colorScale" priority="1881">
      <colorScale>
        <cfvo type="min"/>
        <cfvo type="percentile" val="50"/>
        <cfvo type="max"/>
        <color rgb="FF63BE7B"/>
        <color rgb="FFFFEB84"/>
        <color rgb="FFF8696B"/>
      </colorScale>
    </cfRule>
  </conditionalFormatting>
  <conditionalFormatting sqref="F5834:F5857">
    <cfRule type="colorScale" priority="1880">
      <colorScale>
        <cfvo type="min"/>
        <cfvo type="percentile" val="50"/>
        <cfvo type="max"/>
        <color rgb="FF63BE7B"/>
        <color rgb="FFFFEB84"/>
        <color rgb="FFF8696B"/>
      </colorScale>
    </cfRule>
  </conditionalFormatting>
  <conditionalFormatting sqref="D5858:D5881">
    <cfRule type="colorScale" priority="1879">
      <colorScale>
        <cfvo type="min"/>
        <cfvo type="percentile" val="50"/>
        <cfvo type="max"/>
        <color rgb="FF63BE7B"/>
        <color rgb="FFFFEB84"/>
        <color rgb="FFF8696B"/>
      </colorScale>
    </cfRule>
  </conditionalFormatting>
  <conditionalFormatting sqref="F5858:F5881">
    <cfRule type="colorScale" priority="1878">
      <colorScale>
        <cfvo type="min"/>
        <cfvo type="percentile" val="50"/>
        <cfvo type="max"/>
        <color rgb="FF63BE7B"/>
        <color rgb="FFFFEB84"/>
        <color rgb="FFF8696B"/>
      </colorScale>
    </cfRule>
  </conditionalFormatting>
  <conditionalFormatting sqref="D5882:D5905">
    <cfRule type="colorScale" priority="1877">
      <colorScale>
        <cfvo type="min"/>
        <cfvo type="percentile" val="50"/>
        <cfvo type="max"/>
        <color rgb="FF63BE7B"/>
        <color rgb="FFFFEB84"/>
        <color rgb="FFF8696B"/>
      </colorScale>
    </cfRule>
  </conditionalFormatting>
  <conditionalFormatting sqref="F5882:F5905">
    <cfRule type="colorScale" priority="1876">
      <colorScale>
        <cfvo type="min"/>
        <cfvo type="percentile" val="50"/>
        <cfvo type="max"/>
        <color rgb="FF63BE7B"/>
        <color rgb="FFFFEB84"/>
        <color rgb="FFF8696B"/>
      </colorScale>
    </cfRule>
  </conditionalFormatting>
  <conditionalFormatting sqref="D5906:D5929">
    <cfRule type="colorScale" priority="1875">
      <colorScale>
        <cfvo type="min"/>
        <cfvo type="percentile" val="50"/>
        <cfvo type="max"/>
        <color rgb="FF63BE7B"/>
        <color rgb="FFFFEB84"/>
        <color rgb="FFF8696B"/>
      </colorScale>
    </cfRule>
  </conditionalFormatting>
  <conditionalFormatting sqref="F5906:F5929">
    <cfRule type="colorScale" priority="1874">
      <colorScale>
        <cfvo type="min"/>
        <cfvo type="percentile" val="50"/>
        <cfvo type="max"/>
        <color rgb="FF63BE7B"/>
        <color rgb="FFFFEB84"/>
        <color rgb="FFF8696B"/>
      </colorScale>
    </cfRule>
  </conditionalFormatting>
  <conditionalFormatting sqref="D5930:D5953">
    <cfRule type="colorScale" priority="1873">
      <colorScale>
        <cfvo type="min"/>
        <cfvo type="percentile" val="50"/>
        <cfvo type="max"/>
        <color rgb="FF63BE7B"/>
        <color rgb="FFFFEB84"/>
        <color rgb="FFF8696B"/>
      </colorScale>
    </cfRule>
  </conditionalFormatting>
  <conditionalFormatting sqref="F5930:F5953">
    <cfRule type="colorScale" priority="1872">
      <colorScale>
        <cfvo type="min"/>
        <cfvo type="percentile" val="50"/>
        <cfvo type="max"/>
        <color rgb="FF63BE7B"/>
        <color rgb="FFFFEB84"/>
        <color rgb="FFF8696B"/>
      </colorScale>
    </cfRule>
  </conditionalFormatting>
  <conditionalFormatting sqref="D5954:D5977">
    <cfRule type="colorScale" priority="1871">
      <colorScale>
        <cfvo type="min"/>
        <cfvo type="percentile" val="50"/>
        <cfvo type="max"/>
        <color rgb="FF63BE7B"/>
        <color rgb="FFFFEB84"/>
        <color rgb="FFF8696B"/>
      </colorScale>
    </cfRule>
  </conditionalFormatting>
  <conditionalFormatting sqref="F5954:F5977">
    <cfRule type="colorScale" priority="1870">
      <colorScale>
        <cfvo type="min"/>
        <cfvo type="percentile" val="50"/>
        <cfvo type="max"/>
        <color rgb="FF63BE7B"/>
        <color rgb="FFFFEB84"/>
        <color rgb="FFF8696B"/>
      </colorScale>
    </cfRule>
  </conditionalFormatting>
  <conditionalFormatting sqref="D5978:D6001">
    <cfRule type="colorScale" priority="1869">
      <colorScale>
        <cfvo type="min"/>
        <cfvo type="percentile" val="50"/>
        <cfvo type="max"/>
        <color rgb="FF63BE7B"/>
        <color rgb="FFFFEB84"/>
        <color rgb="FFF8696B"/>
      </colorScale>
    </cfRule>
  </conditionalFormatting>
  <conditionalFormatting sqref="F5978:F6001">
    <cfRule type="colorScale" priority="1868">
      <colorScale>
        <cfvo type="min"/>
        <cfvo type="percentile" val="50"/>
        <cfvo type="max"/>
        <color rgb="FF63BE7B"/>
        <color rgb="FFFFEB84"/>
        <color rgb="FFF8696B"/>
      </colorScale>
    </cfRule>
  </conditionalFormatting>
  <conditionalFormatting sqref="D6002:D6025">
    <cfRule type="colorScale" priority="1867">
      <colorScale>
        <cfvo type="min"/>
        <cfvo type="percentile" val="50"/>
        <cfvo type="max"/>
        <color rgb="FF63BE7B"/>
        <color rgb="FFFFEB84"/>
        <color rgb="FFF8696B"/>
      </colorScale>
    </cfRule>
  </conditionalFormatting>
  <conditionalFormatting sqref="F6002:F6025">
    <cfRule type="colorScale" priority="1866">
      <colorScale>
        <cfvo type="min"/>
        <cfvo type="percentile" val="50"/>
        <cfvo type="max"/>
        <color rgb="FF63BE7B"/>
        <color rgb="FFFFEB84"/>
        <color rgb="FFF8696B"/>
      </colorScale>
    </cfRule>
  </conditionalFormatting>
  <conditionalFormatting sqref="D6026:D6049">
    <cfRule type="colorScale" priority="1865">
      <colorScale>
        <cfvo type="min"/>
        <cfvo type="percentile" val="50"/>
        <cfvo type="max"/>
        <color rgb="FF63BE7B"/>
        <color rgb="FFFFEB84"/>
        <color rgb="FFF8696B"/>
      </colorScale>
    </cfRule>
  </conditionalFormatting>
  <conditionalFormatting sqref="F6026:F6049">
    <cfRule type="colorScale" priority="1864">
      <colorScale>
        <cfvo type="min"/>
        <cfvo type="percentile" val="50"/>
        <cfvo type="max"/>
        <color rgb="FF63BE7B"/>
        <color rgb="FFFFEB84"/>
        <color rgb="FFF8696B"/>
      </colorScale>
    </cfRule>
  </conditionalFormatting>
  <conditionalFormatting sqref="D6050:D6073">
    <cfRule type="colorScale" priority="1863">
      <colorScale>
        <cfvo type="min"/>
        <cfvo type="percentile" val="50"/>
        <cfvo type="max"/>
        <color rgb="FF63BE7B"/>
        <color rgb="FFFFEB84"/>
        <color rgb="FFF8696B"/>
      </colorScale>
    </cfRule>
  </conditionalFormatting>
  <conditionalFormatting sqref="F6050:F6073">
    <cfRule type="colorScale" priority="1862">
      <colorScale>
        <cfvo type="min"/>
        <cfvo type="percentile" val="50"/>
        <cfvo type="max"/>
        <color rgb="FF63BE7B"/>
        <color rgb="FFFFEB84"/>
        <color rgb="FFF8696B"/>
      </colorScale>
    </cfRule>
  </conditionalFormatting>
  <conditionalFormatting sqref="D6074:D6097">
    <cfRule type="colorScale" priority="1861">
      <colorScale>
        <cfvo type="min"/>
        <cfvo type="percentile" val="50"/>
        <cfvo type="max"/>
        <color rgb="FF63BE7B"/>
        <color rgb="FFFFEB84"/>
        <color rgb="FFF8696B"/>
      </colorScale>
    </cfRule>
  </conditionalFormatting>
  <conditionalFormatting sqref="F6074:F6097">
    <cfRule type="colorScale" priority="1860">
      <colorScale>
        <cfvo type="min"/>
        <cfvo type="percentile" val="50"/>
        <cfvo type="max"/>
        <color rgb="FF63BE7B"/>
        <color rgb="FFFFEB84"/>
        <color rgb="FFF8696B"/>
      </colorScale>
    </cfRule>
  </conditionalFormatting>
  <conditionalFormatting sqref="D6098:D6121">
    <cfRule type="colorScale" priority="1859">
      <colorScale>
        <cfvo type="min"/>
        <cfvo type="percentile" val="50"/>
        <cfvo type="max"/>
        <color rgb="FF63BE7B"/>
        <color rgb="FFFFEB84"/>
        <color rgb="FFF8696B"/>
      </colorScale>
    </cfRule>
  </conditionalFormatting>
  <conditionalFormatting sqref="F6098:F6121">
    <cfRule type="colorScale" priority="1858">
      <colorScale>
        <cfvo type="min"/>
        <cfvo type="percentile" val="50"/>
        <cfvo type="max"/>
        <color rgb="FF63BE7B"/>
        <color rgb="FFFFEB84"/>
        <color rgb="FFF8696B"/>
      </colorScale>
    </cfRule>
  </conditionalFormatting>
  <conditionalFormatting sqref="D6122:D6145">
    <cfRule type="colorScale" priority="1857">
      <colorScale>
        <cfvo type="min"/>
        <cfvo type="percentile" val="50"/>
        <cfvo type="max"/>
        <color rgb="FF63BE7B"/>
        <color rgb="FFFFEB84"/>
        <color rgb="FFF8696B"/>
      </colorScale>
    </cfRule>
  </conditionalFormatting>
  <conditionalFormatting sqref="F6122:F6145">
    <cfRule type="colorScale" priority="1856">
      <colorScale>
        <cfvo type="min"/>
        <cfvo type="percentile" val="50"/>
        <cfvo type="max"/>
        <color rgb="FF63BE7B"/>
        <color rgb="FFFFEB84"/>
        <color rgb="FFF8696B"/>
      </colorScale>
    </cfRule>
  </conditionalFormatting>
  <conditionalFormatting sqref="D6146:D6169">
    <cfRule type="colorScale" priority="1855">
      <colorScale>
        <cfvo type="min"/>
        <cfvo type="percentile" val="50"/>
        <cfvo type="max"/>
        <color rgb="FF63BE7B"/>
        <color rgb="FFFFEB84"/>
        <color rgb="FFF8696B"/>
      </colorScale>
    </cfRule>
  </conditionalFormatting>
  <conditionalFormatting sqref="F6146:F6169">
    <cfRule type="colorScale" priority="1854">
      <colorScale>
        <cfvo type="min"/>
        <cfvo type="percentile" val="50"/>
        <cfvo type="max"/>
        <color rgb="FF63BE7B"/>
        <color rgb="FFFFEB84"/>
        <color rgb="FFF8696B"/>
      </colorScale>
    </cfRule>
  </conditionalFormatting>
  <conditionalFormatting sqref="D6170:D6193">
    <cfRule type="colorScale" priority="1853">
      <colorScale>
        <cfvo type="min"/>
        <cfvo type="percentile" val="50"/>
        <cfvo type="max"/>
        <color rgb="FF63BE7B"/>
        <color rgb="FFFFEB84"/>
        <color rgb="FFF8696B"/>
      </colorScale>
    </cfRule>
  </conditionalFormatting>
  <conditionalFormatting sqref="F6170:F6193">
    <cfRule type="colorScale" priority="1852">
      <colorScale>
        <cfvo type="min"/>
        <cfvo type="percentile" val="50"/>
        <cfvo type="max"/>
        <color rgb="FF63BE7B"/>
        <color rgb="FFFFEB84"/>
        <color rgb="FFF8696B"/>
      </colorScale>
    </cfRule>
  </conditionalFormatting>
  <conditionalFormatting sqref="D6194:D6217">
    <cfRule type="colorScale" priority="1851">
      <colorScale>
        <cfvo type="min"/>
        <cfvo type="percentile" val="50"/>
        <cfvo type="max"/>
        <color rgb="FF63BE7B"/>
        <color rgb="FFFFEB84"/>
        <color rgb="FFF8696B"/>
      </colorScale>
    </cfRule>
  </conditionalFormatting>
  <conditionalFormatting sqref="F6194:F6217">
    <cfRule type="colorScale" priority="1850">
      <colorScale>
        <cfvo type="min"/>
        <cfvo type="percentile" val="50"/>
        <cfvo type="max"/>
        <color rgb="FF63BE7B"/>
        <color rgb="FFFFEB84"/>
        <color rgb="FFF8696B"/>
      </colorScale>
    </cfRule>
  </conditionalFormatting>
  <conditionalFormatting sqref="D6218:D6241">
    <cfRule type="colorScale" priority="1849">
      <colorScale>
        <cfvo type="min"/>
        <cfvo type="percentile" val="50"/>
        <cfvo type="max"/>
        <color rgb="FF63BE7B"/>
        <color rgb="FFFFEB84"/>
        <color rgb="FFF8696B"/>
      </colorScale>
    </cfRule>
  </conditionalFormatting>
  <conditionalFormatting sqref="F6218:F6241">
    <cfRule type="colorScale" priority="1848">
      <colorScale>
        <cfvo type="min"/>
        <cfvo type="percentile" val="50"/>
        <cfvo type="max"/>
        <color rgb="FF63BE7B"/>
        <color rgb="FFFFEB84"/>
        <color rgb="FFF8696B"/>
      </colorScale>
    </cfRule>
  </conditionalFormatting>
  <conditionalFormatting sqref="D6242:D6265">
    <cfRule type="colorScale" priority="1847">
      <colorScale>
        <cfvo type="min"/>
        <cfvo type="percentile" val="50"/>
        <cfvo type="max"/>
        <color rgb="FF63BE7B"/>
        <color rgb="FFFFEB84"/>
        <color rgb="FFF8696B"/>
      </colorScale>
    </cfRule>
  </conditionalFormatting>
  <conditionalFormatting sqref="F6242:F6265">
    <cfRule type="colorScale" priority="1846">
      <colorScale>
        <cfvo type="min"/>
        <cfvo type="percentile" val="50"/>
        <cfvo type="max"/>
        <color rgb="FF63BE7B"/>
        <color rgb="FFFFEB84"/>
        <color rgb="FFF8696B"/>
      </colorScale>
    </cfRule>
  </conditionalFormatting>
  <conditionalFormatting sqref="D6266:D6289">
    <cfRule type="colorScale" priority="1845">
      <colorScale>
        <cfvo type="min"/>
        <cfvo type="percentile" val="50"/>
        <cfvo type="max"/>
        <color rgb="FF63BE7B"/>
        <color rgb="FFFFEB84"/>
        <color rgb="FFF8696B"/>
      </colorScale>
    </cfRule>
  </conditionalFormatting>
  <conditionalFormatting sqref="F6266:F6289">
    <cfRule type="colorScale" priority="1844">
      <colorScale>
        <cfvo type="min"/>
        <cfvo type="percentile" val="50"/>
        <cfvo type="max"/>
        <color rgb="FF63BE7B"/>
        <color rgb="FFFFEB84"/>
        <color rgb="FFF8696B"/>
      </colorScale>
    </cfRule>
  </conditionalFormatting>
  <conditionalFormatting sqref="D6290:D6313">
    <cfRule type="colorScale" priority="1843">
      <colorScale>
        <cfvo type="min"/>
        <cfvo type="percentile" val="50"/>
        <cfvo type="max"/>
        <color rgb="FF63BE7B"/>
        <color rgb="FFFFEB84"/>
        <color rgb="FFF8696B"/>
      </colorScale>
    </cfRule>
  </conditionalFormatting>
  <conditionalFormatting sqref="F6290:F6313">
    <cfRule type="colorScale" priority="1842">
      <colorScale>
        <cfvo type="min"/>
        <cfvo type="percentile" val="50"/>
        <cfvo type="max"/>
        <color rgb="FF63BE7B"/>
        <color rgb="FFFFEB84"/>
        <color rgb="FFF8696B"/>
      </colorScale>
    </cfRule>
  </conditionalFormatting>
  <conditionalFormatting sqref="D6314:D6337">
    <cfRule type="colorScale" priority="1841">
      <colorScale>
        <cfvo type="min"/>
        <cfvo type="percentile" val="50"/>
        <cfvo type="max"/>
        <color rgb="FF63BE7B"/>
        <color rgb="FFFFEB84"/>
        <color rgb="FFF8696B"/>
      </colorScale>
    </cfRule>
  </conditionalFormatting>
  <conditionalFormatting sqref="F6314:F6337">
    <cfRule type="colorScale" priority="1840">
      <colorScale>
        <cfvo type="min"/>
        <cfvo type="percentile" val="50"/>
        <cfvo type="max"/>
        <color rgb="FF63BE7B"/>
        <color rgb="FFFFEB84"/>
        <color rgb="FFF8696B"/>
      </colorScale>
    </cfRule>
  </conditionalFormatting>
  <conditionalFormatting sqref="D6338:D6361">
    <cfRule type="colorScale" priority="1839">
      <colorScale>
        <cfvo type="min"/>
        <cfvo type="percentile" val="50"/>
        <cfvo type="max"/>
        <color rgb="FF63BE7B"/>
        <color rgb="FFFFEB84"/>
        <color rgb="FFF8696B"/>
      </colorScale>
    </cfRule>
  </conditionalFormatting>
  <conditionalFormatting sqref="F6338:F6361">
    <cfRule type="colorScale" priority="1838">
      <colorScale>
        <cfvo type="min"/>
        <cfvo type="percentile" val="50"/>
        <cfvo type="max"/>
        <color rgb="FF63BE7B"/>
        <color rgb="FFFFEB84"/>
        <color rgb="FFF8696B"/>
      </colorScale>
    </cfRule>
  </conditionalFormatting>
  <conditionalFormatting sqref="D6362:D6385">
    <cfRule type="colorScale" priority="1837">
      <colorScale>
        <cfvo type="min"/>
        <cfvo type="percentile" val="50"/>
        <cfvo type="max"/>
        <color rgb="FF63BE7B"/>
        <color rgb="FFFFEB84"/>
        <color rgb="FFF8696B"/>
      </colorScale>
    </cfRule>
  </conditionalFormatting>
  <conditionalFormatting sqref="F6362:F6385">
    <cfRule type="colorScale" priority="1836">
      <colorScale>
        <cfvo type="min"/>
        <cfvo type="percentile" val="50"/>
        <cfvo type="max"/>
        <color rgb="FF63BE7B"/>
        <color rgb="FFFFEB84"/>
        <color rgb="FFF8696B"/>
      </colorScale>
    </cfRule>
  </conditionalFormatting>
  <conditionalFormatting sqref="D6386:D6409">
    <cfRule type="colorScale" priority="1835">
      <colorScale>
        <cfvo type="min"/>
        <cfvo type="percentile" val="50"/>
        <cfvo type="max"/>
        <color rgb="FF63BE7B"/>
        <color rgb="FFFFEB84"/>
        <color rgb="FFF8696B"/>
      </colorScale>
    </cfRule>
  </conditionalFormatting>
  <conditionalFormatting sqref="F6386:F6409">
    <cfRule type="colorScale" priority="1834">
      <colorScale>
        <cfvo type="min"/>
        <cfvo type="percentile" val="50"/>
        <cfvo type="max"/>
        <color rgb="FF63BE7B"/>
        <color rgb="FFFFEB84"/>
        <color rgb="FFF8696B"/>
      </colorScale>
    </cfRule>
  </conditionalFormatting>
  <conditionalFormatting sqref="D6410:D6433">
    <cfRule type="colorScale" priority="1833">
      <colorScale>
        <cfvo type="min"/>
        <cfvo type="percentile" val="50"/>
        <cfvo type="max"/>
        <color rgb="FF63BE7B"/>
        <color rgb="FFFFEB84"/>
        <color rgb="FFF8696B"/>
      </colorScale>
    </cfRule>
  </conditionalFormatting>
  <conditionalFormatting sqref="F6410:F6433">
    <cfRule type="colorScale" priority="1832">
      <colorScale>
        <cfvo type="min"/>
        <cfvo type="percentile" val="50"/>
        <cfvo type="max"/>
        <color rgb="FF63BE7B"/>
        <color rgb="FFFFEB84"/>
        <color rgb="FFF8696B"/>
      </colorScale>
    </cfRule>
  </conditionalFormatting>
  <conditionalFormatting sqref="D6434:D6457">
    <cfRule type="colorScale" priority="1831">
      <colorScale>
        <cfvo type="min"/>
        <cfvo type="percentile" val="50"/>
        <cfvo type="max"/>
        <color rgb="FF63BE7B"/>
        <color rgb="FFFFEB84"/>
        <color rgb="FFF8696B"/>
      </colorScale>
    </cfRule>
  </conditionalFormatting>
  <conditionalFormatting sqref="F6434:F6457">
    <cfRule type="colorScale" priority="1830">
      <colorScale>
        <cfvo type="min"/>
        <cfvo type="percentile" val="50"/>
        <cfvo type="max"/>
        <color rgb="FF63BE7B"/>
        <color rgb="FFFFEB84"/>
        <color rgb="FFF8696B"/>
      </colorScale>
    </cfRule>
  </conditionalFormatting>
  <conditionalFormatting sqref="D6458:D6481">
    <cfRule type="colorScale" priority="1829">
      <colorScale>
        <cfvo type="min"/>
        <cfvo type="percentile" val="50"/>
        <cfvo type="max"/>
        <color rgb="FF63BE7B"/>
        <color rgb="FFFFEB84"/>
        <color rgb="FFF8696B"/>
      </colorScale>
    </cfRule>
  </conditionalFormatting>
  <conditionalFormatting sqref="F6458:F6481">
    <cfRule type="colorScale" priority="1828">
      <colorScale>
        <cfvo type="min"/>
        <cfvo type="percentile" val="50"/>
        <cfvo type="max"/>
        <color rgb="FF63BE7B"/>
        <color rgb="FFFFEB84"/>
        <color rgb="FFF8696B"/>
      </colorScale>
    </cfRule>
  </conditionalFormatting>
  <conditionalFormatting sqref="D6482:D6505">
    <cfRule type="colorScale" priority="1827">
      <colorScale>
        <cfvo type="min"/>
        <cfvo type="percentile" val="50"/>
        <cfvo type="max"/>
        <color rgb="FF63BE7B"/>
        <color rgb="FFFFEB84"/>
        <color rgb="FFF8696B"/>
      </colorScale>
    </cfRule>
  </conditionalFormatting>
  <conditionalFormatting sqref="F6482:F6505">
    <cfRule type="colorScale" priority="1826">
      <colorScale>
        <cfvo type="min"/>
        <cfvo type="percentile" val="50"/>
        <cfvo type="max"/>
        <color rgb="FF63BE7B"/>
        <color rgb="FFFFEB84"/>
        <color rgb="FFF8696B"/>
      </colorScale>
    </cfRule>
  </conditionalFormatting>
  <conditionalFormatting sqref="D6506:D6529">
    <cfRule type="colorScale" priority="1825">
      <colorScale>
        <cfvo type="min"/>
        <cfvo type="percentile" val="50"/>
        <cfvo type="max"/>
        <color rgb="FF63BE7B"/>
        <color rgb="FFFFEB84"/>
        <color rgb="FFF8696B"/>
      </colorScale>
    </cfRule>
  </conditionalFormatting>
  <conditionalFormatting sqref="F6506:F6529">
    <cfRule type="colorScale" priority="1824">
      <colorScale>
        <cfvo type="min"/>
        <cfvo type="percentile" val="50"/>
        <cfvo type="max"/>
        <color rgb="FF63BE7B"/>
        <color rgb="FFFFEB84"/>
        <color rgb="FFF8696B"/>
      </colorScale>
    </cfRule>
  </conditionalFormatting>
  <conditionalFormatting sqref="D6530:D6553">
    <cfRule type="colorScale" priority="1823">
      <colorScale>
        <cfvo type="min"/>
        <cfvo type="percentile" val="50"/>
        <cfvo type="max"/>
        <color rgb="FF63BE7B"/>
        <color rgb="FFFFEB84"/>
        <color rgb="FFF8696B"/>
      </colorScale>
    </cfRule>
  </conditionalFormatting>
  <conditionalFormatting sqref="F6530:F6553">
    <cfRule type="colorScale" priority="1822">
      <colorScale>
        <cfvo type="min"/>
        <cfvo type="percentile" val="50"/>
        <cfvo type="max"/>
        <color rgb="FF63BE7B"/>
        <color rgb="FFFFEB84"/>
        <color rgb="FFF8696B"/>
      </colorScale>
    </cfRule>
  </conditionalFormatting>
  <conditionalFormatting sqref="D6554:D6577">
    <cfRule type="colorScale" priority="1821">
      <colorScale>
        <cfvo type="min"/>
        <cfvo type="percentile" val="50"/>
        <cfvo type="max"/>
        <color rgb="FF63BE7B"/>
        <color rgb="FFFFEB84"/>
        <color rgb="FFF8696B"/>
      </colorScale>
    </cfRule>
  </conditionalFormatting>
  <conditionalFormatting sqref="F6554:F6577">
    <cfRule type="colorScale" priority="1820">
      <colorScale>
        <cfvo type="min"/>
        <cfvo type="percentile" val="50"/>
        <cfvo type="max"/>
        <color rgb="FF63BE7B"/>
        <color rgb="FFFFEB84"/>
        <color rgb="FFF8696B"/>
      </colorScale>
    </cfRule>
  </conditionalFormatting>
  <conditionalFormatting sqref="D6578:D6601">
    <cfRule type="colorScale" priority="1819">
      <colorScale>
        <cfvo type="min"/>
        <cfvo type="percentile" val="50"/>
        <cfvo type="max"/>
        <color rgb="FF63BE7B"/>
        <color rgb="FFFFEB84"/>
        <color rgb="FFF8696B"/>
      </colorScale>
    </cfRule>
  </conditionalFormatting>
  <conditionalFormatting sqref="F6578:F6601">
    <cfRule type="colorScale" priority="1818">
      <colorScale>
        <cfvo type="min"/>
        <cfvo type="percentile" val="50"/>
        <cfvo type="max"/>
        <color rgb="FF63BE7B"/>
        <color rgb="FFFFEB84"/>
        <color rgb="FFF8696B"/>
      </colorScale>
    </cfRule>
  </conditionalFormatting>
  <conditionalFormatting sqref="D6602:D6625">
    <cfRule type="colorScale" priority="1817">
      <colorScale>
        <cfvo type="min"/>
        <cfvo type="percentile" val="50"/>
        <cfvo type="max"/>
        <color rgb="FF63BE7B"/>
        <color rgb="FFFFEB84"/>
        <color rgb="FFF8696B"/>
      </colorScale>
    </cfRule>
  </conditionalFormatting>
  <conditionalFormatting sqref="F6602:F6625">
    <cfRule type="colorScale" priority="1816">
      <colorScale>
        <cfvo type="min"/>
        <cfvo type="percentile" val="50"/>
        <cfvo type="max"/>
        <color rgb="FF63BE7B"/>
        <color rgb="FFFFEB84"/>
        <color rgb="FFF8696B"/>
      </colorScale>
    </cfRule>
  </conditionalFormatting>
  <conditionalFormatting sqref="D6626:D6649">
    <cfRule type="colorScale" priority="1815">
      <colorScale>
        <cfvo type="min"/>
        <cfvo type="percentile" val="50"/>
        <cfvo type="max"/>
        <color rgb="FF63BE7B"/>
        <color rgb="FFFFEB84"/>
        <color rgb="FFF8696B"/>
      </colorScale>
    </cfRule>
  </conditionalFormatting>
  <conditionalFormatting sqref="F6626:F6649">
    <cfRule type="colorScale" priority="1814">
      <colorScale>
        <cfvo type="min"/>
        <cfvo type="percentile" val="50"/>
        <cfvo type="max"/>
        <color rgb="FF63BE7B"/>
        <color rgb="FFFFEB84"/>
        <color rgb="FFF8696B"/>
      </colorScale>
    </cfRule>
  </conditionalFormatting>
  <conditionalFormatting sqref="D6650:D6673">
    <cfRule type="colorScale" priority="1813">
      <colorScale>
        <cfvo type="min"/>
        <cfvo type="percentile" val="50"/>
        <cfvo type="max"/>
        <color rgb="FF63BE7B"/>
        <color rgb="FFFFEB84"/>
        <color rgb="FFF8696B"/>
      </colorScale>
    </cfRule>
  </conditionalFormatting>
  <conditionalFormatting sqref="F6650:F6673">
    <cfRule type="colorScale" priority="1812">
      <colorScale>
        <cfvo type="min"/>
        <cfvo type="percentile" val="50"/>
        <cfvo type="max"/>
        <color rgb="FF63BE7B"/>
        <color rgb="FFFFEB84"/>
        <color rgb="FFF8696B"/>
      </colorScale>
    </cfRule>
  </conditionalFormatting>
  <conditionalFormatting sqref="D6674:D6697">
    <cfRule type="colorScale" priority="1811">
      <colorScale>
        <cfvo type="min"/>
        <cfvo type="percentile" val="50"/>
        <cfvo type="max"/>
        <color rgb="FF63BE7B"/>
        <color rgb="FFFFEB84"/>
        <color rgb="FFF8696B"/>
      </colorScale>
    </cfRule>
  </conditionalFormatting>
  <conditionalFormatting sqref="F6674:F6697">
    <cfRule type="colorScale" priority="1810">
      <colorScale>
        <cfvo type="min"/>
        <cfvo type="percentile" val="50"/>
        <cfvo type="max"/>
        <color rgb="FF63BE7B"/>
        <color rgb="FFFFEB84"/>
        <color rgb="FFF8696B"/>
      </colorScale>
    </cfRule>
  </conditionalFormatting>
  <conditionalFormatting sqref="D6698:D6721">
    <cfRule type="colorScale" priority="1809">
      <colorScale>
        <cfvo type="min"/>
        <cfvo type="percentile" val="50"/>
        <cfvo type="max"/>
        <color rgb="FF63BE7B"/>
        <color rgb="FFFFEB84"/>
        <color rgb="FFF8696B"/>
      </colorScale>
    </cfRule>
  </conditionalFormatting>
  <conditionalFormatting sqref="F6698:F6721">
    <cfRule type="colorScale" priority="1808">
      <colorScale>
        <cfvo type="min"/>
        <cfvo type="percentile" val="50"/>
        <cfvo type="max"/>
        <color rgb="FF63BE7B"/>
        <color rgb="FFFFEB84"/>
        <color rgb="FFF8696B"/>
      </colorScale>
    </cfRule>
  </conditionalFormatting>
  <conditionalFormatting sqref="D6722:D6745">
    <cfRule type="colorScale" priority="1807">
      <colorScale>
        <cfvo type="min"/>
        <cfvo type="percentile" val="50"/>
        <cfvo type="max"/>
        <color rgb="FF63BE7B"/>
        <color rgb="FFFFEB84"/>
        <color rgb="FFF8696B"/>
      </colorScale>
    </cfRule>
  </conditionalFormatting>
  <conditionalFormatting sqref="F6722:F6745">
    <cfRule type="colorScale" priority="1806">
      <colorScale>
        <cfvo type="min"/>
        <cfvo type="percentile" val="50"/>
        <cfvo type="max"/>
        <color rgb="FF63BE7B"/>
        <color rgb="FFFFEB84"/>
        <color rgb="FFF8696B"/>
      </colorScale>
    </cfRule>
  </conditionalFormatting>
  <conditionalFormatting sqref="D6746:D6769">
    <cfRule type="colorScale" priority="1805">
      <colorScale>
        <cfvo type="min"/>
        <cfvo type="percentile" val="50"/>
        <cfvo type="max"/>
        <color rgb="FF63BE7B"/>
        <color rgb="FFFFEB84"/>
        <color rgb="FFF8696B"/>
      </colorScale>
    </cfRule>
  </conditionalFormatting>
  <conditionalFormatting sqref="F6746:F6769">
    <cfRule type="colorScale" priority="1804">
      <colorScale>
        <cfvo type="min"/>
        <cfvo type="percentile" val="50"/>
        <cfvo type="max"/>
        <color rgb="FF63BE7B"/>
        <color rgb="FFFFEB84"/>
        <color rgb="FFF8696B"/>
      </colorScale>
    </cfRule>
  </conditionalFormatting>
  <conditionalFormatting sqref="D6770:D6793">
    <cfRule type="colorScale" priority="1803">
      <colorScale>
        <cfvo type="min"/>
        <cfvo type="percentile" val="50"/>
        <cfvo type="max"/>
        <color rgb="FF63BE7B"/>
        <color rgb="FFFFEB84"/>
        <color rgb="FFF8696B"/>
      </colorScale>
    </cfRule>
  </conditionalFormatting>
  <conditionalFormatting sqref="F6770:F6793">
    <cfRule type="colorScale" priority="1802">
      <colorScale>
        <cfvo type="min"/>
        <cfvo type="percentile" val="50"/>
        <cfvo type="max"/>
        <color rgb="FF63BE7B"/>
        <color rgb="FFFFEB84"/>
        <color rgb="FFF8696B"/>
      </colorScale>
    </cfRule>
  </conditionalFormatting>
  <conditionalFormatting sqref="D6794:D6817">
    <cfRule type="colorScale" priority="1801">
      <colorScale>
        <cfvo type="min"/>
        <cfvo type="percentile" val="50"/>
        <cfvo type="max"/>
        <color rgb="FF63BE7B"/>
        <color rgb="FFFFEB84"/>
        <color rgb="FFF8696B"/>
      </colorScale>
    </cfRule>
  </conditionalFormatting>
  <conditionalFormatting sqref="F6794:F6817">
    <cfRule type="colorScale" priority="1800">
      <colorScale>
        <cfvo type="min"/>
        <cfvo type="percentile" val="50"/>
        <cfvo type="max"/>
        <color rgb="FF63BE7B"/>
        <color rgb="FFFFEB84"/>
        <color rgb="FFF8696B"/>
      </colorScale>
    </cfRule>
  </conditionalFormatting>
  <conditionalFormatting sqref="D6818:D6841">
    <cfRule type="colorScale" priority="1799">
      <colorScale>
        <cfvo type="min"/>
        <cfvo type="percentile" val="50"/>
        <cfvo type="max"/>
        <color rgb="FF63BE7B"/>
        <color rgb="FFFFEB84"/>
        <color rgb="FFF8696B"/>
      </colorScale>
    </cfRule>
  </conditionalFormatting>
  <conditionalFormatting sqref="F6818:F6841">
    <cfRule type="colorScale" priority="1798">
      <colorScale>
        <cfvo type="min"/>
        <cfvo type="percentile" val="50"/>
        <cfvo type="max"/>
        <color rgb="FF63BE7B"/>
        <color rgb="FFFFEB84"/>
        <color rgb="FFF8696B"/>
      </colorScale>
    </cfRule>
  </conditionalFormatting>
  <conditionalFormatting sqref="D6842:D6865">
    <cfRule type="colorScale" priority="1797">
      <colorScale>
        <cfvo type="min"/>
        <cfvo type="percentile" val="50"/>
        <cfvo type="max"/>
        <color rgb="FF63BE7B"/>
        <color rgb="FFFFEB84"/>
        <color rgb="FFF8696B"/>
      </colorScale>
    </cfRule>
  </conditionalFormatting>
  <conditionalFormatting sqref="F6842:F6865">
    <cfRule type="colorScale" priority="1796">
      <colorScale>
        <cfvo type="min"/>
        <cfvo type="percentile" val="50"/>
        <cfvo type="max"/>
        <color rgb="FF63BE7B"/>
        <color rgb="FFFFEB84"/>
        <color rgb="FFF8696B"/>
      </colorScale>
    </cfRule>
  </conditionalFormatting>
  <conditionalFormatting sqref="D6866:D6889">
    <cfRule type="colorScale" priority="1795">
      <colorScale>
        <cfvo type="min"/>
        <cfvo type="percentile" val="50"/>
        <cfvo type="max"/>
        <color rgb="FF63BE7B"/>
        <color rgb="FFFFEB84"/>
        <color rgb="FFF8696B"/>
      </colorScale>
    </cfRule>
  </conditionalFormatting>
  <conditionalFormatting sqref="F6866:F6889">
    <cfRule type="colorScale" priority="1794">
      <colorScale>
        <cfvo type="min"/>
        <cfvo type="percentile" val="50"/>
        <cfvo type="max"/>
        <color rgb="FF63BE7B"/>
        <color rgb="FFFFEB84"/>
        <color rgb="FFF8696B"/>
      </colorScale>
    </cfRule>
  </conditionalFormatting>
  <conditionalFormatting sqref="D6890:D6913">
    <cfRule type="colorScale" priority="1793">
      <colorScale>
        <cfvo type="min"/>
        <cfvo type="percentile" val="50"/>
        <cfvo type="max"/>
        <color rgb="FF63BE7B"/>
        <color rgb="FFFFEB84"/>
        <color rgb="FFF8696B"/>
      </colorScale>
    </cfRule>
  </conditionalFormatting>
  <conditionalFormatting sqref="F6890:F6913">
    <cfRule type="colorScale" priority="1792">
      <colorScale>
        <cfvo type="min"/>
        <cfvo type="percentile" val="50"/>
        <cfvo type="max"/>
        <color rgb="FF63BE7B"/>
        <color rgb="FFFFEB84"/>
        <color rgb="FFF8696B"/>
      </colorScale>
    </cfRule>
  </conditionalFormatting>
  <conditionalFormatting sqref="D6914:D6937">
    <cfRule type="colorScale" priority="1791">
      <colorScale>
        <cfvo type="min"/>
        <cfvo type="percentile" val="50"/>
        <cfvo type="max"/>
        <color rgb="FF63BE7B"/>
        <color rgb="FFFFEB84"/>
        <color rgb="FFF8696B"/>
      </colorScale>
    </cfRule>
  </conditionalFormatting>
  <conditionalFormatting sqref="F6914:F6937">
    <cfRule type="colorScale" priority="1790">
      <colorScale>
        <cfvo type="min"/>
        <cfvo type="percentile" val="50"/>
        <cfvo type="max"/>
        <color rgb="FF63BE7B"/>
        <color rgb="FFFFEB84"/>
        <color rgb="FFF8696B"/>
      </colorScale>
    </cfRule>
  </conditionalFormatting>
  <conditionalFormatting sqref="D6938:D6961">
    <cfRule type="colorScale" priority="1789">
      <colorScale>
        <cfvo type="min"/>
        <cfvo type="percentile" val="50"/>
        <cfvo type="max"/>
        <color rgb="FF63BE7B"/>
        <color rgb="FFFFEB84"/>
        <color rgb="FFF8696B"/>
      </colorScale>
    </cfRule>
  </conditionalFormatting>
  <conditionalFormatting sqref="F6938:F6961">
    <cfRule type="colorScale" priority="1788">
      <colorScale>
        <cfvo type="min"/>
        <cfvo type="percentile" val="50"/>
        <cfvo type="max"/>
        <color rgb="FF63BE7B"/>
        <color rgb="FFFFEB84"/>
        <color rgb="FFF8696B"/>
      </colorScale>
    </cfRule>
  </conditionalFormatting>
  <conditionalFormatting sqref="D6962:D6985">
    <cfRule type="colorScale" priority="1787">
      <colorScale>
        <cfvo type="min"/>
        <cfvo type="percentile" val="50"/>
        <cfvo type="max"/>
        <color rgb="FF63BE7B"/>
        <color rgb="FFFFEB84"/>
        <color rgb="FFF8696B"/>
      </colorScale>
    </cfRule>
  </conditionalFormatting>
  <conditionalFormatting sqref="F6962:F6985">
    <cfRule type="colorScale" priority="1786">
      <colorScale>
        <cfvo type="min"/>
        <cfvo type="percentile" val="50"/>
        <cfvo type="max"/>
        <color rgb="FF63BE7B"/>
        <color rgb="FFFFEB84"/>
        <color rgb="FFF8696B"/>
      </colorScale>
    </cfRule>
  </conditionalFormatting>
  <conditionalFormatting sqref="D6986:D7009">
    <cfRule type="colorScale" priority="1785">
      <colorScale>
        <cfvo type="min"/>
        <cfvo type="percentile" val="50"/>
        <cfvo type="max"/>
        <color rgb="FF63BE7B"/>
        <color rgb="FFFFEB84"/>
        <color rgb="FFF8696B"/>
      </colorScale>
    </cfRule>
  </conditionalFormatting>
  <conditionalFormatting sqref="F6986:F7009">
    <cfRule type="colorScale" priority="1784">
      <colorScale>
        <cfvo type="min"/>
        <cfvo type="percentile" val="50"/>
        <cfvo type="max"/>
        <color rgb="FF63BE7B"/>
        <color rgb="FFFFEB84"/>
        <color rgb="FFF8696B"/>
      </colorScale>
    </cfRule>
  </conditionalFormatting>
  <conditionalFormatting sqref="D7010:D7033">
    <cfRule type="colorScale" priority="1783">
      <colorScale>
        <cfvo type="min"/>
        <cfvo type="percentile" val="50"/>
        <cfvo type="max"/>
        <color rgb="FF63BE7B"/>
        <color rgb="FFFFEB84"/>
        <color rgb="FFF8696B"/>
      </colorScale>
    </cfRule>
  </conditionalFormatting>
  <conditionalFormatting sqref="F7010:F7033">
    <cfRule type="colorScale" priority="1782">
      <colorScale>
        <cfvo type="min"/>
        <cfvo type="percentile" val="50"/>
        <cfvo type="max"/>
        <color rgb="FF63BE7B"/>
        <color rgb="FFFFEB84"/>
        <color rgb="FFF8696B"/>
      </colorScale>
    </cfRule>
  </conditionalFormatting>
  <conditionalFormatting sqref="D7034:D7057">
    <cfRule type="colorScale" priority="1781">
      <colorScale>
        <cfvo type="min"/>
        <cfvo type="percentile" val="50"/>
        <cfvo type="max"/>
        <color rgb="FF63BE7B"/>
        <color rgb="FFFFEB84"/>
        <color rgb="FFF8696B"/>
      </colorScale>
    </cfRule>
  </conditionalFormatting>
  <conditionalFormatting sqref="F7034:F7057">
    <cfRule type="colorScale" priority="1780">
      <colorScale>
        <cfvo type="min"/>
        <cfvo type="percentile" val="50"/>
        <cfvo type="max"/>
        <color rgb="FF63BE7B"/>
        <color rgb="FFFFEB84"/>
        <color rgb="FFF8696B"/>
      </colorScale>
    </cfRule>
  </conditionalFormatting>
  <conditionalFormatting sqref="D7058:D7081">
    <cfRule type="colorScale" priority="1779">
      <colorScale>
        <cfvo type="min"/>
        <cfvo type="percentile" val="50"/>
        <cfvo type="max"/>
        <color rgb="FF63BE7B"/>
        <color rgb="FFFFEB84"/>
        <color rgb="FFF8696B"/>
      </colorScale>
    </cfRule>
  </conditionalFormatting>
  <conditionalFormatting sqref="F7058:F7081">
    <cfRule type="colorScale" priority="1778">
      <colorScale>
        <cfvo type="min"/>
        <cfvo type="percentile" val="50"/>
        <cfvo type="max"/>
        <color rgb="FF63BE7B"/>
        <color rgb="FFFFEB84"/>
        <color rgb="FFF8696B"/>
      </colorScale>
    </cfRule>
  </conditionalFormatting>
  <conditionalFormatting sqref="D7082:D7105">
    <cfRule type="colorScale" priority="1777">
      <colorScale>
        <cfvo type="min"/>
        <cfvo type="percentile" val="50"/>
        <cfvo type="max"/>
        <color rgb="FF63BE7B"/>
        <color rgb="FFFFEB84"/>
        <color rgb="FFF8696B"/>
      </colorScale>
    </cfRule>
  </conditionalFormatting>
  <conditionalFormatting sqref="F7082:F7105">
    <cfRule type="colorScale" priority="1776">
      <colorScale>
        <cfvo type="min"/>
        <cfvo type="percentile" val="50"/>
        <cfvo type="max"/>
        <color rgb="FF63BE7B"/>
        <color rgb="FFFFEB84"/>
        <color rgb="FFF8696B"/>
      </colorScale>
    </cfRule>
  </conditionalFormatting>
  <conditionalFormatting sqref="D7106:D7129">
    <cfRule type="colorScale" priority="1775">
      <colorScale>
        <cfvo type="min"/>
        <cfvo type="percentile" val="50"/>
        <cfvo type="max"/>
        <color rgb="FF63BE7B"/>
        <color rgb="FFFFEB84"/>
        <color rgb="FFF8696B"/>
      </colorScale>
    </cfRule>
  </conditionalFormatting>
  <conditionalFormatting sqref="F7106:F7129">
    <cfRule type="colorScale" priority="1774">
      <colorScale>
        <cfvo type="min"/>
        <cfvo type="percentile" val="50"/>
        <cfvo type="max"/>
        <color rgb="FF63BE7B"/>
        <color rgb="FFFFEB84"/>
        <color rgb="FFF8696B"/>
      </colorScale>
    </cfRule>
  </conditionalFormatting>
  <conditionalFormatting sqref="D7130:D7153">
    <cfRule type="colorScale" priority="1773">
      <colorScale>
        <cfvo type="min"/>
        <cfvo type="percentile" val="50"/>
        <cfvo type="max"/>
        <color rgb="FF63BE7B"/>
        <color rgb="FFFFEB84"/>
        <color rgb="FFF8696B"/>
      </colorScale>
    </cfRule>
  </conditionalFormatting>
  <conditionalFormatting sqref="F7130:F7153">
    <cfRule type="colorScale" priority="1772">
      <colorScale>
        <cfvo type="min"/>
        <cfvo type="percentile" val="50"/>
        <cfvo type="max"/>
        <color rgb="FF63BE7B"/>
        <color rgb="FFFFEB84"/>
        <color rgb="FFF8696B"/>
      </colorScale>
    </cfRule>
  </conditionalFormatting>
  <conditionalFormatting sqref="D7154:D7177">
    <cfRule type="colorScale" priority="1771">
      <colorScale>
        <cfvo type="min"/>
        <cfvo type="percentile" val="50"/>
        <cfvo type="max"/>
        <color rgb="FF63BE7B"/>
        <color rgb="FFFFEB84"/>
        <color rgb="FFF8696B"/>
      </colorScale>
    </cfRule>
  </conditionalFormatting>
  <conditionalFormatting sqref="F7154:F7177">
    <cfRule type="colorScale" priority="1770">
      <colorScale>
        <cfvo type="min"/>
        <cfvo type="percentile" val="50"/>
        <cfvo type="max"/>
        <color rgb="FF63BE7B"/>
        <color rgb="FFFFEB84"/>
        <color rgb="FFF8696B"/>
      </colorScale>
    </cfRule>
  </conditionalFormatting>
  <conditionalFormatting sqref="D7178:D7201">
    <cfRule type="colorScale" priority="1769">
      <colorScale>
        <cfvo type="min"/>
        <cfvo type="percentile" val="50"/>
        <cfvo type="max"/>
        <color rgb="FF63BE7B"/>
        <color rgb="FFFFEB84"/>
        <color rgb="FFF8696B"/>
      </colorScale>
    </cfRule>
  </conditionalFormatting>
  <conditionalFormatting sqref="F7178:F7201">
    <cfRule type="colorScale" priority="1768">
      <colorScale>
        <cfvo type="min"/>
        <cfvo type="percentile" val="50"/>
        <cfvo type="max"/>
        <color rgb="FF63BE7B"/>
        <color rgb="FFFFEB84"/>
        <color rgb="FFF8696B"/>
      </colorScale>
    </cfRule>
  </conditionalFormatting>
  <conditionalFormatting sqref="D7202:D7225">
    <cfRule type="colorScale" priority="1767">
      <colorScale>
        <cfvo type="min"/>
        <cfvo type="percentile" val="50"/>
        <cfvo type="max"/>
        <color rgb="FF63BE7B"/>
        <color rgb="FFFFEB84"/>
        <color rgb="FFF8696B"/>
      </colorScale>
    </cfRule>
  </conditionalFormatting>
  <conditionalFormatting sqref="F7202:F7225">
    <cfRule type="colorScale" priority="1766">
      <colorScale>
        <cfvo type="min"/>
        <cfvo type="percentile" val="50"/>
        <cfvo type="max"/>
        <color rgb="FF63BE7B"/>
        <color rgb="FFFFEB84"/>
        <color rgb="FFF8696B"/>
      </colorScale>
    </cfRule>
  </conditionalFormatting>
  <conditionalFormatting sqref="D7226:D7249">
    <cfRule type="colorScale" priority="1765">
      <colorScale>
        <cfvo type="min"/>
        <cfvo type="percentile" val="50"/>
        <cfvo type="max"/>
        <color rgb="FF63BE7B"/>
        <color rgb="FFFFEB84"/>
        <color rgb="FFF8696B"/>
      </colorScale>
    </cfRule>
  </conditionalFormatting>
  <conditionalFormatting sqref="F7226:F7249">
    <cfRule type="colorScale" priority="1764">
      <colorScale>
        <cfvo type="min"/>
        <cfvo type="percentile" val="50"/>
        <cfvo type="max"/>
        <color rgb="FF63BE7B"/>
        <color rgb="FFFFEB84"/>
        <color rgb="FFF8696B"/>
      </colorScale>
    </cfRule>
  </conditionalFormatting>
  <conditionalFormatting sqref="D7250:D7273">
    <cfRule type="colorScale" priority="1763">
      <colorScale>
        <cfvo type="min"/>
        <cfvo type="percentile" val="50"/>
        <cfvo type="max"/>
        <color rgb="FF63BE7B"/>
        <color rgb="FFFFEB84"/>
        <color rgb="FFF8696B"/>
      </colorScale>
    </cfRule>
  </conditionalFormatting>
  <conditionalFormatting sqref="F7250:F7273">
    <cfRule type="colorScale" priority="1762">
      <colorScale>
        <cfvo type="min"/>
        <cfvo type="percentile" val="50"/>
        <cfvo type="max"/>
        <color rgb="FF63BE7B"/>
        <color rgb="FFFFEB84"/>
        <color rgb="FFF8696B"/>
      </colorScale>
    </cfRule>
  </conditionalFormatting>
  <conditionalFormatting sqref="D7274:D7297">
    <cfRule type="colorScale" priority="1761">
      <colorScale>
        <cfvo type="min"/>
        <cfvo type="percentile" val="50"/>
        <cfvo type="max"/>
        <color rgb="FF63BE7B"/>
        <color rgb="FFFFEB84"/>
        <color rgb="FFF8696B"/>
      </colorScale>
    </cfRule>
  </conditionalFormatting>
  <conditionalFormatting sqref="F7274:F7297">
    <cfRule type="colorScale" priority="1760">
      <colorScale>
        <cfvo type="min"/>
        <cfvo type="percentile" val="50"/>
        <cfvo type="max"/>
        <color rgb="FF63BE7B"/>
        <color rgb="FFFFEB84"/>
        <color rgb="FFF8696B"/>
      </colorScale>
    </cfRule>
  </conditionalFormatting>
  <conditionalFormatting sqref="D7298:D7321">
    <cfRule type="colorScale" priority="1759">
      <colorScale>
        <cfvo type="min"/>
        <cfvo type="percentile" val="50"/>
        <cfvo type="max"/>
        <color rgb="FF63BE7B"/>
        <color rgb="FFFFEB84"/>
        <color rgb="FFF8696B"/>
      </colorScale>
    </cfRule>
  </conditionalFormatting>
  <conditionalFormatting sqref="F7298:F7321">
    <cfRule type="colorScale" priority="1758">
      <colorScale>
        <cfvo type="min"/>
        <cfvo type="percentile" val="50"/>
        <cfvo type="max"/>
        <color rgb="FF63BE7B"/>
        <color rgb="FFFFEB84"/>
        <color rgb="FFF8696B"/>
      </colorScale>
    </cfRule>
  </conditionalFormatting>
  <conditionalFormatting sqref="D7322:D7345">
    <cfRule type="colorScale" priority="1757">
      <colorScale>
        <cfvo type="min"/>
        <cfvo type="percentile" val="50"/>
        <cfvo type="max"/>
        <color rgb="FF63BE7B"/>
        <color rgb="FFFFEB84"/>
        <color rgb="FFF8696B"/>
      </colorScale>
    </cfRule>
  </conditionalFormatting>
  <conditionalFormatting sqref="F7322:F7345">
    <cfRule type="colorScale" priority="1756">
      <colorScale>
        <cfvo type="min"/>
        <cfvo type="percentile" val="50"/>
        <cfvo type="max"/>
        <color rgb="FF63BE7B"/>
        <color rgb="FFFFEB84"/>
        <color rgb="FFF8696B"/>
      </colorScale>
    </cfRule>
  </conditionalFormatting>
  <conditionalFormatting sqref="D7346:D7369">
    <cfRule type="colorScale" priority="1755">
      <colorScale>
        <cfvo type="min"/>
        <cfvo type="percentile" val="50"/>
        <cfvo type="max"/>
        <color rgb="FF63BE7B"/>
        <color rgb="FFFFEB84"/>
        <color rgb="FFF8696B"/>
      </colorScale>
    </cfRule>
  </conditionalFormatting>
  <conditionalFormatting sqref="F7346:F7369">
    <cfRule type="colorScale" priority="1754">
      <colorScale>
        <cfvo type="min"/>
        <cfvo type="percentile" val="50"/>
        <cfvo type="max"/>
        <color rgb="FF63BE7B"/>
        <color rgb="FFFFEB84"/>
        <color rgb="FFF8696B"/>
      </colorScale>
    </cfRule>
  </conditionalFormatting>
  <conditionalFormatting sqref="D7370:D7393">
    <cfRule type="colorScale" priority="1753">
      <colorScale>
        <cfvo type="min"/>
        <cfvo type="percentile" val="50"/>
        <cfvo type="max"/>
        <color rgb="FF63BE7B"/>
        <color rgb="FFFFEB84"/>
        <color rgb="FFF8696B"/>
      </colorScale>
    </cfRule>
  </conditionalFormatting>
  <conditionalFormatting sqref="F7370:F7393">
    <cfRule type="colorScale" priority="1752">
      <colorScale>
        <cfvo type="min"/>
        <cfvo type="percentile" val="50"/>
        <cfvo type="max"/>
        <color rgb="FF63BE7B"/>
        <color rgb="FFFFEB84"/>
        <color rgb="FFF8696B"/>
      </colorScale>
    </cfRule>
  </conditionalFormatting>
  <conditionalFormatting sqref="D7394:D7417">
    <cfRule type="colorScale" priority="1751">
      <colorScale>
        <cfvo type="min"/>
        <cfvo type="percentile" val="50"/>
        <cfvo type="max"/>
        <color rgb="FF63BE7B"/>
        <color rgb="FFFFEB84"/>
        <color rgb="FFF8696B"/>
      </colorScale>
    </cfRule>
  </conditionalFormatting>
  <conditionalFormatting sqref="F7394:F7417">
    <cfRule type="colorScale" priority="1750">
      <colorScale>
        <cfvo type="min"/>
        <cfvo type="percentile" val="50"/>
        <cfvo type="max"/>
        <color rgb="FF63BE7B"/>
        <color rgb="FFFFEB84"/>
        <color rgb="FFF8696B"/>
      </colorScale>
    </cfRule>
  </conditionalFormatting>
  <conditionalFormatting sqref="D7418:D7441">
    <cfRule type="colorScale" priority="1749">
      <colorScale>
        <cfvo type="min"/>
        <cfvo type="percentile" val="50"/>
        <cfvo type="max"/>
        <color rgb="FF63BE7B"/>
        <color rgb="FFFFEB84"/>
        <color rgb="FFF8696B"/>
      </colorScale>
    </cfRule>
  </conditionalFormatting>
  <conditionalFormatting sqref="F7418:F7441">
    <cfRule type="colorScale" priority="1748">
      <colorScale>
        <cfvo type="min"/>
        <cfvo type="percentile" val="50"/>
        <cfvo type="max"/>
        <color rgb="FF63BE7B"/>
        <color rgb="FFFFEB84"/>
        <color rgb="FFF8696B"/>
      </colorScale>
    </cfRule>
  </conditionalFormatting>
  <conditionalFormatting sqref="D7442:D7465">
    <cfRule type="colorScale" priority="1747">
      <colorScale>
        <cfvo type="min"/>
        <cfvo type="percentile" val="50"/>
        <cfvo type="max"/>
        <color rgb="FF63BE7B"/>
        <color rgb="FFFFEB84"/>
        <color rgb="FFF8696B"/>
      </colorScale>
    </cfRule>
  </conditionalFormatting>
  <conditionalFormatting sqref="F7442:F7465">
    <cfRule type="colorScale" priority="1746">
      <colorScale>
        <cfvo type="min"/>
        <cfvo type="percentile" val="50"/>
        <cfvo type="max"/>
        <color rgb="FF63BE7B"/>
        <color rgb="FFFFEB84"/>
        <color rgb="FFF8696B"/>
      </colorScale>
    </cfRule>
  </conditionalFormatting>
  <conditionalFormatting sqref="D7466:D7489">
    <cfRule type="colorScale" priority="1745">
      <colorScale>
        <cfvo type="min"/>
        <cfvo type="percentile" val="50"/>
        <cfvo type="max"/>
        <color rgb="FF63BE7B"/>
        <color rgb="FFFFEB84"/>
        <color rgb="FFF8696B"/>
      </colorScale>
    </cfRule>
  </conditionalFormatting>
  <conditionalFormatting sqref="F7466:F7489">
    <cfRule type="colorScale" priority="1744">
      <colorScale>
        <cfvo type="min"/>
        <cfvo type="percentile" val="50"/>
        <cfvo type="max"/>
        <color rgb="FF63BE7B"/>
        <color rgb="FFFFEB84"/>
        <color rgb="FFF8696B"/>
      </colorScale>
    </cfRule>
  </conditionalFormatting>
  <conditionalFormatting sqref="D7490:D7513">
    <cfRule type="colorScale" priority="1743">
      <colorScale>
        <cfvo type="min"/>
        <cfvo type="percentile" val="50"/>
        <cfvo type="max"/>
        <color rgb="FF63BE7B"/>
        <color rgb="FFFFEB84"/>
        <color rgb="FFF8696B"/>
      </colorScale>
    </cfRule>
  </conditionalFormatting>
  <conditionalFormatting sqref="F7490:F7513">
    <cfRule type="colorScale" priority="1742">
      <colorScale>
        <cfvo type="min"/>
        <cfvo type="percentile" val="50"/>
        <cfvo type="max"/>
        <color rgb="FF63BE7B"/>
        <color rgb="FFFFEB84"/>
        <color rgb="FFF8696B"/>
      </colorScale>
    </cfRule>
  </conditionalFormatting>
  <conditionalFormatting sqref="D7514:D7537">
    <cfRule type="colorScale" priority="1741">
      <colorScale>
        <cfvo type="min"/>
        <cfvo type="percentile" val="50"/>
        <cfvo type="max"/>
        <color rgb="FF63BE7B"/>
        <color rgb="FFFFEB84"/>
        <color rgb="FFF8696B"/>
      </colorScale>
    </cfRule>
  </conditionalFormatting>
  <conditionalFormatting sqref="F7514:F7537">
    <cfRule type="colorScale" priority="1740">
      <colorScale>
        <cfvo type="min"/>
        <cfvo type="percentile" val="50"/>
        <cfvo type="max"/>
        <color rgb="FF63BE7B"/>
        <color rgb="FFFFEB84"/>
        <color rgb="FFF8696B"/>
      </colorScale>
    </cfRule>
  </conditionalFormatting>
  <conditionalFormatting sqref="D7538:D7561">
    <cfRule type="colorScale" priority="1739">
      <colorScale>
        <cfvo type="min"/>
        <cfvo type="percentile" val="50"/>
        <cfvo type="max"/>
        <color rgb="FF63BE7B"/>
        <color rgb="FFFFEB84"/>
        <color rgb="FFF8696B"/>
      </colorScale>
    </cfRule>
  </conditionalFormatting>
  <conditionalFormatting sqref="F7538:F7561">
    <cfRule type="colorScale" priority="1738">
      <colorScale>
        <cfvo type="min"/>
        <cfvo type="percentile" val="50"/>
        <cfvo type="max"/>
        <color rgb="FF63BE7B"/>
        <color rgb="FFFFEB84"/>
        <color rgb="FFF8696B"/>
      </colorScale>
    </cfRule>
  </conditionalFormatting>
  <conditionalFormatting sqref="D7562:D7585">
    <cfRule type="colorScale" priority="1737">
      <colorScale>
        <cfvo type="min"/>
        <cfvo type="percentile" val="50"/>
        <cfvo type="max"/>
        <color rgb="FF63BE7B"/>
        <color rgb="FFFFEB84"/>
        <color rgb="FFF8696B"/>
      </colorScale>
    </cfRule>
  </conditionalFormatting>
  <conditionalFormatting sqref="F7562:F7585">
    <cfRule type="colorScale" priority="1736">
      <colorScale>
        <cfvo type="min"/>
        <cfvo type="percentile" val="50"/>
        <cfvo type="max"/>
        <color rgb="FF63BE7B"/>
        <color rgb="FFFFEB84"/>
        <color rgb="FFF8696B"/>
      </colorScale>
    </cfRule>
  </conditionalFormatting>
  <conditionalFormatting sqref="D7586:D7609">
    <cfRule type="colorScale" priority="1735">
      <colorScale>
        <cfvo type="min"/>
        <cfvo type="percentile" val="50"/>
        <cfvo type="max"/>
        <color rgb="FF63BE7B"/>
        <color rgb="FFFFEB84"/>
        <color rgb="FFF8696B"/>
      </colorScale>
    </cfRule>
  </conditionalFormatting>
  <conditionalFormatting sqref="F7586:F7609">
    <cfRule type="colorScale" priority="1734">
      <colorScale>
        <cfvo type="min"/>
        <cfvo type="percentile" val="50"/>
        <cfvo type="max"/>
        <color rgb="FF63BE7B"/>
        <color rgb="FFFFEB84"/>
        <color rgb="FFF8696B"/>
      </colorScale>
    </cfRule>
  </conditionalFormatting>
  <conditionalFormatting sqref="D7610:D7633">
    <cfRule type="colorScale" priority="1733">
      <colorScale>
        <cfvo type="min"/>
        <cfvo type="percentile" val="50"/>
        <cfvo type="max"/>
        <color rgb="FF63BE7B"/>
        <color rgb="FFFFEB84"/>
        <color rgb="FFF8696B"/>
      </colorScale>
    </cfRule>
  </conditionalFormatting>
  <conditionalFormatting sqref="F7610:F7633">
    <cfRule type="colorScale" priority="1732">
      <colorScale>
        <cfvo type="min"/>
        <cfvo type="percentile" val="50"/>
        <cfvo type="max"/>
        <color rgb="FF63BE7B"/>
        <color rgb="FFFFEB84"/>
        <color rgb="FFF8696B"/>
      </colorScale>
    </cfRule>
  </conditionalFormatting>
  <conditionalFormatting sqref="D7634:D7657">
    <cfRule type="colorScale" priority="1731">
      <colorScale>
        <cfvo type="min"/>
        <cfvo type="percentile" val="50"/>
        <cfvo type="max"/>
        <color rgb="FF63BE7B"/>
        <color rgb="FFFFEB84"/>
        <color rgb="FFF8696B"/>
      </colorScale>
    </cfRule>
  </conditionalFormatting>
  <conditionalFormatting sqref="F7634:F7657">
    <cfRule type="colorScale" priority="1730">
      <colorScale>
        <cfvo type="min"/>
        <cfvo type="percentile" val="50"/>
        <cfvo type="max"/>
        <color rgb="FF63BE7B"/>
        <color rgb="FFFFEB84"/>
        <color rgb="FFF8696B"/>
      </colorScale>
    </cfRule>
  </conditionalFormatting>
  <conditionalFormatting sqref="D7658:D7681">
    <cfRule type="colorScale" priority="1729">
      <colorScale>
        <cfvo type="min"/>
        <cfvo type="percentile" val="50"/>
        <cfvo type="max"/>
        <color rgb="FF63BE7B"/>
        <color rgb="FFFFEB84"/>
        <color rgb="FFF8696B"/>
      </colorScale>
    </cfRule>
  </conditionalFormatting>
  <conditionalFormatting sqref="F7658:F7681">
    <cfRule type="colorScale" priority="1728">
      <colorScale>
        <cfvo type="min"/>
        <cfvo type="percentile" val="50"/>
        <cfvo type="max"/>
        <color rgb="FF63BE7B"/>
        <color rgb="FFFFEB84"/>
        <color rgb="FFF8696B"/>
      </colorScale>
    </cfRule>
  </conditionalFormatting>
  <conditionalFormatting sqref="D7682:D7705">
    <cfRule type="colorScale" priority="1727">
      <colorScale>
        <cfvo type="min"/>
        <cfvo type="percentile" val="50"/>
        <cfvo type="max"/>
        <color rgb="FF63BE7B"/>
        <color rgb="FFFFEB84"/>
        <color rgb="FFF8696B"/>
      </colorScale>
    </cfRule>
  </conditionalFormatting>
  <conditionalFormatting sqref="F7682:F7705">
    <cfRule type="colorScale" priority="1726">
      <colorScale>
        <cfvo type="min"/>
        <cfvo type="percentile" val="50"/>
        <cfvo type="max"/>
        <color rgb="FF63BE7B"/>
        <color rgb="FFFFEB84"/>
        <color rgb="FFF8696B"/>
      </colorScale>
    </cfRule>
  </conditionalFormatting>
  <conditionalFormatting sqref="D7706:D7729">
    <cfRule type="colorScale" priority="1725">
      <colorScale>
        <cfvo type="min"/>
        <cfvo type="percentile" val="50"/>
        <cfvo type="max"/>
        <color rgb="FF63BE7B"/>
        <color rgb="FFFFEB84"/>
        <color rgb="FFF8696B"/>
      </colorScale>
    </cfRule>
  </conditionalFormatting>
  <conditionalFormatting sqref="F7706:F7729">
    <cfRule type="colorScale" priority="1724">
      <colorScale>
        <cfvo type="min"/>
        <cfvo type="percentile" val="50"/>
        <cfvo type="max"/>
        <color rgb="FF63BE7B"/>
        <color rgb="FFFFEB84"/>
        <color rgb="FFF8696B"/>
      </colorScale>
    </cfRule>
  </conditionalFormatting>
  <conditionalFormatting sqref="D7730:D7753">
    <cfRule type="colorScale" priority="1723">
      <colorScale>
        <cfvo type="min"/>
        <cfvo type="percentile" val="50"/>
        <cfvo type="max"/>
        <color rgb="FF63BE7B"/>
        <color rgb="FFFFEB84"/>
        <color rgb="FFF8696B"/>
      </colorScale>
    </cfRule>
  </conditionalFormatting>
  <conditionalFormatting sqref="F7730:F7753">
    <cfRule type="colorScale" priority="1722">
      <colorScale>
        <cfvo type="min"/>
        <cfvo type="percentile" val="50"/>
        <cfvo type="max"/>
        <color rgb="FF63BE7B"/>
        <color rgb="FFFFEB84"/>
        <color rgb="FFF8696B"/>
      </colorScale>
    </cfRule>
  </conditionalFormatting>
  <conditionalFormatting sqref="D7754:D7777">
    <cfRule type="colorScale" priority="1721">
      <colorScale>
        <cfvo type="min"/>
        <cfvo type="percentile" val="50"/>
        <cfvo type="max"/>
        <color rgb="FF63BE7B"/>
        <color rgb="FFFFEB84"/>
        <color rgb="FFF8696B"/>
      </colorScale>
    </cfRule>
  </conditionalFormatting>
  <conditionalFormatting sqref="F7754:F7777">
    <cfRule type="colorScale" priority="1720">
      <colorScale>
        <cfvo type="min"/>
        <cfvo type="percentile" val="50"/>
        <cfvo type="max"/>
        <color rgb="FF63BE7B"/>
        <color rgb="FFFFEB84"/>
        <color rgb="FFF8696B"/>
      </colorScale>
    </cfRule>
  </conditionalFormatting>
  <conditionalFormatting sqref="D7778:D7801">
    <cfRule type="colorScale" priority="1719">
      <colorScale>
        <cfvo type="min"/>
        <cfvo type="percentile" val="50"/>
        <cfvo type="max"/>
        <color rgb="FF63BE7B"/>
        <color rgb="FFFFEB84"/>
        <color rgb="FFF8696B"/>
      </colorScale>
    </cfRule>
  </conditionalFormatting>
  <conditionalFormatting sqref="F7778:F7801">
    <cfRule type="colorScale" priority="1718">
      <colorScale>
        <cfvo type="min"/>
        <cfvo type="percentile" val="50"/>
        <cfvo type="max"/>
        <color rgb="FF63BE7B"/>
        <color rgb="FFFFEB84"/>
        <color rgb="FFF8696B"/>
      </colorScale>
    </cfRule>
  </conditionalFormatting>
  <conditionalFormatting sqref="D7802:D7825">
    <cfRule type="colorScale" priority="1717">
      <colorScale>
        <cfvo type="min"/>
        <cfvo type="percentile" val="50"/>
        <cfvo type="max"/>
        <color rgb="FF63BE7B"/>
        <color rgb="FFFFEB84"/>
        <color rgb="FFF8696B"/>
      </colorScale>
    </cfRule>
  </conditionalFormatting>
  <conditionalFormatting sqref="F7802:F7825">
    <cfRule type="colorScale" priority="1716">
      <colorScale>
        <cfvo type="min"/>
        <cfvo type="percentile" val="50"/>
        <cfvo type="max"/>
        <color rgb="FF63BE7B"/>
        <color rgb="FFFFEB84"/>
        <color rgb="FFF8696B"/>
      </colorScale>
    </cfRule>
  </conditionalFormatting>
  <conditionalFormatting sqref="D7826:D7849">
    <cfRule type="colorScale" priority="1715">
      <colorScale>
        <cfvo type="min"/>
        <cfvo type="percentile" val="50"/>
        <cfvo type="max"/>
        <color rgb="FF63BE7B"/>
        <color rgb="FFFFEB84"/>
        <color rgb="FFF8696B"/>
      </colorScale>
    </cfRule>
  </conditionalFormatting>
  <conditionalFormatting sqref="F7826:F7849">
    <cfRule type="colorScale" priority="1714">
      <colorScale>
        <cfvo type="min"/>
        <cfvo type="percentile" val="50"/>
        <cfvo type="max"/>
        <color rgb="FF63BE7B"/>
        <color rgb="FFFFEB84"/>
        <color rgb="FFF8696B"/>
      </colorScale>
    </cfRule>
  </conditionalFormatting>
  <conditionalFormatting sqref="D7850:D7873">
    <cfRule type="colorScale" priority="1713">
      <colorScale>
        <cfvo type="min"/>
        <cfvo type="percentile" val="50"/>
        <cfvo type="max"/>
        <color rgb="FF63BE7B"/>
        <color rgb="FFFFEB84"/>
        <color rgb="FFF8696B"/>
      </colorScale>
    </cfRule>
  </conditionalFormatting>
  <conditionalFormatting sqref="F7850:F7873">
    <cfRule type="colorScale" priority="1712">
      <colorScale>
        <cfvo type="min"/>
        <cfvo type="percentile" val="50"/>
        <cfvo type="max"/>
        <color rgb="FF63BE7B"/>
        <color rgb="FFFFEB84"/>
        <color rgb="FFF8696B"/>
      </colorScale>
    </cfRule>
  </conditionalFormatting>
  <conditionalFormatting sqref="H7850">
    <cfRule type="cellIs" dxfId="1123" priority="1708" operator="lessThan">
      <formula>1.2</formula>
    </cfRule>
    <cfRule type="cellIs" dxfId="1122" priority="1709" operator="greaterThanOrEqual">
      <formula>1.2</formula>
    </cfRule>
  </conditionalFormatting>
  <conditionalFormatting sqref="H7851:H7873">
    <cfRule type="cellIs" dxfId="1121" priority="1706" operator="lessThan">
      <formula>1.2</formula>
    </cfRule>
    <cfRule type="cellIs" dxfId="1120" priority="1707" operator="greaterThanOrEqual">
      <formula>1.2</formula>
    </cfRule>
  </conditionalFormatting>
  <conditionalFormatting sqref="D7874:D7897">
    <cfRule type="colorScale" priority="1705">
      <colorScale>
        <cfvo type="min"/>
        <cfvo type="percentile" val="50"/>
        <cfvo type="max"/>
        <color rgb="FF63BE7B"/>
        <color rgb="FFFFEB84"/>
        <color rgb="FFF8696B"/>
      </colorScale>
    </cfRule>
  </conditionalFormatting>
  <conditionalFormatting sqref="F7874:F7897">
    <cfRule type="colorScale" priority="1704">
      <colorScale>
        <cfvo type="min"/>
        <cfvo type="percentile" val="50"/>
        <cfvo type="max"/>
        <color rgb="FF63BE7B"/>
        <color rgb="FFFFEB84"/>
        <color rgb="FFF8696B"/>
      </colorScale>
    </cfRule>
  </conditionalFormatting>
  <conditionalFormatting sqref="H7874">
    <cfRule type="cellIs" dxfId="1119" priority="1700" operator="lessThan">
      <formula>1.2</formula>
    </cfRule>
    <cfRule type="cellIs" dxfId="1118" priority="1701" operator="greaterThanOrEqual">
      <formula>1.2</formula>
    </cfRule>
  </conditionalFormatting>
  <conditionalFormatting sqref="H7875:H7897">
    <cfRule type="cellIs" dxfId="1117" priority="1698" operator="lessThan">
      <formula>1.2</formula>
    </cfRule>
    <cfRule type="cellIs" dxfId="1116" priority="1699" operator="greaterThanOrEqual">
      <formula>1.2</formula>
    </cfRule>
  </conditionalFormatting>
  <conditionalFormatting sqref="D7898:D7921">
    <cfRule type="colorScale" priority="1695">
      <colorScale>
        <cfvo type="min"/>
        <cfvo type="percentile" val="50"/>
        <cfvo type="max"/>
        <color rgb="FF63BE7B"/>
        <color rgb="FFFFEB84"/>
        <color rgb="FFF8696B"/>
      </colorScale>
    </cfRule>
  </conditionalFormatting>
  <conditionalFormatting sqref="F7898:F7921">
    <cfRule type="colorScale" priority="1692">
      <colorScale>
        <cfvo type="min"/>
        <cfvo type="percentile" val="50"/>
        <cfvo type="max"/>
        <color rgb="FF63BE7B"/>
        <color rgb="FFFFEB84"/>
        <color rgb="FFF8696B"/>
      </colorScale>
    </cfRule>
  </conditionalFormatting>
  <conditionalFormatting sqref="D7922:D7945">
    <cfRule type="colorScale" priority="1687">
      <colorScale>
        <cfvo type="min"/>
        <cfvo type="percentile" val="50"/>
        <cfvo type="max"/>
        <color rgb="FF63BE7B"/>
        <color rgb="FFFFEB84"/>
        <color rgb="FFF8696B"/>
      </colorScale>
    </cfRule>
  </conditionalFormatting>
  <conditionalFormatting sqref="F7922:F7945">
    <cfRule type="colorScale" priority="1684">
      <colorScale>
        <cfvo type="min"/>
        <cfvo type="percentile" val="50"/>
        <cfvo type="max"/>
        <color rgb="FF63BE7B"/>
        <color rgb="FFFFEB84"/>
        <color rgb="FFF8696B"/>
      </colorScale>
    </cfRule>
  </conditionalFormatting>
  <conditionalFormatting sqref="F7946:F7969">
    <cfRule type="colorScale" priority="1677">
      <colorScale>
        <cfvo type="min"/>
        <cfvo type="percentile" val="50"/>
        <cfvo type="max"/>
        <color rgb="FF63BE7B"/>
        <color rgb="FFFFEB84"/>
        <color rgb="FFF8696B"/>
      </colorScale>
    </cfRule>
  </conditionalFormatting>
  <conditionalFormatting sqref="D7946:D7969">
    <cfRule type="colorScale" priority="1672">
      <colorScale>
        <cfvo type="min"/>
        <cfvo type="percentile" val="50"/>
        <cfvo type="max"/>
        <color rgb="FF63BE7B"/>
        <color rgb="FFFFEB84"/>
        <color rgb="FFF8696B"/>
      </colorScale>
    </cfRule>
  </conditionalFormatting>
  <conditionalFormatting sqref="D7970:D7993">
    <cfRule type="colorScale" priority="1671">
      <colorScale>
        <cfvo type="min"/>
        <cfvo type="percentile" val="50"/>
        <cfvo type="max"/>
        <color rgb="FF63BE7B"/>
        <color rgb="FFFFEB84"/>
        <color rgb="FFF8696B"/>
      </colorScale>
    </cfRule>
  </conditionalFormatting>
  <conditionalFormatting sqref="F7970:F7993">
    <cfRule type="colorScale" priority="1668">
      <colorScale>
        <cfvo type="min"/>
        <cfvo type="percentile" val="50"/>
        <cfvo type="max"/>
        <color rgb="FF63BE7B"/>
        <color rgb="FFFFEB84"/>
        <color rgb="FFF8696B"/>
      </colorScale>
    </cfRule>
  </conditionalFormatting>
  <conditionalFormatting sqref="D7994:D8017">
    <cfRule type="colorScale" priority="1663">
      <colorScale>
        <cfvo type="min"/>
        <cfvo type="percentile" val="50"/>
        <cfvo type="max"/>
        <color rgb="FF63BE7B"/>
        <color rgb="FFFFEB84"/>
        <color rgb="FFF8696B"/>
      </colorScale>
    </cfRule>
  </conditionalFormatting>
  <conditionalFormatting sqref="D8018:D8041">
    <cfRule type="colorScale" priority="1655">
      <colorScale>
        <cfvo type="min"/>
        <cfvo type="percentile" val="50"/>
        <cfvo type="max"/>
        <color rgb="FF63BE7B"/>
        <color rgb="FFFFEB84"/>
        <color rgb="FFF8696B"/>
      </colorScale>
    </cfRule>
  </conditionalFormatting>
  <conditionalFormatting sqref="F8018:F8041">
    <cfRule type="colorScale" priority="1652">
      <colorScale>
        <cfvo type="min"/>
        <cfvo type="percentile" val="50"/>
        <cfvo type="max"/>
        <color rgb="FF63BE7B"/>
        <color rgb="FFFFEB84"/>
        <color rgb="FFF8696B"/>
      </colorScale>
    </cfRule>
  </conditionalFormatting>
  <conditionalFormatting sqref="H7826">
    <cfRule type="cellIs" dxfId="1115" priority="1644" operator="lessThan">
      <formula>1.2</formula>
    </cfRule>
    <cfRule type="cellIs" dxfId="1114" priority="1645" operator="greaterThanOrEqual">
      <formula>1.2</formula>
    </cfRule>
  </conditionalFormatting>
  <conditionalFormatting sqref="H7827:H7849">
    <cfRule type="cellIs" dxfId="1113" priority="1642" operator="lessThan">
      <formula>1.2</formula>
    </cfRule>
    <cfRule type="cellIs" dxfId="1112" priority="1643" operator="greaterThanOrEqual">
      <formula>1.2</formula>
    </cfRule>
  </conditionalFormatting>
  <conditionalFormatting sqref="H7802">
    <cfRule type="cellIs" dxfId="1111" priority="1638" operator="lessThan">
      <formula>1.2</formula>
    </cfRule>
    <cfRule type="cellIs" dxfId="1110" priority="1639" operator="greaterThanOrEqual">
      <formula>1.2</formula>
    </cfRule>
  </conditionalFormatting>
  <conditionalFormatting sqref="H7803:H7825">
    <cfRule type="cellIs" dxfId="1109" priority="1636" operator="lessThan">
      <formula>1.2</formula>
    </cfRule>
    <cfRule type="cellIs" dxfId="1108" priority="1637" operator="greaterThanOrEqual">
      <formula>1.2</formula>
    </cfRule>
  </conditionalFormatting>
  <conditionalFormatting sqref="D8042:D8065">
    <cfRule type="colorScale" priority="1635">
      <colorScale>
        <cfvo type="min"/>
        <cfvo type="percentile" val="50"/>
        <cfvo type="max"/>
        <color rgb="FF63BE7B"/>
        <color rgb="FFFFEB84"/>
        <color rgb="FFF8696B"/>
      </colorScale>
    </cfRule>
  </conditionalFormatting>
  <conditionalFormatting sqref="F8042:F8065">
    <cfRule type="colorScale" priority="1632">
      <colorScale>
        <cfvo type="min"/>
        <cfvo type="percentile" val="50"/>
        <cfvo type="max"/>
        <color rgb="FF63BE7B"/>
        <color rgb="FFFFEB84"/>
        <color rgb="FFF8696B"/>
      </colorScale>
    </cfRule>
  </conditionalFormatting>
  <conditionalFormatting sqref="D8066:D8089">
    <cfRule type="colorScale" priority="1627">
      <colorScale>
        <cfvo type="min"/>
        <cfvo type="percentile" val="50"/>
        <cfvo type="max"/>
        <color rgb="FF63BE7B"/>
        <color rgb="FFFFEB84"/>
        <color rgb="FFF8696B"/>
      </colorScale>
    </cfRule>
  </conditionalFormatting>
  <conditionalFormatting sqref="F8066:F8089">
    <cfRule type="colorScale" priority="1624">
      <colorScale>
        <cfvo type="min"/>
        <cfvo type="percentile" val="50"/>
        <cfvo type="max"/>
        <color rgb="FF63BE7B"/>
        <color rgb="FFFFEB84"/>
        <color rgb="FFF8696B"/>
      </colorScale>
    </cfRule>
  </conditionalFormatting>
  <conditionalFormatting sqref="D8090:D8113">
    <cfRule type="colorScale" priority="1619">
      <colorScale>
        <cfvo type="min"/>
        <cfvo type="percentile" val="50"/>
        <cfvo type="max"/>
        <color rgb="FF63BE7B"/>
        <color rgb="FFFFEB84"/>
        <color rgb="FFF8696B"/>
      </colorScale>
    </cfRule>
  </conditionalFormatting>
  <conditionalFormatting sqref="F8090:F8113">
    <cfRule type="colorScale" priority="1616">
      <colorScale>
        <cfvo type="min"/>
        <cfvo type="percentile" val="50"/>
        <cfvo type="max"/>
        <color rgb="FF63BE7B"/>
        <color rgb="FFFFEB84"/>
        <color rgb="FFF8696B"/>
      </colorScale>
    </cfRule>
  </conditionalFormatting>
  <conditionalFormatting sqref="F7994:F8017">
    <cfRule type="colorScale" priority="2341">
      <colorScale>
        <cfvo type="min"/>
        <cfvo type="percentile" val="50"/>
        <cfvo type="max"/>
        <color rgb="FF63BE7B"/>
        <color rgb="FFFFEB84"/>
        <color rgb="FFF8696B"/>
      </colorScale>
    </cfRule>
  </conditionalFormatting>
  <conditionalFormatting sqref="D8114:D8137">
    <cfRule type="colorScale" priority="1611">
      <colorScale>
        <cfvo type="min"/>
        <cfvo type="percentile" val="50"/>
        <cfvo type="max"/>
        <color rgb="FF63BE7B"/>
        <color rgb="FFFFEB84"/>
        <color rgb="FFF8696B"/>
      </colorScale>
    </cfRule>
  </conditionalFormatting>
  <conditionalFormatting sqref="F8114:F8137">
    <cfRule type="colorScale" priority="1608">
      <colorScale>
        <cfvo type="min"/>
        <cfvo type="percentile" val="50"/>
        <cfvo type="max"/>
        <color rgb="FF63BE7B"/>
        <color rgb="FFFFEB84"/>
        <color rgb="FFF8696B"/>
      </colorScale>
    </cfRule>
  </conditionalFormatting>
  <conditionalFormatting sqref="H7899:H7921">
    <cfRule type="cellIs" dxfId="1107" priority="1550" operator="lessThan">
      <formula>1.2</formula>
    </cfRule>
    <cfRule type="cellIs" dxfId="1106" priority="1551" operator="greaterThanOrEqual">
      <formula>1.2</formula>
    </cfRule>
  </conditionalFormatting>
  <conditionalFormatting sqref="H7898">
    <cfRule type="cellIs" dxfId="1105" priority="1552" operator="lessThan">
      <formula>1.2</formula>
    </cfRule>
    <cfRule type="cellIs" dxfId="1104" priority="1553" operator="greaterThanOrEqual">
      <formula>1.2</formula>
    </cfRule>
  </conditionalFormatting>
  <conditionalFormatting sqref="D8138:D8161">
    <cfRule type="colorScale" priority="1549">
      <colorScale>
        <cfvo type="min"/>
        <cfvo type="percentile" val="50"/>
        <cfvo type="max"/>
        <color rgb="FF63BE7B"/>
        <color rgb="FFFFEB84"/>
        <color rgb="FFF8696B"/>
      </colorScale>
    </cfRule>
  </conditionalFormatting>
  <conditionalFormatting sqref="F8138:F8161">
    <cfRule type="colorScale" priority="1546">
      <colorScale>
        <cfvo type="min"/>
        <cfvo type="percentile" val="50"/>
        <cfvo type="max"/>
        <color rgb="FF63BE7B"/>
        <color rgb="FFFFEB84"/>
        <color rgb="FFF8696B"/>
      </colorScale>
    </cfRule>
  </conditionalFormatting>
  <conditionalFormatting sqref="D8162:D8185">
    <cfRule type="colorScale" priority="1541">
      <colorScale>
        <cfvo type="min"/>
        <cfvo type="percentile" val="50"/>
        <cfvo type="max"/>
        <color rgb="FF63BE7B"/>
        <color rgb="FFFFEB84"/>
        <color rgb="FFF8696B"/>
      </colorScale>
    </cfRule>
  </conditionalFormatting>
  <conditionalFormatting sqref="F8162:F8185">
    <cfRule type="colorScale" priority="1538">
      <colorScale>
        <cfvo type="min"/>
        <cfvo type="percentile" val="50"/>
        <cfvo type="max"/>
        <color rgb="FF63BE7B"/>
        <color rgb="FFFFEB84"/>
        <color rgb="FFF8696B"/>
      </colorScale>
    </cfRule>
  </conditionalFormatting>
  <conditionalFormatting sqref="D8186:D8209">
    <cfRule type="colorScale" priority="1533">
      <colorScale>
        <cfvo type="min"/>
        <cfvo type="percentile" val="50"/>
        <cfvo type="max"/>
        <color rgb="FF63BE7B"/>
        <color rgb="FFFFEB84"/>
        <color rgb="FFF8696B"/>
      </colorScale>
    </cfRule>
  </conditionalFormatting>
  <conditionalFormatting sqref="F8186:F8209">
    <cfRule type="colorScale" priority="1530">
      <colorScale>
        <cfvo type="min"/>
        <cfvo type="percentile" val="50"/>
        <cfvo type="max"/>
        <color rgb="FF63BE7B"/>
        <color rgb="FFFFEB84"/>
        <color rgb="FFF8696B"/>
      </colorScale>
    </cfRule>
  </conditionalFormatting>
  <conditionalFormatting sqref="D8210:D8233">
    <cfRule type="colorScale" priority="1525">
      <colorScale>
        <cfvo type="min"/>
        <cfvo type="percentile" val="50"/>
        <cfvo type="max"/>
        <color rgb="FF63BE7B"/>
        <color rgb="FFFFEB84"/>
        <color rgb="FFF8696B"/>
      </colorScale>
    </cfRule>
  </conditionalFormatting>
  <conditionalFormatting sqref="F8210:F8233">
    <cfRule type="colorScale" priority="1522">
      <colorScale>
        <cfvo type="min"/>
        <cfvo type="percentile" val="50"/>
        <cfvo type="max"/>
        <color rgb="FF63BE7B"/>
        <color rgb="FFFFEB84"/>
        <color rgb="FFF8696B"/>
      </colorScale>
    </cfRule>
  </conditionalFormatting>
  <conditionalFormatting sqref="D8234:D8257">
    <cfRule type="colorScale" priority="1517">
      <colorScale>
        <cfvo type="min"/>
        <cfvo type="percentile" val="50"/>
        <cfvo type="max"/>
        <color rgb="FF63BE7B"/>
        <color rgb="FFFFEB84"/>
        <color rgb="FFF8696B"/>
      </colorScale>
    </cfRule>
  </conditionalFormatting>
  <conditionalFormatting sqref="F8234:F8257">
    <cfRule type="colorScale" priority="1514">
      <colorScale>
        <cfvo type="min"/>
        <cfvo type="percentile" val="50"/>
        <cfvo type="max"/>
        <color rgb="FF63BE7B"/>
        <color rgb="FFFFEB84"/>
        <color rgb="FFF8696B"/>
      </colorScale>
    </cfRule>
  </conditionalFormatting>
  <conditionalFormatting sqref="D8258:D8281">
    <cfRule type="colorScale" priority="1509">
      <colorScale>
        <cfvo type="min"/>
        <cfvo type="percentile" val="50"/>
        <cfvo type="max"/>
        <color rgb="FF63BE7B"/>
        <color rgb="FFFFEB84"/>
        <color rgb="FFF8696B"/>
      </colorScale>
    </cfRule>
  </conditionalFormatting>
  <conditionalFormatting sqref="F8258:F8281">
    <cfRule type="colorScale" priority="1506">
      <colorScale>
        <cfvo type="min"/>
        <cfvo type="percentile" val="50"/>
        <cfvo type="max"/>
        <color rgb="FF63BE7B"/>
        <color rgb="FFFFEB84"/>
        <color rgb="FFF8696B"/>
      </colorScale>
    </cfRule>
  </conditionalFormatting>
  <conditionalFormatting sqref="D8282:D8305">
    <cfRule type="colorScale" priority="1501">
      <colorScale>
        <cfvo type="min"/>
        <cfvo type="percentile" val="50"/>
        <cfvo type="max"/>
        <color rgb="FF63BE7B"/>
        <color rgb="FFFFEB84"/>
        <color rgb="FFF8696B"/>
      </colorScale>
    </cfRule>
  </conditionalFormatting>
  <conditionalFormatting sqref="F8282:F8305">
    <cfRule type="colorScale" priority="1498">
      <colorScale>
        <cfvo type="min"/>
        <cfvo type="percentile" val="50"/>
        <cfvo type="max"/>
        <color rgb="FF63BE7B"/>
        <color rgb="FFFFEB84"/>
        <color rgb="FFF8696B"/>
      </colorScale>
    </cfRule>
  </conditionalFormatting>
  <conditionalFormatting sqref="D8306:D8329">
    <cfRule type="colorScale" priority="1493">
      <colorScale>
        <cfvo type="min"/>
        <cfvo type="percentile" val="50"/>
        <cfvo type="max"/>
        <color rgb="FF63BE7B"/>
        <color rgb="FFFFEB84"/>
        <color rgb="FFF8696B"/>
      </colorScale>
    </cfRule>
  </conditionalFormatting>
  <conditionalFormatting sqref="F8306:F8329">
    <cfRule type="colorScale" priority="1490">
      <colorScale>
        <cfvo type="min"/>
        <cfvo type="percentile" val="50"/>
        <cfvo type="max"/>
        <color rgb="FF63BE7B"/>
        <color rgb="FFFFEB84"/>
        <color rgb="FFF8696B"/>
      </colorScale>
    </cfRule>
  </conditionalFormatting>
  <conditionalFormatting sqref="D8330:D8353">
    <cfRule type="colorScale" priority="1485">
      <colorScale>
        <cfvo type="min"/>
        <cfvo type="percentile" val="50"/>
        <cfvo type="max"/>
        <color rgb="FF63BE7B"/>
        <color rgb="FFFFEB84"/>
        <color rgb="FFF8696B"/>
      </colorScale>
    </cfRule>
  </conditionalFormatting>
  <conditionalFormatting sqref="F8330:F8353">
    <cfRule type="colorScale" priority="1482">
      <colorScale>
        <cfvo type="min"/>
        <cfvo type="percentile" val="50"/>
        <cfvo type="max"/>
        <color rgb="FF63BE7B"/>
        <color rgb="FFFFEB84"/>
        <color rgb="FFF8696B"/>
      </colorScale>
    </cfRule>
  </conditionalFormatting>
  <conditionalFormatting sqref="D8354:D8377">
    <cfRule type="colorScale" priority="1477">
      <colorScale>
        <cfvo type="min"/>
        <cfvo type="percentile" val="50"/>
        <cfvo type="max"/>
        <color rgb="FF63BE7B"/>
        <color rgb="FFFFEB84"/>
        <color rgb="FFF8696B"/>
      </colorScale>
    </cfRule>
  </conditionalFormatting>
  <conditionalFormatting sqref="F8354:F8377">
    <cfRule type="colorScale" priority="1474">
      <colorScale>
        <cfvo type="min"/>
        <cfvo type="percentile" val="50"/>
        <cfvo type="max"/>
        <color rgb="FF63BE7B"/>
        <color rgb="FFFFEB84"/>
        <color rgb="FFF8696B"/>
      </colorScale>
    </cfRule>
  </conditionalFormatting>
  <conditionalFormatting sqref="D8378:D8401">
    <cfRule type="colorScale" priority="1469">
      <colorScale>
        <cfvo type="min"/>
        <cfvo type="percentile" val="50"/>
        <cfvo type="max"/>
        <color rgb="FF63BE7B"/>
        <color rgb="FFFFEB84"/>
        <color rgb="FFF8696B"/>
      </colorScale>
    </cfRule>
  </conditionalFormatting>
  <conditionalFormatting sqref="D8402:D8425">
    <cfRule type="colorScale" priority="1468">
      <colorScale>
        <cfvo type="min"/>
        <cfvo type="percentile" val="50"/>
        <cfvo type="max"/>
        <color rgb="FF63BE7B"/>
        <color rgb="FFFFEB84"/>
        <color rgb="FFF8696B"/>
      </colorScale>
    </cfRule>
  </conditionalFormatting>
  <conditionalFormatting sqref="F8378:F8401">
    <cfRule type="colorScale" priority="1465">
      <colorScale>
        <cfvo type="min"/>
        <cfvo type="percentile" val="50"/>
        <cfvo type="max"/>
        <color rgb="FF63BE7B"/>
        <color rgb="FFFFEB84"/>
        <color rgb="FFF8696B"/>
      </colorScale>
    </cfRule>
  </conditionalFormatting>
  <conditionalFormatting sqref="H8403:H8425">
    <cfRule type="cellIs" dxfId="1103" priority="1454" operator="lessThan">
      <formula>1.2</formula>
    </cfRule>
    <cfRule type="cellIs" dxfId="1102" priority="1455" operator="greaterThanOrEqual">
      <formula>1.2</formula>
    </cfRule>
  </conditionalFormatting>
  <conditionalFormatting sqref="F8402:F8425">
    <cfRule type="colorScale" priority="1458">
      <colorScale>
        <cfvo type="min"/>
        <cfvo type="percentile" val="50"/>
        <cfvo type="max"/>
        <color rgb="FF63BE7B"/>
        <color rgb="FFFFEB84"/>
        <color rgb="FFF8696B"/>
      </colorScale>
    </cfRule>
  </conditionalFormatting>
  <conditionalFormatting sqref="H8402">
    <cfRule type="cellIs" dxfId="1101" priority="1456" operator="lessThan">
      <formula>1.2</formula>
    </cfRule>
    <cfRule type="cellIs" dxfId="1100" priority="1457" operator="greaterThanOrEqual">
      <formula>1.2</formula>
    </cfRule>
  </conditionalFormatting>
  <conditionalFormatting sqref="H8379:H8401">
    <cfRule type="cellIs" dxfId="1099" priority="1448" operator="lessThan">
      <formula>1.2</formula>
    </cfRule>
    <cfRule type="cellIs" dxfId="1098" priority="1449" operator="greaterThanOrEqual">
      <formula>1.2</formula>
    </cfRule>
  </conditionalFormatting>
  <conditionalFormatting sqref="H8378">
    <cfRule type="cellIs" dxfId="1097" priority="1450" operator="lessThan">
      <formula>1.2</formula>
    </cfRule>
    <cfRule type="cellIs" dxfId="1096" priority="1451" operator="greaterThanOrEqual">
      <formula>1.2</formula>
    </cfRule>
  </conditionalFormatting>
  <conditionalFormatting sqref="H8355:H8377">
    <cfRule type="cellIs" dxfId="1095" priority="1442" operator="lessThan">
      <formula>1.2</formula>
    </cfRule>
    <cfRule type="cellIs" dxfId="1094" priority="1443" operator="greaterThanOrEqual">
      <formula>1.2</formula>
    </cfRule>
  </conditionalFormatting>
  <conditionalFormatting sqref="H8354">
    <cfRule type="cellIs" dxfId="1093" priority="1444" operator="lessThan">
      <formula>1.2</formula>
    </cfRule>
    <cfRule type="cellIs" dxfId="1092" priority="1445" operator="greaterThanOrEqual">
      <formula>1.2</formula>
    </cfRule>
  </conditionalFormatting>
  <conditionalFormatting sqref="H8331:H8353">
    <cfRule type="cellIs" dxfId="1091" priority="1436" operator="lessThan">
      <formula>1.2</formula>
    </cfRule>
    <cfRule type="cellIs" dxfId="1090" priority="1437" operator="greaterThanOrEqual">
      <formula>1.2</formula>
    </cfRule>
  </conditionalFormatting>
  <conditionalFormatting sqref="H8330">
    <cfRule type="cellIs" dxfId="1089" priority="1438" operator="lessThan">
      <formula>1.2</formula>
    </cfRule>
    <cfRule type="cellIs" dxfId="1088" priority="1439" operator="greaterThanOrEqual">
      <formula>1.2</formula>
    </cfRule>
  </conditionalFormatting>
  <conditionalFormatting sqref="H8307:H8329">
    <cfRule type="cellIs" dxfId="1087" priority="1430" operator="lessThan">
      <formula>1.2</formula>
    </cfRule>
    <cfRule type="cellIs" dxfId="1086" priority="1431" operator="greaterThanOrEqual">
      <formula>1.2</formula>
    </cfRule>
  </conditionalFormatting>
  <conditionalFormatting sqref="H8306">
    <cfRule type="cellIs" dxfId="1085" priority="1432" operator="lessThan">
      <formula>1.2</formula>
    </cfRule>
    <cfRule type="cellIs" dxfId="1084" priority="1433" operator="greaterThanOrEqual">
      <formula>1.2</formula>
    </cfRule>
  </conditionalFormatting>
  <conditionalFormatting sqref="H8283:H8305">
    <cfRule type="cellIs" dxfId="1083" priority="1424" operator="lessThan">
      <formula>1.2</formula>
    </cfRule>
    <cfRule type="cellIs" dxfId="1082" priority="1425" operator="greaterThanOrEqual">
      <formula>1.2</formula>
    </cfRule>
  </conditionalFormatting>
  <conditionalFormatting sqref="H8282">
    <cfRule type="cellIs" dxfId="1081" priority="1426" operator="lessThan">
      <formula>1.2</formula>
    </cfRule>
    <cfRule type="cellIs" dxfId="1080" priority="1427" operator="greaterThanOrEqual">
      <formula>1.2</formula>
    </cfRule>
  </conditionalFormatting>
  <conditionalFormatting sqref="H8259:H8281">
    <cfRule type="cellIs" dxfId="1079" priority="1418" operator="lessThan">
      <formula>1.2</formula>
    </cfRule>
    <cfRule type="cellIs" dxfId="1078" priority="1419" operator="greaterThanOrEqual">
      <formula>1.2</formula>
    </cfRule>
  </conditionalFormatting>
  <conditionalFormatting sqref="H8258">
    <cfRule type="cellIs" dxfId="1077" priority="1420" operator="lessThan">
      <formula>1.2</formula>
    </cfRule>
    <cfRule type="cellIs" dxfId="1076" priority="1421" operator="greaterThanOrEqual">
      <formula>1.2</formula>
    </cfRule>
  </conditionalFormatting>
  <conditionalFormatting sqref="H8235:H8257">
    <cfRule type="cellIs" dxfId="1075" priority="1412" operator="lessThan">
      <formula>1.2</formula>
    </cfRule>
    <cfRule type="cellIs" dxfId="1074" priority="1413" operator="greaterThanOrEqual">
      <formula>1.2</formula>
    </cfRule>
  </conditionalFormatting>
  <conditionalFormatting sqref="H8234">
    <cfRule type="cellIs" dxfId="1073" priority="1414" operator="lessThan">
      <formula>1.2</formula>
    </cfRule>
    <cfRule type="cellIs" dxfId="1072" priority="1415" operator="greaterThanOrEqual">
      <formula>1.2</formula>
    </cfRule>
  </conditionalFormatting>
  <conditionalFormatting sqref="H8211:H8233">
    <cfRule type="cellIs" dxfId="1071" priority="1406" operator="lessThan">
      <formula>1.2</formula>
    </cfRule>
    <cfRule type="cellIs" dxfId="1070" priority="1407" operator="greaterThanOrEqual">
      <formula>1.2</formula>
    </cfRule>
  </conditionalFormatting>
  <conditionalFormatting sqref="H8210">
    <cfRule type="cellIs" dxfId="1069" priority="1408" operator="lessThan">
      <formula>1.2</formula>
    </cfRule>
    <cfRule type="cellIs" dxfId="1068" priority="1409" operator="greaterThanOrEqual">
      <formula>1.2</formula>
    </cfRule>
  </conditionalFormatting>
  <conditionalFormatting sqref="H8187:H8209">
    <cfRule type="cellIs" dxfId="1067" priority="1400" operator="lessThan">
      <formula>1.2</formula>
    </cfRule>
    <cfRule type="cellIs" dxfId="1066" priority="1401" operator="greaterThanOrEqual">
      <formula>1.2</formula>
    </cfRule>
  </conditionalFormatting>
  <conditionalFormatting sqref="H8186">
    <cfRule type="cellIs" dxfId="1065" priority="1402" operator="lessThan">
      <formula>1.2</formula>
    </cfRule>
    <cfRule type="cellIs" dxfId="1064" priority="1403" operator="greaterThanOrEqual">
      <formula>1.2</formula>
    </cfRule>
  </conditionalFormatting>
  <conditionalFormatting sqref="H8163:H8185">
    <cfRule type="cellIs" dxfId="1063" priority="1394" operator="lessThan">
      <formula>1.2</formula>
    </cfRule>
    <cfRule type="cellIs" dxfId="1062" priority="1395" operator="greaterThanOrEqual">
      <formula>1.2</formula>
    </cfRule>
  </conditionalFormatting>
  <conditionalFormatting sqref="H8162">
    <cfRule type="cellIs" dxfId="1061" priority="1396" operator="lessThan">
      <formula>1.2</formula>
    </cfRule>
    <cfRule type="cellIs" dxfId="1060" priority="1397" operator="greaterThanOrEqual">
      <formula>1.2</formula>
    </cfRule>
  </conditionalFormatting>
  <conditionalFormatting sqref="H8139:H8161">
    <cfRule type="cellIs" dxfId="1059" priority="1388" operator="lessThan">
      <formula>1.2</formula>
    </cfRule>
    <cfRule type="cellIs" dxfId="1058" priority="1389" operator="greaterThanOrEqual">
      <formula>1.2</formula>
    </cfRule>
  </conditionalFormatting>
  <conditionalFormatting sqref="H8138">
    <cfRule type="cellIs" dxfId="1057" priority="1390" operator="lessThan">
      <formula>1.2</formula>
    </cfRule>
    <cfRule type="cellIs" dxfId="1056" priority="1391" operator="greaterThanOrEqual">
      <formula>1.2</formula>
    </cfRule>
  </conditionalFormatting>
  <conditionalFormatting sqref="H8115:H8137">
    <cfRule type="cellIs" dxfId="1055" priority="1382" operator="lessThan">
      <formula>1.2</formula>
    </cfRule>
    <cfRule type="cellIs" dxfId="1054" priority="1383" operator="greaterThanOrEqual">
      <formula>1.2</formula>
    </cfRule>
  </conditionalFormatting>
  <conditionalFormatting sqref="H8114">
    <cfRule type="cellIs" dxfId="1053" priority="1384" operator="lessThan">
      <formula>1.2</formula>
    </cfRule>
    <cfRule type="cellIs" dxfId="1052" priority="1385" operator="greaterThanOrEqual">
      <formula>1.2</formula>
    </cfRule>
  </conditionalFormatting>
  <conditionalFormatting sqref="H8091:H8113">
    <cfRule type="cellIs" dxfId="1051" priority="1376" operator="lessThan">
      <formula>1.2</formula>
    </cfRule>
    <cfRule type="cellIs" dxfId="1050" priority="1377" operator="greaterThanOrEqual">
      <formula>1.2</formula>
    </cfRule>
  </conditionalFormatting>
  <conditionalFormatting sqref="H8090">
    <cfRule type="cellIs" dxfId="1049" priority="1378" operator="lessThan">
      <formula>1.2</formula>
    </cfRule>
    <cfRule type="cellIs" dxfId="1048" priority="1379" operator="greaterThanOrEqual">
      <formula>1.2</formula>
    </cfRule>
  </conditionalFormatting>
  <conditionalFormatting sqref="H8067:H8089">
    <cfRule type="cellIs" dxfId="1047" priority="1370" operator="lessThan">
      <formula>1.2</formula>
    </cfRule>
    <cfRule type="cellIs" dxfId="1046" priority="1371" operator="greaterThanOrEqual">
      <formula>1.2</formula>
    </cfRule>
  </conditionalFormatting>
  <conditionalFormatting sqref="H8066">
    <cfRule type="cellIs" dxfId="1045" priority="1372" operator="lessThan">
      <formula>1.2</formula>
    </cfRule>
    <cfRule type="cellIs" dxfId="1044" priority="1373" operator="greaterThanOrEqual">
      <formula>1.2</formula>
    </cfRule>
  </conditionalFormatting>
  <conditionalFormatting sqref="H8043:H8065">
    <cfRule type="cellIs" dxfId="1043" priority="1364" operator="lessThan">
      <formula>1.2</formula>
    </cfRule>
    <cfRule type="cellIs" dxfId="1042" priority="1365" operator="greaterThanOrEqual">
      <formula>1.2</formula>
    </cfRule>
  </conditionalFormatting>
  <conditionalFormatting sqref="H8042">
    <cfRule type="cellIs" dxfId="1041" priority="1366" operator="lessThan">
      <formula>1.2</formula>
    </cfRule>
    <cfRule type="cellIs" dxfId="1040" priority="1367" operator="greaterThanOrEqual">
      <formula>1.2</formula>
    </cfRule>
  </conditionalFormatting>
  <conditionalFormatting sqref="H8019:H8041">
    <cfRule type="cellIs" dxfId="1039" priority="1358" operator="lessThan">
      <formula>1.2</formula>
    </cfRule>
    <cfRule type="cellIs" dxfId="1038" priority="1359" operator="greaterThanOrEqual">
      <formula>1.2</formula>
    </cfRule>
  </conditionalFormatting>
  <conditionalFormatting sqref="H8018">
    <cfRule type="cellIs" dxfId="1037" priority="1360" operator="lessThan">
      <formula>1.2</formula>
    </cfRule>
    <cfRule type="cellIs" dxfId="1036" priority="1361" operator="greaterThanOrEqual">
      <formula>1.2</formula>
    </cfRule>
  </conditionalFormatting>
  <conditionalFormatting sqref="H7995:H8017">
    <cfRule type="cellIs" dxfId="1035" priority="1352" operator="lessThan">
      <formula>1.2</formula>
    </cfRule>
    <cfRule type="cellIs" dxfId="1034" priority="1353" operator="greaterThanOrEqual">
      <formula>1.2</formula>
    </cfRule>
  </conditionalFormatting>
  <conditionalFormatting sqref="H7994">
    <cfRule type="cellIs" dxfId="1033" priority="1354" operator="lessThan">
      <formula>1.2</formula>
    </cfRule>
    <cfRule type="cellIs" dxfId="1032" priority="1355" operator="greaterThanOrEqual">
      <formula>1.2</formula>
    </cfRule>
  </conditionalFormatting>
  <conditionalFormatting sqref="H7971:H7993">
    <cfRule type="cellIs" dxfId="1031" priority="1346" operator="lessThan">
      <formula>1.2</formula>
    </cfRule>
    <cfRule type="cellIs" dxfId="1030" priority="1347" operator="greaterThanOrEqual">
      <formula>1.2</formula>
    </cfRule>
  </conditionalFormatting>
  <conditionalFormatting sqref="H7970">
    <cfRule type="cellIs" dxfId="1029" priority="1348" operator="lessThan">
      <formula>1.2</formula>
    </cfRule>
    <cfRule type="cellIs" dxfId="1028" priority="1349" operator="greaterThanOrEqual">
      <formula>1.2</formula>
    </cfRule>
  </conditionalFormatting>
  <conditionalFormatting sqref="H7947:H7969">
    <cfRule type="cellIs" dxfId="1027" priority="1340" operator="lessThan">
      <formula>1.2</formula>
    </cfRule>
    <cfRule type="cellIs" dxfId="1026" priority="1341" operator="greaterThanOrEqual">
      <formula>1.2</formula>
    </cfRule>
  </conditionalFormatting>
  <conditionalFormatting sqref="H7946">
    <cfRule type="cellIs" dxfId="1025" priority="1342" operator="lessThan">
      <formula>1.2</formula>
    </cfRule>
    <cfRule type="cellIs" dxfId="1024" priority="1343" operator="greaterThanOrEqual">
      <formula>1.2</formula>
    </cfRule>
  </conditionalFormatting>
  <conditionalFormatting sqref="H7923:H7945">
    <cfRule type="cellIs" dxfId="1023" priority="1334" operator="lessThan">
      <formula>1.2</formula>
    </cfRule>
    <cfRule type="cellIs" dxfId="1022" priority="1335" operator="greaterThanOrEqual">
      <formula>1.2</formula>
    </cfRule>
  </conditionalFormatting>
  <conditionalFormatting sqref="H7922">
    <cfRule type="cellIs" dxfId="1021" priority="1336" operator="lessThan">
      <formula>1.2</formula>
    </cfRule>
    <cfRule type="cellIs" dxfId="1020" priority="1337" operator="greaterThanOrEqual">
      <formula>1.2</formula>
    </cfRule>
  </conditionalFormatting>
  <conditionalFormatting sqref="D8426:D8449">
    <cfRule type="colorScale" priority="1281">
      <colorScale>
        <cfvo type="min"/>
        <cfvo type="percentile" val="50"/>
        <cfvo type="max"/>
        <color rgb="FF63BE7B"/>
        <color rgb="FFFFEB84"/>
        <color rgb="FFF8696B"/>
      </colorScale>
    </cfRule>
  </conditionalFormatting>
  <conditionalFormatting sqref="H8427:H8449">
    <cfRule type="cellIs" dxfId="1019" priority="1274" operator="lessThan">
      <formula>1.2</formula>
    </cfRule>
    <cfRule type="cellIs" dxfId="1018" priority="1275" operator="greaterThanOrEqual">
      <formula>1.2</formula>
    </cfRule>
  </conditionalFormatting>
  <conditionalFormatting sqref="F8426:F8449">
    <cfRule type="colorScale" priority="1278">
      <colorScale>
        <cfvo type="min"/>
        <cfvo type="percentile" val="50"/>
        <cfvo type="max"/>
        <color rgb="FF63BE7B"/>
        <color rgb="FFFFEB84"/>
        <color rgb="FFF8696B"/>
      </colorScale>
    </cfRule>
  </conditionalFormatting>
  <conditionalFormatting sqref="H8426">
    <cfRule type="cellIs" dxfId="1017" priority="1276" operator="lessThan">
      <formula>1.2</formula>
    </cfRule>
    <cfRule type="cellIs" dxfId="1016" priority="1277" operator="greaterThanOrEqual">
      <formula>1.2</formula>
    </cfRule>
  </conditionalFormatting>
  <conditionalFormatting sqref="D8450:D8473">
    <cfRule type="colorScale" priority="1273">
      <colorScale>
        <cfvo type="min"/>
        <cfvo type="percentile" val="50"/>
        <cfvo type="max"/>
        <color rgb="FF63BE7B"/>
        <color rgb="FFFFEB84"/>
        <color rgb="FFF8696B"/>
      </colorScale>
    </cfRule>
  </conditionalFormatting>
  <conditionalFormatting sqref="H8451:H8473">
    <cfRule type="cellIs" dxfId="1015" priority="1266" operator="lessThan">
      <formula>1.2</formula>
    </cfRule>
    <cfRule type="cellIs" dxfId="1014" priority="1267" operator="greaterThanOrEqual">
      <formula>1.2</formula>
    </cfRule>
  </conditionalFormatting>
  <conditionalFormatting sqref="F8450:F8473">
    <cfRule type="colorScale" priority="1270">
      <colorScale>
        <cfvo type="min"/>
        <cfvo type="percentile" val="50"/>
        <cfvo type="max"/>
        <color rgb="FF63BE7B"/>
        <color rgb="FFFFEB84"/>
        <color rgb="FFF8696B"/>
      </colorScale>
    </cfRule>
  </conditionalFormatting>
  <conditionalFormatting sqref="H8450">
    <cfRule type="cellIs" dxfId="1013" priority="1268" operator="lessThan">
      <formula>1.2</formula>
    </cfRule>
    <cfRule type="cellIs" dxfId="1012" priority="1269" operator="greaterThanOrEqual">
      <formula>1.2</formula>
    </cfRule>
  </conditionalFormatting>
  <conditionalFormatting sqref="H8547:H8569">
    <cfRule type="cellIs" dxfId="1011" priority="1234" operator="lessThan">
      <formula>1.2</formula>
    </cfRule>
    <cfRule type="cellIs" dxfId="1010" priority="1235" operator="greaterThanOrEqual">
      <formula>1.2</formula>
    </cfRule>
  </conditionalFormatting>
  <conditionalFormatting sqref="D8474:D8497">
    <cfRule type="colorScale" priority="1265">
      <colorScale>
        <cfvo type="min"/>
        <cfvo type="percentile" val="50"/>
        <cfvo type="max"/>
        <color rgb="FF63BE7B"/>
        <color rgb="FFFFEB84"/>
        <color rgb="FFF8696B"/>
      </colorScale>
    </cfRule>
  </conditionalFormatting>
  <conditionalFormatting sqref="H8475:H8497">
    <cfRule type="cellIs" dxfId="1009" priority="1258" operator="lessThan">
      <formula>1.2</formula>
    </cfRule>
    <cfRule type="cellIs" dxfId="1008" priority="1259" operator="greaterThanOrEqual">
      <formula>1.2</formula>
    </cfRule>
  </conditionalFormatting>
  <conditionalFormatting sqref="F8474:F8497">
    <cfRule type="colorScale" priority="1262">
      <colorScale>
        <cfvo type="min"/>
        <cfvo type="percentile" val="50"/>
        <cfvo type="max"/>
        <color rgb="FF63BE7B"/>
        <color rgb="FFFFEB84"/>
        <color rgb="FFF8696B"/>
      </colorScale>
    </cfRule>
  </conditionalFormatting>
  <conditionalFormatting sqref="H8474">
    <cfRule type="cellIs" dxfId="1007" priority="1260" operator="lessThan">
      <formula>1.2</formula>
    </cfRule>
    <cfRule type="cellIs" dxfId="1006" priority="1261" operator="greaterThanOrEqual">
      <formula>1.2</formula>
    </cfRule>
  </conditionalFormatting>
  <conditionalFormatting sqref="D8498:D8521">
    <cfRule type="colorScale" priority="1257">
      <colorScale>
        <cfvo type="min"/>
        <cfvo type="percentile" val="50"/>
        <cfvo type="max"/>
        <color rgb="FF63BE7B"/>
        <color rgb="FFFFEB84"/>
        <color rgb="FFF8696B"/>
      </colorScale>
    </cfRule>
  </conditionalFormatting>
  <conditionalFormatting sqref="H8499:H8521">
    <cfRule type="cellIs" dxfId="1005" priority="1250" operator="lessThan">
      <formula>1.2</formula>
    </cfRule>
    <cfRule type="cellIs" dxfId="1004" priority="1251" operator="greaterThanOrEqual">
      <formula>1.2</formula>
    </cfRule>
  </conditionalFormatting>
  <conditionalFormatting sqref="F8498:F8521">
    <cfRule type="colorScale" priority="1254">
      <colorScale>
        <cfvo type="min"/>
        <cfvo type="percentile" val="50"/>
        <cfvo type="max"/>
        <color rgb="FF63BE7B"/>
        <color rgb="FFFFEB84"/>
        <color rgb="FFF8696B"/>
      </colorScale>
    </cfRule>
  </conditionalFormatting>
  <conditionalFormatting sqref="H8498">
    <cfRule type="cellIs" dxfId="1003" priority="1252" operator="lessThan">
      <formula>1.2</formula>
    </cfRule>
    <cfRule type="cellIs" dxfId="1002" priority="1253" operator="greaterThanOrEqual">
      <formula>1.2</formula>
    </cfRule>
  </conditionalFormatting>
  <conditionalFormatting sqref="D8522:D8545">
    <cfRule type="colorScale" priority="1249">
      <colorScale>
        <cfvo type="min"/>
        <cfvo type="percentile" val="50"/>
        <cfvo type="max"/>
        <color rgb="FF63BE7B"/>
        <color rgb="FFFFEB84"/>
        <color rgb="FFF8696B"/>
      </colorScale>
    </cfRule>
  </conditionalFormatting>
  <conditionalFormatting sqref="H8523:H8545">
    <cfRule type="cellIs" dxfId="1001" priority="1242" operator="lessThan">
      <formula>1.2</formula>
    </cfRule>
    <cfRule type="cellIs" dxfId="1000" priority="1243" operator="greaterThanOrEqual">
      <formula>1.2</formula>
    </cfRule>
  </conditionalFormatting>
  <conditionalFormatting sqref="F8522:F8545">
    <cfRule type="colorScale" priority="1246">
      <colorScale>
        <cfvo type="min"/>
        <cfvo type="percentile" val="50"/>
        <cfvo type="max"/>
        <color rgb="FF63BE7B"/>
        <color rgb="FFFFEB84"/>
        <color rgb="FFF8696B"/>
      </colorScale>
    </cfRule>
  </conditionalFormatting>
  <conditionalFormatting sqref="H8522">
    <cfRule type="cellIs" dxfId="999" priority="1244" operator="lessThan">
      <formula>1.2</formula>
    </cfRule>
    <cfRule type="cellIs" dxfId="998" priority="1245" operator="greaterThanOrEqual">
      <formula>1.2</formula>
    </cfRule>
  </conditionalFormatting>
  <conditionalFormatting sqref="D8546:D8569">
    <cfRule type="colorScale" priority="1241">
      <colorScale>
        <cfvo type="min"/>
        <cfvo type="percentile" val="50"/>
        <cfvo type="max"/>
        <color rgb="FF63BE7B"/>
        <color rgb="FFFFEB84"/>
        <color rgb="FFF8696B"/>
      </colorScale>
    </cfRule>
  </conditionalFormatting>
  <conditionalFormatting sqref="G8594:G8617">
    <cfRule type="cellIs" dxfId="997" priority="1159" operator="lessThan">
      <formula>150</formula>
    </cfRule>
    <cfRule type="cellIs" dxfId="996" priority="1160" operator="greaterThanOrEqual">
      <formula>150</formula>
    </cfRule>
  </conditionalFormatting>
  <conditionalFormatting sqref="F8546:F8569">
    <cfRule type="colorScale" priority="1238">
      <colorScale>
        <cfvo type="min"/>
        <cfvo type="percentile" val="50"/>
        <cfvo type="max"/>
        <color rgb="FF63BE7B"/>
        <color rgb="FFFFEB84"/>
        <color rgb="FFF8696B"/>
      </colorScale>
    </cfRule>
  </conditionalFormatting>
  <conditionalFormatting sqref="H8546">
    <cfRule type="cellIs" dxfId="995" priority="1236" operator="lessThan">
      <formula>1.2</formula>
    </cfRule>
    <cfRule type="cellIs" dxfId="994" priority="1237" operator="greaterThanOrEqual">
      <formula>1.2</formula>
    </cfRule>
  </conditionalFormatting>
  <conditionalFormatting sqref="D8570:D8593">
    <cfRule type="colorScale" priority="1233">
      <colorScale>
        <cfvo type="min"/>
        <cfvo type="percentile" val="50"/>
        <cfvo type="max"/>
        <color rgb="FF63BE7B"/>
        <color rgb="FFFFEB84"/>
        <color rgb="FFF8696B"/>
      </colorScale>
    </cfRule>
  </conditionalFormatting>
  <conditionalFormatting sqref="H8571:H8593">
    <cfRule type="cellIs" dxfId="993" priority="1226" operator="lessThan">
      <formula>1.2</formula>
    </cfRule>
    <cfRule type="cellIs" dxfId="992" priority="1227" operator="greaterThanOrEqual">
      <formula>1.2</formula>
    </cfRule>
  </conditionalFormatting>
  <conditionalFormatting sqref="G8570:G8593">
    <cfRule type="cellIs" dxfId="991" priority="1231" operator="lessThan">
      <formula>150</formula>
    </cfRule>
    <cfRule type="cellIs" dxfId="990" priority="1232" operator="greaterThanOrEqual">
      <formula>150</formula>
    </cfRule>
  </conditionalFormatting>
  <conditionalFormatting sqref="F8570:F8593">
    <cfRule type="colorScale" priority="1230">
      <colorScale>
        <cfvo type="min"/>
        <cfvo type="percentile" val="50"/>
        <cfvo type="max"/>
        <color rgb="FF63BE7B"/>
        <color rgb="FFFFEB84"/>
        <color rgb="FFF8696B"/>
      </colorScale>
    </cfRule>
  </conditionalFormatting>
  <conditionalFormatting sqref="H8570">
    <cfRule type="cellIs" dxfId="989" priority="1228" operator="lessThan">
      <formula>1.2</formula>
    </cfRule>
    <cfRule type="cellIs" dxfId="988" priority="1229" operator="greaterThanOrEqual">
      <formula>1.2</formula>
    </cfRule>
  </conditionalFormatting>
  <conditionalFormatting sqref="G8546:G8569">
    <cfRule type="cellIs" dxfId="987" priority="1224" operator="lessThan">
      <formula>150</formula>
    </cfRule>
    <cfRule type="cellIs" dxfId="986" priority="1225" operator="greaterThanOrEqual">
      <formula>150</formula>
    </cfRule>
  </conditionalFormatting>
  <conditionalFormatting sqref="G8522:G8545">
    <cfRule type="cellIs" dxfId="985" priority="1222" operator="lessThan">
      <formula>150</formula>
    </cfRule>
    <cfRule type="cellIs" dxfId="984" priority="1223" operator="greaterThanOrEqual">
      <formula>150</formula>
    </cfRule>
  </conditionalFormatting>
  <conditionalFormatting sqref="G8498:G8521">
    <cfRule type="cellIs" dxfId="983" priority="1220" operator="lessThan">
      <formula>150</formula>
    </cfRule>
    <cfRule type="cellIs" dxfId="982" priority="1221" operator="greaterThanOrEqual">
      <formula>150</formula>
    </cfRule>
  </conditionalFormatting>
  <conditionalFormatting sqref="G8474:G8497">
    <cfRule type="cellIs" dxfId="981" priority="1218" operator="lessThan">
      <formula>150</formula>
    </cfRule>
    <cfRule type="cellIs" dxfId="980" priority="1219" operator="greaterThanOrEqual">
      <formula>150</formula>
    </cfRule>
  </conditionalFormatting>
  <conditionalFormatting sqref="G8450:G8473">
    <cfRule type="cellIs" dxfId="979" priority="1216" operator="lessThan">
      <formula>150</formula>
    </cfRule>
    <cfRule type="cellIs" dxfId="978" priority="1217" operator="greaterThanOrEqual">
      <formula>150</formula>
    </cfRule>
  </conditionalFormatting>
  <conditionalFormatting sqref="G8426:G8449">
    <cfRule type="cellIs" dxfId="977" priority="1214" operator="lessThan">
      <formula>150</formula>
    </cfRule>
    <cfRule type="cellIs" dxfId="976" priority="1215" operator="greaterThanOrEqual">
      <formula>150</formula>
    </cfRule>
  </conditionalFormatting>
  <conditionalFormatting sqref="G8402:G8425">
    <cfRule type="cellIs" dxfId="975" priority="1212" operator="lessThan">
      <formula>150</formula>
    </cfRule>
    <cfRule type="cellIs" dxfId="974" priority="1213" operator="greaterThanOrEqual">
      <formula>150</formula>
    </cfRule>
  </conditionalFormatting>
  <conditionalFormatting sqref="G8378:G8401">
    <cfRule type="cellIs" dxfId="973" priority="1210" operator="lessThan">
      <formula>150</formula>
    </cfRule>
    <cfRule type="cellIs" dxfId="972" priority="1211" operator="greaterThanOrEqual">
      <formula>150</formula>
    </cfRule>
  </conditionalFormatting>
  <conditionalFormatting sqref="G8354:G8377">
    <cfRule type="cellIs" dxfId="971" priority="1208" operator="lessThan">
      <formula>150</formula>
    </cfRule>
    <cfRule type="cellIs" dxfId="970" priority="1209" operator="greaterThanOrEqual">
      <formula>150</formula>
    </cfRule>
  </conditionalFormatting>
  <conditionalFormatting sqref="G8330:G8353">
    <cfRule type="cellIs" dxfId="969" priority="1206" operator="lessThan">
      <formula>150</formula>
    </cfRule>
    <cfRule type="cellIs" dxfId="968" priority="1207" operator="greaterThanOrEqual">
      <formula>150</formula>
    </cfRule>
  </conditionalFormatting>
  <conditionalFormatting sqref="G8306:G8329">
    <cfRule type="cellIs" dxfId="967" priority="1204" operator="lessThan">
      <formula>150</formula>
    </cfRule>
    <cfRule type="cellIs" dxfId="966" priority="1205" operator="greaterThanOrEqual">
      <formula>150</formula>
    </cfRule>
  </conditionalFormatting>
  <conditionalFormatting sqref="G8282:G8305">
    <cfRule type="cellIs" dxfId="965" priority="1202" operator="lessThan">
      <formula>150</formula>
    </cfRule>
    <cfRule type="cellIs" dxfId="964" priority="1203" operator="greaterThanOrEqual">
      <formula>150</formula>
    </cfRule>
  </conditionalFormatting>
  <conditionalFormatting sqref="G8258:G8281">
    <cfRule type="cellIs" dxfId="963" priority="1200" operator="lessThan">
      <formula>150</formula>
    </cfRule>
    <cfRule type="cellIs" dxfId="962" priority="1201" operator="greaterThanOrEqual">
      <formula>150</formula>
    </cfRule>
  </conditionalFormatting>
  <conditionalFormatting sqref="G8234:G8257">
    <cfRule type="cellIs" dxfId="961" priority="1198" operator="lessThan">
      <formula>150</formula>
    </cfRule>
    <cfRule type="cellIs" dxfId="960" priority="1199" operator="greaterThanOrEqual">
      <formula>150</formula>
    </cfRule>
  </conditionalFormatting>
  <conditionalFormatting sqref="G8210:G8233">
    <cfRule type="cellIs" dxfId="959" priority="1196" operator="lessThan">
      <formula>150</formula>
    </cfRule>
    <cfRule type="cellIs" dxfId="958" priority="1197" operator="greaterThanOrEqual">
      <formula>150</formula>
    </cfRule>
  </conditionalFormatting>
  <conditionalFormatting sqref="G8186:G8209">
    <cfRule type="cellIs" dxfId="957" priority="1194" operator="lessThan">
      <formula>150</formula>
    </cfRule>
    <cfRule type="cellIs" dxfId="956" priority="1195" operator="greaterThanOrEqual">
      <formula>150</formula>
    </cfRule>
  </conditionalFormatting>
  <conditionalFormatting sqref="G8162:G8185">
    <cfRule type="cellIs" dxfId="955" priority="1192" operator="lessThan">
      <formula>150</formula>
    </cfRule>
    <cfRule type="cellIs" dxfId="954" priority="1193" operator="greaterThanOrEqual">
      <formula>150</formula>
    </cfRule>
  </conditionalFormatting>
  <conditionalFormatting sqref="G8138:G8161">
    <cfRule type="cellIs" dxfId="953" priority="1190" operator="lessThan">
      <formula>150</formula>
    </cfRule>
    <cfRule type="cellIs" dxfId="952" priority="1191" operator="greaterThanOrEqual">
      <formula>150</formula>
    </cfRule>
  </conditionalFormatting>
  <conditionalFormatting sqref="G8114:G8137">
    <cfRule type="cellIs" dxfId="951" priority="1188" operator="lessThan">
      <formula>150</formula>
    </cfRule>
    <cfRule type="cellIs" dxfId="950" priority="1189" operator="greaterThanOrEqual">
      <formula>150</formula>
    </cfRule>
  </conditionalFormatting>
  <conditionalFormatting sqref="G8090:G8113">
    <cfRule type="cellIs" dxfId="949" priority="1186" operator="lessThan">
      <formula>150</formula>
    </cfRule>
    <cfRule type="cellIs" dxfId="948" priority="1187" operator="greaterThanOrEqual">
      <formula>150</formula>
    </cfRule>
  </conditionalFormatting>
  <conditionalFormatting sqref="G8066:G8089">
    <cfRule type="cellIs" dxfId="947" priority="1184" operator="lessThan">
      <formula>150</formula>
    </cfRule>
    <cfRule type="cellIs" dxfId="946" priority="1185" operator="greaterThanOrEqual">
      <formula>150</formula>
    </cfRule>
  </conditionalFormatting>
  <conditionalFormatting sqref="G8042:G8065">
    <cfRule type="cellIs" dxfId="945" priority="1182" operator="lessThan">
      <formula>150</formula>
    </cfRule>
    <cfRule type="cellIs" dxfId="944" priority="1183" operator="greaterThanOrEqual">
      <formula>150</formula>
    </cfRule>
  </conditionalFormatting>
  <conditionalFormatting sqref="G8018:G8041">
    <cfRule type="cellIs" dxfId="943" priority="1180" operator="lessThan">
      <formula>150</formula>
    </cfRule>
    <cfRule type="cellIs" dxfId="942" priority="1181" operator="greaterThanOrEqual">
      <formula>150</formula>
    </cfRule>
  </conditionalFormatting>
  <conditionalFormatting sqref="G7994:G8017">
    <cfRule type="cellIs" dxfId="941" priority="1178" operator="lessThan">
      <formula>150</formula>
    </cfRule>
    <cfRule type="cellIs" dxfId="940" priority="1179" operator="greaterThanOrEqual">
      <formula>150</formula>
    </cfRule>
  </conditionalFormatting>
  <conditionalFormatting sqref="G7970:G7993">
    <cfRule type="cellIs" dxfId="939" priority="1176" operator="lessThan">
      <formula>150</formula>
    </cfRule>
    <cfRule type="cellIs" dxfId="938" priority="1177" operator="greaterThanOrEqual">
      <formula>150</formula>
    </cfRule>
  </conditionalFormatting>
  <conditionalFormatting sqref="G7946:G7969">
    <cfRule type="cellIs" dxfId="937" priority="1174" operator="lessThan">
      <formula>150</formula>
    </cfRule>
    <cfRule type="cellIs" dxfId="936" priority="1175" operator="greaterThanOrEqual">
      <formula>150</formula>
    </cfRule>
  </conditionalFormatting>
  <conditionalFormatting sqref="G7922:G7945">
    <cfRule type="cellIs" dxfId="935" priority="1172" operator="lessThan">
      <formula>150</formula>
    </cfRule>
    <cfRule type="cellIs" dxfId="934" priority="1173" operator="greaterThanOrEqual">
      <formula>150</formula>
    </cfRule>
  </conditionalFormatting>
  <conditionalFormatting sqref="G7898:G7921">
    <cfRule type="cellIs" dxfId="933" priority="1170" operator="lessThan">
      <formula>150</formula>
    </cfRule>
    <cfRule type="cellIs" dxfId="932" priority="1171" operator="greaterThanOrEqual">
      <formula>150</formula>
    </cfRule>
  </conditionalFormatting>
  <conditionalFormatting sqref="G7874:G7897">
    <cfRule type="cellIs" dxfId="931" priority="1168" operator="lessThan">
      <formula>150</formula>
    </cfRule>
    <cfRule type="cellIs" dxfId="930" priority="1169" operator="greaterThanOrEqual">
      <formula>150</formula>
    </cfRule>
  </conditionalFormatting>
  <conditionalFormatting sqref="G7850:G7873">
    <cfRule type="cellIs" dxfId="929" priority="1166" operator="lessThan">
      <formula>150</formula>
    </cfRule>
    <cfRule type="cellIs" dxfId="928" priority="1167" operator="greaterThanOrEqual">
      <formula>150</formula>
    </cfRule>
  </conditionalFormatting>
  <conditionalFormatting sqref="G7826:G7849">
    <cfRule type="cellIs" dxfId="927" priority="1164" operator="lessThan">
      <formula>150</formula>
    </cfRule>
    <cfRule type="cellIs" dxfId="926" priority="1165" operator="greaterThanOrEqual">
      <formula>150</formula>
    </cfRule>
  </conditionalFormatting>
  <conditionalFormatting sqref="G7802:G7825">
    <cfRule type="cellIs" dxfId="925" priority="1162" operator="lessThan">
      <formula>150</formula>
    </cfRule>
    <cfRule type="cellIs" dxfId="924" priority="1163" operator="greaterThanOrEqual">
      <formula>150</formula>
    </cfRule>
  </conditionalFormatting>
  <conditionalFormatting sqref="D8594:D8617">
    <cfRule type="colorScale" priority="1161">
      <colorScale>
        <cfvo type="min"/>
        <cfvo type="percentile" val="50"/>
        <cfvo type="max"/>
        <color rgb="FF63BE7B"/>
        <color rgb="FFFFEB84"/>
        <color rgb="FFF8696B"/>
      </colorScale>
    </cfRule>
  </conditionalFormatting>
  <conditionalFormatting sqref="H8595:H8617">
    <cfRule type="cellIs" dxfId="923" priority="1154" operator="lessThan">
      <formula>1.2</formula>
    </cfRule>
    <cfRule type="cellIs" dxfId="922" priority="1155" operator="greaterThanOrEqual">
      <formula>1.2</formula>
    </cfRule>
  </conditionalFormatting>
  <conditionalFormatting sqref="F8594:F8617">
    <cfRule type="colorScale" priority="1158">
      <colorScale>
        <cfvo type="min"/>
        <cfvo type="percentile" val="50"/>
        <cfvo type="max"/>
        <color rgb="FF63BE7B"/>
        <color rgb="FFFFEB84"/>
        <color rgb="FFF8696B"/>
      </colorScale>
    </cfRule>
  </conditionalFormatting>
  <conditionalFormatting sqref="H8594">
    <cfRule type="cellIs" dxfId="921" priority="1156" operator="lessThan">
      <formula>1.2</formula>
    </cfRule>
    <cfRule type="cellIs" dxfId="920" priority="1157" operator="greaterThanOrEqual">
      <formula>1.2</formula>
    </cfRule>
  </conditionalFormatting>
  <conditionalFormatting sqref="D8618:D8641">
    <cfRule type="colorScale" priority="1153">
      <colorScale>
        <cfvo type="min"/>
        <cfvo type="percentile" val="50"/>
        <cfvo type="max"/>
        <color rgb="FF63BE7B"/>
        <color rgb="FFFFEB84"/>
        <color rgb="FFF8696B"/>
      </colorScale>
    </cfRule>
  </conditionalFormatting>
  <conditionalFormatting sqref="H8619:H8641">
    <cfRule type="cellIs" dxfId="919" priority="1146" operator="lessThan">
      <formula>1.2</formula>
    </cfRule>
    <cfRule type="cellIs" dxfId="918" priority="1147" operator="greaterThanOrEqual">
      <formula>1.2</formula>
    </cfRule>
  </conditionalFormatting>
  <conditionalFormatting sqref="G8618:G8641">
    <cfRule type="cellIs" dxfId="917" priority="1151" operator="lessThan">
      <formula>150</formula>
    </cfRule>
    <cfRule type="cellIs" dxfId="916" priority="1152" operator="greaterThanOrEqual">
      <formula>150</formula>
    </cfRule>
  </conditionalFormatting>
  <conditionalFormatting sqref="F8618:F8641">
    <cfRule type="colorScale" priority="1150">
      <colorScale>
        <cfvo type="min"/>
        <cfvo type="percentile" val="50"/>
        <cfvo type="max"/>
        <color rgb="FF63BE7B"/>
        <color rgb="FFFFEB84"/>
        <color rgb="FFF8696B"/>
      </colorScale>
    </cfRule>
  </conditionalFormatting>
  <conditionalFormatting sqref="H8618">
    <cfRule type="cellIs" dxfId="915" priority="1148" operator="lessThan">
      <formula>1.2</formula>
    </cfRule>
    <cfRule type="cellIs" dxfId="914" priority="1149" operator="greaterThanOrEqual">
      <formula>1.2</formula>
    </cfRule>
  </conditionalFormatting>
  <conditionalFormatting sqref="D8642:D8665">
    <cfRule type="colorScale" priority="1145">
      <colorScale>
        <cfvo type="min"/>
        <cfvo type="percentile" val="50"/>
        <cfvo type="max"/>
        <color rgb="FF63BE7B"/>
        <color rgb="FFFFEB84"/>
        <color rgb="FFF8696B"/>
      </colorScale>
    </cfRule>
  </conditionalFormatting>
  <conditionalFormatting sqref="H8643:H8665">
    <cfRule type="cellIs" dxfId="913" priority="1138" operator="lessThan">
      <formula>1.2</formula>
    </cfRule>
    <cfRule type="cellIs" dxfId="912" priority="1139" operator="greaterThanOrEqual">
      <formula>1.2</formula>
    </cfRule>
  </conditionalFormatting>
  <conditionalFormatting sqref="G8642:G8665">
    <cfRule type="cellIs" dxfId="911" priority="1143" operator="lessThan">
      <formula>150</formula>
    </cfRule>
    <cfRule type="cellIs" dxfId="910" priority="1144" operator="greaterThanOrEqual">
      <formula>150</formula>
    </cfRule>
  </conditionalFormatting>
  <conditionalFormatting sqref="F8642:F8665">
    <cfRule type="colorScale" priority="1142">
      <colorScale>
        <cfvo type="min"/>
        <cfvo type="percentile" val="50"/>
        <cfvo type="max"/>
        <color rgb="FF63BE7B"/>
        <color rgb="FFFFEB84"/>
        <color rgb="FFF8696B"/>
      </colorScale>
    </cfRule>
  </conditionalFormatting>
  <conditionalFormatting sqref="H8642">
    <cfRule type="cellIs" dxfId="909" priority="1140" operator="lessThan">
      <formula>1.2</formula>
    </cfRule>
    <cfRule type="cellIs" dxfId="908" priority="1141" operator="greaterThanOrEqual">
      <formula>1.2</formula>
    </cfRule>
  </conditionalFormatting>
  <conditionalFormatting sqref="D8666:D8689">
    <cfRule type="colorScale" priority="1137">
      <colorScale>
        <cfvo type="min"/>
        <cfvo type="percentile" val="50"/>
        <cfvo type="max"/>
        <color rgb="FF63BE7B"/>
        <color rgb="FFFFEB84"/>
        <color rgb="FFF8696B"/>
      </colorScale>
    </cfRule>
  </conditionalFormatting>
  <conditionalFormatting sqref="H8667:H8689">
    <cfRule type="cellIs" dxfId="907" priority="1130" operator="lessThan">
      <formula>1.2</formula>
    </cfRule>
    <cfRule type="cellIs" dxfId="906" priority="1131" operator="greaterThanOrEqual">
      <formula>1.2</formula>
    </cfRule>
  </conditionalFormatting>
  <conditionalFormatting sqref="G8666:G8689">
    <cfRule type="cellIs" dxfId="905" priority="1135" operator="lessThan">
      <formula>150</formula>
    </cfRule>
    <cfRule type="cellIs" dxfId="904" priority="1136" operator="greaterThanOrEqual">
      <formula>150</formula>
    </cfRule>
  </conditionalFormatting>
  <conditionalFormatting sqref="F8666:F8689">
    <cfRule type="colorScale" priority="1134">
      <colorScale>
        <cfvo type="min"/>
        <cfvo type="percentile" val="50"/>
        <cfvo type="max"/>
        <color rgb="FF63BE7B"/>
        <color rgb="FFFFEB84"/>
        <color rgb="FFF8696B"/>
      </colorScale>
    </cfRule>
  </conditionalFormatting>
  <conditionalFormatting sqref="H8666">
    <cfRule type="cellIs" dxfId="903" priority="1132" operator="lessThan">
      <formula>1.2</formula>
    </cfRule>
    <cfRule type="cellIs" dxfId="902" priority="1133" operator="greaterThanOrEqual">
      <formula>1.2</formula>
    </cfRule>
  </conditionalFormatting>
  <conditionalFormatting sqref="D8690:D8713">
    <cfRule type="colorScale" priority="1129">
      <colorScale>
        <cfvo type="min"/>
        <cfvo type="percentile" val="50"/>
        <cfvo type="max"/>
        <color rgb="FF63BE7B"/>
        <color rgb="FFFFEB84"/>
        <color rgb="FFF8696B"/>
      </colorScale>
    </cfRule>
  </conditionalFormatting>
  <conditionalFormatting sqref="H8691:H8713">
    <cfRule type="cellIs" dxfId="901" priority="1122" operator="lessThan">
      <formula>1.2</formula>
    </cfRule>
    <cfRule type="cellIs" dxfId="900" priority="1123" operator="greaterThanOrEqual">
      <formula>1.2</formula>
    </cfRule>
  </conditionalFormatting>
  <conditionalFormatting sqref="G8690:G8713">
    <cfRule type="cellIs" dxfId="899" priority="1127" operator="lessThan">
      <formula>150</formula>
    </cfRule>
    <cfRule type="cellIs" dxfId="898" priority="1128" operator="greaterThanOrEqual">
      <formula>150</formula>
    </cfRule>
  </conditionalFormatting>
  <conditionalFormatting sqref="F8690:F8713">
    <cfRule type="colorScale" priority="1126">
      <colorScale>
        <cfvo type="min"/>
        <cfvo type="percentile" val="50"/>
        <cfvo type="max"/>
        <color rgb="FF63BE7B"/>
        <color rgb="FFFFEB84"/>
        <color rgb="FFF8696B"/>
      </colorScale>
    </cfRule>
  </conditionalFormatting>
  <conditionalFormatting sqref="H8690">
    <cfRule type="cellIs" dxfId="897" priority="1124" operator="lessThan">
      <formula>1.2</formula>
    </cfRule>
    <cfRule type="cellIs" dxfId="896" priority="1125" operator="greaterThanOrEqual">
      <formula>1.2</formula>
    </cfRule>
  </conditionalFormatting>
  <conditionalFormatting sqref="D8714:D8737">
    <cfRule type="colorScale" priority="1121">
      <colorScale>
        <cfvo type="min"/>
        <cfvo type="percentile" val="50"/>
        <cfvo type="max"/>
        <color rgb="FF63BE7B"/>
        <color rgb="FFFFEB84"/>
        <color rgb="FFF8696B"/>
      </colorScale>
    </cfRule>
  </conditionalFormatting>
  <conditionalFormatting sqref="H8715:H8737">
    <cfRule type="cellIs" dxfId="895" priority="1114" operator="lessThan">
      <formula>1.2</formula>
    </cfRule>
    <cfRule type="cellIs" dxfId="894" priority="1115" operator="greaterThanOrEqual">
      <formula>1.2</formula>
    </cfRule>
  </conditionalFormatting>
  <conditionalFormatting sqref="G8714:G8737">
    <cfRule type="cellIs" dxfId="893" priority="1119" operator="lessThan">
      <formula>150</formula>
    </cfRule>
    <cfRule type="cellIs" dxfId="892" priority="1120" operator="greaterThanOrEqual">
      <formula>150</formula>
    </cfRule>
  </conditionalFormatting>
  <conditionalFormatting sqref="F8714:F8737">
    <cfRule type="colorScale" priority="1118">
      <colorScale>
        <cfvo type="min"/>
        <cfvo type="percentile" val="50"/>
        <cfvo type="max"/>
        <color rgb="FF63BE7B"/>
        <color rgb="FFFFEB84"/>
        <color rgb="FFF8696B"/>
      </colorScale>
    </cfRule>
  </conditionalFormatting>
  <conditionalFormatting sqref="H8714">
    <cfRule type="cellIs" dxfId="891" priority="1116" operator="lessThan">
      <formula>1.2</formula>
    </cfRule>
    <cfRule type="cellIs" dxfId="890" priority="1117" operator="greaterThanOrEqual">
      <formula>1.2</formula>
    </cfRule>
  </conditionalFormatting>
  <conditionalFormatting sqref="D8738:D8761">
    <cfRule type="colorScale" priority="1113">
      <colorScale>
        <cfvo type="min"/>
        <cfvo type="percentile" val="50"/>
        <cfvo type="max"/>
        <color rgb="FF63BE7B"/>
        <color rgb="FFFFEB84"/>
        <color rgb="FFF8696B"/>
      </colorScale>
    </cfRule>
  </conditionalFormatting>
  <conditionalFormatting sqref="H8739:H8761">
    <cfRule type="cellIs" dxfId="889" priority="1106" operator="lessThan">
      <formula>1.2</formula>
    </cfRule>
    <cfRule type="cellIs" dxfId="888" priority="1107" operator="greaterThanOrEqual">
      <formula>1.2</formula>
    </cfRule>
  </conditionalFormatting>
  <conditionalFormatting sqref="G8738:G8761">
    <cfRule type="cellIs" dxfId="887" priority="1111" operator="lessThan">
      <formula>150</formula>
    </cfRule>
    <cfRule type="cellIs" dxfId="886" priority="1112" operator="greaterThanOrEqual">
      <formula>150</formula>
    </cfRule>
  </conditionalFormatting>
  <conditionalFormatting sqref="F8738:F8761">
    <cfRule type="colorScale" priority="1110">
      <colorScale>
        <cfvo type="min"/>
        <cfvo type="percentile" val="50"/>
        <cfvo type="max"/>
        <color rgb="FF63BE7B"/>
        <color rgb="FFFFEB84"/>
        <color rgb="FFF8696B"/>
      </colorScale>
    </cfRule>
  </conditionalFormatting>
  <conditionalFormatting sqref="H8738">
    <cfRule type="cellIs" dxfId="885" priority="1108" operator="lessThan">
      <formula>1.2</formula>
    </cfRule>
    <cfRule type="cellIs" dxfId="884" priority="1109" operator="greaterThanOrEqual">
      <formula>1.2</formula>
    </cfRule>
  </conditionalFormatting>
  <conditionalFormatting sqref="D8762:D8785">
    <cfRule type="colorScale" priority="1105">
      <colorScale>
        <cfvo type="min"/>
        <cfvo type="percentile" val="50"/>
        <cfvo type="max"/>
        <color rgb="FF63BE7B"/>
        <color rgb="FFFFEB84"/>
        <color rgb="FFF8696B"/>
      </colorScale>
    </cfRule>
  </conditionalFormatting>
  <conditionalFormatting sqref="H8763:H8785">
    <cfRule type="cellIs" dxfId="883" priority="1098" operator="lessThan">
      <formula>1.2</formula>
    </cfRule>
    <cfRule type="cellIs" dxfId="882" priority="1099" operator="greaterThanOrEqual">
      <formula>1.2</formula>
    </cfRule>
  </conditionalFormatting>
  <conditionalFormatting sqref="G8762:G8785">
    <cfRule type="cellIs" dxfId="881" priority="1103" operator="lessThan">
      <formula>150</formula>
    </cfRule>
    <cfRule type="cellIs" dxfId="880" priority="1104" operator="greaterThanOrEqual">
      <formula>150</formula>
    </cfRule>
  </conditionalFormatting>
  <conditionalFormatting sqref="F8762:F8785">
    <cfRule type="colorScale" priority="1102">
      <colorScale>
        <cfvo type="min"/>
        <cfvo type="percentile" val="50"/>
        <cfvo type="max"/>
        <color rgb="FF63BE7B"/>
        <color rgb="FFFFEB84"/>
        <color rgb="FFF8696B"/>
      </colorScale>
    </cfRule>
  </conditionalFormatting>
  <conditionalFormatting sqref="H8762">
    <cfRule type="cellIs" dxfId="879" priority="1100" operator="lessThan">
      <formula>1.2</formula>
    </cfRule>
    <cfRule type="cellIs" dxfId="878" priority="1101" operator="greaterThanOrEqual">
      <formula>1.2</formula>
    </cfRule>
  </conditionalFormatting>
  <conditionalFormatting sqref="D8786:D8809">
    <cfRule type="colorScale" priority="1097">
      <colorScale>
        <cfvo type="min"/>
        <cfvo type="percentile" val="50"/>
        <cfvo type="max"/>
        <color rgb="FF63BE7B"/>
        <color rgb="FFFFEB84"/>
        <color rgb="FFF8696B"/>
      </colorScale>
    </cfRule>
  </conditionalFormatting>
  <conditionalFormatting sqref="H8787:H8809">
    <cfRule type="cellIs" dxfId="877" priority="1090" operator="lessThan">
      <formula>1.2</formula>
    </cfRule>
    <cfRule type="cellIs" dxfId="876" priority="1091" operator="greaterThanOrEqual">
      <formula>1.2</formula>
    </cfRule>
  </conditionalFormatting>
  <conditionalFormatting sqref="G8786:G8809">
    <cfRule type="cellIs" dxfId="875" priority="1095" operator="lessThan">
      <formula>150</formula>
    </cfRule>
    <cfRule type="cellIs" dxfId="874" priority="1096" operator="greaterThanOrEqual">
      <formula>150</formula>
    </cfRule>
  </conditionalFormatting>
  <conditionalFormatting sqref="F8786:F8809">
    <cfRule type="colorScale" priority="1094">
      <colorScale>
        <cfvo type="min"/>
        <cfvo type="percentile" val="50"/>
        <cfvo type="max"/>
        <color rgb="FF63BE7B"/>
        <color rgb="FFFFEB84"/>
        <color rgb="FFF8696B"/>
      </colorScale>
    </cfRule>
  </conditionalFormatting>
  <conditionalFormatting sqref="H8786">
    <cfRule type="cellIs" dxfId="873" priority="1092" operator="lessThan">
      <formula>1.2</formula>
    </cfRule>
    <cfRule type="cellIs" dxfId="872" priority="1093" operator="greaterThanOrEqual">
      <formula>1.2</formula>
    </cfRule>
  </conditionalFormatting>
  <conditionalFormatting sqref="D8810:D8833">
    <cfRule type="colorScale" priority="1089">
      <colorScale>
        <cfvo type="min"/>
        <cfvo type="percentile" val="50"/>
        <cfvo type="max"/>
        <color rgb="FF63BE7B"/>
        <color rgb="FFFFEB84"/>
        <color rgb="FFF8696B"/>
      </colorScale>
    </cfRule>
  </conditionalFormatting>
  <conditionalFormatting sqref="H8811:H8833">
    <cfRule type="cellIs" dxfId="871" priority="1082" operator="lessThan">
      <formula>1.2</formula>
    </cfRule>
    <cfRule type="cellIs" dxfId="870" priority="1083" operator="greaterThanOrEqual">
      <formula>1.2</formula>
    </cfRule>
  </conditionalFormatting>
  <conditionalFormatting sqref="G8810:G8833">
    <cfRule type="cellIs" dxfId="869" priority="1087" operator="lessThan">
      <formula>150</formula>
    </cfRule>
    <cfRule type="cellIs" dxfId="868" priority="1088" operator="greaterThanOrEqual">
      <formula>150</formula>
    </cfRule>
  </conditionalFormatting>
  <conditionalFormatting sqref="F8810:F8833">
    <cfRule type="colorScale" priority="1086">
      <colorScale>
        <cfvo type="min"/>
        <cfvo type="percentile" val="50"/>
        <cfvo type="max"/>
        <color rgb="FF63BE7B"/>
        <color rgb="FFFFEB84"/>
        <color rgb="FFF8696B"/>
      </colorScale>
    </cfRule>
  </conditionalFormatting>
  <conditionalFormatting sqref="H8810">
    <cfRule type="cellIs" dxfId="867" priority="1084" operator="lessThan">
      <formula>1.2</formula>
    </cfRule>
    <cfRule type="cellIs" dxfId="866" priority="1085" operator="greaterThanOrEqual">
      <formula>1.2</formula>
    </cfRule>
  </conditionalFormatting>
  <conditionalFormatting sqref="D8834:D8857">
    <cfRule type="colorScale" priority="1081">
      <colorScale>
        <cfvo type="min"/>
        <cfvo type="percentile" val="50"/>
        <cfvo type="max"/>
        <color rgb="FF63BE7B"/>
        <color rgb="FFFFEB84"/>
        <color rgb="FFF8696B"/>
      </colorScale>
    </cfRule>
  </conditionalFormatting>
  <conditionalFormatting sqref="H8835:H8857">
    <cfRule type="cellIs" dxfId="865" priority="1074" operator="lessThan">
      <formula>1.2</formula>
    </cfRule>
    <cfRule type="cellIs" dxfId="864" priority="1075" operator="greaterThanOrEqual">
      <formula>1.2</formula>
    </cfRule>
  </conditionalFormatting>
  <conditionalFormatting sqref="G8834:G8857">
    <cfRule type="cellIs" dxfId="863" priority="1079" operator="lessThan">
      <formula>150</formula>
    </cfRule>
    <cfRule type="cellIs" dxfId="862" priority="1080" operator="greaterThanOrEqual">
      <formula>150</formula>
    </cfRule>
  </conditionalFormatting>
  <conditionalFormatting sqref="F8834:F8857">
    <cfRule type="colorScale" priority="1078">
      <colorScale>
        <cfvo type="min"/>
        <cfvo type="percentile" val="50"/>
        <cfvo type="max"/>
        <color rgb="FF63BE7B"/>
        <color rgb="FFFFEB84"/>
        <color rgb="FFF8696B"/>
      </colorScale>
    </cfRule>
  </conditionalFormatting>
  <conditionalFormatting sqref="H8834">
    <cfRule type="cellIs" dxfId="861" priority="1076" operator="lessThan">
      <formula>1.2</formula>
    </cfRule>
    <cfRule type="cellIs" dxfId="860" priority="1077" operator="greaterThanOrEqual">
      <formula>1.2</formula>
    </cfRule>
  </conditionalFormatting>
  <conditionalFormatting sqref="D8858:D8881">
    <cfRule type="colorScale" priority="1073">
      <colorScale>
        <cfvo type="min"/>
        <cfvo type="percentile" val="50"/>
        <cfvo type="max"/>
        <color rgb="FF63BE7B"/>
        <color rgb="FFFFEB84"/>
        <color rgb="FFF8696B"/>
      </colorScale>
    </cfRule>
  </conditionalFormatting>
  <conditionalFormatting sqref="H8859:H8881">
    <cfRule type="cellIs" dxfId="859" priority="1066" operator="lessThan">
      <formula>1.2</formula>
    </cfRule>
    <cfRule type="cellIs" dxfId="858" priority="1067" operator="greaterThanOrEqual">
      <formula>1.2</formula>
    </cfRule>
  </conditionalFormatting>
  <conditionalFormatting sqref="G8858:G8881">
    <cfRule type="cellIs" dxfId="857" priority="1071" operator="lessThan">
      <formula>150</formula>
    </cfRule>
    <cfRule type="cellIs" dxfId="856" priority="1072" operator="greaterThanOrEqual">
      <formula>150</formula>
    </cfRule>
  </conditionalFormatting>
  <conditionalFormatting sqref="F8858:F8881">
    <cfRule type="colorScale" priority="1070">
      <colorScale>
        <cfvo type="min"/>
        <cfvo type="percentile" val="50"/>
        <cfvo type="max"/>
        <color rgb="FF63BE7B"/>
        <color rgb="FFFFEB84"/>
        <color rgb="FFF8696B"/>
      </colorScale>
    </cfRule>
  </conditionalFormatting>
  <conditionalFormatting sqref="H8858">
    <cfRule type="cellIs" dxfId="855" priority="1068" operator="lessThan">
      <formula>1.2</formula>
    </cfRule>
    <cfRule type="cellIs" dxfId="854" priority="1069" operator="greaterThanOrEqual">
      <formula>1.2</formula>
    </cfRule>
  </conditionalFormatting>
  <conditionalFormatting sqref="D8882:D8905">
    <cfRule type="colorScale" priority="1065">
      <colorScale>
        <cfvo type="min"/>
        <cfvo type="percentile" val="50"/>
        <cfvo type="max"/>
        <color rgb="FF63BE7B"/>
        <color rgb="FFFFEB84"/>
        <color rgb="FFF8696B"/>
      </colorScale>
    </cfRule>
  </conditionalFormatting>
  <conditionalFormatting sqref="H8883:H8905">
    <cfRule type="cellIs" dxfId="853" priority="1058" operator="lessThan">
      <formula>1.2</formula>
    </cfRule>
    <cfRule type="cellIs" dxfId="852" priority="1059" operator="greaterThanOrEqual">
      <formula>1.2</formula>
    </cfRule>
  </conditionalFormatting>
  <conditionalFormatting sqref="G8882:G8905">
    <cfRule type="cellIs" dxfId="851" priority="1063" operator="lessThan">
      <formula>150</formula>
    </cfRule>
    <cfRule type="cellIs" dxfId="850" priority="1064" operator="greaterThanOrEqual">
      <formula>150</formula>
    </cfRule>
  </conditionalFormatting>
  <conditionalFormatting sqref="F8882:F8905">
    <cfRule type="colorScale" priority="1062">
      <colorScale>
        <cfvo type="min"/>
        <cfvo type="percentile" val="50"/>
        <cfvo type="max"/>
        <color rgb="FF63BE7B"/>
        <color rgb="FFFFEB84"/>
        <color rgb="FFF8696B"/>
      </colorScale>
    </cfRule>
  </conditionalFormatting>
  <conditionalFormatting sqref="H8882">
    <cfRule type="cellIs" dxfId="849" priority="1060" operator="lessThan">
      <formula>1.2</formula>
    </cfRule>
    <cfRule type="cellIs" dxfId="848" priority="1061" operator="greaterThanOrEqual">
      <formula>1.2</formula>
    </cfRule>
  </conditionalFormatting>
  <conditionalFormatting sqref="D8906:D8929">
    <cfRule type="colorScale" priority="1057">
      <colorScale>
        <cfvo type="min"/>
        <cfvo type="percentile" val="50"/>
        <cfvo type="max"/>
        <color rgb="FF63BE7B"/>
        <color rgb="FFFFEB84"/>
        <color rgb="FFF8696B"/>
      </colorScale>
    </cfRule>
  </conditionalFormatting>
  <conditionalFormatting sqref="H8907:H8929">
    <cfRule type="cellIs" dxfId="847" priority="1050" operator="lessThan">
      <formula>1.2</formula>
    </cfRule>
    <cfRule type="cellIs" dxfId="846" priority="1051" operator="greaterThanOrEqual">
      <formula>1.2</formula>
    </cfRule>
  </conditionalFormatting>
  <conditionalFormatting sqref="G8906:G8929">
    <cfRule type="cellIs" dxfId="845" priority="1055" operator="lessThan">
      <formula>150</formula>
    </cfRule>
    <cfRule type="cellIs" dxfId="844" priority="1056" operator="greaterThanOrEqual">
      <formula>150</formula>
    </cfRule>
  </conditionalFormatting>
  <conditionalFormatting sqref="F8906:F8929">
    <cfRule type="colorScale" priority="1054">
      <colorScale>
        <cfvo type="min"/>
        <cfvo type="percentile" val="50"/>
        <cfvo type="max"/>
        <color rgb="FF63BE7B"/>
        <color rgb="FFFFEB84"/>
        <color rgb="FFF8696B"/>
      </colorScale>
    </cfRule>
  </conditionalFormatting>
  <conditionalFormatting sqref="H8906">
    <cfRule type="cellIs" dxfId="843" priority="1052" operator="lessThan">
      <formula>1.2</formula>
    </cfRule>
    <cfRule type="cellIs" dxfId="842" priority="1053" operator="greaterThanOrEqual">
      <formula>1.2</formula>
    </cfRule>
  </conditionalFormatting>
  <conditionalFormatting sqref="D8930:D8953">
    <cfRule type="colorScale" priority="1049">
      <colorScale>
        <cfvo type="min"/>
        <cfvo type="percentile" val="50"/>
        <cfvo type="max"/>
        <color rgb="FF63BE7B"/>
        <color rgb="FFFFEB84"/>
        <color rgb="FFF8696B"/>
      </colorScale>
    </cfRule>
  </conditionalFormatting>
  <conditionalFormatting sqref="H8931:H8953">
    <cfRule type="cellIs" dxfId="841" priority="1042" operator="lessThan">
      <formula>1.2</formula>
    </cfRule>
    <cfRule type="cellIs" dxfId="840" priority="1043" operator="greaterThanOrEqual">
      <formula>1.2</formula>
    </cfRule>
  </conditionalFormatting>
  <conditionalFormatting sqref="G8930:G8953">
    <cfRule type="cellIs" dxfId="839" priority="1047" operator="lessThan">
      <formula>150</formula>
    </cfRule>
    <cfRule type="cellIs" dxfId="838" priority="1048" operator="greaterThanOrEqual">
      <formula>150</formula>
    </cfRule>
  </conditionalFormatting>
  <conditionalFormatting sqref="F8930:F8953">
    <cfRule type="colorScale" priority="1046">
      <colorScale>
        <cfvo type="min"/>
        <cfvo type="percentile" val="50"/>
        <cfvo type="max"/>
        <color rgb="FF63BE7B"/>
        <color rgb="FFFFEB84"/>
        <color rgb="FFF8696B"/>
      </colorScale>
    </cfRule>
  </conditionalFormatting>
  <conditionalFormatting sqref="H8930">
    <cfRule type="cellIs" dxfId="837" priority="1044" operator="lessThan">
      <formula>1.2</formula>
    </cfRule>
    <cfRule type="cellIs" dxfId="836" priority="1045" operator="greaterThanOrEqual">
      <formula>1.2</formula>
    </cfRule>
  </conditionalFormatting>
  <conditionalFormatting sqref="D8954:D8977">
    <cfRule type="colorScale" priority="1041">
      <colorScale>
        <cfvo type="min"/>
        <cfvo type="percentile" val="50"/>
        <cfvo type="max"/>
        <color rgb="FF63BE7B"/>
        <color rgb="FFFFEB84"/>
        <color rgb="FFF8696B"/>
      </colorScale>
    </cfRule>
  </conditionalFormatting>
  <conditionalFormatting sqref="H8955:H8977">
    <cfRule type="cellIs" dxfId="835" priority="1034" operator="lessThan">
      <formula>1.2</formula>
    </cfRule>
    <cfRule type="cellIs" dxfId="834" priority="1035" operator="greaterThanOrEqual">
      <formula>1.2</formula>
    </cfRule>
  </conditionalFormatting>
  <conditionalFormatting sqref="F8954:F8977">
    <cfRule type="colorScale" priority="1038">
      <colorScale>
        <cfvo type="min"/>
        <cfvo type="percentile" val="50"/>
        <cfvo type="max"/>
        <color rgb="FF63BE7B"/>
        <color rgb="FFFFEB84"/>
        <color rgb="FFF8696B"/>
      </colorScale>
    </cfRule>
  </conditionalFormatting>
  <conditionalFormatting sqref="H8954">
    <cfRule type="cellIs" dxfId="833" priority="1036" operator="lessThan">
      <formula>1.2</formula>
    </cfRule>
    <cfRule type="cellIs" dxfId="832" priority="1037" operator="greaterThanOrEqual">
      <formula>1.2</formula>
    </cfRule>
  </conditionalFormatting>
  <conditionalFormatting sqref="D8978:D9001">
    <cfRule type="colorScale" priority="1033">
      <colorScale>
        <cfvo type="min"/>
        <cfvo type="percentile" val="50"/>
        <cfvo type="max"/>
        <color rgb="FF63BE7B"/>
        <color rgb="FFFFEB84"/>
        <color rgb="FFF8696B"/>
      </colorScale>
    </cfRule>
  </conditionalFormatting>
  <conditionalFormatting sqref="H8979:H9001">
    <cfRule type="cellIs" dxfId="831" priority="1026" operator="lessThan">
      <formula>1.2</formula>
    </cfRule>
    <cfRule type="cellIs" dxfId="830" priority="1027" operator="greaterThanOrEqual">
      <formula>1.2</formula>
    </cfRule>
  </conditionalFormatting>
  <conditionalFormatting sqref="F8978:F9001">
    <cfRule type="colorScale" priority="1030">
      <colorScale>
        <cfvo type="min"/>
        <cfvo type="percentile" val="50"/>
        <cfvo type="max"/>
        <color rgb="FF63BE7B"/>
        <color rgb="FFFFEB84"/>
        <color rgb="FFF8696B"/>
      </colorScale>
    </cfRule>
  </conditionalFormatting>
  <conditionalFormatting sqref="H8978">
    <cfRule type="cellIs" dxfId="829" priority="1028" operator="lessThan">
      <formula>1.2</formula>
    </cfRule>
    <cfRule type="cellIs" dxfId="828" priority="1029" operator="greaterThanOrEqual">
      <formula>1.2</formula>
    </cfRule>
  </conditionalFormatting>
  <conditionalFormatting sqref="D9002:D9025">
    <cfRule type="colorScale" priority="1025">
      <colorScale>
        <cfvo type="min"/>
        <cfvo type="percentile" val="50"/>
        <cfvo type="max"/>
        <color rgb="FF63BE7B"/>
        <color rgb="FFFFEB84"/>
        <color rgb="FFF8696B"/>
      </colorScale>
    </cfRule>
  </conditionalFormatting>
  <conditionalFormatting sqref="H9003:H9025">
    <cfRule type="cellIs" dxfId="827" priority="1018" operator="lessThan">
      <formula>1.2</formula>
    </cfRule>
    <cfRule type="cellIs" dxfId="826" priority="1019" operator="greaterThanOrEqual">
      <formula>1.2</formula>
    </cfRule>
  </conditionalFormatting>
  <conditionalFormatting sqref="F9002:F9025">
    <cfRule type="colorScale" priority="1022">
      <colorScale>
        <cfvo type="min"/>
        <cfvo type="percentile" val="50"/>
        <cfvo type="max"/>
        <color rgb="FF63BE7B"/>
        <color rgb="FFFFEB84"/>
        <color rgb="FFF8696B"/>
      </colorScale>
    </cfRule>
  </conditionalFormatting>
  <conditionalFormatting sqref="H9002">
    <cfRule type="cellIs" dxfId="825" priority="1020" operator="lessThan">
      <formula>1.2</formula>
    </cfRule>
    <cfRule type="cellIs" dxfId="824" priority="1021" operator="greaterThanOrEqual">
      <formula>1.2</formula>
    </cfRule>
  </conditionalFormatting>
  <conditionalFormatting sqref="D9026:D9049">
    <cfRule type="colorScale" priority="1017">
      <colorScale>
        <cfvo type="min"/>
        <cfvo type="percentile" val="50"/>
        <cfvo type="max"/>
        <color rgb="FF63BE7B"/>
        <color rgb="FFFFEB84"/>
        <color rgb="FFF8696B"/>
      </colorScale>
    </cfRule>
  </conditionalFormatting>
  <conditionalFormatting sqref="H9027:H9049">
    <cfRule type="cellIs" dxfId="823" priority="1010" operator="lessThan">
      <formula>1.2</formula>
    </cfRule>
    <cfRule type="cellIs" dxfId="822" priority="1011" operator="greaterThanOrEqual">
      <formula>1.2</formula>
    </cfRule>
  </conditionalFormatting>
  <conditionalFormatting sqref="F9026:F9049">
    <cfRule type="colorScale" priority="1014">
      <colorScale>
        <cfvo type="min"/>
        <cfvo type="percentile" val="50"/>
        <cfvo type="max"/>
        <color rgb="FF63BE7B"/>
        <color rgb="FFFFEB84"/>
        <color rgb="FFF8696B"/>
      </colorScale>
    </cfRule>
  </conditionalFormatting>
  <conditionalFormatting sqref="H9026">
    <cfRule type="cellIs" dxfId="821" priority="1012" operator="lessThan">
      <formula>1.2</formula>
    </cfRule>
    <cfRule type="cellIs" dxfId="820" priority="1013" operator="greaterThanOrEqual">
      <formula>1.2</formula>
    </cfRule>
  </conditionalFormatting>
  <conditionalFormatting sqref="D9050:D9073">
    <cfRule type="colorScale" priority="1009">
      <colorScale>
        <cfvo type="min"/>
        <cfvo type="percentile" val="50"/>
        <cfvo type="max"/>
        <color rgb="FF63BE7B"/>
        <color rgb="FFFFEB84"/>
        <color rgb="FFF8696B"/>
      </colorScale>
    </cfRule>
  </conditionalFormatting>
  <conditionalFormatting sqref="H9051:H9073">
    <cfRule type="cellIs" dxfId="819" priority="1002" operator="lessThan">
      <formula>1.2</formula>
    </cfRule>
    <cfRule type="cellIs" dxfId="818" priority="1003" operator="greaterThanOrEqual">
      <formula>1.2</formula>
    </cfRule>
  </conditionalFormatting>
  <conditionalFormatting sqref="F9050:F9073">
    <cfRule type="colorScale" priority="1006">
      <colorScale>
        <cfvo type="min"/>
        <cfvo type="percentile" val="50"/>
        <cfvo type="max"/>
        <color rgb="FF63BE7B"/>
        <color rgb="FFFFEB84"/>
        <color rgb="FFF8696B"/>
      </colorScale>
    </cfRule>
  </conditionalFormatting>
  <conditionalFormatting sqref="H9050">
    <cfRule type="cellIs" dxfId="817" priority="1004" operator="lessThan">
      <formula>1.2</formula>
    </cfRule>
    <cfRule type="cellIs" dxfId="816" priority="1005" operator="greaterThanOrEqual">
      <formula>1.2</formula>
    </cfRule>
  </conditionalFormatting>
  <conditionalFormatting sqref="D9074:D9097">
    <cfRule type="colorScale" priority="1001">
      <colorScale>
        <cfvo type="min"/>
        <cfvo type="percentile" val="50"/>
        <cfvo type="max"/>
        <color rgb="FF63BE7B"/>
        <color rgb="FFFFEB84"/>
        <color rgb="FFF8696B"/>
      </colorScale>
    </cfRule>
  </conditionalFormatting>
  <conditionalFormatting sqref="H9075:H9097">
    <cfRule type="cellIs" dxfId="815" priority="994" operator="lessThan">
      <formula>1.2</formula>
    </cfRule>
    <cfRule type="cellIs" dxfId="814" priority="995" operator="greaterThanOrEqual">
      <formula>1.2</formula>
    </cfRule>
  </conditionalFormatting>
  <conditionalFormatting sqref="F9074:F9097">
    <cfRule type="colorScale" priority="998">
      <colorScale>
        <cfvo type="min"/>
        <cfvo type="percentile" val="50"/>
        <cfvo type="max"/>
        <color rgb="FF63BE7B"/>
        <color rgb="FFFFEB84"/>
        <color rgb="FFF8696B"/>
      </colorScale>
    </cfRule>
  </conditionalFormatting>
  <conditionalFormatting sqref="H9074">
    <cfRule type="cellIs" dxfId="813" priority="996" operator="lessThan">
      <formula>1.2</formula>
    </cfRule>
    <cfRule type="cellIs" dxfId="812" priority="997" operator="greaterThanOrEqual">
      <formula>1.2</formula>
    </cfRule>
  </conditionalFormatting>
  <conditionalFormatting sqref="D9098:D9121">
    <cfRule type="colorScale" priority="993">
      <colorScale>
        <cfvo type="min"/>
        <cfvo type="percentile" val="50"/>
        <cfvo type="max"/>
        <color rgb="FF63BE7B"/>
        <color rgb="FFFFEB84"/>
        <color rgb="FFF8696B"/>
      </colorScale>
    </cfRule>
  </conditionalFormatting>
  <conditionalFormatting sqref="H9099:H9121">
    <cfRule type="cellIs" dxfId="811" priority="986" operator="lessThan">
      <formula>1.2</formula>
    </cfRule>
    <cfRule type="cellIs" dxfId="810" priority="987" operator="greaterThanOrEqual">
      <formula>1.2</formula>
    </cfRule>
  </conditionalFormatting>
  <conditionalFormatting sqref="G9266:G9289">
    <cfRule type="cellIs" dxfId="809" priority="921" operator="lessThan">
      <formula>150</formula>
    </cfRule>
    <cfRule type="cellIs" dxfId="808" priority="922" operator="greaterThanOrEqual">
      <formula>150</formula>
    </cfRule>
  </conditionalFormatting>
  <conditionalFormatting sqref="F9098:F9121">
    <cfRule type="colorScale" priority="990">
      <colorScale>
        <cfvo type="min"/>
        <cfvo type="percentile" val="50"/>
        <cfvo type="max"/>
        <color rgb="FF63BE7B"/>
        <color rgb="FFFFEB84"/>
        <color rgb="FFF8696B"/>
      </colorScale>
    </cfRule>
  </conditionalFormatting>
  <conditionalFormatting sqref="H9098">
    <cfRule type="cellIs" dxfId="807" priority="988" operator="lessThan">
      <formula>1.2</formula>
    </cfRule>
    <cfRule type="cellIs" dxfId="806" priority="989" operator="greaterThanOrEqual">
      <formula>1.2</formula>
    </cfRule>
  </conditionalFormatting>
  <conditionalFormatting sqref="D9122:D9145">
    <cfRule type="colorScale" priority="985">
      <colorScale>
        <cfvo type="min"/>
        <cfvo type="percentile" val="50"/>
        <cfvo type="max"/>
        <color rgb="FF63BE7B"/>
        <color rgb="FFFFEB84"/>
        <color rgb="FFF8696B"/>
      </colorScale>
    </cfRule>
  </conditionalFormatting>
  <conditionalFormatting sqref="H9123:H9145">
    <cfRule type="cellIs" dxfId="805" priority="978" operator="lessThan">
      <formula>1.2</formula>
    </cfRule>
    <cfRule type="cellIs" dxfId="804" priority="979" operator="greaterThanOrEqual">
      <formula>1.2</formula>
    </cfRule>
  </conditionalFormatting>
  <conditionalFormatting sqref="G9122:G9145">
    <cfRule type="cellIs" dxfId="803" priority="983" operator="lessThan">
      <formula>150</formula>
    </cfRule>
    <cfRule type="cellIs" dxfId="802" priority="984" operator="greaterThanOrEqual">
      <formula>150</formula>
    </cfRule>
  </conditionalFormatting>
  <conditionalFormatting sqref="F9122:F9145">
    <cfRule type="colorScale" priority="982">
      <colorScale>
        <cfvo type="min"/>
        <cfvo type="percentile" val="50"/>
        <cfvo type="max"/>
        <color rgb="FF63BE7B"/>
        <color rgb="FFFFEB84"/>
        <color rgb="FFF8696B"/>
      </colorScale>
    </cfRule>
  </conditionalFormatting>
  <conditionalFormatting sqref="H9122">
    <cfRule type="cellIs" dxfId="801" priority="980" operator="lessThan">
      <formula>1.2</formula>
    </cfRule>
    <cfRule type="cellIs" dxfId="800" priority="981" operator="greaterThanOrEqual">
      <formula>1.2</formula>
    </cfRule>
  </conditionalFormatting>
  <conditionalFormatting sqref="D9146:D9169">
    <cfRule type="colorScale" priority="977">
      <colorScale>
        <cfvo type="min"/>
        <cfvo type="percentile" val="50"/>
        <cfvo type="max"/>
        <color rgb="FF63BE7B"/>
        <color rgb="FFFFEB84"/>
        <color rgb="FFF8696B"/>
      </colorScale>
    </cfRule>
  </conditionalFormatting>
  <conditionalFormatting sqref="H9147:H9169">
    <cfRule type="cellIs" dxfId="799" priority="970" operator="lessThan">
      <formula>1.2</formula>
    </cfRule>
    <cfRule type="cellIs" dxfId="798" priority="971" operator="greaterThanOrEqual">
      <formula>1.2</formula>
    </cfRule>
  </conditionalFormatting>
  <conditionalFormatting sqref="G9146:G9169">
    <cfRule type="cellIs" dxfId="797" priority="975" operator="lessThan">
      <formula>150</formula>
    </cfRule>
    <cfRule type="cellIs" dxfId="796" priority="976" operator="greaterThanOrEqual">
      <formula>150</formula>
    </cfRule>
  </conditionalFormatting>
  <conditionalFormatting sqref="F9146:F9169">
    <cfRule type="colorScale" priority="974">
      <colorScale>
        <cfvo type="min"/>
        <cfvo type="percentile" val="50"/>
        <cfvo type="max"/>
        <color rgb="FF63BE7B"/>
        <color rgb="FFFFEB84"/>
        <color rgb="FFF8696B"/>
      </colorScale>
    </cfRule>
  </conditionalFormatting>
  <conditionalFormatting sqref="H9146">
    <cfRule type="cellIs" dxfId="795" priority="972" operator="lessThan">
      <formula>1.2</formula>
    </cfRule>
    <cfRule type="cellIs" dxfId="794" priority="973" operator="greaterThanOrEqual">
      <formula>1.2</formula>
    </cfRule>
  </conditionalFormatting>
  <conditionalFormatting sqref="G9098:G9121">
    <cfRule type="cellIs" dxfId="793" priority="968" operator="lessThan">
      <formula>150</formula>
    </cfRule>
    <cfRule type="cellIs" dxfId="792" priority="969" operator="greaterThanOrEqual">
      <formula>150</formula>
    </cfRule>
  </conditionalFormatting>
  <conditionalFormatting sqref="G9074:G9097">
    <cfRule type="cellIs" dxfId="791" priority="966" operator="lessThan">
      <formula>150</formula>
    </cfRule>
    <cfRule type="cellIs" dxfId="790" priority="967" operator="greaterThanOrEqual">
      <formula>150</formula>
    </cfRule>
  </conditionalFormatting>
  <conditionalFormatting sqref="G9050:G9073">
    <cfRule type="cellIs" dxfId="789" priority="964" operator="lessThan">
      <formula>150</formula>
    </cfRule>
    <cfRule type="cellIs" dxfId="788" priority="965" operator="greaterThanOrEqual">
      <formula>150</formula>
    </cfRule>
  </conditionalFormatting>
  <conditionalFormatting sqref="G9026:G9049">
    <cfRule type="cellIs" dxfId="787" priority="962" operator="lessThan">
      <formula>150</formula>
    </cfRule>
    <cfRule type="cellIs" dxfId="786" priority="963" operator="greaterThanOrEqual">
      <formula>150</formula>
    </cfRule>
  </conditionalFormatting>
  <conditionalFormatting sqref="G9002:G9025">
    <cfRule type="cellIs" dxfId="785" priority="960" operator="lessThan">
      <formula>150</formula>
    </cfRule>
    <cfRule type="cellIs" dxfId="784" priority="961" operator="greaterThanOrEqual">
      <formula>150</formula>
    </cfRule>
  </conditionalFormatting>
  <conditionalFormatting sqref="G8978:G9001">
    <cfRule type="cellIs" dxfId="783" priority="958" operator="lessThan">
      <formula>150</formula>
    </cfRule>
    <cfRule type="cellIs" dxfId="782" priority="959" operator="greaterThanOrEqual">
      <formula>150</formula>
    </cfRule>
  </conditionalFormatting>
  <conditionalFormatting sqref="G8954:G8977">
    <cfRule type="cellIs" dxfId="781" priority="956" operator="lessThan">
      <formula>150</formula>
    </cfRule>
    <cfRule type="cellIs" dxfId="780" priority="957" operator="greaterThanOrEqual">
      <formula>150</formula>
    </cfRule>
  </conditionalFormatting>
  <conditionalFormatting sqref="D9170:D9193">
    <cfRule type="colorScale" priority="955">
      <colorScale>
        <cfvo type="min"/>
        <cfvo type="percentile" val="50"/>
        <cfvo type="max"/>
        <color rgb="FF63BE7B"/>
        <color rgb="FFFFEB84"/>
        <color rgb="FFF8696B"/>
      </colorScale>
    </cfRule>
  </conditionalFormatting>
  <conditionalFormatting sqref="H9171:H9193">
    <cfRule type="cellIs" dxfId="779" priority="948" operator="lessThan">
      <formula>1.2</formula>
    </cfRule>
    <cfRule type="cellIs" dxfId="778" priority="949" operator="greaterThanOrEqual">
      <formula>1.2</formula>
    </cfRule>
  </conditionalFormatting>
  <conditionalFormatting sqref="G9170:G9193">
    <cfRule type="cellIs" dxfId="777" priority="953" operator="lessThan">
      <formula>150</formula>
    </cfRule>
    <cfRule type="cellIs" dxfId="776" priority="954" operator="greaterThanOrEqual">
      <formula>150</formula>
    </cfRule>
  </conditionalFormatting>
  <conditionalFormatting sqref="F9170:F9193">
    <cfRule type="colorScale" priority="952">
      <colorScale>
        <cfvo type="min"/>
        <cfvo type="percentile" val="50"/>
        <cfvo type="max"/>
        <color rgb="FF63BE7B"/>
        <color rgb="FFFFEB84"/>
        <color rgb="FFF8696B"/>
      </colorScale>
    </cfRule>
  </conditionalFormatting>
  <conditionalFormatting sqref="H9170">
    <cfRule type="cellIs" dxfId="775" priority="950" operator="lessThan">
      <formula>1.2</formula>
    </cfRule>
    <cfRule type="cellIs" dxfId="774" priority="951" operator="greaterThanOrEqual">
      <formula>1.2</formula>
    </cfRule>
  </conditionalFormatting>
  <conditionalFormatting sqref="D9194:D9217">
    <cfRule type="colorScale" priority="947">
      <colorScale>
        <cfvo type="min"/>
        <cfvo type="percentile" val="50"/>
        <cfvo type="max"/>
        <color rgb="FF63BE7B"/>
        <color rgb="FFFFEB84"/>
        <color rgb="FFF8696B"/>
      </colorScale>
    </cfRule>
  </conditionalFormatting>
  <conditionalFormatting sqref="H9195:H9217">
    <cfRule type="cellIs" dxfId="773" priority="940" operator="lessThan">
      <formula>1.2</formula>
    </cfRule>
    <cfRule type="cellIs" dxfId="772" priority="941" operator="greaterThanOrEqual">
      <formula>1.2</formula>
    </cfRule>
  </conditionalFormatting>
  <conditionalFormatting sqref="G9194:G9217">
    <cfRule type="cellIs" dxfId="771" priority="945" operator="lessThan">
      <formula>150</formula>
    </cfRule>
    <cfRule type="cellIs" dxfId="770" priority="946" operator="greaterThanOrEqual">
      <formula>150</formula>
    </cfRule>
  </conditionalFormatting>
  <conditionalFormatting sqref="F9194:F9217">
    <cfRule type="colorScale" priority="944">
      <colorScale>
        <cfvo type="min"/>
        <cfvo type="percentile" val="50"/>
        <cfvo type="max"/>
        <color rgb="FF63BE7B"/>
        <color rgb="FFFFEB84"/>
        <color rgb="FFF8696B"/>
      </colorScale>
    </cfRule>
  </conditionalFormatting>
  <conditionalFormatting sqref="H9194">
    <cfRule type="cellIs" dxfId="769" priority="942" operator="lessThan">
      <formula>1.2</formula>
    </cfRule>
    <cfRule type="cellIs" dxfId="768" priority="943" operator="greaterThanOrEqual">
      <formula>1.2</formula>
    </cfRule>
  </conditionalFormatting>
  <conditionalFormatting sqref="D9218:D9241">
    <cfRule type="colorScale" priority="939">
      <colorScale>
        <cfvo type="min"/>
        <cfvo type="percentile" val="50"/>
        <cfvo type="max"/>
        <color rgb="FF63BE7B"/>
        <color rgb="FFFFEB84"/>
        <color rgb="FFF8696B"/>
      </colorScale>
    </cfRule>
  </conditionalFormatting>
  <conditionalFormatting sqref="H9219:H9241">
    <cfRule type="cellIs" dxfId="767" priority="932" operator="lessThan">
      <formula>1.2</formula>
    </cfRule>
    <cfRule type="cellIs" dxfId="766" priority="933" operator="greaterThanOrEqual">
      <formula>1.2</formula>
    </cfRule>
  </conditionalFormatting>
  <conditionalFormatting sqref="G9218:G9241">
    <cfRule type="cellIs" dxfId="765" priority="937" operator="lessThan">
      <formula>150</formula>
    </cfRule>
    <cfRule type="cellIs" dxfId="764" priority="938" operator="greaterThanOrEqual">
      <formula>150</formula>
    </cfRule>
  </conditionalFormatting>
  <conditionalFormatting sqref="F9218:F9241">
    <cfRule type="colorScale" priority="936">
      <colorScale>
        <cfvo type="min"/>
        <cfvo type="percentile" val="50"/>
        <cfvo type="max"/>
        <color rgb="FF63BE7B"/>
        <color rgb="FFFFEB84"/>
        <color rgb="FFF8696B"/>
      </colorScale>
    </cfRule>
  </conditionalFormatting>
  <conditionalFormatting sqref="H9218">
    <cfRule type="cellIs" dxfId="763" priority="934" operator="lessThan">
      <formula>1.2</formula>
    </cfRule>
    <cfRule type="cellIs" dxfId="762" priority="935" operator="greaterThanOrEqual">
      <formula>1.2</formula>
    </cfRule>
  </conditionalFormatting>
  <conditionalFormatting sqref="D9242:D9265">
    <cfRule type="colorScale" priority="931">
      <colorScale>
        <cfvo type="min"/>
        <cfvo type="percentile" val="50"/>
        <cfvo type="max"/>
        <color rgb="FF63BE7B"/>
        <color rgb="FFFFEB84"/>
        <color rgb="FFF8696B"/>
      </colorScale>
    </cfRule>
  </conditionalFormatting>
  <conditionalFormatting sqref="H9243:H9265">
    <cfRule type="cellIs" dxfId="761" priority="924" operator="lessThan">
      <formula>1.2</formula>
    </cfRule>
    <cfRule type="cellIs" dxfId="760" priority="925" operator="greaterThanOrEqual">
      <formula>1.2</formula>
    </cfRule>
  </conditionalFormatting>
  <conditionalFormatting sqref="G9242:G9265">
    <cfRule type="cellIs" dxfId="759" priority="929" operator="lessThan">
      <formula>150</formula>
    </cfRule>
    <cfRule type="cellIs" dxfId="758" priority="930" operator="greaterThanOrEqual">
      <formula>150</formula>
    </cfRule>
  </conditionalFormatting>
  <conditionalFormatting sqref="F9242:F9265">
    <cfRule type="colorScale" priority="928">
      <colorScale>
        <cfvo type="min"/>
        <cfvo type="percentile" val="50"/>
        <cfvo type="max"/>
        <color rgb="FF63BE7B"/>
        <color rgb="FFFFEB84"/>
        <color rgb="FFF8696B"/>
      </colorScale>
    </cfRule>
  </conditionalFormatting>
  <conditionalFormatting sqref="H9242">
    <cfRule type="cellIs" dxfId="757" priority="926" operator="lessThan">
      <formula>1.2</formula>
    </cfRule>
    <cfRule type="cellIs" dxfId="756" priority="927" operator="greaterThanOrEqual">
      <formula>1.2</formula>
    </cfRule>
  </conditionalFormatting>
  <conditionalFormatting sqref="D9266:D9289">
    <cfRule type="colorScale" priority="923">
      <colorScale>
        <cfvo type="min"/>
        <cfvo type="percentile" val="50"/>
        <cfvo type="max"/>
        <color rgb="FF63BE7B"/>
        <color rgb="FFFFEB84"/>
        <color rgb="FFF8696B"/>
      </colorScale>
    </cfRule>
  </conditionalFormatting>
  <conditionalFormatting sqref="H9267:H9289">
    <cfRule type="cellIs" dxfId="755" priority="916" operator="lessThan">
      <formula>1.2</formula>
    </cfRule>
    <cfRule type="cellIs" dxfId="754" priority="917" operator="greaterThanOrEqual">
      <formula>1.2</formula>
    </cfRule>
  </conditionalFormatting>
  <conditionalFormatting sqref="F9266:F9289">
    <cfRule type="colorScale" priority="920">
      <colorScale>
        <cfvo type="min"/>
        <cfvo type="percentile" val="50"/>
        <cfvo type="max"/>
        <color rgb="FF63BE7B"/>
        <color rgb="FFFFEB84"/>
        <color rgb="FFF8696B"/>
      </colorScale>
    </cfRule>
  </conditionalFormatting>
  <conditionalFormatting sqref="H9266">
    <cfRule type="cellIs" dxfId="753" priority="918" operator="lessThan">
      <formula>1.2</formula>
    </cfRule>
    <cfRule type="cellIs" dxfId="752" priority="919" operator="greaterThanOrEqual">
      <formula>1.2</formula>
    </cfRule>
  </conditionalFormatting>
  <conditionalFormatting sqref="H9291:H9313">
    <cfRule type="cellIs" dxfId="751" priority="909" operator="lessThan">
      <formula>1.2</formula>
    </cfRule>
    <cfRule type="cellIs" dxfId="750" priority="910" operator="greaterThanOrEqual">
      <formula>1.2</formula>
    </cfRule>
  </conditionalFormatting>
  <conditionalFormatting sqref="G9290:G9313">
    <cfRule type="cellIs" dxfId="749" priority="914" operator="lessThan">
      <formula>150</formula>
    </cfRule>
    <cfRule type="cellIs" dxfId="748" priority="915" operator="greaterThanOrEqual">
      <formula>150</formula>
    </cfRule>
  </conditionalFormatting>
  <conditionalFormatting sqref="F9290:F9313">
    <cfRule type="colorScale" priority="913">
      <colorScale>
        <cfvo type="min"/>
        <cfvo type="percentile" val="50"/>
        <cfvo type="max"/>
        <color rgb="FF63BE7B"/>
        <color rgb="FFFFEB84"/>
        <color rgb="FFF8696B"/>
      </colorScale>
    </cfRule>
  </conditionalFormatting>
  <conditionalFormatting sqref="H9290">
    <cfRule type="cellIs" dxfId="747" priority="911" operator="lessThan">
      <formula>1.2</formula>
    </cfRule>
    <cfRule type="cellIs" dxfId="746" priority="912" operator="greaterThanOrEqual">
      <formula>1.2</formula>
    </cfRule>
  </conditionalFormatting>
  <conditionalFormatting sqref="D9290:D9313">
    <cfRule type="colorScale" priority="908">
      <colorScale>
        <cfvo type="min"/>
        <cfvo type="percentile" val="50"/>
        <cfvo type="max"/>
        <color rgb="FF63BE7B"/>
        <color rgb="FFFFEB84"/>
        <color rgb="FFF8696B"/>
      </colorScale>
    </cfRule>
  </conditionalFormatting>
  <conditionalFormatting sqref="D9314:D9337">
    <cfRule type="colorScale" priority="907">
      <colorScale>
        <cfvo type="min"/>
        <cfvo type="percentile" val="50"/>
        <cfvo type="max"/>
        <color rgb="FF63BE7B"/>
        <color rgb="FFFFEB84"/>
        <color rgb="FFF8696B"/>
      </colorScale>
    </cfRule>
  </conditionalFormatting>
  <conditionalFormatting sqref="H9315:H9337">
    <cfRule type="cellIs" dxfId="745" priority="900" operator="lessThan">
      <formula>1.2</formula>
    </cfRule>
    <cfRule type="cellIs" dxfId="744" priority="901" operator="greaterThanOrEqual">
      <formula>1.2</formula>
    </cfRule>
  </conditionalFormatting>
  <conditionalFormatting sqref="G9314:G9337">
    <cfRule type="cellIs" dxfId="743" priority="905" operator="lessThan">
      <formula>150</formula>
    </cfRule>
    <cfRule type="cellIs" dxfId="742" priority="906" operator="greaterThanOrEqual">
      <formula>150</formula>
    </cfRule>
  </conditionalFormatting>
  <conditionalFormatting sqref="F9314:F9337">
    <cfRule type="colorScale" priority="904">
      <colorScale>
        <cfvo type="min"/>
        <cfvo type="percentile" val="50"/>
        <cfvo type="max"/>
        <color rgb="FF63BE7B"/>
        <color rgb="FFFFEB84"/>
        <color rgb="FFF8696B"/>
      </colorScale>
    </cfRule>
  </conditionalFormatting>
  <conditionalFormatting sqref="H9314">
    <cfRule type="cellIs" dxfId="741" priority="902" operator="lessThan">
      <formula>1.2</formula>
    </cfRule>
    <cfRule type="cellIs" dxfId="740" priority="903" operator="greaterThanOrEqual">
      <formula>1.2</formula>
    </cfRule>
  </conditionalFormatting>
  <conditionalFormatting sqref="D9338:D9361">
    <cfRule type="colorScale" priority="899">
      <colorScale>
        <cfvo type="min"/>
        <cfvo type="percentile" val="50"/>
        <cfvo type="max"/>
        <color rgb="FF63BE7B"/>
        <color rgb="FFFFEB84"/>
        <color rgb="FFF8696B"/>
      </colorScale>
    </cfRule>
  </conditionalFormatting>
  <conditionalFormatting sqref="H9339:H9361">
    <cfRule type="cellIs" dxfId="739" priority="892" operator="lessThan">
      <formula>1.2</formula>
    </cfRule>
    <cfRule type="cellIs" dxfId="738" priority="893" operator="greaterThanOrEqual">
      <formula>1.2</formula>
    </cfRule>
  </conditionalFormatting>
  <conditionalFormatting sqref="G9338:G9361">
    <cfRule type="cellIs" dxfId="737" priority="897" operator="lessThan">
      <formula>150</formula>
    </cfRule>
    <cfRule type="cellIs" dxfId="736" priority="898" operator="greaterThanOrEqual">
      <formula>150</formula>
    </cfRule>
  </conditionalFormatting>
  <conditionalFormatting sqref="F9338:F9361">
    <cfRule type="colorScale" priority="896">
      <colorScale>
        <cfvo type="min"/>
        <cfvo type="percentile" val="50"/>
        <cfvo type="max"/>
        <color rgb="FF63BE7B"/>
        <color rgb="FFFFEB84"/>
        <color rgb="FFF8696B"/>
      </colorScale>
    </cfRule>
  </conditionalFormatting>
  <conditionalFormatting sqref="H9338">
    <cfRule type="cellIs" dxfId="735" priority="894" operator="lessThan">
      <formula>1.2</formula>
    </cfRule>
    <cfRule type="cellIs" dxfId="734" priority="895" operator="greaterThanOrEqual">
      <formula>1.2</formula>
    </cfRule>
  </conditionalFormatting>
  <conditionalFormatting sqref="D9362:D9385">
    <cfRule type="colorScale" priority="891">
      <colorScale>
        <cfvo type="min"/>
        <cfvo type="percentile" val="50"/>
        <cfvo type="max"/>
        <color rgb="FF63BE7B"/>
        <color rgb="FFFFEB84"/>
        <color rgb="FFF8696B"/>
      </colorScale>
    </cfRule>
  </conditionalFormatting>
  <conditionalFormatting sqref="H9363:H9385">
    <cfRule type="cellIs" dxfId="733" priority="884" operator="lessThan">
      <formula>1.2</formula>
    </cfRule>
    <cfRule type="cellIs" dxfId="732" priority="885" operator="greaterThanOrEqual">
      <formula>1.2</formula>
    </cfRule>
  </conditionalFormatting>
  <conditionalFormatting sqref="G9362:G9385">
    <cfRule type="cellIs" dxfId="731" priority="889" operator="lessThan">
      <formula>150</formula>
    </cfRule>
    <cfRule type="cellIs" dxfId="730" priority="890" operator="greaterThanOrEqual">
      <formula>150</formula>
    </cfRule>
  </conditionalFormatting>
  <conditionalFormatting sqref="F9362:F9385">
    <cfRule type="colorScale" priority="888">
      <colorScale>
        <cfvo type="min"/>
        <cfvo type="percentile" val="50"/>
        <cfvo type="max"/>
        <color rgb="FF63BE7B"/>
        <color rgb="FFFFEB84"/>
        <color rgb="FFF8696B"/>
      </colorScale>
    </cfRule>
  </conditionalFormatting>
  <conditionalFormatting sqref="H9362">
    <cfRule type="cellIs" dxfId="729" priority="886" operator="lessThan">
      <formula>1.2</formula>
    </cfRule>
    <cfRule type="cellIs" dxfId="728" priority="887" operator="greaterThanOrEqual">
      <formula>1.2</formula>
    </cfRule>
  </conditionalFormatting>
  <conditionalFormatting sqref="H9435:H9457">
    <cfRule type="cellIs" dxfId="727" priority="860" operator="lessThan">
      <formula>1.2</formula>
    </cfRule>
    <cfRule type="cellIs" dxfId="726" priority="861" operator="greaterThanOrEqual">
      <formula>1.2</formula>
    </cfRule>
  </conditionalFormatting>
  <conditionalFormatting sqref="D9386:D9409">
    <cfRule type="colorScale" priority="883">
      <colorScale>
        <cfvo type="min"/>
        <cfvo type="percentile" val="50"/>
        <cfvo type="max"/>
        <color rgb="FF63BE7B"/>
        <color rgb="FFFFEB84"/>
        <color rgb="FFF8696B"/>
      </colorScale>
    </cfRule>
  </conditionalFormatting>
  <conditionalFormatting sqref="H9387:H9409">
    <cfRule type="cellIs" dxfId="725" priority="876" operator="lessThan">
      <formula>1.2</formula>
    </cfRule>
    <cfRule type="cellIs" dxfId="724" priority="877" operator="greaterThanOrEqual">
      <formula>1.2</formula>
    </cfRule>
  </conditionalFormatting>
  <conditionalFormatting sqref="G9386:G9409">
    <cfRule type="cellIs" dxfId="723" priority="881" operator="lessThan">
      <formula>150</formula>
    </cfRule>
    <cfRule type="cellIs" dxfId="722" priority="882" operator="greaterThanOrEqual">
      <formula>150</formula>
    </cfRule>
  </conditionalFormatting>
  <conditionalFormatting sqref="F9386:F9409">
    <cfRule type="colorScale" priority="880">
      <colorScale>
        <cfvo type="min"/>
        <cfvo type="percentile" val="50"/>
        <cfvo type="max"/>
        <color rgb="FF63BE7B"/>
        <color rgb="FFFFEB84"/>
        <color rgb="FFF8696B"/>
      </colorScale>
    </cfRule>
  </conditionalFormatting>
  <conditionalFormatting sqref="H9386">
    <cfRule type="cellIs" dxfId="721" priority="878" operator="lessThan">
      <formula>1.2</formula>
    </cfRule>
    <cfRule type="cellIs" dxfId="720" priority="879" operator="greaterThanOrEqual">
      <formula>1.2</formula>
    </cfRule>
  </conditionalFormatting>
  <conditionalFormatting sqref="D9410:D9433">
    <cfRule type="colorScale" priority="875">
      <colorScale>
        <cfvo type="min"/>
        <cfvo type="percentile" val="50"/>
        <cfvo type="max"/>
        <color rgb="FF63BE7B"/>
        <color rgb="FFFFEB84"/>
        <color rgb="FFF8696B"/>
      </colorScale>
    </cfRule>
  </conditionalFormatting>
  <conditionalFormatting sqref="H9411:H9433">
    <cfRule type="cellIs" dxfId="719" priority="868" operator="lessThan">
      <formula>1.2</formula>
    </cfRule>
    <cfRule type="cellIs" dxfId="718" priority="869" operator="greaterThanOrEqual">
      <formula>1.2</formula>
    </cfRule>
  </conditionalFormatting>
  <conditionalFormatting sqref="G9410:G9433">
    <cfRule type="cellIs" dxfId="717" priority="873" operator="lessThan">
      <formula>150</formula>
    </cfRule>
    <cfRule type="cellIs" dxfId="716" priority="874" operator="greaterThanOrEqual">
      <formula>150</formula>
    </cfRule>
  </conditionalFormatting>
  <conditionalFormatting sqref="F9410:F9433">
    <cfRule type="colorScale" priority="872">
      <colorScale>
        <cfvo type="min"/>
        <cfvo type="percentile" val="50"/>
        <cfvo type="max"/>
        <color rgb="FF63BE7B"/>
        <color rgb="FFFFEB84"/>
        <color rgb="FFF8696B"/>
      </colorScale>
    </cfRule>
  </conditionalFormatting>
  <conditionalFormatting sqref="H9410">
    <cfRule type="cellIs" dxfId="715" priority="870" operator="lessThan">
      <formula>1.2</formula>
    </cfRule>
    <cfRule type="cellIs" dxfId="714" priority="871" operator="greaterThanOrEqual">
      <formula>1.2</formula>
    </cfRule>
  </conditionalFormatting>
  <conditionalFormatting sqref="D9434:D9457">
    <cfRule type="colorScale" priority="867">
      <colorScale>
        <cfvo type="min"/>
        <cfvo type="percentile" val="50"/>
        <cfvo type="max"/>
        <color rgb="FF63BE7B"/>
        <color rgb="FFFFEB84"/>
        <color rgb="FFF8696B"/>
      </colorScale>
    </cfRule>
  </conditionalFormatting>
  <conditionalFormatting sqref="G9434:G9457">
    <cfRule type="cellIs" dxfId="713" priority="865" operator="lessThan">
      <formula>150</formula>
    </cfRule>
    <cfRule type="cellIs" dxfId="712" priority="866" operator="greaterThanOrEqual">
      <formula>150</formula>
    </cfRule>
  </conditionalFormatting>
  <conditionalFormatting sqref="F9434:F9457">
    <cfRule type="colorScale" priority="864">
      <colorScale>
        <cfvo type="min"/>
        <cfvo type="percentile" val="50"/>
        <cfvo type="max"/>
        <color rgb="FF63BE7B"/>
        <color rgb="FFFFEB84"/>
        <color rgb="FFF8696B"/>
      </colorScale>
    </cfRule>
  </conditionalFormatting>
  <conditionalFormatting sqref="H9434">
    <cfRule type="cellIs" dxfId="711" priority="862" operator="lessThan">
      <formula>1.2</formula>
    </cfRule>
    <cfRule type="cellIs" dxfId="710" priority="863" operator="greaterThanOrEqual">
      <formula>1.2</formula>
    </cfRule>
  </conditionalFormatting>
  <conditionalFormatting sqref="D9458:D9481">
    <cfRule type="colorScale" priority="859">
      <colorScale>
        <cfvo type="min"/>
        <cfvo type="percentile" val="50"/>
        <cfvo type="max"/>
        <color rgb="FF63BE7B"/>
        <color rgb="FFFFEB84"/>
        <color rgb="FFF8696B"/>
      </colorScale>
    </cfRule>
  </conditionalFormatting>
  <conditionalFormatting sqref="H9459:H9481">
    <cfRule type="cellIs" dxfId="709" priority="852" operator="lessThan">
      <formula>1.2</formula>
    </cfRule>
    <cfRule type="cellIs" dxfId="708" priority="853" operator="greaterThanOrEqual">
      <formula>1.2</formula>
    </cfRule>
  </conditionalFormatting>
  <conditionalFormatting sqref="G9458:G9481">
    <cfRule type="cellIs" dxfId="707" priority="857" operator="lessThan">
      <formula>150</formula>
    </cfRule>
    <cfRule type="cellIs" dxfId="706" priority="858" operator="greaterThanOrEqual">
      <formula>150</formula>
    </cfRule>
  </conditionalFormatting>
  <conditionalFormatting sqref="F9458:F9481">
    <cfRule type="colorScale" priority="856">
      <colorScale>
        <cfvo type="min"/>
        <cfvo type="percentile" val="50"/>
        <cfvo type="max"/>
        <color rgb="FF63BE7B"/>
        <color rgb="FFFFEB84"/>
        <color rgb="FFF8696B"/>
      </colorScale>
    </cfRule>
  </conditionalFormatting>
  <conditionalFormatting sqref="H9458">
    <cfRule type="cellIs" dxfId="705" priority="854" operator="lessThan">
      <formula>1.2</formula>
    </cfRule>
    <cfRule type="cellIs" dxfId="704" priority="855" operator="greaterThanOrEqual">
      <formula>1.2</formula>
    </cfRule>
  </conditionalFormatting>
  <conditionalFormatting sqref="D9482:D9505">
    <cfRule type="colorScale" priority="851">
      <colorScale>
        <cfvo type="min"/>
        <cfvo type="percentile" val="50"/>
        <cfvo type="max"/>
        <color rgb="FF63BE7B"/>
        <color rgb="FFFFEB84"/>
        <color rgb="FFF8696B"/>
      </colorScale>
    </cfRule>
  </conditionalFormatting>
  <conditionalFormatting sqref="H9483:H9505">
    <cfRule type="cellIs" dxfId="703" priority="844" operator="lessThan">
      <formula>1.2</formula>
    </cfRule>
    <cfRule type="cellIs" dxfId="702" priority="845" operator="greaterThanOrEqual">
      <formula>1.2</formula>
    </cfRule>
  </conditionalFormatting>
  <conditionalFormatting sqref="G9482:G9505">
    <cfRule type="cellIs" dxfId="701" priority="849" operator="lessThan">
      <formula>150</formula>
    </cfRule>
    <cfRule type="cellIs" dxfId="700" priority="850" operator="greaterThanOrEqual">
      <formula>150</formula>
    </cfRule>
  </conditionalFormatting>
  <conditionalFormatting sqref="F9482:F9505">
    <cfRule type="colorScale" priority="848">
      <colorScale>
        <cfvo type="min"/>
        <cfvo type="percentile" val="50"/>
        <cfvo type="max"/>
        <color rgb="FF63BE7B"/>
        <color rgb="FFFFEB84"/>
        <color rgb="FFF8696B"/>
      </colorScale>
    </cfRule>
  </conditionalFormatting>
  <conditionalFormatting sqref="H9482">
    <cfRule type="cellIs" dxfId="699" priority="846" operator="lessThan">
      <formula>1.2</formula>
    </cfRule>
    <cfRule type="cellIs" dxfId="698" priority="847" operator="greaterThanOrEqual">
      <formula>1.2</formula>
    </cfRule>
  </conditionalFormatting>
  <conditionalFormatting sqref="D9506:D9529">
    <cfRule type="colorScale" priority="843">
      <colorScale>
        <cfvo type="min"/>
        <cfvo type="percentile" val="50"/>
        <cfvo type="max"/>
        <color rgb="FF63BE7B"/>
        <color rgb="FFFFEB84"/>
        <color rgb="FFF8696B"/>
      </colorScale>
    </cfRule>
  </conditionalFormatting>
  <conditionalFormatting sqref="H9507:H9529">
    <cfRule type="cellIs" dxfId="697" priority="836" operator="lessThan">
      <formula>1.2</formula>
    </cfRule>
    <cfRule type="cellIs" dxfId="696" priority="837" operator="greaterThanOrEqual">
      <formula>1.2</formula>
    </cfRule>
  </conditionalFormatting>
  <conditionalFormatting sqref="G9506:G9529">
    <cfRule type="cellIs" dxfId="695" priority="841" operator="lessThan">
      <formula>150</formula>
    </cfRule>
    <cfRule type="cellIs" dxfId="694" priority="842" operator="greaterThanOrEqual">
      <formula>150</formula>
    </cfRule>
  </conditionalFormatting>
  <conditionalFormatting sqref="F9506:F9529">
    <cfRule type="colorScale" priority="840">
      <colorScale>
        <cfvo type="min"/>
        <cfvo type="percentile" val="50"/>
        <cfvo type="max"/>
        <color rgb="FF63BE7B"/>
        <color rgb="FFFFEB84"/>
        <color rgb="FFF8696B"/>
      </colorScale>
    </cfRule>
  </conditionalFormatting>
  <conditionalFormatting sqref="H9506">
    <cfRule type="cellIs" dxfId="693" priority="838" operator="lessThan">
      <formula>1.2</formula>
    </cfRule>
    <cfRule type="cellIs" dxfId="692" priority="839" operator="greaterThanOrEqual">
      <formula>1.2</formula>
    </cfRule>
  </conditionalFormatting>
  <conditionalFormatting sqref="D9530:D9553">
    <cfRule type="colorScale" priority="835">
      <colorScale>
        <cfvo type="min"/>
        <cfvo type="percentile" val="50"/>
        <cfvo type="max"/>
        <color rgb="FF63BE7B"/>
        <color rgb="FFFFEB84"/>
        <color rgb="FFF8696B"/>
      </colorScale>
    </cfRule>
  </conditionalFormatting>
  <conditionalFormatting sqref="H9531:H9553">
    <cfRule type="cellIs" dxfId="691" priority="828" operator="lessThan">
      <formula>1.2</formula>
    </cfRule>
    <cfRule type="cellIs" dxfId="690" priority="829" operator="greaterThanOrEqual">
      <formula>1.2</formula>
    </cfRule>
  </conditionalFormatting>
  <conditionalFormatting sqref="G9530:G9553">
    <cfRule type="cellIs" dxfId="689" priority="833" operator="lessThan">
      <formula>150</formula>
    </cfRule>
    <cfRule type="cellIs" dxfId="688" priority="834" operator="greaterThanOrEqual">
      <formula>150</formula>
    </cfRule>
  </conditionalFormatting>
  <conditionalFormatting sqref="F9530:F9553">
    <cfRule type="colorScale" priority="832">
      <colorScale>
        <cfvo type="min"/>
        <cfvo type="percentile" val="50"/>
        <cfvo type="max"/>
        <color rgb="FF63BE7B"/>
        <color rgb="FFFFEB84"/>
        <color rgb="FFF8696B"/>
      </colorScale>
    </cfRule>
  </conditionalFormatting>
  <conditionalFormatting sqref="H9530">
    <cfRule type="cellIs" dxfId="687" priority="830" operator="lessThan">
      <formula>1.2</formula>
    </cfRule>
    <cfRule type="cellIs" dxfId="686" priority="831" operator="greaterThanOrEqual">
      <formula>1.2</formula>
    </cfRule>
  </conditionalFormatting>
  <conditionalFormatting sqref="D9554:D9577">
    <cfRule type="colorScale" priority="827">
      <colorScale>
        <cfvo type="min"/>
        <cfvo type="percentile" val="50"/>
        <cfvo type="max"/>
        <color rgb="FF63BE7B"/>
        <color rgb="FFFFEB84"/>
        <color rgb="FFF8696B"/>
      </colorScale>
    </cfRule>
  </conditionalFormatting>
  <conditionalFormatting sqref="H9555:H9577">
    <cfRule type="cellIs" dxfId="685" priority="820" operator="lessThan">
      <formula>1.2</formula>
    </cfRule>
    <cfRule type="cellIs" dxfId="684" priority="821" operator="greaterThanOrEqual">
      <formula>1.2</formula>
    </cfRule>
  </conditionalFormatting>
  <conditionalFormatting sqref="G9554:G9577">
    <cfRule type="cellIs" dxfId="683" priority="825" operator="lessThan">
      <formula>150</formula>
    </cfRule>
    <cfRule type="cellIs" dxfId="682" priority="826" operator="greaterThanOrEqual">
      <formula>150</formula>
    </cfRule>
  </conditionalFormatting>
  <conditionalFormatting sqref="F9554:F9577">
    <cfRule type="colorScale" priority="824">
      <colorScale>
        <cfvo type="min"/>
        <cfvo type="percentile" val="50"/>
        <cfvo type="max"/>
        <color rgb="FF63BE7B"/>
        <color rgb="FFFFEB84"/>
        <color rgb="FFF8696B"/>
      </colorScale>
    </cfRule>
  </conditionalFormatting>
  <conditionalFormatting sqref="H9554">
    <cfRule type="cellIs" dxfId="681" priority="822" operator="lessThan">
      <formula>1.2</formula>
    </cfRule>
    <cfRule type="cellIs" dxfId="680" priority="823" operator="greaterThanOrEqual">
      <formula>1.2</formula>
    </cfRule>
  </conditionalFormatting>
  <conditionalFormatting sqref="D9578:D9601">
    <cfRule type="colorScale" priority="819">
      <colorScale>
        <cfvo type="min"/>
        <cfvo type="percentile" val="50"/>
        <cfvo type="max"/>
        <color rgb="FF63BE7B"/>
        <color rgb="FFFFEB84"/>
        <color rgb="FFF8696B"/>
      </colorScale>
    </cfRule>
  </conditionalFormatting>
  <conditionalFormatting sqref="G9578:G9601">
    <cfRule type="cellIs" dxfId="679" priority="811" operator="between">
      <formula>49</formula>
      <formula>149</formula>
    </cfRule>
    <cfRule type="cellIs" dxfId="678" priority="817" operator="lessThan">
      <formula>49</formula>
    </cfRule>
    <cfRule type="cellIs" dxfId="677" priority="818" operator="greaterThanOrEqual">
      <formula>150</formula>
    </cfRule>
  </conditionalFormatting>
  <conditionalFormatting sqref="F9578:F9601">
    <cfRule type="colorScale" priority="816">
      <colorScale>
        <cfvo type="min"/>
        <cfvo type="percentile" val="50"/>
        <cfvo type="max"/>
        <color rgb="FF63BE7B"/>
        <color rgb="FFFFEB84"/>
        <color rgb="FFF8696B"/>
      </colorScale>
    </cfRule>
  </conditionalFormatting>
  <conditionalFormatting sqref="H9578:H9601">
    <cfRule type="cellIs" dxfId="676" priority="810" operator="between">
      <formula>0.8</formula>
      <formula>1.2</formula>
    </cfRule>
    <cfRule type="cellIs" dxfId="675" priority="812" operator="lessThan">
      <formula>0.8</formula>
    </cfRule>
    <cfRule type="cellIs" dxfId="674" priority="813" operator="greaterThanOrEqual">
      <formula>1.2</formula>
    </cfRule>
  </conditionalFormatting>
  <conditionalFormatting sqref="D9602:D9625">
    <cfRule type="colorScale" priority="809">
      <colorScale>
        <cfvo type="min"/>
        <cfvo type="percentile" val="50"/>
        <cfvo type="max"/>
        <color rgb="FF63BE7B"/>
        <color rgb="FFFFEB84"/>
        <color rgb="FFF8696B"/>
      </colorScale>
    </cfRule>
  </conditionalFormatting>
  <conditionalFormatting sqref="G9602:G9625">
    <cfRule type="cellIs" dxfId="673" priority="803" operator="between">
      <formula>49</formula>
      <formula>149</formula>
    </cfRule>
    <cfRule type="cellIs" dxfId="672" priority="807" operator="lessThan">
      <formula>49</formula>
    </cfRule>
    <cfRule type="cellIs" dxfId="671" priority="808" operator="greaterThanOrEqual">
      <formula>150</formula>
    </cfRule>
  </conditionalFormatting>
  <conditionalFormatting sqref="F9602:F9625">
    <cfRule type="colorScale" priority="806">
      <colorScale>
        <cfvo type="min"/>
        <cfvo type="percentile" val="50"/>
        <cfvo type="max"/>
        <color rgb="FF63BE7B"/>
        <color rgb="FFFFEB84"/>
        <color rgb="FFF8696B"/>
      </colorScale>
    </cfRule>
  </conditionalFormatting>
  <conditionalFormatting sqref="H9602:H9625">
    <cfRule type="cellIs" dxfId="670" priority="802" operator="between">
      <formula>0.8</formula>
      <formula>1.2</formula>
    </cfRule>
    <cfRule type="cellIs" dxfId="669" priority="804" operator="lessThan">
      <formula>0.8</formula>
    </cfRule>
    <cfRule type="cellIs" dxfId="668" priority="805" operator="greaterThanOrEqual">
      <formula>1.2</formula>
    </cfRule>
  </conditionalFormatting>
  <conditionalFormatting sqref="D9626:D9649">
    <cfRule type="colorScale" priority="801">
      <colorScale>
        <cfvo type="min"/>
        <cfvo type="percentile" val="50"/>
        <cfvo type="max"/>
        <color rgb="FF63BE7B"/>
        <color rgb="FFFFEB84"/>
        <color rgb="FFF8696B"/>
      </colorScale>
    </cfRule>
  </conditionalFormatting>
  <conditionalFormatting sqref="G9626:G9649">
    <cfRule type="cellIs" dxfId="667" priority="795" operator="between">
      <formula>49</formula>
      <formula>149</formula>
    </cfRule>
    <cfRule type="cellIs" dxfId="666" priority="799" operator="lessThan">
      <formula>49</formula>
    </cfRule>
    <cfRule type="cellIs" dxfId="665" priority="800" operator="greaterThanOrEqual">
      <formula>150</formula>
    </cfRule>
  </conditionalFormatting>
  <conditionalFormatting sqref="F9626:F9649">
    <cfRule type="colorScale" priority="798">
      <colorScale>
        <cfvo type="min"/>
        <cfvo type="percentile" val="50"/>
        <cfvo type="max"/>
        <color rgb="FF63BE7B"/>
        <color rgb="FFFFEB84"/>
        <color rgb="FFF8696B"/>
      </colorScale>
    </cfRule>
  </conditionalFormatting>
  <conditionalFormatting sqref="H9626:H9649">
    <cfRule type="cellIs" dxfId="664" priority="794" operator="between">
      <formula>0.8</formula>
      <formula>1.2</formula>
    </cfRule>
    <cfRule type="cellIs" dxfId="663" priority="796" operator="lessThan">
      <formula>0.8</formula>
    </cfRule>
    <cfRule type="cellIs" dxfId="662" priority="797" operator="greaterThanOrEqual">
      <formula>1.2</formula>
    </cfRule>
  </conditionalFormatting>
  <conditionalFormatting sqref="D9650:D9673">
    <cfRule type="colorScale" priority="793">
      <colorScale>
        <cfvo type="min"/>
        <cfvo type="percentile" val="50"/>
        <cfvo type="max"/>
        <color rgb="FF63BE7B"/>
        <color rgb="FFFFEB84"/>
        <color rgb="FFF8696B"/>
      </colorScale>
    </cfRule>
  </conditionalFormatting>
  <conditionalFormatting sqref="G9650:G9673">
    <cfRule type="cellIs" dxfId="661" priority="787" operator="between">
      <formula>49</formula>
      <formula>149</formula>
    </cfRule>
    <cfRule type="cellIs" dxfId="660" priority="791" operator="lessThan">
      <formula>49</formula>
    </cfRule>
    <cfRule type="cellIs" dxfId="659" priority="792" operator="greaterThanOrEqual">
      <formula>150</formula>
    </cfRule>
  </conditionalFormatting>
  <conditionalFormatting sqref="F9650:F9673">
    <cfRule type="colorScale" priority="790">
      <colorScale>
        <cfvo type="min"/>
        <cfvo type="percentile" val="50"/>
        <cfvo type="max"/>
        <color rgb="FF63BE7B"/>
        <color rgb="FFFFEB84"/>
        <color rgb="FFF8696B"/>
      </colorScale>
    </cfRule>
  </conditionalFormatting>
  <conditionalFormatting sqref="H9650:H9673">
    <cfRule type="cellIs" dxfId="658" priority="786" operator="between">
      <formula>0.8</formula>
      <formula>1.2</formula>
    </cfRule>
    <cfRule type="cellIs" dxfId="657" priority="788" operator="lessThan">
      <formula>0.8</formula>
    </cfRule>
    <cfRule type="cellIs" dxfId="656" priority="789" operator="greaterThanOrEqual">
      <formula>1.2</formula>
    </cfRule>
  </conditionalFormatting>
  <conditionalFormatting sqref="D9674:D9697">
    <cfRule type="colorScale" priority="785">
      <colorScale>
        <cfvo type="min"/>
        <cfvo type="percentile" val="50"/>
        <cfvo type="max"/>
        <color rgb="FF63BE7B"/>
        <color rgb="FFFFEB84"/>
        <color rgb="FFF8696B"/>
      </colorScale>
    </cfRule>
  </conditionalFormatting>
  <conditionalFormatting sqref="G9674:G9697">
    <cfRule type="cellIs" dxfId="655" priority="779" operator="between">
      <formula>49</formula>
      <formula>149</formula>
    </cfRule>
    <cfRule type="cellIs" dxfId="654" priority="783" operator="lessThan">
      <formula>49</formula>
    </cfRule>
    <cfRule type="cellIs" dxfId="653" priority="784" operator="greaterThanOrEqual">
      <formula>150</formula>
    </cfRule>
  </conditionalFormatting>
  <conditionalFormatting sqref="F9674:F9697">
    <cfRule type="colorScale" priority="782">
      <colorScale>
        <cfvo type="min"/>
        <cfvo type="percentile" val="50"/>
        <cfvo type="max"/>
        <color rgb="FF63BE7B"/>
        <color rgb="FFFFEB84"/>
        <color rgb="FFF8696B"/>
      </colorScale>
    </cfRule>
  </conditionalFormatting>
  <conditionalFormatting sqref="H9674:H9697">
    <cfRule type="cellIs" dxfId="652" priority="778" operator="between">
      <formula>0.8</formula>
      <formula>1.2</formula>
    </cfRule>
    <cfRule type="cellIs" dxfId="651" priority="780" operator="lessThan">
      <formula>0.8</formula>
    </cfRule>
    <cfRule type="cellIs" dxfId="650" priority="781" operator="greaterThanOrEqual">
      <formula>1.2</formula>
    </cfRule>
  </conditionalFormatting>
  <conditionalFormatting sqref="D9698:D9721">
    <cfRule type="colorScale" priority="777">
      <colorScale>
        <cfvo type="min"/>
        <cfvo type="percentile" val="50"/>
        <cfvo type="max"/>
        <color rgb="FF63BE7B"/>
        <color rgb="FFFFEB84"/>
        <color rgb="FFF8696B"/>
      </colorScale>
    </cfRule>
  </conditionalFormatting>
  <conditionalFormatting sqref="G9698:G9721">
    <cfRule type="cellIs" dxfId="649" priority="771" operator="between">
      <formula>49</formula>
      <formula>149</formula>
    </cfRule>
    <cfRule type="cellIs" dxfId="648" priority="775" operator="lessThan">
      <formula>49</formula>
    </cfRule>
    <cfRule type="cellIs" dxfId="647" priority="776" operator="greaterThanOrEqual">
      <formula>150</formula>
    </cfRule>
  </conditionalFormatting>
  <conditionalFormatting sqref="F9698:F9721">
    <cfRule type="colorScale" priority="774">
      <colorScale>
        <cfvo type="min"/>
        <cfvo type="percentile" val="50"/>
        <cfvo type="max"/>
        <color rgb="FF63BE7B"/>
        <color rgb="FFFFEB84"/>
        <color rgb="FFF8696B"/>
      </colorScale>
    </cfRule>
  </conditionalFormatting>
  <conditionalFormatting sqref="H9698:H9721">
    <cfRule type="cellIs" dxfId="646" priority="770" operator="between">
      <formula>0.8</formula>
      <formula>1.2</formula>
    </cfRule>
    <cfRule type="cellIs" dxfId="645" priority="772" operator="lessThan">
      <formula>0.8</formula>
    </cfRule>
    <cfRule type="cellIs" dxfId="644" priority="773" operator="greaterThanOrEqual">
      <formula>1.2</formula>
    </cfRule>
  </conditionalFormatting>
  <conditionalFormatting sqref="D9722:D9745">
    <cfRule type="colorScale" priority="769">
      <colorScale>
        <cfvo type="min"/>
        <cfvo type="percentile" val="50"/>
        <cfvo type="max"/>
        <color rgb="FF63BE7B"/>
        <color rgb="FFFFEB84"/>
        <color rgb="FFF8696B"/>
      </colorScale>
    </cfRule>
  </conditionalFormatting>
  <conditionalFormatting sqref="G9722:G9745">
    <cfRule type="cellIs" dxfId="643" priority="763" operator="between">
      <formula>49</formula>
      <formula>149</formula>
    </cfRule>
    <cfRule type="cellIs" dxfId="642" priority="767" operator="lessThan">
      <formula>49</formula>
    </cfRule>
    <cfRule type="cellIs" dxfId="641" priority="768" operator="greaterThanOrEqual">
      <formula>150</formula>
    </cfRule>
  </conditionalFormatting>
  <conditionalFormatting sqref="F9722:F9745">
    <cfRule type="colorScale" priority="766">
      <colorScale>
        <cfvo type="min"/>
        <cfvo type="percentile" val="50"/>
        <cfvo type="max"/>
        <color rgb="FF63BE7B"/>
        <color rgb="FFFFEB84"/>
        <color rgb="FFF8696B"/>
      </colorScale>
    </cfRule>
  </conditionalFormatting>
  <conditionalFormatting sqref="H9722:H9745">
    <cfRule type="cellIs" dxfId="640" priority="762" operator="between">
      <formula>0.8</formula>
      <formula>1.2</formula>
    </cfRule>
    <cfRule type="cellIs" dxfId="639" priority="764" operator="lessThan">
      <formula>0.8</formula>
    </cfRule>
    <cfRule type="cellIs" dxfId="638" priority="765" operator="greaterThanOrEqual">
      <formula>1.2</formula>
    </cfRule>
  </conditionalFormatting>
  <conditionalFormatting sqref="D9746:D9769">
    <cfRule type="colorScale" priority="761">
      <colorScale>
        <cfvo type="min"/>
        <cfvo type="percentile" val="50"/>
        <cfvo type="max"/>
        <color rgb="FF63BE7B"/>
        <color rgb="FFFFEB84"/>
        <color rgb="FFF8696B"/>
      </colorScale>
    </cfRule>
  </conditionalFormatting>
  <conditionalFormatting sqref="G9746:G9769">
    <cfRule type="cellIs" dxfId="637" priority="755" operator="between">
      <formula>49</formula>
      <formula>149</formula>
    </cfRule>
    <cfRule type="cellIs" dxfId="636" priority="759" operator="lessThan">
      <formula>49</formula>
    </cfRule>
    <cfRule type="cellIs" dxfId="635" priority="760" operator="greaterThanOrEqual">
      <formula>150</formula>
    </cfRule>
  </conditionalFormatting>
  <conditionalFormatting sqref="F9746:F9769">
    <cfRule type="colorScale" priority="758">
      <colorScale>
        <cfvo type="min"/>
        <cfvo type="percentile" val="50"/>
        <cfvo type="max"/>
        <color rgb="FF63BE7B"/>
        <color rgb="FFFFEB84"/>
        <color rgb="FFF8696B"/>
      </colorScale>
    </cfRule>
  </conditionalFormatting>
  <conditionalFormatting sqref="H9746:H9769">
    <cfRule type="cellIs" dxfId="634" priority="754" operator="between">
      <formula>0.8</formula>
      <formula>1.2</formula>
    </cfRule>
    <cfRule type="cellIs" dxfId="633" priority="756" operator="lessThan">
      <formula>0.8</formula>
    </cfRule>
    <cfRule type="cellIs" dxfId="632" priority="757" operator="greaterThanOrEqual">
      <formula>1.2</formula>
    </cfRule>
  </conditionalFormatting>
  <conditionalFormatting sqref="D9770:D9793">
    <cfRule type="colorScale" priority="753">
      <colorScale>
        <cfvo type="min"/>
        <cfvo type="percentile" val="50"/>
        <cfvo type="max"/>
        <color rgb="FF63BE7B"/>
        <color rgb="FFFFEB84"/>
        <color rgb="FFF8696B"/>
      </colorScale>
    </cfRule>
  </conditionalFormatting>
  <conditionalFormatting sqref="G9770:G9793">
    <cfRule type="cellIs" dxfId="631" priority="747" operator="between">
      <formula>49</formula>
      <formula>149</formula>
    </cfRule>
    <cfRule type="cellIs" dxfId="630" priority="751" operator="lessThan">
      <formula>49</formula>
    </cfRule>
    <cfRule type="cellIs" dxfId="629" priority="752" operator="greaterThanOrEqual">
      <formula>150</formula>
    </cfRule>
  </conditionalFormatting>
  <conditionalFormatting sqref="F9770:F9793">
    <cfRule type="colorScale" priority="750">
      <colorScale>
        <cfvo type="min"/>
        <cfvo type="percentile" val="50"/>
        <cfvo type="max"/>
        <color rgb="FF63BE7B"/>
        <color rgb="FFFFEB84"/>
        <color rgb="FFF8696B"/>
      </colorScale>
    </cfRule>
  </conditionalFormatting>
  <conditionalFormatting sqref="H9770:H9793">
    <cfRule type="cellIs" dxfId="628" priority="746" operator="between">
      <formula>0.8</formula>
      <formula>1.2</formula>
    </cfRule>
    <cfRule type="cellIs" dxfId="627" priority="748" operator="lessThan">
      <formula>0.8</formula>
    </cfRule>
    <cfRule type="cellIs" dxfId="626" priority="749" operator="greaterThanOrEqual">
      <formula>1.2</formula>
    </cfRule>
  </conditionalFormatting>
  <conditionalFormatting sqref="D9794:D9817">
    <cfRule type="colorScale" priority="745">
      <colorScale>
        <cfvo type="min"/>
        <cfvo type="percentile" val="50"/>
        <cfvo type="max"/>
        <color rgb="FF63BE7B"/>
        <color rgb="FFFFEB84"/>
        <color rgb="FFF8696B"/>
      </colorScale>
    </cfRule>
  </conditionalFormatting>
  <conditionalFormatting sqref="G9794:G9817">
    <cfRule type="cellIs" dxfId="625" priority="739" operator="between">
      <formula>49</formula>
      <formula>149</formula>
    </cfRule>
    <cfRule type="cellIs" dxfId="624" priority="743" operator="lessThan">
      <formula>49</formula>
    </cfRule>
    <cfRule type="cellIs" dxfId="623" priority="744" operator="greaterThanOrEqual">
      <formula>150</formula>
    </cfRule>
  </conditionalFormatting>
  <conditionalFormatting sqref="F9794:F9817">
    <cfRule type="colorScale" priority="742">
      <colorScale>
        <cfvo type="min"/>
        <cfvo type="percentile" val="50"/>
        <cfvo type="max"/>
        <color rgb="FF63BE7B"/>
        <color rgb="FFFFEB84"/>
        <color rgb="FFF8696B"/>
      </colorScale>
    </cfRule>
  </conditionalFormatting>
  <conditionalFormatting sqref="H9794:H9817">
    <cfRule type="cellIs" dxfId="622" priority="738" operator="between">
      <formula>0.8</formula>
      <formula>1.2</formula>
    </cfRule>
    <cfRule type="cellIs" dxfId="621" priority="740" operator="lessThan">
      <formula>0.8</formula>
    </cfRule>
    <cfRule type="cellIs" dxfId="620" priority="741" operator="greaterThanOrEqual">
      <formula>1.2</formula>
    </cfRule>
  </conditionalFormatting>
  <conditionalFormatting sqref="D9818:D9841">
    <cfRule type="colorScale" priority="737">
      <colorScale>
        <cfvo type="min"/>
        <cfvo type="percentile" val="50"/>
        <cfvo type="max"/>
        <color rgb="FF63BE7B"/>
        <color rgb="FFFFEB84"/>
        <color rgb="FFF8696B"/>
      </colorScale>
    </cfRule>
  </conditionalFormatting>
  <conditionalFormatting sqref="G9818:G9841">
    <cfRule type="cellIs" dxfId="619" priority="731" operator="between">
      <formula>49</formula>
      <formula>149</formula>
    </cfRule>
    <cfRule type="cellIs" dxfId="618" priority="735" operator="lessThan">
      <formula>49</formula>
    </cfRule>
    <cfRule type="cellIs" dxfId="617" priority="736" operator="greaterThanOrEqual">
      <formula>150</formula>
    </cfRule>
  </conditionalFormatting>
  <conditionalFormatting sqref="F9818:F9841">
    <cfRule type="colorScale" priority="734">
      <colorScale>
        <cfvo type="min"/>
        <cfvo type="percentile" val="50"/>
        <cfvo type="max"/>
        <color rgb="FF63BE7B"/>
        <color rgb="FFFFEB84"/>
        <color rgb="FFF8696B"/>
      </colorScale>
    </cfRule>
  </conditionalFormatting>
  <conditionalFormatting sqref="H9818:H9841">
    <cfRule type="cellIs" dxfId="616" priority="730" operator="between">
      <formula>0.8</formula>
      <formula>1.2</formula>
    </cfRule>
    <cfRule type="cellIs" dxfId="615" priority="732" operator="lessThan">
      <formula>0.8</formula>
    </cfRule>
    <cfRule type="cellIs" dxfId="614" priority="733" operator="greaterThanOrEqual">
      <formula>1.2</formula>
    </cfRule>
  </conditionalFormatting>
  <conditionalFormatting sqref="D9842:D9865">
    <cfRule type="colorScale" priority="729">
      <colorScale>
        <cfvo type="min"/>
        <cfvo type="percentile" val="50"/>
        <cfvo type="max"/>
        <color rgb="FF63BE7B"/>
        <color rgb="FFFFEB84"/>
        <color rgb="FFF8696B"/>
      </colorScale>
    </cfRule>
  </conditionalFormatting>
  <conditionalFormatting sqref="G9842:G9865">
    <cfRule type="cellIs" dxfId="613" priority="723" operator="between">
      <formula>49</formula>
      <formula>149</formula>
    </cfRule>
    <cfRule type="cellIs" dxfId="612" priority="727" operator="lessThan">
      <formula>49</formula>
    </cfRule>
    <cfRule type="cellIs" dxfId="611" priority="728" operator="greaterThanOrEqual">
      <formula>150</formula>
    </cfRule>
  </conditionalFormatting>
  <conditionalFormatting sqref="F9842:F9865">
    <cfRule type="colorScale" priority="726">
      <colorScale>
        <cfvo type="min"/>
        <cfvo type="percentile" val="50"/>
        <cfvo type="max"/>
        <color rgb="FF63BE7B"/>
        <color rgb="FFFFEB84"/>
        <color rgb="FFF8696B"/>
      </colorScale>
    </cfRule>
  </conditionalFormatting>
  <conditionalFormatting sqref="H9842:H9865">
    <cfRule type="cellIs" dxfId="610" priority="722" operator="between">
      <formula>0.8</formula>
      <formula>1.2</formula>
    </cfRule>
    <cfRule type="cellIs" dxfId="609" priority="724" operator="lessThan">
      <formula>0.8</formula>
    </cfRule>
    <cfRule type="cellIs" dxfId="608" priority="725" operator="greaterThanOrEqual">
      <formula>1.2</formula>
    </cfRule>
  </conditionalFormatting>
  <conditionalFormatting sqref="D9866:D9889">
    <cfRule type="colorScale" priority="721">
      <colorScale>
        <cfvo type="min"/>
        <cfvo type="percentile" val="50"/>
        <cfvo type="max"/>
        <color rgb="FF63BE7B"/>
        <color rgb="FFFFEB84"/>
        <color rgb="FFF8696B"/>
      </colorScale>
    </cfRule>
  </conditionalFormatting>
  <conditionalFormatting sqref="G9866:G9889">
    <cfRule type="cellIs" dxfId="607" priority="715" operator="between">
      <formula>49</formula>
      <formula>149</formula>
    </cfRule>
    <cfRule type="cellIs" dxfId="606" priority="719" operator="lessThan">
      <formula>49</formula>
    </cfRule>
    <cfRule type="cellIs" dxfId="605" priority="720" operator="greaterThanOrEqual">
      <formula>150</formula>
    </cfRule>
  </conditionalFormatting>
  <conditionalFormatting sqref="F9866:F9889">
    <cfRule type="colorScale" priority="718">
      <colorScale>
        <cfvo type="min"/>
        <cfvo type="percentile" val="50"/>
        <cfvo type="max"/>
        <color rgb="FF63BE7B"/>
        <color rgb="FFFFEB84"/>
        <color rgb="FFF8696B"/>
      </colorScale>
    </cfRule>
  </conditionalFormatting>
  <conditionalFormatting sqref="H9866:H9889">
    <cfRule type="cellIs" dxfId="604" priority="714" operator="between">
      <formula>0.8</formula>
      <formula>1.2</formula>
    </cfRule>
    <cfRule type="cellIs" dxfId="603" priority="716" operator="lessThan">
      <formula>0.8</formula>
    </cfRule>
    <cfRule type="cellIs" dxfId="602" priority="717" operator="greaterThanOrEqual">
      <formula>1.2</formula>
    </cfRule>
  </conditionalFormatting>
  <conditionalFormatting sqref="D9890:D9913">
    <cfRule type="colorScale" priority="713">
      <colorScale>
        <cfvo type="min"/>
        <cfvo type="percentile" val="50"/>
        <cfvo type="max"/>
        <color rgb="FF63BE7B"/>
        <color rgb="FFFFEB84"/>
        <color rgb="FFF8696B"/>
      </colorScale>
    </cfRule>
  </conditionalFormatting>
  <conditionalFormatting sqref="G9890:G9913">
    <cfRule type="cellIs" dxfId="601" priority="707" operator="between">
      <formula>49</formula>
      <formula>149</formula>
    </cfRule>
    <cfRule type="cellIs" dxfId="600" priority="711" operator="lessThan">
      <formula>49</formula>
    </cfRule>
    <cfRule type="cellIs" dxfId="599" priority="712" operator="greaterThanOrEqual">
      <formula>150</formula>
    </cfRule>
  </conditionalFormatting>
  <conditionalFormatting sqref="F9890:F9913">
    <cfRule type="colorScale" priority="710">
      <colorScale>
        <cfvo type="min"/>
        <cfvo type="percentile" val="50"/>
        <cfvo type="max"/>
        <color rgb="FF63BE7B"/>
        <color rgb="FFFFEB84"/>
        <color rgb="FFF8696B"/>
      </colorScale>
    </cfRule>
  </conditionalFormatting>
  <conditionalFormatting sqref="H9890:H9913">
    <cfRule type="cellIs" dxfId="598" priority="706" operator="between">
      <formula>0.8</formula>
      <formula>1.2</formula>
    </cfRule>
    <cfRule type="cellIs" dxfId="597" priority="708" operator="lessThan">
      <formula>0.8</formula>
    </cfRule>
    <cfRule type="cellIs" dxfId="596" priority="709" operator="greaterThanOrEqual">
      <formula>1.2</formula>
    </cfRule>
  </conditionalFormatting>
  <conditionalFormatting sqref="D9914:D9937">
    <cfRule type="colorScale" priority="705">
      <colorScale>
        <cfvo type="min"/>
        <cfvo type="percentile" val="50"/>
        <cfvo type="max"/>
        <color rgb="FF63BE7B"/>
        <color rgb="FFFFEB84"/>
        <color rgb="FFF8696B"/>
      </colorScale>
    </cfRule>
  </conditionalFormatting>
  <conditionalFormatting sqref="G9914:G9937">
    <cfRule type="cellIs" dxfId="595" priority="699" operator="between">
      <formula>49</formula>
      <formula>149</formula>
    </cfRule>
    <cfRule type="cellIs" dxfId="594" priority="703" operator="lessThan">
      <formula>49</formula>
    </cfRule>
    <cfRule type="cellIs" dxfId="593" priority="704" operator="greaterThanOrEqual">
      <formula>150</formula>
    </cfRule>
  </conditionalFormatting>
  <conditionalFormatting sqref="F9914:F9937">
    <cfRule type="colorScale" priority="702">
      <colorScale>
        <cfvo type="min"/>
        <cfvo type="percentile" val="50"/>
        <cfvo type="max"/>
        <color rgb="FF63BE7B"/>
        <color rgb="FFFFEB84"/>
        <color rgb="FFF8696B"/>
      </colorScale>
    </cfRule>
  </conditionalFormatting>
  <conditionalFormatting sqref="H9914:H9937">
    <cfRule type="cellIs" dxfId="592" priority="698" operator="between">
      <formula>0.8</formula>
      <formula>1.2</formula>
    </cfRule>
    <cfRule type="cellIs" dxfId="591" priority="700" operator="lessThan">
      <formula>0.8</formula>
    </cfRule>
    <cfRule type="cellIs" dxfId="590" priority="701" operator="greaterThanOrEqual">
      <formula>1.2</formula>
    </cfRule>
  </conditionalFormatting>
  <conditionalFormatting sqref="D9938:D9961">
    <cfRule type="colorScale" priority="697">
      <colorScale>
        <cfvo type="min"/>
        <cfvo type="percentile" val="50"/>
        <cfvo type="max"/>
        <color rgb="FF63BE7B"/>
        <color rgb="FFFFEB84"/>
        <color rgb="FFF8696B"/>
      </colorScale>
    </cfRule>
  </conditionalFormatting>
  <conditionalFormatting sqref="G9938:G9961">
    <cfRule type="cellIs" dxfId="589" priority="691" operator="between">
      <formula>49</formula>
      <formula>149</formula>
    </cfRule>
    <cfRule type="cellIs" dxfId="588" priority="695" operator="lessThan">
      <formula>49</formula>
    </cfRule>
    <cfRule type="cellIs" dxfId="587" priority="696" operator="greaterThanOrEqual">
      <formula>150</formula>
    </cfRule>
  </conditionalFormatting>
  <conditionalFormatting sqref="F9938:F9961">
    <cfRule type="colorScale" priority="694">
      <colorScale>
        <cfvo type="min"/>
        <cfvo type="percentile" val="50"/>
        <cfvo type="max"/>
        <color rgb="FF63BE7B"/>
        <color rgb="FFFFEB84"/>
        <color rgb="FFF8696B"/>
      </colorScale>
    </cfRule>
  </conditionalFormatting>
  <conditionalFormatting sqref="H9938:H9961">
    <cfRule type="cellIs" dxfId="586" priority="690" operator="between">
      <formula>0.8</formula>
      <formula>1.2</formula>
    </cfRule>
    <cfRule type="cellIs" dxfId="585" priority="692" operator="lessThan">
      <formula>0.8</formula>
    </cfRule>
    <cfRule type="cellIs" dxfId="584" priority="693" operator="greaterThanOrEqual">
      <formula>1.2</formula>
    </cfRule>
  </conditionalFormatting>
  <conditionalFormatting sqref="D9962:D9985">
    <cfRule type="colorScale" priority="689">
      <colorScale>
        <cfvo type="min"/>
        <cfvo type="percentile" val="50"/>
        <cfvo type="max"/>
        <color rgb="FF63BE7B"/>
        <color rgb="FFFFEB84"/>
        <color rgb="FFF8696B"/>
      </colorScale>
    </cfRule>
  </conditionalFormatting>
  <conditionalFormatting sqref="G9962:G9985">
    <cfRule type="cellIs" dxfId="583" priority="683" operator="between">
      <formula>49</formula>
      <formula>149</formula>
    </cfRule>
    <cfRule type="cellIs" dxfId="582" priority="687" operator="lessThan">
      <formula>49</formula>
    </cfRule>
    <cfRule type="cellIs" dxfId="581" priority="688" operator="greaterThanOrEqual">
      <formula>150</formula>
    </cfRule>
  </conditionalFormatting>
  <conditionalFormatting sqref="F9962:F9985">
    <cfRule type="colorScale" priority="686">
      <colorScale>
        <cfvo type="min"/>
        <cfvo type="percentile" val="50"/>
        <cfvo type="max"/>
        <color rgb="FF63BE7B"/>
        <color rgb="FFFFEB84"/>
        <color rgb="FFF8696B"/>
      </colorScale>
    </cfRule>
  </conditionalFormatting>
  <conditionalFormatting sqref="H9962:H9985">
    <cfRule type="cellIs" dxfId="580" priority="682" operator="between">
      <formula>0.8</formula>
      <formula>1.2</formula>
    </cfRule>
    <cfRule type="cellIs" dxfId="579" priority="684" operator="lessThan">
      <formula>0.8</formula>
    </cfRule>
    <cfRule type="cellIs" dxfId="578" priority="685" operator="greaterThanOrEqual">
      <formula>1.2</formula>
    </cfRule>
  </conditionalFormatting>
  <conditionalFormatting sqref="D9986:D10009">
    <cfRule type="colorScale" priority="680">
      <colorScale>
        <cfvo type="min"/>
        <cfvo type="percentile" val="50"/>
        <cfvo type="max"/>
        <color rgb="FF63BE7B"/>
        <color rgb="FFFFEB84"/>
        <color rgb="FFF8696B"/>
      </colorScale>
    </cfRule>
  </conditionalFormatting>
  <conditionalFormatting sqref="G9986:G10009">
    <cfRule type="cellIs" dxfId="577" priority="674" operator="between">
      <formula>49</formula>
      <formula>149</formula>
    </cfRule>
    <cfRule type="cellIs" dxfId="576" priority="678" operator="lessThan">
      <formula>49</formula>
    </cfRule>
    <cfRule type="cellIs" dxfId="575" priority="679" operator="greaterThanOrEqual">
      <formula>150</formula>
    </cfRule>
  </conditionalFormatting>
  <conditionalFormatting sqref="F9986:F10009">
    <cfRule type="colorScale" priority="677">
      <colorScale>
        <cfvo type="min"/>
        <cfvo type="percentile" val="50"/>
        <cfvo type="max"/>
        <color rgb="FF63BE7B"/>
        <color rgb="FFFFEB84"/>
        <color rgb="FFF8696B"/>
      </colorScale>
    </cfRule>
  </conditionalFormatting>
  <conditionalFormatting sqref="H9986:H10009">
    <cfRule type="cellIs" dxfId="574" priority="673" operator="between">
      <formula>0.8</formula>
      <formula>1.2</formula>
    </cfRule>
    <cfRule type="cellIs" dxfId="573" priority="675" operator="lessThan">
      <formula>0.8</formula>
    </cfRule>
    <cfRule type="cellIs" dxfId="572" priority="676" operator="greaterThanOrEqual">
      <formula>1.2</formula>
    </cfRule>
  </conditionalFormatting>
  <conditionalFormatting sqref="D10010:D10033">
    <cfRule type="colorScale" priority="672">
      <colorScale>
        <cfvo type="min"/>
        <cfvo type="percentile" val="50"/>
        <cfvo type="max"/>
        <color rgb="FF63BE7B"/>
        <color rgb="FFFFEB84"/>
        <color rgb="FFF8696B"/>
      </colorScale>
    </cfRule>
  </conditionalFormatting>
  <conditionalFormatting sqref="G10010:G10033">
    <cfRule type="cellIs" dxfId="571" priority="666" operator="between">
      <formula>49</formula>
      <formula>149</formula>
    </cfRule>
    <cfRule type="cellIs" dxfId="570" priority="670" operator="lessThan">
      <formula>49</formula>
    </cfRule>
    <cfRule type="cellIs" dxfId="569" priority="671" operator="greaterThanOrEqual">
      <formula>150</formula>
    </cfRule>
  </conditionalFormatting>
  <conditionalFormatting sqref="F10010:F10033">
    <cfRule type="colorScale" priority="669">
      <colorScale>
        <cfvo type="min"/>
        <cfvo type="percentile" val="50"/>
        <cfvo type="max"/>
        <color rgb="FF63BE7B"/>
        <color rgb="FFFFEB84"/>
        <color rgb="FFF8696B"/>
      </colorScale>
    </cfRule>
  </conditionalFormatting>
  <conditionalFormatting sqref="H10010:H10033">
    <cfRule type="cellIs" dxfId="568" priority="665" operator="between">
      <formula>0.8</formula>
      <formula>1.2</formula>
    </cfRule>
    <cfRule type="cellIs" dxfId="567" priority="667" operator="lessThan">
      <formula>0.8</formula>
    </cfRule>
    <cfRule type="cellIs" dxfId="566" priority="668" operator="greaterThanOrEqual">
      <formula>1.2</formula>
    </cfRule>
  </conditionalFormatting>
  <conditionalFormatting sqref="D10034:D10057">
    <cfRule type="colorScale" priority="664">
      <colorScale>
        <cfvo type="min"/>
        <cfvo type="percentile" val="50"/>
        <cfvo type="max"/>
        <color rgb="FF63BE7B"/>
        <color rgb="FFFFEB84"/>
        <color rgb="FFF8696B"/>
      </colorScale>
    </cfRule>
  </conditionalFormatting>
  <conditionalFormatting sqref="G10034:G10057">
    <cfRule type="cellIs" dxfId="565" priority="658" operator="between">
      <formula>49</formula>
      <formula>149</formula>
    </cfRule>
    <cfRule type="cellIs" dxfId="564" priority="662" operator="lessThan">
      <formula>49</formula>
    </cfRule>
    <cfRule type="cellIs" dxfId="563" priority="663" operator="greaterThanOrEqual">
      <formula>150</formula>
    </cfRule>
  </conditionalFormatting>
  <conditionalFormatting sqref="F10034:F10057">
    <cfRule type="colorScale" priority="661">
      <colorScale>
        <cfvo type="min"/>
        <cfvo type="percentile" val="50"/>
        <cfvo type="max"/>
        <color rgb="FF63BE7B"/>
        <color rgb="FFFFEB84"/>
        <color rgb="FFF8696B"/>
      </colorScale>
    </cfRule>
  </conditionalFormatting>
  <conditionalFormatting sqref="H10034:H10057">
    <cfRule type="cellIs" dxfId="562" priority="657" operator="between">
      <formula>0.8</formula>
      <formula>1.2</formula>
    </cfRule>
    <cfRule type="cellIs" dxfId="561" priority="659" operator="lessThan">
      <formula>0.8</formula>
    </cfRule>
    <cfRule type="cellIs" dxfId="560" priority="660" operator="greaterThanOrEqual">
      <formula>1.2</formula>
    </cfRule>
  </conditionalFormatting>
  <conditionalFormatting sqref="I10034:I10057">
    <cfRule type="colorScale" priority="656">
      <colorScale>
        <cfvo type="min"/>
        <cfvo type="percentile" val="50"/>
        <cfvo type="max"/>
        <color rgb="FF63BE7B"/>
        <color rgb="FFFFEB84"/>
        <color rgb="FFF8696B"/>
      </colorScale>
    </cfRule>
  </conditionalFormatting>
  <conditionalFormatting sqref="K10035:K10057">
    <cfRule type="colorScale" priority="655">
      <colorScale>
        <cfvo type="min"/>
        <cfvo type="percentile" val="50"/>
        <cfvo type="max"/>
        <color rgb="FF63BE7B"/>
        <color rgb="FFFFEB84"/>
        <color rgb="FFF8696B"/>
      </colorScale>
    </cfRule>
  </conditionalFormatting>
  <conditionalFormatting sqref="K10034:K10057">
    <cfRule type="colorScale" priority="654">
      <colorScale>
        <cfvo type="min"/>
        <cfvo type="percentile" val="50"/>
        <cfvo type="max"/>
        <color rgb="FF63BE7B"/>
        <color rgb="FFFFEB84"/>
        <color rgb="FFF8696B"/>
      </colorScale>
    </cfRule>
  </conditionalFormatting>
  <conditionalFormatting sqref="D10058:D10081">
    <cfRule type="colorScale" priority="653">
      <colorScale>
        <cfvo type="min"/>
        <cfvo type="percentile" val="50"/>
        <cfvo type="max"/>
        <color rgb="FF63BE7B"/>
        <color rgb="FFFFEB84"/>
        <color rgb="FFF8696B"/>
      </colorScale>
    </cfRule>
  </conditionalFormatting>
  <conditionalFormatting sqref="G10058:G10081">
    <cfRule type="cellIs" dxfId="559" priority="647" operator="between">
      <formula>49</formula>
      <formula>149</formula>
    </cfRule>
    <cfRule type="cellIs" dxfId="558" priority="651" operator="lessThan">
      <formula>49</formula>
    </cfRule>
    <cfRule type="cellIs" dxfId="557" priority="652" operator="greaterThanOrEqual">
      <formula>150</formula>
    </cfRule>
  </conditionalFormatting>
  <conditionalFormatting sqref="F10058:F10081">
    <cfRule type="colorScale" priority="650">
      <colorScale>
        <cfvo type="min"/>
        <cfvo type="percentile" val="50"/>
        <cfvo type="max"/>
        <color rgb="FF63BE7B"/>
        <color rgb="FFFFEB84"/>
        <color rgb="FFF8696B"/>
      </colorScale>
    </cfRule>
  </conditionalFormatting>
  <conditionalFormatting sqref="H10058:H10081">
    <cfRule type="cellIs" dxfId="556" priority="646" operator="between">
      <formula>0.8</formula>
      <formula>1.2</formula>
    </cfRule>
    <cfRule type="cellIs" dxfId="555" priority="648" operator="lessThan">
      <formula>0.8</formula>
    </cfRule>
    <cfRule type="cellIs" dxfId="554" priority="649" operator="greaterThanOrEqual">
      <formula>1.2</formula>
    </cfRule>
  </conditionalFormatting>
  <conditionalFormatting sqref="I10058:I10081">
    <cfRule type="colorScale" priority="645">
      <colorScale>
        <cfvo type="min"/>
        <cfvo type="percentile" val="50"/>
        <cfvo type="max"/>
        <color rgb="FF63BE7B"/>
        <color rgb="FFFFEB84"/>
        <color rgb="FFF8696B"/>
      </colorScale>
    </cfRule>
  </conditionalFormatting>
  <conditionalFormatting sqref="D10082:D10105">
    <cfRule type="colorScale" priority="642">
      <colorScale>
        <cfvo type="min"/>
        <cfvo type="percentile" val="50"/>
        <cfvo type="max"/>
        <color rgb="FF63BE7B"/>
        <color rgb="FFFFEB84"/>
        <color rgb="FFF8696B"/>
      </colorScale>
    </cfRule>
  </conditionalFormatting>
  <conditionalFormatting sqref="G10082:G10105">
    <cfRule type="cellIs" dxfId="553" priority="634" operator="between">
      <formula>49</formula>
      <formula>149</formula>
    </cfRule>
    <cfRule type="cellIs" dxfId="552" priority="638" operator="lessThan">
      <formula>49</formula>
    </cfRule>
    <cfRule type="cellIs" dxfId="551" priority="639" operator="greaterThanOrEqual">
      <formula>150</formula>
    </cfRule>
  </conditionalFormatting>
  <conditionalFormatting sqref="F10082:F10105">
    <cfRule type="colorScale" priority="637">
      <colorScale>
        <cfvo type="min"/>
        <cfvo type="percentile" val="50"/>
        <cfvo type="max"/>
        <color rgb="FF63BE7B"/>
        <color rgb="FFFFEB84"/>
        <color rgb="FFF8696B"/>
      </colorScale>
    </cfRule>
  </conditionalFormatting>
  <conditionalFormatting sqref="H10082:H10105">
    <cfRule type="cellIs" dxfId="550" priority="633" operator="between">
      <formula>0.8</formula>
      <formula>1.2</formula>
    </cfRule>
    <cfRule type="cellIs" dxfId="549" priority="635" operator="lessThan">
      <formula>0.8</formula>
    </cfRule>
    <cfRule type="cellIs" dxfId="548" priority="636" operator="greaterThanOrEqual">
      <formula>1.2</formula>
    </cfRule>
  </conditionalFormatting>
  <conditionalFormatting sqref="K10059:K10081">
    <cfRule type="colorScale" priority="632">
      <colorScale>
        <cfvo type="min"/>
        <cfvo type="percentile" val="50"/>
        <cfvo type="max"/>
        <color rgb="FF63BE7B"/>
        <color rgb="FFFFEB84"/>
        <color rgb="FFF8696B"/>
      </colorScale>
    </cfRule>
  </conditionalFormatting>
  <conditionalFormatting sqref="K10058:K10081">
    <cfRule type="colorScale" priority="631">
      <colorScale>
        <cfvo type="min"/>
        <cfvo type="percentile" val="50"/>
        <cfvo type="max"/>
        <color rgb="FF63BE7B"/>
        <color rgb="FFFFEB84"/>
        <color rgb="FFF8696B"/>
      </colorScale>
    </cfRule>
  </conditionalFormatting>
  <conditionalFormatting sqref="I10082:I10105">
    <cfRule type="colorScale" priority="630">
      <colorScale>
        <cfvo type="min"/>
        <cfvo type="percentile" val="50"/>
        <cfvo type="max"/>
        <color rgb="FF63BE7B"/>
        <color rgb="FFFFEB84"/>
        <color rgb="FFF8696B"/>
      </colorScale>
    </cfRule>
  </conditionalFormatting>
  <conditionalFormatting sqref="K10083:K10105">
    <cfRule type="colorScale" priority="629">
      <colorScale>
        <cfvo type="min"/>
        <cfvo type="percentile" val="50"/>
        <cfvo type="max"/>
        <color rgb="FF63BE7B"/>
        <color rgb="FFFFEB84"/>
        <color rgb="FFF8696B"/>
      </colorScale>
    </cfRule>
  </conditionalFormatting>
  <conditionalFormatting sqref="K10082:K10105">
    <cfRule type="colorScale" priority="628">
      <colorScale>
        <cfvo type="min"/>
        <cfvo type="percentile" val="50"/>
        <cfvo type="max"/>
        <color rgb="FF63BE7B"/>
        <color rgb="FFFFEB84"/>
        <color rgb="FFF8696B"/>
      </colorScale>
    </cfRule>
  </conditionalFormatting>
  <conditionalFormatting sqref="I10010:I10033">
    <cfRule type="colorScale" priority="627">
      <colorScale>
        <cfvo type="min"/>
        <cfvo type="percentile" val="50"/>
        <cfvo type="max"/>
        <color rgb="FF63BE7B"/>
        <color rgb="FFFFEB84"/>
        <color rgb="FFF8696B"/>
      </colorScale>
    </cfRule>
  </conditionalFormatting>
  <conditionalFormatting sqref="K10011:K10033">
    <cfRule type="colorScale" priority="626">
      <colorScale>
        <cfvo type="min"/>
        <cfvo type="percentile" val="50"/>
        <cfvo type="max"/>
        <color rgb="FF63BE7B"/>
        <color rgb="FFFFEB84"/>
        <color rgb="FFF8696B"/>
      </colorScale>
    </cfRule>
  </conditionalFormatting>
  <conditionalFormatting sqref="K10010:K10033">
    <cfRule type="colorScale" priority="625">
      <colorScale>
        <cfvo type="min"/>
        <cfvo type="percentile" val="50"/>
        <cfvo type="max"/>
        <color rgb="FF63BE7B"/>
        <color rgb="FFFFEB84"/>
        <color rgb="FFF8696B"/>
      </colorScale>
    </cfRule>
  </conditionalFormatting>
  <conditionalFormatting sqref="I9986:I10009">
    <cfRule type="colorScale" priority="624">
      <colorScale>
        <cfvo type="min"/>
        <cfvo type="percentile" val="50"/>
        <cfvo type="max"/>
        <color rgb="FF63BE7B"/>
        <color rgb="FFFFEB84"/>
        <color rgb="FFF8696B"/>
      </colorScale>
    </cfRule>
  </conditionalFormatting>
  <conditionalFormatting sqref="K9987:K10009">
    <cfRule type="colorScale" priority="623">
      <colorScale>
        <cfvo type="min"/>
        <cfvo type="percentile" val="50"/>
        <cfvo type="max"/>
        <color rgb="FF63BE7B"/>
        <color rgb="FFFFEB84"/>
        <color rgb="FFF8696B"/>
      </colorScale>
    </cfRule>
  </conditionalFormatting>
  <conditionalFormatting sqref="K9986:K10009">
    <cfRule type="colorScale" priority="622">
      <colorScale>
        <cfvo type="min"/>
        <cfvo type="percentile" val="50"/>
        <cfvo type="max"/>
        <color rgb="FF63BE7B"/>
        <color rgb="FFFFEB84"/>
        <color rgb="FFF8696B"/>
      </colorScale>
    </cfRule>
  </conditionalFormatting>
  <conditionalFormatting sqref="I9962:I9985">
    <cfRule type="colorScale" priority="621">
      <colorScale>
        <cfvo type="min"/>
        <cfvo type="percentile" val="50"/>
        <cfvo type="max"/>
        <color rgb="FF63BE7B"/>
        <color rgb="FFFFEB84"/>
        <color rgb="FFF8696B"/>
      </colorScale>
    </cfRule>
  </conditionalFormatting>
  <conditionalFormatting sqref="K9963:K9985">
    <cfRule type="colorScale" priority="620">
      <colorScale>
        <cfvo type="min"/>
        <cfvo type="percentile" val="50"/>
        <cfvo type="max"/>
        <color rgb="FF63BE7B"/>
        <color rgb="FFFFEB84"/>
        <color rgb="FFF8696B"/>
      </colorScale>
    </cfRule>
  </conditionalFormatting>
  <conditionalFormatting sqref="K9962:K9985">
    <cfRule type="colorScale" priority="619">
      <colorScale>
        <cfvo type="min"/>
        <cfvo type="percentile" val="50"/>
        <cfvo type="max"/>
        <color rgb="FF63BE7B"/>
        <color rgb="FFFFEB84"/>
        <color rgb="FFF8696B"/>
      </colorScale>
    </cfRule>
  </conditionalFormatting>
  <conditionalFormatting sqref="I9938:I9961">
    <cfRule type="colorScale" priority="618">
      <colorScale>
        <cfvo type="min"/>
        <cfvo type="percentile" val="50"/>
        <cfvo type="max"/>
        <color rgb="FF63BE7B"/>
        <color rgb="FFFFEB84"/>
        <color rgb="FFF8696B"/>
      </colorScale>
    </cfRule>
  </conditionalFormatting>
  <conditionalFormatting sqref="K9939:K9961">
    <cfRule type="colorScale" priority="617">
      <colorScale>
        <cfvo type="min"/>
        <cfvo type="percentile" val="50"/>
        <cfvo type="max"/>
        <color rgb="FF63BE7B"/>
        <color rgb="FFFFEB84"/>
        <color rgb="FFF8696B"/>
      </colorScale>
    </cfRule>
  </conditionalFormatting>
  <conditionalFormatting sqref="K9938:K9961">
    <cfRule type="colorScale" priority="616">
      <colorScale>
        <cfvo type="min"/>
        <cfvo type="percentile" val="50"/>
        <cfvo type="max"/>
        <color rgb="FF63BE7B"/>
        <color rgb="FFFFEB84"/>
        <color rgb="FFF8696B"/>
      </colorScale>
    </cfRule>
  </conditionalFormatting>
  <conditionalFormatting sqref="I9914:I9937">
    <cfRule type="colorScale" priority="615">
      <colorScale>
        <cfvo type="min"/>
        <cfvo type="percentile" val="50"/>
        <cfvo type="max"/>
        <color rgb="FF63BE7B"/>
        <color rgb="FFFFEB84"/>
        <color rgb="FFF8696B"/>
      </colorScale>
    </cfRule>
  </conditionalFormatting>
  <conditionalFormatting sqref="K9915:K9937">
    <cfRule type="colorScale" priority="614">
      <colorScale>
        <cfvo type="min"/>
        <cfvo type="percentile" val="50"/>
        <cfvo type="max"/>
        <color rgb="FF63BE7B"/>
        <color rgb="FFFFEB84"/>
        <color rgb="FFF8696B"/>
      </colorScale>
    </cfRule>
  </conditionalFormatting>
  <conditionalFormatting sqref="K9914:K9937">
    <cfRule type="colorScale" priority="613">
      <colorScale>
        <cfvo type="min"/>
        <cfvo type="percentile" val="50"/>
        <cfvo type="max"/>
        <color rgb="FF63BE7B"/>
        <color rgb="FFFFEB84"/>
        <color rgb="FFF8696B"/>
      </colorScale>
    </cfRule>
  </conditionalFormatting>
  <conditionalFormatting sqref="I9890:I9913">
    <cfRule type="colorScale" priority="612">
      <colorScale>
        <cfvo type="min"/>
        <cfvo type="percentile" val="50"/>
        <cfvo type="max"/>
        <color rgb="FF63BE7B"/>
        <color rgb="FFFFEB84"/>
        <color rgb="FFF8696B"/>
      </colorScale>
    </cfRule>
  </conditionalFormatting>
  <conditionalFormatting sqref="K9891:K9913">
    <cfRule type="colorScale" priority="611">
      <colorScale>
        <cfvo type="min"/>
        <cfvo type="percentile" val="50"/>
        <cfvo type="max"/>
        <color rgb="FF63BE7B"/>
        <color rgb="FFFFEB84"/>
        <color rgb="FFF8696B"/>
      </colorScale>
    </cfRule>
  </conditionalFormatting>
  <conditionalFormatting sqref="K9890:K9913">
    <cfRule type="colorScale" priority="610">
      <colorScale>
        <cfvo type="min"/>
        <cfvo type="percentile" val="50"/>
        <cfvo type="max"/>
        <color rgb="FF63BE7B"/>
        <color rgb="FFFFEB84"/>
        <color rgb="FFF8696B"/>
      </colorScale>
    </cfRule>
  </conditionalFormatting>
  <conditionalFormatting sqref="I9866:I9889">
    <cfRule type="colorScale" priority="609">
      <colorScale>
        <cfvo type="min"/>
        <cfvo type="percentile" val="50"/>
        <cfvo type="max"/>
        <color rgb="FF63BE7B"/>
        <color rgb="FFFFEB84"/>
        <color rgb="FFF8696B"/>
      </colorScale>
    </cfRule>
  </conditionalFormatting>
  <conditionalFormatting sqref="K9867:K9889">
    <cfRule type="colorScale" priority="608">
      <colorScale>
        <cfvo type="min"/>
        <cfvo type="percentile" val="50"/>
        <cfvo type="max"/>
        <color rgb="FF63BE7B"/>
        <color rgb="FFFFEB84"/>
        <color rgb="FFF8696B"/>
      </colorScale>
    </cfRule>
  </conditionalFormatting>
  <conditionalFormatting sqref="K9866:K9889">
    <cfRule type="colorScale" priority="607">
      <colorScale>
        <cfvo type="min"/>
        <cfvo type="percentile" val="50"/>
        <cfvo type="max"/>
        <color rgb="FF63BE7B"/>
        <color rgb="FFFFEB84"/>
        <color rgb="FFF8696B"/>
      </colorScale>
    </cfRule>
  </conditionalFormatting>
  <conditionalFormatting sqref="I9842:I9865">
    <cfRule type="colorScale" priority="606">
      <colorScale>
        <cfvo type="min"/>
        <cfvo type="percentile" val="50"/>
        <cfvo type="max"/>
        <color rgb="FF63BE7B"/>
        <color rgb="FFFFEB84"/>
        <color rgb="FFF8696B"/>
      </colorScale>
    </cfRule>
  </conditionalFormatting>
  <conditionalFormatting sqref="K9843:K9865">
    <cfRule type="colorScale" priority="605">
      <colorScale>
        <cfvo type="min"/>
        <cfvo type="percentile" val="50"/>
        <cfvo type="max"/>
        <color rgb="FF63BE7B"/>
        <color rgb="FFFFEB84"/>
        <color rgb="FFF8696B"/>
      </colorScale>
    </cfRule>
  </conditionalFormatting>
  <conditionalFormatting sqref="K9842:K9865">
    <cfRule type="colorScale" priority="604">
      <colorScale>
        <cfvo type="min"/>
        <cfvo type="percentile" val="50"/>
        <cfvo type="max"/>
        <color rgb="FF63BE7B"/>
        <color rgb="FFFFEB84"/>
        <color rgb="FFF8696B"/>
      </colorScale>
    </cfRule>
  </conditionalFormatting>
  <conditionalFormatting sqref="I9818:I9841">
    <cfRule type="colorScale" priority="603">
      <colorScale>
        <cfvo type="min"/>
        <cfvo type="percentile" val="50"/>
        <cfvo type="max"/>
        <color rgb="FF63BE7B"/>
        <color rgb="FFFFEB84"/>
        <color rgb="FFF8696B"/>
      </colorScale>
    </cfRule>
  </conditionalFormatting>
  <conditionalFormatting sqref="K9819:K9841">
    <cfRule type="colorScale" priority="602">
      <colorScale>
        <cfvo type="min"/>
        <cfvo type="percentile" val="50"/>
        <cfvo type="max"/>
        <color rgb="FF63BE7B"/>
        <color rgb="FFFFEB84"/>
        <color rgb="FFF8696B"/>
      </colorScale>
    </cfRule>
  </conditionalFormatting>
  <conditionalFormatting sqref="K9818:K9841">
    <cfRule type="colorScale" priority="601">
      <colorScale>
        <cfvo type="min"/>
        <cfvo type="percentile" val="50"/>
        <cfvo type="max"/>
        <color rgb="FF63BE7B"/>
        <color rgb="FFFFEB84"/>
        <color rgb="FFF8696B"/>
      </colorScale>
    </cfRule>
  </conditionalFormatting>
  <conditionalFormatting sqref="I9794:I9817">
    <cfRule type="colorScale" priority="600">
      <colorScale>
        <cfvo type="min"/>
        <cfvo type="percentile" val="50"/>
        <cfvo type="max"/>
        <color rgb="FF63BE7B"/>
        <color rgb="FFFFEB84"/>
        <color rgb="FFF8696B"/>
      </colorScale>
    </cfRule>
  </conditionalFormatting>
  <conditionalFormatting sqref="K9795:K9817">
    <cfRule type="colorScale" priority="599">
      <colorScale>
        <cfvo type="min"/>
        <cfvo type="percentile" val="50"/>
        <cfvo type="max"/>
        <color rgb="FF63BE7B"/>
        <color rgb="FFFFEB84"/>
        <color rgb="FFF8696B"/>
      </colorScale>
    </cfRule>
  </conditionalFormatting>
  <conditionalFormatting sqref="K9794:K9817">
    <cfRule type="colorScale" priority="598">
      <colorScale>
        <cfvo type="min"/>
        <cfvo type="percentile" val="50"/>
        <cfvo type="max"/>
        <color rgb="FF63BE7B"/>
        <color rgb="FFFFEB84"/>
        <color rgb="FFF8696B"/>
      </colorScale>
    </cfRule>
  </conditionalFormatting>
  <conditionalFormatting sqref="I9770:I9793">
    <cfRule type="colorScale" priority="597">
      <colorScale>
        <cfvo type="min"/>
        <cfvo type="percentile" val="50"/>
        <cfvo type="max"/>
        <color rgb="FF63BE7B"/>
        <color rgb="FFFFEB84"/>
        <color rgb="FFF8696B"/>
      </colorScale>
    </cfRule>
  </conditionalFormatting>
  <conditionalFormatting sqref="K9771:K9793">
    <cfRule type="colorScale" priority="596">
      <colorScale>
        <cfvo type="min"/>
        <cfvo type="percentile" val="50"/>
        <cfvo type="max"/>
        <color rgb="FF63BE7B"/>
        <color rgb="FFFFEB84"/>
        <color rgb="FFF8696B"/>
      </colorScale>
    </cfRule>
  </conditionalFormatting>
  <conditionalFormatting sqref="K9770:K9793">
    <cfRule type="colorScale" priority="595">
      <colorScale>
        <cfvo type="min"/>
        <cfvo type="percentile" val="50"/>
        <cfvo type="max"/>
        <color rgb="FF63BE7B"/>
        <color rgb="FFFFEB84"/>
        <color rgb="FFF8696B"/>
      </colorScale>
    </cfRule>
  </conditionalFormatting>
  <conditionalFormatting sqref="I9746:I9769">
    <cfRule type="colorScale" priority="594">
      <colorScale>
        <cfvo type="min"/>
        <cfvo type="percentile" val="50"/>
        <cfvo type="max"/>
        <color rgb="FF63BE7B"/>
        <color rgb="FFFFEB84"/>
        <color rgb="FFF8696B"/>
      </colorScale>
    </cfRule>
  </conditionalFormatting>
  <conditionalFormatting sqref="K9747:K9769">
    <cfRule type="colorScale" priority="593">
      <colorScale>
        <cfvo type="min"/>
        <cfvo type="percentile" val="50"/>
        <cfvo type="max"/>
        <color rgb="FF63BE7B"/>
        <color rgb="FFFFEB84"/>
        <color rgb="FFF8696B"/>
      </colorScale>
    </cfRule>
  </conditionalFormatting>
  <conditionalFormatting sqref="K9746:K9769">
    <cfRule type="colorScale" priority="592">
      <colorScale>
        <cfvo type="min"/>
        <cfvo type="percentile" val="50"/>
        <cfvo type="max"/>
        <color rgb="FF63BE7B"/>
        <color rgb="FFFFEB84"/>
        <color rgb="FFF8696B"/>
      </colorScale>
    </cfRule>
  </conditionalFormatting>
  <conditionalFormatting sqref="I9722:I9745">
    <cfRule type="colorScale" priority="591">
      <colorScale>
        <cfvo type="min"/>
        <cfvo type="percentile" val="50"/>
        <cfvo type="max"/>
        <color rgb="FF63BE7B"/>
        <color rgb="FFFFEB84"/>
        <color rgb="FFF8696B"/>
      </colorScale>
    </cfRule>
  </conditionalFormatting>
  <conditionalFormatting sqref="K9723:K9745">
    <cfRule type="colorScale" priority="590">
      <colorScale>
        <cfvo type="min"/>
        <cfvo type="percentile" val="50"/>
        <cfvo type="max"/>
        <color rgb="FF63BE7B"/>
        <color rgb="FFFFEB84"/>
        <color rgb="FFF8696B"/>
      </colorScale>
    </cfRule>
  </conditionalFormatting>
  <conditionalFormatting sqref="K9722:K9745">
    <cfRule type="colorScale" priority="589">
      <colorScale>
        <cfvo type="min"/>
        <cfvo type="percentile" val="50"/>
        <cfvo type="max"/>
        <color rgb="FF63BE7B"/>
        <color rgb="FFFFEB84"/>
        <color rgb="FFF8696B"/>
      </colorScale>
    </cfRule>
  </conditionalFormatting>
  <conditionalFormatting sqref="I9698:I9721">
    <cfRule type="colorScale" priority="588">
      <colorScale>
        <cfvo type="min"/>
        <cfvo type="percentile" val="50"/>
        <cfvo type="max"/>
        <color rgb="FF63BE7B"/>
        <color rgb="FFFFEB84"/>
        <color rgb="FFF8696B"/>
      </colorScale>
    </cfRule>
  </conditionalFormatting>
  <conditionalFormatting sqref="K9699:K9721">
    <cfRule type="colorScale" priority="587">
      <colorScale>
        <cfvo type="min"/>
        <cfvo type="percentile" val="50"/>
        <cfvo type="max"/>
        <color rgb="FF63BE7B"/>
        <color rgb="FFFFEB84"/>
        <color rgb="FFF8696B"/>
      </colorScale>
    </cfRule>
  </conditionalFormatting>
  <conditionalFormatting sqref="K9698:K9721">
    <cfRule type="colorScale" priority="586">
      <colorScale>
        <cfvo type="min"/>
        <cfvo type="percentile" val="50"/>
        <cfvo type="max"/>
        <color rgb="FF63BE7B"/>
        <color rgb="FFFFEB84"/>
        <color rgb="FFF8696B"/>
      </colorScale>
    </cfRule>
  </conditionalFormatting>
  <conditionalFormatting sqref="I9674:I9697">
    <cfRule type="colorScale" priority="585">
      <colorScale>
        <cfvo type="min"/>
        <cfvo type="percentile" val="50"/>
        <cfvo type="max"/>
        <color rgb="FF63BE7B"/>
        <color rgb="FFFFEB84"/>
        <color rgb="FFF8696B"/>
      </colorScale>
    </cfRule>
  </conditionalFormatting>
  <conditionalFormatting sqref="K9675:K9697">
    <cfRule type="colorScale" priority="584">
      <colorScale>
        <cfvo type="min"/>
        <cfvo type="percentile" val="50"/>
        <cfvo type="max"/>
        <color rgb="FF63BE7B"/>
        <color rgb="FFFFEB84"/>
        <color rgb="FFF8696B"/>
      </colorScale>
    </cfRule>
  </conditionalFormatting>
  <conditionalFormatting sqref="K9674:K9697">
    <cfRule type="colorScale" priority="583">
      <colorScale>
        <cfvo type="min"/>
        <cfvo type="percentile" val="50"/>
        <cfvo type="max"/>
        <color rgb="FF63BE7B"/>
        <color rgb="FFFFEB84"/>
        <color rgb="FFF8696B"/>
      </colorScale>
    </cfRule>
  </conditionalFormatting>
  <conditionalFormatting sqref="I9650:I9673">
    <cfRule type="colorScale" priority="582">
      <colorScale>
        <cfvo type="min"/>
        <cfvo type="percentile" val="50"/>
        <cfvo type="max"/>
        <color rgb="FF63BE7B"/>
        <color rgb="FFFFEB84"/>
        <color rgb="FFF8696B"/>
      </colorScale>
    </cfRule>
  </conditionalFormatting>
  <conditionalFormatting sqref="K9651:K9673">
    <cfRule type="colorScale" priority="581">
      <colorScale>
        <cfvo type="min"/>
        <cfvo type="percentile" val="50"/>
        <cfvo type="max"/>
        <color rgb="FF63BE7B"/>
        <color rgb="FFFFEB84"/>
        <color rgb="FFF8696B"/>
      </colorScale>
    </cfRule>
  </conditionalFormatting>
  <conditionalFormatting sqref="K9650:K9673">
    <cfRule type="colorScale" priority="580">
      <colorScale>
        <cfvo type="min"/>
        <cfvo type="percentile" val="50"/>
        <cfvo type="max"/>
        <color rgb="FF63BE7B"/>
        <color rgb="FFFFEB84"/>
        <color rgb="FFF8696B"/>
      </colorScale>
    </cfRule>
  </conditionalFormatting>
  <conditionalFormatting sqref="I9626:I9649">
    <cfRule type="colorScale" priority="579">
      <colorScale>
        <cfvo type="min"/>
        <cfvo type="percentile" val="50"/>
        <cfvo type="max"/>
        <color rgb="FF63BE7B"/>
        <color rgb="FFFFEB84"/>
        <color rgb="FFF8696B"/>
      </colorScale>
    </cfRule>
  </conditionalFormatting>
  <conditionalFormatting sqref="K9627:K9649">
    <cfRule type="colorScale" priority="578">
      <colorScale>
        <cfvo type="min"/>
        <cfvo type="percentile" val="50"/>
        <cfvo type="max"/>
        <color rgb="FF63BE7B"/>
        <color rgb="FFFFEB84"/>
        <color rgb="FFF8696B"/>
      </colorScale>
    </cfRule>
  </conditionalFormatting>
  <conditionalFormatting sqref="K9626:K9649">
    <cfRule type="colorScale" priority="577">
      <colorScale>
        <cfvo type="min"/>
        <cfvo type="percentile" val="50"/>
        <cfvo type="max"/>
        <color rgb="FF63BE7B"/>
        <color rgb="FFFFEB84"/>
        <color rgb="FFF8696B"/>
      </colorScale>
    </cfRule>
  </conditionalFormatting>
  <conditionalFormatting sqref="I9602:I9625">
    <cfRule type="colorScale" priority="576">
      <colorScale>
        <cfvo type="min"/>
        <cfvo type="percentile" val="50"/>
        <cfvo type="max"/>
        <color rgb="FF63BE7B"/>
        <color rgb="FFFFEB84"/>
        <color rgb="FFF8696B"/>
      </colorScale>
    </cfRule>
  </conditionalFormatting>
  <conditionalFormatting sqref="K9603:K9625">
    <cfRule type="colorScale" priority="575">
      <colorScale>
        <cfvo type="min"/>
        <cfvo type="percentile" val="50"/>
        <cfvo type="max"/>
        <color rgb="FF63BE7B"/>
        <color rgb="FFFFEB84"/>
        <color rgb="FFF8696B"/>
      </colorScale>
    </cfRule>
  </conditionalFormatting>
  <conditionalFormatting sqref="K9602:K9625">
    <cfRule type="colorScale" priority="574">
      <colorScale>
        <cfvo type="min"/>
        <cfvo type="percentile" val="50"/>
        <cfvo type="max"/>
        <color rgb="FF63BE7B"/>
        <color rgb="FFFFEB84"/>
        <color rgb="FFF8696B"/>
      </colorScale>
    </cfRule>
  </conditionalFormatting>
  <conditionalFormatting sqref="I9578:I9601">
    <cfRule type="colorScale" priority="573">
      <colorScale>
        <cfvo type="min"/>
        <cfvo type="percentile" val="50"/>
        <cfvo type="max"/>
        <color rgb="FF63BE7B"/>
        <color rgb="FFFFEB84"/>
        <color rgb="FFF8696B"/>
      </colorScale>
    </cfRule>
  </conditionalFormatting>
  <conditionalFormatting sqref="K9579:K9601">
    <cfRule type="colorScale" priority="572">
      <colorScale>
        <cfvo type="min"/>
        <cfvo type="percentile" val="50"/>
        <cfvo type="max"/>
        <color rgb="FF63BE7B"/>
        <color rgb="FFFFEB84"/>
        <color rgb="FFF8696B"/>
      </colorScale>
    </cfRule>
  </conditionalFormatting>
  <conditionalFormatting sqref="K9578:K9601">
    <cfRule type="colorScale" priority="571">
      <colorScale>
        <cfvo type="min"/>
        <cfvo type="percentile" val="50"/>
        <cfvo type="max"/>
        <color rgb="FF63BE7B"/>
        <color rgb="FFFFEB84"/>
        <color rgb="FFF8696B"/>
      </colorScale>
    </cfRule>
  </conditionalFormatting>
  <conditionalFormatting sqref="I9554:I9577">
    <cfRule type="colorScale" priority="570">
      <colorScale>
        <cfvo type="min"/>
        <cfvo type="percentile" val="50"/>
        <cfvo type="max"/>
        <color rgb="FF63BE7B"/>
        <color rgb="FFFFEB84"/>
        <color rgb="FFF8696B"/>
      </colorScale>
    </cfRule>
  </conditionalFormatting>
  <conditionalFormatting sqref="K9555:K9577">
    <cfRule type="colorScale" priority="569">
      <colorScale>
        <cfvo type="min"/>
        <cfvo type="percentile" val="50"/>
        <cfvo type="max"/>
        <color rgb="FF63BE7B"/>
        <color rgb="FFFFEB84"/>
        <color rgb="FFF8696B"/>
      </colorScale>
    </cfRule>
  </conditionalFormatting>
  <conditionalFormatting sqref="K9554:K9577">
    <cfRule type="colorScale" priority="568">
      <colorScale>
        <cfvo type="min"/>
        <cfvo type="percentile" val="50"/>
        <cfvo type="max"/>
        <color rgb="FF63BE7B"/>
        <color rgb="FFFFEB84"/>
        <color rgb="FFF8696B"/>
      </colorScale>
    </cfRule>
  </conditionalFormatting>
  <conditionalFormatting sqref="I9530:I9553">
    <cfRule type="colorScale" priority="567">
      <colorScale>
        <cfvo type="min"/>
        <cfvo type="percentile" val="50"/>
        <cfvo type="max"/>
        <color rgb="FF63BE7B"/>
        <color rgb="FFFFEB84"/>
        <color rgb="FFF8696B"/>
      </colorScale>
    </cfRule>
  </conditionalFormatting>
  <conditionalFormatting sqref="K9531:K9553">
    <cfRule type="colorScale" priority="566">
      <colorScale>
        <cfvo type="min"/>
        <cfvo type="percentile" val="50"/>
        <cfvo type="max"/>
        <color rgb="FF63BE7B"/>
        <color rgb="FFFFEB84"/>
        <color rgb="FFF8696B"/>
      </colorScale>
    </cfRule>
  </conditionalFormatting>
  <conditionalFormatting sqref="K9530:K9553">
    <cfRule type="colorScale" priority="565">
      <colorScale>
        <cfvo type="min"/>
        <cfvo type="percentile" val="50"/>
        <cfvo type="max"/>
        <color rgb="FF63BE7B"/>
        <color rgb="FFFFEB84"/>
        <color rgb="FFF8696B"/>
      </colorScale>
    </cfRule>
  </conditionalFormatting>
  <conditionalFormatting sqref="I9506:I9529">
    <cfRule type="colorScale" priority="564">
      <colorScale>
        <cfvo type="min"/>
        <cfvo type="percentile" val="50"/>
        <cfvo type="max"/>
        <color rgb="FF63BE7B"/>
        <color rgb="FFFFEB84"/>
        <color rgb="FFF8696B"/>
      </colorScale>
    </cfRule>
  </conditionalFormatting>
  <conditionalFormatting sqref="K9507:K9529">
    <cfRule type="colorScale" priority="563">
      <colorScale>
        <cfvo type="min"/>
        <cfvo type="percentile" val="50"/>
        <cfvo type="max"/>
        <color rgb="FF63BE7B"/>
        <color rgb="FFFFEB84"/>
        <color rgb="FFF8696B"/>
      </colorScale>
    </cfRule>
  </conditionalFormatting>
  <conditionalFormatting sqref="K9506:K9529">
    <cfRule type="colorScale" priority="562">
      <colorScale>
        <cfvo type="min"/>
        <cfvo type="percentile" val="50"/>
        <cfvo type="max"/>
        <color rgb="FF63BE7B"/>
        <color rgb="FFFFEB84"/>
        <color rgb="FFF8696B"/>
      </colorScale>
    </cfRule>
  </conditionalFormatting>
  <conditionalFormatting sqref="I9482:I9505">
    <cfRule type="colorScale" priority="561">
      <colorScale>
        <cfvo type="min"/>
        <cfvo type="percentile" val="50"/>
        <cfvo type="max"/>
        <color rgb="FF63BE7B"/>
        <color rgb="FFFFEB84"/>
        <color rgb="FFF8696B"/>
      </colorScale>
    </cfRule>
  </conditionalFormatting>
  <conditionalFormatting sqref="K9483:K9505">
    <cfRule type="colorScale" priority="560">
      <colorScale>
        <cfvo type="min"/>
        <cfvo type="percentile" val="50"/>
        <cfvo type="max"/>
        <color rgb="FF63BE7B"/>
        <color rgb="FFFFEB84"/>
        <color rgb="FFF8696B"/>
      </colorScale>
    </cfRule>
  </conditionalFormatting>
  <conditionalFormatting sqref="K9482:K9505">
    <cfRule type="colorScale" priority="559">
      <colorScale>
        <cfvo type="min"/>
        <cfvo type="percentile" val="50"/>
        <cfvo type="max"/>
        <color rgb="FF63BE7B"/>
        <color rgb="FFFFEB84"/>
        <color rgb="FFF8696B"/>
      </colorScale>
    </cfRule>
  </conditionalFormatting>
  <conditionalFormatting sqref="I9458:I9481">
    <cfRule type="colorScale" priority="558">
      <colorScale>
        <cfvo type="min"/>
        <cfvo type="percentile" val="50"/>
        <cfvo type="max"/>
        <color rgb="FF63BE7B"/>
        <color rgb="FFFFEB84"/>
        <color rgb="FFF8696B"/>
      </colorScale>
    </cfRule>
  </conditionalFormatting>
  <conditionalFormatting sqref="K9459:K9481">
    <cfRule type="colorScale" priority="557">
      <colorScale>
        <cfvo type="min"/>
        <cfvo type="percentile" val="50"/>
        <cfvo type="max"/>
        <color rgb="FF63BE7B"/>
        <color rgb="FFFFEB84"/>
        <color rgb="FFF8696B"/>
      </colorScale>
    </cfRule>
  </conditionalFormatting>
  <conditionalFormatting sqref="K9458:K9481">
    <cfRule type="colorScale" priority="556">
      <colorScale>
        <cfvo type="min"/>
        <cfvo type="percentile" val="50"/>
        <cfvo type="max"/>
        <color rgb="FF63BE7B"/>
        <color rgb="FFFFEB84"/>
        <color rgb="FFF8696B"/>
      </colorScale>
    </cfRule>
  </conditionalFormatting>
  <conditionalFormatting sqref="I9434:I9457">
    <cfRule type="colorScale" priority="555">
      <colorScale>
        <cfvo type="min"/>
        <cfvo type="percentile" val="50"/>
        <cfvo type="max"/>
        <color rgb="FF63BE7B"/>
        <color rgb="FFFFEB84"/>
        <color rgb="FFF8696B"/>
      </colorScale>
    </cfRule>
  </conditionalFormatting>
  <conditionalFormatting sqref="K9435:K9457">
    <cfRule type="colorScale" priority="554">
      <colorScale>
        <cfvo type="min"/>
        <cfvo type="percentile" val="50"/>
        <cfvo type="max"/>
        <color rgb="FF63BE7B"/>
        <color rgb="FFFFEB84"/>
        <color rgb="FFF8696B"/>
      </colorScale>
    </cfRule>
  </conditionalFormatting>
  <conditionalFormatting sqref="K9434:K9457">
    <cfRule type="colorScale" priority="553">
      <colorScale>
        <cfvo type="min"/>
        <cfvo type="percentile" val="50"/>
        <cfvo type="max"/>
        <color rgb="FF63BE7B"/>
        <color rgb="FFFFEB84"/>
        <color rgb="FFF8696B"/>
      </colorScale>
    </cfRule>
  </conditionalFormatting>
  <conditionalFormatting sqref="I9410:I9433">
    <cfRule type="colorScale" priority="552">
      <colorScale>
        <cfvo type="min"/>
        <cfvo type="percentile" val="50"/>
        <cfvo type="max"/>
        <color rgb="FF63BE7B"/>
        <color rgb="FFFFEB84"/>
        <color rgb="FFF8696B"/>
      </colorScale>
    </cfRule>
  </conditionalFormatting>
  <conditionalFormatting sqref="K9411:K9433">
    <cfRule type="colorScale" priority="551">
      <colorScale>
        <cfvo type="min"/>
        <cfvo type="percentile" val="50"/>
        <cfvo type="max"/>
        <color rgb="FF63BE7B"/>
        <color rgb="FFFFEB84"/>
        <color rgb="FFF8696B"/>
      </colorScale>
    </cfRule>
  </conditionalFormatting>
  <conditionalFormatting sqref="K9410:K9433">
    <cfRule type="colorScale" priority="550">
      <colorScale>
        <cfvo type="min"/>
        <cfvo type="percentile" val="50"/>
        <cfvo type="max"/>
        <color rgb="FF63BE7B"/>
        <color rgb="FFFFEB84"/>
        <color rgb="FFF8696B"/>
      </colorScale>
    </cfRule>
  </conditionalFormatting>
  <conditionalFormatting sqref="I9386:I9409">
    <cfRule type="colorScale" priority="549">
      <colorScale>
        <cfvo type="min"/>
        <cfvo type="percentile" val="50"/>
        <cfvo type="max"/>
        <color rgb="FF63BE7B"/>
        <color rgb="FFFFEB84"/>
        <color rgb="FFF8696B"/>
      </colorScale>
    </cfRule>
  </conditionalFormatting>
  <conditionalFormatting sqref="K9387:K9409">
    <cfRule type="colorScale" priority="548">
      <colorScale>
        <cfvo type="min"/>
        <cfvo type="percentile" val="50"/>
        <cfvo type="max"/>
        <color rgb="FF63BE7B"/>
        <color rgb="FFFFEB84"/>
        <color rgb="FFF8696B"/>
      </colorScale>
    </cfRule>
  </conditionalFormatting>
  <conditionalFormatting sqref="K9386:K9409">
    <cfRule type="colorScale" priority="547">
      <colorScale>
        <cfvo type="min"/>
        <cfvo type="percentile" val="50"/>
        <cfvo type="max"/>
        <color rgb="FF63BE7B"/>
        <color rgb="FFFFEB84"/>
        <color rgb="FFF8696B"/>
      </colorScale>
    </cfRule>
  </conditionalFormatting>
  <conditionalFormatting sqref="I9362:I9385">
    <cfRule type="colorScale" priority="546">
      <colorScale>
        <cfvo type="min"/>
        <cfvo type="percentile" val="50"/>
        <cfvo type="max"/>
        <color rgb="FF63BE7B"/>
        <color rgb="FFFFEB84"/>
        <color rgb="FFF8696B"/>
      </colorScale>
    </cfRule>
  </conditionalFormatting>
  <conditionalFormatting sqref="K9363:K9385">
    <cfRule type="colorScale" priority="545">
      <colorScale>
        <cfvo type="min"/>
        <cfvo type="percentile" val="50"/>
        <cfvo type="max"/>
        <color rgb="FF63BE7B"/>
        <color rgb="FFFFEB84"/>
        <color rgb="FFF8696B"/>
      </colorScale>
    </cfRule>
  </conditionalFormatting>
  <conditionalFormatting sqref="K9362:K9385">
    <cfRule type="colorScale" priority="544">
      <colorScale>
        <cfvo type="min"/>
        <cfvo type="percentile" val="50"/>
        <cfvo type="max"/>
        <color rgb="FF63BE7B"/>
        <color rgb="FFFFEB84"/>
        <color rgb="FFF8696B"/>
      </colorScale>
    </cfRule>
  </conditionalFormatting>
  <conditionalFormatting sqref="I9338:I9361">
    <cfRule type="colorScale" priority="543">
      <colorScale>
        <cfvo type="min"/>
        <cfvo type="percentile" val="50"/>
        <cfvo type="max"/>
        <color rgb="FF63BE7B"/>
        <color rgb="FFFFEB84"/>
        <color rgb="FFF8696B"/>
      </colorScale>
    </cfRule>
  </conditionalFormatting>
  <conditionalFormatting sqref="K9339:K9361">
    <cfRule type="colorScale" priority="542">
      <colorScale>
        <cfvo type="min"/>
        <cfvo type="percentile" val="50"/>
        <cfvo type="max"/>
        <color rgb="FF63BE7B"/>
        <color rgb="FFFFEB84"/>
        <color rgb="FFF8696B"/>
      </colorScale>
    </cfRule>
  </conditionalFormatting>
  <conditionalFormatting sqref="K9338:K9361">
    <cfRule type="colorScale" priority="541">
      <colorScale>
        <cfvo type="min"/>
        <cfvo type="percentile" val="50"/>
        <cfvo type="max"/>
        <color rgb="FF63BE7B"/>
        <color rgb="FFFFEB84"/>
        <color rgb="FFF8696B"/>
      </colorScale>
    </cfRule>
  </conditionalFormatting>
  <conditionalFormatting sqref="D10106:D10129">
    <cfRule type="colorScale" priority="540">
      <colorScale>
        <cfvo type="min"/>
        <cfvo type="percentile" val="50"/>
        <cfvo type="max"/>
        <color rgb="FF63BE7B"/>
        <color rgb="FFFFEB84"/>
        <color rgb="FFF8696B"/>
      </colorScale>
    </cfRule>
  </conditionalFormatting>
  <conditionalFormatting sqref="G10106:G10129">
    <cfRule type="cellIs" dxfId="547" priority="534" operator="between">
      <formula>49</formula>
      <formula>149</formula>
    </cfRule>
    <cfRule type="cellIs" dxfId="546" priority="538" operator="lessThan">
      <formula>49</formula>
    </cfRule>
    <cfRule type="cellIs" dxfId="545" priority="539" operator="greaterThanOrEqual">
      <formula>150</formula>
    </cfRule>
  </conditionalFormatting>
  <conditionalFormatting sqref="F10106:F10129">
    <cfRule type="colorScale" priority="537">
      <colorScale>
        <cfvo type="min"/>
        <cfvo type="percentile" val="50"/>
        <cfvo type="max"/>
        <color rgb="FF63BE7B"/>
        <color rgb="FFFFEB84"/>
        <color rgb="FFF8696B"/>
      </colorScale>
    </cfRule>
  </conditionalFormatting>
  <conditionalFormatting sqref="H10106:H10129">
    <cfRule type="cellIs" dxfId="544" priority="533" operator="between">
      <formula>0.8</formula>
      <formula>1.2</formula>
    </cfRule>
    <cfRule type="cellIs" dxfId="543" priority="535" operator="lessThan">
      <formula>0.8</formula>
    </cfRule>
    <cfRule type="cellIs" dxfId="542" priority="536" operator="greaterThanOrEqual">
      <formula>1.2</formula>
    </cfRule>
  </conditionalFormatting>
  <conditionalFormatting sqref="I10106:I10129">
    <cfRule type="colorScale" priority="532">
      <colorScale>
        <cfvo type="min"/>
        <cfvo type="percentile" val="50"/>
        <cfvo type="max"/>
        <color rgb="FF63BE7B"/>
        <color rgb="FFFFEB84"/>
        <color rgb="FFF8696B"/>
      </colorScale>
    </cfRule>
  </conditionalFormatting>
  <conditionalFormatting sqref="K10107:K10129">
    <cfRule type="colorScale" priority="531">
      <colorScale>
        <cfvo type="min"/>
        <cfvo type="percentile" val="50"/>
        <cfvo type="max"/>
        <color rgb="FF63BE7B"/>
        <color rgb="FFFFEB84"/>
        <color rgb="FFF8696B"/>
      </colorScale>
    </cfRule>
  </conditionalFormatting>
  <conditionalFormatting sqref="K10106:K10129">
    <cfRule type="colorScale" priority="530">
      <colorScale>
        <cfvo type="min"/>
        <cfvo type="percentile" val="50"/>
        <cfvo type="max"/>
        <color rgb="FF63BE7B"/>
        <color rgb="FFFFEB84"/>
        <color rgb="FFF8696B"/>
      </colorScale>
    </cfRule>
  </conditionalFormatting>
  <conditionalFormatting sqref="D10130:D10153">
    <cfRule type="colorScale" priority="529">
      <colorScale>
        <cfvo type="min"/>
        <cfvo type="percentile" val="50"/>
        <cfvo type="max"/>
        <color rgb="FF63BE7B"/>
        <color rgb="FFFFEB84"/>
        <color rgb="FFF8696B"/>
      </colorScale>
    </cfRule>
  </conditionalFormatting>
  <conditionalFormatting sqref="G10130:G10153">
    <cfRule type="cellIs" dxfId="541" priority="523" operator="between">
      <formula>49</formula>
      <formula>149</formula>
    </cfRule>
    <cfRule type="cellIs" dxfId="540" priority="527" operator="lessThan">
      <formula>49</formula>
    </cfRule>
    <cfRule type="cellIs" dxfId="539" priority="528" operator="greaterThanOrEqual">
      <formula>150</formula>
    </cfRule>
  </conditionalFormatting>
  <conditionalFormatting sqref="F10130:F10153">
    <cfRule type="colorScale" priority="526">
      <colorScale>
        <cfvo type="min"/>
        <cfvo type="percentile" val="50"/>
        <cfvo type="max"/>
        <color rgb="FF63BE7B"/>
        <color rgb="FFFFEB84"/>
        <color rgb="FFF8696B"/>
      </colorScale>
    </cfRule>
  </conditionalFormatting>
  <conditionalFormatting sqref="H10130:H10153">
    <cfRule type="cellIs" dxfId="538" priority="522" operator="between">
      <formula>0.8</formula>
      <formula>1.2</formula>
    </cfRule>
    <cfRule type="cellIs" dxfId="537" priority="524" operator="lessThan">
      <formula>0.8</formula>
    </cfRule>
    <cfRule type="cellIs" dxfId="536" priority="525" operator="greaterThanOrEqual">
      <formula>1.2</formula>
    </cfRule>
  </conditionalFormatting>
  <conditionalFormatting sqref="I10130:I10153">
    <cfRule type="colorScale" priority="521">
      <colorScale>
        <cfvo type="min"/>
        <cfvo type="percentile" val="50"/>
        <cfvo type="max"/>
        <color rgb="FF63BE7B"/>
        <color rgb="FFFFEB84"/>
        <color rgb="FFF8696B"/>
      </colorScale>
    </cfRule>
  </conditionalFormatting>
  <conditionalFormatting sqref="K10131:K10153">
    <cfRule type="colorScale" priority="520">
      <colorScale>
        <cfvo type="min"/>
        <cfvo type="percentile" val="50"/>
        <cfvo type="max"/>
        <color rgb="FF63BE7B"/>
        <color rgb="FFFFEB84"/>
        <color rgb="FFF8696B"/>
      </colorScale>
    </cfRule>
  </conditionalFormatting>
  <conditionalFormatting sqref="K10130:K10153">
    <cfRule type="colorScale" priority="519">
      <colorScale>
        <cfvo type="min"/>
        <cfvo type="percentile" val="50"/>
        <cfvo type="max"/>
        <color rgb="FF63BE7B"/>
        <color rgb="FFFFEB84"/>
        <color rgb="FFF8696B"/>
      </colorScale>
    </cfRule>
  </conditionalFormatting>
  <conditionalFormatting sqref="D10154:D10177">
    <cfRule type="colorScale" priority="518">
      <colorScale>
        <cfvo type="min"/>
        <cfvo type="percentile" val="50"/>
        <cfvo type="max"/>
        <color rgb="FF63BE7B"/>
        <color rgb="FFFFEB84"/>
        <color rgb="FFF8696B"/>
      </colorScale>
    </cfRule>
  </conditionalFormatting>
  <conditionalFormatting sqref="G10154:G10177">
    <cfRule type="cellIs" dxfId="535" priority="512" operator="between">
      <formula>49</formula>
      <formula>149</formula>
    </cfRule>
    <cfRule type="cellIs" dxfId="534" priority="516" operator="lessThan">
      <formula>49</formula>
    </cfRule>
    <cfRule type="cellIs" dxfId="533" priority="517" operator="greaterThanOrEqual">
      <formula>150</formula>
    </cfRule>
  </conditionalFormatting>
  <conditionalFormatting sqref="F10154:F10177">
    <cfRule type="colorScale" priority="515">
      <colorScale>
        <cfvo type="min"/>
        <cfvo type="percentile" val="50"/>
        <cfvo type="max"/>
        <color rgb="FF63BE7B"/>
        <color rgb="FFFFEB84"/>
        <color rgb="FFF8696B"/>
      </colorScale>
    </cfRule>
  </conditionalFormatting>
  <conditionalFormatting sqref="H10154:H10177">
    <cfRule type="cellIs" dxfId="532" priority="511" operator="between">
      <formula>0.8</formula>
      <formula>1.2</formula>
    </cfRule>
    <cfRule type="cellIs" dxfId="531" priority="513" operator="lessThan">
      <formula>0.8</formula>
    </cfRule>
    <cfRule type="cellIs" dxfId="530" priority="514" operator="greaterThanOrEqual">
      <formula>1.2</formula>
    </cfRule>
  </conditionalFormatting>
  <conditionalFormatting sqref="I10154:I10177">
    <cfRule type="colorScale" priority="510">
      <colorScale>
        <cfvo type="min"/>
        <cfvo type="percentile" val="50"/>
        <cfvo type="max"/>
        <color rgb="FF63BE7B"/>
        <color rgb="FFFFEB84"/>
        <color rgb="FFF8696B"/>
      </colorScale>
    </cfRule>
  </conditionalFormatting>
  <conditionalFormatting sqref="K10155:K10177">
    <cfRule type="colorScale" priority="509">
      <colorScale>
        <cfvo type="min"/>
        <cfvo type="percentile" val="50"/>
        <cfvo type="max"/>
        <color rgb="FF63BE7B"/>
        <color rgb="FFFFEB84"/>
        <color rgb="FFF8696B"/>
      </colorScale>
    </cfRule>
  </conditionalFormatting>
  <conditionalFormatting sqref="K10154:K10177">
    <cfRule type="colorScale" priority="508">
      <colorScale>
        <cfvo type="min"/>
        <cfvo type="percentile" val="50"/>
        <cfvo type="max"/>
        <color rgb="FF63BE7B"/>
        <color rgb="FFFFEB84"/>
        <color rgb="FFF8696B"/>
      </colorScale>
    </cfRule>
  </conditionalFormatting>
  <conditionalFormatting sqref="D10178:D10201">
    <cfRule type="colorScale" priority="507">
      <colorScale>
        <cfvo type="min"/>
        <cfvo type="percentile" val="50"/>
        <cfvo type="max"/>
        <color rgb="FF63BE7B"/>
        <color rgb="FFFFEB84"/>
        <color rgb="FFF8696B"/>
      </colorScale>
    </cfRule>
  </conditionalFormatting>
  <conditionalFormatting sqref="G10178:G10201">
    <cfRule type="cellIs" dxfId="529" priority="501" operator="between">
      <formula>49</formula>
      <formula>149</formula>
    </cfRule>
    <cfRule type="cellIs" dxfId="528" priority="505" operator="lessThan">
      <formula>49</formula>
    </cfRule>
    <cfRule type="cellIs" dxfId="527" priority="506" operator="greaterThanOrEqual">
      <formula>150</formula>
    </cfRule>
  </conditionalFormatting>
  <conditionalFormatting sqref="F10178:F10201">
    <cfRule type="colorScale" priority="504">
      <colorScale>
        <cfvo type="min"/>
        <cfvo type="percentile" val="50"/>
        <cfvo type="max"/>
        <color rgb="FF63BE7B"/>
        <color rgb="FFFFEB84"/>
        <color rgb="FFF8696B"/>
      </colorScale>
    </cfRule>
  </conditionalFormatting>
  <conditionalFormatting sqref="H10178:H10201">
    <cfRule type="cellIs" dxfId="526" priority="500" operator="between">
      <formula>0.8</formula>
      <formula>1.2</formula>
    </cfRule>
    <cfRule type="cellIs" dxfId="525" priority="502" operator="lessThan">
      <formula>0.8</formula>
    </cfRule>
    <cfRule type="cellIs" dxfId="524" priority="503" operator="greaterThanOrEqual">
      <formula>1.2</formula>
    </cfRule>
  </conditionalFormatting>
  <conditionalFormatting sqref="I10178:I10201">
    <cfRule type="colorScale" priority="499">
      <colorScale>
        <cfvo type="min"/>
        <cfvo type="percentile" val="50"/>
        <cfvo type="max"/>
        <color rgb="FF63BE7B"/>
        <color rgb="FFFFEB84"/>
        <color rgb="FFF8696B"/>
      </colorScale>
    </cfRule>
  </conditionalFormatting>
  <conditionalFormatting sqref="K10179:K10201">
    <cfRule type="colorScale" priority="498">
      <colorScale>
        <cfvo type="min"/>
        <cfvo type="percentile" val="50"/>
        <cfvo type="max"/>
        <color rgb="FF63BE7B"/>
        <color rgb="FFFFEB84"/>
        <color rgb="FFF8696B"/>
      </colorScale>
    </cfRule>
  </conditionalFormatting>
  <conditionalFormatting sqref="K10178:K10201">
    <cfRule type="colorScale" priority="497">
      <colorScale>
        <cfvo type="min"/>
        <cfvo type="percentile" val="50"/>
        <cfvo type="max"/>
        <color rgb="FF63BE7B"/>
        <color rgb="FFFFEB84"/>
        <color rgb="FFF8696B"/>
      </colorScale>
    </cfRule>
  </conditionalFormatting>
  <conditionalFormatting sqref="D10202:D10225">
    <cfRule type="colorScale" priority="496">
      <colorScale>
        <cfvo type="min"/>
        <cfvo type="percentile" val="50"/>
        <cfvo type="max"/>
        <color rgb="FF63BE7B"/>
        <color rgb="FFFFEB84"/>
        <color rgb="FFF8696B"/>
      </colorScale>
    </cfRule>
  </conditionalFormatting>
  <conditionalFormatting sqref="G10202:G10225">
    <cfRule type="cellIs" dxfId="523" priority="490" operator="between">
      <formula>49</formula>
      <formula>149</formula>
    </cfRule>
    <cfRule type="cellIs" dxfId="522" priority="494" operator="lessThan">
      <formula>49</formula>
    </cfRule>
    <cfRule type="cellIs" dxfId="521" priority="495" operator="greaterThanOrEqual">
      <formula>150</formula>
    </cfRule>
  </conditionalFormatting>
  <conditionalFormatting sqref="F10202:F10225">
    <cfRule type="colorScale" priority="493">
      <colorScale>
        <cfvo type="min"/>
        <cfvo type="percentile" val="50"/>
        <cfvo type="max"/>
        <color rgb="FF63BE7B"/>
        <color rgb="FFFFEB84"/>
        <color rgb="FFF8696B"/>
      </colorScale>
    </cfRule>
  </conditionalFormatting>
  <conditionalFormatting sqref="H10202:H10225">
    <cfRule type="cellIs" dxfId="520" priority="489" operator="between">
      <formula>0.8</formula>
      <formula>1.2</formula>
    </cfRule>
    <cfRule type="cellIs" dxfId="519" priority="491" operator="lessThan">
      <formula>0.8</formula>
    </cfRule>
    <cfRule type="cellIs" dxfId="518" priority="492" operator="greaterThanOrEqual">
      <formula>1.2</formula>
    </cfRule>
  </conditionalFormatting>
  <conditionalFormatting sqref="I10202:I10225">
    <cfRule type="colorScale" priority="488">
      <colorScale>
        <cfvo type="min"/>
        <cfvo type="percentile" val="50"/>
        <cfvo type="max"/>
        <color rgb="FF63BE7B"/>
        <color rgb="FFFFEB84"/>
        <color rgb="FFF8696B"/>
      </colorScale>
    </cfRule>
  </conditionalFormatting>
  <conditionalFormatting sqref="K10203:K10225">
    <cfRule type="colorScale" priority="487">
      <colorScale>
        <cfvo type="min"/>
        <cfvo type="percentile" val="50"/>
        <cfvo type="max"/>
        <color rgb="FF63BE7B"/>
        <color rgb="FFFFEB84"/>
        <color rgb="FFF8696B"/>
      </colorScale>
    </cfRule>
  </conditionalFormatting>
  <conditionalFormatting sqref="K10202:K10225">
    <cfRule type="colorScale" priority="486">
      <colorScale>
        <cfvo type="min"/>
        <cfvo type="percentile" val="50"/>
        <cfvo type="max"/>
        <color rgb="FF63BE7B"/>
        <color rgb="FFFFEB84"/>
        <color rgb="FFF8696B"/>
      </colorScale>
    </cfRule>
  </conditionalFormatting>
  <conditionalFormatting sqref="D10226:D10249">
    <cfRule type="colorScale" priority="485">
      <colorScale>
        <cfvo type="min"/>
        <cfvo type="percentile" val="50"/>
        <cfvo type="max"/>
        <color rgb="FF63BE7B"/>
        <color rgb="FFFFEB84"/>
        <color rgb="FFF8696B"/>
      </colorScale>
    </cfRule>
  </conditionalFormatting>
  <conditionalFormatting sqref="G10226:G10249">
    <cfRule type="cellIs" dxfId="517" priority="479" operator="between">
      <formula>49</formula>
      <formula>149</formula>
    </cfRule>
    <cfRule type="cellIs" dxfId="516" priority="483" operator="lessThan">
      <formula>49</formula>
    </cfRule>
    <cfRule type="cellIs" dxfId="515" priority="484" operator="greaterThanOrEqual">
      <formula>150</formula>
    </cfRule>
  </conditionalFormatting>
  <conditionalFormatting sqref="F10226:F10249">
    <cfRule type="colorScale" priority="482">
      <colorScale>
        <cfvo type="min"/>
        <cfvo type="percentile" val="50"/>
        <cfvo type="max"/>
        <color rgb="FF63BE7B"/>
        <color rgb="FFFFEB84"/>
        <color rgb="FFF8696B"/>
      </colorScale>
    </cfRule>
  </conditionalFormatting>
  <conditionalFormatting sqref="H10226:H10249">
    <cfRule type="cellIs" dxfId="514" priority="478" operator="between">
      <formula>0.8</formula>
      <formula>1.2</formula>
    </cfRule>
    <cfRule type="cellIs" dxfId="513" priority="480" operator="lessThan">
      <formula>0.8</formula>
    </cfRule>
    <cfRule type="cellIs" dxfId="512" priority="481" operator="greaterThanOrEqual">
      <formula>1.2</formula>
    </cfRule>
  </conditionalFormatting>
  <conditionalFormatting sqref="I10226:I10249">
    <cfRule type="colorScale" priority="477">
      <colorScale>
        <cfvo type="min"/>
        <cfvo type="percentile" val="50"/>
        <cfvo type="max"/>
        <color rgb="FF63BE7B"/>
        <color rgb="FFFFEB84"/>
        <color rgb="FFF8696B"/>
      </colorScale>
    </cfRule>
  </conditionalFormatting>
  <conditionalFormatting sqref="K10227:K10249">
    <cfRule type="colorScale" priority="476">
      <colorScale>
        <cfvo type="min"/>
        <cfvo type="percentile" val="50"/>
        <cfvo type="max"/>
        <color rgb="FF63BE7B"/>
        <color rgb="FFFFEB84"/>
        <color rgb="FFF8696B"/>
      </colorScale>
    </cfRule>
  </conditionalFormatting>
  <conditionalFormatting sqref="K10226:K10249">
    <cfRule type="colorScale" priority="475">
      <colorScale>
        <cfvo type="min"/>
        <cfvo type="percentile" val="50"/>
        <cfvo type="max"/>
        <color rgb="FF63BE7B"/>
        <color rgb="FFFFEB84"/>
        <color rgb="FFF8696B"/>
      </colorScale>
    </cfRule>
  </conditionalFormatting>
  <conditionalFormatting sqref="D10250:D10273">
    <cfRule type="colorScale" priority="474">
      <colorScale>
        <cfvo type="min"/>
        <cfvo type="percentile" val="50"/>
        <cfvo type="max"/>
        <color rgb="FF63BE7B"/>
        <color rgb="FFFFEB84"/>
        <color rgb="FFF8696B"/>
      </colorScale>
    </cfRule>
  </conditionalFormatting>
  <conditionalFormatting sqref="G10250:G10273">
    <cfRule type="cellIs" dxfId="511" priority="468" operator="between">
      <formula>49</formula>
      <formula>149</formula>
    </cfRule>
    <cfRule type="cellIs" dxfId="510" priority="472" operator="lessThan">
      <formula>49</formula>
    </cfRule>
    <cfRule type="cellIs" dxfId="509" priority="473" operator="greaterThanOrEqual">
      <formula>150</formula>
    </cfRule>
  </conditionalFormatting>
  <conditionalFormatting sqref="F10250:F10273">
    <cfRule type="colorScale" priority="471">
      <colorScale>
        <cfvo type="min"/>
        <cfvo type="percentile" val="50"/>
        <cfvo type="max"/>
        <color rgb="FF63BE7B"/>
        <color rgb="FFFFEB84"/>
        <color rgb="FFF8696B"/>
      </colorScale>
    </cfRule>
  </conditionalFormatting>
  <conditionalFormatting sqref="H10250:H10273">
    <cfRule type="cellIs" dxfId="508" priority="467" operator="between">
      <formula>0.8</formula>
      <formula>1.2</formula>
    </cfRule>
    <cfRule type="cellIs" dxfId="507" priority="469" operator="lessThan">
      <formula>0.8</formula>
    </cfRule>
    <cfRule type="cellIs" dxfId="506" priority="470" operator="greaterThanOrEqual">
      <formula>1.2</formula>
    </cfRule>
  </conditionalFormatting>
  <conditionalFormatting sqref="I10250:I10273">
    <cfRule type="colorScale" priority="466">
      <colorScale>
        <cfvo type="min"/>
        <cfvo type="percentile" val="50"/>
        <cfvo type="max"/>
        <color rgb="FF63BE7B"/>
        <color rgb="FFFFEB84"/>
        <color rgb="FFF8696B"/>
      </colorScale>
    </cfRule>
  </conditionalFormatting>
  <conditionalFormatting sqref="K10251:K10273">
    <cfRule type="colorScale" priority="465">
      <colorScale>
        <cfvo type="min"/>
        <cfvo type="percentile" val="50"/>
        <cfvo type="max"/>
        <color rgb="FF63BE7B"/>
        <color rgb="FFFFEB84"/>
        <color rgb="FFF8696B"/>
      </colorScale>
    </cfRule>
  </conditionalFormatting>
  <conditionalFormatting sqref="K10250:K10273">
    <cfRule type="colorScale" priority="464">
      <colorScale>
        <cfvo type="min"/>
        <cfvo type="percentile" val="50"/>
        <cfvo type="max"/>
        <color rgb="FF63BE7B"/>
        <color rgb="FFFFEB84"/>
        <color rgb="FFF8696B"/>
      </colorScale>
    </cfRule>
  </conditionalFormatting>
  <conditionalFormatting sqref="D10274:D10297">
    <cfRule type="colorScale" priority="463">
      <colorScale>
        <cfvo type="min"/>
        <cfvo type="percentile" val="50"/>
        <cfvo type="max"/>
        <color rgb="FF63BE7B"/>
        <color rgb="FFFFEB84"/>
        <color rgb="FFF8696B"/>
      </colorScale>
    </cfRule>
  </conditionalFormatting>
  <conditionalFormatting sqref="G10274:G10297">
    <cfRule type="cellIs" dxfId="505" priority="457" operator="between">
      <formula>49</formula>
      <formula>149</formula>
    </cfRule>
    <cfRule type="cellIs" dxfId="504" priority="461" operator="lessThan">
      <formula>49</formula>
    </cfRule>
    <cfRule type="cellIs" dxfId="503" priority="462" operator="greaterThanOrEqual">
      <formula>150</formula>
    </cfRule>
  </conditionalFormatting>
  <conditionalFormatting sqref="F10274:F10297">
    <cfRule type="colorScale" priority="460">
      <colorScale>
        <cfvo type="min"/>
        <cfvo type="percentile" val="50"/>
        <cfvo type="max"/>
        <color rgb="FF63BE7B"/>
        <color rgb="FFFFEB84"/>
        <color rgb="FFF8696B"/>
      </colorScale>
    </cfRule>
  </conditionalFormatting>
  <conditionalFormatting sqref="H10274:H10297">
    <cfRule type="cellIs" dxfId="502" priority="456" operator="between">
      <formula>0.8</formula>
      <formula>1.2</formula>
    </cfRule>
    <cfRule type="cellIs" dxfId="501" priority="458" operator="lessThan">
      <formula>0.8</formula>
    </cfRule>
    <cfRule type="cellIs" dxfId="500" priority="459" operator="greaterThanOrEqual">
      <formula>1.2</formula>
    </cfRule>
  </conditionalFormatting>
  <conditionalFormatting sqref="I10274:I10297">
    <cfRule type="colorScale" priority="455">
      <colorScale>
        <cfvo type="min"/>
        <cfvo type="percentile" val="50"/>
        <cfvo type="max"/>
        <color rgb="FF63BE7B"/>
        <color rgb="FFFFEB84"/>
        <color rgb="FFF8696B"/>
      </colorScale>
    </cfRule>
  </conditionalFormatting>
  <conditionalFormatting sqref="K10275:K10297">
    <cfRule type="colorScale" priority="454">
      <colorScale>
        <cfvo type="min"/>
        <cfvo type="percentile" val="50"/>
        <cfvo type="max"/>
        <color rgb="FF63BE7B"/>
        <color rgb="FFFFEB84"/>
        <color rgb="FFF8696B"/>
      </colorScale>
    </cfRule>
  </conditionalFormatting>
  <conditionalFormatting sqref="K10274:K10297">
    <cfRule type="colorScale" priority="453">
      <colorScale>
        <cfvo type="min"/>
        <cfvo type="percentile" val="50"/>
        <cfvo type="max"/>
        <color rgb="FF63BE7B"/>
        <color rgb="FFFFEB84"/>
        <color rgb="FFF8696B"/>
      </colorScale>
    </cfRule>
  </conditionalFormatting>
  <conditionalFormatting sqref="D10298:D10321">
    <cfRule type="colorScale" priority="452">
      <colorScale>
        <cfvo type="min"/>
        <cfvo type="percentile" val="50"/>
        <cfvo type="max"/>
        <color rgb="FF63BE7B"/>
        <color rgb="FFFFEB84"/>
        <color rgb="FFF8696B"/>
      </colorScale>
    </cfRule>
  </conditionalFormatting>
  <conditionalFormatting sqref="G10298:G10321">
    <cfRule type="cellIs" dxfId="499" priority="446" operator="between">
      <formula>49</formula>
      <formula>149</formula>
    </cfRule>
    <cfRule type="cellIs" dxfId="498" priority="450" operator="lessThan">
      <formula>49</formula>
    </cfRule>
    <cfRule type="cellIs" dxfId="497" priority="451" operator="greaterThanOrEqual">
      <formula>150</formula>
    </cfRule>
  </conditionalFormatting>
  <conditionalFormatting sqref="F10298:F10321">
    <cfRule type="colorScale" priority="449">
      <colorScale>
        <cfvo type="min"/>
        <cfvo type="percentile" val="50"/>
        <cfvo type="max"/>
        <color rgb="FF63BE7B"/>
        <color rgb="FFFFEB84"/>
        <color rgb="FFF8696B"/>
      </colorScale>
    </cfRule>
  </conditionalFormatting>
  <conditionalFormatting sqref="H10298:H10321">
    <cfRule type="cellIs" dxfId="496" priority="445" operator="between">
      <formula>0.8</formula>
      <formula>1.2</formula>
    </cfRule>
    <cfRule type="cellIs" dxfId="495" priority="447" operator="lessThan">
      <formula>0.8</formula>
    </cfRule>
    <cfRule type="cellIs" dxfId="494" priority="448" operator="greaterThanOrEqual">
      <formula>1.2</formula>
    </cfRule>
  </conditionalFormatting>
  <conditionalFormatting sqref="I10298:I10321">
    <cfRule type="colorScale" priority="444">
      <colorScale>
        <cfvo type="min"/>
        <cfvo type="percentile" val="50"/>
        <cfvo type="max"/>
        <color rgb="FF63BE7B"/>
        <color rgb="FFFFEB84"/>
        <color rgb="FFF8696B"/>
      </colorScale>
    </cfRule>
  </conditionalFormatting>
  <conditionalFormatting sqref="K10299:K10321">
    <cfRule type="colorScale" priority="443">
      <colorScale>
        <cfvo type="min"/>
        <cfvo type="percentile" val="50"/>
        <cfvo type="max"/>
        <color rgb="FF63BE7B"/>
        <color rgb="FFFFEB84"/>
        <color rgb="FFF8696B"/>
      </colorScale>
    </cfRule>
  </conditionalFormatting>
  <conditionalFormatting sqref="K10298:K10321">
    <cfRule type="colorScale" priority="442">
      <colorScale>
        <cfvo type="min"/>
        <cfvo type="percentile" val="50"/>
        <cfvo type="max"/>
        <color rgb="FF63BE7B"/>
        <color rgb="FFFFEB84"/>
        <color rgb="FFF8696B"/>
      </colorScale>
    </cfRule>
  </conditionalFormatting>
  <conditionalFormatting sqref="D10322:D10345">
    <cfRule type="colorScale" priority="441">
      <colorScale>
        <cfvo type="min"/>
        <cfvo type="percentile" val="50"/>
        <cfvo type="max"/>
        <color rgb="FF63BE7B"/>
        <color rgb="FFFFEB84"/>
        <color rgb="FFF8696B"/>
      </colorScale>
    </cfRule>
  </conditionalFormatting>
  <conditionalFormatting sqref="G10322:G10345">
    <cfRule type="cellIs" dxfId="493" priority="435" operator="between">
      <formula>49</formula>
      <formula>149</formula>
    </cfRule>
    <cfRule type="cellIs" dxfId="492" priority="439" operator="lessThan">
      <formula>49</formula>
    </cfRule>
    <cfRule type="cellIs" dxfId="491" priority="440" operator="greaterThanOrEqual">
      <formula>150</formula>
    </cfRule>
  </conditionalFormatting>
  <conditionalFormatting sqref="F10322:F10345">
    <cfRule type="colorScale" priority="438">
      <colorScale>
        <cfvo type="min"/>
        <cfvo type="percentile" val="50"/>
        <cfvo type="max"/>
        <color rgb="FF63BE7B"/>
        <color rgb="FFFFEB84"/>
        <color rgb="FFF8696B"/>
      </colorScale>
    </cfRule>
  </conditionalFormatting>
  <conditionalFormatting sqref="H10322:H10345">
    <cfRule type="cellIs" dxfId="490" priority="434" operator="between">
      <formula>0.8</formula>
      <formula>1.2</formula>
    </cfRule>
    <cfRule type="cellIs" dxfId="489" priority="436" operator="lessThan">
      <formula>0.8</formula>
    </cfRule>
    <cfRule type="cellIs" dxfId="488" priority="437" operator="greaterThanOrEqual">
      <formula>1.2</formula>
    </cfRule>
  </conditionalFormatting>
  <conditionalFormatting sqref="I10322:I10345">
    <cfRule type="colorScale" priority="433">
      <colorScale>
        <cfvo type="min"/>
        <cfvo type="percentile" val="50"/>
        <cfvo type="max"/>
        <color rgb="FF63BE7B"/>
        <color rgb="FFFFEB84"/>
        <color rgb="FFF8696B"/>
      </colorScale>
    </cfRule>
  </conditionalFormatting>
  <conditionalFormatting sqref="K10323:K10345">
    <cfRule type="colorScale" priority="432">
      <colorScale>
        <cfvo type="min"/>
        <cfvo type="percentile" val="50"/>
        <cfvo type="max"/>
        <color rgb="FF63BE7B"/>
        <color rgb="FFFFEB84"/>
        <color rgb="FFF8696B"/>
      </colorScale>
    </cfRule>
  </conditionalFormatting>
  <conditionalFormatting sqref="K10322:K10345">
    <cfRule type="colorScale" priority="431">
      <colorScale>
        <cfvo type="min"/>
        <cfvo type="percentile" val="50"/>
        <cfvo type="max"/>
        <color rgb="FF63BE7B"/>
        <color rgb="FFFFEB84"/>
        <color rgb="FFF8696B"/>
      </colorScale>
    </cfRule>
  </conditionalFormatting>
  <conditionalFormatting sqref="D10346:D10369">
    <cfRule type="colorScale" priority="430">
      <colorScale>
        <cfvo type="min"/>
        <cfvo type="percentile" val="50"/>
        <cfvo type="max"/>
        <color rgb="FF63BE7B"/>
        <color rgb="FFFFEB84"/>
        <color rgb="FFF8696B"/>
      </colorScale>
    </cfRule>
  </conditionalFormatting>
  <conditionalFormatting sqref="G10346:G10369">
    <cfRule type="cellIs" dxfId="487" priority="424" operator="between">
      <formula>49</formula>
      <formula>149</formula>
    </cfRule>
    <cfRule type="cellIs" dxfId="486" priority="428" operator="lessThan">
      <formula>49</formula>
    </cfRule>
    <cfRule type="cellIs" dxfId="485" priority="429" operator="greaterThanOrEqual">
      <formula>150</formula>
    </cfRule>
  </conditionalFormatting>
  <conditionalFormatting sqref="F10346:F10369">
    <cfRule type="colorScale" priority="427">
      <colorScale>
        <cfvo type="min"/>
        <cfvo type="percentile" val="50"/>
        <cfvo type="max"/>
        <color rgb="FF63BE7B"/>
        <color rgb="FFFFEB84"/>
        <color rgb="FFF8696B"/>
      </colorScale>
    </cfRule>
  </conditionalFormatting>
  <conditionalFormatting sqref="H10346:H10369">
    <cfRule type="cellIs" dxfId="484" priority="423" operator="between">
      <formula>0.8</formula>
      <formula>1.2</formula>
    </cfRule>
    <cfRule type="cellIs" dxfId="483" priority="425" operator="lessThan">
      <formula>0.8</formula>
    </cfRule>
    <cfRule type="cellIs" dxfId="482" priority="426" operator="greaterThanOrEqual">
      <formula>1.2</formula>
    </cfRule>
  </conditionalFormatting>
  <conditionalFormatting sqref="I10346:I10369">
    <cfRule type="colorScale" priority="422">
      <colorScale>
        <cfvo type="min"/>
        <cfvo type="percentile" val="50"/>
        <cfvo type="max"/>
        <color rgb="FF63BE7B"/>
        <color rgb="FFFFEB84"/>
        <color rgb="FFF8696B"/>
      </colorScale>
    </cfRule>
  </conditionalFormatting>
  <conditionalFormatting sqref="K10347:K10369">
    <cfRule type="colorScale" priority="421">
      <colorScale>
        <cfvo type="min"/>
        <cfvo type="percentile" val="50"/>
        <cfvo type="max"/>
        <color rgb="FF63BE7B"/>
        <color rgb="FFFFEB84"/>
        <color rgb="FFF8696B"/>
      </colorScale>
    </cfRule>
  </conditionalFormatting>
  <conditionalFormatting sqref="K10346:K10369">
    <cfRule type="colorScale" priority="420">
      <colorScale>
        <cfvo type="min"/>
        <cfvo type="percentile" val="50"/>
        <cfvo type="max"/>
        <color rgb="FF63BE7B"/>
        <color rgb="FFFFEB84"/>
        <color rgb="FFF8696B"/>
      </colorScale>
    </cfRule>
  </conditionalFormatting>
  <conditionalFormatting sqref="D10370:D10393">
    <cfRule type="colorScale" priority="419">
      <colorScale>
        <cfvo type="min"/>
        <cfvo type="percentile" val="50"/>
        <cfvo type="max"/>
        <color rgb="FF63BE7B"/>
        <color rgb="FFFFEB84"/>
        <color rgb="FFF8696B"/>
      </colorScale>
    </cfRule>
  </conditionalFormatting>
  <conditionalFormatting sqref="G10370:G10393">
    <cfRule type="cellIs" dxfId="481" priority="413" operator="between">
      <formula>49</formula>
      <formula>149</formula>
    </cfRule>
    <cfRule type="cellIs" dxfId="480" priority="417" operator="lessThan">
      <formula>49</formula>
    </cfRule>
    <cfRule type="cellIs" dxfId="479" priority="418" operator="greaterThanOrEqual">
      <formula>150</formula>
    </cfRule>
  </conditionalFormatting>
  <conditionalFormatting sqref="F10370:F10393">
    <cfRule type="colorScale" priority="416">
      <colorScale>
        <cfvo type="min"/>
        <cfvo type="percentile" val="50"/>
        <cfvo type="max"/>
        <color rgb="FF63BE7B"/>
        <color rgb="FFFFEB84"/>
        <color rgb="FFF8696B"/>
      </colorScale>
    </cfRule>
  </conditionalFormatting>
  <conditionalFormatting sqref="H10370:H10393">
    <cfRule type="cellIs" dxfId="478" priority="412" operator="between">
      <formula>0.8</formula>
      <formula>1.2</formula>
    </cfRule>
    <cfRule type="cellIs" dxfId="477" priority="414" operator="lessThan">
      <formula>0.8</formula>
    </cfRule>
    <cfRule type="cellIs" dxfId="476" priority="415" operator="greaterThanOrEqual">
      <formula>1.2</formula>
    </cfRule>
  </conditionalFormatting>
  <conditionalFormatting sqref="I10370:I10393">
    <cfRule type="colorScale" priority="411">
      <colorScale>
        <cfvo type="min"/>
        <cfvo type="percentile" val="50"/>
        <cfvo type="max"/>
        <color rgb="FF63BE7B"/>
        <color rgb="FFFFEB84"/>
        <color rgb="FFF8696B"/>
      </colorScale>
    </cfRule>
  </conditionalFormatting>
  <conditionalFormatting sqref="K10371:K10393">
    <cfRule type="colorScale" priority="410">
      <colorScale>
        <cfvo type="min"/>
        <cfvo type="percentile" val="50"/>
        <cfvo type="max"/>
        <color rgb="FF63BE7B"/>
        <color rgb="FFFFEB84"/>
        <color rgb="FFF8696B"/>
      </colorScale>
    </cfRule>
  </conditionalFormatting>
  <conditionalFormatting sqref="K10370:K10393">
    <cfRule type="colorScale" priority="409">
      <colorScale>
        <cfvo type="min"/>
        <cfvo type="percentile" val="50"/>
        <cfvo type="max"/>
        <color rgb="FF63BE7B"/>
        <color rgb="FFFFEB84"/>
        <color rgb="FFF8696B"/>
      </colorScale>
    </cfRule>
  </conditionalFormatting>
  <conditionalFormatting sqref="D10394:D10417">
    <cfRule type="colorScale" priority="408">
      <colorScale>
        <cfvo type="min"/>
        <cfvo type="percentile" val="50"/>
        <cfvo type="max"/>
        <color rgb="FF63BE7B"/>
        <color rgb="FFFFEB84"/>
        <color rgb="FFF8696B"/>
      </colorScale>
    </cfRule>
  </conditionalFormatting>
  <conditionalFormatting sqref="G10394:G10417">
    <cfRule type="cellIs" dxfId="475" priority="402" operator="between">
      <formula>49</formula>
      <formula>149</formula>
    </cfRule>
    <cfRule type="cellIs" dxfId="474" priority="406" operator="lessThan">
      <formula>49</formula>
    </cfRule>
    <cfRule type="cellIs" dxfId="473" priority="407" operator="greaterThanOrEqual">
      <formula>150</formula>
    </cfRule>
  </conditionalFormatting>
  <conditionalFormatting sqref="F10394:F10417">
    <cfRule type="colorScale" priority="405">
      <colorScale>
        <cfvo type="min"/>
        <cfvo type="percentile" val="50"/>
        <cfvo type="max"/>
        <color rgb="FF63BE7B"/>
        <color rgb="FFFFEB84"/>
        <color rgb="FFF8696B"/>
      </colorScale>
    </cfRule>
  </conditionalFormatting>
  <conditionalFormatting sqref="H10394:H10417">
    <cfRule type="cellIs" dxfId="472" priority="401" operator="between">
      <formula>0.8</formula>
      <formula>1.2</formula>
    </cfRule>
    <cfRule type="cellIs" dxfId="471" priority="403" operator="lessThan">
      <formula>0.8</formula>
    </cfRule>
    <cfRule type="cellIs" dxfId="470" priority="404" operator="greaterThanOrEqual">
      <formula>1.2</formula>
    </cfRule>
  </conditionalFormatting>
  <conditionalFormatting sqref="I10394:I10417">
    <cfRule type="colorScale" priority="400">
      <colorScale>
        <cfvo type="min"/>
        <cfvo type="percentile" val="50"/>
        <cfvo type="max"/>
        <color rgb="FF63BE7B"/>
        <color rgb="FFFFEB84"/>
        <color rgb="FFF8696B"/>
      </colorScale>
    </cfRule>
  </conditionalFormatting>
  <conditionalFormatting sqref="K10395:K10417">
    <cfRule type="colorScale" priority="399">
      <colorScale>
        <cfvo type="min"/>
        <cfvo type="percentile" val="50"/>
        <cfvo type="max"/>
        <color rgb="FF63BE7B"/>
        <color rgb="FFFFEB84"/>
        <color rgb="FFF8696B"/>
      </colorScale>
    </cfRule>
  </conditionalFormatting>
  <conditionalFormatting sqref="K10394:K10417">
    <cfRule type="colorScale" priority="398">
      <colorScale>
        <cfvo type="min"/>
        <cfvo type="percentile" val="50"/>
        <cfvo type="max"/>
        <color rgb="FF63BE7B"/>
        <color rgb="FFFFEB84"/>
        <color rgb="FFF8696B"/>
      </colorScale>
    </cfRule>
  </conditionalFormatting>
  <conditionalFormatting sqref="M10394:M10417">
    <cfRule type="colorScale" priority="395">
      <colorScale>
        <cfvo type="min"/>
        <cfvo type="percentile" val="50"/>
        <cfvo type="max"/>
        <color rgb="FF63BE7B"/>
        <color rgb="FFFFEB84"/>
        <color rgb="FFF8696B"/>
      </colorScale>
    </cfRule>
  </conditionalFormatting>
  <conditionalFormatting sqref="D10418:D10441">
    <cfRule type="colorScale" priority="394">
      <colorScale>
        <cfvo type="min"/>
        <cfvo type="percentile" val="50"/>
        <cfvo type="max"/>
        <color rgb="FF63BE7B"/>
        <color rgb="FFFFEB84"/>
        <color rgb="FFF8696B"/>
      </colorScale>
    </cfRule>
  </conditionalFormatting>
  <conditionalFormatting sqref="G10418:G10441">
    <cfRule type="cellIs" dxfId="469" priority="388" operator="between">
      <formula>49</formula>
      <formula>149</formula>
    </cfRule>
    <cfRule type="cellIs" dxfId="468" priority="392" operator="lessThan">
      <formula>49</formula>
    </cfRule>
    <cfRule type="cellIs" dxfId="467" priority="393" operator="greaterThanOrEqual">
      <formula>150</formula>
    </cfRule>
  </conditionalFormatting>
  <conditionalFormatting sqref="F10418:F10441">
    <cfRule type="colorScale" priority="391">
      <colorScale>
        <cfvo type="min"/>
        <cfvo type="percentile" val="50"/>
        <cfvo type="max"/>
        <color rgb="FF63BE7B"/>
        <color rgb="FFFFEB84"/>
        <color rgb="FFF8696B"/>
      </colorScale>
    </cfRule>
  </conditionalFormatting>
  <conditionalFormatting sqref="H10418:H10441">
    <cfRule type="cellIs" dxfId="466" priority="387" operator="between">
      <formula>0.8</formula>
      <formula>1.2</formula>
    </cfRule>
    <cfRule type="cellIs" dxfId="465" priority="389" operator="lessThan">
      <formula>0.8</formula>
    </cfRule>
    <cfRule type="cellIs" dxfId="464" priority="390" operator="greaterThanOrEqual">
      <formula>1.2</formula>
    </cfRule>
  </conditionalFormatting>
  <conditionalFormatting sqref="I10418:I10441">
    <cfRule type="colorScale" priority="386">
      <colorScale>
        <cfvo type="min"/>
        <cfvo type="percentile" val="50"/>
        <cfvo type="max"/>
        <color rgb="FF63BE7B"/>
        <color rgb="FFFFEB84"/>
        <color rgb="FFF8696B"/>
      </colorScale>
    </cfRule>
  </conditionalFormatting>
  <conditionalFormatting sqref="K10419:K10441">
    <cfRule type="colorScale" priority="385">
      <colorScale>
        <cfvo type="min"/>
        <cfvo type="percentile" val="50"/>
        <cfvo type="max"/>
        <color rgb="FF63BE7B"/>
        <color rgb="FFFFEB84"/>
        <color rgb="FFF8696B"/>
      </colorScale>
    </cfRule>
  </conditionalFormatting>
  <conditionalFormatting sqref="K10418:K10441">
    <cfRule type="colorScale" priority="384">
      <colorScale>
        <cfvo type="min"/>
        <cfvo type="percentile" val="50"/>
        <cfvo type="max"/>
        <color rgb="FF63BE7B"/>
        <color rgb="FFFFEB84"/>
        <color rgb="FFF8696B"/>
      </colorScale>
    </cfRule>
  </conditionalFormatting>
  <conditionalFormatting sqref="M10418:M10441">
    <cfRule type="colorScale" priority="381">
      <colorScale>
        <cfvo type="min"/>
        <cfvo type="percentile" val="50"/>
        <cfvo type="max"/>
        <color rgb="FF63BE7B"/>
        <color rgb="FFFFEB84"/>
        <color rgb="FFF8696B"/>
      </colorScale>
    </cfRule>
  </conditionalFormatting>
  <conditionalFormatting sqref="D10442:D10465">
    <cfRule type="colorScale" priority="380">
      <colorScale>
        <cfvo type="min"/>
        <cfvo type="percentile" val="50"/>
        <cfvo type="max"/>
        <color rgb="FF63BE7B"/>
        <color rgb="FFFFEB84"/>
        <color rgb="FFF8696B"/>
      </colorScale>
    </cfRule>
  </conditionalFormatting>
  <conditionalFormatting sqref="G10442:G10465">
    <cfRule type="cellIs" dxfId="463" priority="374" operator="between">
      <formula>49</formula>
      <formula>149</formula>
    </cfRule>
    <cfRule type="cellIs" dxfId="462" priority="378" operator="lessThan">
      <formula>49</formula>
    </cfRule>
    <cfRule type="cellIs" dxfId="461" priority="379" operator="greaterThanOrEqual">
      <formula>150</formula>
    </cfRule>
  </conditionalFormatting>
  <conditionalFormatting sqref="F10442:F10465">
    <cfRule type="colorScale" priority="377">
      <colorScale>
        <cfvo type="min"/>
        <cfvo type="percentile" val="50"/>
        <cfvo type="max"/>
        <color rgb="FF63BE7B"/>
        <color rgb="FFFFEB84"/>
        <color rgb="FFF8696B"/>
      </colorScale>
    </cfRule>
  </conditionalFormatting>
  <conditionalFormatting sqref="H10442:H10465">
    <cfRule type="cellIs" dxfId="460" priority="373" operator="between">
      <formula>0.8</formula>
      <formula>1.2</formula>
    </cfRule>
    <cfRule type="cellIs" dxfId="459" priority="375" operator="lessThan">
      <formula>0.8</formula>
    </cfRule>
    <cfRule type="cellIs" dxfId="458" priority="376" operator="greaterThanOrEqual">
      <formula>1.2</formula>
    </cfRule>
  </conditionalFormatting>
  <conditionalFormatting sqref="I10442:I10465">
    <cfRule type="colorScale" priority="372">
      <colorScale>
        <cfvo type="min"/>
        <cfvo type="percentile" val="50"/>
        <cfvo type="max"/>
        <color rgb="FF63BE7B"/>
        <color rgb="FFFFEB84"/>
        <color rgb="FFF8696B"/>
      </colorScale>
    </cfRule>
  </conditionalFormatting>
  <conditionalFormatting sqref="K10443:K10465">
    <cfRule type="colorScale" priority="371">
      <colorScale>
        <cfvo type="min"/>
        <cfvo type="percentile" val="50"/>
        <cfvo type="max"/>
        <color rgb="FF63BE7B"/>
        <color rgb="FFFFEB84"/>
        <color rgb="FFF8696B"/>
      </colorScale>
    </cfRule>
  </conditionalFormatting>
  <conditionalFormatting sqref="K10442:K10465">
    <cfRule type="colorScale" priority="370">
      <colorScale>
        <cfvo type="min"/>
        <cfvo type="percentile" val="50"/>
        <cfvo type="max"/>
        <color rgb="FF63BE7B"/>
        <color rgb="FFFFEB84"/>
        <color rgb="FFF8696B"/>
      </colorScale>
    </cfRule>
  </conditionalFormatting>
  <conditionalFormatting sqref="M10442:M10465">
    <cfRule type="colorScale" priority="367">
      <colorScale>
        <cfvo type="min"/>
        <cfvo type="percentile" val="50"/>
        <cfvo type="max"/>
        <color rgb="FF63BE7B"/>
        <color rgb="FFFFEB84"/>
        <color rgb="FFF8696B"/>
      </colorScale>
    </cfRule>
  </conditionalFormatting>
  <conditionalFormatting sqref="D10466:D10489">
    <cfRule type="colorScale" priority="366">
      <colorScale>
        <cfvo type="min"/>
        <cfvo type="percentile" val="50"/>
        <cfvo type="max"/>
        <color rgb="FF63BE7B"/>
        <color rgb="FFFFEB84"/>
        <color rgb="FFF8696B"/>
      </colorScale>
    </cfRule>
  </conditionalFormatting>
  <conditionalFormatting sqref="G10466:G10489">
    <cfRule type="cellIs" dxfId="457" priority="360" operator="between">
      <formula>49</formula>
      <formula>149</formula>
    </cfRule>
    <cfRule type="cellIs" dxfId="456" priority="364" operator="lessThan">
      <formula>49</formula>
    </cfRule>
    <cfRule type="cellIs" dxfId="455" priority="365" operator="greaterThanOrEqual">
      <formula>150</formula>
    </cfRule>
  </conditionalFormatting>
  <conditionalFormatting sqref="F10466:F10489">
    <cfRule type="colorScale" priority="363">
      <colorScale>
        <cfvo type="min"/>
        <cfvo type="percentile" val="50"/>
        <cfvo type="max"/>
        <color rgb="FF63BE7B"/>
        <color rgb="FFFFEB84"/>
        <color rgb="FFF8696B"/>
      </colorScale>
    </cfRule>
  </conditionalFormatting>
  <conditionalFormatting sqref="H10466:H10489">
    <cfRule type="cellIs" dxfId="454" priority="359" operator="between">
      <formula>0.8</formula>
      <formula>1.2</formula>
    </cfRule>
    <cfRule type="cellIs" dxfId="453" priority="361" operator="lessThan">
      <formula>0.8</formula>
    </cfRule>
    <cfRule type="cellIs" dxfId="452" priority="362" operator="greaterThanOrEqual">
      <formula>1.2</formula>
    </cfRule>
  </conditionalFormatting>
  <conditionalFormatting sqref="I10466:I10489">
    <cfRule type="colorScale" priority="358">
      <colorScale>
        <cfvo type="min"/>
        <cfvo type="percentile" val="50"/>
        <cfvo type="max"/>
        <color rgb="FF63BE7B"/>
        <color rgb="FFFFEB84"/>
        <color rgb="FFF8696B"/>
      </colorScale>
    </cfRule>
  </conditionalFormatting>
  <conditionalFormatting sqref="K10467:K10489">
    <cfRule type="colorScale" priority="357">
      <colorScale>
        <cfvo type="min"/>
        <cfvo type="percentile" val="50"/>
        <cfvo type="max"/>
        <color rgb="FF63BE7B"/>
        <color rgb="FFFFEB84"/>
        <color rgb="FFF8696B"/>
      </colorScale>
    </cfRule>
  </conditionalFormatting>
  <conditionalFormatting sqref="K10466:K10489">
    <cfRule type="colorScale" priority="356">
      <colorScale>
        <cfvo type="min"/>
        <cfvo type="percentile" val="50"/>
        <cfvo type="max"/>
        <color rgb="FF63BE7B"/>
        <color rgb="FFFFEB84"/>
        <color rgb="FFF8696B"/>
      </colorScale>
    </cfRule>
  </conditionalFormatting>
  <conditionalFormatting sqref="M10466:M10489">
    <cfRule type="colorScale" priority="353">
      <colorScale>
        <cfvo type="min"/>
        <cfvo type="percentile" val="50"/>
        <cfvo type="max"/>
        <color rgb="FF63BE7B"/>
        <color rgb="FFFFEB84"/>
        <color rgb="FFF8696B"/>
      </colorScale>
    </cfRule>
  </conditionalFormatting>
  <conditionalFormatting sqref="L10466:L10489">
    <cfRule type="colorScale" priority="352">
      <colorScale>
        <cfvo type="min"/>
        <cfvo type="percentile" val="50"/>
        <cfvo type="max"/>
        <color rgb="FF63BE7B"/>
        <color rgb="FFFFEB84"/>
        <color rgb="FFF8696B"/>
      </colorScale>
    </cfRule>
  </conditionalFormatting>
  <conditionalFormatting sqref="D10490:D10513">
    <cfRule type="colorScale" priority="351">
      <colorScale>
        <cfvo type="min"/>
        <cfvo type="percentile" val="50"/>
        <cfvo type="max"/>
        <color rgb="FF63BE7B"/>
        <color rgb="FFFFEB84"/>
        <color rgb="FFF8696B"/>
      </colorScale>
    </cfRule>
  </conditionalFormatting>
  <conditionalFormatting sqref="G10490:G10513">
    <cfRule type="cellIs" dxfId="451" priority="345" operator="between">
      <formula>49</formula>
      <formula>149</formula>
    </cfRule>
    <cfRule type="cellIs" dxfId="450" priority="349" operator="lessThan">
      <formula>49</formula>
    </cfRule>
    <cfRule type="cellIs" dxfId="449" priority="350" operator="greaterThanOrEqual">
      <formula>150</formula>
    </cfRule>
  </conditionalFormatting>
  <conditionalFormatting sqref="F10490:F10513">
    <cfRule type="colorScale" priority="348">
      <colorScale>
        <cfvo type="min"/>
        <cfvo type="percentile" val="50"/>
        <cfvo type="max"/>
        <color rgb="FF63BE7B"/>
        <color rgb="FFFFEB84"/>
        <color rgb="FFF8696B"/>
      </colorScale>
    </cfRule>
  </conditionalFormatting>
  <conditionalFormatting sqref="H10490:H10513">
    <cfRule type="cellIs" dxfId="448" priority="344" operator="between">
      <formula>0.8</formula>
      <formula>1.2</formula>
    </cfRule>
    <cfRule type="cellIs" dxfId="447" priority="346" operator="lessThan">
      <formula>0.8</formula>
    </cfRule>
    <cfRule type="cellIs" dxfId="446" priority="347" operator="greaterThanOrEqual">
      <formula>1.2</formula>
    </cfRule>
  </conditionalFormatting>
  <conditionalFormatting sqref="I10490:I10513">
    <cfRule type="colorScale" priority="343">
      <colorScale>
        <cfvo type="min"/>
        <cfvo type="percentile" val="50"/>
        <cfvo type="max"/>
        <color rgb="FF63BE7B"/>
        <color rgb="FFFFEB84"/>
        <color rgb="FFF8696B"/>
      </colorScale>
    </cfRule>
  </conditionalFormatting>
  <conditionalFormatting sqref="K10491:K10513">
    <cfRule type="colorScale" priority="342">
      <colorScale>
        <cfvo type="min"/>
        <cfvo type="percentile" val="50"/>
        <cfvo type="max"/>
        <color rgb="FF63BE7B"/>
        <color rgb="FFFFEB84"/>
        <color rgb="FFF8696B"/>
      </colorScale>
    </cfRule>
  </conditionalFormatting>
  <conditionalFormatting sqref="K10490:K10513">
    <cfRule type="colorScale" priority="341">
      <colorScale>
        <cfvo type="min"/>
        <cfvo type="percentile" val="50"/>
        <cfvo type="max"/>
        <color rgb="FF63BE7B"/>
        <color rgb="FFFFEB84"/>
        <color rgb="FFF8696B"/>
      </colorScale>
    </cfRule>
  </conditionalFormatting>
  <conditionalFormatting sqref="M10490:M10513">
    <cfRule type="colorScale" priority="340">
      <colorScale>
        <cfvo type="min"/>
        <cfvo type="percentile" val="50"/>
        <cfvo type="max"/>
        <color rgb="FF63BE7B"/>
        <color rgb="FFFFEB84"/>
        <color rgb="FFF8696B"/>
      </colorScale>
    </cfRule>
  </conditionalFormatting>
  <conditionalFormatting sqref="L10490:L10513">
    <cfRule type="colorScale" priority="339">
      <colorScale>
        <cfvo type="min"/>
        <cfvo type="percentile" val="50"/>
        <cfvo type="max"/>
        <color rgb="FF63BE7B"/>
        <color rgb="FFFFEB84"/>
        <color rgb="FFF8696B"/>
      </colorScale>
    </cfRule>
  </conditionalFormatting>
  <conditionalFormatting sqref="D10514:D10537">
    <cfRule type="colorScale" priority="338">
      <colorScale>
        <cfvo type="min"/>
        <cfvo type="percentile" val="50"/>
        <cfvo type="max"/>
        <color rgb="FF63BE7B"/>
        <color rgb="FFFFEB84"/>
        <color rgb="FFF8696B"/>
      </colorScale>
    </cfRule>
  </conditionalFormatting>
  <conditionalFormatting sqref="G10514:G10537">
    <cfRule type="cellIs" dxfId="445" priority="332" operator="between">
      <formula>49</formula>
      <formula>149</formula>
    </cfRule>
    <cfRule type="cellIs" dxfId="444" priority="336" operator="lessThan">
      <formula>49</formula>
    </cfRule>
    <cfRule type="cellIs" dxfId="443" priority="337" operator="greaterThanOrEqual">
      <formula>150</formula>
    </cfRule>
  </conditionalFormatting>
  <conditionalFormatting sqref="F10514:F10537">
    <cfRule type="colorScale" priority="335">
      <colorScale>
        <cfvo type="min"/>
        <cfvo type="percentile" val="50"/>
        <cfvo type="max"/>
        <color rgb="FF63BE7B"/>
        <color rgb="FFFFEB84"/>
        <color rgb="FFF8696B"/>
      </colorScale>
    </cfRule>
  </conditionalFormatting>
  <conditionalFormatting sqref="H10514:H10537">
    <cfRule type="cellIs" dxfId="442" priority="331" operator="between">
      <formula>0.8</formula>
      <formula>1.2</formula>
    </cfRule>
    <cfRule type="cellIs" dxfId="441" priority="333" operator="lessThan">
      <formula>0.8</formula>
    </cfRule>
    <cfRule type="cellIs" dxfId="440" priority="334" operator="greaterThanOrEqual">
      <formula>1.2</formula>
    </cfRule>
  </conditionalFormatting>
  <conditionalFormatting sqref="I10514:I10537">
    <cfRule type="colorScale" priority="330">
      <colorScale>
        <cfvo type="min"/>
        <cfvo type="percentile" val="50"/>
        <cfvo type="max"/>
        <color rgb="FF63BE7B"/>
        <color rgb="FFFFEB84"/>
        <color rgb="FFF8696B"/>
      </colorScale>
    </cfRule>
  </conditionalFormatting>
  <conditionalFormatting sqref="K10515:K10537">
    <cfRule type="colorScale" priority="329">
      <colorScale>
        <cfvo type="min"/>
        <cfvo type="percentile" val="50"/>
        <cfvo type="max"/>
        <color rgb="FF63BE7B"/>
        <color rgb="FFFFEB84"/>
        <color rgb="FFF8696B"/>
      </colorScale>
    </cfRule>
  </conditionalFormatting>
  <conditionalFormatting sqref="K10514:K10537">
    <cfRule type="colorScale" priority="328">
      <colorScale>
        <cfvo type="min"/>
        <cfvo type="percentile" val="50"/>
        <cfvo type="max"/>
        <color rgb="FF63BE7B"/>
        <color rgb="FFFFEB84"/>
        <color rgb="FFF8696B"/>
      </colorScale>
    </cfRule>
  </conditionalFormatting>
  <conditionalFormatting sqref="M10514:M10537">
    <cfRule type="colorScale" priority="327">
      <colorScale>
        <cfvo type="min"/>
        <cfvo type="percentile" val="50"/>
        <cfvo type="max"/>
        <color rgb="FF63BE7B"/>
        <color rgb="FFFFEB84"/>
        <color rgb="FFF8696B"/>
      </colorScale>
    </cfRule>
  </conditionalFormatting>
  <conditionalFormatting sqref="L10514:L10537">
    <cfRule type="colorScale" priority="326">
      <colorScale>
        <cfvo type="min"/>
        <cfvo type="percentile" val="50"/>
        <cfvo type="max"/>
        <color rgb="FF63BE7B"/>
        <color rgb="FFFFEB84"/>
        <color rgb="FFF8696B"/>
      </colorScale>
    </cfRule>
  </conditionalFormatting>
  <conditionalFormatting sqref="D10538:D10561">
    <cfRule type="colorScale" priority="325">
      <colorScale>
        <cfvo type="min"/>
        <cfvo type="percentile" val="50"/>
        <cfvo type="max"/>
        <color rgb="FF63BE7B"/>
        <color rgb="FFFFEB84"/>
        <color rgb="FFF8696B"/>
      </colorScale>
    </cfRule>
  </conditionalFormatting>
  <conditionalFormatting sqref="G10538:G10561">
    <cfRule type="cellIs" dxfId="439" priority="319" operator="between">
      <formula>49</formula>
      <formula>149</formula>
    </cfRule>
    <cfRule type="cellIs" dxfId="438" priority="323" operator="lessThan">
      <formula>49</formula>
    </cfRule>
    <cfRule type="cellIs" dxfId="437" priority="324" operator="greaterThanOrEqual">
      <formula>150</formula>
    </cfRule>
  </conditionalFormatting>
  <conditionalFormatting sqref="F10538:F10561">
    <cfRule type="colorScale" priority="322">
      <colorScale>
        <cfvo type="min"/>
        <cfvo type="percentile" val="50"/>
        <cfvo type="max"/>
        <color rgb="FF63BE7B"/>
        <color rgb="FFFFEB84"/>
        <color rgb="FFF8696B"/>
      </colorScale>
    </cfRule>
  </conditionalFormatting>
  <conditionalFormatting sqref="H10538:H10561">
    <cfRule type="cellIs" dxfId="436" priority="318" operator="between">
      <formula>0.8</formula>
      <formula>1.2</formula>
    </cfRule>
    <cfRule type="cellIs" dxfId="435" priority="320" operator="lessThan">
      <formula>0.8</formula>
    </cfRule>
    <cfRule type="cellIs" dxfId="434" priority="321" operator="greaterThanOrEqual">
      <formula>1.2</formula>
    </cfRule>
  </conditionalFormatting>
  <conditionalFormatting sqref="I10538:I10561">
    <cfRule type="colorScale" priority="317">
      <colorScale>
        <cfvo type="min"/>
        <cfvo type="percentile" val="50"/>
        <cfvo type="max"/>
        <color rgb="FF63BE7B"/>
        <color rgb="FFFFEB84"/>
        <color rgb="FFF8696B"/>
      </colorScale>
    </cfRule>
  </conditionalFormatting>
  <conditionalFormatting sqref="K10539:K10561">
    <cfRule type="colorScale" priority="316">
      <colorScale>
        <cfvo type="min"/>
        <cfvo type="percentile" val="50"/>
        <cfvo type="max"/>
        <color rgb="FF63BE7B"/>
        <color rgb="FFFFEB84"/>
        <color rgb="FFF8696B"/>
      </colorScale>
    </cfRule>
  </conditionalFormatting>
  <conditionalFormatting sqref="K10538:K10561">
    <cfRule type="colorScale" priority="315">
      <colorScale>
        <cfvo type="min"/>
        <cfvo type="percentile" val="50"/>
        <cfvo type="max"/>
        <color rgb="FF63BE7B"/>
        <color rgb="FFFFEB84"/>
        <color rgb="FFF8696B"/>
      </colorScale>
    </cfRule>
  </conditionalFormatting>
  <conditionalFormatting sqref="M10538:M10561">
    <cfRule type="colorScale" priority="314">
      <colorScale>
        <cfvo type="min"/>
        <cfvo type="percentile" val="50"/>
        <cfvo type="max"/>
        <color rgb="FF63BE7B"/>
        <color rgb="FFFFEB84"/>
        <color rgb="FFF8696B"/>
      </colorScale>
    </cfRule>
  </conditionalFormatting>
  <conditionalFormatting sqref="L10538:L10561">
    <cfRule type="colorScale" priority="313">
      <colorScale>
        <cfvo type="min"/>
        <cfvo type="percentile" val="50"/>
        <cfvo type="max"/>
        <color rgb="FF63BE7B"/>
        <color rgb="FFFFEB84"/>
        <color rgb="FFF8696B"/>
      </colorScale>
    </cfRule>
  </conditionalFormatting>
  <conditionalFormatting sqref="D10562:D10585">
    <cfRule type="colorScale" priority="312">
      <colorScale>
        <cfvo type="min"/>
        <cfvo type="percentile" val="50"/>
        <cfvo type="max"/>
        <color rgb="FF63BE7B"/>
        <color rgb="FFFFEB84"/>
        <color rgb="FFF8696B"/>
      </colorScale>
    </cfRule>
  </conditionalFormatting>
  <conditionalFormatting sqref="G10562:G10585">
    <cfRule type="cellIs" dxfId="433" priority="306" operator="between">
      <formula>49</formula>
      <formula>149</formula>
    </cfRule>
    <cfRule type="cellIs" dxfId="432" priority="310" operator="lessThan">
      <formula>49</formula>
    </cfRule>
    <cfRule type="cellIs" dxfId="431" priority="311" operator="greaterThanOrEqual">
      <formula>150</formula>
    </cfRule>
  </conditionalFormatting>
  <conditionalFormatting sqref="F10562:F10585">
    <cfRule type="colorScale" priority="309">
      <colorScale>
        <cfvo type="min"/>
        <cfvo type="percentile" val="50"/>
        <cfvo type="max"/>
        <color rgb="FF63BE7B"/>
        <color rgb="FFFFEB84"/>
        <color rgb="FFF8696B"/>
      </colorScale>
    </cfRule>
  </conditionalFormatting>
  <conditionalFormatting sqref="H10562:H10585">
    <cfRule type="cellIs" dxfId="430" priority="305" operator="between">
      <formula>0.8</formula>
      <formula>1.2</formula>
    </cfRule>
    <cfRule type="cellIs" dxfId="429" priority="307" operator="lessThan">
      <formula>0.8</formula>
    </cfRule>
    <cfRule type="cellIs" dxfId="428" priority="308" operator="greaterThanOrEqual">
      <formula>1.2</formula>
    </cfRule>
  </conditionalFormatting>
  <conditionalFormatting sqref="I10562:I10585">
    <cfRule type="colorScale" priority="304">
      <colorScale>
        <cfvo type="min"/>
        <cfvo type="percentile" val="50"/>
        <cfvo type="max"/>
        <color rgb="FF63BE7B"/>
        <color rgb="FFFFEB84"/>
        <color rgb="FFF8696B"/>
      </colorScale>
    </cfRule>
  </conditionalFormatting>
  <conditionalFormatting sqref="K10563:K10585">
    <cfRule type="colorScale" priority="303">
      <colorScale>
        <cfvo type="min"/>
        <cfvo type="percentile" val="50"/>
        <cfvo type="max"/>
        <color rgb="FF63BE7B"/>
        <color rgb="FFFFEB84"/>
        <color rgb="FFF8696B"/>
      </colorScale>
    </cfRule>
  </conditionalFormatting>
  <conditionalFormatting sqref="K10562:K10585">
    <cfRule type="colorScale" priority="302">
      <colorScale>
        <cfvo type="min"/>
        <cfvo type="percentile" val="50"/>
        <cfvo type="max"/>
        <color rgb="FF63BE7B"/>
        <color rgb="FFFFEB84"/>
        <color rgb="FFF8696B"/>
      </colorScale>
    </cfRule>
  </conditionalFormatting>
  <conditionalFormatting sqref="M10562:M10585">
    <cfRule type="colorScale" priority="301">
      <colorScale>
        <cfvo type="min"/>
        <cfvo type="percentile" val="50"/>
        <cfvo type="max"/>
        <color rgb="FF63BE7B"/>
        <color rgb="FFFFEB84"/>
        <color rgb="FFF8696B"/>
      </colorScale>
    </cfRule>
  </conditionalFormatting>
  <conditionalFormatting sqref="L10562:L10585">
    <cfRule type="colorScale" priority="300">
      <colorScale>
        <cfvo type="min"/>
        <cfvo type="percentile" val="50"/>
        <cfvo type="max"/>
        <color rgb="FF63BE7B"/>
        <color rgb="FFFFEB84"/>
        <color rgb="FFF8696B"/>
      </colorScale>
    </cfRule>
  </conditionalFormatting>
  <conditionalFormatting sqref="D10586:D10609">
    <cfRule type="colorScale" priority="299">
      <colorScale>
        <cfvo type="min"/>
        <cfvo type="percentile" val="50"/>
        <cfvo type="max"/>
        <color rgb="FF63BE7B"/>
        <color rgb="FFFFEB84"/>
        <color rgb="FFF8696B"/>
      </colorScale>
    </cfRule>
  </conditionalFormatting>
  <conditionalFormatting sqref="G10586:G10609">
    <cfRule type="cellIs" dxfId="427" priority="293" operator="between">
      <formula>49</formula>
      <formula>149</formula>
    </cfRule>
    <cfRule type="cellIs" dxfId="426" priority="297" operator="lessThan">
      <formula>49</formula>
    </cfRule>
    <cfRule type="cellIs" dxfId="425" priority="298" operator="greaterThanOrEqual">
      <formula>150</formula>
    </cfRule>
  </conditionalFormatting>
  <conditionalFormatting sqref="F10586:F10609">
    <cfRule type="colorScale" priority="296">
      <colorScale>
        <cfvo type="min"/>
        <cfvo type="percentile" val="50"/>
        <cfvo type="max"/>
        <color rgb="FF63BE7B"/>
        <color rgb="FFFFEB84"/>
        <color rgb="FFF8696B"/>
      </colorScale>
    </cfRule>
  </conditionalFormatting>
  <conditionalFormatting sqref="H10586:H10609">
    <cfRule type="cellIs" dxfId="424" priority="292" operator="between">
      <formula>0.8</formula>
      <formula>1.2</formula>
    </cfRule>
    <cfRule type="cellIs" dxfId="423" priority="294" operator="lessThan">
      <formula>0.8</formula>
    </cfRule>
    <cfRule type="cellIs" dxfId="422" priority="295" operator="greaterThanOrEqual">
      <formula>1.2</formula>
    </cfRule>
  </conditionalFormatting>
  <conditionalFormatting sqref="I10586:I10609">
    <cfRule type="colorScale" priority="291">
      <colorScale>
        <cfvo type="min"/>
        <cfvo type="percentile" val="50"/>
        <cfvo type="max"/>
        <color rgb="FF63BE7B"/>
        <color rgb="FFFFEB84"/>
        <color rgb="FFF8696B"/>
      </colorScale>
    </cfRule>
  </conditionalFormatting>
  <conditionalFormatting sqref="K10587:K10609">
    <cfRule type="colorScale" priority="290">
      <colorScale>
        <cfvo type="min"/>
        <cfvo type="percentile" val="50"/>
        <cfvo type="max"/>
        <color rgb="FF63BE7B"/>
        <color rgb="FFFFEB84"/>
        <color rgb="FFF8696B"/>
      </colorScale>
    </cfRule>
  </conditionalFormatting>
  <conditionalFormatting sqref="K10586:K10609">
    <cfRule type="colorScale" priority="289">
      <colorScale>
        <cfvo type="min"/>
        <cfvo type="percentile" val="50"/>
        <cfvo type="max"/>
        <color rgb="FF63BE7B"/>
        <color rgb="FFFFEB84"/>
        <color rgb="FFF8696B"/>
      </colorScale>
    </cfRule>
  </conditionalFormatting>
  <conditionalFormatting sqref="M10586:M10609">
    <cfRule type="colorScale" priority="288">
      <colorScale>
        <cfvo type="min"/>
        <cfvo type="percentile" val="50"/>
        <cfvo type="max"/>
        <color rgb="FF63BE7B"/>
        <color rgb="FFFFEB84"/>
        <color rgb="FFF8696B"/>
      </colorScale>
    </cfRule>
  </conditionalFormatting>
  <conditionalFormatting sqref="L10586:L10609">
    <cfRule type="colorScale" priority="287">
      <colorScale>
        <cfvo type="min"/>
        <cfvo type="percentile" val="50"/>
        <cfvo type="max"/>
        <color rgb="FF63BE7B"/>
        <color rgb="FFFFEB84"/>
        <color rgb="FFF8696B"/>
      </colorScale>
    </cfRule>
  </conditionalFormatting>
  <conditionalFormatting sqref="D10610:D10633">
    <cfRule type="colorScale" priority="286">
      <colorScale>
        <cfvo type="min"/>
        <cfvo type="percentile" val="50"/>
        <cfvo type="max"/>
        <color rgb="FF63BE7B"/>
        <color rgb="FFFFEB84"/>
        <color rgb="FFF8696B"/>
      </colorScale>
    </cfRule>
  </conditionalFormatting>
  <conditionalFormatting sqref="G10610:G10633">
    <cfRule type="cellIs" dxfId="421" priority="280" operator="between">
      <formula>49</formula>
      <formula>149</formula>
    </cfRule>
    <cfRule type="cellIs" dxfId="420" priority="284" operator="lessThan">
      <formula>49</formula>
    </cfRule>
    <cfRule type="cellIs" dxfId="419" priority="285" operator="greaterThanOrEqual">
      <formula>150</formula>
    </cfRule>
  </conditionalFormatting>
  <conditionalFormatting sqref="F10610:F10633">
    <cfRule type="colorScale" priority="283">
      <colorScale>
        <cfvo type="min"/>
        <cfvo type="percentile" val="50"/>
        <cfvo type="max"/>
        <color rgb="FF63BE7B"/>
        <color rgb="FFFFEB84"/>
        <color rgb="FFF8696B"/>
      </colorScale>
    </cfRule>
  </conditionalFormatting>
  <conditionalFormatting sqref="H10610:H10633">
    <cfRule type="cellIs" dxfId="418" priority="279" operator="between">
      <formula>0.8</formula>
      <formula>1.2</formula>
    </cfRule>
    <cfRule type="cellIs" dxfId="417" priority="281" operator="lessThan">
      <formula>0.8</formula>
    </cfRule>
    <cfRule type="cellIs" dxfId="416" priority="282" operator="greaterThanOrEqual">
      <formula>1.2</formula>
    </cfRule>
  </conditionalFormatting>
  <conditionalFormatting sqref="I10610:I10633">
    <cfRule type="colorScale" priority="278">
      <colorScale>
        <cfvo type="min"/>
        <cfvo type="percentile" val="50"/>
        <cfvo type="max"/>
        <color rgb="FF63BE7B"/>
        <color rgb="FFFFEB84"/>
        <color rgb="FFF8696B"/>
      </colorScale>
    </cfRule>
  </conditionalFormatting>
  <conditionalFormatting sqref="K10611:K10633">
    <cfRule type="colorScale" priority="277">
      <colorScale>
        <cfvo type="min"/>
        <cfvo type="percentile" val="50"/>
        <cfvo type="max"/>
        <color rgb="FF63BE7B"/>
        <color rgb="FFFFEB84"/>
        <color rgb="FFF8696B"/>
      </colorScale>
    </cfRule>
  </conditionalFormatting>
  <conditionalFormatting sqref="K10610:K10633">
    <cfRule type="colorScale" priority="276">
      <colorScale>
        <cfvo type="min"/>
        <cfvo type="percentile" val="50"/>
        <cfvo type="max"/>
        <color rgb="FF63BE7B"/>
        <color rgb="FFFFEB84"/>
        <color rgb="FFF8696B"/>
      </colorScale>
    </cfRule>
  </conditionalFormatting>
  <conditionalFormatting sqref="M10610:M10633">
    <cfRule type="colorScale" priority="275">
      <colorScale>
        <cfvo type="min"/>
        <cfvo type="percentile" val="50"/>
        <cfvo type="max"/>
        <color rgb="FF63BE7B"/>
        <color rgb="FFFFEB84"/>
        <color rgb="FFF8696B"/>
      </colorScale>
    </cfRule>
  </conditionalFormatting>
  <conditionalFormatting sqref="L10610:L10633">
    <cfRule type="colorScale" priority="274">
      <colorScale>
        <cfvo type="min"/>
        <cfvo type="percentile" val="50"/>
        <cfvo type="max"/>
        <color rgb="FF63BE7B"/>
        <color rgb="FFFFEB84"/>
        <color rgb="FFF8696B"/>
      </colorScale>
    </cfRule>
  </conditionalFormatting>
  <conditionalFormatting sqref="D10634:D10657">
    <cfRule type="colorScale" priority="273">
      <colorScale>
        <cfvo type="min"/>
        <cfvo type="percentile" val="50"/>
        <cfvo type="max"/>
        <color rgb="FF63BE7B"/>
        <color rgb="FFFFEB84"/>
        <color rgb="FFF8696B"/>
      </colorScale>
    </cfRule>
  </conditionalFormatting>
  <conditionalFormatting sqref="G10634:G10657">
    <cfRule type="cellIs" dxfId="415" priority="267" operator="between">
      <formula>49</formula>
      <formula>149</formula>
    </cfRule>
    <cfRule type="cellIs" dxfId="414" priority="271" operator="lessThan">
      <formula>49</formula>
    </cfRule>
    <cfRule type="cellIs" dxfId="413" priority="272" operator="greaterThanOrEqual">
      <formula>150</formula>
    </cfRule>
  </conditionalFormatting>
  <conditionalFormatting sqref="F10634:F10657">
    <cfRule type="colorScale" priority="270">
      <colorScale>
        <cfvo type="min"/>
        <cfvo type="percentile" val="50"/>
        <cfvo type="max"/>
        <color rgb="FF63BE7B"/>
        <color rgb="FFFFEB84"/>
        <color rgb="FFF8696B"/>
      </colorScale>
    </cfRule>
  </conditionalFormatting>
  <conditionalFormatting sqref="H10634:H10657">
    <cfRule type="cellIs" dxfId="412" priority="266" operator="between">
      <formula>0.8</formula>
      <formula>1.2</formula>
    </cfRule>
    <cfRule type="cellIs" dxfId="411" priority="268" operator="lessThan">
      <formula>0.8</formula>
    </cfRule>
    <cfRule type="cellIs" dxfId="410" priority="269" operator="greaterThanOrEqual">
      <formula>1.2</formula>
    </cfRule>
  </conditionalFormatting>
  <conditionalFormatting sqref="I10634:I10657">
    <cfRule type="colorScale" priority="265">
      <colorScale>
        <cfvo type="min"/>
        <cfvo type="percentile" val="50"/>
        <cfvo type="max"/>
        <color rgb="FF63BE7B"/>
        <color rgb="FFFFEB84"/>
        <color rgb="FFF8696B"/>
      </colorScale>
    </cfRule>
  </conditionalFormatting>
  <conditionalFormatting sqref="K10635:K10657">
    <cfRule type="colorScale" priority="264">
      <colorScale>
        <cfvo type="min"/>
        <cfvo type="percentile" val="50"/>
        <cfvo type="max"/>
        <color rgb="FF63BE7B"/>
        <color rgb="FFFFEB84"/>
        <color rgb="FFF8696B"/>
      </colorScale>
    </cfRule>
  </conditionalFormatting>
  <conditionalFormatting sqref="K10634:K10657">
    <cfRule type="colorScale" priority="263">
      <colorScale>
        <cfvo type="min"/>
        <cfvo type="percentile" val="50"/>
        <cfvo type="max"/>
        <color rgb="FF63BE7B"/>
        <color rgb="FFFFEB84"/>
        <color rgb="FFF8696B"/>
      </colorScale>
    </cfRule>
  </conditionalFormatting>
  <conditionalFormatting sqref="M10634:M10657">
    <cfRule type="colorScale" priority="262">
      <colorScale>
        <cfvo type="min"/>
        <cfvo type="percentile" val="50"/>
        <cfvo type="max"/>
        <color rgb="FF63BE7B"/>
        <color rgb="FFFFEB84"/>
        <color rgb="FFF8696B"/>
      </colorScale>
    </cfRule>
  </conditionalFormatting>
  <conditionalFormatting sqref="L10634:L10657">
    <cfRule type="colorScale" priority="261">
      <colorScale>
        <cfvo type="min"/>
        <cfvo type="percentile" val="50"/>
        <cfvo type="max"/>
        <color rgb="FF63BE7B"/>
        <color rgb="FFFFEB84"/>
        <color rgb="FFF8696B"/>
      </colorScale>
    </cfRule>
  </conditionalFormatting>
  <conditionalFormatting sqref="D10658:D10681">
    <cfRule type="colorScale" priority="260">
      <colorScale>
        <cfvo type="min"/>
        <cfvo type="percentile" val="50"/>
        <cfvo type="max"/>
        <color rgb="FF63BE7B"/>
        <color rgb="FFFFEB84"/>
        <color rgb="FFF8696B"/>
      </colorScale>
    </cfRule>
  </conditionalFormatting>
  <conditionalFormatting sqref="G10658:G10681">
    <cfRule type="cellIs" dxfId="409" priority="254" operator="between">
      <formula>49</formula>
      <formula>149</formula>
    </cfRule>
    <cfRule type="cellIs" dxfId="408" priority="258" operator="lessThan">
      <formula>49</formula>
    </cfRule>
    <cfRule type="cellIs" dxfId="407" priority="259" operator="greaterThanOrEqual">
      <formula>150</formula>
    </cfRule>
  </conditionalFormatting>
  <conditionalFormatting sqref="F10658:F10681">
    <cfRule type="colorScale" priority="257">
      <colorScale>
        <cfvo type="min"/>
        <cfvo type="percentile" val="50"/>
        <cfvo type="max"/>
        <color rgb="FF63BE7B"/>
        <color rgb="FFFFEB84"/>
        <color rgb="FFF8696B"/>
      </colorScale>
    </cfRule>
  </conditionalFormatting>
  <conditionalFormatting sqref="H10658:H10681">
    <cfRule type="cellIs" dxfId="406" priority="253" operator="between">
      <formula>0.8</formula>
      <formula>1.2</formula>
    </cfRule>
    <cfRule type="cellIs" dxfId="405" priority="255" operator="lessThan">
      <formula>0.8</formula>
    </cfRule>
    <cfRule type="cellIs" dxfId="404" priority="256" operator="greaterThanOrEqual">
      <formula>1.2</formula>
    </cfRule>
  </conditionalFormatting>
  <conditionalFormatting sqref="I10658:I10681">
    <cfRule type="colorScale" priority="252">
      <colorScale>
        <cfvo type="min"/>
        <cfvo type="percentile" val="50"/>
        <cfvo type="max"/>
        <color rgb="FF63BE7B"/>
        <color rgb="FFFFEB84"/>
        <color rgb="FFF8696B"/>
      </colorScale>
    </cfRule>
  </conditionalFormatting>
  <conditionalFormatting sqref="K10659:K10681">
    <cfRule type="colorScale" priority="251">
      <colorScale>
        <cfvo type="min"/>
        <cfvo type="percentile" val="50"/>
        <cfvo type="max"/>
        <color rgb="FF63BE7B"/>
        <color rgb="FFFFEB84"/>
        <color rgb="FFF8696B"/>
      </colorScale>
    </cfRule>
  </conditionalFormatting>
  <conditionalFormatting sqref="K10658:K10681">
    <cfRule type="colorScale" priority="250">
      <colorScale>
        <cfvo type="min"/>
        <cfvo type="percentile" val="50"/>
        <cfvo type="max"/>
        <color rgb="FF63BE7B"/>
        <color rgb="FFFFEB84"/>
        <color rgb="FFF8696B"/>
      </colorScale>
    </cfRule>
  </conditionalFormatting>
  <conditionalFormatting sqref="M10658:M10681">
    <cfRule type="colorScale" priority="249">
      <colorScale>
        <cfvo type="min"/>
        <cfvo type="percentile" val="50"/>
        <cfvo type="max"/>
        <color rgb="FF63BE7B"/>
        <color rgb="FFFFEB84"/>
        <color rgb="FFF8696B"/>
      </colorScale>
    </cfRule>
  </conditionalFormatting>
  <conditionalFormatting sqref="L10658:L10681">
    <cfRule type="colorScale" priority="248">
      <colorScale>
        <cfvo type="min"/>
        <cfvo type="percentile" val="50"/>
        <cfvo type="max"/>
        <color rgb="FF63BE7B"/>
        <color rgb="FFFFEB84"/>
        <color rgb="FFF8696B"/>
      </colorScale>
    </cfRule>
  </conditionalFormatting>
  <conditionalFormatting sqref="D10682:D10705">
    <cfRule type="colorScale" priority="247">
      <colorScale>
        <cfvo type="min"/>
        <cfvo type="percentile" val="50"/>
        <cfvo type="max"/>
        <color rgb="FF63BE7B"/>
        <color rgb="FFFFEB84"/>
        <color rgb="FFF8696B"/>
      </colorScale>
    </cfRule>
  </conditionalFormatting>
  <conditionalFormatting sqref="G10682:G10705">
    <cfRule type="cellIs" dxfId="403" priority="241" operator="between">
      <formula>49</formula>
      <formula>149</formula>
    </cfRule>
    <cfRule type="cellIs" dxfId="402" priority="245" operator="lessThan">
      <formula>49</formula>
    </cfRule>
    <cfRule type="cellIs" dxfId="401" priority="246" operator="greaterThanOrEqual">
      <formula>150</formula>
    </cfRule>
  </conditionalFormatting>
  <conditionalFormatting sqref="F10682:F10705">
    <cfRule type="colorScale" priority="244">
      <colorScale>
        <cfvo type="min"/>
        <cfvo type="percentile" val="50"/>
        <cfvo type="max"/>
        <color rgb="FF63BE7B"/>
        <color rgb="FFFFEB84"/>
        <color rgb="FFF8696B"/>
      </colorScale>
    </cfRule>
  </conditionalFormatting>
  <conditionalFormatting sqref="H10682:H10705">
    <cfRule type="cellIs" dxfId="400" priority="240" operator="between">
      <formula>0.8</formula>
      <formula>1.2</formula>
    </cfRule>
    <cfRule type="cellIs" dxfId="399" priority="242" operator="lessThan">
      <formula>0.8</formula>
    </cfRule>
    <cfRule type="cellIs" dxfId="398" priority="243" operator="greaterThanOrEqual">
      <formula>1.2</formula>
    </cfRule>
  </conditionalFormatting>
  <conditionalFormatting sqref="I10682:I10705">
    <cfRule type="colorScale" priority="239">
      <colorScale>
        <cfvo type="min"/>
        <cfvo type="percentile" val="50"/>
        <cfvo type="max"/>
        <color rgb="FF63BE7B"/>
        <color rgb="FFFFEB84"/>
        <color rgb="FFF8696B"/>
      </colorScale>
    </cfRule>
  </conditionalFormatting>
  <conditionalFormatting sqref="K10683:K10705">
    <cfRule type="colorScale" priority="238">
      <colorScale>
        <cfvo type="min"/>
        <cfvo type="percentile" val="50"/>
        <cfvo type="max"/>
        <color rgb="FF63BE7B"/>
        <color rgb="FFFFEB84"/>
        <color rgb="FFF8696B"/>
      </colorScale>
    </cfRule>
  </conditionalFormatting>
  <conditionalFormatting sqref="K10682:K10705">
    <cfRule type="colorScale" priority="237">
      <colorScale>
        <cfvo type="min"/>
        <cfvo type="percentile" val="50"/>
        <cfvo type="max"/>
        <color rgb="FF63BE7B"/>
        <color rgb="FFFFEB84"/>
        <color rgb="FFF8696B"/>
      </colorScale>
    </cfRule>
  </conditionalFormatting>
  <conditionalFormatting sqref="M10682:M10705">
    <cfRule type="colorScale" priority="236">
      <colorScale>
        <cfvo type="min"/>
        <cfvo type="percentile" val="50"/>
        <cfvo type="max"/>
        <color rgb="FF63BE7B"/>
        <color rgb="FFFFEB84"/>
        <color rgb="FFF8696B"/>
      </colorScale>
    </cfRule>
  </conditionalFormatting>
  <conditionalFormatting sqref="L10682:L10705">
    <cfRule type="colorScale" priority="235">
      <colorScale>
        <cfvo type="min"/>
        <cfvo type="percentile" val="50"/>
        <cfvo type="max"/>
        <color rgb="FF63BE7B"/>
        <color rgb="FFFFEB84"/>
        <color rgb="FFF8696B"/>
      </colorScale>
    </cfRule>
  </conditionalFormatting>
  <conditionalFormatting sqref="D10706:D10729">
    <cfRule type="colorScale" priority="234">
      <colorScale>
        <cfvo type="min"/>
        <cfvo type="percentile" val="50"/>
        <cfvo type="max"/>
        <color rgb="FF63BE7B"/>
        <color rgb="FFFFEB84"/>
        <color rgb="FFF8696B"/>
      </colorScale>
    </cfRule>
  </conditionalFormatting>
  <conditionalFormatting sqref="G10706:G10729">
    <cfRule type="cellIs" dxfId="397" priority="228" operator="between">
      <formula>49</formula>
      <formula>149</formula>
    </cfRule>
    <cfRule type="cellIs" dxfId="396" priority="232" operator="lessThan">
      <formula>49</formula>
    </cfRule>
    <cfRule type="cellIs" dxfId="395" priority="233" operator="greaterThanOrEqual">
      <formula>150</formula>
    </cfRule>
  </conditionalFormatting>
  <conditionalFormatting sqref="F10706:F10729">
    <cfRule type="colorScale" priority="231">
      <colorScale>
        <cfvo type="min"/>
        <cfvo type="percentile" val="50"/>
        <cfvo type="max"/>
        <color rgb="FF63BE7B"/>
        <color rgb="FFFFEB84"/>
        <color rgb="FFF8696B"/>
      </colorScale>
    </cfRule>
  </conditionalFormatting>
  <conditionalFormatting sqref="H10706:H10729">
    <cfRule type="cellIs" dxfId="394" priority="227" operator="between">
      <formula>0.8</formula>
      <formula>1.2</formula>
    </cfRule>
    <cfRule type="cellIs" dxfId="393" priority="229" operator="lessThan">
      <formula>0.8</formula>
    </cfRule>
    <cfRule type="cellIs" dxfId="392" priority="230" operator="greaterThanOrEqual">
      <formula>1.2</formula>
    </cfRule>
  </conditionalFormatting>
  <conditionalFormatting sqref="I10706:I10729">
    <cfRule type="colorScale" priority="226">
      <colorScale>
        <cfvo type="min"/>
        <cfvo type="percentile" val="50"/>
        <cfvo type="max"/>
        <color rgb="FF63BE7B"/>
        <color rgb="FFFFEB84"/>
        <color rgb="FFF8696B"/>
      </colorScale>
    </cfRule>
  </conditionalFormatting>
  <conditionalFormatting sqref="K10707:K10729">
    <cfRule type="colorScale" priority="225">
      <colorScale>
        <cfvo type="min"/>
        <cfvo type="percentile" val="50"/>
        <cfvo type="max"/>
        <color rgb="FF63BE7B"/>
        <color rgb="FFFFEB84"/>
        <color rgb="FFF8696B"/>
      </colorScale>
    </cfRule>
  </conditionalFormatting>
  <conditionalFormatting sqref="K10706:K10729">
    <cfRule type="colorScale" priority="224">
      <colorScale>
        <cfvo type="min"/>
        <cfvo type="percentile" val="50"/>
        <cfvo type="max"/>
        <color rgb="FF63BE7B"/>
        <color rgb="FFFFEB84"/>
        <color rgb="FFF8696B"/>
      </colorScale>
    </cfRule>
  </conditionalFormatting>
  <conditionalFormatting sqref="M10706:M10729">
    <cfRule type="colorScale" priority="223">
      <colorScale>
        <cfvo type="min"/>
        <cfvo type="percentile" val="50"/>
        <cfvo type="max"/>
        <color rgb="FF63BE7B"/>
        <color rgb="FFFFEB84"/>
        <color rgb="FFF8696B"/>
      </colorScale>
    </cfRule>
  </conditionalFormatting>
  <conditionalFormatting sqref="L10706:L10729">
    <cfRule type="colorScale" priority="222">
      <colorScale>
        <cfvo type="min"/>
        <cfvo type="percentile" val="50"/>
        <cfvo type="max"/>
        <color rgb="FF63BE7B"/>
        <color rgb="FFFFEB84"/>
        <color rgb="FFF8696B"/>
      </colorScale>
    </cfRule>
  </conditionalFormatting>
  <conditionalFormatting sqref="D10730:D10753">
    <cfRule type="colorScale" priority="221">
      <colorScale>
        <cfvo type="min"/>
        <cfvo type="percentile" val="50"/>
        <cfvo type="max"/>
        <color rgb="FF63BE7B"/>
        <color rgb="FFFFEB84"/>
        <color rgb="FFF8696B"/>
      </colorScale>
    </cfRule>
  </conditionalFormatting>
  <conditionalFormatting sqref="G10730:G10753">
    <cfRule type="cellIs" dxfId="391" priority="215" operator="between">
      <formula>49</formula>
      <formula>149</formula>
    </cfRule>
    <cfRule type="cellIs" dxfId="390" priority="219" operator="lessThan">
      <formula>49</formula>
    </cfRule>
    <cfRule type="cellIs" dxfId="389" priority="220" operator="greaterThanOrEqual">
      <formula>150</formula>
    </cfRule>
  </conditionalFormatting>
  <conditionalFormatting sqref="F10730:F10753">
    <cfRule type="colorScale" priority="218">
      <colorScale>
        <cfvo type="min"/>
        <cfvo type="percentile" val="50"/>
        <cfvo type="max"/>
        <color rgb="FF63BE7B"/>
        <color rgb="FFFFEB84"/>
        <color rgb="FFF8696B"/>
      </colorScale>
    </cfRule>
  </conditionalFormatting>
  <conditionalFormatting sqref="H10730:H10753">
    <cfRule type="cellIs" dxfId="388" priority="214" operator="between">
      <formula>0.8</formula>
      <formula>1.2</formula>
    </cfRule>
    <cfRule type="cellIs" dxfId="387" priority="216" operator="lessThan">
      <formula>0.8</formula>
    </cfRule>
    <cfRule type="cellIs" dxfId="386" priority="217" operator="greaterThanOrEqual">
      <formula>1.2</formula>
    </cfRule>
  </conditionalFormatting>
  <conditionalFormatting sqref="I10730:I10753">
    <cfRule type="colorScale" priority="213">
      <colorScale>
        <cfvo type="min"/>
        <cfvo type="percentile" val="50"/>
        <cfvo type="max"/>
        <color rgb="FF63BE7B"/>
        <color rgb="FFFFEB84"/>
        <color rgb="FFF8696B"/>
      </colorScale>
    </cfRule>
  </conditionalFormatting>
  <conditionalFormatting sqref="K10731:K10753">
    <cfRule type="colorScale" priority="212">
      <colorScale>
        <cfvo type="min"/>
        <cfvo type="percentile" val="50"/>
        <cfvo type="max"/>
        <color rgb="FF63BE7B"/>
        <color rgb="FFFFEB84"/>
        <color rgb="FFF8696B"/>
      </colorScale>
    </cfRule>
  </conditionalFormatting>
  <conditionalFormatting sqref="K10730:K10753">
    <cfRule type="colorScale" priority="211">
      <colorScale>
        <cfvo type="min"/>
        <cfvo type="percentile" val="50"/>
        <cfvo type="max"/>
        <color rgb="FF63BE7B"/>
        <color rgb="FFFFEB84"/>
        <color rgb="FFF8696B"/>
      </colorScale>
    </cfRule>
  </conditionalFormatting>
  <conditionalFormatting sqref="M10730:M10753">
    <cfRule type="colorScale" priority="210">
      <colorScale>
        <cfvo type="min"/>
        <cfvo type="percentile" val="50"/>
        <cfvo type="max"/>
        <color rgb="FF63BE7B"/>
        <color rgb="FFFFEB84"/>
        <color rgb="FFF8696B"/>
      </colorScale>
    </cfRule>
  </conditionalFormatting>
  <conditionalFormatting sqref="L10730:L10753">
    <cfRule type="colorScale" priority="209">
      <colorScale>
        <cfvo type="min"/>
        <cfvo type="percentile" val="50"/>
        <cfvo type="max"/>
        <color rgb="FF63BE7B"/>
        <color rgb="FFFFEB84"/>
        <color rgb="FFF8696B"/>
      </colorScale>
    </cfRule>
  </conditionalFormatting>
  <conditionalFormatting sqref="D10754:D10777">
    <cfRule type="colorScale" priority="208">
      <colorScale>
        <cfvo type="min"/>
        <cfvo type="percentile" val="50"/>
        <cfvo type="max"/>
        <color rgb="FF63BE7B"/>
        <color rgb="FFFFEB84"/>
        <color rgb="FFF8696B"/>
      </colorScale>
    </cfRule>
  </conditionalFormatting>
  <conditionalFormatting sqref="G10754:G10777">
    <cfRule type="cellIs" dxfId="385" priority="202" operator="between">
      <formula>49</formula>
      <formula>149</formula>
    </cfRule>
    <cfRule type="cellIs" dxfId="384" priority="206" operator="lessThan">
      <formula>49</formula>
    </cfRule>
    <cfRule type="cellIs" dxfId="383" priority="207" operator="greaterThanOrEqual">
      <formula>150</formula>
    </cfRule>
  </conditionalFormatting>
  <conditionalFormatting sqref="F10754:F10777">
    <cfRule type="colorScale" priority="205">
      <colorScale>
        <cfvo type="min"/>
        <cfvo type="percentile" val="50"/>
        <cfvo type="max"/>
        <color rgb="FF63BE7B"/>
        <color rgb="FFFFEB84"/>
        <color rgb="FFF8696B"/>
      </colorScale>
    </cfRule>
  </conditionalFormatting>
  <conditionalFormatting sqref="H10754:H10777">
    <cfRule type="cellIs" dxfId="382" priority="201" operator="between">
      <formula>0.8</formula>
      <formula>1.2</formula>
    </cfRule>
    <cfRule type="cellIs" dxfId="381" priority="203" operator="lessThan">
      <formula>0.8</formula>
    </cfRule>
    <cfRule type="cellIs" dxfId="380" priority="204" operator="greaterThanOrEqual">
      <formula>1.2</formula>
    </cfRule>
  </conditionalFormatting>
  <conditionalFormatting sqref="I10754:I10777">
    <cfRule type="colorScale" priority="200">
      <colorScale>
        <cfvo type="min"/>
        <cfvo type="percentile" val="50"/>
        <cfvo type="max"/>
        <color rgb="FF63BE7B"/>
        <color rgb="FFFFEB84"/>
        <color rgb="FFF8696B"/>
      </colorScale>
    </cfRule>
  </conditionalFormatting>
  <conditionalFormatting sqref="K10755:K10777">
    <cfRule type="colorScale" priority="199">
      <colorScale>
        <cfvo type="min"/>
        <cfvo type="percentile" val="50"/>
        <cfvo type="max"/>
        <color rgb="FF63BE7B"/>
        <color rgb="FFFFEB84"/>
        <color rgb="FFF8696B"/>
      </colorScale>
    </cfRule>
  </conditionalFormatting>
  <conditionalFormatting sqref="K10754:K10777">
    <cfRule type="colorScale" priority="198">
      <colorScale>
        <cfvo type="min"/>
        <cfvo type="percentile" val="50"/>
        <cfvo type="max"/>
        <color rgb="FF63BE7B"/>
        <color rgb="FFFFEB84"/>
        <color rgb="FFF8696B"/>
      </colorScale>
    </cfRule>
  </conditionalFormatting>
  <conditionalFormatting sqref="M10754:M10777">
    <cfRule type="colorScale" priority="197">
      <colorScale>
        <cfvo type="min"/>
        <cfvo type="percentile" val="50"/>
        <cfvo type="max"/>
        <color rgb="FF63BE7B"/>
        <color rgb="FFFFEB84"/>
        <color rgb="FFF8696B"/>
      </colorScale>
    </cfRule>
  </conditionalFormatting>
  <conditionalFormatting sqref="L10754:L10777">
    <cfRule type="colorScale" priority="196">
      <colorScale>
        <cfvo type="min"/>
        <cfvo type="percentile" val="50"/>
        <cfvo type="max"/>
        <color rgb="FF63BE7B"/>
        <color rgb="FFFFEB84"/>
        <color rgb="FFF8696B"/>
      </colorScale>
    </cfRule>
  </conditionalFormatting>
  <conditionalFormatting sqref="D10778:D10801">
    <cfRule type="colorScale" priority="195">
      <colorScale>
        <cfvo type="min"/>
        <cfvo type="percentile" val="50"/>
        <cfvo type="max"/>
        <color rgb="FF63BE7B"/>
        <color rgb="FFFFEB84"/>
        <color rgb="FFF8696B"/>
      </colorScale>
    </cfRule>
  </conditionalFormatting>
  <conditionalFormatting sqref="G10778:G10801">
    <cfRule type="cellIs" dxfId="379" priority="189" operator="between">
      <formula>49</formula>
      <formula>149</formula>
    </cfRule>
    <cfRule type="cellIs" dxfId="378" priority="193" operator="lessThan">
      <formula>49</formula>
    </cfRule>
    <cfRule type="cellIs" dxfId="377" priority="194" operator="greaterThanOrEqual">
      <formula>150</formula>
    </cfRule>
  </conditionalFormatting>
  <conditionalFormatting sqref="F10778:F10801">
    <cfRule type="colorScale" priority="192">
      <colorScale>
        <cfvo type="min"/>
        <cfvo type="percentile" val="50"/>
        <cfvo type="max"/>
        <color rgb="FF63BE7B"/>
        <color rgb="FFFFEB84"/>
        <color rgb="FFF8696B"/>
      </colorScale>
    </cfRule>
  </conditionalFormatting>
  <conditionalFormatting sqref="H10778:H10801">
    <cfRule type="cellIs" dxfId="376" priority="188" operator="between">
      <formula>0.8</formula>
      <formula>1.2</formula>
    </cfRule>
    <cfRule type="cellIs" dxfId="375" priority="190" operator="lessThan">
      <formula>0.8</formula>
    </cfRule>
    <cfRule type="cellIs" dxfId="374" priority="191" operator="greaterThanOrEqual">
      <formula>1.2</formula>
    </cfRule>
  </conditionalFormatting>
  <conditionalFormatting sqref="I10778:I10801">
    <cfRule type="colorScale" priority="187">
      <colorScale>
        <cfvo type="min"/>
        <cfvo type="percentile" val="50"/>
        <cfvo type="max"/>
        <color rgb="FF63BE7B"/>
        <color rgb="FFFFEB84"/>
        <color rgb="FFF8696B"/>
      </colorScale>
    </cfRule>
  </conditionalFormatting>
  <conditionalFormatting sqref="K10779:K10801">
    <cfRule type="colorScale" priority="186">
      <colorScale>
        <cfvo type="min"/>
        <cfvo type="percentile" val="50"/>
        <cfvo type="max"/>
        <color rgb="FF63BE7B"/>
        <color rgb="FFFFEB84"/>
        <color rgb="FFF8696B"/>
      </colorScale>
    </cfRule>
  </conditionalFormatting>
  <conditionalFormatting sqref="K10778:K10801">
    <cfRule type="colorScale" priority="185">
      <colorScale>
        <cfvo type="min"/>
        <cfvo type="percentile" val="50"/>
        <cfvo type="max"/>
        <color rgb="FF63BE7B"/>
        <color rgb="FFFFEB84"/>
        <color rgb="FFF8696B"/>
      </colorScale>
    </cfRule>
  </conditionalFormatting>
  <conditionalFormatting sqref="M10778:M10801">
    <cfRule type="colorScale" priority="184">
      <colorScale>
        <cfvo type="min"/>
        <cfvo type="percentile" val="50"/>
        <cfvo type="max"/>
        <color rgb="FF63BE7B"/>
        <color rgb="FFFFEB84"/>
        <color rgb="FFF8696B"/>
      </colorScale>
    </cfRule>
  </conditionalFormatting>
  <conditionalFormatting sqref="L10778:L10801">
    <cfRule type="colorScale" priority="183">
      <colorScale>
        <cfvo type="min"/>
        <cfvo type="percentile" val="50"/>
        <cfvo type="max"/>
        <color rgb="FF63BE7B"/>
        <color rgb="FFFFEB84"/>
        <color rgb="FFF8696B"/>
      </colorScale>
    </cfRule>
  </conditionalFormatting>
  <conditionalFormatting sqref="D10802:D10825">
    <cfRule type="colorScale" priority="182">
      <colorScale>
        <cfvo type="min"/>
        <cfvo type="percentile" val="50"/>
        <cfvo type="max"/>
        <color rgb="FF63BE7B"/>
        <color rgb="FFFFEB84"/>
        <color rgb="FFF8696B"/>
      </colorScale>
    </cfRule>
  </conditionalFormatting>
  <conditionalFormatting sqref="G10802:G10825">
    <cfRule type="cellIs" dxfId="373" priority="176" operator="between">
      <formula>49</formula>
      <formula>149</formula>
    </cfRule>
    <cfRule type="cellIs" dxfId="372" priority="180" operator="lessThan">
      <formula>49</formula>
    </cfRule>
    <cfRule type="cellIs" dxfId="371" priority="181" operator="greaterThanOrEqual">
      <formula>150</formula>
    </cfRule>
  </conditionalFormatting>
  <conditionalFormatting sqref="F10802:F10825">
    <cfRule type="colorScale" priority="179">
      <colorScale>
        <cfvo type="min"/>
        <cfvo type="percentile" val="50"/>
        <cfvo type="max"/>
        <color rgb="FF63BE7B"/>
        <color rgb="FFFFEB84"/>
        <color rgb="FFF8696B"/>
      </colorScale>
    </cfRule>
  </conditionalFormatting>
  <conditionalFormatting sqref="H10802:H10825">
    <cfRule type="cellIs" dxfId="370" priority="175" operator="between">
      <formula>0.8</formula>
      <formula>1.2</formula>
    </cfRule>
    <cfRule type="cellIs" dxfId="369" priority="177" operator="lessThan">
      <formula>0.8</formula>
    </cfRule>
    <cfRule type="cellIs" dxfId="368" priority="178" operator="greaterThanOrEqual">
      <formula>1.2</formula>
    </cfRule>
  </conditionalFormatting>
  <conditionalFormatting sqref="I10802:I10825">
    <cfRule type="colorScale" priority="174">
      <colorScale>
        <cfvo type="min"/>
        <cfvo type="percentile" val="50"/>
        <cfvo type="max"/>
        <color rgb="FF63BE7B"/>
        <color rgb="FFFFEB84"/>
        <color rgb="FFF8696B"/>
      </colorScale>
    </cfRule>
  </conditionalFormatting>
  <conditionalFormatting sqref="K10803:K10825">
    <cfRule type="colorScale" priority="173">
      <colorScale>
        <cfvo type="min"/>
        <cfvo type="percentile" val="50"/>
        <cfvo type="max"/>
        <color rgb="FF63BE7B"/>
        <color rgb="FFFFEB84"/>
        <color rgb="FFF8696B"/>
      </colorScale>
    </cfRule>
  </conditionalFormatting>
  <conditionalFormatting sqref="K10802:K10825">
    <cfRule type="colorScale" priority="172">
      <colorScale>
        <cfvo type="min"/>
        <cfvo type="percentile" val="50"/>
        <cfvo type="max"/>
        <color rgb="FF63BE7B"/>
        <color rgb="FFFFEB84"/>
        <color rgb="FFF8696B"/>
      </colorScale>
    </cfRule>
  </conditionalFormatting>
  <conditionalFormatting sqref="M10802:M10825">
    <cfRule type="colorScale" priority="171">
      <colorScale>
        <cfvo type="min"/>
        <cfvo type="percentile" val="50"/>
        <cfvo type="max"/>
        <color rgb="FF63BE7B"/>
        <color rgb="FFFFEB84"/>
        <color rgb="FFF8696B"/>
      </colorScale>
    </cfRule>
  </conditionalFormatting>
  <conditionalFormatting sqref="L10802:L10825">
    <cfRule type="colorScale" priority="170">
      <colorScale>
        <cfvo type="min"/>
        <cfvo type="percentile" val="50"/>
        <cfvo type="max"/>
        <color rgb="FF63BE7B"/>
        <color rgb="FFFFEB84"/>
        <color rgb="FFF8696B"/>
      </colorScale>
    </cfRule>
  </conditionalFormatting>
  <conditionalFormatting sqref="D10826:D10849">
    <cfRule type="colorScale" priority="169">
      <colorScale>
        <cfvo type="min"/>
        <cfvo type="percentile" val="50"/>
        <cfvo type="max"/>
        <color rgb="FF63BE7B"/>
        <color rgb="FFFFEB84"/>
        <color rgb="FFF8696B"/>
      </colorScale>
    </cfRule>
  </conditionalFormatting>
  <conditionalFormatting sqref="G10826:G10849">
    <cfRule type="cellIs" dxfId="367" priority="163" operator="between">
      <formula>49</formula>
      <formula>149</formula>
    </cfRule>
    <cfRule type="cellIs" dxfId="366" priority="167" operator="lessThan">
      <formula>49</formula>
    </cfRule>
    <cfRule type="cellIs" dxfId="365" priority="168" operator="greaterThanOrEqual">
      <formula>150</formula>
    </cfRule>
  </conditionalFormatting>
  <conditionalFormatting sqref="F10826:F10849">
    <cfRule type="colorScale" priority="166">
      <colorScale>
        <cfvo type="min"/>
        <cfvo type="percentile" val="50"/>
        <cfvo type="max"/>
        <color rgb="FF63BE7B"/>
        <color rgb="FFFFEB84"/>
        <color rgb="FFF8696B"/>
      </colorScale>
    </cfRule>
  </conditionalFormatting>
  <conditionalFormatting sqref="H10826:H10849">
    <cfRule type="cellIs" dxfId="364" priority="162" operator="between">
      <formula>0.8</formula>
      <formula>1.2</formula>
    </cfRule>
    <cfRule type="cellIs" dxfId="363" priority="164" operator="lessThan">
      <formula>0.8</formula>
    </cfRule>
    <cfRule type="cellIs" dxfId="362" priority="165" operator="greaterThanOrEqual">
      <formula>1.2</formula>
    </cfRule>
  </conditionalFormatting>
  <conditionalFormatting sqref="I10826:I10849">
    <cfRule type="colorScale" priority="161">
      <colorScale>
        <cfvo type="min"/>
        <cfvo type="percentile" val="50"/>
        <cfvo type="max"/>
        <color rgb="FF63BE7B"/>
        <color rgb="FFFFEB84"/>
        <color rgb="FFF8696B"/>
      </colorScale>
    </cfRule>
  </conditionalFormatting>
  <conditionalFormatting sqref="K10827:K10849">
    <cfRule type="colorScale" priority="160">
      <colorScale>
        <cfvo type="min"/>
        <cfvo type="percentile" val="50"/>
        <cfvo type="max"/>
        <color rgb="FF63BE7B"/>
        <color rgb="FFFFEB84"/>
        <color rgb="FFF8696B"/>
      </colorScale>
    </cfRule>
  </conditionalFormatting>
  <conditionalFormatting sqref="K10826:K10849">
    <cfRule type="colorScale" priority="159">
      <colorScale>
        <cfvo type="min"/>
        <cfvo type="percentile" val="50"/>
        <cfvo type="max"/>
        <color rgb="FF63BE7B"/>
        <color rgb="FFFFEB84"/>
        <color rgb="FFF8696B"/>
      </colorScale>
    </cfRule>
  </conditionalFormatting>
  <conditionalFormatting sqref="M10826:M10849">
    <cfRule type="colorScale" priority="158">
      <colorScale>
        <cfvo type="min"/>
        <cfvo type="percentile" val="50"/>
        <cfvo type="max"/>
        <color rgb="FF63BE7B"/>
        <color rgb="FFFFEB84"/>
        <color rgb="FFF8696B"/>
      </colorScale>
    </cfRule>
  </conditionalFormatting>
  <conditionalFormatting sqref="L10826:L10849">
    <cfRule type="colorScale" priority="157">
      <colorScale>
        <cfvo type="min"/>
        <cfvo type="percentile" val="50"/>
        <cfvo type="max"/>
        <color rgb="FF63BE7B"/>
        <color rgb="FFFFEB84"/>
        <color rgb="FFF8696B"/>
      </colorScale>
    </cfRule>
  </conditionalFormatting>
  <conditionalFormatting sqref="D10850:D10873">
    <cfRule type="colorScale" priority="156">
      <colorScale>
        <cfvo type="min"/>
        <cfvo type="percentile" val="50"/>
        <cfvo type="max"/>
        <color rgb="FF63BE7B"/>
        <color rgb="FFFFEB84"/>
        <color rgb="FFF8696B"/>
      </colorScale>
    </cfRule>
  </conditionalFormatting>
  <conditionalFormatting sqref="G10850:G10873">
    <cfRule type="cellIs" dxfId="361" priority="150" operator="between">
      <formula>49</formula>
      <formula>149</formula>
    </cfRule>
    <cfRule type="cellIs" dxfId="360" priority="154" operator="lessThan">
      <formula>49</formula>
    </cfRule>
    <cfRule type="cellIs" dxfId="359" priority="155" operator="greaterThanOrEqual">
      <formula>150</formula>
    </cfRule>
  </conditionalFormatting>
  <conditionalFormatting sqref="F10850:F10873">
    <cfRule type="colorScale" priority="153">
      <colorScale>
        <cfvo type="min"/>
        <cfvo type="percentile" val="50"/>
        <cfvo type="max"/>
        <color rgb="FF63BE7B"/>
        <color rgb="FFFFEB84"/>
        <color rgb="FFF8696B"/>
      </colorScale>
    </cfRule>
  </conditionalFormatting>
  <conditionalFormatting sqref="H10850:H10873">
    <cfRule type="cellIs" dxfId="358" priority="149" operator="between">
      <formula>0.8</formula>
      <formula>1.2</formula>
    </cfRule>
    <cfRule type="cellIs" dxfId="357" priority="151" operator="lessThan">
      <formula>0.8</formula>
    </cfRule>
    <cfRule type="cellIs" dxfId="356" priority="152" operator="greaterThanOrEqual">
      <formula>1.2</formula>
    </cfRule>
  </conditionalFormatting>
  <conditionalFormatting sqref="I10850:I10873">
    <cfRule type="colorScale" priority="148">
      <colorScale>
        <cfvo type="min"/>
        <cfvo type="percentile" val="50"/>
        <cfvo type="max"/>
        <color rgb="FF63BE7B"/>
        <color rgb="FFFFEB84"/>
        <color rgb="FFF8696B"/>
      </colorScale>
    </cfRule>
  </conditionalFormatting>
  <conditionalFormatting sqref="K10851:K10873">
    <cfRule type="colorScale" priority="147">
      <colorScale>
        <cfvo type="min"/>
        <cfvo type="percentile" val="50"/>
        <cfvo type="max"/>
        <color rgb="FF63BE7B"/>
        <color rgb="FFFFEB84"/>
        <color rgb="FFF8696B"/>
      </colorScale>
    </cfRule>
  </conditionalFormatting>
  <conditionalFormatting sqref="K10850:K10873">
    <cfRule type="colorScale" priority="146">
      <colorScale>
        <cfvo type="min"/>
        <cfvo type="percentile" val="50"/>
        <cfvo type="max"/>
        <color rgb="FF63BE7B"/>
        <color rgb="FFFFEB84"/>
        <color rgb="FFF8696B"/>
      </colorScale>
    </cfRule>
  </conditionalFormatting>
  <conditionalFormatting sqref="M10850:M10873">
    <cfRule type="colorScale" priority="145">
      <colorScale>
        <cfvo type="min"/>
        <cfvo type="percentile" val="50"/>
        <cfvo type="max"/>
        <color rgb="FF63BE7B"/>
        <color rgb="FFFFEB84"/>
        <color rgb="FFF8696B"/>
      </colorScale>
    </cfRule>
  </conditionalFormatting>
  <conditionalFormatting sqref="L10850:L10873">
    <cfRule type="colorScale" priority="144">
      <colorScale>
        <cfvo type="min"/>
        <cfvo type="percentile" val="50"/>
        <cfvo type="max"/>
        <color rgb="FF63BE7B"/>
        <color rgb="FFFFEB84"/>
        <color rgb="FFF8696B"/>
      </colorScale>
    </cfRule>
  </conditionalFormatting>
  <conditionalFormatting sqref="D10874:D10897">
    <cfRule type="colorScale" priority="143">
      <colorScale>
        <cfvo type="min"/>
        <cfvo type="percentile" val="50"/>
        <cfvo type="max"/>
        <color rgb="FF63BE7B"/>
        <color rgb="FFFFEB84"/>
        <color rgb="FFF8696B"/>
      </colorScale>
    </cfRule>
  </conditionalFormatting>
  <conditionalFormatting sqref="G10874:G10897">
    <cfRule type="cellIs" dxfId="355" priority="137" operator="between">
      <formula>49</formula>
      <formula>149</formula>
    </cfRule>
    <cfRule type="cellIs" dxfId="354" priority="141" operator="lessThan">
      <formula>49</formula>
    </cfRule>
    <cfRule type="cellIs" dxfId="353" priority="142" operator="greaterThanOrEqual">
      <formula>150</formula>
    </cfRule>
  </conditionalFormatting>
  <conditionalFormatting sqref="F10874:F10897">
    <cfRule type="colorScale" priority="140">
      <colorScale>
        <cfvo type="min"/>
        <cfvo type="percentile" val="50"/>
        <cfvo type="max"/>
        <color rgb="FF63BE7B"/>
        <color rgb="FFFFEB84"/>
        <color rgb="FFF8696B"/>
      </colorScale>
    </cfRule>
  </conditionalFormatting>
  <conditionalFormatting sqref="H10874:H10897">
    <cfRule type="cellIs" dxfId="352" priority="136" operator="between">
      <formula>0.8</formula>
      <formula>1.2</formula>
    </cfRule>
    <cfRule type="cellIs" dxfId="351" priority="138" operator="lessThan">
      <formula>0.8</formula>
    </cfRule>
    <cfRule type="cellIs" dxfId="350" priority="139" operator="greaterThanOrEqual">
      <formula>1.2</formula>
    </cfRule>
  </conditionalFormatting>
  <conditionalFormatting sqref="I10874:I10897">
    <cfRule type="colorScale" priority="135">
      <colorScale>
        <cfvo type="min"/>
        <cfvo type="percentile" val="50"/>
        <cfvo type="max"/>
        <color rgb="FF63BE7B"/>
        <color rgb="FFFFEB84"/>
        <color rgb="FFF8696B"/>
      </colorScale>
    </cfRule>
  </conditionalFormatting>
  <conditionalFormatting sqref="K10875:K10897">
    <cfRule type="colorScale" priority="134">
      <colorScale>
        <cfvo type="min"/>
        <cfvo type="percentile" val="50"/>
        <cfvo type="max"/>
        <color rgb="FF63BE7B"/>
        <color rgb="FFFFEB84"/>
        <color rgb="FFF8696B"/>
      </colorScale>
    </cfRule>
  </conditionalFormatting>
  <conditionalFormatting sqref="K10874:K10897">
    <cfRule type="colorScale" priority="133">
      <colorScale>
        <cfvo type="min"/>
        <cfvo type="percentile" val="50"/>
        <cfvo type="max"/>
        <color rgb="FF63BE7B"/>
        <color rgb="FFFFEB84"/>
        <color rgb="FFF8696B"/>
      </colorScale>
    </cfRule>
  </conditionalFormatting>
  <conditionalFormatting sqref="M10874:M10897">
    <cfRule type="colorScale" priority="132">
      <colorScale>
        <cfvo type="min"/>
        <cfvo type="percentile" val="50"/>
        <cfvo type="max"/>
        <color rgb="FF63BE7B"/>
        <color rgb="FFFFEB84"/>
        <color rgb="FFF8696B"/>
      </colorScale>
    </cfRule>
  </conditionalFormatting>
  <conditionalFormatting sqref="L10874:L10897">
    <cfRule type="colorScale" priority="131">
      <colorScale>
        <cfvo type="min"/>
        <cfvo type="percentile" val="50"/>
        <cfvo type="max"/>
        <color rgb="FF63BE7B"/>
        <color rgb="FFFFEB84"/>
        <color rgb="FFF8696B"/>
      </colorScale>
    </cfRule>
  </conditionalFormatting>
  <conditionalFormatting sqref="D10898:D10921">
    <cfRule type="colorScale" priority="130">
      <colorScale>
        <cfvo type="min"/>
        <cfvo type="percentile" val="50"/>
        <cfvo type="max"/>
        <color rgb="FF63BE7B"/>
        <color rgb="FFFFEB84"/>
        <color rgb="FFF8696B"/>
      </colorScale>
    </cfRule>
  </conditionalFormatting>
  <conditionalFormatting sqref="G10898:G10921">
    <cfRule type="cellIs" dxfId="349" priority="124" operator="between">
      <formula>49</formula>
      <formula>149</formula>
    </cfRule>
    <cfRule type="cellIs" dxfId="348" priority="128" operator="lessThan">
      <formula>49</formula>
    </cfRule>
    <cfRule type="cellIs" dxfId="347" priority="129" operator="greaterThanOrEqual">
      <formula>150</formula>
    </cfRule>
  </conditionalFormatting>
  <conditionalFormatting sqref="F10898:F10921">
    <cfRule type="colorScale" priority="127">
      <colorScale>
        <cfvo type="min"/>
        <cfvo type="percentile" val="50"/>
        <cfvo type="max"/>
        <color rgb="FF63BE7B"/>
        <color rgb="FFFFEB84"/>
        <color rgb="FFF8696B"/>
      </colorScale>
    </cfRule>
  </conditionalFormatting>
  <conditionalFormatting sqref="H10898:H10921">
    <cfRule type="cellIs" dxfId="346" priority="123" operator="between">
      <formula>0.8</formula>
      <formula>1.2</formula>
    </cfRule>
    <cfRule type="cellIs" dxfId="345" priority="125" operator="lessThan">
      <formula>0.8</formula>
    </cfRule>
    <cfRule type="cellIs" dxfId="344" priority="126" operator="greaterThanOrEqual">
      <formula>1.2</formula>
    </cfRule>
  </conditionalFormatting>
  <conditionalFormatting sqref="I10898:I10921">
    <cfRule type="colorScale" priority="122">
      <colorScale>
        <cfvo type="min"/>
        <cfvo type="percentile" val="50"/>
        <cfvo type="max"/>
        <color rgb="FF63BE7B"/>
        <color rgb="FFFFEB84"/>
        <color rgb="FFF8696B"/>
      </colorScale>
    </cfRule>
  </conditionalFormatting>
  <conditionalFormatting sqref="K10899:K10921">
    <cfRule type="colorScale" priority="121">
      <colorScale>
        <cfvo type="min"/>
        <cfvo type="percentile" val="50"/>
        <cfvo type="max"/>
        <color rgb="FF63BE7B"/>
        <color rgb="FFFFEB84"/>
        <color rgb="FFF8696B"/>
      </colorScale>
    </cfRule>
  </conditionalFormatting>
  <conditionalFormatting sqref="K10898:K10921">
    <cfRule type="colorScale" priority="120">
      <colorScale>
        <cfvo type="min"/>
        <cfvo type="percentile" val="50"/>
        <cfvo type="max"/>
        <color rgb="FF63BE7B"/>
        <color rgb="FFFFEB84"/>
        <color rgb="FFF8696B"/>
      </colorScale>
    </cfRule>
  </conditionalFormatting>
  <conditionalFormatting sqref="M10898:M10921">
    <cfRule type="colorScale" priority="119">
      <colorScale>
        <cfvo type="min"/>
        <cfvo type="percentile" val="50"/>
        <cfvo type="max"/>
        <color rgb="FF63BE7B"/>
        <color rgb="FFFFEB84"/>
        <color rgb="FFF8696B"/>
      </colorScale>
    </cfRule>
  </conditionalFormatting>
  <conditionalFormatting sqref="L10898:L10921">
    <cfRule type="colorScale" priority="118">
      <colorScale>
        <cfvo type="min"/>
        <cfvo type="percentile" val="50"/>
        <cfvo type="max"/>
        <color rgb="FF63BE7B"/>
        <color rgb="FFFFEB84"/>
        <color rgb="FFF8696B"/>
      </colorScale>
    </cfRule>
  </conditionalFormatting>
  <conditionalFormatting sqref="D10922:D10945">
    <cfRule type="colorScale" priority="117">
      <colorScale>
        <cfvo type="min"/>
        <cfvo type="percentile" val="50"/>
        <cfvo type="max"/>
        <color rgb="FF63BE7B"/>
        <color rgb="FFFFEB84"/>
        <color rgb="FFF8696B"/>
      </colorScale>
    </cfRule>
  </conditionalFormatting>
  <conditionalFormatting sqref="G10922:G10945">
    <cfRule type="cellIs" dxfId="343" priority="111" operator="between">
      <formula>49</formula>
      <formula>149</formula>
    </cfRule>
    <cfRule type="cellIs" dxfId="342" priority="115" operator="lessThan">
      <formula>49</formula>
    </cfRule>
    <cfRule type="cellIs" dxfId="341" priority="116" operator="greaterThanOrEqual">
      <formula>150</formula>
    </cfRule>
  </conditionalFormatting>
  <conditionalFormatting sqref="F10922:F10945">
    <cfRule type="colorScale" priority="114">
      <colorScale>
        <cfvo type="min"/>
        <cfvo type="percentile" val="50"/>
        <cfvo type="max"/>
        <color rgb="FF63BE7B"/>
        <color rgb="FFFFEB84"/>
        <color rgb="FFF8696B"/>
      </colorScale>
    </cfRule>
  </conditionalFormatting>
  <conditionalFormatting sqref="H10922:H10945">
    <cfRule type="cellIs" dxfId="340" priority="110" operator="between">
      <formula>0.8</formula>
      <formula>1.2</formula>
    </cfRule>
    <cfRule type="cellIs" dxfId="339" priority="112" operator="lessThan">
      <formula>0.8</formula>
    </cfRule>
    <cfRule type="cellIs" dxfId="338" priority="113" operator="greaterThanOrEqual">
      <formula>1.2</formula>
    </cfRule>
  </conditionalFormatting>
  <conditionalFormatting sqref="I10922:I10945">
    <cfRule type="colorScale" priority="109">
      <colorScale>
        <cfvo type="min"/>
        <cfvo type="percentile" val="50"/>
        <cfvo type="max"/>
        <color rgb="FF63BE7B"/>
        <color rgb="FFFFEB84"/>
        <color rgb="FFF8696B"/>
      </colorScale>
    </cfRule>
  </conditionalFormatting>
  <conditionalFormatting sqref="K10923:K10945">
    <cfRule type="colorScale" priority="108">
      <colorScale>
        <cfvo type="min"/>
        <cfvo type="percentile" val="50"/>
        <cfvo type="max"/>
        <color rgb="FF63BE7B"/>
        <color rgb="FFFFEB84"/>
        <color rgb="FFF8696B"/>
      </colorScale>
    </cfRule>
  </conditionalFormatting>
  <conditionalFormatting sqref="K10922:K10945">
    <cfRule type="colorScale" priority="107">
      <colorScale>
        <cfvo type="min"/>
        <cfvo type="percentile" val="50"/>
        <cfvo type="max"/>
        <color rgb="FF63BE7B"/>
        <color rgb="FFFFEB84"/>
        <color rgb="FFF8696B"/>
      </colorScale>
    </cfRule>
  </conditionalFormatting>
  <conditionalFormatting sqref="M10922:M10945">
    <cfRule type="colorScale" priority="106">
      <colorScale>
        <cfvo type="min"/>
        <cfvo type="percentile" val="50"/>
        <cfvo type="max"/>
        <color rgb="FF63BE7B"/>
        <color rgb="FFFFEB84"/>
        <color rgb="FFF8696B"/>
      </colorScale>
    </cfRule>
  </conditionalFormatting>
  <conditionalFormatting sqref="L10922:L10945">
    <cfRule type="colorScale" priority="105">
      <colorScale>
        <cfvo type="min"/>
        <cfvo type="percentile" val="50"/>
        <cfvo type="max"/>
        <color rgb="FF63BE7B"/>
        <color rgb="FFFFEB84"/>
        <color rgb="FFF8696B"/>
      </colorScale>
    </cfRule>
  </conditionalFormatting>
  <conditionalFormatting sqref="D10946:D10969">
    <cfRule type="colorScale" priority="104">
      <colorScale>
        <cfvo type="min"/>
        <cfvo type="percentile" val="50"/>
        <cfvo type="max"/>
        <color rgb="FF63BE7B"/>
        <color rgb="FFFFEB84"/>
        <color rgb="FFF8696B"/>
      </colorScale>
    </cfRule>
  </conditionalFormatting>
  <conditionalFormatting sqref="G10946:G10969">
    <cfRule type="cellIs" dxfId="337" priority="98" operator="between">
      <formula>49</formula>
      <formula>149</formula>
    </cfRule>
    <cfRule type="cellIs" dxfId="336" priority="102" operator="lessThan">
      <formula>49</formula>
    </cfRule>
    <cfRule type="cellIs" dxfId="335" priority="103" operator="greaterThanOrEqual">
      <formula>150</formula>
    </cfRule>
  </conditionalFormatting>
  <conditionalFormatting sqref="F10946:F10969">
    <cfRule type="colorScale" priority="101">
      <colorScale>
        <cfvo type="min"/>
        <cfvo type="percentile" val="50"/>
        <cfvo type="max"/>
        <color rgb="FF63BE7B"/>
        <color rgb="FFFFEB84"/>
        <color rgb="FFF8696B"/>
      </colorScale>
    </cfRule>
  </conditionalFormatting>
  <conditionalFormatting sqref="H10946:H10969">
    <cfRule type="cellIs" dxfId="334" priority="97" operator="between">
      <formula>0.8</formula>
      <formula>1.2</formula>
    </cfRule>
    <cfRule type="cellIs" dxfId="333" priority="99" operator="lessThan">
      <formula>0.8</formula>
    </cfRule>
    <cfRule type="cellIs" dxfId="332" priority="100" operator="greaterThanOrEqual">
      <formula>1.2</formula>
    </cfRule>
  </conditionalFormatting>
  <conditionalFormatting sqref="I10946:I10969">
    <cfRule type="colorScale" priority="96">
      <colorScale>
        <cfvo type="min"/>
        <cfvo type="percentile" val="50"/>
        <cfvo type="max"/>
        <color rgb="FF63BE7B"/>
        <color rgb="FFFFEB84"/>
        <color rgb="FFF8696B"/>
      </colorScale>
    </cfRule>
  </conditionalFormatting>
  <conditionalFormatting sqref="K10947:K10969">
    <cfRule type="colorScale" priority="95">
      <colorScale>
        <cfvo type="min"/>
        <cfvo type="percentile" val="50"/>
        <cfvo type="max"/>
        <color rgb="FF63BE7B"/>
        <color rgb="FFFFEB84"/>
        <color rgb="FFF8696B"/>
      </colorScale>
    </cfRule>
  </conditionalFormatting>
  <conditionalFormatting sqref="K10946:K10969">
    <cfRule type="colorScale" priority="94">
      <colorScale>
        <cfvo type="min"/>
        <cfvo type="percentile" val="50"/>
        <cfvo type="max"/>
        <color rgb="FF63BE7B"/>
        <color rgb="FFFFEB84"/>
        <color rgb="FFF8696B"/>
      </colorScale>
    </cfRule>
  </conditionalFormatting>
  <conditionalFormatting sqref="M10946:M10969">
    <cfRule type="colorScale" priority="93">
      <colorScale>
        <cfvo type="min"/>
        <cfvo type="percentile" val="50"/>
        <cfvo type="max"/>
        <color rgb="FF63BE7B"/>
        <color rgb="FFFFEB84"/>
        <color rgb="FFF8696B"/>
      </colorScale>
    </cfRule>
  </conditionalFormatting>
  <conditionalFormatting sqref="L10946:L10969">
    <cfRule type="colorScale" priority="92">
      <colorScale>
        <cfvo type="min"/>
        <cfvo type="percentile" val="50"/>
        <cfvo type="max"/>
        <color rgb="FF63BE7B"/>
        <color rgb="FFFFEB84"/>
        <color rgb="FFF8696B"/>
      </colorScale>
    </cfRule>
  </conditionalFormatting>
  <conditionalFormatting sqref="D10970:D10993">
    <cfRule type="colorScale" priority="91">
      <colorScale>
        <cfvo type="min"/>
        <cfvo type="percentile" val="50"/>
        <cfvo type="max"/>
        <color rgb="FF63BE7B"/>
        <color rgb="FFFFEB84"/>
        <color rgb="FFF8696B"/>
      </colorScale>
    </cfRule>
  </conditionalFormatting>
  <conditionalFormatting sqref="G10970:G10993">
    <cfRule type="cellIs" dxfId="331" priority="85" operator="between">
      <formula>49</formula>
      <formula>149</formula>
    </cfRule>
    <cfRule type="cellIs" dxfId="330" priority="89" operator="lessThan">
      <formula>49</formula>
    </cfRule>
    <cfRule type="cellIs" dxfId="329" priority="90" operator="greaterThanOrEqual">
      <formula>150</formula>
    </cfRule>
  </conditionalFormatting>
  <conditionalFormatting sqref="F10970:F10993">
    <cfRule type="colorScale" priority="88">
      <colorScale>
        <cfvo type="min"/>
        <cfvo type="percentile" val="50"/>
        <cfvo type="max"/>
        <color rgb="FF63BE7B"/>
        <color rgb="FFFFEB84"/>
        <color rgb="FFF8696B"/>
      </colorScale>
    </cfRule>
  </conditionalFormatting>
  <conditionalFormatting sqref="H10970:H10993">
    <cfRule type="cellIs" dxfId="328" priority="84" operator="between">
      <formula>0.8</formula>
      <formula>1.2</formula>
    </cfRule>
    <cfRule type="cellIs" dxfId="327" priority="86" operator="lessThan">
      <formula>0.8</formula>
    </cfRule>
    <cfRule type="cellIs" dxfId="326" priority="87" operator="greaterThanOrEqual">
      <formula>1.2</formula>
    </cfRule>
  </conditionalFormatting>
  <conditionalFormatting sqref="I10970:I10993">
    <cfRule type="colorScale" priority="83">
      <colorScale>
        <cfvo type="min"/>
        <cfvo type="percentile" val="50"/>
        <cfvo type="max"/>
        <color rgb="FF63BE7B"/>
        <color rgb="FFFFEB84"/>
        <color rgb="FFF8696B"/>
      </colorScale>
    </cfRule>
  </conditionalFormatting>
  <conditionalFormatting sqref="K10971:K10993">
    <cfRule type="colorScale" priority="82">
      <colorScale>
        <cfvo type="min"/>
        <cfvo type="percentile" val="50"/>
        <cfvo type="max"/>
        <color rgb="FF63BE7B"/>
        <color rgb="FFFFEB84"/>
        <color rgb="FFF8696B"/>
      </colorScale>
    </cfRule>
  </conditionalFormatting>
  <conditionalFormatting sqref="K10970:K10993">
    <cfRule type="colorScale" priority="81">
      <colorScale>
        <cfvo type="min"/>
        <cfvo type="percentile" val="50"/>
        <cfvo type="max"/>
        <color rgb="FF63BE7B"/>
        <color rgb="FFFFEB84"/>
        <color rgb="FFF8696B"/>
      </colorScale>
    </cfRule>
  </conditionalFormatting>
  <conditionalFormatting sqref="M10970:M10993">
    <cfRule type="colorScale" priority="80">
      <colorScale>
        <cfvo type="min"/>
        <cfvo type="percentile" val="50"/>
        <cfvo type="max"/>
        <color rgb="FF63BE7B"/>
        <color rgb="FFFFEB84"/>
        <color rgb="FFF8696B"/>
      </colorScale>
    </cfRule>
  </conditionalFormatting>
  <conditionalFormatting sqref="L10970:L10993">
    <cfRule type="colorScale" priority="79">
      <colorScale>
        <cfvo type="min"/>
        <cfvo type="percentile" val="50"/>
        <cfvo type="max"/>
        <color rgb="FF63BE7B"/>
        <color rgb="FFFFEB84"/>
        <color rgb="FFF8696B"/>
      </colorScale>
    </cfRule>
  </conditionalFormatting>
  <conditionalFormatting sqref="D10994:D11017">
    <cfRule type="colorScale" priority="78">
      <colorScale>
        <cfvo type="min"/>
        <cfvo type="percentile" val="50"/>
        <cfvo type="max"/>
        <color rgb="FF63BE7B"/>
        <color rgb="FFFFEB84"/>
        <color rgb="FFF8696B"/>
      </colorScale>
    </cfRule>
  </conditionalFormatting>
  <conditionalFormatting sqref="G10994:G11017">
    <cfRule type="cellIs" dxfId="325" priority="72" operator="between">
      <formula>49</formula>
      <formula>149</formula>
    </cfRule>
    <cfRule type="cellIs" dxfId="324" priority="76" operator="lessThan">
      <formula>49</formula>
    </cfRule>
    <cfRule type="cellIs" dxfId="323" priority="77" operator="greaterThanOrEqual">
      <formula>150</formula>
    </cfRule>
  </conditionalFormatting>
  <conditionalFormatting sqref="F10994:F11017">
    <cfRule type="colorScale" priority="75">
      <colorScale>
        <cfvo type="min"/>
        <cfvo type="percentile" val="50"/>
        <cfvo type="max"/>
        <color rgb="FF63BE7B"/>
        <color rgb="FFFFEB84"/>
        <color rgb="FFF8696B"/>
      </colorScale>
    </cfRule>
  </conditionalFormatting>
  <conditionalFormatting sqref="H10994:H11017">
    <cfRule type="cellIs" dxfId="322" priority="71" operator="between">
      <formula>0.8</formula>
      <formula>1.2</formula>
    </cfRule>
    <cfRule type="cellIs" dxfId="321" priority="73" operator="lessThan">
      <formula>0.8</formula>
    </cfRule>
    <cfRule type="cellIs" dxfId="320" priority="74" operator="greaterThanOrEqual">
      <formula>1.2</formula>
    </cfRule>
  </conditionalFormatting>
  <conditionalFormatting sqref="I10994:I11017">
    <cfRule type="colorScale" priority="70">
      <colorScale>
        <cfvo type="min"/>
        <cfvo type="percentile" val="50"/>
        <cfvo type="max"/>
        <color rgb="FF63BE7B"/>
        <color rgb="FFFFEB84"/>
        <color rgb="FFF8696B"/>
      </colorScale>
    </cfRule>
  </conditionalFormatting>
  <conditionalFormatting sqref="K10995:K11017">
    <cfRule type="colorScale" priority="69">
      <colorScale>
        <cfvo type="min"/>
        <cfvo type="percentile" val="50"/>
        <cfvo type="max"/>
        <color rgb="FF63BE7B"/>
        <color rgb="FFFFEB84"/>
        <color rgb="FFF8696B"/>
      </colorScale>
    </cfRule>
  </conditionalFormatting>
  <conditionalFormatting sqref="K10994:K11017">
    <cfRule type="colorScale" priority="68">
      <colorScale>
        <cfvo type="min"/>
        <cfvo type="percentile" val="50"/>
        <cfvo type="max"/>
        <color rgb="FF63BE7B"/>
        <color rgb="FFFFEB84"/>
        <color rgb="FFF8696B"/>
      </colorScale>
    </cfRule>
  </conditionalFormatting>
  <conditionalFormatting sqref="M10994:M11017">
    <cfRule type="colorScale" priority="67">
      <colorScale>
        <cfvo type="min"/>
        <cfvo type="percentile" val="50"/>
        <cfvo type="max"/>
        <color rgb="FF63BE7B"/>
        <color rgb="FFFFEB84"/>
        <color rgb="FFF8696B"/>
      </colorScale>
    </cfRule>
  </conditionalFormatting>
  <conditionalFormatting sqref="L10994:L11017">
    <cfRule type="colorScale" priority="66">
      <colorScale>
        <cfvo type="min"/>
        <cfvo type="percentile" val="50"/>
        <cfvo type="max"/>
        <color rgb="FF63BE7B"/>
        <color rgb="FFFFEB84"/>
        <color rgb="FFF8696B"/>
      </colorScale>
    </cfRule>
  </conditionalFormatting>
  <conditionalFormatting sqref="D11018:D11041">
    <cfRule type="colorScale" priority="65">
      <colorScale>
        <cfvo type="min"/>
        <cfvo type="percentile" val="50"/>
        <cfvo type="max"/>
        <color rgb="FF63BE7B"/>
        <color rgb="FFFFEB84"/>
        <color rgb="FFF8696B"/>
      </colorScale>
    </cfRule>
  </conditionalFormatting>
  <conditionalFormatting sqref="G11018:G11041">
    <cfRule type="cellIs" dxfId="319" priority="59" operator="between">
      <formula>49</formula>
      <formula>149</formula>
    </cfRule>
    <cfRule type="cellIs" dxfId="318" priority="63" operator="lessThan">
      <formula>49</formula>
    </cfRule>
    <cfRule type="cellIs" dxfId="317" priority="64" operator="greaterThanOrEqual">
      <formula>150</formula>
    </cfRule>
  </conditionalFormatting>
  <conditionalFormatting sqref="F11018:F11041">
    <cfRule type="colorScale" priority="62">
      <colorScale>
        <cfvo type="min"/>
        <cfvo type="percentile" val="50"/>
        <cfvo type="max"/>
        <color rgb="FF63BE7B"/>
        <color rgb="FFFFEB84"/>
        <color rgb="FFF8696B"/>
      </colorScale>
    </cfRule>
  </conditionalFormatting>
  <conditionalFormatting sqref="H11018:H11041">
    <cfRule type="cellIs" dxfId="316" priority="58" operator="between">
      <formula>0.8</formula>
      <formula>1.2</formula>
    </cfRule>
    <cfRule type="cellIs" dxfId="315" priority="60" operator="lessThan">
      <formula>0.8</formula>
    </cfRule>
    <cfRule type="cellIs" dxfId="314" priority="61" operator="greaterThanOrEqual">
      <formula>1.2</formula>
    </cfRule>
  </conditionalFormatting>
  <conditionalFormatting sqref="I11018:I11041">
    <cfRule type="colorScale" priority="57">
      <colorScale>
        <cfvo type="min"/>
        <cfvo type="percentile" val="50"/>
        <cfvo type="max"/>
        <color rgb="FF63BE7B"/>
        <color rgb="FFFFEB84"/>
        <color rgb="FFF8696B"/>
      </colorScale>
    </cfRule>
  </conditionalFormatting>
  <conditionalFormatting sqref="K11019:K11041">
    <cfRule type="colorScale" priority="56">
      <colorScale>
        <cfvo type="min"/>
        <cfvo type="percentile" val="50"/>
        <cfvo type="max"/>
        <color rgb="FF63BE7B"/>
        <color rgb="FFFFEB84"/>
        <color rgb="FFF8696B"/>
      </colorScale>
    </cfRule>
  </conditionalFormatting>
  <conditionalFormatting sqref="K11018:K11041">
    <cfRule type="colorScale" priority="55">
      <colorScale>
        <cfvo type="min"/>
        <cfvo type="percentile" val="50"/>
        <cfvo type="max"/>
        <color rgb="FF63BE7B"/>
        <color rgb="FFFFEB84"/>
        <color rgb="FFF8696B"/>
      </colorScale>
    </cfRule>
  </conditionalFormatting>
  <conditionalFormatting sqref="M11018:M11041">
    <cfRule type="colorScale" priority="54">
      <colorScale>
        <cfvo type="min"/>
        <cfvo type="percentile" val="50"/>
        <cfvo type="max"/>
        <color rgb="FF63BE7B"/>
        <color rgb="FFFFEB84"/>
        <color rgb="FFF8696B"/>
      </colorScale>
    </cfRule>
  </conditionalFormatting>
  <conditionalFormatting sqref="L11018:L11041">
    <cfRule type="colorScale" priority="53">
      <colorScale>
        <cfvo type="min"/>
        <cfvo type="percentile" val="50"/>
        <cfvo type="max"/>
        <color rgb="FF63BE7B"/>
        <color rgb="FFFFEB84"/>
        <color rgb="FFF8696B"/>
      </colorScale>
    </cfRule>
  </conditionalFormatting>
  <conditionalFormatting sqref="D11042:D11065">
    <cfRule type="colorScale" priority="52">
      <colorScale>
        <cfvo type="min"/>
        <cfvo type="percentile" val="50"/>
        <cfvo type="max"/>
        <color rgb="FF63BE7B"/>
        <color rgb="FFFFEB84"/>
        <color rgb="FFF8696B"/>
      </colorScale>
    </cfRule>
  </conditionalFormatting>
  <conditionalFormatting sqref="G11042:G11065">
    <cfRule type="cellIs" dxfId="313" priority="46" operator="between">
      <formula>49</formula>
      <formula>149</formula>
    </cfRule>
    <cfRule type="cellIs" dxfId="312" priority="50" operator="lessThan">
      <formula>49</formula>
    </cfRule>
    <cfRule type="cellIs" dxfId="311" priority="51" operator="greaterThanOrEqual">
      <formula>150</formula>
    </cfRule>
  </conditionalFormatting>
  <conditionalFormatting sqref="F11042:F11065">
    <cfRule type="colorScale" priority="49">
      <colorScale>
        <cfvo type="min"/>
        <cfvo type="percentile" val="50"/>
        <cfvo type="max"/>
        <color rgb="FF63BE7B"/>
        <color rgb="FFFFEB84"/>
        <color rgb="FFF8696B"/>
      </colorScale>
    </cfRule>
  </conditionalFormatting>
  <conditionalFormatting sqref="H11042:H11065">
    <cfRule type="cellIs" dxfId="310" priority="45" operator="between">
      <formula>0.8</formula>
      <formula>1.2</formula>
    </cfRule>
    <cfRule type="cellIs" dxfId="309" priority="47" operator="lessThan">
      <formula>0.8</formula>
    </cfRule>
    <cfRule type="cellIs" dxfId="308" priority="48" operator="greaterThanOrEqual">
      <formula>1.2</formula>
    </cfRule>
  </conditionalFormatting>
  <conditionalFormatting sqref="I11042:I11065">
    <cfRule type="colorScale" priority="44">
      <colorScale>
        <cfvo type="min"/>
        <cfvo type="percentile" val="50"/>
        <cfvo type="max"/>
        <color rgb="FF63BE7B"/>
        <color rgb="FFFFEB84"/>
        <color rgb="FFF8696B"/>
      </colorScale>
    </cfRule>
  </conditionalFormatting>
  <conditionalFormatting sqref="K11043:K11065">
    <cfRule type="colorScale" priority="43">
      <colorScale>
        <cfvo type="min"/>
        <cfvo type="percentile" val="50"/>
        <cfvo type="max"/>
        <color rgb="FF63BE7B"/>
        <color rgb="FFFFEB84"/>
        <color rgb="FFF8696B"/>
      </colorScale>
    </cfRule>
  </conditionalFormatting>
  <conditionalFormatting sqref="K11042:K11065">
    <cfRule type="colorScale" priority="42">
      <colorScale>
        <cfvo type="min"/>
        <cfvo type="percentile" val="50"/>
        <cfvo type="max"/>
        <color rgb="FF63BE7B"/>
        <color rgb="FFFFEB84"/>
        <color rgb="FFF8696B"/>
      </colorScale>
    </cfRule>
  </conditionalFormatting>
  <conditionalFormatting sqref="M11042:M11065">
    <cfRule type="colorScale" priority="41">
      <colorScale>
        <cfvo type="min"/>
        <cfvo type="percentile" val="50"/>
        <cfvo type="max"/>
        <color rgb="FF63BE7B"/>
        <color rgb="FFFFEB84"/>
        <color rgb="FFF8696B"/>
      </colorScale>
    </cfRule>
  </conditionalFormatting>
  <conditionalFormatting sqref="L11042:L11065">
    <cfRule type="colorScale" priority="40">
      <colorScale>
        <cfvo type="min"/>
        <cfvo type="percentile" val="50"/>
        <cfvo type="max"/>
        <color rgb="FF63BE7B"/>
        <color rgb="FFFFEB84"/>
        <color rgb="FFF8696B"/>
      </colorScale>
    </cfRule>
  </conditionalFormatting>
  <conditionalFormatting sqref="D11066:D11089">
    <cfRule type="colorScale" priority="39">
      <colorScale>
        <cfvo type="min"/>
        <cfvo type="percentile" val="50"/>
        <cfvo type="max"/>
        <color rgb="FF63BE7B"/>
        <color rgb="FFFFEB84"/>
        <color rgb="FFF8696B"/>
      </colorScale>
    </cfRule>
  </conditionalFormatting>
  <conditionalFormatting sqref="G11066:G11089">
    <cfRule type="cellIs" dxfId="307" priority="33" operator="between">
      <formula>49</formula>
      <formula>149</formula>
    </cfRule>
    <cfRule type="cellIs" dxfId="306" priority="37" operator="lessThan">
      <formula>49</formula>
    </cfRule>
    <cfRule type="cellIs" dxfId="305" priority="38" operator="greaterThanOrEqual">
      <formula>150</formula>
    </cfRule>
  </conditionalFormatting>
  <conditionalFormatting sqref="F11066:F11089">
    <cfRule type="colorScale" priority="36">
      <colorScale>
        <cfvo type="min"/>
        <cfvo type="percentile" val="50"/>
        <cfvo type="max"/>
        <color rgb="FF63BE7B"/>
        <color rgb="FFFFEB84"/>
        <color rgb="FFF8696B"/>
      </colorScale>
    </cfRule>
  </conditionalFormatting>
  <conditionalFormatting sqref="H11066:H11089">
    <cfRule type="cellIs" dxfId="304" priority="32" operator="between">
      <formula>0.8</formula>
      <formula>1.2</formula>
    </cfRule>
    <cfRule type="cellIs" dxfId="303" priority="34" operator="lessThan">
      <formula>0.8</formula>
    </cfRule>
    <cfRule type="cellIs" dxfId="302" priority="35" operator="greaterThanOrEqual">
      <formula>1.2</formula>
    </cfRule>
  </conditionalFormatting>
  <conditionalFormatting sqref="I11066:I11089">
    <cfRule type="colorScale" priority="31">
      <colorScale>
        <cfvo type="min"/>
        <cfvo type="percentile" val="50"/>
        <cfvo type="max"/>
        <color rgb="FF63BE7B"/>
        <color rgb="FFFFEB84"/>
        <color rgb="FFF8696B"/>
      </colorScale>
    </cfRule>
  </conditionalFormatting>
  <conditionalFormatting sqref="K11067:K11089">
    <cfRule type="colorScale" priority="30">
      <colorScale>
        <cfvo type="min"/>
        <cfvo type="percentile" val="50"/>
        <cfvo type="max"/>
        <color rgb="FF63BE7B"/>
        <color rgb="FFFFEB84"/>
        <color rgb="FFF8696B"/>
      </colorScale>
    </cfRule>
  </conditionalFormatting>
  <conditionalFormatting sqref="K11066:K11089">
    <cfRule type="colorScale" priority="29">
      <colorScale>
        <cfvo type="min"/>
        <cfvo type="percentile" val="50"/>
        <cfvo type="max"/>
        <color rgb="FF63BE7B"/>
        <color rgb="FFFFEB84"/>
        <color rgb="FFF8696B"/>
      </colorScale>
    </cfRule>
  </conditionalFormatting>
  <conditionalFormatting sqref="M11066:M11089">
    <cfRule type="colorScale" priority="28">
      <colorScale>
        <cfvo type="min"/>
        <cfvo type="percentile" val="50"/>
        <cfvo type="max"/>
        <color rgb="FF63BE7B"/>
        <color rgb="FFFFEB84"/>
        <color rgb="FFF8696B"/>
      </colorScale>
    </cfRule>
  </conditionalFormatting>
  <conditionalFormatting sqref="L11066:L11089">
    <cfRule type="colorScale" priority="27">
      <colorScale>
        <cfvo type="min"/>
        <cfvo type="percentile" val="50"/>
        <cfvo type="max"/>
        <color rgb="FF63BE7B"/>
        <color rgb="FFFFEB84"/>
        <color rgb="FFF8696B"/>
      </colorScale>
    </cfRule>
  </conditionalFormatting>
  <conditionalFormatting sqref="D11090:D11113">
    <cfRule type="colorScale" priority="26">
      <colorScale>
        <cfvo type="min"/>
        <cfvo type="percentile" val="50"/>
        <cfvo type="max"/>
        <color rgb="FF63BE7B"/>
        <color rgb="FFFFEB84"/>
        <color rgb="FFF8696B"/>
      </colorScale>
    </cfRule>
  </conditionalFormatting>
  <conditionalFormatting sqref="G11090:G11113">
    <cfRule type="cellIs" dxfId="301" priority="20" operator="between">
      <formula>49</formula>
      <formula>149</formula>
    </cfRule>
    <cfRule type="cellIs" dxfId="300" priority="24" operator="lessThan">
      <formula>49</formula>
    </cfRule>
    <cfRule type="cellIs" dxfId="299" priority="25" operator="greaterThanOrEqual">
      <formula>150</formula>
    </cfRule>
  </conditionalFormatting>
  <conditionalFormatting sqref="F11090:F11113">
    <cfRule type="colorScale" priority="23">
      <colorScale>
        <cfvo type="min"/>
        <cfvo type="percentile" val="50"/>
        <cfvo type="max"/>
        <color rgb="FF63BE7B"/>
        <color rgb="FFFFEB84"/>
        <color rgb="FFF8696B"/>
      </colorScale>
    </cfRule>
  </conditionalFormatting>
  <conditionalFormatting sqref="H11090:H11113">
    <cfRule type="cellIs" dxfId="298" priority="19" operator="between">
      <formula>0.8</formula>
      <formula>1.2</formula>
    </cfRule>
    <cfRule type="cellIs" dxfId="297" priority="21" operator="lessThan">
      <formula>0.8</formula>
    </cfRule>
    <cfRule type="cellIs" dxfId="296" priority="22" operator="greaterThanOrEqual">
      <formula>1.2</formula>
    </cfRule>
  </conditionalFormatting>
  <conditionalFormatting sqref="I11090:I11113">
    <cfRule type="colorScale" priority="18">
      <colorScale>
        <cfvo type="min"/>
        <cfvo type="percentile" val="50"/>
        <cfvo type="max"/>
        <color rgb="FF63BE7B"/>
        <color rgb="FFFFEB84"/>
        <color rgb="FFF8696B"/>
      </colorScale>
    </cfRule>
  </conditionalFormatting>
  <conditionalFormatting sqref="K11091:K11113">
    <cfRule type="colorScale" priority="17">
      <colorScale>
        <cfvo type="min"/>
        <cfvo type="percentile" val="50"/>
        <cfvo type="max"/>
        <color rgb="FF63BE7B"/>
        <color rgb="FFFFEB84"/>
        <color rgb="FFF8696B"/>
      </colorScale>
    </cfRule>
  </conditionalFormatting>
  <conditionalFormatting sqref="K11090:K11113">
    <cfRule type="colorScale" priority="16">
      <colorScale>
        <cfvo type="min"/>
        <cfvo type="percentile" val="50"/>
        <cfvo type="max"/>
        <color rgb="FF63BE7B"/>
        <color rgb="FFFFEB84"/>
        <color rgb="FFF8696B"/>
      </colorScale>
    </cfRule>
  </conditionalFormatting>
  <conditionalFormatting sqref="M11090:M11113">
    <cfRule type="colorScale" priority="15">
      <colorScale>
        <cfvo type="min"/>
        <cfvo type="percentile" val="50"/>
        <cfvo type="max"/>
        <color rgb="FF63BE7B"/>
        <color rgb="FFFFEB84"/>
        <color rgb="FFF8696B"/>
      </colorScale>
    </cfRule>
  </conditionalFormatting>
  <conditionalFormatting sqref="L11090:L11113">
    <cfRule type="colorScale" priority="14">
      <colorScale>
        <cfvo type="min"/>
        <cfvo type="percentile" val="50"/>
        <cfvo type="max"/>
        <color rgb="FF63BE7B"/>
        <color rgb="FFFFEB84"/>
        <color rgb="FFF8696B"/>
      </colorScale>
    </cfRule>
  </conditionalFormatting>
  <conditionalFormatting sqref="D11114:D11137">
    <cfRule type="colorScale" priority="13">
      <colorScale>
        <cfvo type="min"/>
        <cfvo type="percentile" val="50"/>
        <cfvo type="max"/>
        <color rgb="FF63BE7B"/>
        <color rgb="FFFFEB84"/>
        <color rgb="FFF8696B"/>
      </colorScale>
    </cfRule>
  </conditionalFormatting>
  <conditionalFormatting sqref="G11114:G11137">
    <cfRule type="cellIs" dxfId="295" priority="7" operator="between">
      <formula>49</formula>
      <formula>149</formula>
    </cfRule>
    <cfRule type="cellIs" dxfId="294" priority="11" operator="lessThan">
      <formula>49</formula>
    </cfRule>
    <cfRule type="cellIs" dxfId="293" priority="12" operator="greaterThanOrEqual">
      <formula>150</formula>
    </cfRule>
  </conditionalFormatting>
  <conditionalFormatting sqref="F11114:F11137">
    <cfRule type="colorScale" priority="10">
      <colorScale>
        <cfvo type="min"/>
        <cfvo type="percentile" val="50"/>
        <cfvo type="max"/>
        <color rgb="FF63BE7B"/>
        <color rgb="FFFFEB84"/>
        <color rgb="FFF8696B"/>
      </colorScale>
    </cfRule>
  </conditionalFormatting>
  <conditionalFormatting sqref="H11114:H11137">
    <cfRule type="cellIs" dxfId="292" priority="6" operator="between">
      <formula>0.8</formula>
      <formula>1.2</formula>
    </cfRule>
    <cfRule type="cellIs" dxfId="291" priority="8" operator="lessThan">
      <formula>0.8</formula>
    </cfRule>
    <cfRule type="cellIs" dxfId="290" priority="9" operator="greaterThanOrEqual">
      <formula>1.2</formula>
    </cfRule>
  </conditionalFormatting>
  <conditionalFormatting sqref="I11114:I11137">
    <cfRule type="colorScale" priority="5">
      <colorScale>
        <cfvo type="min"/>
        <cfvo type="percentile" val="50"/>
        <cfvo type="max"/>
        <color rgb="FF63BE7B"/>
        <color rgb="FFFFEB84"/>
        <color rgb="FFF8696B"/>
      </colorScale>
    </cfRule>
  </conditionalFormatting>
  <conditionalFormatting sqref="K11115:K11137">
    <cfRule type="colorScale" priority="4">
      <colorScale>
        <cfvo type="min"/>
        <cfvo type="percentile" val="50"/>
        <cfvo type="max"/>
        <color rgb="FF63BE7B"/>
        <color rgb="FFFFEB84"/>
        <color rgb="FFF8696B"/>
      </colorScale>
    </cfRule>
  </conditionalFormatting>
  <conditionalFormatting sqref="K11114:K11137">
    <cfRule type="colorScale" priority="3">
      <colorScale>
        <cfvo type="min"/>
        <cfvo type="percentile" val="50"/>
        <cfvo type="max"/>
        <color rgb="FF63BE7B"/>
        <color rgb="FFFFEB84"/>
        <color rgb="FFF8696B"/>
      </colorScale>
    </cfRule>
  </conditionalFormatting>
  <conditionalFormatting sqref="M11114:M11137">
    <cfRule type="colorScale" priority="2">
      <colorScale>
        <cfvo type="min"/>
        <cfvo type="percentile" val="50"/>
        <cfvo type="max"/>
        <color rgb="FF63BE7B"/>
        <color rgb="FFFFEB84"/>
        <color rgb="FFF8696B"/>
      </colorScale>
    </cfRule>
  </conditionalFormatting>
  <conditionalFormatting sqref="L11114:L11137">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ignoredErrors>
    <ignoredError sqref="E4826:E4828 E4830:E484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D2420-F7FE-4B56-AA03-6CD9E010AACC}">
  <sheetPr codeName="Hoja6"/>
  <dimension ref="A1:AM421"/>
  <sheetViews>
    <sheetView topLeftCell="L11" zoomScale="70" zoomScaleNormal="70" workbookViewId="0">
      <selection activeCell="N1" sqref="M1:P26"/>
    </sheetView>
  </sheetViews>
  <sheetFormatPr baseColWidth="10" defaultRowHeight="15.75" x14ac:dyDescent="0.25"/>
  <cols>
    <col min="1" max="2" width="11.42578125" style="61"/>
    <col min="3" max="3" width="19" style="45" customWidth="1"/>
    <col min="4" max="5" width="11.42578125" style="46"/>
    <col min="6" max="6" width="18.140625" style="46" customWidth="1"/>
    <col min="7" max="7" width="12.85546875" style="46" customWidth="1"/>
    <col min="8" max="8" width="17.7109375" style="46" customWidth="1"/>
    <col min="9" max="12" width="11.42578125" style="61"/>
    <col min="13" max="13" width="30.42578125" style="61" customWidth="1"/>
    <col min="14" max="14" width="18.42578125" style="61" customWidth="1"/>
    <col min="15" max="16" width="18.28515625" style="61" customWidth="1"/>
    <col min="17" max="17" width="8.42578125" style="61" customWidth="1"/>
    <col min="18" max="18" width="24.5703125" style="61" customWidth="1"/>
    <col min="19" max="19" width="13.140625" style="61" customWidth="1"/>
    <col min="20" max="20" width="24.5703125" style="45" customWidth="1"/>
    <col min="21" max="21" width="11.42578125" style="61" customWidth="1"/>
    <col min="22" max="22" width="11.42578125" style="45" customWidth="1"/>
    <col min="23" max="23" width="17.7109375" style="45" customWidth="1"/>
    <col min="24" max="24" width="19.7109375" style="45" customWidth="1"/>
    <col min="25" max="25" width="11.42578125" style="45"/>
    <col min="26" max="26" width="17" style="303" bestFit="1" customWidth="1"/>
    <col min="27" max="29" width="11.42578125" style="45"/>
    <col min="30" max="30" width="23" style="45" bestFit="1" customWidth="1"/>
    <col min="31" max="31" width="14.28515625" style="45" customWidth="1"/>
    <col min="32" max="38" width="13.7109375" style="45" customWidth="1"/>
    <col min="39" max="16384" width="11.42578125" style="45"/>
  </cols>
  <sheetData>
    <row r="1" spans="1:39" s="61" customFormat="1" ht="52.5" customHeight="1" thickBot="1" x14ac:dyDescent="0.3">
      <c r="C1" s="647" t="s">
        <v>106</v>
      </c>
      <c r="D1" s="647"/>
      <c r="E1" s="647"/>
      <c r="F1" s="647"/>
      <c r="G1" s="647"/>
      <c r="H1" s="647"/>
      <c r="K1" s="73"/>
      <c r="M1" s="170"/>
      <c r="N1" s="648" t="s">
        <v>113</v>
      </c>
      <c r="O1" s="648"/>
      <c r="P1" s="648"/>
      <c r="Q1" s="185"/>
      <c r="R1" s="170"/>
      <c r="S1" s="170"/>
      <c r="T1" s="170"/>
      <c r="U1" s="170"/>
      <c r="W1" s="648" t="s">
        <v>113</v>
      </c>
      <c r="X1" s="648"/>
      <c r="Z1" s="302"/>
    </row>
    <row r="2" spans="1:39" ht="58.5" customHeight="1" x14ac:dyDescent="0.25">
      <c r="C2" s="49" t="s">
        <v>24</v>
      </c>
      <c r="D2" s="50">
        <v>44043</v>
      </c>
      <c r="E2" s="50">
        <v>44074</v>
      </c>
      <c r="F2" s="51" t="s">
        <v>105</v>
      </c>
      <c r="G2" s="52" t="s">
        <v>103</v>
      </c>
      <c r="H2" s="53" t="s">
        <v>104</v>
      </c>
      <c r="K2" s="73"/>
      <c r="M2" s="49" t="s">
        <v>24</v>
      </c>
      <c r="N2" s="50" t="s">
        <v>112</v>
      </c>
      <c r="O2" s="50" t="s">
        <v>117</v>
      </c>
      <c r="P2" s="616" t="s">
        <v>297</v>
      </c>
      <c r="Q2" s="617"/>
      <c r="R2" s="51" t="s">
        <v>105</v>
      </c>
      <c r="S2" s="52" t="s">
        <v>103</v>
      </c>
      <c r="T2" s="53" t="s">
        <v>107</v>
      </c>
      <c r="W2" s="50" t="s">
        <v>114</v>
      </c>
      <c r="X2" s="50" t="s">
        <v>115</v>
      </c>
      <c r="AD2" s="49" t="s">
        <v>24</v>
      </c>
      <c r="AE2" s="50">
        <v>44327</v>
      </c>
      <c r="AF2" s="50">
        <v>44328</v>
      </c>
      <c r="AG2" s="50">
        <v>44329</v>
      </c>
      <c r="AH2" s="50">
        <v>44330</v>
      </c>
      <c r="AI2" s="50">
        <v>44331</v>
      </c>
      <c r="AJ2" s="50">
        <v>44332</v>
      </c>
      <c r="AK2" s="50">
        <v>44333</v>
      </c>
      <c r="AL2" s="50">
        <v>44334</v>
      </c>
    </row>
    <row r="3" spans="1:39" s="46" customFormat="1" ht="27.95" customHeight="1" x14ac:dyDescent="0.25">
      <c r="A3" s="62"/>
      <c r="B3" s="62"/>
      <c r="C3" s="54" t="s">
        <v>16</v>
      </c>
      <c r="D3" s="47">
        <v>49911</v>
      </c>
      <c r="E3" s="47">
        <v>156669</v>
      </c>
      <c r="F3" s="48">
        <f>(E3-D3)/D3</f>
        <v>2.1389673619041893</v>
      </c>
      <c r="G3" s="47">
        <v>316506</v>
      </c>
      <c r="H3" s="55">
        <f>(G3-E3)/E3</f>
        <v>1.0202209754322809</v>
      </c>
      <c r="I3" s="62"/>
      <c r="J3" s="62"/>
      <c r="K3" s="73"/>
      <c r="L3" s="62"/>
      <c r="M3" s="54" t="s">
        <v>16</v>
      </c>
      <c r="N3" s="173">
        <v>835.24783250986923</v>
      </c>
      <c r="O3" s="193">
        <v>0.98565037505466047</v>
      </c>
      <c r="P3" s="593">
        <v>8991.4285714285706</v>
      </c>
      <c r="Q3" s="186"/>
      <c r="R3" s="171">
        <v>781378</v>
      </c>
      <c r="S3" s="63">
        <v>81</v>
      </c>
      <c r="T3" s="64">
        <v>24194</v>
      </c>
      <c r="U3" s="46">
        <v>2749</v>
      </c>
      <c r="V3" s="41">
        <v>17541141</v>
      </c>
      <c r="W3" s="173">
        <v>153.54189331241338</v>
      </c>
      <c r="X3" s="173">
        <f>U3/V3*100000</f>
        <v>15.671728538069445</v>
      </c>
      <c r="Z3" s="304"/>
      <c r="AB3" s="46">
        <f>160/20</f>
        <v>8</v>
      </c>
      <c r="AD3" s="54" t="s">
        <v>16</v>
      </c>
      <c r="AE3" s="613">
        <v>8789</v>
      </c>
      <c r="AF3" s="613">
        <v>8712.7142857142862</v>
      </c>
      <c r="AG3" s="613">
        <v>8703.2857142857138</v>
      </c>
      <c r="AH3" s="613">
        <v>8917.7142857142862</v>
      </c>
      <c r="AI3" s="613">
        <v>9053</v>
      </c>
      <c r="AJ3" s="613">
        <v>9220.8571428571431</v>
      </c>
      <c r="AK3" s="613">
        <v>9473.1428571428569</v>
      </c>
      <c r="AL3" s="613">
        <v>9956.1428571428569</v>
      </c>
      <c r="AM3" s="614">
        <f t="shared" ref="AM3:AM25" si="0">AL3/AE3-1</f>
        <v>0.13279586496107143</v>
      </c>
    </row>
    <row r="4" spans="1:39" s="46" customFormat="1" ht="27.95" customHeight="1" x14ac:dyDescent="0.25">
      <c r="A4" s="62"/>
      <c r="B4" s="62"/>
      <c r="C4" s="56" t="s">
        <v>43</v>
      </c>
      <c r="D4" s="47">
        <v>36520</v>
      </c>
      <c r="E4" s="47">
        <v>71086</v>
      </c>
      <c r="F4" s="48">
        <f t="shared" ref="F4:F26" si="1">(E4-D4)/D4</f>
        <v>0.94649507119386633</v>
      </c>
      <c r="G4" s="47">
        <v>107857</v>
      </c>
      <c r="H4" s="55">
        <f t="shared" ref="H4:H26" si="2">(G4-E4)/E4</f>
        <v>0.51727485018147035</v>
      </c>
      <c r="I4" s="62"/>
      <c r="J4" s="62"/>
      <c r="K4" s="73"/>
      <c r="L4" s="62"/>
      <c r="M4" s="56" t="s">
        <v>43</v>
      </c>
      <c r="N4" s="173">
        <v>948.45115465173831</v>
      </c>
      <c r="O4" s="193">
        <v>0.78070386725545293</v>
      </c>
      <c r="P4" s="593">
        <v>1743.7142857142858</v>
      </c>
      <c r="Q4" s="186"/>
      <c r="R4" s="171">
        <v>203707</v>
      </c>
      <c r="S4" s="63">
        <v>26</v>
      </c>
      <c r="T4" s="64">
        <v>5783</v>
      </c>
      <c r="U4" s="46">
        <v>1094</v>
      </c>
      <c r="V4" s="41">
        <v>3075646</v>
      </c>
      <c r="W4" s="173">
        <v>253.89788031522482</v>
      </c>
      <c r="X4" s="173">
        <f t="shared" ref="X4:X26" si="3">U4/V4*100000</f>
        <v>35.569763230228709</v>
      </c>
      <c r="Z4" s="304"/>
      <c r="AB4" s="46">
        <f>80/40</f>
        <v>2</v>
      </c>
      <c r="AD4" s="56" t="s">
        <v>43</v>
      </c>
      <c r="AE4" s="613">
        <v>2160.7142857142858</v>
      </c>
      <c r="AF4" s="613">
        <v>2172.4285714285716</v>
      </c>
      <c r="AG4" s="613">
        <v>2146</v>
      </c>
      <c r="AH4" s="613">
        <v>2245.2857142857142</v>
      </c>
      <c r="AI4" s="613">
        <v>2279.2857142857142</v>
      </c>
      <c r="AJ4" s="613">
        <v>2320.7142857142858</v>
      </c>
      <c r="AK4" s="613">
        <v>2402.1428571428573</v>
      </c>
      <c r="AL4" s="613">
        <v>2523.1428571428573</v>
      </c>
      <c r="AM4" s="614">
        <f t="shared" si="0"/>
        <v>0.16773553719008261</v>
      </c>
    </row>
    <row r="5" spans="1:39" s="46" customFormat="1" ht="27.95" customHeight="1" x14ac:dyDescent="0.25">
      <c r="A5" s="62"/>
      <c r="B5" s="62"/>
      <c r="C5" s="56" t="s">
        <v>28</v>
      </c>
      <c r="D5" s="47">
        <v>38</v>
      </c>
      <c r="E5" s="47">
        <v>62</v>
      </c>
      <c r="F5" s="48">
        <f t="shared" si="1"/>
        <v>0.63157894736842102</v>
      </c>
      <c r="G5" s="47">
        <v>111</v>
      </c>
      <c r="H5" s="55">
        <f t="shared" si="2"/>
        <v>0.79032258064516125</v>
      </c>
      <c r="I5" s="62"/>
      <c r="J5" s="62"/>
      <c r="K5" s="73"/>
      <c r="L5" s="62"/>
      <c r="M5" s="56" t="s">
        <v>28</v>
      </c>
      <c r="N5" s="173">
        <v>1424.76133622827</v>
      </c>
      <c r="O5" s="193">
        <v>1.22217633698121</v>
      </c>
      <c r="P5" s="593">
        <v>422.71428571428572</v>
      </c>
      <c r="Q5" s="186"/>
      <c r="R5" s="171">
        <v>4761</v>
      </c>
      <c r="S5" s="63"/>
      <c r="T5" s="64">
        <v>17</v>
      </c>
      <c r="U5" s="46">
        <v>30</v>
      </c>
      <c r="V5" s="41">
        <v>415438</v>
      </c>
      <c r="W5" s="173">
        <v>125.40980844313714</v>
      </c>
      <c r="X5" s="173">
        <f t="shared" si="3"/>
        <v>7.2212941521959957</v>
      </c>
      <c r="Z5" s="304"/>
      <c r="AD5" s="56" t="s">
        <v>28</v>
      </c>
      <c r="AE5" s="613">
        <v>164</v>
      </c>
      <c r="AF5" s="613">
        <v>176.42857142857142</v>
      </c>
      <c r="AG5" s="613">
        <v>191.42857142857142</v>
      </c>
      <c r="AH5" s="613">
        <v>192.71428571428572</v>
      </c>
      <c r="AI5" s="613">
        <v>239</v>
      </c>
      <c r="AJ5" s="613">
        <v>265.57142857142856</v>
      </c>
      <c r="AK5" s="613">
        <v>263.28571428571428</v>
      </c>
      <c r="AL5" s="613">
        <v>304</v>
      </c>
      <c r="AM5" s="614">
        <f t="shared" si="0"/>
        <v>0.85365853658536595</v>
      </c>
    </row>
    <row r="6" spans="1:39" s="46" customFormat="1" ht="27.95" customHeight="1" x14ac:dyDescent="0.25">
      <c r="A6" s="62"/>
      <c r="B6" s="62"/>
      <c r="C6" s="56" t="s">
        <v>15</v>
      </c>
      <c r="D6" s="47">
        <v>2496</v>
      </c>
      <c r="E6" s="47">
        <v>4085</v>
      </c>
      <c r="F6" s="48">
        <f t="shared" si="1"/>
        <v>0.63661858974358976</v>
      </c>
      <c r="G6" s="47">
        <v>6418</v>
      </c>
      <c r="H6" s="55">
        <f t="shared" si="2"/>
        <v>0.57111383108935132</v>
      </c>
      <c r="I6" s="62"/>
      <c r="J6" s="62"/>
      <c r="K6" s="73"/>
      <c r="L6" s="62"/>
      <c r="M6" s="56" t="s">
        <v>15</v>
      </c>
      <c r="N6" s="173">
        <v>820.89360179520668</v>
      </c>
      <c r="O6" s="193">
        <v>1.346588587770666</v>
      </c>
      <c r="P6" s="593">
        <v>739.28571428571433</v>
      </c>
      <c r="Q6" s="186"/>
      <c r="R6" s="171">
        <v>29890</v>
      </c>
      <c r="S6" s="63">
        <v>5</v>
      </c>
      <c r="T6" s="64">
        <v>777</v>
      </c>
      <c r="U6" s="46">
        <v>76</v>
      </c>
      <c r="V6" s="41">
        <v>1204541</v>
      </c>
      <c r="W6" s="173">
        <v>102.7777385742785</v>
      </c>
      <c r="X6" s="173">
        <f t="shared" si="3"/>
        <v>6.3094572953515078</v>
      </c>
      <c r="Z6" s="304"/>
      <c r="AD6" s="56" t="s">
        <v>15</v>
      </c>
      <c r="AE6" s="613">
        <v>254.57142857142858</v>
      </c>
      <c r="AF6" s="613">
        <v>250</v>
      </c>
      <c r="AG6" s="613">
        <v>278.14285714285717</v>
      </c>
      <c r="AH6" s="613">
        <v>297.28571428571428</v>
      </c>
      <c r="AI6" s="613">
        <v>312.28571428571428</v>
      </c>
      <c r="AJ6" s="613">
        <v>331.14285714285717</v>
      </c>
      <c r="AK6" s="613">
        <v>369</v>
      </c>
      <c r="AL6" s="613">
        <v>403.14285714285717</v>
      </c>
      <c r="AM6" s="614">
        <f t="shared" si="0"/>
        <v>0.58361391694725029</v>
      </c>
    </row>
    <row r="7" spans="1:39" s="46" customFormat="1" ht="27.95" customHeight="1" x14ac:dyDescent="0.25">
      <c r="A7" s="62"/>
      <c r="B7" s="62"/>
      <c r="C7" s="56" t="s">
        <v>29</v>
      </c>
      <c r="D7" s="47">
        <v>196</v>
      </c>
      <c r="E7" s="47">
        <v>351</v>
      </c>
      <c r="F7" s="48">
        <f t="shared" si="1"/>
        <v>0.79081632653061229</v>
      </c>
      <c r="G7" s="47">
        <v>1390</v>
      </c>
      <c r="H7" s="55">
        <f t="shared" si="2"/>
        <v>2.9601139601139601</v>
      </c>
      <c r="I7" s="62"/>
      <c r="J7" s="62"/>
      <c r="K7" s="62"/>
      <c r="L7" s="62"/>
      <c r="M7" s="56" t="s">
        <v>29</v>
      </c>
      <c r="N7" s="173">
        <v>849.60435803901157</v>
      </c>
      <c r="O7" s="193">
        <v>1.3752615062761506</v>
      </c>
      <c r="P7" s="593">
        <v>342.14285714285717</v>
      </c>
      <c r="Q7" s="186"/>
      <c r="R7" s="171">
        <v>40560</v>
      </c>
      <c r="S7" s="63">
        <v>11</v>
      </c>
      <c r="T7" s="64">
        <v>605</v>
      </c>
      <c r="U7" s="46">
        <v>304</v>
      </c>
      <c r="V7" s="41">
        <v>618994</v>
      </c>
      <c r="W7" s="173">
        <v>345.56070010371667</v>
      </c>
      <c r="X7" s="173">
        <f t="shared" si="3"/>
        <v>49.111946157797973</v>
      </c>
      <c r="Z7" s="304"/>
      <c r="AD7" s="56" t="s">
        <v>29</v>
      </c>
      <c r="AE7" s="613">
        <v>215.57142857142858</v>
      </c>
      <c r="AF7" s="613">
        <v>205.85714285714286</v>
      </c>
      <c r="AG7" s="613">
        <v>210.14285714285714</v>
      </c>
      <c r="AH7" s="613">
        <v>206</v>
      </c>
      <c r="AI7" s="613">
        <v>211.28571428571428</v>
      </c>
      <c r="AJ7" s="613">
        <v>218</v>
      </c>
      <c r="AK7" s="613">
        <v>222.71428571428572</v>
      </c>
      <c r="AL7" s="613">
        <v>229.28571428571428</v>
      </c>
      <c r="AM7" s="614">
        <f t="shared" si="0"/>
        <v>6.3618290258449228E-2</v>
      </c>
    </row>
    <row r="8" spans="1:39" s="46" customFormat="1" ht="27.95" customHeight="1" x14ac:dyDescent="0.25">
      <c r="A8" s="62"/>
      <c r="B8" s="62"/>
      <c r="C8" s="56" t="s">
        <v>20</v>
      </c>
      <c r="D8" s="47">
        <v>855</v>
      </c>
      <c r="E8" s="47">
        <v>3685</v>
      </c>
      <c r="F8" s="48">
        <f t="shared" si="1"/>
        <v>3.3099415204678362</v>
      </c>
      <c r="G8" s="47">
        <v>13009</v>
      </c>
      <c r="H8" s="55">
        <f t="shared" si="2"/>
        <v>2.5302578018995932</v>
      </c>
      <c r="I8" s="62"/>
      <c r="J8" s="62"/>
      <c r="K8" s="62"/>
      <c r="L8" s="62"/>
      <c r="M8" s="56" t="s">
        <v>30</v>
      </c>
      <c r="N8" s="173">
        <v>658.81454424112758</v>
      </c>
      <c r="O8" s="193">
        <v>0.81330543011344858</v>
      </c>
      <c r="P8" s="593">
        <v>530.71428571428567</v>
      </c>
      <c r="Q8" s="186"/>
      <c r="R8" s="171">
        <v>16463</v>
      </c>
      <c r="S8" s="63">
        <v>1</v>
      </c>
      <c r="T8" s="64">
        <v>2566</v>
      </c>
      <c r="U8" s="46">
        <v>160</v>
      </c>
      <c r="V8" s="41">
        <v>3760450</v>
      </c>
      <c r="W8" s="173">
        <v>23.98649097847332</v>
      </c>
      <c r="X8" s="173">
        <f t="shared" si="3"/>
        <v>4.2548099296626738</v>
      </c>
      <c r="Z8" s="304"/>
      <c r="AD8" s="56" t="s">
        <v>20</v>
      </c>
      <c r="AE8" s="613">
        <v>1708.4285714285713</v>
      </c>
      <c r="AF8" s="613">
        <v>1817</v>
      </c>
      <c r="AG8" s="613">
        <v>1931.7142857142858</v>
      </c>
      <c r="AH8" s="613">
        <v>2117.7142857142858</v>
      </c>
      <c r="AI8" s="613">
        <v>2192.2857142857142</v>
      </c>
      <c r="AJ8" s="613">
        <v>2292.5714285714284</v>
      </c>
      <c r="AK8" s="613">
        <v>2486.4285714285716</v>
      </c>
      <c r="AL8" s="613">
        <v>2704.7142857142858</v>
      </c>
      <c r="AM8" s="614">
        <f t="shared" si="0"/>
        <v>0.58315912701730932</v>
      </c>
    </row>
    <row r="9" spans="1:39" s="46" customFormat="1" ht="27.95" customHeight="1" x14ac:dyDescent="0.25">
      <c r="A9" s="62"/>
      <c r="B9" s="62"/>
      <c r="C9" s="56" t="s">
        <v>30</v>
      </c>
      <c r="D9" s="47">
        <v>126</v>
      </c>
      <c r="E9" s="47">
        <v>216</v>
      </c>
      <c r="F9" s="48">
        <f t="shared" si="1"/>
        <v>0.7142857142857143</v>
      </c>
      <c r="G9" s="47">
        <v>491</v>
      </c>
      <c r="H9" s="55">
        <f t="shared" si="2"/>
        <v>1.2731481481481481</v>
      </c>
      <c r="I9" s="62"/>
      <c r="J9" s="62"/>
      <c r="K9" s="62"/>
      <c r="L9" s="62"/>
      <c r="M9" s="56" t="s">
        <v>20</v>
      </c>
      <c r="N9" s="173">
        <v>1579.6247789493279</v>
      </c>
      <c r="O9" s="193">
        <v>1.3260335744262881</v>
      </c>
      <c r="P9" s="593">
        <v>4181.5714285714284</v>
      </c>
      <c r="Q9" s="186"/>
      <c r="R9" s="171">
        <v>141824</v>
      </c>
      <c r="S9" s="63">
        <v>9</v>
      </c>
      <c r="T9" s="64">
        <v>252</v>
      </c>
      <c r="U9" s="46">
        <v>340</v>
      </c>
      <c r="V9" s="41">
        <v>1120801</v>
      </c>
      <c r="W9" s="173">
        <v>333.77914545044126</v>
      </c>
      <c r="X9" s="173">
        <f t="shared" si="3"/>
        <v>30.335447595068167</v>
      </c>
      <c r="Z9" s="304"/>
      <c r="AD9" s="56" t="s">
        <v>30</v>
      </c>
      <c r="AE9" s="613">
        <v>171.57142857142858</v>
      </c>
      <c r="AF9" s="613">
        <v>160.85714285714286</v>
      </c>
      <c r="AG9" s="613">
        <v>192.71428571428572</v>
      </c>
      <c r="AH9" s="613">
        <v>220.28571428571428</v>
      </c>
      <c r="AI9" s="613">
        <v>189.57142857142858</v>
      </c>
      <c r="AJ9" s="613">
        <v>185.57142857142858</v>
      </c>
      <c r="AK9" s="613">
        <v>208.57142857142858</v>
      </c>
      <c r="AL9" s="613">
        <v>208.14285714285714</v>
      </c>
      <c r="AM9" s="614">
        <f t="shared" si="0"/>
        <v>0.21315570358034952</v>
      </c>
    </row>
    <row r="10" spans="1:39" s="46" customFormat="1" ht="27.95" customHeight="1" x14ac:dyDescent="0.25">
      <c r="A10" s="62"/>
      <c r="B10" s="62"/>
      <c r="C10" s="56" t="s">
        <v>31</v>
      </c>
      <c r="D10" s="47">
        <v>401</v>
      </c>
      <c r="E10" s="47">
        <v>1208</v>
      </c>
      <c r="F10" s="48">
        <f t="shared" si="1"/>
        <v>2.0124688279301743</v>
      </c>
      <c r="G10" s="47">
        <v>4844</v>
      </c>
      <c r="H10" s="55">
        <f t="shared" si="2"/>
        <v>3.0099337748344372</v>
      </c>
      <c r="I10" s="62"/>
      <c r="J10" s="62"/>
      <c r="K10" s="62"/>
      <c r="L10" s="62"/>
      <c r="M10" s="56" t="s">
        <v>31</v>
      </c>
      <c r="N10" s="173">
        <v>1026.0028961853905</v>
      </c>
      <c r="O10" s="193">
        <v>1.2853656331917203</v>
      </c>
      <c r="P10" s="593">
        <v>896.57142857142856</v>
      </c>
      <c r="Q10" s="186"/>
      <c r="R10" s="171">
        <v>39375</v>
      </c>
      <c r="S10" s="63">
        <v>10</v>
      </c>
      <c r="T10" s="64">
        <v>680</v>
      </c>
      <c r="U10" s="46">
        <v>302</v>
      </c>
      <c r="V10" s="41">
        <v>1385961</v>
      </c>
      <c r="W10" s="173">
        <v>190.69800665386688</v>
      </c>
      <c r="X10" s="173">
        <f t="shared" si="3"/>
        <v>21.789934926018841</v>
      </c>
      <c r="Z10" s="304"/>
      <c r="AD10" s="56" t="s">
        <v>31</v>
      </c>
      <c r="AE10" s="613">
        <v>590.57142857142856</v>
      </c>
      <c r="AF10" s="613">
        <v>569.42857142857144</v>
      </c>
      <c r="AG10" s="613">
        <v>580.85714285714289</v>
      </c>
      <c r="AH10" s="613">
        <v>607.14285714285711</v>
      </c>
      <c r="AI10" s="613">
        <v>647.28571428571433</v>
      </c>
      <c r="AJ10" s="613">
        <v>664.14285714285711</v>
      </c>
      <c r="AK10" s="613">
        <v>671</v>
      </c>
      <c r="AL10" s="613">
        <v>700.71428571428567</v>
      </c>
      <c r="AM10" s="614">
        <f t="shared" si="0"/>
        <v>0.1865021770682147</v>
      </c>
    </row>
    <row r="11" spans="1:39" s="46" customFormat="1" ht="27.95" customHeight="1" x14ac:dyDescent="0.25">
      <c r="A11" s="62"/>
      <c r="B11" s="62"/>
      <c r="C11" s="56" t="s">
        <v>41</v>
      </c>
      <c r="D11" s="47">
        <v>76</v>
      </c>
      <c r="E11" s="47">
        <v>87</v>
      </c>
      <c r="F11" s="48">
        <f t="shared" si="1"/>
        <v>0.14473684210526316</v>
      </c>
      <c r="G11" s="47">
        <v>92</v>
      </c>
      <c r="H11" s="55">
        <f t="shared" si="2"/>
        <v>5.7471264367816091E-2</v>
      </c>
      <c r="I11" s="62"/>
      <c r="J11" s="62"/>
      <c r="K11" s="62"/>
      <c r="L11" s="62"/>
      <c r="M11" s="56" t="s">
        <v>41</v>
      </c>
      <c r="N11" s="173">
        <v>1877.2523806455131</v>
      </c>
      <c r="O11" s="193">
        <v>0.60440495823801665</v>
      </c>
      <c r="P11" s="593">
        <v>617.28571428571433</v>
      </c>
      <c r="Q11" s="186"/>
      <c r="R11" s="171">
        <v>807</v>
      </c>
      <c r="S11" s="63"/>
      <c r="T11" s="64">
        <v>6</v>
      </c>
      <c r="U11" s="46">
        <v>1</v>
      </c>
      <c r="V11" s="41">
        <v>605193</v>
      </c>
      <c r="W11" s="173">
        <v>21.645987313138122</v>
      </c>
      <c r="X11" s="173">
        <f t="shared" si="3"/>
        <v>0.16523654437510019</v>
      </c>
      <c r="Z11" s="304"/>
      <c r="AD11" s="56" t="s">
        <v>41</v>
      </c>
      <c r="AE11" s="613">
        <v>233.14285714285714</v>
      </c>
      <c r="AF11" s="613">
        <v>237</v>
      </c>
      <c r="AG11" s="613">
        <v>207.14285714285714</v>
      </c>
      <c r="AH11" s="613">
        <v>167.57142857142858</v>
      </c>
      <c r="AI11" s="613">
        <v>149.71428571428572</v>
      </c>
      <c r="AJ11" s="613">
        <v>323.42857142857144</v>
      </c>
      <c r="AK11" s="613">
        <v>1106.5714285714287</v>
      </c>
      <c r="AL11" s="613">
        <v>1100.1428571428571</v>
      </c>
      <c r="AM11" s="614">
        <f t="shared" si="0"/>
        <v>3.71875</v>
      </c>
    </row>
    <row r="12" spans="1:39" s="46" customFormat="1" ht="27.95" customHeight="1" x14ac:dyDescent="0.25">
      <c r="A12" s="62"/>
      <c r="B12" s="62"/>
      <c r="C12" s="56" t="s">
        <v>32</v>
      </c>
      <c r="D12" s="47">
        <v>334</v>
      </c>
      <c r="E12" s="47">
        <v>3559</v>
      </c>
      <c r="F12" s="48">
        <f t="shared" si="1"/>
        <v>9.6556886227544911</v>
      </c>
      <c r="G12" s="47">
        <v>11397</v>
      </c>
      <c r="H12" s="55">
        <f t="shared" si="2"/>
        <v>2.2023040179825792</v>
      </c>
      <c r="I12" s="62"/>
      <c r="J12" s="62"/>
      <c r="K12" s="62"/>
      <c r="L12" s="62"/>
      <c r="M12" s="56" t="s">
        <v>32</v>
      </c>
      <c r="N12" s="173">
        <v>403.69395535757138</v>
      </c>
      <c r="O12" s="193">
        <v>1.9450000000000001</v>
      </c>
      <c r="P12" s="593">
        <v>244.42857142857142</v>
      </c>
      <c r="Q12" s="186"/>
      <c r="R12" s="171">
        <v>19100</v>
      </c>
      <c r="S12" s="63"/>
      <c r="T12" s="64">
        <v>866</v>
      </c>
      <c r="U12" s="46">
        <v>7</v>
      </c>
      <c r="V12" s="41">
        <v>770881</v>
      </c>
      <c r="W12" s="173">
        <v>23.739072567620685</v>
      </c>
      <c r="X12" s="173">
        <f t="shared" si="3"/>
        <v>0.9080519561384961</v>
      </c>
      <c r="Z12" s="304"/>
      <c r="AD12" s="56" t="s">
        <v>32</v>
      </c>
      <c r="AE12" s="613">
        <v>85.285714285714292</v>
      </c>
      <c r="AF12" s="613">
        <v>86.285714285714292</v>
      </c>
      <c r="AG12" s="613">
        <v>86.857142857142861</v>
      </c>
      <c r="AH12" s="613">
        <v>82.714285714285708</v>
      </c>
      <c r="AI12" s="613">
        <v>83.714285714285708</v>
      </c>
      <c r="AJ12" s="613">
        <v>83.428571428571431</v>
      </c>
      <c r="AK12" s="613">
        <v>87.571428571428569</v>
      </c>
      <c r="AL12" s="613">
        <v>94.142857142857139</v>
      </c>
      <c r="AM12" s="614">
        <f t="shared" si="0"/>
        <v>0.10385259631490773</v>
      </c>
    </row>
    <row r="13" spans="1:39" s="46" customFormat="1" ht="27.95" customHeight="1" x14ac:dyDescent="0.25">
      <c r="A13" s="62"/>
      <c r="B13" s="62"/>
      <c r="C13" s="56" t="s">
        <v>33</v>
      </c>
      <c r="D13" s="47">
        <v>7</v>
      </c>
      <c r="E13" s="47">
        <v>208</v>
      </c>
      <c r="F13" s="48">
        <f t="shared" si="1"/>
        <v>28.714285714285715</v>
      </c>
      <c r="G13" s="47">
        <v>294</v>
      </c>
      <c r="H13" s="55">
        <f t="shared" si="2"/>
        <v>0.41346153846153844</v>
      </c>
      <c r="I13" s="62"/>
      <c r="J13" s="62"/>
      <c r="K13" s="62"/>
      <c r="L13" s="62"/>
      <c r="M13" s="56" t="s">
        <v>33</v>
      </c>
      <c r="N13" s="173">
        <v>1626.8260292164673</v>
      </c>
      <c r="O13" s="193">
        <v>0.65304065404860567</v>
      </c>
      <c r="P13" s="593">
        <v>359.85714285714283</v>
      </c>
      <c r="Q13" s="186"/>
      <c r="R13" s="171">
        <v>15894</v>
      </c>
      <c r="S13" s="63">
        <v>12</v>
      </c>
      <c r="T13" s="64">
        <v>223</v>
      </c>
      <c r="U13" s="46">
        <v>101</v>
      </c>
      <c r="V13" s="41">
        <v>358428</v>
      </c>
      <c r="W13" s="173">
        <v>213.71098240092851</v>
      </c>
      <c r="X13" s="173">
        <f t="shared" si="3"/>
        <v>28.178602118138095</v>
      </c>
      <c r="Z13" s="304"/>
      <c r="AD13" s="56" t="s">
        <v>33</v>
      </c>
      <c r="AE13" s="613">
        <v>376.85714285714283</v>
      </c>
      <c r="AF13" s="613">
        <v>414.28571428571428</v>
      </c>
      <c r="AG13" s="613">
        <v>450.14285714285717</v>
      </c>
      <c r="AH13" s="613">
        <v>490.71428571428572</v>
      </c>
      <c r="AI13" s="613">
        <v>513.57142857142856</v>
      </c>
      <c r="AJ13" s="613">
        <v>506.28571428571428</v>
      </c>
      <c r="AK13" s="613">
        <v>514.28571428571433</v>
      </c>
      <c r="AL13" s="613">
        <v>572</v>
      </c>
      <c r="AM13" s="614">
        <f t="shared" si="0"/>
        <v>0.51781652767247932</v>
      </c>
    </row>
    <row r="14" spans="1:39" s="46" customFormat="1" ht="27.95" customHeight="1" x14ac:dyDescent="0.25">
      <c r="A14" s="62"/>
      <c r="B14" s="62"/>
      <c r="C14" s="56" t="s">
        <v>21</v>
      </c>
      <c r="D14" s="47">
        <v>131</v>
      </c>
      <c r="E14" s="47">
        <v>518</v>
      </c>
      <c r="F14" s="48">
        <f t="shared" si="1"/>
        <v>2.9541984732824429</v>
      </c>
      <c r="G14" s="47">
        <v>2503</v>
      </c>
      <c r="H14" s="55">
        <f t="shared" si="2"/>
        <v>3.8320463320463318</v>
      </c>
      <c r="I14" s="62"/>
      <c r="J14" s="62"/>
      <c r="K14" s="62"/>
      <c r="L14" s="62"/>
      <c r="M14" s="56" t="s">
        <v>21</v>
      </c>
      <c r="N14" s="173">
        <v>606.30547529927753</v>
      </c>
      <c r="O14" s="193">
        <v>1.0885036496350364</v>
      </c>
      <c r="P14" s="593">
        <v>178.85714285714286</v>
      </c>
      <c r="Q14" s="186"/>
      <c r="R14" s="171">
        <v>9441</v>
      </c>
      <c r="S14" s="63">
        <v>1</v>
      </c>
      <c r="T14" s="64">
        <v>405</v>
      </c>
      <c r="U14" s="46">
        <v>3</v>
      </c>
      <c r="V14" s="41">
        <v>393531</v>
      </c>
      <c r="W14" s="173">
        <v>30.747260063374931</v>
      </c>
      <c r="X14" s="173">
        <f t="shared" si="3"/>
        <v>0.76232876190185772</v>
      </c>
      <c r="Z14" s="304"/>
      <c r="AD14" s="56" t="s">
        <v>21</v>
      </c>
      <c r="AE14" s="613">
        <v>78.142857142857139</v>
      </c>
      <c r="AF14" s="613">
        <v>71.285714285714292</v>
      </c>
      <c r="AG14" s="613">
        <v>63.857142857142854</v>
      </c>
      <c r="AH14" s="613">
        <v>63</v>
      </c>
      <c r="AI14" s="613">
        <v>68.714285714285708</v>
      </c>
      <c r="AJ14" s="613">
        <v>81.142857142857139</v>
      </c>
      <c r="AK14" s="613">
        <v>90.857142857142861</v>
      </c>
      <c r="AL14" s="613">
        <v>142.85714285714286</v>
      </c>
      <c r="AM14" s="614">
        <f t="shared" si="0"/>
        <v>0.8281535648994518</v>
      </c>
    </row>
    <row r="15" spans="1:39" s="46" customFormat="1" ht="27.95" customHeight="1" x14ac:dyDescent="0.25">
      <c r="A15" s="62"/>
      <c r="B15" s="62"/>
      <c r="C15" s="56" t="s">
        <v>17</v>
      </c>
      <c r="D15" s="47">
        <v>263</v>
      </c>
      <c r="E15" s="47">
        <v>2240</v>
      </c>
      <c r="F15" s="48">
        <f t="shared" si="1"/>
        <v>7.5171102661596958</v>
      </c>
      <c r="G15" s="47">
        <v>12365</v>
      </c>
      <c r="H15" s="55">
        <f t="shared" si="2"/>
        <v>4.5200892857142856</v>
      </c>
      <c r="I15" s="62"/>
      <c r="J15" s="62"/>
      <c r="K15" s="62"/>
      <c r="L15" s="62"/>
      <c r="M15" s="56" t="s">
        <v>17</v>
      </c>
      <c r="N15" s="173">
        <v>549.40417155277146</v>
      </c>
      <c r="O15" s="193">
        <v>0.97529432750624334</v>
      </c>
      <c r="P15" s="593">
        <v>676</v>
      </c>
      <c r="Q15" s="186"/>
      <c r="R15" s="171">
        <v>63210</v>
      </c>
      <c r="S15" s="63">
        <v>3</v>
      </c>
      <c r="T15" s="64">
        <v>1321</v>
      </c>
      <c r="U15" s="46">
        <v>55</v>
      </c>
      <c r="V15" s="41">
        <v>1990338</v>
      </c>
      <c r="W15" s="173">
        <v>46.173062062825508</v>
      </c>
      <c r="X15" s="173">
        <f t="shared" si="3"/>
        <v>2.7633497426065321</v>
      </c>
      <c r="Z15" s="304"/>
      <c r="AD15" s="56" t="s">
        <v>17</v>
      </c>
      <c r="AE15" s="613">
        <v>792.57142857142856</v>
      </c>
      <c r="AF15" s="613">
        <v>771.42857142857144</v>
      </c>
      <c r="AG15" s="613">
        <v>804</v>
      </c>
      <c r="AH15" s="613">
        <v>823.57142857142856</v>
      </c>
      <c r="AI15" s="613">
        <v>805.85714285714289</v>
      </c>
      <c r="AJ15" s="613">
        <v>815.85714285714289</v>
      </c>
      <c r="AK15" s="613">
        <v>824.28571428571433</v>
      </c>
      <c r="AL15" s="613">
        <v>832.71428571428567</v>
      </c>
      <c r="AM15" s="614">
        <f t="shared" si="0"/>
        <v>5.0648882480172963E-2</v>
      </c>
    </row>
    <row r="16" spans="1:39" s="46" customFormat="1" ht="27.95" customHeight="1" x14ac:dyDescent="0.25">
      <c r="A16" s="62"/>
      <c r="B16" s="62"/>
      <c r="C16" s="56" t="s">
        <v>23</v>
      </c>
      <c r="D16" s="47">
        <v>49</v>
      </c>
      <c r="E16" s="47">
        <v>61</v>
      </c>
      <c r="F16" s="48">
        <f t="shared" si="1"/>
        <v>0.24489795918367346</v>
      </c>
      <c r="G16" s="47">
        <v>65</v>
      </c>
      <c r="H16" s="55">
        <f t="shared" si="2"/>
        <v>6.5573770491803282E-2</v>
      </c>
      <c r="I16" s="62"/>
      <c r="J16" s="62"/>
      <c r="K16" s="62"/>
      <c r="L16" s="62"/>
      <c r="M16" s="56" t="s">
        <v>23</v>
      </c>
      <c r="N16" s="173">
        <v>202.01475627411213</v>
      </c>
      <c r="O16" s="193">
        <v>1.1763619575253925</v>
      </c>
      <c r="P16" s="593">
        <v>179.14285714285714</v>
      </c>
      <c r="Q16" s="186"/>
      <c r="R16" s="171">
        <v>3612</v>
      </c>
      <c r="S16" s="63"/>
      <c r="T16" s="64">
        <v>64</v>
      </c>
      <c r="U16" s="46">
        <v>145</v>
      </c>
      <c r="V16" s="41">
        <v>1261294</v>
      </c>
      <c r="W16" s="173">
        <v>101.80021470014128</v>
      </c>
      <c r="X16" s="173">
        <f t="shared" si="3"/>
        <v>11.496130164735581</v>
      </c>
      <c r="Z16" s="304"/>
      <c r="AD16" s="56" t="s">
        <v>23</v>
      </c>
      <c r="AE16" s="613">
        <v>168.71428571428572</v>
      </c>
      <c r="AF16" s="613">
        <v>162.71428571428572</v>
      </c>
      <c r="AG16" s="613">
        <v>163.71428571428572</v>
      </c>
      <c r="AH16" s="613">
        <v>150.57142857142858</v>
      </c>
      <c r="AI16" s="613">
        <v>153.85714285714286</v>
      </c>
      <c r="AJ16" s="613">
        <v>145.42857142857142</v>
      </c>
      <c r="AK16" s="613">
        <v>144</v>
      </c>
      <c r="AL16" s="613">
        <v>143</v>
      </c>
      <c r="AM16" s="615">
        <f t="shared" si="0"/>
        <v>-0.15241320914479262</v>
      </c>
    </row>
    <row r="17" spans="1:39" s="46" customFormat="1" ht="27.95" customHeight="1" x14ac:dyDescent="0.25">
      <c r="A17" s="62"/>
      <c r="B17" s="62"/>
      <c r="C17" s="56" t="s">
        <v>19</v>
      </c>
      <c r="D17" s="47">
        <v>654</v>
      </c>
      <c r="E17" s="47">
        <v>1483</v>
      </c>
      <c r="F17" s="48">
        <f t="shared" si="1"/>
        <v>1.2675840978593271</v>
      </c>
      <c r="G17" s="47">
        <v>4298</v>
      </c>
      <c r="H17" s="55">
        <f t="shared" si="2"/>
        <v>1.8981793661496966</v>
      </c>
      <c r="I17" s="62"/>
      <c r="J17" s="62"/>
      <c r="K17" s="62"/>
      <c r="L17" s="62"/>
      <c r="M17" s="56" t="s">
        <v>19</v>
      </c>
      <c r="N17" s="173">
        <v>1395.5127345995902</v>
      </c>
      <c r="O17" s="193">
        <v>0.92319187089061561</v>
      </c>
      <c r="P17" s="593">
        <v>510.28571428571428</v>
      </c>
      <c r="Q17" s="186"/>
      <c r="R17" s="171">
        <v>51537</v>
      </c>
      <c r="S17" s="63">
        <v>2</v>
      </c>
      <c r="T17" s="64">
        <v>765</v>
      </c>
      <c r="U17" s="46">
        <v>552</v>
      </c>
      <c r="V17" s="41">
        <v>664057</v>
      </c>
      <c r="W17" s="173">
        <v>430.38474106891431</v>
      </c>
      <c r="X17" s="173">
        <f t="shared" si="3"/>
        <v>83.12539435620738</v>
      </c>
      <c r="Z17" s="304"/>
      <c r="AD17" s="56" t="s">
        <v>19</v>
      </c>
      <c r="AE17" s="613">
        <v>487.85714285714283</v>
      </c>
      <c r="AF17" s="613">
        <v>491</v>
      </c>
      <c r="AG17" s="613">
        <v>514.57142857142856</v>
      </c>
      <c r="AH17" s="613">
        <v>493</v>
      </c>
      <c r="AI17" s="613">
        <v>502.71428571428572</v>
      </c>
      <c r="AJ17" s="613">
        <v>516.42857142857144</v>
      </c>
      <c r="AK17" s="613">
        <v>552.71428571428567</v>
      </c>
      <c r="AL17" s="613">
        <v>574.14285714285711</v>
      </c>
      <c r="AM17" s="614">
        <f t="shared" si="0"/>
        <v>0.17686676427525616</v>
      </c>
    </row>
    <row r="18" spans="1:39" s="46" customFormat="1" ht="27.95" customHeight="1" x14ac:dyDescent="0.25">
      <c r="A18" s="62"/>
      <c r="B18" s="62"/>
      <c r="C18" s="56" t="s">
        <v>18</v>
      </c>
      <c r="D18" s="47">
        <v>1057</v>
      </c>
      <c r="E18" s="47">
        <v>3008</v>
      </c>
      <c r="F18" s="48">
        <f t="shared" si="1"/>
        <v>1.8457899716177861</v>
      </c>
      <c r="G18" s="47">
        <v>8042</v>
      </c>
      <c r="H18" s="55">
        <f t="shared" si="2"/>
        <v>1.6735372340425532</v>
      </c>
      <c r="I18" s="62"/>
      <c r="J18" s="62"/>
      <c r="K18" s="62"/>
      <c r="L18" s="62"/>
      <c r="M18" s="56" t="s">
        <v>18</v>
      </c>
      <c r="N18" s="173">
        <v>851.51348965369652</v>
      </c>
      <c r="O18" s="193">
        <v>0.95916829893023958</v>
      </c>
      <c r="P18" s="593">
        <v>386.57142857142856</v>
      </c>
      <c r="Q18" s="186"/>
      <c r="R18" s="171">
        <v>46233</v>
      </c>
      <c r="S18" s="63">
        <v>4</v>
      </c>
      <c r="T18" s="64">
        <v>1037</v>
      </c>
      <c r="U18" s="46">
        <v>255</v>
      </c>
      <c r="V18" s="41">
        <v>747610</v>
      </c>
      <c r="W18" s="173">
        <v>277.28361043859769</v>
      </c>
      <c r="X18" s="173">
        <f t="shared" si="3"/>
        <v>34.108693035138643</v>
      </c>
      <c r="Z18" s="304"/>
      <c r="AD18" s="56" t="s">
        <v>18</v>
      </c>
      <c r="AE18" s="613">
        <v>325.28571428571428</v>
      </c>
      <c r="AF18" s="613">
        <v>323.28571428571428</v>
      </c>
      <c r="AG18" s="613">
        <v>350.57142857142856</v>
      </c>
      <c r="AH18" s="613">
        <v>360.85714285714283</v>
      </c>
      <c r="AI18" s="613">
        <v>368</v>
      </c>
      <c r="AJ18" s="613">
        <v>368</v>
      </c>
      <c r="AK18" s="613">
        <v>379.57142857142856</v>
      </c>
      <c r="AL18" s="613">
        <v>392.71428571428572</v>
      </c>
      <c r="AM18" s="614">
        <f t="shared" si="0"/>
        <v>0.207290294246816</v>
      </c>
    </row>
    <row r="19" spans="1:39" s="46" customFormat="1" ht="27.95" customHeight="1" x14ac:dyDescent="0.25">
      <c r="A19" s="62"/>
      <c r="B19" s="62"/>
      <c r="C19" s="56" t="s">
        <v>34</v>
      </c>
      <c r="D19" s="47">
        <v>86</v>
      </c>
      <c r="E19" s="47">
        <v>611</v>
      </c>
      <c r="F19" s="48">
        <f t="shared" si="1"/>
        <v>6.1046511627906979</v>
      </c>
      <c r="G19" s="47">
        <v>5837</v>
      </c>
      <c r="H19" s="55">
        <f t="shared" si="2"/>
        <v>8.5531914893617014</v>
      </c>
      <c r="I19" s="62"/>
      <c r="J19" s="62"/>
      <c r="K19" s="62"/>
      <c r="L19" s="62"/>
      <c r="M19" s="56" t="s">
        <v>34</v>
      </c>
      <c r="N19" s="173">
        <v>546.75768061853546</v>
      </c>
      <c r="O19" s="193">
        <v>1.4167727851555394</v>
      </c>
      <c r="P19" s="593">
        <v>559.42857142857144</v>
      </c>
      <c r="Q19" s="186"/>
      <c r="R19" s="171">
        <v>23464</v>
      </c>
      <c r="S19" s="63">
        <v>1</v>
      </c>
      <c r="T19" s="64">
        <v>1049</v>
      </c>
      <c r="U19" s="46">
        <v>22</v>
      </c>
      <c r="V19" s="41">
        <v>1424397</v>
      </c>
      <c r="W19" s="173">
        <v>25.063237285672464</v>
      </c>
      <c r="X19" s="173">
        <f t="shared" si="3"/>
        <v>1.5445132220862583</v>
      </c>
      <c r="Z19" s="304"/>
      <c r="AD19" s="56" t="s">
        <v>34</v>
      </c>
      <c r="AE19" s="613">
        <v>248.71428571428572</v>
      </c>
      <c r="AF19" s="613">
        <v>254.57142857142858</v>
      </c>
      <c r="AG19" s="613">
        <v>254.42857142857142</v>
      </c>
      <c r="AH19" s="613">
        <v>270.42857142857144</v>
      </c>
      <c r="AI19" s="613">
        <v>289</v>
      </c>
      <c r="AJ19" s="613">
        <v>286.28571428571428</v>
      </c>
      <c r="AK19" s="613">
        <v>281.28571428571428</v>
      </c>
      <c r="AL19" s="613">
        <v>309.28571428571428</v>
      </c>
      <c r="AM19" s="614">
        <f t="shared" si="0"/>
        <v>0.24353819643882813</v>
      </c>
    </row>
    <row r="20" spans="1:39" s="46" customFormat="1" ht="27.95" customHeight="1" x14ac:dyDescent="0.25">
      <c r="A20" s="62"/>
      <c r="B20" s="62"/>
      <c r="C20" s="56" t="s">
        <v>35</v>
      </c>
      <c r="D20" s="47">
        <v>9</v>
      </c>
      <c r="E20" s="47">
        <v>22</v>
      </c>
      <c r="F20" s="48">
        <f t="shared" si="1"/>
        <v>1.4444444444444444</v>
      </c>
      <c r="G20" s="47">
        <v>385</v>
      </c>
      <c r="H20" s="55">
        <f t="shared" si="2"/>
        <v>16.5</v>
      </c>
      <c r="I20" s="62"/>
      <c r="J20" s="62"/>
      <c r="K20" s="62"/>
      <c r="L20" s="62"/>
      <c r="M20" s="56" t="s">
        <v>35</v>
      </c>
      <c r="N20" s="173">
        <v>936.99957886221114</v>
      </c>
      <c r="O20" s="193">
        <v>1.0858923008455719</v>
      </c>
      <c r="P20" s="593">
        <v>458.57142857142856</v>
      </c>
      <c r="Q20" s="186"/>
      <c r="R20" s="171">
        <v>13625</v>
      </c>
      <c r="S20" s="63"/>
      <c r="T20" s="64">
        <v>217</v>
      </c>
      <c r="U20" s="46">
        <v>80</v>
      </c>
      <c r="V20" s="41">
        <v>781217</v>
      </c>
      <c r="W20" s="173">
        <v>58.370465568465612</v>
      </c>
      <c r="X20" s="173">
        <f t="shared" si="3"/>
        <v>10.240432555871159</v>
      </c>
      <c r="Z20" s="304"/>
      <c r="AD20" s="56" t="s">
        <v>35</v>
      </c>
      <c r="AE20" s="613">
        <v>361.28571428571428</v>
      </c>
      <c r="AF20" s="613">
        <v>347</v>
      </c>
      <c r="AG20" s="613">
        <v>366.57142857142856</v>
      </c>
      <c r="AH20" s="613">
        <v>387.14285714285717</v>
      </c>
      <c r="AI20" s="613">
        <v>390.14285714285717</v>
      </c>
      <c r="AJ20" s="613">
        <v>425.57142857142856</v>
      </c>
      <c r="AK20" s="613">
        <v>463.28571428571428</v>
      </c>
      <c r="AL20" s="613">
        <v>502.28571428571428</v>
      </c>
      <c r="AM20" s="614">
        <f t="shared" si="0"/>
        <v>0.39027283511269273</v>
      </c>
    </row>
    <row r="21" spans="1:39" s="46" customFormat="1" ht="27.95" customHeight="1" x14ac:dyDescent="0.25">
      <c r="A21" s="62"/>
      <c r="B21" s="62"/>
      <c r="C21" s="56" t="s">
        <v>36</v>
      </c>
      <c r="D21" s="47">
        <v>12</v>
      </c>
      <c r="E21" s="47">
        <v>31</v>
      </c>
      <c r="F21" s="48">
        <f t="shared" si="1"/>
        <v>1.5833333333333333</v>
      </c>
      <c r="G21" s="47">
        <v>356</v>
      </c>
      <c r="H21" s="55">
        <f t="shared" si="2"/>
        <v>10.483870967741936</v>
      </c>
      <c r="I21" s="62"/>
      <c r="J21" s="62"/>
      <c r="K21" s="62"/>
      <c r="L21" s="62"/>
      <c r="M21" s="56" t="s">
        <v>36</v>
      </c>
      <c r="N21" s="173">
        <v>1437.0642577233598</v>
      </c>
      <c r="O21" s="193">
        <v>0.97089314194577347</v>
      </c>
      <c r="P21" s="593">
        <v>521.85714285714289</v>
      </c>
      <c r="Q21" s="186"/>
      <c r="R21" s="171">
        <v>18753</v>
      </c>
      <c r="S21" s="63">
        <v>7</v>
      </c>
      <c r="T21" s="64">
        <v>343</v>
      </c>
      <c r="U21" s="46">
        <v>300</v>
      </c>
      <c r="V21" s="41">
        <v>508328</v>
      </c>
      <c r="W21" s="173">
        <v>351.93811869501582</v>
      </c>
      <c r="X21" s="173">
        <f t="shared" si="3"/>
        <v>59.017012637509637</v>
      </c>
      <c r="Z21" s="304"/>
      <c r="AD21" s="56" t="s">
        <v>36</v>
      </c>
      <c r="AE21" s="613">
        <v>440.57142857142856</v>
      </c>
      <c r="AF21" s="613">
        <v>460.71428571428572</v>
      </c>
      <c r="AG21" s="613">
        <v>490.42857142857144</v>
      </c>
      <c r="AH21" s="613">
        <v>517.57142857142856</v>
      </c>
      <c r="AI21" s="613">
        <v>509</v>
      </c>
      <c r="AJ21" s="613">
        <v>473.71428571428572</v>
      </c>
      <c r="AK21" s="613">
        <v>458.85714285714283</v>
      </c>
      <c r="AL21" s="613">
        <v>425.85714285714283</v>
      </c>
      <c r="AM21" s="615">
        <f t="shared" si="0"/>
        <v>-3.3398184176394285E-2</v>
      </c>
    </row>
    <row r="22" spans="1:39" s="46" customFormat="1" ht="27.95" customHeight="1" x14ac:dyDescent="0.25">
      <c r="A22" s="62"/>
      <c r="B22" s="62"/>
      <c r="C22" s="56" t="s">
        <v>37</v>
      </c>
      <c r="D22" s="47">
        <v>60</v>
      </c>
      <c r="E22" s="47">
        <v>805</v>
      </c>
      <c r="F22" s="48">
        <f t="shared" si="1"/>
        <v>12.416666666666666</v>
      </c>
      <c r="G22" s="47">
        <v>2626</v>
      </c>
      <c r="H22" s="55">
        <f t="shared" si="2"/>
        <v>2.2621118012422361</v>
      </c>
      <c r="I22" s="62"/>
      <c r="J22" s="62"/>
      <c r="K22" s="62"/>
      <c r="L22" s="62"/>
      <c r="M22" s="56" t="s">
        <v>37</v>
      </c>
      <c r="N22" s="173">
        <v>692.64803198267418</v>
      </c>
      <c r="O22" s="193">
        <v>0.75364474858673014</v>
      </c>
      <c r="P22" s="593">
        <v>162.57142857142858</v>
      </c>
      <c r="Q22" s="186"/>
      <c r="R22" s="171">
        <v>31645</v>
      </c>
      <c r="S22" s="63">
        <v>1</v>
      </c>
      <c r="T22" s="64">
        <v>484</v>
      </c>
      <c r="U22" s="46">
        <v>167</v>
      </c>
      <c r="V22" s="41">
        <v>365698</v>
      </c>
      <c r="W22" s="173">
        <v>537.87551476901706</v>
      </c>
      <c r="X22" s="173">
        <f t="shared" si="3"/>
        <v>45.666096068340543</v>
      </c>
      <c r="Z22" s="304"/>
      <c r="AD22" s="56" t="s">
        <v>37</v>
      </c>
      <c r="AE22" s="613">
        <v>227.85714285714286</v>
      </c>
      <c r="AF22" s="613">
        <v>228.85714285714286</v>
      </c>
      <c r="AG22" s="613">
        <v>210.85714285714286</v>
      </c>
      <c r="AH22" s="613">
        <v>213.28571428571428</v>
      </c>
      <c r="AI22" s="613">
        <v>212.28571428571428</v>
      </c>
      <c r="AJ22" s="613">
        <v>225.85714285714286</v>
      </c>
      <c r="AK22" s="613">
        <v>221.85714285714286</v>
      </c>
      <c r="AL22" s="613">
        <v>243.71428571428572</v>
      </c>
      <c r="AM22" s="614">
        <f t="shared" si="0"/>
        <v>6.9592476489028332E-2</v>
      </c>
    </row>
    <row r="23" spans="1:39" s="46" customFormat="1" ht="27.95" customHeight="1" x14ac:dyDescent="0.25">
      <c r="A23" s="62"/>
      <c r="B23" s="62"/>
      <c r="C23" s="56" t="s">
        <v>22</v>
      </c>
      <c r="D23" s="47">
        <v>486</v>
      </c>
      <c r="E23" s="47">
        <v>2276</v>
      </c>
      <c r="F23" s="48">
        <f t="shared" si="1"/>
        <v>3.6831275720164611</v>
      </c>
      <c r="G23" s="47">
        <v>15743</v>
      </c>
      <c r="H23" s="55">
        <f t="shared" si="2"/>
        <v>5.9169595782073809</v>
      </c>
      <c r="I23" s="62"/>
      <c r="J23" s="62"/>
      <c r="K23" s="62"/>
      <c r="L23" s="62"/>
      <c r="M23" s="56" t="s">
        <v>22</v>
      </c>
      <c r="N23" s="173">
        <v>1114.5741255699977</v>
      </c>
      <c r="O23" s="193">
        <v>1.1299162940029812</v>
      </c>
      <c r="P23" s="593">
        <v>2436.5714285714284</v>
      </c>
      <c r="Q23" s="186"/>
      <c r="R23" s="171">
        <v>202107</v>
      </c>
      <c r="S23" s="63">
        <v>32</v>
      </c>
      <c r="T23" s="64">
        <v>3338</v>
      </c>
      <c r="U23" s="46">
        <v>482</v>
      </c>
      <c r="V23" s="41">
        <v>3536418</v>
      </c>
      <c r="W23" s="173">
        <v>175.03586962853373</v>
      </c>
      <c r="X23" s="173">
        <f t="shared" si="3"/>
        <v>13.629610526809898</v>
      </c>
      <c r="Z23" s="304"/>
      <c r="AD23" s="56" t="s">
        <v>22</v>
      </c>
      <c r="AE23" s="613">
        <v>1762.4285714285713</v>
      </c>
      <c r="AF23" s="613">
        <v>1759</v>
      </c>
      <c r="AG23" s="613">
        <v>1785.4285714285713</v>
      </c>
      <c r="AH23" s="613">
        <v>1820.7142857142858</v>
      </c>
      <c r="AI23" s="613">
        <v>1912.2857142857142</v>
      </c>
      <c r="AJ23" s="613">
        <v>1986.4285714285713</v>
      </c>
      <c r="AK23" s="613">
        <v>2038</v>
      </c>
      <c r="AL23" s="613">
        <v>2196.5714285714284</v>
      </c>
      <c r="AM23" s="614">
        <f t="shared" si="0"/>
        <v>0.24633217151657605</v>
      </c>
    </row>
    <row r="24" spans="1:39" s="46" customFormat="1" ht="27.95" customHeight="1" x14ac:dyDescent="0.25">
      <c r="A24" s="62"/>
      <c r="B24" s="62"/>
      <c r="C24" s="56" t="s">
        <v>102</v>
      </c>
      <c r="D24" s="47">
        <v>36</v>
      </c>
      <c r="E24" s="47">
        <v>138</v>
      </c>
      <c r="F24" s="48">
        <f t="shared" si="1"/>
        <v>2.8333333333333335</v>
      </c>
      <c r="G24" s="47">
        <v>1558</v>
      </c>
      <c r="H24" s="55">
        <f t="shared" si="2"/>
        <v>10.289855072463768</v>
      </c>
      <c r="I24" s="62"/>
      <c r="J24" s="62"/>
      <c r="K24" s="62"/>
      <c r="L24" s="62"/>
      <c r="M24" s="56" t="s">
        <v>38</v>
      </c>
      <c r="N24" s="173">
        <v>789.42015489930111</v>
      </c>
      <c r="O24" s="193">
        <v>1.0315213035928943</v>
      </c>
      <c r="P24" s="593">
        <v>568.85714285714289</v>
      </c>
      <c r="Q24" s="186"/>
      <c r="R24" s="171">
        <v>20472</v>
      </c>
      <c r="S24" s="63"/>
      <c r="T24" s="64">
        <v>246</v>
      </c>
      <c r="U24" s="46">
        <v>84</v>
      </c>
      <c r="V24" s="41">
        <v>978313</v>
      </c>
      <c r="W24" s="173">
        <v>78.809133682165111</v>
      </c>
      <c r="X24" s="173">
        <f t="shared" si="3"/>
        <v>8.5862091171230475</v>
      </c>
      <c r="Z24" s="304"/>
      <c r="AD24" s="56" t="s">
        <v>38</v>
      </c>
      <c r="AE24" s="613">
        <v>278.28571428571428</v>
      </c>
      <c r="AF24" s="613">
        <v>290.85714285714283</v>
      </c>
      <c r="AG24" s="613">
        <v>299.14285714285717</v>
      </c>
      <c r="AH24" s="613">
        <v>314.14285714285717</v>
      </c>
      <c r="AI24" s="613">
        <v>343.85714285714283</v>
      </c>
      <c r="AJ24" s="613">
        <v>360.28571428571428</v>
      </c>
      <c r="AK24" s="613">
        <v>389.71428571428572</v>
      </c>
      <c r="AL24" s="613">
        <v>420.57142857142856</v>
      </c>
      <c r="AM24" s="614">
        <f t="shared" si="0"/>
        <v>0.51129363449691989</v>
      </c>
    </row>
    <row r="25" spans="1:39" s="46" customFormat="1" ht="27.95" customHeight="1" x14ac:dyDescent="0.25">
      <c r="A25" s="62"/>
      <c r="B25" s="62"/>
      <c r="C25" s="56" t="s">
        <v>39</v>
      </c>
      <c r="D25" s="47">
        <v>155</v>
      </c>
      <c r="E25" s="47">
        <v>1055</v>
      </c>
      <c r="F25" s="48">
        <f t="shared" si="1"/>
        <v>5.806451612903226</v>
      </c>
      <c r="G25" s="47">
        <v>2592</v>
      </c>
      <c r="H25" s="55">
        <f t="shared" si="2"/>
        <v>1.456872037914692</v>
      </c>
      <c r="I25" s="62"/>
      <c r="J25" s="62"/>
      <c r="K25" s="62"/>
      <c r="L25" s="62"/>
      <c r="M25" s="56" t="s">
        <v>39</v>
      </c>
      <c r="N25" s="173">
        <v>398.12249052762542</v>
      </c>
      <c r="O25" s="193">
        <v>0.7191011235955056</v>
      </c>
      <c r="P25" s="593">
        <v>45.714285714285715</v>
      </c>
      <c r="Q25" s="186"/>
      <c r="R25" s="171">
        <v>21520</v>
      </c>
      <c r="S25" s="63">
        <v>2</v>
      </c>
      <c r="T25" s="64">
        <v>324</v>
      </c>
      <c r="U25" s="46">
        <v>130</v>
      </c>
      <c r="V25" s="41">
        <v>176830</v>
      </c>
      <c r="W25" s="173">
        <v>359.10196233670757</v>
      </c>
      <c r="X25" s="173">
        <f t="shared" si="3"/>
        <v>73.516937171294458</v>
      </c>
      <c r="Z25" s="304"/>
      <c r="AD25" s="56" t="s">
        <v>39</v>
      </c>
      <c r="AE25" s="613">
        <v>70.142857142857139</v>
      </c>
      <c r="AF25" s="613">
        <v>68.714285714285708</v>
      </c>
      <c r="AG25" s="613">
        <v>72.857142857142861</v>
      </c>
      <c r="AH25" s="613">
        <v>71.142857142857139</v>
      </c>
      <c r="AI25" s="613">
        <v>69.428571428571431</v>
      </c>
      <c r="AJ25" s="613">
        <v>73.285714285714292</v>
      </c>
      <c r="AK25" s="613">
        <v>74.428571428571431</v>
      </c>
      <c r="AL25" s="613">
        <v>72.714285714285708</v>
      </c>
      <c r="AM25" s="614">
        <f t="shared" si="0"/>
        <v>3.6659877800407248E-2</v>
      </c>
    </row>
    <row r="26" spans="1:39" s="46" customFormat="1" ht="27.95" customHeight="1" thickBot="1" x14ac:dyDescent="0.3">
      <c r="A26" s="62"/>
      <c r="B26" s="62"/>
      <c r="C26" s="57" t="s">
        <v>40</v>
      </c>
      <c r="D26" s="60">
        <v>91</v>
      </c>
      <c r="E26" s="60">
        <v>426</v>
      </c>
      <c r="F26" s="58">
        <f t="shared" si="1"/>
        <v>3.6813186813186811</v>
      </c>
      <c r="G26" s="60">
        <v>5419</v>
      </c>
      <c r="H26" s="59">
        <f t="shared" si="2"/>
        <v>11.720657276995306</v>
      </c>
      <c r="I26" s="62"/>
      <c r="J26" s="62"/>
      <c r="K26" s="62"/>
      <c r="L26" s="62"/>
      <c r="M26" s="57" t="s">
        <v>40</v>
      </c>
      <c r="N26" s="594">
        <v>828.72276143358886</v>
      </c>
      <c r="O26" s="595">
        <v>1.2147738084940749</v>
      </c>
      <c r="P26" s="596">
        <v>870.42857142857144</v>
      </c>
      <c r="Q26" s="186"/>
      <c r="R26" s="172">
        <v>75423</v>
      </c>
      <c r="S26" s="65"/>
      <c r="T26" s="66">
        <v>1418</v>
      </c>
      <c r="U26" s="46">
        <v>139</v>
      </c>
      <c r="V26" s="41">
        <v>1694656</v>
      </c>
      <c r="W26" s="173">
        <v>55.881547641527249</v>
      </c>
      <c r="X26" s="173">
        <f t="shared" si="3"/>
        <v>8.2022546168661954</v>
      </c>
      <c r="Z26" s="304"/>
      <c r="AD26" s="56" t="s">
        <v>40</v>
      </c>
      <c r="AE26" s="613">
        <v>534.14285714285711</v>
      </c>
      <c r="AF26" s="613">
        <v>550.57142857142856</v>
      </c>
      <c r="AG26" s="613">
        <v>576.71428571428567</v>
      </c>
      <c r="AH26" s="613">
        <v>588.28571428571433</v>
      </c>
      <c r="AI26" s="613">
        <v>614.85714285714289</v>
      </c>
      <c r="AJ26" s="613">
        <v>622.14285714285711</v>
      </c>
      <c r="AK26" s="613">
        <v>682.71428571428567</v>
      </c>
      <c r="AL26" s="613">
        <v>721</v>
      </c>
      <c r="AM26" s="614">
        <f>AL26/AE26-1</f>
        <v>0.34982615672639761</v>
      </c>
    </row>
    <row r="27" spans="1:39" s="61" customFormat="1" x14ac:dyDescent="0.25">
      <c r="D27" s="62"/>
      <c r="E27" s="62"/>
      <c r="F27" s="62"/>
      <c r="G27" s="62"/>
      <c r="H27" s="62"/>
      <c r="N27" s="62"/>
      <c r="O27" s="62"/>
      <c r="P27" s="62"/>
      <c r="Q27" s="62"/>
      <c r="R27" s="62"/>
      <c r="S27" s="62"/>
      <c r="T27" s="62"/>
      <c r="Z27" s="302"/>
      <c r="AB27" s="46"/>
    </row>
    <row r="28" spans="1:39" s="61" customFormat="1" x14ac:dyDescent="0.25">
      <c r="D28" s="62"/>
      <c r="E28" s="62"/>
      <c r="F28" s="62"/>
      <c r="G28" s="62"/>
      <c r="H28" s="62"/>
      <c r="N28" s="62"/>
      <c r="O28" s="62"/>
      <c r="P28" s="62"/>
      <c r="Q28" s="62"/>
      <c r="R28" s="62"/>
      <c r="S28" s="62"/>
      <c r="T28" s="62"/>
      <c r="Z28" s="302"/>
      <c r="AB28" s="46"/>
    </row>
    <row r="29" spans="1:39" s="61" customFormat="1" x14ac:dyDescent="0.25">
      <c r="D29" s="62"/>
      <c r="E29" s="62"/>
      <c r="F29" s="62"/>
      <c r="G29" s="62"/>
      <c r="H29" s="62"/>
      <c r="N29" s="62"/>
      <c r="O29" s="62"/>
      <c r="P29" s="62"/>
      <c r="Q29" s="62"/>
      <c r="R29" s="62"/>
      <c r="S29" s="62"/>
      <c r="T29" s="62"/>
      <c r="Z29" s="302"/>
      <c r="AB29" s="46"/>
    </row>
    <row r="30" spans="1:39" s="61" customFormat="1" x14ac:dyDescent="0.25">
      <c r="D30" s="62"/>
      <c r="E30" s="62"/>
      <c r="F30" s="62"/>
      <c r="G30" s="62"/>
      <c r="H30" s="62"/>
      <c r="N30" s="62"/>
      <c r="O30" s="62"/>
      <c r="P30" s="62"/>
      <c r="Q30" s="62"/>
      <c r="R30" s="62"/>
      <c r="S30" s="62"/>
      <c r="T30" s="62"/>
      <c r="Z30" s="302"/>
      <c r="AB30" s="46"/>
    </row>
    <row r="31" spans="1:39" s="61" customFormat="1" x14ac:dyDescent="0.25">
      <c r="D31" s="62"/>
      <c r="E31" s="62"/>
      <c r="F31" s="62"/>
      <c r="G31" s="62"/>
      <c r="H31" s="62"/>
      <c r="N31" s="62"/>
      <c r="O31" s="62"/>
      <c r="P31" s="62"/>
      <c r="Q31" s="62"/>
      <c r="R31" s="62"/>
      <c r="S31" s="62"/>
      <c r="T31" s="62"/>
      <c r="Z31" s="302"/>
      <c r="AB31" s="46"/>
    </row>
    <row r="32" spans="1:39" s="61" customFormat="1" x14ac:dyDescent="0.25">
      <c r="D32" s="62"/>
      <c r="E32" s="62"/>
      <c r="F32" s="62"/>
      <c r="G32" s="62"/>
      <c r="H32" s="62"/>
      <c r="Z32" s="302"/>
      <c r="AB32" s="46"/>
    </row>
    <row r="33" spans="3:28" s="61" customFormat="1" x14ac:dyDescent="0.25">
      <c r="D33" s="62"/>
      <c r="E33" s="62"/>
      <c r="F33" s="62"/>
      <c r="G33" s="62"/>
      <c r="H33" s="62"/>
      <c r="Z33" s="302"/>
      <c r="AB33" s="46"/>
    </row>
    <row r="34" spans="3:28" s="61" customFormat="1" x14ac:dyDescent="0.25">
      <c r="D34" s="62"/>
      <c r="E34" s="62"/>
      <c r="F34" s="62"/>
      <c r="G34" s="62"/>
      <c r="H34" s="62"/>
      <c r="Z34" s="302"/>
      <c r="AB34" s="46"/>
    </row>
    <row r="35" spans="3:28" s="61" customFormat="1" x14ac:dyDescent="0.25">
      <c r="C35" s="181">
        <f xml:space="preserve"> 0.0139*(23)^5 - 0.1948*(23)^4 - 12.841*(23)^3 + 330.39*(23)^2 - 2570*(23) + 14696</f>
        <v>9078.0039000000106</v>
      </c>
      <c r="D35" s="62"/>
      <c r="E35" s="62"/>
      <c r="F35" s="62"/>
      <c r="G35" s="62"/>
      <c r="H35" s="62"/>
      <c r="Z35" s="302"/>
      <c r="AB35" s="46"/>
    </row>
    <row r="36" spans="3:28" s="61" customFormat="1" x14ac:dyDescent="0.25">
      <c r="C36" s="181" t="s">
        <v>116</v>
      </c>
      <c r="D36" s="62"/>
      <c r="E36" s="62"/>
      <c r="F36" s="62"/>
      <c r="G36" s="62"/>
      <c r="H36" s="62"/>
      <c r="Z36" s="302"/>
      <c r="AB36" s="46"/>
    </row>
    <row r="37" spans="3:28" s="61" customFormat="1" x14ac:dyDescent="0.25">
      <c r="D37" s="62"/>
      <c r="E37" s="62"/>
      <c r="F37" s="62"/>
      <c r="G37" s="62"/>
      <c r="H37" s="62"/>
      <c r="Z37" s="302"/>
      <c r="AB37" s="46"/>
    </row>
    <row r="38" spans="3:28" s="61" customFormat="1" x14ac:dyDescent="0.25">
      <c r="D38" s="62"/>
      <c r="E38" s="62"/>
      <c r="F38" s="62"/>
      <c r="G38" s="62"/>
      <c r="H38" s="62"/>
      <c r="Z38" s="302"/>
      <c r="AB38" s="46"/>
    </row>
    <row r="39" spans="3:28" s="61" customFormat="1" x14ac:dyDescent="0.25">
      <c r="D39" s="62"/>
      <c r="E39" s="62"/>
      <c r="F39" s="62"/>
      <c r="G39" s="62"/>
      <c r="H39" s="62"/>
      <c r="Z39" s="302"/>
      <c r="AB39" s="46"/>
    </row>
    <row r="40" spans="3:28" s="61" customFormat="1" x14ac:dyDescent="0.25">
      <c r="D40" s="62"/>
      <c r="E40" s="62"/>
      <c r="F40" s="62"/>
      <c r="G40" s="62"/>
      <c r="H40" s="62"/>
      <c r="Z40" s="302"/>
      <c r="AB40" s="46"/>
    </row>
    <row r="41" spans="3:28" x14ac:dyDescent="0.25">
      <c r="AB41" s="46"/>
    </row>
    <row r="42" spans="3:28" x14ac:dyDescent="0.25">
      <c r="AB42" s="46"/>
    </row>
    <row r="43" spans="3:28" x14ac:dyDescent="0.25">
      <c r="AB43" s="46"/>
    </row>
    <row r="44" spans="3:28" x14ac:dyDescent="0.25">
      <c r="AB44" s="46"/>
    </row>
    <row r="45" spans="3:28" x14ac:dyDescent="0.25">
      <c r="AB45" s="46"/>
    </row>
    <row r="46" spans="3:28" x14ac:dyDescent="0.25">
      <c r="AB46" s="46"/>
    </row>
    <row r="47" spans="3:28" x14ac:dyDescent="0.25">
      <c r="AB47" s="46"/>
    </row>
    <row r="48" spans="3:28" x14ac:dyDescent="0.25">
      <c r="AB48" s="46"/>
    </row>
    <row r="49" spans="28:28" x14ac:dyDescent="0.25">
      <c r="AB49" s="46"/>
    </row>
    <row r="50" spans="28:28" x14ac:dyDescent="0.25">
      <c r="AB50" s="46"/>
    </row>
    <row r="51" spans="28:28" x14ac:dyDescent="0.25">
      <c r="AB51" s="46"/>
    </row>
    <row r="52" spans="28:28" x14ac:dyDescent="0.25">
      <c r="AB52" s="46"/>
    </row>
    <row r="53" spans="28:28" x14ac:dyDescent="0.25">
      <c r="AB53" s="46"/>
    </row>
    <row r="54" spans="28:28" x14ac:dyDescent="0.25">
      <c r="AB54" s="46"/>
    </row>
    <row r="55" spans="28:28" x14ac:dyDescent="0.25">
      <c r="AB55" s="46"/>
    </row>
    <row r="56" spans="28:28" x14ac:dyDescent="0.25">
      <c r="AB56" s="46"/>
    </row>
    <row r="57" spans="28:28" x14ac:dyDescent="0.25">
      <c r="AB57" s="46"/>
    </row>
    <row r="58" spans="28:28" x14ac:dyDescent="0.25">
      <c r="AB58" s="46"/>
    </row>
    <row r="59" spans="28:28" x14ac:dyDescent="0.25">
      <c r="AB59" s="46"/>
    </row>
    <row r="60" spans="28:28" x14ac:dyDescent="0.25">
      <c r="AB60" s="46"/>
    </row>
    <row r="61" spans="28:28" x14ac:dyDescent="0.25">
      <c r="AB61" s="46"/>
    </row>
    <row r="62" spans="28:28" x14ac:dyDescent="0.25">
      <c r="AB62" s="46"/>
    </row>
    <row r="63" spans="28:28" x14ac:dyDescent="0.25">
      <c r="AB63" s="46"/>
    </row>
    <row r="64" spans="28:28" x14ac:dyDescent="0.25">
      <c r="AB64" s="46"/>
    </row>
    <row r="65" spans="28:28" x14ac:dyDescent="0.25">
      <c r="AB65" s="46"/>
    </row>
    <row r="66" spans="28:28" x14ac:dyDescent="0.25">
      <c r="AB66" s="46"/>
    </row>
    <row r="67" spans="28:28" x14ac:dyDescent="0.25">
      <c r="AB67" s="46"/>
    </row>
    <row r="68" spans="28:28" x14ac:dyDescent="0.25">
      <c r="AB68" s="46"/>
    </row>
    <row r="69" spans="28:28" x14ac:dyDescent="0.25">
      <c r="AB69" s="46"/>
    </row>
    <row r="70" spans="28:28" x14ac:dyDescent="0.25">
      <c r="AB70" s="46"/>
    </row>
    <row r="71" spans="28:28" x14ac:dyDescent="0.25">
      <c r="AB71" s="46"/>
    </row>
    <row r="72" spans="28:28" x14ac:dyDescent="0.25">
      <c r="AB72" s="46"/>
    </row>
    <row r="73" spans="28:28" x14ac:dyDescent="0.25">
      <c r="AB73" s="46"/>
    </row>
    <row r="74" spans="28:28" x14ac:dyDescent="0.25">
      <c r="AB74" s="46"/>
    </row>
    <row r="75" spans="28:28" x14ac:dyDescent="0.25">
      <c r="AB75" s="46"/>
    </row>
    <row r="76" spans="28:28" x14ac:dyDescent="0.25">
      <c r="AB76" s="46"/>
    </row>
    <row r="77" spans="28:28" x14ac:dyDescent="0.25">
      <c r="AB77" s="46"/>
    </row>
    <row r="78" spans="28:28" x14ac:dyDescent="0.25">
      <c r="AB78" s="46"/>
    </row>
    <row r="79" spans="28:28" x14ac:dyDescent="0.25">
      <c r="AB79" s="46"/>
    </row>
    <row r="80" spans="28:28" x14ac:dyDescent="0.25">
      <c r="AB80" s="46"/>
    </row>
    <row r="81" spans="28:28" x14ac:dyDescent="0.25">
      <c r="AB81" s="46"/>
    </row>
    <row r="82" spans="28:28" x14ac:dyDescent="0.25">
      <c r="AB82" s="46"/>
    </row>
    <row r="83" spans="28:28" x14ac:dyDescent="0.25">
      <c r="AB83" s="46"/>
    </row>
    <row r="84" spans="28:28" x14ac:dyDescent="0.25">
      <c r="AB84" s="46"/>
    </row>
    <row r="85" spans="28:28" x14ac:dyDescent="0.25">
      <c r="AB85" s="46"/>
    </row>
    <row r="86" spans="28:28" x14ac:dyDescent="0.25">
      <c r="AB86" s="46"/>
    </row>
    <row r="87" spans="28:28" x14ac:dyDescent="0.25">
      <c r="AB87" s="46"/>
    </row>
    <row r="88" spans="28:28" x14ac:dyDescent="0.25">
      <c r="AB88" s="46"/>
    </row>
    <row r="89" spans="28:28" x14ac:dyDescent="0.25">
      <c r="AB89" s="46"/>
    </row>
    <row r="90" spans="28:28" x14ac:dyDescent="0.25">
      <c r="AB90" s="46"/>
    </row>
    <row r="91" spans="28:28" x14ac:dyDescent="0.25">
      <c r="AB91" s="46"/>
    </row>
    <row r="92" spans="28:28" x14ac:dyDescent="0.25">
      <c r="AB92" s="46"/>
    </row>
    <row r="93" spans="28:28" x14ac:dyDescent="0.25">
      <c r="AB93" s="46"/>
    </row>
    <row r="94" spans="28:28" x14ac:dyDescent="0.25">
      <c r="AB94" s="46"/>
    </row>
    <row r="95" spans="28:28" x14ac:dyDescent="0.25">
      <c r="AB95" s="46"/>
    </row>
    <row r="96" spans="28:28" x14ac:dyDescent="0.25">
      <c r="AB96" s="46"/>
    </row>
    <row r="97" spans="28:28" x14ac:dyDescent="0.25">
      <c r="AB97" s="46"/>
    </row>
    <row r="98" spans="28:28" x14ac:dyDescent="0.25">
      <c r="AB98" s="46"/>
    </row>
    <row r="99" spans="28:28" x14ac:dyDescent="0.25">
      <c r="AB99" s="46"/>
    </row>
    <row r="100" spans="28:28" x14ac:dyDescent="0.25">
      <c r="AB100" s="46"/>
    </row>
    <row r="101" spans="28:28" x14ac:dyDescent="0.25">
      <c r="AB101" s="46"/>
    </row>
    <row r="102" spans="28:28" x14ac:dyDescent="0.25">
      <c r="AB102" s="46"/>
    </row>
    <row r="103" spans="28:28" x14ac:dyDescent="0.25">
      <c r="AB103" s="46"/>
    </row>
    <row r="104" spans="28:28" x14ac:dyDescent="0.25">
      <c r="AB104" s="46"/>
    </row>
    <row r="105" spans="28:28" x14ac:dyDescent="0.25">
      <c r="AB105" s="46"/>
    </row>
    <row r="106" spans="28:28" x14ac:dyDescent="0.25">
      <c r="AB106" s="46"/>
    </row>
    <row r="107" spans="28:28" x14ac:dyDescent="0.25">
      <c r="AB107" s="46"/>
    </row>
    <row r="108" spans="28:28" x14ac:dyDescent="0.25">
      <c r="AB108" s="46"/>
    </row>
    <row r="109" spans="28:28" x14ac:dyDescent="0.25">
      <c r="AB109" s="46"/>
    </row>
    <row r="110" spans="28:28" x14ac:dyDescent="0.25">
      <c r="AB110" s="46"/>
    </row>
    <row r="111" spans="28:28" x14ac:dyDescent="0.25">
      <c r="AB111" s="46"/>
    </row>
    <row r="112" spans="28:28" x14ac:dyDescent="0.25">
      <c r="AB112" s="46"/>
    </row>
    <row r="113" spans="28:28" x14ac:dyDescent="0.25">
      <c r="AB113" s="46"/>
    </row>
    <row r="114" spans="28:28" x14ac:dyDescent="0.25">
      <c r="AB114" s="46"/>
    </row>
    <row r="115" spans="28:28" x14ac:dyDescent="0.25">
      <c r="AB115" s="46"/>
    </row>
    <row r="116" spans="28:28" x14ac:dyDescent="0.25">
      <c r="AB116" s="46"/>
    </row>
    <row r="117" spans="28:28" x14ac:dyDescent="0.25">
      <c r="AB117" s="46"/>
    </row>
    <row r="118" spans="28:28" x14ac:dyDescent="0.25">
      <c r="AB118" s="46"/>
    </row>
    <row r="119" spans="28:28" x14ac:dyDescent="0.25">
      <c r="AB119" s="46"/>
    </row>
    <row r="120" spans="28:28" x14ac:dyDescent="0.25">
      <c r="AB120" s="46"/>
    </row>
    <row r="121" spans="28:28" x14ac:dyDescent="0.25">
      <c r="AB121" s="46"/>
    </row>
    <row r="122" spans="28:28" x14ac:dyDescent="0.25">
      <c r="AB122" s="46"/>
    </row>
    <row r="123" spans="28:28" x14ac:dyDescent="0.25">
      <c r="AB123" s="46"/>
    </row>
    <row r="124" spans="28:28" x14ac:dyDescent="0.25">
      <c r="AB124" s="46"/>
    </row>
    <row r="125" spans="28:28" x14ac:dyDescent="0.25">
      <c r="AB125" s="46"/>
    </row>
    <row r="126" spans="28:28" x14ac:dyDescent="0.25">
      <c r="AB126" s="46"/>
    </row>
    <row r="127" spans="28:28" x14ac:dyDescent="0.25">
      <c r="AB127" s="46"/>
    </row>
    <row r="128" spans="28:28" x14ac:dyDescent="0.25">
      <c r="AB128" s="46"/>
    </row>
    <row r="129" spans="28:28" x14ac:dyDescent="0.25">
      <c r="AB129" s="46"/>
    </row>
    <row r="130" spans="28:28" x14ac:dyDescent="0.25">
      <c r="AB130" s="46"/>
    </row>
    <row r="131" spans="28:28" x14ac:dyDescent="0.25">
      <c r="AB131" s="46"/>
    </row>
    <row r="132" spans="28:28" x14ac:dyDescent="0.25">
      <c r="AB132" s="46"/>
    </row>
    <row r="133" spans="28:28" x14ac:dyDescent="0.25">
      <c r="AB133" s="46"/>
    </row>
    <row r="134" spans="28:28" x14ac:dyDescent="0.25">
      <c r="AB134" s="46"/>
    </row>
    <row r="135" spans="28:28" x14ac:dyDescent="0.25">
      <c r="AB135" s="46"/>
    </row>
    <row r="136" spans="28:28" x14ac:dyDescent="0.25">
      <c r="AB136" s="46"/>
    </row>
    <row r="137" spans="28:28" x14ac:dyDescent="0.25">
      <c r="AB137" s="46"/>
    </row>
    <row r="138" spans="28:28" x14ac:dyDescent="0.25">
      <c r="AB138" s="46"/>
    </row>
    <row r="139" spans="28:28" x14ac:dyDescent="0.25">
      <c r="AB139" s="46"/>
    </row>
    <row r="140" spans="28:28" x14ac:dyDescent="0.25">
      <c r="AB140" s="46"/>
    </row>
    <row r="141" spans="28:28" x14ac:dyDescent="0.25">
      <c r="AB141" s="46"/>
    </row>
    <row r="142" spans="28:28" x14ac:dyDescent="0.25">
      <c r="AB142" s="46"/>
    </row>
    <row r="143" spans="28:28" x14ac:dyDescent="0.25">
      <c r="AB143" s="46"/>
    </row>
    <row r="144" spans="28:28" x14ac:dyDescent="0.25">
      <c r="AB144" s="46"/>
    </row>
    <row r="145" spans="28:28" x14ac:dyDescent="0.25">
      <c r="AB145" s="46"/>
    </row>
    <row r="146" spans="28:28" x14ac:dyDescent="0.25">
      <c r="AB146" s="46"/>
    </row>
    <row r="147" spans="28:28" x14ac:dyDescent="0.25">
      <c r="AB147" s="46"/>
    </row>
    <row r="148" spans="28:28" x14ac:dyDescent="0.25">
      <c r="AB148" s="46"/>
    </row>
    <row r="149" spans="28:28" x14ac:dyDescent="0.25">
      <c r="AB149" s="46"/>
    </row>
    <row r="150" spans="28:28" x14ac:dyDescent="0.25">
      <c r="AB150" s="46"/>
    </row>
    <row r="151" spans="28:28" x14ac:dyDescent="0.25">
      <c r="AB151" s="46"/>
    </row>
    <row r="152" spans="28:28" x14ac:dyDescent="0.25">
      <c r="AB152" s="46"/>
    </row>
    <row r="153" spans="28:28" x14ac:dyDescent="0.25">
      <c r="AB153" s="46"/>
    </row>
    <row r="154" spans="28:28" x14ac:dyDescent="0.25">
      <c r="AB154" s="46"/>
    </row>
    <row r="155" spans="28:28" x14ac:dyDescent="0.25">
      <c r="AB155" s="46"/>
    </row>
    <row r="156" spans="28:28" x14ac:dyDescent="0.25">
      <c r="AB156" s="46"/>
    </row>
    <row r="157" spans="28:28" x14ac:dyDescent="0.25">
      <c r="AB157" s="46"/>
    </row>
    <row r="158" spans="28:28" x14ac:dyDescent="0.25">
      <c r="AB158" s="46"/>
    </row>
    <row r="159" spans="28:28" x14ac:dyDescent="0.25">
      <c r="AB159" s="46"/>
    </row>
    <row r="160" spans="28:28" x14ac:dyDescent="0.25">
      <c r="AB160" s="46"/>
    </row>
    <row r="161" spans="28:28" x14ac:dyDescent="0.25">
      <c r="AB161" s="46"/>
    </row>
    <row r="162" spans="28:28" x14ac:dyDescent="0.25">
      <c r="AB162" s="46"/>
    </row>
    <row r="163" spans="28:28" x14ac:dyDescent="0.25">
      <c r="AB163" s="46"/>
    </row>
    <row r="164" spans="28:28" x14ac:dyDescent="0.25">
      <c r="AB164" s="46"/>
    </row>
    <row r="165" spans="28:28" x14ac:dyDescent="0.25">
      <c r="AB165" s="46"/>
    </row>
    <row r="166" spans="28:28" x14ac:dyDescent="0.25">
      <c r="AB166" s="46"/>
    </row>
    <row r="167" spans="28:28" x14ac:dyDescent="0.25">
      <c r="AB167" s="46"/>
    </row>
    <row r="168" spans="28:28" x14ac:dyDescent="0.25">
      <c r="AB168" s="46"/>
    </row>
    <row r="169" spans="28:28" x14ac:dyDescent="0.25">
      <c r="AB169" s="46"/>
    </row>
    <row r="170" spans="28:28" x14ac:dyDescent="0.25">
      <c r="AB170" s="46"/>
    </row>
    <row r="171" spans="28:28" x14ac:dyDescent="0.25">
      <c r="AB171" s="46"/>
    </row>
    <row r="172" spans="28:28" x14ac:dyDescent="0.25">
      <c r="AB172" s="46"/>
    </row>
    <row r="173" spans="28:28" x14ac:dyDescent="0.25">
      <c r="AB173" s="46"/>
    </row>
    <row r="174" spans="28:28" x14ac:dyDescent="0.25">
      <c r="AB174" s="46"/>
    </row>
    <row r="175" spans="28:28" x14ac:dyDescent="0.25">
      <c r="AB175" s="46"/>
    </row>
    <row r="176" spans="28:28" x14ac:dyDescent="0.25">
      <c r="AB176" s="46"/>
    </row>
    <row r="177" spans="28:28" x14ac:dyDescent="0.25">
      <c r="AB177" s="46"/>
    </row>
    <row r="178" spans="28:28" x14ac:dyDescent="0.25">
      <c r="AB178" s="46"/>
    </row>
    <row r="179" spans="28:28" x14ac:dyDescent="0.25">
      <c r="AB179" s="46"/>
    </row>
    <row r="180" spans="28:28" x14ac:dyDescent="0.25">
      <c r="AB180" s="46"/>
    </row>
    <row r="181" spans="28:28" x14ac:dyDescent="0.25">
      <c r="AB181" s="46"/>
    </row>
    <row r="182" spans="28:28" x14ac:dyDescent="0.25">
      <c r="AB182" s="46"/>
    </row>
    <row r="183" spans="28:28" x14ac:dyDescent="0.25">
      <c r="AB183" s="46"/>
    </row>
    <row r="184" spans="28:28" x14ac:dyDescent="0.25">
      <c r="AB184" s="46"/>
    </row>
    <row r="185" spans="28:28" x14ac:dyDescent="0.25">
      <c r="AB185" s="46"/>
    </row>
    <row r="186" spans="28:28" x14ac:dyDescent="0.25">
      <c r="AB186" s="46"/>
    </row>
    <row r="187" spans="28:28" x14ac:dyDescent="0.25">
      <c r="AB187" s="46"/>
    </row>
    <row r="188" spans="28:28" x14ac:dyDescent="0.25">
      <c r="AB188" s="46"/>
    </row>
    <row r="189" spans="28:28" x14ac:dyDescent="0.25">
      <c r="AB189" s="46"/>
    </row>
    <row r="190" spans="28:28" x14ac:dyDescent="0.25">
      <c r="AB190" s="46"/>
    </row>
    <row r="191" spans="28:28" x14ac:dyDescent="0.25">
      <c r="AB191" s="46"/>
    </row>
    <row r="192" spans="28:28" x14ac:dyDescent="0.25">
      <c r="AB192" s="46"/>
    </row>
    <row r="193" spans="28:28" x14ac:dyDescent="0.25">
      <c r="AB193" s="46"/>
    </row>
    <row r="194" spans="28:28" x14ac:dyDescent="0.25">
      <c r="AB194" s="46"/>
    </row>
    <row r="195" spans="28:28" x14ac:dyDescent="0.25">
      <c r="AB195" s="46"/>
    </row>
    <row r="196" spans="28:28" x14ac:dyDescent="0.25">
      <c r="AB196" s="46"/>
    </row>
    <row r="197" spans="28:28" x14ac:dyDescent="0.25">
      <c r="AB197" s="46"/>
    </row>
    <row r="198" spans="28:28" x14ac:dyDescent="0.25">
      <c r="AB198" s="46"/>
    </row>
    <row r="199" spans="28:28" x14ac:dyDescent="0.25">
      <c r="AB199" s="46"/>
    </row>
    <row r="200" spans="28:28" x14ac:dyDescent="0.25">
      <c r="AB200" s="46"/>
    </row>
    <row r="201" spans="28:28" x14ac:dyDescent="0.25">
      <c r="AB201" s="46"/>
    </row>
    <row r="202" spans="28:28" x14ac:dyDescent="0.25">
      <c r="AB202" s="46"/>
    </row>
    <row r="203" spans="28:28" x14ac:dyDescent="0.25">
      <c r="AB203" s="46"/>
    </row>
    <row r="204" spans="28:28" x14ac:dyDescent="0.25">
      <c r="AB204" s="46"/>
    </row>
    <row r="205" spans="28:28" x14ac:dyDescent="0.25">
      <c r="AB205" s="46"/>
    </row>
    <row r="206" spans="28:28" x14ac:dyDescent="0.25">
      <c r="AB206" s="46"/>
    </row>
    <row r="207" spans="28:28" x14ac:dyDescent="0.25">
      <c r="AB207" s="46"/>
    </row>
    <row r="208" spans="28:28" x14ac:dyDescent="0.25">
      <c r="AB208" s="46"/>
    </row>
    <row r="209" spans="28:28" x14ac:dyDescent="0.25">
      <c r="AB209" s="46"/>
    </row>
    <row r="210" spans="28:28" x14ac:dyDescent="0.25">
      <c r="AB210" s="46"/>
    </row>
    <row r="211" spans="28:28" x14ac:dyDescent="0.25">
      <c r="AB211" s="46"/>
    </row>
    <row r="212" spans="28:28" x14ac:dyDescent="0.25">
      <c r="AB212" s="46"/>
    </row>
    <row r="213" spans="28:28" x14ac:dyDescent="0.25">
      <c r="AB213" s="46"/>
    </row>
    <row r="214" spans="28:28" x14ac:dyDescent="0.25">
      <c r="AB214" s="46"/>
    </row>
    <row r="215" spans="28:28" x14ac:dyDescent="0.25">
      <c r="AB215" s="46"/>
    </row>
    <row r="216" spans="28:28" x14ac:dyDescent="0.25">
      <c r="AB216" s="46"/>
    </row>
    <row r="217" spans="28:28" x14ac:dyDescent="0.25">
      <c r="AB217" s="46"/>
    </row>
    <row r="218" spans="28:28" x14ac:dyDescent="0.25">
      <c r="AB218" s="46"/>
    </row>
    <row r="219" spans="28:28" x14ac:dyDescent="0.25">
      <c r="AB219" s="46"/>
    </row>
    <row r="220" spans="28:28" x14ac:dyDescent="0.25">
      <c r="AB220" s="46"/>
    </row>
    <row r="221" spans="28:28" x14ac:dyDescent="0.25">
      <c r="AB221" s="46"/>
    </row>
    <row r="222" spans="28:28" x14ac:dyDescent="0.25">
      <c r="AB222" s="46"/>
    </row>
    <row r="223" spans="28:28" x14ac:dyDescent="0.25">
      <c r="AB223" s="46"/>
    </row>
    <row r="224" spans="28:28" x14ac:dyDescent="0.25">
      <c r="AB224" s="46"/>
    </row>
    <row r="225" spans="28:28" x14ac:dyDescent="0.25">
      <c r="AB225" s="46"/>
    </row>
    <row r="226" spans="28:28" x14ac:dyDescent="0.25">
      <c r="AB226" s="46"/>
    </row>
    <row r="227" spans="28:28" x14ac:dyDescent="0.25">
      <c r="AB227" s="46"/>
    </row>
    <row r="228" spans="28:28" x14ac:dyDescent="0.25">
      <c r="AB228" s="46"/>
    </row>
    <row r="229" spans="28:28" x14ac:dyDescent="0.25">
      <c r="AB229" s="46"/>
    </row>
    <row r="230" spans="28:28" x14ac:dyDescent="0.25">
      <c r="AB230" s="46"/>
    </row>
    <row r="231" spans="28:28" x14ac:dyDescent="0.25">
      <c r="AB231" s="46"/>
    </row>
    <row r="232" spans="28:28" x14ac:dyDescent="0.25">
      <c r="AB232" s="46"/>
    </row>
    <row r="233" spans="28:28" x14ac:dyDescent="0.25">
      <c r="AB233" s="46"/>
    </row>
    <row r="234" spans="28:28" x14ac:dyDescent="0.25">
      <c r="AB234" s="46"/>
    </row>
    <row r="235" spans="28:28" x14ac:dyDescent="0.25">
      <c r="AB235" s="46"/>
    </row>
    <row r="236" spans="28:28" x14ac:dyDescent="0.25">
      <c r="AB236" s="46"/>
    </row>
    <row r="237" spans="28:28" x14ac:dyDescent="0.25">
      <c r="AB237" s="46"/>
    </row>
    <row r="238" spans="28:28" x14ac:dyDescent="0.25">
      <c r="AB238" s="46"/>
    </row>
    <row r="239" spans="28:28" x14ac:dyDescent="0.25">
      <c r="AB239" s="46"/>
    </row>
    <row r="240" spans="28:28" x14ac:dyDescent="0.25">
      <c r="AB240" s="46"/>
    </row>
    <row r="241" spans="28:28" x14ac:dyDescent="0.25">
      <c r="AB241" s="46"/>
    </row>
    <row r="242" spans="28:28" x14ac:dyDescent="0.25">
      <c r="AB242" s="46"/>
    </row>
    <row r="243" spans="28:28" x14ac:dyDescent="0.25">
      <c r="AB243" s="46"/>
    </row>
    <row r="244" spans="28:28" x14ac:dyDescent="0.25">
      <c r="AB244" s="46"/>
    </row>
    <row r="245" spans="28:28" x14ac:dyDescent="0.25">
      <c r="AB245" s="46"/>
    </row>
    <row r="246" spans="28:28" x14ac:dyDescent="0.25">
      <c r="AB246" s="46"/>
    </row>
    <row r="247" spans="28:28" x14ac:dyDescent="0.25">
      <c r="AB247" s="46"/>
    </row>
    <row r="248" spans="28:28" x14ac:dyDescent="0.25">
      <c r="AB248" s="46"/>
    </row>
    <row r="249" spans="28:28" x14ac:dyDescent="0.25">
      <c r="AB249" s="46"/>
    </row>
    <row r="250" spans="28:28" x14ac:dyDescent="0.25">
      <c r="AB250" s="46"/>
    </row>
    <row r="251" spans="28:28" x14ac:dyDescent="0.25">
      <c r="AB251" s="46"/>
    </row>
    <row r="252" spans="28:28" x14ac:dyDescent="0.25">
      <c r="AB252" s="46"/>
    </row>
    <row r="253" spans="28:28" x14ac:dyDescent="0.25">
      <c r="AB253" s="46"/>
    </row>
    <row r="254" spans="28:28" x14ac:dyDescent="0.25">
      <c r="AB254" s="46"/>
    </row>
    <row r="255" spans="28:28" x14ac:dyDescent="0.25">
      <c r="AB255" s="46"/>
    </row>
    <row r="256" spans="28:28" x14ac:dyDescent="0.25">
      <c r="AB256" s="46"/>
    </row>
    <row r="257" spans="28:28" x14ac:dyDescent="0.25">
      <c r="AB257" s="46"/>
    </row>
    <row r="258" spans="28:28" x14ac:dyDescent="0.25">
      <c r="AB258" s="46"/>
    </row>
    <row r="259" spans="28:28" x14ac:dyDescent="0.25">
      <c r="AB259" s="46"/>
    </row>
    <row r="260" spans="28:28" x14ac:dyDescent="0.25">
      <c r="AB260" s="46"/>
    </row>
    <row r="261" spans="28:28" x14ac:dyDescent="0.25">
      <c r="AB261" s="46"/>
    </row>
    <row r="262" spans="28:28" x14ac:dyDescent="0.25">
      <c r="AB262" s="46"/>
    </row>
    <row r="263" spans="28:28" x14ac:dyDescent="0.25">
      <c r="AB263" s="46"/>
    </row>
    <row r="264" spans="28:28" x14ac:dyDescent="0.25">
      <c r="AB264" s="46"/>
    </row>
    <row r="265" spans="28:28" x14ac:dyDescent="0.25">
      <c r="AB265" s="46"/>
    </row>
    <row r="266" spans="28:28" x14ac:dyDescent="0.25">
      <c r="AB266" s="46"/>
    </row>
    <row r="267" spans="28:28" x14ac:dyDescent="0.25">
      <c r="AB267" s="46"/>
    </row>
    <row r="268" spans="28:28" x14ac:dyDescent="0.25">
      <c r="AB268" s="46"/>
    </row>
    <row r="269" spans="28:28" x14ac:dyDescent="0.25">
      <c r="AB269" s="46"/>
    </row>
    <row r="270" spans="28:28" x14ac:dyDescent="0.25">
      <c r="AB270" s="46"/>
    </row>
    <row r="271" spans="28:28" x14ac:dyDescent="0.25">
      <c r="AB271" s="46"/>
    </row>
    <row r="272" spans="28:28" x14ac:dyDescent="0.25">
      <c r="AB272" s="46"/>
    </row>
    <row r="273" spans="28:28" x14ac:dyDescent="0.25">
      <c r="AB273" s="46"/>
    </row>
    <row r="274" spans="28:28" x14ac:dyDescent="0.25">
      <c r="AB274" s="46"/>
    </row>
    <row r="275" spans="28:28" x14ac:dyDescent="0.25">
      <c r="AB275" s="46"/>
    </row>
    <row r="276" spans="28:28" x14ac:dyDescent="0.25">
      <c r="AB276" s="46"/>
    </row>
    <row r="277" spans="28:28" x14ac:dyDescent="0.25">
      <c r="AB277" s="46"/>
    </row>
    <row r="278" spans="28:28" x14ac:dyDescent="0.25">
      <c r="AB278" s="46"/>
    </row>
    <row r="279" spans="28:28" x14ac:dyDescent="0.25">
      <c r="AB279" s="46"/>
    </row>
    <row r="280" spans="28:28" x14ac:dyDescent="0.25">
      <c r="AB280" s="46"/>
    </row>
    <row r="281" spans="28:28" x14ac:dyDescent="0.25">
      <c r="AB281" s="46"/>
    </row>
    <row r="282" spans="28:28" x14ac:dyDescent="0.25">
      <c r="AB282" s="46"/>
    </row>
    <row r="283" spans="28:28" x14ac:dyDescent="0.25">
      <c r="AB283" s="46"/>
    </row>
    <row r="284" spans="28:28" x14ac:dyDescent="0.25">
      <c r="AB284" s="46"/>
    </row>
    <row r="285" spans="28:28" x14ac:dyDescent="0.25">
      <c r="AB285" s="46"/>
    </row>
    <row r="286" spans="28:28" x14ac:dyDescent="0.25">
      <c r="AB286" s="46"/>
    </row>
    <row r="287" spans="28:28" x14ac:dyDescent="0.25">
      <c r="AB287" s="46"/>
    </row>
    <row r="288" spans="28:28" x14ac:dyDescent="0.25">
      <c r="AB288" s="46"/>
    </row>
    <row r="289" spans="28:28" x14ac:dyDescent="0.25">
      <c r="AB289" s="46"/>
    </row>
    <row r="290" spans="28:28" x14ac:dyDescent="0.25">
      <c r="AB290" s="46"/>
    </row>
    <row r="291" spans="28:28" x14ac:dyDescent="0.25">
      <c r="AB291" s="46"/>
    </row>
    <row r="292" spans="28:28" x14ac:dyDescent="0.25">
      <c r="AB292" s="46"/>
    </row>
    <row r="293" spans="28:28" x14ac:dyDescent="0.25">
      <c r="AB293" s="46"/>
    </row>
    <row r="294" spans="28:28" x14ac:dyDescent="0.25">
      <c r="AB294" s="46"/>
    </row>
    <row r="295" spans="28:28" x14ac:dyDescent="0.25">
      <c r="AB295" s="46"/>
    </row>
    <row r="296" spans="28:28" x14ac:dyDescent="0.25">
      <c r="AB296" s="46"/>
    </row>
    <row r="297" spans="28:28" x14ac:dyDescent="0.25">
      <c r="AB297" s="46"/>
    </row>
    <row r="298" spans="28:28" x14ac:dyDescent="0.25">
      <c r="AB298" s="46"/>
    </row>
    <row r="299" spans="28:28" x14ac:dyDescent="0.25">
      <c r="AB299" s="46"/>
    </row>
    <row r="300" spans="28:28" x14ac:dyDescent="0.25">
      <c r="AB300" s="46"/>
    </row>
    <row r="301" spans="28:28" x14ac:dyDescent="0.25">
      <c r="AB301" s="46"/>
    </row>
    <row r="302" spans="28:28" x14ac:dyDescent="0.25">
      <c r="AB302" s="46"/>
    </row>
    <row r="303" spans="28:28" x14ac:dyDescent="0.25">
      <c r="AB303" s="46"/>
    </row>
    <row r="304" spans="28:28" x14ac:dyDescent="0.25">
      <c r="AB304" s="46"/>
    </row>
    <row r="305" spans="28:28" x14ac:dyDescent="0.25">
      <c r="AB305" s="46"/>
    </row>
    <row r="306" spans="28:28" x14ac:dyDescent="0.25">
      <c r="AB306" s="46"/>
    </row>
    <row r="307" spans="28:28" x14ac:dyDescent="0.25">
      <c r="AB307" s="46"/>
    </row>
    <row r="308" spans="28:28" x14ac:dyDescent="0.25">
      <c r="AB308" s="46"/>
    </row>
    <row r="309" spans="28:28" x14ac:dyDescent="0.25">
      <c r="AB309" s="46"/>
    </row>
    <row r="310" spans="28:28" x14ac:dyDescent="0.25">
      <c r="AB310" s="46"/>
    </row>
    <row r="311" spans="28:28" x14ac:dyDescent="0.25">
      <c r="AB311" s="46"/>
    </row>
    <row r="312" spans="28:28" x14ac:dyDescent="0.25">
      <c r="AB312" s="46"/>
    </row>
    <row r="313" spans="28:28" x14ac:dyDescent="0.25">
      <c r="AB313" s="46"/>
    </row>
    <row r="314" spans="28:28" x14ac:dyDescent="0.25">
      <c r="AB314" s="46"/>
    </row>
    <row r="315" spans="28:28" x14ac:dyDescent="0.25">
      <c r="AB315" s="46"/>
    </row>
    <row r="316" spans="28:28" x14ac:dyDescent="0.25">
      <c r="AB316" s="46"/>
    </row>
    <row r="317" spans="28:28" x14ac:dyDescent="0.25">
      <c r="AB317" s="46"/>
    </row>
    <row r="318" spans="28:28" x14ac:dyDescent="0.25">
      <c r="AB318" s="46"/>
    </row>
    <row r="319" spans="28:28" x14ac:dyDescent="0.25">
      <c r="AB319" s="46"/>
    </row>
    <row r="320" spans="28:28" x14ac:dyDescent="0.25">
      <c r="AB320" s="46"/>
    </row>
    <row r="321" spans="28:28" x14ac:dyDescent="0.25">
      <c r="AB321" s="46"/>
    </row>
    <row r="322" spans="28:28" x14ac:dyDescent="0.25">
      <c r="AB322" s="46"/>
    </row>
    <row r="323" spans="28:28" x14ac:dyDescent="0.25">
      <c r="AB323" s="46"/>
    </row>
    <row r="324" spans="28:28" x14ac:dyDescent="0.25">
      <c r="AB324" s="46"/>
    </row>
    <row r="325" spans="28:28" x14ac:dyDescent="0.25">
      <c r="AB325" s="46"/>
    </row>
    <row r="326" spans="28:28" x14ac:dyDescent="0.25">
      <c r="AB326" s="46"/>
    </row>
    <row r="327" spans="28:28" x14ac:dyDescent="0.25">
      <c r="AB327" s="46"/>
    </row>
    <row r="328" spans="28:28" x14ac:dyDescent="0.25">
      <c r="AB328" s="46"/>
    </row>
    <row r="329" spans="28:28" x14ac:dyDescent="0.25">
      <c r="AB329" s="46"/>
    </row>
    <row r="330" spans="28:28" x14ac:dyDescent="0.25">
      <c r="AB330" s="46"/>
    </row>
    <row r="331" spans="28:28" x14ac:dyDescent="0.25">
      <c r="AB331" s="46"/>
    </row>
    <row r="332" spans="28:28" x14ac:dyDescent="0.25">
      <c r="AB332" s="46"/>
    </row>
    <row r="333" spans="28:28" x14ac:dyDescent="0.25">
      <c r="AB333" s="46"/>
    </row>
    <row r="334" spans="28:28" x14ac:dyDescent="0.25">
      <c r="AB334" s="46"/>
    </row>
    <row r="335" spans="28:28" x14ac:dyDescent="0.25">
      <c r="AB335" s="46"/>
    </row>
    <row r="336" spans="28:28" x14ac:dyDescent="0.25">
      <c r="AB336" s="46"/>
    </row>
    <row r="337" spans="28:28" x14ac:dyDescent="0.25">
      <c r="AB337" s="46"/>
    </row>
    <row r="338" spans="28:28" x14ac:dyDescent="0.25">
      <c r="AB338" s="46"/>
    </row>
    <row r="339" spans="28:28" x14ac:dyDescent="0.25">
      <c r="AB339" s="46"/>
    </row>
    <row r="340" spans="28:28" x14ac:dyDescent="0.25">
      <c r="AB340" s="46"/>
    </row>
    <row r="341" spans="28:28" x14ac:dyDescent="0.25">
      <c r="AB341" s="46"/>
    </row>
    <row r="342" spans="28:28" x14ac:dyDescent="0.25">
      <c r="AB342" s="46"/>
    </row>
    <row r="343" spans="28:28" x14ac:dyDescent="0.25">
      <c r="AB343" s="46"/>
    </row>
    <row r="344" spans="28:28" x14ac:dyDescent="0.25">
      <c r="AB344" s="46"/>
    </row>
    <row r="345" spans="28:28" x14ac:dyDescent="0.25">
      <c r="AB345" s="46"/>
    </row>
    <row r="346" spans="28:28" x14ac:dyDescent="0.25">
      <c r="AB346" s="46"/>
    </row>
    <row r="347" spans="28:28" x14ac:dyDescent="0.25">
      <c r="AB347" s="46"/>
    </row>
    <row r="348" spans="28:28" x14ac:dyDescent="0.25">
      <c r="AB348" s="46"/>
    </row>
    <row r="349" spans="28:28" x14ac:dyDescent="0.25">
      <c r="AB349" s="46"/>
    </row>
    <row r="350" spans="28:28" x14ac:dyDescent="0.25">
      <c r="AB350" s="46"/>
    </row>
    <row r="351" spans="28:28" x14ac:dyDescent="0.25">
      <c r="AB351" s="46"/>
    </row>
    <row r="352" spans="28:28" x14ac:dyDescent="0.25">
      <c r="AB352" s="46"/>
    </row>
    <row r="353" spans="28:28" x14ac:dyDescent="0.25">
      <c r="AB353" s="46"/>
    </row>
    <row r="354" spans="28:28" x14ac:dyDescent="0.25">
      <c r="AB354" s="46"/>
    </row>
    <row r="355" spans="28:28" x14ac:dyDescent="0.25">
      <c r="AB355" s="46"/>
    </row>
    <row r="356" spans="28:28" x14ac:dyDescent="0.25">
      <c r="AB356" s="46"/>
    </row>
    <row r="357" spans="28:28" x14ac:dyDescent="0.25">
      <c r="AB357" s="46"/>
    </row>
    <row r="358" spans="28:28" x14ac:dyDescent="0.25">
      <c r="AB358" s="46"/>
    </row>
    <row r="359" spans="28:28" x14ac:dyDescent="0.25">
      <c r="AB359" s="46"/>
    </row>
    <row r="360" spans="28:28" x14ac:dyDescent="0.25">
      <c r="AB360" s="46"/>
    </row>
    <row r="361" spans="28:28" x14ac:dyDescent="0.25">
      <c r="AB361" s="46"/>
    </row>
    <row r="362" spans="28:28" x14ac:dyDescent="0.25">
      <c r="AB362" s="46"/>
    </row>
    <row r="363" spans="28:28" x14ac:dyDescent="0.25">
      <c r="AB363" s="46"/>
    </row>
    <row r="364" spans="28:28" x14ac:dyDescent="0.25">
      <c r="AB364" s="46"/>
    </row>
    <row r="365" spans="28:28" x14ac:dyDescent="0.25">
      <c r="AB365" s="46"/>
    </row>
    <row r="366" spans="28:28" x14ac:dyDescent="0.25">
      <c r="AB366" s="46"/>
    </row>
    <row r="367" spans="28:28" x14ac:dyDescent="0.25">
      <c r="AB367" s="46"/>
    </row>
    <row r="368" spans="28:28" x14ac:dyDescent="0.25">
      <c r="AB368" s="46"/>
    </row>
    <row r="369" spans="28:28" x14ac:dyDescent="0.25">
      <c r="AB369" s="46"/>
    </row>
    <row r="370" spans="28:28" x14ac:dyDescent="0.25">
      <c r="AB370" s="46"/>
    </row>
    <row r="371" spans="28:28" x14ac:dyDescent="0.25">
      <c r="AB371" s="46"/>
    </row>
    <row r="372" spans="28:28" x14ac:dyDescent="0.25">
      <c r="AB372" s="46"/>
    </row>
    <row r="373" spans="28:28" x14ac:dyDescent="0.25">
      <c r="AB373" s="46"/>
    </row>
    <row r="374" spans="28:28" x14ac:dyDescent="0.25">
      <c r="AB374" s="46"/>
    </row>
    <row r="375" spans="28:28" x14ac:dyDescent="0.25">
      <c r="AB375" s="46"/>
    </row>
    <row r="376" spans="28:28" x14ac:dyDescent="0.25">
      <c r="AB376" s="46"/>
    </row>
    <row r="377" spans="28:28" x14ac:dyDescent="0.25">
      <c r="AB377" s="46"/>
    </row>
    <row r="378" spans="28:28" x14ac:dyDescent="0.25">
      <c r="AB378" s="46"/>
    </row>
    <row r="379" spans="28:28" x14ac:dyDescent="0.25">
      <c r="AB379" s="46"/>
    </row>
    <row r="380" spans="28:28" x14ac:dyDescent="0.25">
      <c r="AB380" s="46"/>
    </row>
    <row r="381" spans="28:28" x14ac:dyDescent="0.25">
      <c r="AB381" s="46"/>
    </row>
    <row r="382" spans="28:28" x14ac:dyDescent="0.25">
      <c r="AB382" s="46"/>
    </row>
    <row r="383" spans="28:28" x14ac:dyDescent="0.25">
      <c r="AB383" s="46"/>
    </row>
    <row r="384" spans="28:28" x14ac:dyDescent="0.25">
      <c r="AB384" s="46"/>
    </row>
    <row r="385" spans="28:28" x14ac:dyDescent="0.25">
      <c r="AB385" s="46"/>
    </row>
    <row r="386" spans="28:28" x14ac:dyDescent="0.25">
      <c r="AB386" s="46"/>
    </row>
    <row r="387" spans="28:28" x14ac:dyDescent="0.25">
      <c r="AB387" s="46"/>
    </row>
    <row r="388" spans="28:28" x14ac:dyDescent="0.25">
      <c r="AB388" s="46"/>
    </row>
    <row r="389" spans="28:28" x14ac:dyDescent="0.25">
      <c r="AB389" s="46"/>
    </row>
    <row r="390" spans="28:28" x14ac:dyDescent="0.25">
      <c r="AB390" s="46"/>
    </row>
    <row r="391" spans="28:28" x14ac:dyDescent="0.25">
      <c r="AB391" s="46"/>
    </row>
    <row r="392" spans="28:28" x14ac:dyDescent="0.25">
      <c r="AB392" s="46"/>
    </row>
    <row r="393" spans="28:28" x14ac:dyDescent="0.25">
      <c r="AB393" s="46"/>
    </row>
    <row r="394" spans="28:28" x14ac:dyDescent="0.25">
      <c r="AB394" s="46"/>
    </row>
    <row r="395" spans="28:28" x14ac:dyDescent="0.25">
      <c r="AB395" s="46"/>
    </row>
    <row r="396" spans="28:28" x14ac:dyDescent="0.25">
      <c r="AB396" s="46"/>
    </row>
    <row r="397" spans="28:28" x14ac:dyDescent="0.25">
      <c r="AB397" s="46"/>
    </row>
    <row r="398" spans="28:28" x14ac:dyDescent="0.25">
      <c r="AB398" s="46"/>
    </row>
    <row r="399" spans="28:28" x14ac:dyDescent="0.25">
      <c r="AB399" s="46"/>
    </row>
    <row r="400" spans="28:28" x14ac:dyDescent="0.25">
      <c r="AB400" s="46"/>
    </row>
    <row r="401" spans="28:28" x14ac:dyDescent="0.25">
      <c r="AB401" s="46"/>
    </row>
    <row r="402" spans="28:28" x14ac:dyDescent="0.25">
      <c r="AB402" s="46"/>
    </row>
    <row r="403" spans="28:28" x14ac:dyDescent="0.25">
      <c r="AB403" s="46"/>
    </row>
    <row r="404" spans="28:28" x14ac:dyDescent="0.25">
      <c r="AB404" s="46"/>
    </row>
    <row r="405" spans="28:28" x14ac:dyDescent="0.25">
      <c r="AB405" s="46"/>
    </row>
    <row r="406" spans="28:28" x14ac:dyDescent="0.25">
      <c r="AB406" s="46"/>
    </row>
    <row r="407" spans="28:28" x14ac:dyDescent="0.25">
      <c r="AB407" s="46"/>
    </row>
    <row r="408" spans="28:28" x14ac:dyDescent="0.25">
      <c r="AB408" s="46"/>
    </row>
    <row r="409" spans="28:28" x14ac:dyDescent="0.25">
      <c r="AB409" s="46"/>
    </row>
    <row r="410" spans="28:28" x14ac:dyDescent="0.25">
      <c r="AB410" s="46"/>
    </row>
    <row r="411" spans="28:28" x14ac:dyDescent="0.25">
      <c r="AB411" s="46"/>
    </row>
    <row r="412" spans="28:28" x14ac:dyDescent="0.25">
      <c r="AB412" s="46"/>
    </row>
    <row r="413" spans="28:28" x14ac:dyDescent="0.25">
      <c r="AB413" s="46"/>
    </row>
    <row r="414" spans="28:28" x14ac:dyDescent="0.25">
      <c r="AB414" s="46"/>
    </row>
    <row r="415" spans="28:28" x14ac:dyDescent="0.25">
      <c r="AB415" s="46"/>
    </row>
    <row r="416" spans="28:28" x14ac:dyDescent="0.25">
      <c r="AB416" s="46"/>
    </row>
    <row r="417" spans="28:28" x14ac:dyDescent="0.25">
      <c r="AB417" s="46"/>
    </row>
    <row r="418" spans="28:28" x14ac:dyDescent="0.25">
      <c r="AB418" s="46"/>
    </row>
    <row r="419" spans="28:28" x14ac:dyDescent="0.25">
      <c r="AB419" s="46"/>
    </row>
    <row r="420" spans="28:28" x14ac:dyDescent="0.25">
      <c r="AB420" s="46"/>
    </row>
    <row r="421" spans="28:28" x14ac:dyDescent="0.25">
      <c r="AB421" s="46"/>
    </row>
  </sheetData>
  <mergeCells count="3">
    <mergeCell ref="C1:H1"/>
    <mergeCell ref="W1:X1"/>
    <mergeCell ref="N1:P1"/>
  </mergeCells>
  <conditionalFormatting sqref="H3:H26">
    <cfRule type="colorScale" priority="44">
      <colorScale>
        <cfvo type="min"/>
        <cfvo type="percentile" val="50"/>
        <cfvo type="max"/>
        <color rgb="FF63BE7B"/>
        <color rgb="FFFFEB84"/>
        <color rgb="FFF8696B"/>
      </colorScale>
    </cfRule>
  </conditionalFormatting>
  <conditionalFormatting sqref="F3:F26">
    <cfRule type="colorScale" priority="43">
      <colorScale>
        <cfvo type="min"/>
        <cfvo type="percentile" val="50"/>
        <cfvo type="max"/>
        <color rgb="FF63BE7B"/>
        <color rgb="FFFFEB84"/>
        <color rgb="FFF8696B"/>
      </colorScale>
    </cfRule>
  </conditionalFormatting>
  <conditionalFormatting sqref="E3:E25">
    <cfRule type="colorScale" priority="42">
      <colorScale>
        <cfvo type="min"/>
        <cfvo type="percentile" val="50"/>
        <cfvo type="max"/>
        <color rgb="FF63BE7B"/>
        <color rgb="FFFFEB84"/>
        <color rgb="FFF8696B"/>
      </colorScale>
    </cfRule>
  </conditionalFormatting>
  <conditionalFormatting sqref="D3:D26">
    <cfRule type="colorScale" priority="41">
      <colorScale>
        <cfvo type="min"/>
        <cfvo type="percentile" val="50"/>
        <cfvo type="max"/>
        <color rgb="FF63BE7B"/>
        <color rgb="FFFFEB84"/>
        <color rgb="FFF8696B"/>
      </colorScale>
    </cfRule>
  </conditionalFormatting>
  <conditionalFormatting sqref="E3:E26">
    <cfRule type="colorScale" priority="40">
      <colorScale>
        <cfvo type="min"/>
        <cfvo type="percentile" val="50"/>
        <cfvo type="max"/>
        <color rgb="FF63BE7B"/>
        <color rgb="FFFFEB84"/>
        <color rgb="FFF8696B"/>
      </colorScale>
    </cfRule>
  </conditionalFormatting>
  <conditionalFormatting sqref="G3:G26">
    <cfRule type="colorScale" priority="39">
      <colorScale>
        <cfvo type="min"/>
        <cfvo type="percentile" val="50"/>
        <cfvo type="max"/>
        <color rgb="FF63BE7B"/>
        <color rgb="FFFFEB84"/>
        <color rgb="FFF8696B"/>
      </colorScale>
    </cfRule>
  </conditionalFormatting>
  <conditionalFormatting sqref="T3:T26">
    <cfRule type="colorScale" priority="38">
      <colorScale>
        <cfvo type="min"/>
        <cfvo type="percentile" val="50"/>
        <cfvo type="max"/>
        <color rgb="FF63BE7B"/>
        <color rgb="FFFFEB84"/>
        <color rgb="FFF8696B"/>
      </colorScale>
    </cfRule>
  </conditionalFormatting>
  <conditionalFormatting sqref="R3:R26">
    <cfRule type="colorScale" priority="37">
      <colorScale>
        <cfvo type="min"/>
        <cfvo type="percentile" val="50"/>
        <cfvo type="max"/>
        <color rgb="FF63BE7B"/>
        <color rgb="FFFFEB84"/>
        <color rgb="FFF8696B"/>
      </colorScale>
    </cfRule>
  </conditionalFormatting>
  <conditionalFormatting sqref="S3:S26">
    <cfRule type="colorScale" priority="33">
      <colorScale>
        <cfvo type="min"/>
        <cfvo type="percentile" val="50"/>
        <cfvo type="max"/>
        <color rgb="FF63BE7B"/>
        <color rgb="FFFFEB84"/>
        <color rgb="FFF8696B"/>
      </colorScale>
    </cfRule>
  </conditionalFormatting>
  <conditionalFormatting sqref="W3:W26">
    <cfRule type="cellIs" dxfId="289" priority="27" operator="lessThan">
      <formula>10</formula>
    </cfRule>
    <cfRule type="cellIs" dxfId="288" priority="28" operator="greaterThanOrEqual">
      <formula>200</formula>
    </cfRule>
  </conditionalFormatting>
  <conditionalFormatting sqref="W3">
    <cfRule type="cellIs" dxfId="287" priority="25" operator="between">
      <formula>70</formula>
      <formula>199.9</formula>
    </cfRule>
    <cfRule type="cellIs" dxfId="286" priority="26" operator="between">
      <formula>10</formula>
      <formula>69.9</formula>
    </cfRule>
  </conditionalFormatting>
  <conditionalFormatting sqref="W4:W26">
    <cfRule type="cellIs" dxfId="285" priority="23" operator="between">
      <formula>70</formula>
      <formula>199.9</formula>
    </cfRule>
    <cfRule type="cellIs" dxfId="284" priority="24" operator="between">
      <formula>10</formula>
      <formula>69.9</formula>
    </cfRule>
  </conditionalFormatting>
  <conditionalFormatting sqref="X3:X26">
    <cfRule type="cellIs" dxfId="283" priority="21" operator="lessThan">
      <formula>1</formula>
    </cfRule>
    <cfRule type="cellIs" dxfId="282" priority="22" operator="greaterThanOrEqual">
      <formula>25</formula>
    </cfRule>
  </conditionalFormatting>
  <conditionalFormatting sqref="X4:X26">
    <cfRule type="cellIs" dxfId="281" priority="17" operator="between">
      <formula>10</formula>
      <formula>25</formula>
    </cfRule>
    <cfRule type="cellIs" dxfId="280" priority="18" operator="between">
      <formula>1</formula>
      <formula>10</formula>
    </cfRule>
  </conditionalFormatting>
  <conditionalFormatting sqref="X3">
    <cfRule type="cellIs" dxfId="279" priority="15" operator="between">
      <formula>10</formula>
      <formula>25</formula>
    </cfRule>
    <cfRule type="cellIs" dxfId="278" priority="16" operator="between">
      <formula>1</formula>
      <formula>10</formula>
    </cfRule>
  </conditionalFormatting>
  <conditionalFormatting sqref="O3:O26">
    <cfRule type="cellIs" dxfId="277" priority="9" operator="lessThan">
      <formula>0.8</formula>
    </cfRule>
    <cfRule type="cellIs" dxfId="276" priority="12" operator="greaterThanOrEqual">
      <formula>1.2</formula>
    </cfRule>
  </conditionalFormatting>
  <conditionalFormatting sqref="N3">
    <cfRule type="cellIs" dxfId="275" priority="10" operator="lessThanOrEqual">
      <formula>49</formula>
    </cfRule>
    <cfRule type="cellIs" dxfId="274" priority="13" operator="between">
      <formula>50</formula>
      <formula>149</formula>
    </cfRule>
    <cfRule type="cellIs" dxfId="273" priority="14" operator="greaterThanOrEqual">
      <formula>150</formula>
    </cfRule>
  </conditionalFormatting>
  <conditionalFormatting sqref="N4:N26">
    <cfRule type="cellIs" dxfId="272" priority="6" operator="lessThanOrEqual">
      <formula>49</formula>
    </cfRule>
    <cfRule type="cellIs" dxfId="271" priority="7" operator="between">
      <formula>50</formula>
      <formula>149</formula>
    </cfRule>
    <cfRule type="cellIs" dxfId="270" priority="8" operator="greaterThanOrEqual">
      <formula>150</formula>
    </cfRule>
  </conditionalFormatting>
  <conditionalFormatting sqref="O3">
    <cfRule type="cellIs" dxfId="269" priority="11" operator="between">
      <formula>0.8</formula>
      <formula>1.2</formula>
    </cfRule>
  </conditionalFormatting>
  <conditionalFormatting sqref="O4:O26">
    <cfRule type="cellIs" dxfId="268" priority="5" operator="between">
      <formula>0.8</formula>
      <formula>1.2</formula>
    </cfRule>
  </conditionalFormatting>
  <conditionalFormatting sqref="AM3:AM26">
    <cfRule type="colorScale" priority="4">
      <colorScale>
        <cfvo type="min"/>
        <cfvo type="percentile" val="50"/>
        <cfvo type="max"/>
        <color rgb="FF63BE7B"/>
        <color rgb="FFFFEB84"/>
        <color rgb="FFF8696B"/>
      </colorScale>
    </cfRule>
  </conditionalFormatting>
  <conditionalFormatting sqref="P3">
    <cfRule type="expression" dxfId="267" priority="3">
      <formula>"SI($N$3&gt;250)"</formula>
    </cfRule>
  </conditionalFormatting>
  <conditionalFormatting sqref="Q3">
    <cfRule type="expression" dxfId="266" priority="2">
      <formula>$N$3&gt;250</formula>
    </cfRule>
  </conditionalFormatting>
  <conditionalFormatting sqref="Q4:Q26">
    <cfRule type="expression" dxfId="265" priority="1">
      <formula>$N$3&gt;250</formula>
    </cfRule>
  </conditionalFormatting>
  <pageMargins left="0.7" right="0.7" top="0.75" bottom="0.75" header="0.3" footer="0.3"/>
  <pageSetup paperSize="9" orientation="portrait" horizontalDpi="4294967295" verticalDpi="4294967295"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5"/>
  <dimension ref="A1:AD263"/>
  <sheetViews>
    <sheetView topLeftCell="I1" zoomScale="70" zoomScaleNormal="70" workbookViewId="0">
      <pane ySplit="1" topLeftCell="A163" activePane="bottomLeft" state="frozen"/>
      <selection pane="bottomLeft" activeCell="AE168" sqref="AE168"/>
    </sheetView>
  </sheetViews>
  <sheetFormatPr baseColWidth="10" defaultRowHeight="15" x14ac:dyDescent="0.25"/>
  <cols>
    <col min="1" max="1" width="14.42578125" customWidth="1"/>
    <col min="2" max="2" width="11.42578125" style="23"/>
    <col min="3" max="3" width="13.140625" style="17" customWidth="1"/>
    <col min="4" max="4" width="11.42578125" style="17"/>
    <col min="5" max="5" width="9.140625" customWidth="1"/>
  </cols>
  <sheetData>
    <row r="1" spans="1:6" x14ac:dyDescent="0.25">
      <c r="A1" s="33" t="s">
        <v>25</v>
      </c>
      <c r="B1" s="348" t="s">
        <v>100</v>
      </c>
      <c r="C1" s="289" t="s">
        <v>271</v>
      </c>
      <c r="D1" s="289" t="s">
        <v>272</v>
      </c>
    </row>
    <row r="2" spans="1:6" s="323" customFormat="1" x14ac:dyDescent="0.25">
      <c r="A2" s="18">
        <v>44095</v>
      </c>
      <c r="B2" s="349">
        <v>3387</v>
      </c>
      <c r="C2" s="322">
        <v>60.3</v>
      </c>
      <c r="D2" s="322">
        <v>65.5</v>
      </c>
      <c r="E2" s="578"/>
    </row>
    <row r="3" spans="1:6" s="323" customFormat="1" x14ac:dyDescent="0.25">
      <c r="A3" s="18">
        <v>44096</v>
      </c>
      <c r="B3" s="349">
        <v>3362</v>
      </c>
      <c r="C3" s="322">
        <v>60.4</v>
      </c>
      <c r="D3" s="322">
        <v>65.900000000000006</v>
      </c>
      <c r="E3" s="578">
        <f>B3-B2</f>
        <v>-25</v>
      </c>
    </row>
    <row r="4" spans="1:6" s="323" customFormat="1" x14ac:dyDescent="0.25">
      <c r="A4" s="18">
        <v>44097</v>
      </c>
      <c r="B4" s="349">
        <v>3511</v>
      </c>
      <c r="C4" s="322">
        <v>60</v>
      </c>
      <c r="D4" s="322">
        <v>65.599999999999994</v>
      </c>
      <c r="E4" s="578">
        <f>B4-B3</f>
        <v>149</v>
      </c>
      <c r="F4" s="578"/>
    </row>
    <row r="5" spans="1:6" s="323" customFormat="1" x14ac:dyDescent="0.25">
      <c r="A5" s="18">
        <v>44098</v>
      </c>
      <c r="B5" s="349">
        <v>3527</v>
      </c>
      <c r="C5" s="322">
        <v>61</v>
      </c>
      <c r="D5" s="322">
        <v>66</v>
      </c>
      <c r="E5" s="578">
        <f>B5-B4</f>
        <v>16</v>
      </c>
      <c r="F5" s="578"/>
    </row>
    <row r="6" spans="1:6" s="323" customFormat="1" x14ac:dyDescent="0.25">
      <c r="A6" s="18">
        <v>44099</v>
      </c>
      <c r="B6" s="349">
        <v>3595</v>
      </c>
      <c r="C6" s="322">
        <v>61.7</v>
      </c>
      <c r="D6" s="322">
        <v>66.2</v>
      </c>
      <c r="E6" s="578">
        <f t="shared" ref="E6:E69" si="0">B6-B5</f>
        <v>68</v>
      </c>
      <c r="F6" s="578"/>
    </row>
    <row r="7" spans="1:6" s="323" customFormat="1" x14ac:dyDescent="0.25">
      <c r="A7" s="18">
        <v>44100</v>
      </c>
      <c r="B7" s="349">
        <v>3633</v>
      </c>
      <c r="C7" s="322">
        <v>61.5</v>
      </c>
      <c r="D7" s="322">
        <v>66.7</v>
      </c>
      <c r="E7" s="578">
        <f t="shared" si="0"/>
        <v>38</v>
      </c>
      <c r="F7" s="578"/>
    </row>
    <row r="8" spans="1:6" s="323" customFormat="1" x14ac:dyDescent="0.25">
      <c r="A8" s="18">
        <v>44101</v>
      </c>
      <c r="B8" s="349">
        <v>3604</v>
      </c>
      <c r="C8" s="322">
        <v>61.1</v>
      </c>
      <c r="D8" s="322">
        <v>65</v>
      </c>
      <c r="E8" s="578">
        <f t="shared" si="0"/>
        <v>-29</v>
      </c>
      <c r="F8" s="578">
        <f t="shared" ref="F8:F21" si="1">AVERAGE(E2:E8)</f>
        <v>36.166666666666664</v>
      </c>
    </row>
    <row r="9" spans="1:6" s="323" customFormat="1" x14ac:dyDescent="0.25">
      <c r="A9" s="18">
        <v>44102</v>
      </c>
      <c r="B9" s="349">
        <v>3678</v>
      </c>
      <c r="C9" s="322">
        <v>61.4</v>
      </c>
      <c r="D9" s="322">
        <v>65.099999999999994</v>
      </c>
      <c r="E9" s="578">
        <f t="shared" si="0"/>
        <v>74</v>
      </c>
      <c r="F9" s="578">
        <f t="shared" si="1"/>
        <v>41.571428571428569</v>
      </c>
    </row>
    <row r="10" spans="1:6" s="323" customFormat="1" x14ac:dyDescent="0.25">
      <c r="A10" s="18">
        <v>44103</v>
      </c>
      <c r="B10" s="349">
        <v>3768</v>
      </c>
      <c r="C10" s="322">
        <v>61.9</v>
      </c>
      <c r="D10" s="322">
        <v>65.8</v>
      </c>
      <c r="E10" s="578">
        <f t="shared" si="0"/>
        <v>90</v>
      </c>
      <c r="F10" s="578">
        <f t="shared" si="1"/>
        <v>58</v>
      </c>
    </row>
    <row r="11" spans="1:6" s="323" customFormat="1" x14ac:dyDescent="0.25">
      <c r="A11" s="18">
        <v>44104</v>
      </c>
      <c r="B11" s="349">
        <v>3792</v>
      </c>
      <c r="C11" s="322">
        <v>61.7</v>
      </c>
      <c r="D11" s="322">
        <v>64.7</v>
      </c>
      <c r="E11" s="578">
        <f t="shared" si="0"/>
        <v>24</v>
      </c>
      <c r="F11" s="578">
        <f t="shared" si="1"/>
        <v>40.142857142857146</v>
      </c>
    </row>
    <row r="12" spans="1:6" s="323" customFormat="1" x14ac:dyDescent="0.25">
      <c r="A12" s="18">
        <v>44105</v>
      </c>
      <c r="B12" s="349">
        <v>3799</v>
      </c>
      <c r="C12" s="322">
        <v>61.6</v>
      </c>
      <c r="D12" s="322">
        <v>65.2</v>
      </c>
      <c r="E12" s="578">
        <f t="shared" si="0"/>
        <v>7</v>
      </c>
      <c r="F12" s="578">
        <f t="shared" si="1"/>
        <v>38.857142857142854</v>
      </c>
    </row>
    <row r="13" spans="1:6" s="323" customFormat="1" x14ac:dyDescent="0.25">
      <c r="A13" s="18">
        <v>44106</v>
      </c>
      <c r="B13" s="349">
        <v>3828</v>
      </c>
      <c r="C13" s="322">
        <v>61.8</v>
      </c>
      <c r="D13" s="322">
        <v>64.7</v>
      </c>
      <c r="E13" s="578">
        <f t="shared" si="0"/>
        <v>29</v>
      </c>
      <c r="F13" s="578">
        <f t="shared" si="1"/>
        <v>33.285714285714285</v>
      </c>
    </row>
    <row r="14" spans="1:6" s="323" customFormat="1" x14ac:dyDescent="0.25">
      <c r="A14" s="18">
        <v>44107</v>
      </c>
      <c r="B14" s="349">
        <v>3820</v>
      </c>
      <c r="C14" s="322">
        <v>61.7</v>
      </c>
      <c r="D14" s="322">
        <v>62.9</v>
      </c>
      <c r="E14" s="578">
        <f t="shared" si="0"/>
        <v>-8</v>
      </c>
      <c r="F14" s="578">
        <f t="shared" si="1"/>
        <v>26.714285714285715</v>
      </c>
    </row>
    <row r="15" spans="1:6" s="323" customFormat="1" x14ac:dyDescent="0.25">
      <c r="A15" s="18">
        <v>44108</v>
      </c>
      <c r="B15" s="349">
        <v>3950</v>
      </c>
      <c r="C15" s="322">
        <v>61.9</v>
      </c>
      <c r="D15" s="322">
        <v>62.8</v>
      </c>
      <c r="E15" s="578">
        <f t="shared" si="0"/>
        <v>130</v>
      </c>
      <c r="F15" s="578">
        <f t="shared" si="1"/>
        <v>49.428571428571431</v>
      </c>
    </row>
    <row r="16" spans="1:6" s="323" customFormat="1" x14ac:dyDescent="0.25">
      <c r="A16" s="18">
        <v>44109</v>
      </c>
      <c r="B16" s="349">
        <v>3978</v>
      </c>
      <c r="C16" s="322">
        <v>62.4</v>
      </c>
      <c r="D16" s="322">
        <v>63.1</v>
      </c>
      <c r="E16" s="578">
        <f t="shared" si="0"/>
        <v>28</v>
      </c>
      <c r="F16" s="578">
        <f t="shared" si="1"/>
        <v>42.857142857142854</v>
      </c>
    </row>
    <row r="17" spans="1:6" s="323" customFormat="1" x14ac:dyDescent="0.25">
      <c r="A17" s="18">
        <v>44110</v>
      </c>
      <c r="B17" s="349">
        <v>4007</v>
      </c>
      <c r="C17" s="322">
        <v>62.5</v>
      </c>
      <c r="D17" s="322">
        <v>63.8</v>
      </c>
      <c r="E17" s="578">
        <f t="shared" si="0"/>
        <v>29</v>
      </c>
      <c r="F17" s="578">
        <f t="shared" si="1"/>
        <v>34.142857142857146</v>
      </c>
    </row>
    <row r="18" spans="1:6" s="323" customFormat="1" x14ac:dyDescent="0.25">
      <c r="A18" s="18">
        <v>44111</v>
      </c>
      <c r="B18" s="349">
        <v>3997</v>
      </c>
      <c r="C18" s="322">
        <v>62.8</v>
      </c>
      <c r="D18" s="322">
        <v>63</v>
      </c>
      <c r="E18" s="578">
        <f t="shared" si="0"/>
        <v>-10</v>
      </c>
      <c r="F18" s="578">
        <f t="shared" si="1"/>
        <v>29.285714285714285</v>
      </c>
    </row>
    <row r="19" spans="1:6" s="323" customFormat="1" x14ac:dyDescent="0.25">
      <c r="A19" s="18">
        <v>44112</v>
      </c>
      <c r="B19" s="349">
        <v>4043</v>
      </c>
      <c r="C19" s="322">
        <v>63</v>
      </c>
      <c r="D19" s="322">
        <v>63.3</v>
      </c>
      <c r="E19" s="578">
        <f t="shared" si="0"/>
        <v>46</v>
      </c>
      <c r="F19" s="578">
        <f t="shared" si="1"/>
        <v>34.857142857142854</v>
      </c>
    </row>
    <row r="20" spans="1:6" s="323" customFormat="1" x14ac:dyDescent="0.25">
      <c r="A20" s="18">
        <v>44113</v>
      </c>
      <c r="B20" s="349">
        <v>4092</v>
      </c>
      <c r="C20" s="322">
        <v>63.4</v>
      </c>
      <c r="D20" s="322">
        <v>64</v>
      </c>
      <c r="E20" s="578">
        <f t="shared" si="0"/>
        <v>49</v>
      </c>
      <c r="F20" s="578">
        <f t="shared" si="1"/>
        <v>37.714285714285715</v>
      </c>
    </row>
    <row r="21" spans="1:6" s="323" customFormat="1" x14ac:dyDescent="0.25">
      <c r="A21" s="18">
        <v>44114</v>
      </c>
      <c r="B21" s="349">
        <v>4200</v>
      </c>
      <c r="C21" s="322">
        <v>63.9</v>
      </c>
      <c r="D21" s="322">
        <v>63.3</v>
      </c>
      <c r="E21" s="578">
        <f t="shared" si="0"/>
        <v>108</v>
      </c>
      <c r="F21" s="578">
        <f t="shared" si="1"/>
        <v>54.285714285714285</v>
      </c>
    </row>
    <row r="22" spans="1:6" s="323" customFormat="1" x14ac:dyDescent="0.25">
      <c r="A22" s="18">
        <v>44115</v>
      </c>
      <c r="B22" s="349">
        <v>4237</v>
      </c>
      <c r="C22" s="322">
        <v>63.9</v>
      </c>
      <c r="D22" s="322">
        <v>62.8</v>
      </c>
      <c r="E22" s="578">
        <f t="shared" si="0"/>
        <v>37</v>
      </c>
      <c r="F22" s="578">
        <f t="shared" ref="F22:F85" si="2">AVERAGE(E16:E22)</f>
        <v>41</v>
      </c>
    </row>
    <row r="23" spans="1:6" s="323" customFormat="1" x14ac:dyDescent="0.25">
      <c r="A23" s="18">
        <v>44116</v>
      </c>
      <c r="B23" s="349">
        <v>4287</v>
      </c>
      <c r="C23" s="322">
        <v>64.3</v>
      </c>
      <c r="D23" s="322">
        <v>63</v>
      </c>
      <c r="E23" s="578">
        <f t="shared" si="0"/>
        <v>50</v>
      </c>
      <c r="F23" s="578">
        <f t="shared" si="2"/>
        <v>44.142857142857146</v>
      </c>
    </row>
    <row r="24" spans="1:6" s="323" customFormat="1" x14ac:dyDescent="0.25">
      <c r="A24" s="18">
        <v>44117</v>
      </c>
      <c r="B24" s="349">
        <v>4294</v>
      </c>
      <c r="C24" s="322">
        <v>64.2</v>
      </c>
      <c r="D24" s="322">
        <v>63.9</v>
      </c>
      <c r="E24" s="578">
        <f t="shared" si="0"/>
        <v>7</v>
      </c>
      <c r="F24" s="578">
        <f t="shared" si="2"/>
        <v>41</v>
      </c>
    </row>
    <row r="25" spans="1:6" s="323" customFormat="1" x14ac:dyDescent="0.25">
      <c r="A25" s="18">
        <v>44118</v>
      </c>
      <c r="B25" s="349">
        <v>4316</v>
      </c>
      <c r="C25" s="322">
        <v>64.099999999999994</v>
      </c>
      <c r="D25" s="322">
        <v>63.5</v>
      </c>
      <c r="E25" s="578">
        <f t="shared" si="0"/>
        <v>22</v>
      </c>
      <c r="F25" s="578">
        <f t="shared" si="2"/>
        <v>45.571428571428569</v>
      </c>
    </row>
    <row r="26" spans="1:6" s="323" customFormat="1" x14ac:dyDescent="0.25">
      <c r="A26" s="18">
        <v>44119</v>
      </c>
      <c r="B26" s="349">
        <v>4278</v>
      </c>
      <c r="C26" s="322">
        <v>64.400000000000006</v>
      </c>
      <c r="D26" s="322">
        <v>64.7</v>
      </c>
      <c r="E26" s="578">
        <f t="shared" si="0"/>
        <v>-38</v>
      </c>
      <c r="F26" s="578">
        <f t="shared" si="2"/>
        <v>33.571428571428569</v>
      </c>
    </row>
    <row r="27" spans="1:6" s="323" customFormat="1" x14ac:dyDescent="0.25">
      <c r="A27" s="18">
        <v>44120</v>
      </c>
      <c r="B27" s="349">
        <v>4346</v>
      </c>
      <c r="C27" s="322">
        <v>64.5</v>
      </c>
      <c r="D27" s="322">
        <v>63.5</v>
      </c>
      <c r="E27" s="578">
        <f t="shared" si="0"/>
        <v>68</v>
      </c>
      <c r="F27" s="578">
        <f t="shared" si="2"/>
        <v>36.285714285714285</v>
      </c>
    </row>
    <row r="28" spans="1:6" s="323" customFormat="1" x14ac:dyDescent="0.25">
      <c r="A28" s="18">
        <v>44121</v>
      </c>
      <c r="B28" s="349">
        <v>4386</v>
      </c>
      <c r="C28" s="322">
        <v>64.2</v>
      </c>
      <c r="D28" s="322">
        <v>63.4</v>
      </c>
      <c r="E28" s="578">
        <f t="shared" si="0"/>
        <v>40</v>
      </c>
      <c r="F28" s="578">
        <f t="shared" si="2"/>
        <v>26.571428571428573</v>
      </c>
    </row>
    <row r="29" spans="1:6" s="323" customFormat="1" x14ac:dyDescent="0.25">
      <c r="A29" s="18">
        <v>44122</v>
      </c>
      <c r="B29" s="349">
        <v>4387</v>
      </c>
      <c r="C29" s="322">
        <v>64.2</v>
      </c>
      <c r="D29" s="322">
        <v>63.9</v>
      </c>
      <c r="E29" s="578">
        <f t="shared" si="0"/>
        <v>1</v>
      </c>
      <c r="F29" s="578">
        <f t="shared" si="2"/>
        <v>21.428571428571427</v>
      </c>
    </row>
    <row r="30" spans="1:6" s="323" customFormat="1" x14ac:dyDescent="0.25">
      <c r="A30" s="18">
        <v>44123</v>
      </c>
      <c r="B30" s="349">
        <v>4392</v>
      </c>
      <c r="C30" s="322">
        <v>64</v>
      </c>
      <c r="D30" s="322">
        <v>63.2</v>
      </c>
      <c r="E30" s="578">
        <f t="shared" si="0"/>
        <v>5</v>
      </c>
      <c r="F30" s="578">
        <f t="shared" si="2"/>
        <v>15</v>
      </c>
    </row>
    <row r="31" spans="1:6" s="323" customFormat="1" x14ac:dyDescent="0.25">
      <c r="A31" s="18">
        <v>44124</v>
      </c>
      <c r="B31" s="349">
        <v>4451</v>
      </c>
      <c r="C31" s="322">
        <v>64</v>
      </c>
      <c r="D31" s="322">
        <v>64.3</v>
      </c>
      <c r="E31" s="578">
        <f t="shared" si="0"/>
        <v>59</v>
      </c>
      <c r="F31" s="578">
        <f t="shared" si="2"/>
        <v>22.428571428571427</v>
      </c>
    </row>
    <row r="32" spans="1:6" s="323" customFormat="1" x14ac:dyDescent="0.25">
      <c r="A32" s="18">
        <v>44125</v>
      </c>
      <c r="B32" s="349">
        <v>4573</v>
      </c>
      <c r="C32" s="322">
        <v>64.400000000000006</v>
      </c>
      <c r="D32" s="322">
        <v>63.1</v>
      </c>
      <c r="E32" s="578">
        <f t="shared" si="0"/>
        <v>122</v>
      </c>
      <c r="F32" s="578">
        <f t="shared" si="2"/>
        <v>36.714285714285715</v>
      </c>
    </row>
    <row r="33" spans="1:6" s="208" customFormat="1" x14ac:dyDescent="0.25">
      <c r="A33" s="18">
        <v>44126</v>
      </c>
      <c r="B33" s="349">
        <v>4611</v>
      </c>
      <c r="C33" s="322">
        <v>64.400000000000006</v>
      </c>
      <c r="D33" s="322">
        <v>63.6</v>
      </c>
      <c r="E33" s="578">
        <f t="shared" si="0"/>
        <v>38</v>
      </c>
      <c r="F33" s="578">
        <f t="shared" si="2"/>
        <v>47.571428571428569</v>
      </c>
    </row>
    <row r="34" spans="1:6" s="208" customFormat="1" x14ac:dyDescent="0.25">
      <c r="A34" s="18">
        <v>44127</v>
      </c>
      <c r="B34" s="349">
        <v>4696</v>
      </c>
      <c r="C34" s="322">
        <v>63.9</v>
      </c>
      <c r="D34" s="322">
        <v>62.4</v>
      </c>
      <c r="E34" s="578">
        <f t="shared" si="0"/>
        <v>85</v>
      </c>
      <c r="F34" s="578">
        <f t="shared" si="2"/>
        <v>50</v>
      </c>
    </row>
    <row r="35" spans="1:6" s="208" customFormat="1" x14ac:dyDescent="0.25">
      <c r="A35" s="18">
        <v>44128</v>
      </c>
      <c r="B35" s="349">
        <v>4850</v>
      </c>
      <c r="C35" s="322">
        <v>63.8</v>
      </c>
      <c r="D35" s="322">
        <v>61.8</v>
      </c>
      <c r="E35" s="578">
        <f t="shared" si="0"/>
        <v>154</v>
      </c>
      <c r="F35" s="578">
        <f t="shared" si="2"/>
        <v>66.285714285714292</v>
      </c>
    </row>
    <row r="36" spans="1:6" s="208" customFormat="1" x14ac:dyDescent="0.25">
      <c r="A36" s="18">
        <v>44129</v>
      </c>
      <c r="B36" s="349">
        <v>4863</v>
      </c>
      <c r="C36" s="322">
        <v>63.5</v>
      </c>
      <c r="D36" s="322">
        <v>62.4</v>
      </c>
      <c r="E36" s="578">
        <f t="shared" si="0"/>
        <v>13</v>
      </c>
      <c r="F36" s="578">
        <f t="shared" si="2"/>
        <v>68</v>
      </c>
    </row>
    <row r="37" spans="1:6" s="208" customFormat="1" x14ac:dyDescent="0.25">
      <c r="A37" s="18">
        <v>44130</v>
      </c>
      <c r="B37" s="349">
        <v>5038</v>
      </c>
      <c r="C37" s="322">
        <v>64</v>
      </c>
      <c r="D37" s="322">
        <v>61.8</v>
      </c>
      <c r="E37" s="578">
        <f t="shared" si="0"/>
        <v>175</v>
      </c>
      <c r="F37" s="578">
        <f t="shared" si="2"/>
        <v>92.285714285714292</v>
      </c>
    </row>
    <row r="38" spans="1:6" s="208" customFormat="1" x14ac:dyDescent="0.25">
      <c r="A38" s="18">
        <v>44131</v>
      </c>
      <c r="B38" s="349">
        <v>4952</v>
      </c>
      <c r="C38" s="322">
        <v>64.400000000000006</v>
      </c>
      <c r="D38" s="322">
        <v>63</v>
      </c>
      <c r="E38" s="578">
        <f t="shared" si="0"/>
        <v>-86</v>
      </c>
      <c r="F38" s="578">
        <f t="shared" si="2"/>
        <v>71.571428571428569</v>
      </c>
    </row>
    <row r="39" spans="1:6" s="208" customFormat="1" x14ac:dyDescent="0.25">
      <c r="A39" s="18">
        <v>44132</v>
      </c>
      <c r="B39" s="349">
        <v>5037</v>
      </c>
      <c r="C39" s="322">
        <v>64.400000000000006</v>
      </c>
      <c r="D39" s="322">
        <v>62.5</v>
      </c>
      <c r="E39" s="578">
        <f t="shared" si="0"/>
        <v>85</v>
      </c>
      <c r="F39" s="578">
        <f t="shared" si="2"/>
        <v>66.285714285714292</v>
      </c>
    </row>
    <row r="40" spans="1:6" s="208" customFormat="1" x14ac:dyDescent="0.25">
      <c r="A40" s="18">
        <v>44133</v>
      </c>
      <c r="B40" s="349">
        <v>4981</v>
      </c>
      <c r="C40" s="322">
        <v>64.8</v>
      </c>
      <c r="D40" s="322">
        <v>62.7</v>
      </c>
      <c r="E40" s="578">
        <f t="shared" si="0"/>
        <v>-56</v>
      </c>
      <c r="F40" s="578">
        <f t="shared" si="2"/>
        <v>52.857142857142854</v>
      </c>
    </row>
    <row r="41" spans="1:6" s="208" customFormat="1" x14ac:dyDescent="0.25">
      <c r="A41" s="18">
        <v>44134</v>
      </c>
      <c r="B41" s="349">
        <v>4981</v>
      </c>
      <c r="C41" s="322">
        <v>64.400000000000006</v>
      </c>
      <c r="D41" s="322">
        <v>61.7</v>
      </c>
      <c r="E41" s="578">
        <f t="shared" si="0"/>
        <v>0</v>
      </c>
      <c r="F41" s="578">
        <f t="shared" si="2"/>
        <v>40.714285714285715</v>
      </c>
    </row>
    <row r="42" spans="1:6" s="208" customFormat="1" x14ac:dyDescent="0.25">
      <c r="A42" s="18">
        <v>44135</v>
      </c>
      <c r="B42" s="349">
        <v>4969</v>
      </c>
      <c r="C42" s="322">
        <v>64.3</v>
      </c>
      <c r="D42" s="322">
        <v>61</v>
      </c>
      <c r="E42" s="578">
        <f t="shared" si="0"/>
        <v>-12</v>
      </c>
      <c r="F42" s="578">
        <f t="shared" si="2"/>
        <v>17</v>
      </c>
    </row>
    <row r="43" spans="1:6" s="208" customFormat="1" x14ac:dyDescent="0.25">
      <c r="A43" s="18">
        <v>44136</v>
      </c>
      <c r="B43" s="349">
        <v>5119</v>
      </c>
      <c r="C43" s="322">
        <v>63.9</v>
      </c>
      <c r="D43" s="322">
        <v>60.6</v>
      </c>
      <c r="E43" s="578">
        <f t="shared" si="0"/>
        <v>150</v>
      </c>
      <c r="F43" s="578">
        <f t="shared" si="2"/>
        <v>36.571428571428569</v>
      </c>
    </row>
    <row r="44" spans="1:6" s="208" customFormat="1" x14ac:dyDescent="0.25">
      <c r="A44" s="18">
        <v>44137</v>
      </c>
      <c r="B44" s="349">
        <v>4922</v>
      </c>
      <c r="C44" s="322">
        <v>63.6</v>
      </c>
      <c r="D44" s="322">
        <v>60.5</v>
      </c>
      <c r="E44" s="578">
        <f t="shared" si="0"/>
        <v>-197</v>
      </c>
      <c r="F44" s="578">
        <f t="shared" si="2"/>
        <v>-16.571428571428573</v>
      </c>
    </row>
    <row r="45" spans="1:6" s="208" customFormat="1" x14ac:dyDescent="0.25">
      <c r="A45" s="18">
        <v>44138</v>
      </c>
      <c r="B45" s="349">
        <v>4854</v>
      </c>
      <c r="C45" s="322">
        <v>63.6</v>
      </c>
      <c r="D45" s="322">
        <v>61.5</v>
      </c>
      <c r="E45" s="578">
        <f t="shared" si="0"/>
        <v>-68</v>
      </c>
      <c r="F45" s="578">
        <f t="shared" si="2"/>
        <v>-14</v>
      </c>
    </row>
    <row r="46" spans="1:6" s="208" customFormat="1" x14ac:dyDescent="0.25">
      <c r="A46" s="18">
        <v>44139</v>
      </c>
      <c r="B46" s="349">
        <v>4816</v>
      </c>
      <c r="C46" s="322">
        <v>61.1</v>
      </c>
      <c r="D46" s="322">
        <v>61.2</v>
      </c>
      <c r="E46" s="578">
        <f t="shared" si="0"/>
        <v>-38</v>
      </c>
      <c r="F46" s="578">
        <f t="shared" si="2"/>
        <v>-31.571428571428573</v>
      </c>
    </row>
    <row r="47" spans="1:6" s="208" customFormat="1" x14ac:dyDescent="0.25">
      <c r="A47" s="18">
        <v>44140</v>
      </c>
      <c r="B47" s="349">
        <v>4713</v>
      </c>
      <c r="C47" s="322">
        <v>60.6</v>
      </c>
      <c r="D47" s="322">
        <v>60.4</v>
      </c>
      <c r="E47" s="578">
        <f t="shared" si="0"/>
        <v>-103</v>
      </c>
      <c r="F47" s="578">
        <f t="shared" si="2"/>
        <v>-38.285714285714285</v>
      </c>
    </row>
    <row r="48" spans="1:6" s="208" customFormat="1" x14ac:dyDescent="0.25">
      <c r="A48" s="18">
        <v>44141</v>
      </c>
      <c r="B48" s="349">
        <v>4666</v>
      </c>
      <c r="C48" s="322">
        <v>59.2</v>
      </c>
      <c r="D48" s="322">
        <v>60</v>
      </c>
      <c r="E48" s="578">
        <f t="shared" si="0"/>
        <v>-47</v>
      </c>
      <c r="F48" s="578">
        <f t="shared" si="2"/>
        <v>-45</v>
      </c>
    </row>
    <row r="49" spans="1:6" s="208" customFormat="1" x14ac:dyDescent="0.25">
      <c r="A49" s="18">
        <v>44142</v>
      </c>
      <c r="B49" s="349">
        <v>4593</v>
      </c>
      <c r="C49" s="322">
        <v>58.3</v>
      </c>
      <c r="D49" s="322">
        <v>59.6</v>
      </c>
      <c r="E49" s="578">
        <f t="shared" si="0"/>
        <v>-73</v>
      </c>
      <c r="F49" s="578">
        <f t="shared" si="2"/>
        <v>-53.714285714285715</v>
      </c>
    </row>
    <row r="50" spans="1:6" s="208" customFormat="1" x14ac:dyDescent="0.25">
      <c r="A50" s="18">
        <v>44143</v>
      </c>
      <c r="B50" s="349">
        <v>4608</v>
      </c>
      <c r="C50" s="322">
        <v>58.1</v>
      </c>
      <c r="D50" s="322">
        <v>59.7</v>
      </c>
      <c r="E50" s="578">
        <f t="shared" si="0"/>
        <v>15</v>
      </c>
      <c r="F50" s="578">
        <f t="shared" si="2"/>
        <v>-73</v>
      </c>
    </row>
    <row r="51" spans="1:6" s="208" customFormat="1" x14ac:dyDescent="0.25">
      <c r="A51" s="18">
        <v>44144</v>
      </c>
      <c r="B51" s="349">
        <v>4577</v>
      </c>
      <c r="C51" s="322">
        <v>57.8</v>
      </c>
      <c r="D51" s="322">
        <v>58.9</v>
      </c>
      <c r="E51" s="578">
        <f t="shared" si="0"/>
        <v>-31</v>
      </c>
      <c r="F51" s="578">
        <f t="shared" si="2"/>
        <v>-49.285714285714285</v>
      </c>
    </row>
    <row r="52" spans="1:6" s="208" customFormat="1" x14ac:dyDescent="0.25">
      <c r="A52" s="18">
        <v>44145</v>
      </c>
      <c r="B52" s="349">
        <v>4494</v>
      </c>
      <c r="C52" s="322">
        <v>57.7</v>
      </c>
      <c r="D52" s="322">
        <v>59.9</v>
      </c>
      <c r="E52" s="578">
        <f t="shared" si="0"/>
        <v>-83</v>
      </c>
      <c r="F52" s="578">
        <f t="shared" si="2"/>
        <v>-51.428571428571431</v>
      </c>
    </row>
    <row r="53" spans="1:6" s="208" customFormat="1" x14ac:dyDescent="0.25">
      <c r="A53" s="18">
        <v>44146</v>
      </c>
      <c r="B53" s="349">
        <v>4418</v>
      </c>
      <c r="C53" s="322">
        <v>58.3</v>
      </c>
      <c r="D53" s="322">
        <v>60.6</v>
      </c>
      <c r="E53" s="578">
        <f t="shared" si="0"/>
        <v>-76</v>
      </c>
      <c r="F53" s="578">
        <f t="shared" si="2"/>
        <v>-56.857142857142854</v>
      </c>
    </row>
    <row r="54" spans="1:6" s="208" customFormat="1" x14ac:dyDescent="0.25">
      <c r="A54" s="18">
        <v>44147</v>
      </c>
      <c r="B54" s="349">
        <v>4397</v>
      </c>
      <c r="C54" s="322">
        <v>57.8</v>
      </c>
      <c r="D54" s="322">
        <v>60.4</v>
      </c>
      <c r="E54" s="578">
        <f t="shared" si="0"/>
        <v>-21</v>
      </c>
      <c r="F54" s="578">
        <f t="shared" si="2"/>
        <v>-45.142857142857146</v>
      </c>
    </row>
    <row r="55" spans="1:6" s="208" customFormat="1" x14ac:dyDescent="0.25">
      <c r="A55" s="18">
        <v>44148</v>
      </c>
      <c r="B55" s="349">
        <v>4381</v>
      </c>
      <c r="C55" s="322">
        <v>58.3</v>
      </c>
      <c r="D55" s="322">
        <v>60.7</v>
      </c>
      <c r="E55" s="578">
        <f t="shared" si="0"/>
        <v>-16</v>
      </c>
      <c r="F55" s="578">
        <f t="shared" si="2"/>
        <v>-40.714285714285715</v>
      </c>
    </row>
    <row r="56" spans="1:6" s="208" customFormat="1" x14ac:dyDescent="0.25">
      <c r="A56" s="18">
        <v>44149</v>
      </c>
      <c r="B56" s="349">
        <v>4346</v>
      </c>
      <c r="C56" s="322">
        <v>58.1</v>
      </c>
      <c r="D56" s="322">
        <v>59.7</v>
      </c>
      <c r="E56" s="578">
        <f t="shared" si="0"/>
        <v>-35</v>
      </c>
      <c r="F56" s="578">
        <f t="shared" si="2"/>
        <v>-35.285714285714285</v>
      </c>
    </row>
    <row r="57" spans="1:6" s="208" customFormat="1" x14ac:dyDescent="0.25">
      <c r="A57" s="18">
        <v>44150</v>
      </c>
      <c r="B57" s="349">
        <v>4365</v>
      </c>
      <c r="C57" s="322">
        <v>58</v>
      </c>
      <c r="D57" s="322">
        <v>59.5</v>
      </c>
      <c r="E57" s="578">
        <f t="shared" si="0"/>
        <v>19</v>
      </c>
      <c r="F57" s="578">
        <f t="shared" si="2"/>
        <v>-34.714285714285715</v>
      </c>
    </row>
    <row r="58" spans="1:6" s="208" customFormat="1" x14ac:dyDescent="0.25">
      <c r="A58" s="18">
        <v>44151</v>
      </c>
      <c r="B58" s="349">
        <v>4322</v>
      </c>
      <c r="C58" s="322">
        <v>58.2</v>
      </c>
      <c r="D58" s="322">
        <v>59.7</v>
      </c>
      <c r="E58" s="578">
        <f t="shared" si="0"/>
        <v>-43</v>
      </c>
      <c r="F58" s="578">
        <f t="shared" si="2"/>
        <v>-36.428571428571431</v>
      </c>
    </row>
    <row r="59" spans="1:6" s="208" customFormat="1" x14ac:dyDescent="0.25">
      <c r="A59" s="18">
        <v>44152</v>
      </c>
      <c r="B59" s="349">
        <v>4379</v>
      </c>
      <c r="C59" s="322">
        <v>58.2</v>
      </c>
      <c r="D59" s="322">
        <v>60.4</v>
      </c>
      <c r="E59" s="578">
        <f t="shared" si="0"/>
        <v>57</v>
      </c>
      <c r="F59" s="578">
        <f t="shared" si="2"/>
        <v>-16.428571428571427</v>
      </c>
    </row>
    <row r="60" spans="1:6" s="208" customFormat="1" x14ac:dyDescent="0.25">
      <c r="A60" s="18">
        <v>44153</v>
      </c>
      <c r="B60" s="349">
        <v>4267</v>
      </c>
      <c r="C60" s="322">
        <v>58</v>
      </c>
      <c r="D60" s="322">
        <v>60.5</v>
      </c>
      <c r="E60" s="578">
        <f t="shared" si="0"/>
        <v>-112</v>
      </c>
      <c r="F60" s="578">
        <f t="shared" si="2"/>
        <v>-21.571428571428573</v>
      </c>
    </row>
    <row r="61" spans="1:6" s="208" customFormat="1" x14ac:dyDescent="0.25">
      <c r="A61" s="18">
        <v>44154</v>
      </c>
      <c r="B61" s="349">
        <v>4292</v>
      </c>
      <c r="C61" s="322">
        <v>57.8</v>
      </c>
      <c r="D61" s="322">
        <v>61</v>
      </c>
      <c r="E61" s="578">
        <f t="shared" si="0"/>
        <v>25</v>
      </c>
      <c r="F61" s="578">
        <f t="shared" si="2"/>
        <v>-15</v>
      </c>
    </row>
    <row r="62" spans="1:6" s="208" customFormat="1" x14ac:dyDescent="0.25">
      <c r="A62" s="18">
        <v>44155</v>
      </c>
      <c r="B62" s="349">
        <v>4187</v>
      </c>
      <c r="C62" s="322">
        <v>57.6</v>
      </c>
      <c r="D62" s="322">
        <v>60.7</v>
      </c>
      <c r="E62" s="578">
        <f t="shared" si="0"/>
        <v>-105</v>
      </c>
      <c r="F62" s="578">
        <f t="shared" si="2"/>
        <v>-27.714285714285715</v>
      </c>
    </row>
    <row r="63" spans="1:6" s="208" customFormat="1" x14ac:dyDescent="0.25">
      <c r="A63" s="18">
        <v>44156</v>
      </c>
      <c r="B63" s="349">
        <v>4132</v>
      </c>
      <c r="C63" s="322">
        <v>57.3</v>
      </c>
      <c r="D63" s="322">
        <v>59.2</v>
      </c>
      <c r="E63" s="578">
        <f t="shared" si="0"/>
        <v>-55</v>
      </c>
      <c r="F63" s="578">
        <f t="shared" si="2"/>
        <v>-30.571428571428573</v>
      </c>
    </row>
    <row r="64" spans="1:6" s="208" customFormat="1" x14ac:dyDescent="0.25">
      <c r="A64" s="18">
        <v>44157</v>
      </c>
      <c r="B64" s="349">
        <v>4245</v>
      </c>
      <c r="C64" s="322">
        <v>57</v>
      </c>
      <c r="D64" s="322">
        <v>59</v>
      </c>
      <c r="E64" s="578">
        <f t="shared" si="0"/>
        <v>113</v>
      </c>
      <c r="F64" s="578">
        <f t="shared" si="2"/>
        <v>-17.142857142857142</v>
      </c>
    </row>
    <row r="65" spans="1:6" s="208" customFormat="1" x14ac:dyDescent="0.25">
      <c r="A65" s="18">
        <v>44158</v>
      </c>
      <c r="B65" s="350">
        <v>4166</v>
      </c>
      <c r="C65" s="320">
        <v>57.1</v>
      </c>
      <c r="D65" s="320">
        <v>58.6</v>
      </c>
      <c r="E65" s="578">
        <f t="shared" si="0"/>
        <v>-79</v>
      </c>
      <c r="F65" s="578">
        <f t="shared" si="2"/>
        <v>-22.285714285714285</v>
      </c>
    </row>
    <row r="66" spans="1:6" s="208" customFormat="1" x14ac:dyDescent="0.25">
      <c r="A66" s="18">
        <v>44159</v>
      </c>
      <c r="B66" s="350">
        <v>4148</v>
      </c>
      <c r="C66" s="320">
        <v>57.1</v>
      </c>
      <c r="D66" s="320">
        <v>59.2</v>
      </c>
      <c r="E66" s="578">
        <f t="shared" si="0"/>
        <v>-18</v>
      </c>
      <c r="F66" s="578">
        <f t="shared" si="2"/>
        <v>-33</v>
      </c>
    </row>
    <row r="67" spans="1:6" s="208" customFormat="1" x14ac:dyDescent="0.25">
      <c r="A67" s="18">
        <v>44160</v>
      </c>
      <c r="B67" s="350">
        <v>4039</v>
      </c>
      <c r="C67" s="320">
        <v>57.6</v>
      </c>
      <c r="D67" s="320">
        <v>59.1</v>
      </c>
      <c r="E67" s="578">
        <f t="shared" si="0"/>
        <v>-109</v>
      </c>
      <c r="F67" s="578">
        <f t="shared" si="2"/>
        <v>-32.571428571428569</v>
      </c>
    </row>
    <row r="68" spans="1:6" s="208" customFormat="1" x14ac:dyDescent="0.25">
      <c r="A68" s="18">
        <v>44161</v>
      </c>
      <c r="B68" s="350">
        <v>3960</v>
      </c>
      <c r="C68" s="320">
        <v>56.6</v>
      </c>
      <c r="D68" s="320">
        <v>59.2</v>
      </c>
      <c r="E68" s="578">
        <f t="shared" si="0"/>
        <v>-79</v>
      </c>
      <c r="F68" s="578">
        <f t="shared" si="2"/>
        <v>-47.428571428571431</v>
      </c>
    </row>
    <row r="69" spans="1:6" s="208" customFormat="1" x14ac:dyDescent="0.25">
      <c r="A69" s="18">
        <v>44162</v>
      </c>
      <c r="B69" s="350">
        <v>4120</v>
      </c>
      <c r="C69" s="320">
        <v>56.2</v>
      </c>
      <c r="D69" s="320">
        <v>59.2</v>
      </c>
      <c r="E69" s="578">
        <f t="shared" si="0"/>
        <v>160</v>
      </c>
      <c r="F69" s="578">
        <f t="shared" si="2"/>
        <v>-9.5714285714285712</v>
      </c>
    </row>
    <row r="70" spans="1:6" s="208" customFormat="1" x14ac:dyDescent="0.25">
      <c r="A70" s="18">
        <v>44163</v>
      </c>
      <c r="B70" s="350">
        <v>4021</v>
      </c>
      <c r="C70" s="320">
        <v>56.1</v>
      </c>
      <c r="D70" s="320">
        <v>58.7</v>
      </c>
      <c r="E70" s="578">
        <f t="shared" ref="E70:E133" si="3">B70-B69</f>
        <v>-99</v>
      </c>
      <c r="F70" s="578">
        <f t="shared" si="2"/>
        <v>-15.857142857142858</v>
      </c>
    </row>
    <row r="71" spans="1:6" s="208" customFormat="1" x14ac:dyDescent="0.25">
      <c r="A71" s="18">
        <v>44164</v>
      </c>
      <c r="B71" s="350">
        <v>4013</v>
      </c>
      <c r="C71" s="320">
        <v>56.2</v>
      </c>
      <c r="D71" s="320">
        <v>59.8</v>
      </c>
      <c r="E71" s="578">
        <f t="shared" si="3"/>
        <v>-8</v>
      </c>
      <c r="F71" s="578">
        <f t="shared" si="2"/>
        <v>-33.142857142857146</v>
      </c>
    </row>
    <row r="72" spans="1:6" s="208" customFormat="1" x14ac:dyDescent="0.25">
      <c r="A72" s="18">
        <v>44165</v>
      </c>
      <c r="B72" s="350">
        <v>4062</v>
      </c>
      <c r="C72" s="320">
        <v>56.5</v>
      </c>
      <c r="D72" s="320">
        <v>60</v>
      </c>
      <c r="E72" s="578">
        <f t="shared" si="3"/>
        <v>49</v>
      </c>
      <c r="F72" s="578">
        <f t="shared" si="2"/>
        <v>-14.857142857142858</v>
      </c>
    </row>
    <row r="73" spans="1:6" s="208" customFormat="1" x14ac:dyDescent="0.25">
      <c r="A73" s="18">
        <v>44166</v>
      </c>
      <c r="B73" s="350">
        <v>3946</v>
      </c>
      <c r="C73" s="320">
        <v>55.9</v>
      </c>
      <c r="D73" s="320">
        <v>60.1</v>
      </c>
      <c r="E73" s="578">
        <f t="shared" si="3"/>
        <v>-116</v>
      </c>
      <c r="F73" s="578">
        <f t="shared" si="2"/>
        <v>-28.857142857142858</v>
      </c>
    </row>
    <row r="74" spans="1:6" s="208" customFormat="1" x14ac:dyDescent="0.25">
      <c r="A74" s="18">
        <v>44167</v>
      </c>
      <c r="B74" s="350">
        <v>3983</v>
      </c>
      <c r="C74" s="320">
        <v>56</v>
      </c>
      <c r="D74" s="320">
        <v>60.6</v>
      </c>
      <c r="E74" s="578">
        <f t="shared" si="3"/>
        <v>37</v>
      </c>
      <c r="F74" s="578">
        <f t="shared" si="2"/>
        <v>-8</v>
      </c>
    </row>
    <row r="75" spans="1:6" s="208" customFormat="1" x14ac:dyDescent="0.25">
      <c r="A75" s="18">
        <v>44168</v>
      </c>
      <c r="B75" s="350">
        <v>3916</v>
      </c>
      <c r="C75" s="320">
        <v>56</v>
      </c>
      <c r="D75" s="320">
        <v>60.4</v>
      </c>
      <c r="E75" s="578">
        <f t="shared" si="3"/>
        <v>-67</v>
      </c>
      <c r="F75" s="578">
        <f t="shared" si="2"/>
        <v>-6.2857142857142856</v>
      </c>
    </row>
    <row r="76" spans="1:6" s="208" customFormat="1" x14ac:dyDescent="0.25">
      <c r="A76" s="18">
        <v>44169</v>
      </c>
      <c r="B76" s="350">
        <v>3929</v>
      </c>
      <c r="C76" s="320">
        <v>55.7</v>
      </c>
      <c r="D76" s="320">
        <v>60.2</v>
      </c>
      <c r="E76" s="578">
        <f t="shared" si="3"/>
        <v>13</v>
      </c>
      <c r="F76" s="578">
        <f t="shared" si="2"/>
        <v>-27.285714285714285</v>
      </c>
    </row>
    <row r="77" spans="1:6" s="208" customFormat="1" x14ac:dyDescent="0.25">
      <c r="A77" s="18">
        <v>44170</v>
      </c>
      <c r="B77" s="350">
        <v>3757</v>
      </c>
      <c r="C77" s="320">
        <v>55.5</v>
      </c>
      <c r="D77" s="320">
        <v>60.2</v>
      </c>
      <c r="E77" s="578">
        <f t="shared" si="3"/>
        <v>-172</v>
      </c>
      <c r="F77" s="578">
        <f t="shared" si="2"/>
        <v>-37.714285714285715</v>
      </c>
    </row>
    <row r="78" spans="1:6" s="208" customFormat="1" x14ac:dyDescent="0.25">
      <c r="A78" s="18">
        <v>44171</v>
      </c>
      <c r="B78" s="350">
        <v>3735</v>
      </c>
      <c r="C78" s="320">
        <v>55.2</v>
      </c>
      <c r="D78" s="320">
        <v>59.5</v>
      </c>
      <c r="E78" s="578">
        <f t="shared" si="3"/>
        <v>-22</v>
      </c>
      <c r="F78" s="578">
        <f t="shared" si="2"/>
        <v>-39.714285714285715</v>
      </c>
    </row>
    <row r="79" spans="1:6" s="208" customFormat="1" x14ac:dyDescent="0.25">
      <c r="A79" s="18">
        <v>44172</v>
      </c>
      <c r="B79" s="350">
        <v>3723</v>
      </c>
      <c r="C79" s="320">
        <v>54.8</v>
      </c>
      <c r="D79" s="320">
        <v>58.9</v>
      </c>
      <c r="E79" s="578">
        <f t="shared" si="3"/>
        <v>-12</v>
      </c>
      <c r="F79" s="578">
        <f t="shared" si="2"/>
        <v>-48.428571428571431</v>
      </c>
    </row>
    <row r="80" spans="1:6" s="208" customFormat="1" x14ac:dyDescent="0.25">
      <c r="A80" s="18">
        <v>44173</v>
      </c>
      <c r="B80" s="350">
        <v>3715</v>
      </c>
      <c r="C80" s="320">
        <v>54.4</v>
      </c>
      <c r="D80" s="320">
        <v>58.2</v>
      </c>
      <c r="E80" s="578">
        <f t="shared" si="3"/>
        <v>-8</v>
      </c>
      <c r="F80" s="578">
        <f t="shared" si="2"/>
        <v>-33</v>
      </c>
    </row>
    <row r="81" spans="1:6" s="208" customFormat="1" x14ac:dyDescent="0.25">
      <c r="A81" s="18">
        <v>44174</v>
      </c>
      <c r="B81" s="350">
        <v>3688</v>
      </c>
      <c r="C81" s="320">
        <v>54.4</v>
      </c>
      <c r="D81" s="320">
        <v>58.4</v>
      </c>
      <c r="E81" s="578">
        <f t="shared" si="3"/>
        <v>-27</v>
      </c>
      <c r="F81" s="578">
        <f t="shared" si="2"/>
        <v>-42.142857142857146</v>
      </c>
    </row>
    <row r="82" spans="1:6" s="208" customFormat="1" x14ac:dyDescent="0.25">
      <c r="A82" s="18">
        <v>44175</v>
      </c>
      <c r="B82" s="350">
        <v>3665</v>
      </c>
      <c r="C82" s="320">
        <v>54.6</v>
      </c>
      <c r="D82" s="320">
        <v>59.2</v>
      </c>
      <c r="E82" s="578">
        <f t="shared" si="3"/>
        <v>-23</v>
      </c>
      <c r="F82" s="578">
        <f t="shared" si="2"/>
        <v>-35.857142857142854</v>
      </c>
    </row>
    <row r="83" spans="1:6" s="208" customFormat="1" x14ac:dyDescent="0.25">
      <c r="A83" s="18">
        <v>44176</v>
      </c>
      <c r="B83" s="350">
        <v>3620</v>
      </c>
      <c r="C83" s="320">
        <v>55.3</v>
      </c>
      <c r="D83" s="320">
        <v>60.1</v>
      </c>
      <c r="E83" s="578">
        <f t="shared" si="3"/>
        <v>-45</v>
      </c>
      <c r="F83" s="578">
        <f t="shared" si="2"/>
        <v>-44.142857142857146</v>
      </c>
    </row>
    <row r="84" spans="1:6" s="208" customFormat="1" x14ac:dyDescent="0.25">
      <c r="A84" s="18">
        <v>44177</v>
      </c>
      <c r="B84" s="350">
        <v>3594</v>
      </c>
      <c r="C84" s="320">
        <v>54.8</v>
      </c>
      <c r="D84" s="320">
        <v>59.2</v>
      </c>
      <c r="E84" s="578">
        <f t="shared" si="3"/>
        <v>-26</v>
      </c>
      <c r="F84" s="578">
        <f t="shared" si="2"/>
        <v>-23.285714285714285</v>
      </c>
    </row>
    <row r="85" spans="1:6" s="208" customFormat="1" x14ac:dyDescent="0.25">
      <c r="A85" s="18">
        <v>44178</v>
      </c>
      <c r="B85" s="351">
        <v>3537</v>
      </c>
      <c r="C85" s="319">
        <v>54.5</v>
      </c>
      <c r="D85" s="320">
        <v>58.3</v>
      </c>
      <c r="E85" s="578">
        <f t="shared" si="3"/>
        <v>-57</v>
      </c>
      <c r="F85" s="578">
        <f t="shared" si="2"/>
        <v>-28.285714285714285</v>
      </c>
    </row>
    <row r="86" spans="1:6" s="208" customFormat="1" x14ac:dyDescent="0.25">
      <c r="A86" s="18">
        <v>44179</v>
      </c>
      <c r="B86" s="350">
        <v>3478</v>
      </c>
      <c r="C86" s="320">
        <v>54.2</v>
      </c>
      <c r="D86" s="320">
        <v>57.9</v>
      </c>
      <c r="E86" s="578">
        <f t="shared" si="3"/>
        <v>-59</v>
      </c>
      <c r="F86" s="578">
        <f t="shared" ref="F86:F149" si="4">AVERAGE(E80:E86)</f>
        <v>-35</v>
      </c>
    </row>
    <row r="87" spans="1:6" s="208" customFormat="1" x14ac:dyDescent="0.25">
      <c r="A87" s="18">
        <v>44180</v>
      </c>
      <c r="B87" s="350">
        <v>3475</v>
      </c>
      <c r="C87" s="320">
        <v>54.4</v>
      </c>
      <c r="D87" s="320">
        <v>57.7</v>
      </c>
      <c r="E87" s="578">
        <f t="shared" si="3"/>
        <v>-3</v>
      </c>
      <c r="F87" s="578">
        <f t="shared" si="4"/>
        <v>-34.285714285714285</v>
      </c>
    </row>
    <row r="88" spans="1:6" s="208" customFormat="1" x14ac:dyDescent="0.25">
      <c r="A88" s="18">
        <v>44181</v>
      </c>
      <c r="B88" s="350">
        <v>3443</v>
      </c>
      <c r="C88" s="320">
        <v>54.6</v>
      </c>
      <c r="D88" s="320">
        <v>58.3</v>
      </c>
      <c r="E88" s="578">
        <f t="shared" si="3"/>
        <v>-32</v>
      </c>
      <c r="F88" s="578">
        <f t="shared" si="4"/>
        <v>-35</v>
      </c>
    </row>
    <row r="89" spans="1:6" s="208" customFormat="1" x14ac:dyDescent="0.25">
      <c r="A89" s="18">
        <v>44182</v>
      </c>
      <c r="B89" s="350">
        <v>3471</v>
      </c>
      <c r="C89" s="320">
        <v>54.6</v>
      </c>
      <c r="D89" s="320">
        <v>58.8</v>
      </c>
      <c r="E89" s="578">
        <f t="shared" si="3"/>
        <v>28</v>
      </c>
      <c r="F89" s="578">
        <f t="shared" si="4"/>
        <v>-27.714285714285715</v>
      </c>
    </row>
    <row r="90" spans="1:6" s="208" customFormat="1" x14ac:dyDescent="0.25">
      <c r="A90" s="18">
        <v>44183</v>
      </c>
      <c r="B90" s="350">
        <v>3434</v>
      </c>
      <c r="C90" s="320">
        <v>54.4</v>
      </c>
      <c r="D90" s="320">
        <v>58.4</v>
      </c>
      <c r="E90" s="578">
        <f t="shared" si="3"/>
        <v>-37</v>
      </c>
      <c r="F90" s="578">
        <f t="shared" si="4"/>
        <v>-26.571428571428573</v>
      </c>
    </row>
    <row r="91" spans="1:6" s="208" customFormat="1" x14ac:dyDescent="0.25">
      <c r="A91" s="18">
        <v>44184</v>
      </c>
      <c r="B91" s="350">
        <v>3452</v>
      </c>
      <c r="C91" s="320">
        <v>54.7</v>
      </c>
      <c r="D91" s="320">
        <v>59</v>
      </c>
      <c r="E91" s="578">
        <f t="shared" si="3"/>
        <v>18</v>
      </c>
      <c r="F91" s="578">
        <f t="shared" si="4"/>
        <v>-20.285714285714285</v>
      </c>
    </row>
    <row r="92" spans="1:6" s="208" customFormat="1" x14ac:dyDescent="0.25">
      <c r="A92" s="18">
        <v>44185</v>
      </c>
      <c r="B92" s="350">
        <v>3462</v>
      </c>
      <c r="C92" s="320">
        <v>54.4</v>
      </c>
      <c r="D92" s="320">
        <v>58.5</v>
      </c>
      <c r="E92" s="578">
        <f t="shared" si="3"/>
        <v>10</v>
      </c>
      <c r="F92" s="578">
        <f t="shared" si="4"/>
        <v>-10.714285714285714</v>
      </c>
    </row>
    <row r="93" spans="1:6" s="208" customFormat="1" x14ac:dyDescent="0.25">
      <c r="A93" s="18">
        <v>44186</v>
      </c>
      <c r="B93" s="350">
        <v>3367</v>
      </c>
      <c r="C93" s="320">
        <v>54.2</v>
      </c>
      <c r="D93" s="320">
        <v>58.6</v>
      </c>
      <c r="E93" s="578">
        <f t="shared" si="3"/>
        <v>-95</v>
      </c>
      <c r="F93" s="578">
        <f t="shared" si="4"/>
        <v>-15.857142857142858</v>
      </c>
    </row>
    <row r="94" spans="1:6" s="208" customFormat="1" x14ac:dyDescent="0.25">
      <c r="A94" s="18">
        <v>44187</v>
      </c>
      <c r="B94" s="350">
        <v>3399</v>
      </c>
      <c r="C94" s="320">
        <v>54.1</v>
      </c>
      <c r="D94" s="320">
        <v>58.6</v>
      </c>
      <c r="E94" s="578">
        <f t="shared" si="3"/>
        <v>32</v>
      </c>
      <c r="F94" s="578">
        <f t="shared" si="4"/>
        <v>-10.857142857142858</v>
      </c>
    </row>
    <row r="95" spans="1:6" s="208" customFormat="1" x14ac:dyDescent="0.25">
      <c r="A95" s="18">
        <v>44188</v>
      </c>
      <c r="B95" s="350">
        <v>3390</v>
      </c>
      <c r="C95" s="320">
        <v>54</v>
      </c>
      <c r="D95" s="320">
        <v>58.9</v>
      </c>
      <c r="E95" s="578">
        <f t="shared" si="3"/>
        <v>-9</v>
      </c>
      <c r="F95" s="578">
        <f t="shared" si="4"/>
        <v>-7.5714285714285712</v>
      </c>
    </row>
    <row r="96" spans="1:6" s="208" customFormat="1" x14ac:dyDescent="0.25">
      <c r="A96" s="18">
        <v>44189</v>
      </c>
      <c r="B96" s="350">
        <v>3390</v>
      </c>
      <c r="C96" s="320">
        <v>54</v>
      </c>
      <c r="D96" s="320">
        <v>58.9</v>
      </c>
      <c r="E96" s="578">
        <f t="shared" si="3"/>
        <v>0</v>
      </c>
      <c r="F96" s="578">
        <f t="shared" si="4"/>
        <v>-11.571428571428571</v>
      </c>
    </row>
    <row r="97" spans="1:6" s="208" customFormat="1" x14ac:dyDescent="0.25">
      <c r="A97" s="18">
        <v>44190</v>
      </c>
      <c r="B97" s="350">
        <v>3390</v>
      </c>
      <c r="C97" s="320">
        <v>54</v>
      </c>
      <c r="D97" s="320">
        <v>58.9</v>
      </c>
      <c r="E97" s="578">
        <f t="shared" si="3"/>
        <v>0</v>
      </c>
      <c r="F97" s="578">
        <f t="shared" si="4"/>
        <v>-6.2857142857142856</v>
      </c>
    </row>
    <row r="98" spans="1:6" s="208" customFormat="1" x14ac:dyDescent="0.25">
      <c r="A98" s="18">
        <v>44191</v>
      </c>
      <c r="B98" s="350">
        <v>3262</v>
      </c>
      <c r="C98" s="320">
        <v>52.4</v>
      </c>
      <c r="D98" s="320">
        <v>55.8</v>
      </c>
      <c r="E98" s="578">
        <f t="shared" si="3"/>
        <v>-128</v>
      </c>
      <c r="F98" s="578">
        <f t="shared" si="4"/>
        <v>-27.142857142857142</v>
      </c>
    </row>
    <row r="99" spans="1:6" s="208" customFormat="1" x14ac:dyDescent="0.25">
      <c r="A99" s="18">
        <v>44192</v>
      </c>
      <c r="B99" s="350">
        <v>3313</v>
      </c>
      <c r="C99" s="320">
        <v>52.6</v>
      </c>
      <c r="D99" s="320">
        <v>56.2</v>
      </c>
      <c r="E99" s="578">
        <f t="shared" si="3"/>
        <v>51</v>
      </c>
      <c r="F99" s="578">
        <f t="shared" si="4"/>
        <v>-21.285714285714285</v>
      </c>
    </row>
    <row r="100" spans="1:6" s="208" customFormat="1" x14ac:dyDescent="0.25">
      <c r="A100" s="18">
        <v>44193</v>
      </c>
      <c r="B100" s="350">
        <v>3319</v>
      </c>
      <c r="C100" s="320">
        <v>52.6</v>
      </c>
      <c r="D100" s="320">
        <v>55.5</v>
      </c>
      <c r="E100" s="578">
        <f t="shared" si="3"/>
        <v>6</v>
      </c>
      <c r="F100" s="578">
        <f t="shared" si="4"/>
        <v>-6.8571428571428568</v>
      </c>
    </row>
    <row r="101" spans="1:6" s="208" customFormat="1" x14ac:dyDescent="0.25">
      <c r="A101" s="18">
        <v>44194</v>
      </c>
      <c r="B101" s="350">
        <v>3345</v>
      </c>
      <c r="C101" s="320">
        <v>53.2</v>
      </c>
      <c r="D101" s="320">
        <v>56.8</v>
      </c>
      <c r="E101" s="578">
        <f t="shared" si="3"/>
        <v>26</v>
      </c>
      <c r="F101" s="578">
        <f t="shared" si="4"/>
        <v>-7.7142857142857144</v>
      </c>
    </row>
    <row r="102" spans="1:6" s="208" customFormat="1" x14ac:dyDescent="0.25">
      <c r="A102" s="18">
        <v>44195</v>
      </c>
      <c r="B102" s="350">
        <v>3440</v>
      </c>
      <c r="C102" s="320">
        <v>53.3</v>
      </c>
      <c r="D102" s="320">
        <v>57</v>
      </c>
      <c r="E102" s="578">
        <f t="shared" si="3"/>
        <v>95</v>
      </c>
      <c r="F102" s="578">
        <f t="shared" si="4"/>
        <v>7.1428571428571432</v>
      </c>
    </row>
    <row r="103" spans="1:6" s="208" customFormat="1" x14ac:dyDescent="0.25">
      <c r="A103" s="18">
        <v>44196</v>
      </c>
      <c r="B103" s="350">
        <v>3440</v>
      </c>
      <c r="C103" s="320">
        <v>53.3</v>
      </c>
      <c r="D103" s="320">
        <v>57</v>
      </c>
      <c r="E103" s="578">
        <f t="shared" si="3"/>
        <v>0</v>
      </c>
      <c r="F103" s="578">
        <f t="shared" si="4"/>
        <v>7.1428571428571432</v>
      </c>
    </row>
    <row r="104" spans="1:6" s="208" customFormat="1" x14ac:dyDescent="0.25">
      <c r="A104" s="18">
        <v>44197</v>
      </c>
      <c r="B104" s="350">
        <v>3440</v>
      </c>
      <c r="C104" s="320">
        <v>53.3</v>
      </c>
      <c r="D104" s="320">
        <v>57</v>
      </c>
      <c r="E104" s="578">
        <f t="shared" si="3"/>
        <v>0</v>
      </c>
      <c r="F104" s="578">
        <f t="shared" si="4"/>
        <v>7.1428571428571432</v>
      </c>
    </row>
    <row r="105" spans="1:6" s="208" customFormat="1" x14ac:dyDescent="0.25">
      <c r="A105" s="18">
        <v>44198</v>
      </c>
      <c r="B105" s="350">
        <v>3438</v>
      </c>
      <c r="C105" s="320">
        <v>52.9</v>
      </c>
      <c r="D105" s="320">
        <v>56.9</v>
      </c>
      <c r="E105" s="578">
        <f t="shared" si="3"/>
        <v>-2</v>
      </c>
      <c r="F105" s="578">
        <f t="shared" si="4"/>
        <v>25.142857142857142</v>
      </c>
    </row>
    <row r="106" spans="1:6" s="208" customFormat="1" x14ac:dyDescent="0.25">
      <c r="A106" s="18">
        <v>44199</v>
      </c>
      <c r="B106" s="350">
        <v>3433</v>
      </c>
      <c r="C106" s="320">
        <v>53</v>
      </c>
      <c r="D106" s="320">
        <v>56.8</v>
      </c>
      <c r="E106" s="578">
        <f t="shared" si="3"/>
        <v>-5</v>
      </c>
      <c r="F106" s="578">
        <f t="shared" si="4"/>
        <v>17.142857142857142</v>
      </c>
    </row>
    <row r="107" spans="1:6" s="208" customFormat="1" x14ac:dyDescent="0.25">
      <c r="A107" s="18">
        <v>44200</v>
      </c>
      <c r="B107" s="350">
        <v>3502</v>
      </c>
      <c r="C107" s="320">
        <v>53.3</v>
      </c>
      <c r="D107" s="320">
        <v>57.3</v>
      </c>
      <c r="E107" s="578">
        <f t="shared" si="3"/>
        <v>69</v>
      </c>
      <c r="F107" s="578">
        <f t="shared" si="4"/>
        <v>26.142857142857142</v>
      </c>
    </row>
    <row r="108" spans="1:6" s="208" customFormat="1" x14ac:dyDescent="0.25">
      <c r="A108" s="18">
        <v>44201</v>
      </c>
      <c r="B108" s="350">
        <v>3460</v>
      </c>
      <c r="C108" s="320">
        <v>54</v>
      </c>
      <c r="D108" s="320">
        <v>58.1</v>
      </c>
      <c r="E108" s="578">
        <f t="shared" si="3"/>
        <v>-42</v>
      </c>
      <c r="F108" s="578">
        <f t="shared" si="4"/>
        <v>16.428571428571427</v>
      </c>
    </row>
    <row r="109" spans="1:6" s="208" customFormat="1" x14ac:dyDescent="0.25">
      <c r="A109" s="18">
        <v>44202</v>
      </c>
      <c r="B109" s="350">
        <v>3521</v>
      </c>
      <c r="C109" s="320">
        <v>54.3</v>
      </c>
      <c r="D109" s="320">
        <v>58.5</v>
      </c>
      <c r="E109" s="578">
        <f t="shared" si="3"/>
        <v>61</v>
      </c>
      <c r="F109" s="578">
        <f t="shared" si="4"/>
        <v>11.571428571428571</v>
      </c>
    </row>
    <row r="110" spans="1:6" s="208" customFormat="1" x14ac:dyDescent="0.25">
      <c r="A110" s="18">
        <v>44203</v>
      </c>
      <c r="B110" s="350">
        <v>3559</v>
      </c>
      <c r="C110" s="320">
        <v>54.7</v>
      </c>
      <c r="D110" s="320">
        <v>59.6</v>
      </c>
      <c r="E110" s="578">
        <f t="shared" si="3"/>
        <v>38</v>
      </c>
      <c r="F110" s="578">
        <f t="shared" si="4"/>
        <v>17</v>
      </c>
    </row>
    <row r="111" spans="1:6" s="208" customFormat="1" x14ac:dyDescent="0.25">
      <c r="A111" s="18">
        <v>44204</v>
      </c>
      <c r="B111" s="350">
        <v>3602</v>
      </c>
      <c r="C111" s="320">
        <v>54.9</v>
      </c>
      <c r="D111" s="320">
        <v>59.1</v>
      </c>
      <c r="E111" s="578">
        <f t="shared" si="3"/>
        <v>43</v>
      </c>
      <c r="F111" s="578">
        <f t="shared" si="4"/>
        <v>23.142857142857142</v>
      </c>
    </row>
    <row r="112" spans="1:6" s="208" customFormat="1" x14ac:dyDescent="0.25">
      <c r="A112" s="18">
        <v>44205</v>
      </c>
      <c r="B112" s="350">
        <v>3597</v>
      </c>
      <c r="C112" s="320">
        <v>55.1</v>
      </c>
      <c r="D112" s="320">
        <v>59.2</v>
      </c>
      <c r="E112" s="578">
        <f t="shared" si="3"/>
        <v>-5</v>
      </c>
      <c r="F112" s="578">
        <f t="shared" si="4"/>
        <v>22.714285714285715</v>
      </c>
    </row>
    <row r="113" spans="1:6" s="208" customFormat="1" x14ac:dyDescent="0.25">
      <c r="A113" s="18">
        <v>44206</v>
      </c>
      <c r="B113" s="350">
        <v>3612</v>
      </c>
      <c r="C113" s="320">
        <v>54.5</v>
      </c>
      <c r="D113" s="320">
        <v>58.4</v>
      </c>
      <c r="E113" s="578">
        <f t="shared" si="3"/>
        <v>15</v>
      </c>
      <c r="F113" s="578">
        <f t="shared" si="4"/>
        <v>25.571428571428573</v>
      </c>
    </row>
    <row r="114" spans="1:6" s="208" customFormat="1" x14ac:dyDescent="0.25">
      <c r="A114" s="18">
        <v>44207</v>
      </c>
      <c r="B114" s="350">
        <v>3606</v>
      </c>
      <c r="C114" s="320">
        <v>54.6</v>
      </c>
      <c r="D114" s="320">
        <v>58.8</v>
      </c>
      <c r="E114" s="578">
        <f t="shared" si="3"/>
        <v>-6</v>
      </c>
      <c r="F114" s="578">
        <f t="shared" si="4"/>
        <v>14.857142857142858</v>
      </c>
    </row>
    <row r="115" spans="1:6" s="208" customFormat="1" x14ac:dyDescent="0.25">
      <c r="A115" s="18">
        <v>44208</v>
      </c>
      <c r="B115" s="350">
        <v>3619</v>
      </c>
      <c r="C115" s="320">
        <v>54.9</v>
      </c>
      <c r="D115" s="320">
        <v>59.1</v>
      </c>
      <c r="E115" s="578">
        <f t="shared" si="3"/>
        <v>13</v>
      </c>
      <c r="F115" s="578">
        <f t="shared" si="4"/>
        <v>22.714285714285715</v>
      </c>
    </row>
    <row r="116" spans="1:6" s="208" customFormat="1" x14ac:dyDescent="0.25">
      <c r="A116" s="18">
        <v>44209</v>
      </c>
      <c r="B116" s="350">
        <v>3636</v>
      </c>
      <c r="C116" s="320">
        <v>55.9</v>
      </c>
      <c r="D116" s="320">
        <v>59.3</v>
      </c>
      <c r="E116" s="578">
        <f t="shared" si="3"/>
        <v>17</v>
      </c>
      <c r="F116" s="578">
        <f t="shared" si="4"/>
        <v>16.428571428571427</v>
      </c>
    </row>
    <row r="117" spans="1:6" s="208" customFormat="1" x14ac:dyDescent="0.25">
      <c r="A117" s="18">
        <v>44210</v>
      </c>
      <c r="B117" s="350">
        <v>3634</v>
      </c>
      <c r="C117" s="320">
        <v>55.2</v>
      </c>
      <c r="D117" s="320">
        <v>59.9</v>
      </c>
      <c r="E117" s="578">
        <f t="shared" si="3"/>
        <v>-2</v>
      </c>
      <c r="F117" s="578">
        <f t="shared" si="4"/>
        <v>10.714285714285714</v>
      </c>
    </row>
    <row r="118" spans="1:6" s="208" customFormat="1" x14ac:dyDescent="0.25">
      <c r="A118" s="18">
        <v>44211</v>
      </c>
      <c r="B118" s="350">
        <v>3578</v>
      </c>
      <c r="C118" s="320">
        <v>53.7</v>
      </c>
      <c r="D118" s="320">
        <v>58.9</v>
      </c>
      <c r="E118" s="578">
        <f t="shared" si="3"/>
        <v>-56</v>
      </c>
      <c r="F118" s="578">
        <f t="shared" si="4"/>
        <v>-3.4285714285714284</v>
      </c>
    </row>
    <row r="119" spans="1:6" s="208" customFormat="1" x14ac:dyDescent="0.25">
      <c r="A119" s="18">
        <v>44212</v>
      </c>
      <c r="B119" s="350">
        <v>3578</v>
      </c>
      <c r="C119" s="320">
        <v>54</v>
      </c>
      <c r="D119" s="320">
        <v>59</v>
      </c>
      <c r="E119" s="578">
        <f t="shared" si="3"/>
        <v>0</v>
      </c>
      <c r="F119" s="578">
        <f t="shared" si="4"/>
        <v>-2.7142857142857144</v>
      </c>
    </row>
    <row r="120" spans="1:6" s="208" customFormat="1" x14ac:dyDescent="0.25">
      <c r="A120" s="18">
        <v>44213</v>
      </c>
      <c r="B120" s="350">
        <v>3547</v>
      </c>
      <c r="C120" s="320">
        <v>53.8</v>
      </c>
      <c r="D120" s="320">
        <v>59</v>
      </c>
      <c r="E120" s="578">
        <f t="shared" si="3"/>
        <v>-31</v>
      </c>
      <c r="F120" s="578">
        <f t="shared" si="4"/>
        <v>-9.2857142857142865</v>
      </c>
    </row>
    <row r="121" spans="1:6" s="208" customFormat="1" x14ac:dyDescent="0.25">
      <c r="A121" s="18">
        <v>44214</v>
      </c>
      <c r="B121" s="350">
        <v>3564</v>
      </c>
      <c r="C121" s="320">
        <v>53.8</v>
      </c>
      <c r="D121" s="320">
        <v>59.1</v>
      </c>
      <c r="E121" s="578">
        <f t="shared" si="3"/>
        <v>17</v>
      </c>
      <c r="F121" s="578">
        <f t="shared" si="4"/>
        <v>-6</v>
      </c>
    </row>
    <row r="122" spans="1:6" s="208" customFormat="1" x14ac:dyDescent="0.25">
      <c r="A122" s="18">
        <v>44215</v>
      </c>
      <c r="B122" s="350">
        <v>3562</v>
      </c>
      <c r="C122" s="320">
        <v>54.5</v>
      </c>
      <c r="D122" s="320">
        <v>60.1</v>
      </c>
      <c r="E122" s="578">
        <f t="shared" si="3"/>
        <v>-2</v>
      </c>
      <c r="F122" s="578">
        <f t="shared" si="4"/>
        <v>-8.1428571428571423</v>
      </c>
    </row>
    <row r="123" spans="1:6" s="208" customFormat="1" x14ac:dyDescent="0.25">
      <c r="A123" s="18">
        <v>44216</v>
      </c>
      <c r="B123" s="350">
        <v>3605</v>
      </c>
      <c r="C123" s="320">
        <v>55</v>
      </c>
      <c r="D123" s="320">
        <v>61.1</v>
      </c>
      <c r="E123" s="578">
        <f t="shared" si="3"/>
        <v>43</v>
      </c>
      <c r="F123" s="578">
        <f t="shared" si="4"/>
        <v>-4.4285714285714288</v>
      </c>
    </row>
    <row r="124" spans="1:6" s="208" customFormat="1" x14ac:dyDescent="0.25">
      <c r="A124" s="18">
        <v>44217</v>
      </c>
      <c r="B124" s="350">
        <v>3616</v>
      </c>
      <c r="C124" s="320">
        <v>54.8</v>
      </c>
      <c r="D124" s="320">
        <v>61.5</v>
      </c>
      <c r="E124" s="578">
        <f t="shared" si="3"/>
        <v>11</v>
      </c>
      <c r="F124" s="578">
        <f t="shared" si="4"/>
        <v>-2.5714285714285716</v>
      </c>
    </row>
    <row r="125" spans="1:6" s="208" customFormat="1" x14ac:dyDescent="0.25">
      <c r="A125" s="18">
        <v>44218</v>
      </c>
      <c r="B125" s="350">
        <v>3631</v>
      </c>
      <c r="C125" s="320">
        <v>55</v>
      </c>
      <c r="D125" s="320">
        <v>61.4</v>
      </c>
      <c r="E125" s="578">
        <f t="shared" si="3"/>
        <v>15</v>
      </c>
      <c r="F125" s="578">
        <f t="shared" si="4"/>
        <v>7.5714285714285712</v>
      </c>
    </row>
    <row r="126" spans="1:6" s="208" customFormat="1" x14ac:dyDescent="0.25">
      <c r="A126" s="18">
        <v>44219</v>
      </c>
      <c r="B126" s="350">
        <v>3618</v>
      </c>
      <c r="C126" s="320">
        <v>54.6</v>
      </c>
      <c r="D126" s="320">
        <v>60.3</v>
      </c>
      <c r="E126" s="578">
        <f t="shared" si="3"/>
        <v>-13</v>
      </c>
      <c r="F126" s="578">
        <f t="shared" si="4"/>
        <v>5.7142857142857144</v>
      </c>
    </row>
    <row r="127" spans="1:6" s="208" customFormat="1" x14ac:dyDescent="0.25">
      <c r="A127" s="18">
        <v>44220</v>
      </c>
      <c r="B127" s="350">
        <v>3619</v>
      </c>
      <c r="C127" s="320">
        <v>54.3</v>
      </c>
      <c r="D127" s="320">
        <v>59.9</v>
      </c>
      <c r="E127" s="578">
        <f t="shared" si="3"/>
        <v>1</v>
      </c>
      <c r="F127" s="578">
        <f t="shared" si="4"/>
        <v>10.285714285714286</v>
      </c>
    </row>
    <row r="128" spans="1:6" s="208" customFormat="1" x14ac:dyDescent="0.25">
      <c r="A128" s="18">
        <v>44221</v>
      </c>
      <c r="B128" s="350">
        <v>3598</v>
      </c>
      <c r="C128" s="320">
        <v>54.6</v>
      </c>
      <c r="D128" s="320">
        <v>60.4</v>
      </c>
      <c r="E128" s="578">
        <f t="shared" si="3"/>
        <v>-21</v>
      </c>
      <c r="F128" s="578">
        <f t="shared" si="4"/>
        <v>4.8571428571428568</v>
      </c>
    </row>
    <row r="129" spans="1:6" s="208" customFormat="1" x14ac:dyDescent="0.25">
      <c r="A129" s="18">
        <v>44222</v>
      </c>
      <c r="B129" s="350">
        <v>3614</v>
      </c>
      <c r="C129" s="320">
        <v>55</v>
      </c>
      <c r="D129" s="320">
        <v>61.1</v>
      </c>
      <c r="E129" s="578">
        <f t="shared" si="3"/>
        <v>16</v>
      </c>
      <c r="F129" s="578">
        <f t="shared" si="4"/>
        <v>7.4285714285714288</v>
      </c>
    </row>
    <row r="130" spans="1:6" s="208" customFormat="1" x14ac:dyDescent="0.25">
      <c r="A130" s="18">
        <v>44223</v>
      </c>
      <c r="B130" s="350">
        <v>3627</v>
      </c>
      <c r="C130" s="320">
        <v>55.8</v>
      </c>
      <c r="D130" s="320">
        <v>62.1</v>
      </c>
      <c r="E130" s="578">
        <f t="shared" si="3"/>
        <v>13</v>
      </c>
      <c r="F130" s="578">
        <f t="shared" si="4"/>
        <v>3.1428571428571428</v>
      </c>
    </row>
    <row r="131" spans="1:6" s="208" customFormat="1" x14ac:dyDescent="0.25">
      <c r="A131" s="18">
        <v>44224</v>
      </c>
      <c r="B131" s="350">
        <v>3607</v>
      </c>
      <c r="C131" s="320">
        <v>55.3</v>
      </c>
      <c r="D131" s="320">
        <v>62</v>
      </c>
      <c r="E131" s="578">
        <f t="shared" si="3"/>
        <v>-20</v>
      </c>
      <c r="F131" s="578">
        <f t="shared" si="4"/>
        <v>-1.2857142857142858</v>
      </c>
    </row>
    <row r="132" spans="1:6" s="208" customFormat="1" x14ac:dyDescent="0.25">
      <c r="A132" s="18">
        <v>44225</v>
      </c>
      <c r="B132" s="350">
        <v>3628</v>
      </c>
      <c r="C132" s="320">
        <v>54.9</v>
      </c>
      <c r="D132" s="320">
        <v>61.5</v>
      </c>
      <c r="E132" s="578">
        <f t="shared" si="3"/>
        <v>21</v>
      </c>
      <c r="F132" s="578">
        <f t="shared" si="4"/>
        <v>-0.42857142857142855</v>
      </c>
    </row>
    <row r="133" spans="1:6" s="208" customFormat="1" x14ac:dyDescent="0.25">
      <c r="A133" s="18">
        <v>44226</v>
      </c>
      <c r="B133" s="350">
        <v>3624</v>
      </c>
      <c r="C133" s="320">
        <v>54.7</v>
      </c>
      <c r="D133" s="320">
        <v>61.1</v>
      </c>
      <c r="E133" s="578">
        <f t="shared" si="3"/>
        <v>-4</v>
      </c>
      <c r="F133" s="578">
        <f t="shared" si="4"/>
        <v>0.8571428571428571</v>
      </c>
    </row>
    <row r="134" spans="1:6" s="208" customFormat="1" x14ac:dyDescent="0.25">
      <c r="A134" s="18">
        <v>44227</v>
      </c>
      <c r="B134" s="350">
        <v>3617</v>
      </c>
      <c r="C134" s="320">
        <v>54.5</v>
      </c>
      <c r="D134" s="320">
        <v>60.7</v>
      </c>
      <c r="E134" s="578">
        <f t="shared" ref="E134:E144" si="5">B134-B133</f>
        <v>-7</v>
      </c>
      <c r="F134" s="578">
        <f t="shared" si="4"/>
        <v>-0.2857142857142857</v>
      </c>
    </row>
    <row r="135" spans="1:6" s="208" customFormat="1" x14ac:dyDescent="0.25">
      <c r="A135" s="18">
        <v>44228</v>
      </c>
      <c r="B135" s="350">
        <v>3554</v>
      </c>
      <c r="C135" s="320">
        <v>54.9</v>
      </c>
      <c r="D135" s="320">
        <v>61.1</v>
      </c>
      <c r="E135" s="578">
        <f t="shared" si="5"/>
        <v>-63</v>
      </c>
      <c r="F135" s="578">
        <f t="shared" si="4"/>
        <v>-6.2857142857142856</v>
      </c>
    </row>
    <row r="136" spans="1:6" s="208" customFormat="1" x14ac:dyDescent="0.25">
      <c r="A136" s="18">
        <v>44229</v>
      </c>
      <c r="B136" s="350">
        <v>3586</v>
      </c>
      <c r="C136" s="320">
        <v>54.4</v>
      </c>
      <c r="D136" s="320">
        <v>60.7</v>
      </c>
      <c r="E136" s="578">
        <f t="shared" si="5"/>
        <v>32</v>
      </c>
      <c r="F136" s="578">
        <f t="shared" si="4"/>
        <v>-4</v>
      </c>
    </row>
    <row r="137" spans="1:6" s="208" customFormat="1" x14ac:dyDescent="0.25">
      <c r="A137" s="18">
        <v>44230</v>
      </c>
      <c r="B137" s="350">
        <v>3571</v>
      </c>
      <c r="C137" s="320">
        <v>54.8</v>
      </c>
      <c r="D137" s="320">
        <v>61.4</v>
      </c>
      <c r="E137" s="578">
        <f t="shared" si="5"/>
        <v>-15</v>
      </c>
      <c r="F137" s="578">
        <f t="shared" si="4"/>
        <v>-8</v>
      </c>
    </row>
    <row r="138" spans="1:6" s="208" customFormat="1" x14ac:dyDescent="0.25">
      <c r="A138" s="18">
        <v>44231</v>
      </c>
      <c r="B138" s="350">
        <v>3570</v>
      </c>
      <c r="C138" s="320">
        <v>54.7</v>
      </c>
      <c r="D138" s="320">
        <v>61.2</v>
      </c>
      <c r="E138" s="578">
        <f t="shared" si="5"/>
        <v>-1</v>
      </c>
      <c r="F138" s="578">
        <f t="shared" si="4"/>
        <v>-5.2857142857142856</v>
      </c>
    </row>
    <row r="139" spans="1:6" s="208" customFormat="1" x14ac:dyDescent="0.25">
      <c r="A139" s="18">
        <v>44232</v>
      </c>
      <c r="B139" s="350">
        <v>3550</v>
      </c>
      <c r="C139" s="320">
        <v>55.4</v>
      </c>
      <c r="D139" s="320">
        <v>61.1</v>
      </c>
      <c r="E139" s="578">
        <f t="shared" si="5"/>
        <v>-20</v>
      </c>
      <c r="F139" s="578">
        <f t="shared" si="4"/>
        <v>-11.142857142857142</v>
      </c>
    </row>
    <row r="140" spans="1:6" s="208" customFormat="1" x14ac:dyDescent="0.25">
      <c r="A140" s="18">
        <v>44233</v>
      </c>
      <c r="B140" s="350">
        <v>3550</v>
      </c>
      <c r="C140" s="320">
        <v>54.8</v>
      </c>
      <c r="D140" s="320">
        <v>60.4</v>
      </c>
      <c r="E140" s="578">
        <f t="shared" si="5"/>
        <v>0</v>
      </c>
      <c r="F140" s="578">
        <f t="shared" si="4"/>
        <v>-10.571428571428571</v>
      </c>
    </row>
    <row r="141" spans="1:6" s="208" customFormat="1" x14ac:dyDescent="0.25">
      <c r="A141" s="18">
        <v>44234</v>
      </c>
      <c r="B141" s="350">
        <v>3550</v>
      </c>
      <c r="C141" s="320">
        <v>54.8</v>
      </c>
      <c r="D141" s="320">
        <v>59.8</v>
      </c>
      <c r="E141" s="578">
        <f t="shared" si="5"/>
        <v>0</v>
      </c>
      <c r="F141" s="578">
        <f t="shared" si="4"/>
        <v>-9.5714285714285712</v>
      </c>
    </row>
    <row r="142" spans="1:6" s="208" customFormat="1" x14ac:dyDescent="0.25">
      <c r="A142" s="18">
        <v>44235</v>
      </c>
      <c r="B142" s="350">
        <v>3526</v>
      </c>
      <c r="C142" s="320">
        <v>54.5</v>
      </c>
      <c r="D142" s="320">
        <v>60.2</v>
      </c>
      <c r="E142" s="578">
        <f t="shared" si="5"/>
        <v>-24</v>
      </c>
      <c r="F142" s="578">
        <f t="shared" si="4"/>
        <v>-4</v>
      </c>
    </row>
    <row r="143" spans="1:6" s="208" customFormat="1" x14ac:dyDescent="0.25">
      <c r="A143" s="18">
        <v>44236</v>
      </c>
      <c r="B143" s="350">
        <v>3553</v>
      </c>
      <c r="C143" s="320">
        <v>54.2</v>
      </c>
      <c r="D143" s="320">
        <v>60.2</v>
      </c>
      <c r="E143" s="578">
        <f t="shared" si="5"/>
        <v>27</v>
      </c>
      <c r="F143" s="578">
        <f t="shared" si="4"/>
        <v>-4.7142857142857144</v>
      </c>
    </row>
    <row r="144" spans="1:6" s="208" customFormat="1" x14ac:dyDescent="0.25">
      <c r="A144" s="18">
        <v>44237</v>
      </c>
      <c r="B144" s="350">
        <v>3561</v>
      </c>
      <c r="C144" s="320">
        <v>54.5</v>
      </c>
      <c r="D144" s="320">
        <v>59.7</v>
      </c>
      <c r="E144" s="578">
        <f t="shared" si="5"/>
        <v>8</v>
      </c>
      <c r="F144" s="578">
        <f t="shared" si="4"/>
        <v>-1.4285714285714286</v>
      </c>
    </row>
    <row r="145" spans="1:6" s="208" customFormat="1" x14ac:dyDescent="0.25">
      <c r="A145" s="18">
        <v>44238</v>
      </c>
      <c r="B145" s="350">
        <v>3541</v>
      </c>
      <c r="C145" s="320">
        <v>54.5</v>
      </c>
      <c r="D145" s="320">
        <v>59.1</v>
      </c>
      <c r="E145" s="578">
        <f t="shared" ref="E145:E165" si="6">B145-B144</f>
        <v>-20</v>
      </c>
      <c r="F145" s="578">
        <f t="shared" si="4"/>
        <v>-4.1428571428571432</v>
      </c>
    </row>
    <row r="146" spans="1:6" s="208" customFormat="1" x14ac:dyDescent="0.25">
      <c r="A146" s="18">
        <v>44239</v>
      </c>
      <c r="B146" s="350">
        <v>3538</v>
      </c>
      <c r="C146" s="320">
        <v>54.6</v>
      </c>
      <c r="D146" s="320">
        <v>59.8</v>
      </c>
      <c r="E146" s="578">
        <f t="shared" si="6"/>
        <v>-3</v>
      </c>
      <c r="F146" s="578">
        <f t="shared" si="4"/>
        <v>-1.7142857142857142</v>
      </c>
    </row>
    <row r="147" spans="1:6" s="208" customFormat="1" x14ac:dyDescent="0.25">
      <c r="A147" s="18">
        <v>44240</v>
      </c>
      <c r="B147" s="350">
        <v>3514</v>
      </c>
      <c r="C147" s="320">
        <v>54.7</v>
      </c>
      <c r="D147" s="320">
        <v>59.9</v>
      </c>
      <c r="E147" s="578">
        <f t="shared" si="6"/>
        <v>-24</v>
      </c>
      <c r="F147" s="578">
        <f t="shared" si="4"/>
        <v>-5.1428571428571432</v>
      </c>
    </row>
    <row r="148" spans="1:6" s="208" customFormat="1" x14ac:dyDescent="0.25">
      <c r="A148" s="18">
        <v>44241</v>
      </c>
      <c r="B148" s="350">
        <v>3547</v>
      </c>
      <c r="C148" s="320">
        <v>54.6</v>
      </c>
      <c r="D148" s="320">
        <v>59.9</v>
      </c>
      <c r="E148" s="578">
        <f t="shared" si="6"/>
        <v>33</v>
      </c>
      <c r="F148" s="578">
        <f t="shared" si="4"/>
        <v>-0.42857142857142855</v>
      </c>
    </row>
    <row r="149" spans="1:6" s="208" customFormat="1" x14ac:dyDescent="0.25">
      <c r="A149" s="18">
        <v>44242</v>
      </c>
      <c r="B149" s="350">
        <v>3538</v>
      </c>
      <c r="C149" s="320">
        <v>54.2</v>
      </c>
      <c r="D149" s="320">
        <v>58.8</v>
      </c>
      <c r="E149" s="578">
        <f t="shared" si="6"/>
        <v>-9</v>
      </c>
      <c r="F149" s="578">
        <f t="shared" si="4"/>
        <v>1.7142857142857142</v>
      </c>
    </row>
    <row r="150" spans="1:6" s="208" customFormat="1" x14ac:dyDescent="0.25">
      <c r="A150" s="18">
        <v>44243</v>
      </c>
      <c r="B150" s="350">
        <v>3581</v>
      </c>
      <c r="C150" s="320">
        <v>54.2</v>
      </c>
      <c r="D150" s="320">
        <v>59</v>
      </c>
      <c r="E150" s="578">
        <f t="shared" si="6"/>
        <v>43</v>
      </c>
      <c r="F150" s="578">
        <f t="shared" ref="F150:F164" si="7">AVERAGE(E144:E150)</f>
        <v>4</v>
      </c>
    </row>
    <row r="151" spans="1:6" s="208" customFormat="1" x14ac:dyDescent="0.25">
      <c r="A151" s="18">
        <v>44244</v>
      </c>
      <c r="B151" s="350">
        <v>3573</v>
      </c>
      <c r="C151" s="320">
        <v>53.8</v>
      </c>
      <c r="D151" s="320">
        <v>58.7</v>
      </c>
      <c r="E151" s="578">
        <f t="shared" si="6"/>
        <v>-8</v>
      </c>
      <c r="F151" s="578">
        <f t="shared" si="7"/>
        <v>1.7142857142857142</v>
      </c>
    </row>
    <row r="152" spans="1:6" s="208" customFormat="1" x14ac:dyDescent="0.25">
      <c r="A152" s="18">
        <v>44245</v>
      </c>
      <c r="B152" s="618">
        <v>3573</v>
      </c>
      <c r="C152" s="619">
        <v>53.8</v>
      </c>
      <c r="D152" s="619">
        <v>58.7</v>
      </c>
      <c r="E152" s="578">
        <f t="shared" si="6"/>
        <v>0</v>
      </c>
      <c r="F152" s="578">
        <f t="shared" si="7"/>
        <v>4.5714285714285712</v>
      </c>
    </row>
    <row r="153" spans="1:6" s="208" customFormat="1" x14ac:dyDescent="0.25">
      <c r="A153" s="18">
        <v>44246</v>
      </c>
      <c r="B153" s="350">
        <v>3608</v>
      </c>
      <c r="C153" s="320">
        <v>54.2</v>
      </c>
      <c r="D153" s="320">
        <v>59.3</v>
      </c>
      <c r="E153" s="578">
        <f t="shared" si="6"/>
        <v>35</v>
      </c>
      <c r="F153" s="578">
        <f t="shared" si="7"/>
        <v>10</v>
      </c>
    </row>
    <row r="154" spans="1:6" s="208" customFormat="1" x14ac:dyDescent="0.25">
      <c r="A154" s="18">
        <v>44247</v>
      </c>
      <c r="B154" s="350">
        <v>3605</v>
      </c>
      <c r="C154" s="320">
        <v>54.2</v>
      </c>
      <c r="D154" s="320">
        <v>59.3</v>
      </c>
      <c r="E154" s="578">
        <f t="shared" si="6"/>
        <v>-3</v>
      </c>
      <c r="F154" s="578">
        <f t="shared" si="7"/>
        <v>13</v>
      </c>
    </row>
    <row r="155" spans="1:6" s="208" customFormat="1" x14ac:dyDescent="0.25">
      <c r="A155" s="18">
        <v>44248</v>
      </c>
      <c r="B155" s="350">
        <v>3605</v>
      </c>
      <c r="C155" s="320">
        <v>54.3</v>
      </c>
      <c r="D155" s="320">
        <v>59.6</v>
      </c>
      <c r="E155" s="578">
        <f t="shared" si="6"/>
        <v>0</v>
      </c>
      <c r="F155" s="578">
        <f t="shared" si="7"/>
        <v>8.2857142857142865</v>
      </c>
    </row>
    <row r="156" spans="1:6" s="208" customFormat="1" x14ac:dyDescent="0.25">
      <c r="A156" s="18">
        <v>44249</v>
      </c>
      <c r="B156" s="350">
        <v>3550</v>
      </c>
      <c r="C156" s="320">
        <v>54.2</v>
      </c>
      <c r="D156" s="320">
        <v>60</v>
      </c>
      <c r="E156" s="578">
        <f t="shared" si="6"/>
        <v>-55</v>
      </c>
      <c r="F156" s="578">
        <f t="shared" si="7"/>
        <v>1.7142857142857142</v>
      </c>
    </row>
    <row r="157" spans="1:6" s="208" customFormat="1" x14ac:dyDescent="0.25">
      <c r="A157" s="18">
        <v>44250</v>
      </c>
      <c r="B157" s="350">
        <v>3529</v>
      </c>
      <c r="C157" s="320">
        <v>54.3</v>
      </c>
      <c r="D157" s="320">
        <v>60.2</v>
      </c>
      <c r="E157" s="578">
        <f t="shared" si="6"/>
        <v>-21</v>
      </c>
      <c r="F157" s="578">
        <f t="shared" si="7"/>
        <v>-7.4285714285714288</v>
      </c>
    </row>
    <row r="158" spans="1:6" s="208" customFormat="1" x14ac:dyDescent="0.25">
      <c r="A158" s="18">
        <v>44251</v>
      </c>
      <c r="B158" s="350">
        <v>3504</v>
      </c>
      <c r="C158" s="320">
        <v>54</v>
      </c>
      <c r="D158" s="320">
        <v>60</v>
      </c>
      <c r="E158" s="578">
        <f t="shared" si="6"/>
        <v>-25</v>
      </c>
      <c r="F158" s="578">
        <f t="shared" si="7"/>
        <v>-9.8571428571428577</v>
      </c>
    </row>
    <row r="159" spans="1:6" s="208" customFormat="1" x14ac:dyDescent="0.25">
      <c r="A159" s="18">
        <v>44252</v>
      </c>
      <c r="B159" s="350">
        <v>3467</v>
      </c>
      <c r="C159" s="320">
        <v>54.1</v>
      </c>
      <c r="D159" s="320">
        <v>60.2</v>
      </c>
      <c r="E159" s="578">
        <f t="shared" si="6"/>
        <v>-37</v>
      </c>
      <c r="F159" s="578">
        <f t="shared" si="7"/>
        <v>-15.142857142857142</v>
      </c>
    </row>
    <row r="160" spans="1:6" s="208" customFormat="1" x14ac:dyDescent="0.25">
      <c r="A160" s="18">
        <v>44253</v>
      </c>
      <c r="B160" s="350">
        <v>3475</v>
      </c>
      <c r="C160" s="320">
        <v>54.1</v>
      </c>
      <c r="D160" s="320">
        <v>60.2</v>
      </c>
      <c r="E160" s="578">
        <f t="shared" si="6"/>
        <v>8</v>
      </c>
      <c r="F160" s="578">
        <f t="shared" si="7"/>
        <v>-19</v>
      </c>
    </row>
    <row r="161" spans="1:30" s="208" customFormat="1" x14ac:dyDescent="0.25">
      <c r="A161" s="18">
        <v>44254</v>
      </c>
      <c r="B161" s="352">
        <v>3494</v>
      </c>
      <c r="C161" s="352">
        <v>54.1</v>
      </c>
      <c r="D161" s="352">
        <v>60.2</v>
      </c>
      <c r="E161" s="578">
        <f t="shared" si="6"/>
        <v>19</v>
      </c>
      <c r="F161" s="578">
        <f t="shared" si="7"/>
        <v>-15.857142857142858</v>
      </c>
    </row>
    <row r="162" spans="1:30" s="208" customFormat="1" x14ac:dyDescent="0.25">
      <c r="A162" s="18">
        <v>44255</v>
      </c>
      <c r="B162" s="350">
        <v>3505</v>
      </c>
      <c r="C162" s="320">
        <v>53.7</v>
      </c>
      <c r="D162" s="320">
        <v>60.4</v>
      </c>
      <c r="E162" s="578">
        <f t="shared" si="6"/>
        <v>11</v>
      </c>
      <c r="F162" s="578">
        <f t="shared" si="7"/>
        <v>-14.285714285714286</v>
      </c>
    </row>
    <row r="163" spans="1:30" x14ac:dyDescent="0.25">
      <c r="A163" s="18">
        <v>44256</v>
      </c>
      <c r="B163" s="353">
        <v>3505</v>
      </c>
      <c r="C163" s="321">
        <v>53.3</v>
      </c>
      <c r="D163" s="321">
        <v>59.7</v>
      </c>
      <c r="E163" s="578">
        <f t="shared" si="6"/>
        <v>0</v>
      </c>
      <c r="F163" s="578">
        <f t="shared" si="7"/>
        <v>-6.4285714285714288</v>
      </c>
    </row>
    <row r="164" spans="1:30" x14ac:dyDescent="0.25">
      <c r="A164" s="18">
        <v>44257</v>
      </c>
      <c r="B164" s="354">
        <v>3527</v>
      </c>
      <c r="C164" s="1">
        <v>54</v>
      </c>
      <c r="D164" s="1">
        <v>60</v>
      </c>
      <c r="E164" s="578">
        <f t="shared" si="6"/>
        <v>22</v>
      </c>
      <c r="F164" s="578">
        <f t="shared" si="7"/>
        <v>-0.2857142857142857</v>
      </c>
    </row>
    <row r="165" spans="1:30" x14ac:dyDescent="0.25">
      <c r="A165" s="18">
        <v>44258</v>
      </c>
      <c r="B165" s="354">
        <v>3521</v>
      </c>
      <c r="C165" s="1">
        <v>54.2</v>
      </c>
      <c r="D165" s="1">
        <v>59.3</v>
      </c>
      <c r="E165" s="578">
        <f t="shared" si="6"/>
        <v>-6</v>
      </c>
      <c r="F165" s="578">
        <f t="shared" ref="F165:F180" si="8">AVERAGE(E159:E165)</f>
        <v>2.4285714285714284</v>
      </c>
    </row>
    <row r="166" spans="1:30" x14ac:dyDescent="0.25">
      <c r="A166" s="18">
        <v>44259</v>
      </c>
      <c r="B166" s="354">
        <v>3489</v>
      </c>
      <c r="C166" s="1">
        <v>53.9</v>
      </c>
      <c r="D166" s="1">
        <v>59</v>
      </c>
      <c r="E166" s="578">
        <f t="shared" ref="E166:E217" si="9">B166-B165</f>
        <v>-32</v>
      </c>
      <c r="F166" s="578">
        <f t="shared" si="8"/>
        <v>3.1428571428571428</v>
      </c>
    </row>
    <row r="167" spans="1:30" x14ac:dyDescent="0.25">
      <c r="A167" s="18">
        <v>44260</v>
      </c>
      <c r="B167" s="354">
        <v>3485</v>
      </c>
      <c r="C167" s="1">
        <v>53.9</v>
      </c>
      <c r="D167" s="1">
        <v>59.3</v>
      </c>
      <c r="E167" s="578">
        <f t="shared" si="9"/>
        <v>-4</v>
      </c>
      <c r="F167" s="578">
        <f t="shared" si="8"/>
        <v>1.4285714285714286</v>
      </c>
    </row>
    <row r="168" spans="1:30" x14ac:dyDescent="0.25">
      <c r="A168" s="18">
        <v>44261</v>
      </c>
      <c r="B168" s="354">
        <v>3475</v>
      </c>
      <c r="C168" s="1">
        <v>54.2</v>
      </c>
      <c r="D168" s="1">
        <v>59.7</v>
      </c>
      <c r="E168" s="578">
        <f t="shared" si="9"/>
        <v>-10</v>
      </c>
      <c r="F168" s="578">
        <f t="shared" si="8"/>
        <v>-2.7142857142857144</v>
      </c>
    </row>
    <row r="169" spans="1:30" x14ac:dyDescent="0.25">
      <c r="A169" s="18">
        <v>44262</v>
      </c>
      <c r="B169" s="354">
        <v>3467</v>
      </c>
      <c r="C169" s="1">
        <v>54</v>
      </c>
      <c r="D169" s="1">
        <v>59</v>
      </c>
      <c r="E169" s="578">
        <f t="shared" si="9"/>
        <v>-8</v>
      </c>
      <c r="F169" s="578">
        <f t="shared" si="8"/>
        <v>-5.4285714285714288</v>
      </c>
    </row>
    <row r="170" spans="1:30" x14ac:dyDescent="0.25">
      <c r="A170" s="18">
        <v>44263</v>
      </c>
      <c r="B170" s="354">
        <v>3484</v>
      </c>
      <c r="C170" s="1">
        <v>54.5</v>
      </c>
      <c r="D170" s="1">
        <v>59.5</v>
      </c>
      <c r="E170" s="578">
        <f t="shared" si="9"/>
        <v>17</v>
      </c>
      <c r="F170" s="578">
        <f t="shared" si="8"/>
        <v>-3</v>
      </c>
    </row>
    <row r="171" spans="1:30" x14ac:dyDescent="0.25">
      <c r="A171" s="18">
        <v>44264</v>
      </c>
      <c r="B171" s="354">
        <v>3525</v>
      </c>
      <c r="C171" s="1">
        <v>54.5</v>
      </c>
      <c r="D171" s="1">
        <v>60.1</v>
      </c>
      <c r="E171" s="578">
        <f t="shared" si="9"/>
        <v>41</v>
      </c>
      <c r="F171" s="578">
        <f t="shared" si="8"/>
        <v>-0.2857142857142857</v>
      </c>
    </row>
    <row r="172" spans="1:30" x14ac:dyDescent="0.25">
      <c r="A172" s="18">
        <v>44265</v>
      </c>
      <c r="B172" s="354">
        <v>3491</v>
      </c>
      <c r="C172" s="1">
        <v>54.2</v>
      </c>
      <c r="D172" s="1">
        <v>59.4</v>
      </c>
      <c r="E172" s="578">
        <f t="shared" si="9"/>
        <v>-34</v>
      </c>
      <c r="F172" s="578">
        <f t="shared" si="8"/>
        <v>-4.2857142857142856</v>
      </c>
    </row>
    <row r="173" spans="1:30" x14ac:dyDescent="0.25">
      <c r="A173" s="18">
        <v>44266</v>
      </c>
      <c r="B173" s="354">
        <v>3438</v>
      </c>
      <c r="C173" s="1">
        <v>54.5</v>
      </c>
      <c r="D173" s="1">
        <v>60</v>
      </c>
      <c r="E173" s="578">
        <f t="shared" si="9"/>
        <v>-53</v>
      </c>
      <c r="F173" s="578">
        <f t="shared" si="8"/>
        <v>-7.2857142857142856</v>
      </c>
    </row>
    <row r="174" spans="1:30" x14ac:dyDescent="0.25">
      <c r="A174" s="18">
        <v>44267</v>
      </c>
      <c r="B174" s="354">
        <v>3417</v>
      </c>
      <c r="C174" s="1">
        <v>54.6</v>
      </c>
      <c r="D174" s="1">
        <v>60</v>
      </c>
      <c r="E174" s="578">
        <f t="shared" si="9"/>
        <v>-21</v>
      </c>
      <c r="F174" s="578">
        <f t="shared" si="8"/>
        <v>-9.7142857142857135</v>
      </c>
    </row>
    <row r="175" spans="1:30" x14ac:dyDescent="0.25">
      <c r="A175" s="18">
        <v>44268</v>
      </c>
      <c r="B175" s="354">
        <v>3454</v>
      </c>
      <c r="C175" s="1">
        <v>54.6</v>
      </c>
      <c r="D175" s="1">
        <v>60</v>
      </c>
      <c r="E175" s="578">
        <f t="shared" si="9"/>
        <v>37</v>
      </c>
      <c r="F175" s="578">
        <f t="shared" si="8"/>
        <v>-3</v>
      </c>
    </row>
    <row r="176" spans="1:30" x14ac:dyDescent="0.25">
      <c r="A176" s="18">
        <v>44269</v>
      </c>
      <c r="B176" s="354">
        <v>3479</v>
      </c>
      <c r="C176" s="1">
        <v>54.2</v>
      </c>
      <c r="D176" s="1">
        <v>59.4</v>
      </c>
      <c r="E176" s="578">
        <f t="shared" si="9"/>
        <v>25</v>
      </c>
      <c r="F176" s="578">
        <f t="shared" si="8"/>
        <v>1.7142857142857142</v>
      </c>
      <c r="AD176">
        <f>7827/3638</f>
        <v>2.1514568444200108</v>
      </c>
    </row>
    <row r="177" spans="1:6" x14ac:dyDescent="0.25">
      <c r="A177" s="18">
        <v>44270</v>
      </c>
      <c r="B177" s="354">
        <v>3469</v>
      </c>
      <c r="C177" s="1">
        <v>54.2</v>
      </c>
      <c r="D177" s="1">
        <v>58.6</v>
      </c>
      <c r="E177" s="578">
        <f t="shared" si="9"/>
        <v>-10</v>
      </c>
      <c r="F177" s="578">
        <f t="shared" si="8"/>
        <v>-2.1428571428571428</v>
      </c>
    </row>
    <row r="178" spans="1:6" x14ac:dyDescent="0.25">
      <c r="A178" s="18">
        <v>44271</v>
      </c>
      <c r="B178" s="354">
        <v>3469</v>
      </c>
      <c r="C178" s="1">
        <v>54.6</v>
      </c>
      <c r="D178" s="1">
        <v>59.4</v>
      </c>
      <c r="E178" s="578">
        <f t="shared" si="9"/>
        <v>0</v>
      </c>
      <c r="F178" s="578">
        <f t="shared" si="8"/>
        <v>-8</v>
      </c>
    </row>
    <row r="179" spans="1:6" x14ac:dyDescent="0.25">
      <c r="A179" s="18">
        <v>44272</v>
      </c>
      <c r="B179" s="354">
        <v>3485</v>
      </c>
      <c r="C179" s="1">
        <v>55.1</v>
      </c>
      <c r="D179" s="1">
        <v>59.8</v>
      </c>
      <c r="E179" s="578">
        <f t="shared" si="9"/>
        <v>16</v>
      </c>
      <c r="F179" s="578">
        <f t="shared" si="8"/>
        <v>-0.8571428571428571</v>
      </c>
    </row>
    <row r="180" spans="1:6" x14ac:dyDescent="0.25">
      <c r="A180" s="18">
        <v>44273</v>
      </c>
      <c r="B180" s="354">
        <v>3522</v>
      </c>
      <c r="C180" s="1">
        <v>55.9</v>
      </c>
      <c r="D180" s="1">
        <v>61.5</v>
      </c>
      <c r="E180" s="578">
        <f t="shared" si="9"/>
        <v>37</v>
      </c>
      <c r="F180" s="578">
        <f t="shared" si="8"/>
        <v>12</v>
      </c>
    </row>
    <row r="181" spans="1:6" x14ac:dyDescent="0.25">
      <c r="A181" s="18">
        <v>44274</v>
      </c>
      <c r="B181" s="354">
        <v>3534</v>
      </c>
      <c r="C181" s="1">
        <v>55.2</v>
      </c>
      <c r="D181" s="1">
        <v>60.8</v>
      </c>
      <c r="E181" s="578">
        <f t="shared" si="9"/>
        <v>12</v>
      </c>
      <c r="F181" s="578">
        <f t="shared" ref="F181:F195" si="10">AVERAGE(E175:E181)</f>
        <v>16.714285714285715</v>
      </c>
    </row>
    <row r="182" spans="1:6" x14ac:dyDescent="0.25">
      <c r="A182" s="18">
        <v>44275</v>
      </c>
      <c r="B182" s="354">
        <v>3534</v>
      </c>
      <c r="C182" s="1">
        <v>55.2</v>
      </c>
      <c r="D182" s="1">
        <v>60.7</v>
      </c>
      <c r="E182" s="578">
        <f t="shared" si="9"/>
        <v>0</v>
      </c>
      <c r="F182" s="578">
        <f t="shared" si="10"/>
        <v>11.428571428571429</v>
      </c>
    </row>
    <row r="183" spans="1:6" x14ac:dyDescent="0.25">
      <c r="A183" s="18">
        <v>44276</v>
      </c>
      <c r="B183" s="354">
        <v>3534</v>
      </c>
      <c r="C183" s="1">
        <v>54.9</v>
      </c>
      <c r="D183" s="1">
        <v>59.9</v>
      </c>
      <c r="E183" s="578">
        <f t="shared" si="9"/>
        <v>0</v>
      </c>
      <c r="F183" s="578">
        <f t="shared" si="10"/>
        <v>7.8571428571428568</v>
      </c>
    </row>
    <row r="184" spans="1:6" x14ac:dyDescent="0.25">
      <c r="A184" s="18">
        <v>44277</v>
      </c>
      <c r="B184" s="354">
        <v>3530</v>
      </c>
      <c r="C184" s="1">
        <v>55</v>
      </c>
      <c r="D184" s="1">
        <v>58.1</v>
      </c>
      <c r="E184" s="578">
        <f t="shared" si="9"/>
        <v>-4</v>
      </c>
      <c r="F184" s="578">
        <f t="shared" si="10"/>
        <v>8.7142857142857135</v>
      </c>
    </row>
    <row r="185" spans="1:6" x14ac:dyDescent="0.25">
      <c r="A185" s="18">
        <v>44278</v>
      </c>
      <c r="B185" s="354">
        <v>3591</v>
      </c>
      <c r="C185" s="1">
        <v>55.2</v>
      </c>
      <c r="D185" s="1">
        <v>58.5</v>
      </c>
      <c r="E185" s="578">
        <f t="shared" si="9"/>
        <v>61</v>
      </c>
      <c r="F185" s="578">
        <f t="shared" si="10"/>
        <v>17.428571428571427</v>
      </c>
    </row>
    <row r="186" spans="1:6" x14ac:dyDescent="0.25">
      <c r="A186" s="18">
        <v>44279</v>
      </c>
      <c r="B186" s="354">
        <v>3574</v>
      </c>
      <c r="C186" s="1">
        <v>55.7</v>
      </c>
      <c r="D186" s="1">
        <v>59.2</v>
      </c>
      <c r="E186" s="578">
        <f t="shared" si="9"/>
        <v>-17</v>
      </c>
      <c r="F186" s="578">
        <f t="shared" si="10"/>
        <v>12.714285714285714</v>
      </c>
    </row>
    <row r="187" spans="1:6" x14ac:dyDescent="0.25">
      <c r="A187" s="18">
        <v>44280</v>
      </c>
      <c r="B187" s="354">
        <v>3585</v>
      </c>
      <c r="C187" s="1">
        <v>54.9</v>
      </c>
      <c r="D187" s="1">
        <v>57.8</v>
      </c>
      <c r="E187" s="578">
        <f t="shared" si="9"/>
        <v>11</v>
      </c>
      <c r="F187" s="578">
        <f t="shared" si="10"/>
        <v>9</v>
      </c>
    </row>
    <row r="188" spans="1:6" x14ac:dyDescent="0.25">
      <c r="A188" s="18">
        <v>44281</v>
      </c>
      <c r="B188" s="354">
        <v>3508</v>
      </c>
      <c r="C188" s="1">
        <v>55.1</v>
      </c>
      <c r="D188" s="1">
        <v>58.6</v>
      </c>
      <c r="E188" s="578">
        <f t="shared" si="9"/>
        <v>-77</v>
      </c>
      <c r="F188" s="578">
        <f t="shared" si="10"/>
        <v>-3.7142857142857144</v>
      </c>
    </row>
    <row r="189" spans="1:6" x14ac:dyDescent="0.25">
      <c r="A189" s="291">
        <v>44282</v>
      </c>
      <c r="B189" s="354">
        <v>3506</v>
      </c>
      <c r="C189" s="1">
        <v>55.5</v>
      </c>
      <c r="D189" s="1">
        <v>59.9</v>
      </c>
      <c r="E189" s="578">
        <f t="shared" si="9"/>
        <v>-2</v>
      </c>
      <c r="F189" s="578">
        <f t="shared" si="10"/>
        <v>-4</v>
      </c>
    </row>
    <row r="190" spans="1:6" x14ac:dyDescent="0.25">
      <c r="A190" s="18">
        <v>44283</v>
      </c>
      <c r="B190" s="354">
        <v>3505</v>
      </c>
      <c r="C190" s="1">
        <v>55.5</v>
      </c>
      <c r="D190" s="1">
        <v>59.9</v>
      </c>
      <c r="E190" s="578">
        <f t="shared" si="9"/>
        <v>-1</v>
      </c>
      <c r="F190" s="578">
        <f t="shared" si="10"/>
        <v>-4.1428571428571432</v>
      </c>
    </row>
    <row r="191" spans="1:6" x14ac:dyDescent="0.25">
      <c r="A191" s="18">
        <v>44284</v>
      </c>
      <c r="B191" s="354">
        <v>3639</v>
      </c>
      <c r="C191" s="1">
        <v>55.6</v>
      </c>
      <c r="D191" s="1">
        <v>60.3</v>
      </c>
      <c r="E191" s="578">
        <f t="shared" si="9"/>
        <v>134</v>
      </c>
      <c r="F191" s="578">
        <f t="shared" si="10"/>
        <v>15.571428571428571</v>
      </c>
    </row>
    <row r="192" spans="1:6" x14ac:dyDescent="0.25">
      <c r="A192" s="18">
        <v>44285</v>
      </c>
      <c r="B192" s="354">
        <v>3702</v>
      </c>
      <c r="C192" s="1">
        <v>56</v>
      </c>
      <c r="D192" s="1">
        <v>61</v>
      </c>
      <c r="E192" s="578">
        <f t="shared" si="9"/>
        <v>63</v>
      </c>
      <c r="F192" s="578">
        <f t="shared" si="10"/>
        <v>15.857142857142858</v>
      </c>
    </row>
    <row r="193" spans="1:6" x14ac:dyDescent="0.25">
      <c r="A193" s="18">
        <v>44286</v>
      </c>
      <c r="B193" s="354">
        <v>3638</v>
      </c>
      <c r="C193" s="1">
        <v>55.9</v>
      </c>
      <c r="D193" s="1">
        <v>61.5</v>
      </c>
      <c r="E193" s="578">
        <f t="shared" si="9"/>
        <v>-64</v>
      </c>
      <c r="F193" s="578">
        <f t="shared" si="10"/>
        <v>9.1428571428571423</v>
      </c>
    </row>
    <row r="194" spans="1:6" x14ac:dyDescent="0.25">
      <c r="A194" s="18">
        <v>44287</v>
      </c>
      <c r="B194" s="354">
        <v>3639</v>
      </c>
      <c r="C194" s="1">
        <v>55.8</v>
      </c>
      <c r="D194" s="1">
        <v>61.6</v>
      </c>
      <c r="E194" s="578">
        <f t="shared" si="9"/>
        <v>1</v>
      </c>
      <c r="F194" s="578">
        <f t="shared" si="10"/>
        <v>7.7142857142857144</v>
      </c>
    </row>
    <row r="195" spans="1:6" x14ac:dyDescent="0.25">
      <c r="A195" s="18">
        <v>44288</v>
      </c>
      <c r="B195" s="354">
        <v>3619</v>
      </c>
      <c r="C195" s="1">
        <v>55.9</v>
      </c>
      <c r="D195" s="1">
        <v>61.9</v>
      </c>
      <c r="E195" s="578">
        <f t="shared" si="9"/>
        <v>-20</v>
      </c>
      <c r="F195" s="578">
        <f t="shared" si="10"/>
        <v>15.857142857142858</v>
      </c>
    </row>
    <row r="196" spans="1:6" x14ac:dyDescent="0.25">
      <c r="A196" s="18">
        <v>44289</v>
      </c>
      <c r="B196" s="354">
        <v>3618</v>
      </c>
      <c r="C196" s="1">
        <v>55.4</v>
      </c>
      <c r="D196" s="1">
        <v>61.4</v>
      </c>
      <c r="E196" s="578">
        <f t="shared" si="9"/>
        <v>-1</v>
      </c>
      <c r="F196" s="578">
        <f t="shared" ref="F196:F210" si="11">AVERAGE(E190:E196)</f>
        <v>16</v>
      </c>
    </row>
    <row r="197" spans="1:6" x14ac:dyDescent="0.25">
      <c r="A197" s="18">
        <v>44290</v>
      </c>
      <c r="B197" s="354">
        <v>3626</v>
      </c>
      <c r="C197" s="1">
        <v>55.6</v>
      </c>
      <c r="D197" s="1">
        <v>61.5</v>
      </c>
      <c r="E197" s="578">
        <f t="shared" si="9"/>
        <v>8</v>
      </c>
      <c r="F197" s="578">
        <f t="shared" si="11"/>
        <v>17.285714285714285</v>
      </c>
    </row>
    <row r="198" spans="1:6" x14ac:dyDescent="0.25">
      <c r="A198" s="18">
        <v>44291</v>
      </c>
      <c r="B198" s="354">
        <v>3652</v>
      </c>
      <c r="C198" s="1">
        <v>56.1</v>
      </c>
      <c r="D198" s="1">
        <v>62</v>
      </c>
      <c r="E198" s="578">
        <f t="shared" si="9"/>
        <v>26</v>
      </c>
      <c r="F198" s="578">
        <f t="shared" si="11"/>
        <v>1.8571428571428572</v>
      </c>
    </row>
    <row r="199" spans="1:6" x14ac:dyDescent="0.25">
      <c r="A199" s="18">
        <v>44292</v>
      </c>
      <c r="B199" s="354">
        <v>3642</v>
      </c>
      <c r="C199" s="1">
        <v>57.4</v>
      </c>
      <c r="D199" s="1">
        <v>63.5</v>
      </c>
      <c r="E199" s="578">
        <f t="shared" si="9"/>
        <v>-10</v>
      </c>
      <c r="F199" s="578">
        <f t="shared" si="11"/>
        <v>-8.5714285714285712</v>
      </c>
    </row>
    <row r="200" spans="1:6" x14ac:dyDescent="0.25">
      <c r="A200" s="18">
        <v>44293</v>
      </c>
      <c r="B200" s="354">
        <v>3706</v>
      </c>
      <c r="C200" s="1">
        <v>58.1</v>
      </c>
      <c r="D200" s="1">
        <v>64.5</v>
      </c>
      <c r="E200" s="578">
        <f t="shared" si="9"/>
        <v>64</v>
      </c>
      <c r="F200" s="578">
        <f t="shared" si="11"/>
        <v>9.7142857142857135</v>
      </c>
    </row>
    <row r="201" spans="1:6" x14ac:dyDescent="0.25">
      <c r="A201" s="18">
        <v>44294</v>
      </c>
      <c r="B201" s="354">
        <v>3742</v>
      </c>
      <c r="C201" s="1">
        <v>58.8</v>
      </c>
      <c r="D201" s="1">
        <v>66.099999999999994</v>
      </c>
      <c r="E201" s="578">
        <f t="shared" si="9"/>
        <v>36</v>
      </c>
      <c r="F201" s="578">
        <f t="shared" si="11"/>
        <v>14.714285714285714</v>
      </c>
    </row>
    <row r="202" spans="1:6" x14ac:dyDescent="0.25">
      <c r="A202" s="359">
        <v>44295</v>
      </c>
      <c r="B202" s="360">
        <v>3718</v>
      </c>
      <c r="C202" s="234">
        <v>59.1</v>
      </c>
      <c r="D202" s="234">
        <v>67</v>
      </c>
      <c r="E202" s="578">
        <f t="shared" si="9"/>
        <v>-24</v>
      </c>
      <c r="F202" s="578">
        <f t="shared" si="11"/>
        <v>14.142857142857142</v>
      </c>
    </row>
    <row r="203" spans="1:6" x14ac:dyDescent="0.25">
      <c r="A203" s="361">
        <v>44296</v>
      </c>
      <c r="B203" s="362">
        <v>3761</v>
      </c>
      <c r="C203" s="326">
        <v>59.3</v>
      </c>
      <c r="D203" s="326">
        <v>68.099999999999994</v>
      </c>
      <c r="E203" s="578">
        <f t="shared" si="9"/>
        <v>43</v>
      </c>
      <c r="F203" s="578">
        <f t="shared" si="11"/>
        <v>20.428571428571427</v>
      </c>
    </row>
    <row r="204" spans="1:6" x14ac:dyDescent="0.25">
      <c r="A204" s="361">
        <v>44297</v>
      </c>
      <c r="B204" s="362">
        <v>3789</v>
      </c>
      <c r="C204" s="326">
        <v>58.7</v>
      </c>
      <c r="D204" s="326">
        <v>66.7</v>
      </c>
      <c r="E204" s="578">
        <f t="shared" si="9"/>
        <v>28</v>
      </c>
      <c r="F204" s="578">
        <f t="shared" si="11"/>
        <v>23.285714285714285</v>
      </c>
    </row>
    <row r="205" spans="1:6" x14ac:dyDescent="0.25">
      <c r="A205" s="361">
        <v>44298</v>
      </c>
      <c r="B205" s="362">
        <v>3819</v>
      </c>
      <c r="C205" s="326">
        <v>60.3</v>
      </c>
      <c r="D205" s="326">
        <v>67.900000000000006</v>
      </c>
      <c r="E205" s="578">
        <f t="shared" si="9"/>
        <v>30</v>
      </c>
      <c r="F205" s="578">
        <f t="shared" si="11"/>
        <v>23.857142857142858</v>
      </c>
    </row>
    <row r="206" spans="1:6" x14ac:dyDescent="0.25">
      <c r="A206" s="361">
        <v>44299</v>
      </c>
      <c r="B206" s="362">
        <v>3836</v>
      </c>
      <c r="C206" s="326">
        <v>62.4</v>
      </c>
      <c r="D206" s="326">
        <v>70.8</v>
      </c>
      <c r="E206" s="578">
        <f t="shared" si="9"/>
        <v>17</v>
      </c>
      <c r="F206" s="578">
        <f t="shared" si="11"/>
        <v>27.714285714285715</v>
      </c>
    </row>
    <row r="207" spans="1:6" x14ac:dyDescent="0.25">
      <c r="A207" s="361">
        <v>44300</v>
      </c>
      <c r="B207" s="362">
        <v>3879</v>
      </c>
      <c r="C207" s="326">
        <v>62.7</v>
      </c>
      <c r="D207" s="326">
        <v>71.400000000000006</v>
      </c>
      <c r="E207" s="578">
        <f t="shared" si="9"/>
        <v>43</v>
      </c>
      <c r="F207" s="578">
        <f t="shared" si="11"/>
        <v>24.714285714285715</v>
      </c>
    </row>
    <row r="208" spans="1:6" x14ac:dyDescent="0.25">
      <c r="A208" s="361">
        <v>44301</v>
      </c>
      <c r="B208" s="362">
        <v>3900</v>
      </c>
      <c r="C208" s="326">
        <v>63.6</v>
      </c>
      <c r="D208" s="326">
        <v>72.5</v>
      </c>
      <c r="E208" s="578">
        <f t="shared" si="9"/>
        <v>21</v>
      </c>
      <c r="F208" s="578">
        <f t="shared" si="11"/>
        <v>22.571428571428573</v>
      </c>
    </row>
    <row r="209" spans="1:6" x14ac:dyDescent="0.25">
      <c r="A209" s="361">
        <v>44302</v>
      </c>
      <c r="B209" s="362">
        <v>3971</v>
      </c>
      <c r="C209" s="326">
        <v>64.3</v>
      </c>
      <c r="D209" s="326">
        <v>73.8</v>
      </c>
      <c r="E209" s="578">
        <f t="shared" si="9"/>
        <v>71</v>
      </c>
      <c r="F209" s="578">
        <f t="shared" si="11"/>
        <v>36.142857142857146</v>
      </c>
    </row>
    <row r="210" spans="1:6" x14ac:dyDescent="0.25">
      <c r="A210" s="361">
        <v>44303</v>
      </c>
      <c r="B210" s="362">
        <v>3977</v>
      </c>
      <c r="C210" s="326">
        <v>64.8</v>
      </c>
      <c r="D210" s="326">
        <v>74.3</v>
      </c>
      <c r="E210" s="578">
        <f t="shared" si="9"/>
        <v>6</v>
      </c>
      <c r="F210" s="578">
        <f t="shared" si="11"/>
        <v>30.857142857142858</v>
      </c>
    </row>
    <row r="211" spans="1:6" x14ac:dyDescent="0.25">
      <c r="A211" s="361">
        <v>44304</v>
      </c>
      <c r="B211" s="363">
        <v>4105</v>
      </c>
      <c r="C211" s="326">
        <v>64.7</v>
      </c>
      <c r="D211" s="326">
        <v>74.2</v>
      </c>
      <c r="E211" s="578">
        <f t="shared" si="9"/>
        <v>128</v>
      </c>
      <c r="F211" s="578">
        <f t="shared" ref="F211:F222" si="12">AVERAGE(E205:E211)</f>
        <v>45.142857142857146</v>
      </c>
    </row>
    <row r="212" spans="1:6" x14ac:dyDescent="0.25">
      <c r="A212" s="361">
        <v>44305</v>
      </c>
      <c r="B212" s="363">
        <v>4304</v>
      </c>
      <c r="C212" s="326">
        <v>65.8</v>
      </c>
      <c r="D212" s="326">
        <v>74.5</v>
      </c>
      <c r="E212" s="578">
        <f t="shared" si="9"/>
        <v>199</v>
      </c>
      <c r="F212" s="578">
        <f t="shared" si="12"/>
        <v>69.285714285714292</v>
      </c>
    </row>
    <row r="213" spans="1:6" x14ac:dyDescent="0.25">
      <c r="A213" s="361">
        <v>44306</v>
      </c>
      <c r="B213" s="362">
        <v>4366</v>
      </c>
      <c r="C213" s="326">
        <v>64.900000000000006</v>
      </c>
      <c r="D213" s="326">
        <v>75</v>
      </c>
      <c r="E213" s="578">
        <f t="shared" si="9"/>
        <v>62</v>
      </c>
      <c r="F213" s="578">
        <f t="shared" si="12"/>
        <v>75.714285714285708</v>
      </c>
    </row>
    <row r="214" spans="1:6" x14ac:dyDescent="0.25">
      <c r="A214" s="361">
        <v>44307</v>
      </c>
      <c r="B214" s="363">
        <v>4492</v>
      </c>
      <c r="C214" s="326">
        <v>65.5</v>
      </c>
      <c r="D214" s="326">
        <v>75.400000000000006</v>
      </c>
      <c r="E214" s="578">
        <f t="shared" si="9"/>
        <v>126</v>
      </c>
      <c r="F214" s="578">
        <f t="shared" si="12"/>
        <v>87.571428571428569</v>
      </c>
    </row>
    <row r="215" spans="1:6" x14ac:dyDescent="0.25">
      <c r="A215" s="361">
        <v>44308</v>
      </c>
      <c r="B215" s="363">
        <v>4791</v>
      </c>
      <c r="C215" s="326">
        <v>65.599999999999994</v>
      </c>
      <c r="D215" s="326">
        <v>75.400000000000006</v>
      </c>
      <c r="E215" s="578">
        <f t="shared" si="9"/>
        <v>299</v>
      </c>
      <c r="F215" s="578">
        <f t="shared" si="12"/>
        <v>127.28571428571429</v>
      </c>
    </row>
    <row r="216" spans="1:6" x14ac:dyDescent="0.25">
      <c r="A216" s="361">
        <v>44309</v>
      </c>
      <c r="B216" s="363">
        <v>4805</v>
      </c>
      <c r="C216" s="326">
        <v>66.5</v>
      </c>
      <c r="D216" s="326">
        <v>76.2</v>
      </c>
      <c r="E216" s="578">
        <f t="shared" si="9"/>
        <v>14</v>
      </c>
      <c r="F216" s="578">
        <f t="shared" si="12"/>
        <v>119.14285714285714</v>
      </c>
    </row>
    <row r="217" spans="1:6" x14ac:dyDescent="0.25">
      <c r="A217" s="361">
        <v>44310</v>
      </c>
      <c r="B217" s="363">
        <v>4858</v>
      </c>
      <c r="C217" s="326">
        <v>67.599999999999994</v>
      </c>
      <c r="D217" s="326">
        <v>77.900000000000006</v>
      </c>
      <c r="E217" s="578">
        <f t="shared" si="9"/>
        <v>53</v>
      </c>
      <c r="F217" s="578">
        <f t="shared" si="12"/>
        <v>125.85714285714286</v>
      </c>
    </row>
    <row r="218" spans="1:6" x14ac:dyDescent="0.25">
      <c r="A218" s="554">
        <v>44311</v>
      </c>
      <c r="B218" s="555">
        <v>4942</v>
      </c>
      <c r="C218" s="366">
        <v>67.5</v>
      </c>
      <c r="D218" s="366">
        <v>76.599999999999994</v>
      </c>
      <c r="E218" s="578">
        <f t="shared" ref="E218:E242" si="13">B218-B217</f>
        <v>84</v>
      </c>
      <c r="F218" s="578">
        <f t="shared" si="12"/>
        <v>119.57142857142857</v>
      </c>
    </row>
    <row r="219" spans="1:6" x14ac:dyDescent="0.25">
      <c r="A219" s="18">
        <v>44312</v>
      </c>
      <c r="B219" s="556">
        <v>5036</v>
      </c>
      <c r="C219" s="1">
        <v>67.7</v>
      </c>
      <c r="D219" s="1">
        <v>76.2</v>
      </c>
      <c r="E219" s="578">
        <f t="shared" si="13"/>
        <v>94</v>
      </c>
      <c r="F219" s="578">
        <f t="shared" si="12"/>
        <v>104.57142857142857</v>
      </c>
    </row>
    <row r="220" spans="1:6" x14ac:dyDescent="0.25">
      <c r="A220" s="18">
        <v>44313</v>
      </c>
      <c r="B220" s="556">
        <v>5134</v>
      </c>
      <c r="C220" s="1">
        <v>68.3</v>
      </c>
      <c r="D220" s="1">
        <v>77.400000000000006</v>
      </c>
      <c r="E220" s="578">
        <f t="shared" si="13"/>
        <v>98</v>
      </c>
      <c r="F220" s="578">
        <f t="shared" si="12"/>
        <v>109.71428571428571</v>
      </c>
    </row>
    <row r="221" spans="1:6" x14ac:dyDescent="0.25">
      <c r="A221" s="18">
        <v>44314</v>
      </c>
      <c r="B221" s="7">
        <v>5178</v>
      </c>
      <c r="C221" s="1">
        <v>68.3</v>
      </c>
      <c r="D221" s="1">
        <v>76.8</v>
      </c>
      <c r="E221" s="578">
        <f t="shared" si="13"/>
        <v>44</v>
      </c>
      <c r="F221" s="578">
        <f t="shared" si="12"/>
        <v>98</v>
      </c>
    </row>
    <row r="222" spans="1:6" x14ac:dyDescent="0.25">
      <c r="A222" s="18">
        <v>44315</v>
      </c>
      <c r="B222" s="7">
        <v>5317</v>
      </c>
      <c r="C222" s="1">
        <v>68.400000000000006</v>
      </c>
      <c r="D222" s="1">
        <v>76.599999999999994</v>
      </c>
      <c r="E222" s="578">
        <f t="shared" si="13"/>
        <v>139</v>
      </c>
      <c r="F222" s="578">
        <f t="shared" si="12"/>
        <v>75.142857142857139</v>
      </c>
    </row>
    <row r="223" spans="1:6" x14ac:dyDescent="0.25">
      <c r="A223" s="18">
        <v>44316</v>
      </c>
      <c r="B223" s="7">
        <v>5369</v>
      </c>
      <c r="C223" s="1">
        <v>69.099999999999994</v>
      </c>
      <c r="D223" s="1">
        <v>77.900000000000006</v>
      </c>
      <c r="E223" s="578">
        <f t="shared" si="13"/>
        <v>52</v>
      </c>
      <c r="F223" s="578">
        <f t="shared" ref="F223:F231" si="14">AVERAGE(E217:E223)</f>
        <v>80.571428571428569</v>
      </c>
    </row>
    <row r="224" spans="1:6" x14ac:dyDescent="0.25">
      <c r="A224" s="18">
        <v>44317</v>
      </c>
      <c r="B224" s="7">
        <v>5370</v>
      </c>
      <c r="C224" s="1">
        <v>68.3</v>
      </c>
      <c r="D224" s="1">
        <v>77.3</v>
      </c>
      <c r="E224" s="578">
        <f t="shared" si="13"/>
        <v>1</v>
      </c>
      <c r="F224" s="578">
        <f t="shared" si="14"/>
        <v>73.142857142857139</v>
      </c>
    </row>
    <row r="225" spans="1:6" x14ac:dyDescent="0.25">
      <c r="A225" s="18">
        <v>44318</v>
      </c>
      <c r="B225" s="7">
        <v>5371</v>
      </c>
      <c r="C225" s="1">
        <v>68.099999999999994</v>
      </c>
      <c r="D225" s="1">
        <v>76.2</v>
      </c>
      <c r="E225" s="578">
        <f t="shared" si="13"/>
        <v>1</v>
      </c>
      <c r="F225" s="578">
        <f t="shared" si="14"/>
        <v>61.285714285714285</v>
      </c>
    </row>
    <row r="226" spans="1:6" x14ac:dyDescent="0.25">
      <c r="A226" s="18">
        <v>44319</v>
      </c>
      <c r="B226" s="7">
        <v>5426</v>
      </c>
      <c r="C226" s="1">
        <v>68</v>
      </c>
      <c r="D226" s="1">
        <v>75.099999999999994</v>
      </c>
      <c r="E226" s="578">
        <f t="shared" si="13"/>
        <v>55</v>
      </c>
      <c r="F226" s="578">
        <f t="shared" si="14"/>
        <v>55.714285714285715</v>
      </c>
    </row>
    <row r="227" spans="1:6" x14ac:dyDescent="0.25">
      <c r="A227" s="18">
        <v>44320</v>
      </c>
      <c r="B227" s="7">
        <v>5389</v>
      </c>
      <c r="C227" s="1">
        <v>68.599999999999994</v>
      </c>
      <c r="D227" s="1">
        <v>76.5</v>
      </c>
      <c r="E227" s="578">
        <f t="shared" si="13"/>
        <v>-37</v>
      </c>
      <c r="F227" s="578">
        <f t="shared" si="14"/>
        <v>36.428571428571431</v>
      </c>
    </row>
    <row r="228" spans="1:6" x14ac:dyDescent="0.25">
      <c r="A228" s="18">
        <v>44321</v>
      </c>
      <c r="B228" s="7">
        <v>5342</v>
      </c>
      <c r="C228" s="1">
        <v>68.2</v>
      </c>
      <c r="D228" s="1">
        <v>75.900000000000006</v>
      </c>
      <c r="E228" s="578">
        <f t="shared" si="13"/>
        <v>-47</v>
      </c>
      <c r="F228" s="578">
        <f t="shared" si="14"/>
        <v>23.428571428571427</v>
      </c>
    </row>
    <row r="229" spans="1:6" x14ac:dyDescent="0.25">
      <c r="A229" s="18">
        <v>44322</v>
      </c>
      <c r="B229" s="7">
        <v>5299</v>
      </c>
      <c r="C229" s="581">
        <v>68.8</v>
      </c>
      <c r="D229" s="581">
        <v>76.5</v>
      </c>
      <c r="E229" s="578">
        <f t="shared" si="13"/>
        <v>-43</v>
      </c>
      <c r="F229" s="578">
        <f t="shared" si="14"/>
        <v>-2.5714285714285716</v>
      </c>
    </row>
    <row r="230" spans="1:6" x14ac:dyDescent="0.25">
      <c r="A230" s="18">
        <v>44323</v>
      </c>
      <c r="B230" s="7">
        <v>5268</v>
      </c>
      <c r="C230" s="1">
        <v>68.7</v>
      </c>
      <c r="D230" s="1">
        <v>76.5</v>
      </c>
      <c r="E230" s="578">
        <f t="shared" si="13"/>
        <v>-31</v>
      </c>
      <c r="F230" s="578">
        <f t="shared" si="14"/>
        <v>-14.428571428571429</v>
      </c>
    </row>
    <row r="231" spans="1:6" x14ac:dyDescent="0.25">
      <c r="A231" s="18">
        <v>44324</v>
      </c>
      <c r="B231" s="7">
        <v>5285</v>
      </c>
      <c r="C231" s="1">
        <v>68.3</v>
      </c>
      <c r="D231" s="1">
        <v>75.3</v>
      </c>
      <c r="E231" s="578">
        <f t="shared" si="13"/>
        <v>17</v>
      </c>
      <c r="F231" s="578">
        <f t="shared" si="14"/>
        <v>-12.142857142857142</v>
      </c>
    </row>
    <row r="232" spans="1:6" x14ac:dyDescent="0.25">
      <c r="A232" s="18">
        <v>44325</v>
      </c>
      <c r="B232" s="7">
        <v>5294</v>
      </c>
      <c r="C232" s="1">
        <v>68.599999999999994</v>
      </c>
      <c r="D232" s="1">
        <v>76.8</v>
      </c>
      <c r="E232" s="578">
        <f t="shared" si="13"/>
        <v>9</v>
      </c>
      <c r="F232" s="578">
        <f t="shared" ref="F232:F239" si="15">AVERAGE(E226:E232)</f>
        <v>-11</v>
      </c>
    </row>
    <row r="233" spans="1:6" x14ac:dyDescent="0.25">
      <c r="A233" s="18">
        <v>44326</v>
      </c>
      <c r="B233" s="7">
        <v>5357</v>
      </c>
      <c r="C233" s="1">
        <v>69.2</v>
      </c>
      <c r="D233" s="1">
        <v>77</v>
      </c>
      <c r="E233" s="578">
        <f t="shared" si="13"/>
        <v>63</v>
      </c>
      <c r="F233" s="578">
        <f t="shared" si="15"/>
        <v>-9.8571428571428577</v>
      </c>
    </row>
    <row r="234" spans="1:6" x14ac:dyDescent="0.25">
      <c r="A234" s="18">
        <v>44327</v>
      </c>
      <c r="B234" s="23">
        <v>5375</v>
      </c>
      <c r="C234" s="17">
        <v>69.400000000000006</v>
      </c>
      <c r="D234" s="17">
        <v>75.7</v>
      </c>
      <c r="E234" s="578">
        <f t="shared" si="13"/>
        <v>18</v>
      </c>
      <c r="F234" s="578">
        <f t="shared" si="15"/>
        <v>-2</v>
      </c>
    </row>
    <row r="235" spans="1:6" x14ac:dyDescent="0.25">
      <c r="A235" s="18">
        <v>44328</v>
      </c>
      <c r="B235" s="23">
        <v>5394</v>
      </c>
      <c r="C235" s="17">
        <v>69.5</v>
      </c>
      <c r="D235" s="17">
        <v>76.099999999999994</v>
      </c>
      <c r="E235" s="578">
        <f t="shared" si="13"/>
        <v>19</v>
      </c>
      <c r="F235" s="578">
        <f t="shared" si="15"/>
        <v>7.4285714285714288</v>
      </c>
    </row>
    <row r="236" spans="1:6" x14ac:dyDescent="0.25">
      <c r="A236" s="18">
        <v>44329</v>
      </c>
      <c r="B236" s="23">
        <v>5420</v>
      </c>
      <c r="C236" s="582">
        <v>69.3</v>
      </c>
      <c r="D236" s="582">
        <v>76.400000000000006</v>
      </c>
      <c r="E236" s="578">
        <f t="shared" si="13"/>
        <v>26</v>
      </c>
      <c r="F236" s="578">
        <f t="shared" si="15"/>
        <v>17.285714285714285</v>
      </c>
    </row>
    <row r="237" spans="1:6" x14ac:dyDescent="0.25">
      <c r="A237" s="18">
        <v>44330</v>
      </c>
      <c r="B237" s="23">
        <v>5457</v>
      </c>
      <c r="C237" s="17">
        <v>69.5</v>
      </c>
      <c r="D237" s="17">
        <v>76.099999999999994</v>
      </c>
      <c r="E237" s="578">
        <f t="shared" si="13"/>
        <v>37</v>
      </c>
      <c r="F237" s="578">
        <f t="shared" si="15"/>
        <v>27</v>
      </c>
    </row>
    <row r="238" spans="1:6" x14ac:dyDescent="0.25">
      <c r="A238" s="18">
        <v>44331</v>
      </c>
      <c r="B238" s="23">
        <v>5517</v>
      </c>
      <c r="C238" s="17">
        <v>70.099999999999994</v>
      </c>
      <c r="D238" s="17">
        <v>76.5</v>
      </c>
      <c r="E238" s="578">
        <f t="shared" si="13"/>
        <v>60</v>
      </c>
      <c r="F238" s="578">
        <f t="shared" si="15"/>
        <v>33.142857142857146</v>
      </c>
    </row>
    <row r="239" spans="1:6" x14ac:dyDescent="0.25">
      <c r="A239" s="18">
        <v>44332</v>
      </c>
      <c r="B239" s="23">
        <v>5538</v>
      </c>
      <c r="C239" s="17">
        <v>69.3</v>
      </c>
      <c r="D239" s="17">
        <v>75.400000000000006</v>
      </c>
      <c r="E239" s="578">
        <f t="shared" si="13"/>
        <v>21</v>
      </c>
      <c r="F239" s="578">
        <f t="shared" si="15"/>
        <v>34.857142857142854</v>
      </c>
    </row>
    <row r="240" spans="1:6" x14ac:dyDescent="0.25">
      <c r="A240" s="18">
        <v>44333</v>
      </c>
      <c r="B240" s="23">
        <v>5690</v>
      </c>
      <c r="C240" s="17">
        <v>69.7</v>
      </c>
      <c r="D240" s="17">
        <v>75.7</v>
      </c>
      <c r="E240" s="578">
        <f t="shared" si="13"/>
        <v>152</v>
      </c>
      <c r="F240" s="578">
        <f t="shared" ref="F240:F252" si="16">AVERAGE(E234:E240)</f>
        <v>47.571428571428569</v>
      </c>
    </row>
    <row r="241" spans="1:6" x14ac:dyDescent="0.25">
      <c r="A241" s="18">
        <v>44334</v>
      </c>
      <c r="B241" s="23">
        <v>5813</v>
      </c>
      <c r="C241" s="17">
        <v>72.2</v>
      </c>
      <c r="D241" s="17">
        <v>76.2</v>
      </c>
      <c r="E241" s="578">
        <f t="shared" si="13"/>
        <v>123</v>
      </c>
      <c r="F241" s="578">
        <f t="shared" si="16"/>
        <v>62.571428571428569</v>
      </c>
    </row>
    <row r="242" spans="1:6" x14ac:dyDescent="0.25">
      <c r="A242" s="18">
        <v>44335</v>
      </c>
      <c r="B242" s="23">
        <v>5877</v>
      </c>
      <c r="C242" s="17">
        <v>72</v>
      </c>
      <c r="D242" s="17">
        <v>76.400000000000006</v>
      </c>
      <c r="E242" s="578">
        <f t="shared" si="13"/>
        <v>64</v>
      </c>
      <c r="F242" s="578">
        <f t="shared" si="16"/>
        <v>69</v>
      </c>
    </row>
    <row r="243" spans="1:6" x14ac:dyDescent="0.25">
      <c r="A243" s="18">
        <v>44336</v>
      </c>
      <c r="B243" s="23">
        <v>5951</v>
      </c>
      <c r="C243" s="17">
        <v>72.599999999999994</v>
      </c>
      <c r="D243" s="17">
        <v>76.400000000000006</v>
      </c>
      <c r="E243" s="578">
        <f>B243-B242</f>
        <v>74</v>
      </c>
      <c r="F243" s="578">
        <f t="shared" si="16"/>
        <v>75.857142857142861</v>
      </c>
    </row>
    <row r="244" spans="1:6" x14ac:dyDescent="0.25">
      <c r="A244" s="18">
        <v>44337</v>
      </c>
      <c r="B244" s="23">
        <v>6027</v>
      </c>
      <c r="C244" s="17">
        <v>73.099999999999994</v>
      </c>
      <c r="D244" s="17">
        <v>76.400000000000006</v>
      </c>
      <c r="E244" s="578">
        <f t="shared" ref="E244:E253" si="17">B244-B243</f>
        <v>76</v>
      </c>
      <c r="F244" s="578">
        <f t="shared" si="16"/>
        <v>81.428571428571431</v>
      </c>
    </row>
    <row r="245" spans="1:6" x14ac:dyDescent="0.25">
      <c r="A245" s="18">
        <v>44338</v>
      </c>
      <c r="B245" s="23">
        <v>6138</v>
      </c>
      <c r="C245" s="17">
        <v>74.099999999999994</v>
      </c>
      <c r="D245" s="17">
        <v>77.099999999999994</v>
      </c>
      <c r="E245" s="578">
        <f t="shared" si="17"/>
        <v>111</v>
      </c>
      <c r="F245" s="578">
        <f t="shared" si="16"/>
        <v>88.714285714285708</v>
      </c>
    </row>
    <row r="246" spans="1:6" x14ac:dyDescent="0.25">
      <c r="A246" s="18">
        <v>44339</v>
      </c>
      <c r="B246" s="23">
        <v>6214</v>
      </c>
      <c r="C246" s="17">
        <v>73.5</v>
      </c>
      <c r="D246" s="17">
        <v>76.599999999999994</v>
      </c>
      <c r="E246" s="578">
        <f t="shared" si="17"/>
        <v>76</v>
      </c>
      <c r="F246" s="578">
        <f t="shared" si="16"/>
        <v>96.571428571428569</v>
      </c>
    </row>
    <row r="247" spans="1:6" x14ac:dyDescent="0.25">
      <c r="A247" s="18">
        <v>44340</v>
      </c>
      <c r="B247" s="23">
        <v>6373</v>
      </c>
      <c r="C247" s="17">
        <v>73.900000000000006</v>
      </c>
      <c r="D247" s="17">
        <v>76.2</v>
      </c>
      <c r="E247" s="578">
        <f t="shared" si="17"/>
        <v>159</v>
      </c>
      <c r="F247" s="578">
        <f t="shared" si="16"/>
        <v>97.571428571428569</v>
      </c>
    </row>
    <row r="248" spans="1:6" x14ac:dyDescent="0.25">
      <c r="A248" s="18">
        <v>44341</v>
      </c>
      <c r="B248" s="23">
        <v>6552</v>
      </c>
      <c r="C248" s="17">
        <v>74.099999999999994</v>
      </c>
      <c r="D248" s="17">
        <v>76.2</v>
      </c>
      <c r="E248" s="578">
        <f t="shared" si="17"/>
        <v>179</v>
      </c>
      <c r="F248" s="578">
        <f t="shared" si="16"/>
        <v>105.57142857142857</v>
      </c>
    </row>
    <row r="249" spans="1:6" x14ac:dyDescent="0.25">
      <c r="A249" s="18">
        <v>44342</v>
      </c>
      <c r="B249" s="23">
        <v>6644</v>
      </c>
      <c r="C249" s="17">
        <v>75</v>
      </c>
      <c r="D249" s="17">
        <v>76.599999999999994</v>
      </c>
      <c r="E249" s="578">
        <f t="shared" si="17"/>
        <v>92</v>
      </c>
      <c r="F249" s="578">
        <f t="shared" si="16"/>
        <v>109.57142857142857</v>
      </c>
    </row>
    <row r="250" spans="1:6" x14ac:dyDescent="0.25">
      <c r="A250" s="18">
        <v>44343</v>
      </c>
      <c r="B250" s="23">
        <v>6802</v>
      </c>
      <c r="C250" s="17">
        <v>76.2</v>
      </c>
      <c r="D250" s="17">
        <v>77.5</v>
      </c>
      <c r="E250" s="578">
        <f t="shared" si="17"/>
        <v>158</v>
      </c>
      <c r="F250" s="578">
        <f t="shared" si="16"/>
        <v>121.57142857142857</v>
      </c>
    </row>
    <row r="251" spans="1:6" x14ac:dyDescent="0.25">
      <c r="A251" s="18">
        <v>44344</v>
      </c>
      <c r="B251" s="23">
        <v>6872</v>
      </c>
      <c r="C251" s="17">
        <v>77.099999999999994</v>
      </c>
      <c r="D251" s="17">
        <v>76.599999999999994</v>
      </c>
      <c r="E251" s="578">
        <f t="shared" si="17"/>
        <v>70</v>
      </c>
      <c r="F251" s="578">
        <f t="shared" si="16"/>
        <v>120.71428571428571</v>
      </c>
    </row>
    <row r="252" spans="1:6" x14ac:dyDescent="0.25">
      <c r="A252" s="18">
        <v>44345</v>
      </c>
      <c r="B252" s="23">
        <v>6909</v>
      </c>
      <c r="C252" s="17">
        <v>76.900000000000006</v>
      </c>
      <c r="D252" s="17">
        <v>77</v>
      </c>
      <c r="E252" s="578">
        <f t="shared" si="17"/>
        <v>37</v>
      </c>
      <c r="F252" s="578">
        <f t="shared" si="16"/>
        <v>110.14285714285714</v>
      </c>
    </row>
    <row r="253" spans="1:6" x14ac:dyDescent="0.25">
      <c r="A253" s="18">
        <v>44346</v>
      </c>
      <c r="B253" s="23">
        <v>7206</v>
      </c>
      <c r="C253" s="17">
        <v>77.5</v>
      </c>
      <c r="D253" s="17">
        <v>77.2</v>
      </c>
      <c r="E253" s="578">
        <f t="shared" si="17"/>
        <v>297</v>
      </c>
      <c r="F253" s="578">
        <f>AVERAGE(E247:E253)</f>
        <v>141.71428571428572</v>
      </c>
    </row>
    <row r="254" spans="1:6" x14ac:dyDescent="0.25">
      <c r="A254" s="18">
        <v>44347</v>
      </c>
      <c r="B254" s="23">
        <v>7325</v>
      </c>
      <c r="C254" s="17">
        <v>77.400000000000006</v>
      </c>
      <c r="D254" s="17">
        <v>76.900000000000006</v>
      </c>
    </row>
    <row r="255" spans="1:6" x14ac:dyDescent="0.25">
      <c r="A255" s="18">
        <v>44348</v>
      </c>
      <c r="B255" s="23">
        <v>7417</v>
      </c>
      <c r="C255" s="17">
        <v>78.099999999999994</v>
      </c>
      <c r="D255" s="17">
        <v>77.3</v>
      </c>
    </row>
    <row r="256" spans="1:6" x14ac:dyDescent="0.25">
      <c r="A256" s="18">
        <v>44349</v>
      </c>
      <c r="B256" s="23">
        <v>7614</v>
      </c>
      <c r="C256" s="17">
        <v>76.599999999999994</v>
      </c>
      <c r="D256" s="17">
        <v>74.900000000000006</v>
      </c>
    </row>
    <row r="257" spans="1:4" x14ac:dyDescent="0.25">
      <c r="A257" s="18">
        <v>44350</v>
      </c>
      <c r="B257" s="23">
        <v>7698</v>
      </c>
      <c r="C257" s="17">
        <v>77.900000000000006</v>
      </c>
      <c r="D257" s="17">
        <v>75.400000000000006</v>
      </c>
    </row>
    <row r="258" spans="1:4" x14ac:dyDescent="0.25">
      <c r="A258" s="18">
        <v>44351</v>
      </c>
      <c r="B258" s="23">
        <v>7668</v>
      </c>
      <c r="C258" s="17">
        <v>78.2</v>
      </c>
      <c r="D258" s="17">
        <v>75.7</v>
      </c>
    </row>
    <row r="259" spans="1:4" x14ac:dyDescent="0.25">
      <c r="A259" s="18">
        <v>44352</v>
      </c>
      <c r="B259" s="23">
        <v>7731</v>
      </c>
      <c r="C259" s="17">
        <v>78.400000000000006</v>
      </c>
      <c r="D259" s="17">
        <v>75.3</v>
      </c>
    </row>
    <row r="260" spans="1:4" x14ac:dyDescent="0.25">
      <c r="A260" s="18">
        <v>44353</v>
      </c>
      <c r="B260" s="23">
        <v>7776</v>
      </c>
      <c r="C260" s="17">
        <v>78.7</v>
      </c>
      <c r="D260" s="17">
        <v>75.3</v>
      </c>
    </row>
    <row r="261" spans="1:4" x14ac:dyDescent="0.25">
      <c r="A261" s="18">
        <v>44354</v>
      </c>
      <c r="B261" s="23">
        <v>7827</v>
      </c>
      <c r="C261" s="17">
        <v>78.099999999999994</v>
      </c>
      <c r="D261" s="17">
        <v>74</v>
      </c>
    </row>
    <row r="262" spans="1:4" x14ac:dyDescent="0.25">
      <c r="A262" s="18">
        <v>44355</v>
      </c>
      <c r="B262" s="23">
        <v>7794</v>
      </c>
      <c r="C262" s="17">
        <v>79.099999999999994</v>
      </c>
      <c r="D262" s="17">
        <v>77.3</v>
      </c>
    </row>
    <row r="263" spans="1:4" x14ac:dyDescent="0.25">
      <c r="A263" s="18">
        <v>44356</v>
      </c>
      <c r="B263" s="23">
        <v>7769</v>
      </c>
      <c r="C263" s="17">
        <v>79.3</v>
      </c>
      <c r="D263" s="17">
        <v>77.2</v>
      </c>
    </row>
  </sheetData>
  <phoneticPr fontId="5" type="noConversion"/>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0687E-83FE-4E89-8235-6DEF2A7B0170}">
  <dimension ref="A1:D28"/>
  <sheetViews>
    <sheetView workbookViewId="0">
      <selection activeCell="C9" sqref="C9"/>
    </sheetView>
  </sheetViews>
  <sheetFormatPr baseColWidth="10" defaultRowHeight="15" x14ac:dyDescent="0.25"/>
  <cols>
    <col min="1" max="1" width="18" bestFit="1" customWidth="1"/>
    <col min="2" max="2" width="11.42578125" style="608"/>
  </cols>
  <sheetData>
    <row r="1" spans="1:3" s="263" customFormat="1" ht="30.75" thickBot="1" x14ac:dyDescent="0.3">
      <c r="B1" s="279" t="s">
        <v>304</v>
      </c>
    </row>
    <row r="2" spans="1:3" x14ac:dyDescent="0.25">
      <c r="A2" s="620" t="s">
        <v>16</v>
      </c>
      <c r="B2" s="4">
        <v>69</v>
      </c>
    </row>
    <row r="3" spans="1:3" x14ac:dyDescent="0.25">
      <c r="A3" s="621" t="s">
        <v>43</v>
      </c>
      <c r="B3" s="4">
        <v>83</v>
      </c>
    </row>
    <row r="4" spans="1:3" x14ac:dyDescent="0.25">
      <c r="A4" s="621" t="s">
        <v>28</v>
      </c>
      <c r="B4" s="4">
        <v>77</v>
      </c>
      <c r="C4">
        <v>88</v>
      </c>
    </row>
    <row r="5" spans="1:3" x14ac:dyDescent="0.25">
      <c r="A5" s="621" t="s">
        <v>15</v>
      </c>
      <c r="B5" s="4">
        <v>77</v>
      </c>
    </row>
    <row r="6" spans="1:3" x14ac:dyDescent="0.25">
      <c r="A6" s="621" t="s">
        <v>29</v>
      </c>
      <c r="B6" s="4">
        <v>72</v>
      </c>
    </row>
    <row r="7" spans="1:3" x14ac:dyDescent="0.25">
      <c r="A7" s="621" t="s">
        <v>30</v>
      </c>
      <c r="B7" s="4">
        <v>86</v>
      </c>
    </row>
    <row r="8" spans="1:3" x14ac:dyDescent="0.25">
      <c r="A8" s="621" t="s">
        <v>20</v>
      </c>
      <c r="B8" s="4">
        <v>49</v>
      </c>
    </row>
    <row r="9" spans="1:3" x14ac:dyDescent="0.25">
      <c r="A9" s="621" t="s">
        <v>31</v>
      </c>
      <c r="B9" s="4">
        <v>77</v>
      </c>
    </row>
    <row r="10" spans="1:3" x14ac:dyDescent="0.25">
      <c r="A10" s="621" t="s">
        <v>41</v>
      </c>
      <c r="B10" s="4">
        <v>94</v>
      </c>
    </row>
    <row r="11" spans="1:3" x14ac:dyDescent="0.25">
      <c r="A11" s="621" t="s">
        <v>32</v>
      </c>
      <c r="B11" s="4">
        <v>75</v>
      </c>
    </row>
    <row r="12" spans="1:3" x14ac:dyDescent="0.25">
      <c r="A12" s="621" t="s">
        <v>33</v>
      </c>
      <c r="B12" s="4">
        <v>80</v>
      </c>
    </row>
    <row r="13" spans="1:3" x14ac:dyDescent="0.25">
      <c r="A13" s="621" t="s">
        <v>21</v>
      </c>
      <c r="B13" s="4">
        <v>69</v>
      </c>
    </row>
    <row r="14" spans="1:3" x14ac:dyDescent="0.25">
      <c r="A14" s="621" t="s">
        <v>17</v>
      </c>
      <c r="B14" s="4">
        <v>87</v>
      </c>
    </row>
    <row r="15" spans="1:3" x14ac:dyDescent="0.25">
      <c r="A15" s="621" t="s">
        <v>23</v>
      </c>
      <c r="B15" s="4">
        <v>52</v>
      </c>
    </row>
    <row r="16" spans="1:3" x14ac:dyDescent="0.25">
      <c r="A16" s="621" t="s">
        <v>19</v>
      </c>
      <c r="B16" s="4">
        <v>91</v>
      </c>
    </row>
    <row r="17" spans="1:4" x14ac:dyDescent="0.25">
      <c r="A17" s="621" t="s">
        <v>18</v>
      </c>
      <c r="B17" s="4">
        <v>92</v>
      </c>
    </row>
    <row r="18" spans="1:4" x14ac:dyDescent="0.25">
      <c r="A18" s="621" t="s">
        <v>34</v>
      </c>
      <c r="B18" s="4">
        <v>82</v>
      </c>
    </row>
    <row r="19" spans="1:4" x14ac:dyDescent="0.25">
      <c r="A19" s="621" t="s">
        <v>35</v>
      </c>
      <c r="B19" s="4">
        <v>86</v>
      </c>
    </row>
    <row r="20" spans="1:4" x14ac:dyDescent="0.25">
      <c r="A20" s="621" t="s">
        <v>36</v>
      </c>
      <c r="B20" s="4">
        <v>73</v>
      </c>
    </row>
    <row r="21" spans="1:4" x14ac:dyDescent="0.25">
      <c r="A21" s="621" t="s">
        <v>37</v>
      </c>
      <c r="B21" s="4">
        <v>52</v>
      </c>
    </row>
    <row r="22" spans="1:4" x14ac:dyDescent="0.25">
      <c r="A22" s="621" t="s">
        <v>22</v>
      </c>
      <c r="B22" s="4">
        <v>96</v>
      </c>
    </row>
    <row r="23" spans="1:4" x14ac:dyDescent="0.25">
      <c r="A23" s="621" t="s">
        <v>38</v>
      </c>
      <c r="B23" s="4">
        <v>67</v>
      </c>
    </row>
    <row r="24" spans="1:4" x14ac:dyDescent="0.25">
      <c r="A24" s="621" t="s">
        <v>39</v>
      </c>
      <c r="B24" s="4">
        <v>61</v>
      </c>
    </row>
    <row r="25" spans="1:4" ht="15.75" thickBot="1" x14ac:dyDescent="0.3">
      <c r="A25" s="622" t="s">
        <v>40</v>
      </c>
      <c r="B25" s="4">
        <v>90</v>
      </c>
      <c r="C25">
        <v>150</v>
      </c>
      <c r="D25">
        <f>B25*C25/100</f>
        <v>135</v>
      </c>
    </row>
    <row r="28" spans="1:4" x14ac:dyDescent="0.25">
      <c r="A28" s="18">
        <v>44341</v>
      </c>
      <c r="B28" s="23">
        <v>6552</v>
      </c>
      <c r="C28" s="607">
        <v>74.099999999999994</v>
      </c>
      <c r="D28" s="607">
        <v>76.2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4AC31-5DBD-4AA4-BD4C-039309FFBBA9}">
  <dimension ref="A3:EE29"/>
  <sheetViews>
    <sheetView topLeftCell="A4" zoomScale="85" zoomScaleNormal="85" workbookViewId="0">
      <pane xSplit="11" topLeftCell="DM1" activePane="topRight" state="frozen"/>
      <selection pane="topRight" activeCell="A8" sqref="A8:XFD8"/>
    </sheetView>
  </sheetViews>
  <sheetFormatPr baseColWidth="10" defaultColWidth="11.42578125" defaultRowHeight="15" x14ac:dyDescent="0.25"/>
  <cols>
    <col min="1" max="1" width="20.42578125" bestFit="1" customWidth="1"/>
    <col min="2" max="2" width="11.7109375" hidden="1" customWidth="1"/>
    <col min="3" max="3" width="11.28515625" hidden="1" customWidth="1"/>
    <col min="4" max="4" width="11.42578125" hidden="1" customWidth="1"/>
    <col min="5" max="5" width="12.85546875" hidden="1" customWidth="1"/>
    <col min="6" max="6" width="13.140625" hidden="1" customWidth="1"/>
    <col min="7" max="7" width="12.85546875" hidden="1" customWidth="1"/>
    <col min="8" max="9" width="13.140625" hidden="1" customWidth="1"/>
    <col min="10" max="10" width="14.140625" hidden="1" customWidth="1"/>
    <col min="11" max="11" width="13.7109375" hidden="1" customWidth="1"/>
    <col min="12" max="12" width="19.28515625" hidden="1" customWidth="1"/>
    <col min="13" max="13" width="23.5703125" hidden="1" customWidth="1"/>
    <col min="14" max="14" width="19.28515625" hidden="1" customWidth="1"/>
    <col min="15" max="15" width="23.5703125" hidden="1" customWidth="1"/>
    <col min="16" max="16" width="19.28515625" hidden="1" customWidth="1"/>
    <col min="17" max="17" width="23.5703125" hidden="1" customWidth="1"/>
    <col min="18" max="18" width="19.28515625" hidden="1" customWidth="1"/>
    <col min="19" max="19" width="23.5703125" hidden="1" customWidth="1"/>
    <col min="20" max="20" width="19.28515625" hidden="1" customWidth="1"/>
    <col min="21" max="21" width="23.5703125" hidden="1" customWidth="1"/>
    <col min="22" max="22" width="19.28515625" hidden="1" customWidth="1"/>
    <col min="23" max="23" width="23.5703125" hidden="1" customWidth="1"/>
    <col min="24" max="24" width="19.28515625" hidden="1" customWidth="1"/>
    <col min="25" max="25" width="23.5703125" hidden="1" customWidth="1"/>
    <col min="26" max="26" width="19.28515625" hidden="1" customWidth="1"/>
    <col min="27" max="27" width="23.5703125" hidden="1" customWidth="1"/>
    <col min="28" max="28" width="19.28515625" hidden="1" customWidth="1"/>
    <col min="29" max="29" width="23.5703125" hidden="1" customWidth="1"/>
    <col min="30" max="30" width="19.28515625" hidden="1" customWidth="1"/>
    <col min="31" max="31" width="23.5703125" hidden="1" customWidth="1"/>
    <col min="32" max="32" width="19.28515625" hidden="1" customWidth="1"/>
    <col min="33" max="33" width="23.5703125" hidden="1" customWidth="1"/>
    <col min="34" max="34" width="19.28515625" hidden="1" customWidth="1"/>
    <col min="35" max="35" width="23.5703125" hidden="1" customWidth="1"/>
    <col min="36" max="36" width="19.28515625" hidden="1" customWidth="1"/>
    <col min="37" max="37" width="23.5703125" hidden="1" customWidth="1"/>
    <col min="38" max="38" width="19.28515625" hidden="1" customWidth="1"/>
    <col min="39" max="39" width="23.5703125" hidden="1" customWidth="1"/>
    <col min="40" max="40" width="19.28515625" hidden="1" customWidth="1"/>
    <col min="41" max="41" width="23.5703125" hidden="1" customWidth="1"/>
    <col min="42" max="42" width="19.28515625" hidden="1" customWidth="1"/>
    <col min="43" max="43" width="23.5703125" hidden="1" customWidth="1"/>
    <col min="44" max="44" width="19.28515625" hidden="1" customWidth="1"/>
    <col min="45" max="45" width="23.5703125" hidden="1" customWidth="1"/>
    <col min="46" max="46" width="19.28515625" hidden="1" customWidth="1"/>
    <col min="47" max="47" width="23.5703125" hidden="1" customWidth="1"/>
    <col min="48" max="48" width="19.28515625" hidden="1" customWidth="1"/>
    <col min="49" max="49" width="23.5703125" hidden="1" customWidth="1"/>
    <col min="50" max="50" width="19.28515625" hidden="1" customWidth="1"/>
    <col min="51" max="51" width="12.7109375" hidden="1" customWidth="1"/>
    <col min="52" max="52" width="19.28515625" hidden="1" customWidth="1"/>
    <col min="53" max="53" width="23.5703125" hidden="1" customWidth="1"/>
    <col min="54" max="54" width="19.28515625" hidden="1" customWidth="1"/>
    <col min="55" max="55" width="23.5703125" hidden="1" customWidth="1"/>
    <col min="56" max="56" width="19.28515625" hidden="1" customWidth="1"/>
    <col min="57" max="57" width="23.5703125" hidden="1" customWidth="1"/>
    <col min="58" max="58" width="19.28515625" hidden="1" customWidth="1"/>
    <col min="59" max="59" width="23.5703125" hidden="1" customWidth="1"/>
    <col min="60" max="60" width="19.28515625" hidden="1" customWidth="1"/>
    <col min="61" max="61" width="23.5703125" hidden="1" customWidth="1"/>
    <col min="62" max="62" width="19.28515625" hidden="1" customWidth="1"/>
    <col min="63" max="63" width="23.5703125" hidden="1" customWidth="1"/>
    <col min="64" max="64" width="19.28515625" hidden="1" customWidth="1"/>
    <col min="65" max="65" width="23.5703125" hidden="1" customWidth="1"/>
    <col min="66" max="66" width="19.28515625" hidden="1" customWidth="1"/>
    <col min="67" max="67" width="23.5703125" hidden="1" customWidth="1"/>
    <col min="68" max="68" width="19.28515625" hidden="1" customWidth="1"/>
    <col min="69" max="69" width="23.5703125" hidden="1" customWidth="1"/>
    <col min="70" max="70" width="19.28515625" hidden="1" customWidth="1"/>
    <col min="71" max="71" width="23.5703125" hidden="1" customWidth="1"/>
    <col min="72" max="72" width="19.28515625" hidden="1" customWidth="1"/>
    <col min="73" max="73" width="23.5703125" hidden="1" customWidth="1"/>
    <col min="74" max="74" width="19.28515625" hidden="1" customWidth="1"/>
    <col min="75" max="75" width="23.5703125" hidden="1" customWidth="1"/>
    <col min="76" max="76" width="19.28515625" hidden="1" customWidth="1"/>
    <col min="77" max="77" width="23.5703125" hidden="1" customWidth="1"/>
    <col min="78" max="78" width="9.85546875" bestFit="1" customWidth="1"/>
    <col min="79" max="79" width="11.85546875" bestFit="1" customWidth="1"/>
    <col min="80" max="80" width="9.85546875" bestFit="1" customWidth="1"/>
    <col min="81" max="81" width="11.85546875" bestFit="1" customWidth="1"/>
    <col min="82" max="82" width="9.85546875" customWidth="1"/>
    <col min="83" max="83" width="11.85546875" bestFit="1" customWidth="1"/>
    <col min="84" max="84" width="9.85546875" bestFit="1" customWidth="1"/>
    <col min="85" max="85" width="11.85546875" bestFit="1" customWidth="1"/>
    <col min="86" max="86" width="9.85546875" bestFit="1" customWidth="1"/>
    <col min="87" max="87" width="11.85546875" bestFit="1" customWidth="1"/>
    <col min="88" max="88" width="9.85546875" bestFit="1" customWidth="1"/>
    <col min="89" max="89" width="11.85546875" bestFit="1" customWidth="1"/>
    <col min="90" max="90" width="9.85546875" bestFit="1" customWidth="1"/>
    <col min="91" max="91" width="11.85546875" bestFit="1" customWidth="1"/>
    <col min="92" max="92" width="9.85546875" bestFit="1" customWidth="1"/>
    <col min="93" max="93" width="11.85546875" bestFit="1" customWidth="1"/>
    <col min="94" max="94" width="9.85546875" bestFit="1" customWidth="1"/>
    <col min="95" max="95" width="11.85546875" bestFit="1" customWidth="1"/>
    <col min="96" max="96" width="9.85546875" bestFit="1" customWidth="1"/>
    <col min="97" max="97" width="11.85546875" bestFit="1" customWidth="1"/>
    <col min="98" max="98" width="9.85546875" bestFit="1" customWidth="1"/>
    <col min="99" max="99" width="11.85546875" bestFit="1" customWidth="1"/>
    <col min="100" max="100" width="9.85546875" bestFit="1" customWidth="1"/>
    <col min="101" max="101" width="11.85546875" bestFit="1" customWidth="1"/>
    <col min="102" max="102" width="9.85546875" bestFit="1" customWidth="1"/>
    <col min="103" max="103" width="11.85546875" bestFit="1" customWidth="1"/>
    <col min="104" max="104" width="9.85546875" bestFit="1" customWidth="1"/>
    <col min="105" max="105" width="11.85546875" bestFit="1" customWidth="1"/>
    <col min="106" max="106" width="9.85546875" bestFit="1" customWidth="1"/>
    <col min="107" max="107" width="11.85546875" bestFit="1" customWidth="1"/>
    <col min="108" max="108" width="9.85546875" bestFit="1" customWidth="1"/>
    <col min="109" max="109" width="11.85546875" bestFit="1" customWidth="1"/>
    <col min="110" max="110" width="9.85546875" bestFit="1" customWidth="1"/>
    <col min="111" max="111" width="11.85546875" bestFit="1" customWidth="1"/>
    <col min="112" max="112" width="9.85546875" bestFit="1" customWidth="1"/>
    <col min="113" max="113" width="11.85546875" bestFit="1" customWidth="1"/>
    <col min="114" max="114" width="9.85546875" bestFit="1" customWidth="1"/>
    <col min="115" max="115" width="11.85546875" bestFit="1" customWidth="1"/>
    <col min="116" max="116" width="9.85546875" bestFit="1" customWidth="1"/>
    <col min="117" max="117" width="11.85546875" bestFit="1" customWidth="1"/>
    <col min="118" max="118" width="9.85546875" bestFit="1" customWidth="1"/>
    <col min="119" max="119" width="11.85546875" bestFit="1" customWidth="1"/>
    <col min="120" max="120" width="9.85546875" bestFit="1" customWidth="1"/>
    <col min="121" max="121" width="11.85546875" bestFit="1" customWidth="1"/>
    <col min="122" max="122" width="9.42578125" bestFit="1" customWidth="1"/>
    <col min="123" max="123" width="11.85546875" bestFit="1" customWidth="1"/>
    <col min="124" max="124" width="9.42578125" bestFit="1" customWidth="1"/>
    <col min="125" max="125" width="11.85546875" bestFit="1" customWidth="1"/>
    <col min="126" max="126" width="9.42578125" bestFit="1" customWidth="1"/>
    <col min="127" max="127" width="11.85546875" bestFit="1" customWidth="1"/>
    <col min="128" max="128" width="9.42578125" bestFit="1" customWidth="1"/>
    <col min="129" max="129" width="8.85546875" customWidth="1"/>
    <col min="130" max="130" width="9.42578125" bestFit="1" customWidth="1"/>
    <col min="131" max="131" width="9.7109375" customWidth="1"/>
    <col min="132" max="132" width="9.42578125" bestFit="1" customWidth="1"/>
    <col min="133" max="133" width="10.140625" customWidth="1"/>
    <col min="134" max="134" width="9.42578125" bestFit="1" customWidth="1"/>
    <col min="135" max="135" width="9.7109375" customWidth="1"/>
  </cols>
  <sheetData>
    <row r="3" spans="1:135" x14ac:dyDescent="0.25">
      <c r="B3" s="575" t="s">
        <v>301</v>
      </c>
    </row>
    <row r="4" spans="1:135" x14ac:dyDescent="0.25">
      <c r="B4" s="187">
        <v>44288</v>
      </c>
      <c r="D4" s="187">
        <v>44289</v>
      </c>
      <c r="F4" s="187">
        <v>44290</v>
      </c>
      <c r="H4" s="187">
        <v>44291</v>
      </c>
      <c r="J4" s="187">
        <v>44292</v>
      </c>
      <c r="L4" s="187">
        <v>44293</v>
      </c>
      <c r="N4" s="187">
        <v>44294</v>
      </c>
      <c r="P4" s="187">
        <v>44295</v>
      </c>
      <c r="R4" s="187">
        <v>44296</v>
      </c>
      <c r="T4" s="187">
        <v>44297</v>
      </c>
      <c r="V4" s="187">
        <v>44298</v>
      </c>
      <c r="X4" s="187">
        <v>44299</v>
      </c>
      <c r="Z4" s="187">
        <v>44300</v>
      </c>
      <c r="AB4" s="187">
        <v>44301</v>
      </c>
      <c r="AD4" s="187">
        <v>44302</v>
      </c>
      <c r="AF4" s="187">
        <v>44303</v>
      </c>
      <c r="AH4" s="187">
        <v>44304</v>
      </c>
      <c r="AJ4" s="187">
        <v>44305</v>
      </c>
      <c r="AL4" s="187">
        <v>44306</v>
      </c>
      <c r="AN4" s="187">
        <v>44307</v>
      </c>
      <c r="AP4" s="187">
        <v>44308</v>
      </c>
      <c r="AR4" s="187">
        <v>44309</v>
      </c>
      <c r="AT4" s="187">
        <v>44310</v>
      </c>
      <c r="AV4" s="187">
        <v>44311</v>
      </c>
      <c r="AX4" s="187">
        <v>44312</v>
      </c>
      <c r="AZ4" s="187">
        <v>44313</v>
      </c>
      <c r="BB4" s="187">
        <v>44314</v>
      </c>
      <c r="BD4" s="187">
        <v>44315</v>
      </c>
      <c r="BF4" s="187">
        <v>44316</v>
      </c>
      <c r="BH4" s="187">
        <v>44317</v>
      </c>
      <c r="BJ4" s="187">
        <v>44318</v>
      </c>
      <c r="BL4" s="187">
        <v>44319</v>
      </c>
      <c r="BN4" s="187">
        <v>44320</v>
      </c>
      <c r="BP4" s="187">
        <v>44321</v>
      </c>
      <c r="BR4" s="187">
        <v>44322</v>
      </c>
      <c r="BT4" s="187">
        <v>44323</v>
      </c>
      <c r="BV4" s="187">
        <v>44324</v>
      </c>
      <c r="BX4" s="187">
        <v>44325</v>
      </c>
      <c r="BZ4" s="187">
        <v>44326</v>
      </c>
      <c r="CB4" s="187">
        <v>44327</v>
      </c>
      <c r="CD4" s="187">
        <v>44328</v>
      </c>
      <c r="CF4" s="187">
        <v>44329</v>
      </c>
      <c r="CH4" s="187">
        <v>44330</v>
      </c>
      <c r="CJ4" s="187">
        <v>44331</v>
      </c>
      <c r="CL4" s="187">
        <v>44332</v>
      </c>
      <c r="CN4" s="187">
        <v>44333</v>
      </c>
      <c r="CP4" s="187">
        <v>44334</v>
      </c>
      <c r="CR4" s="187">
        <v>44335</v>
      </c>
      <c r="CT4" s="187">
        <v>44336</v>
      </c>
      <c r="CV4" s="187">
        <v>44337</v>
      </c>
      <c r="CX4" s="187">
        <v>44338</v>
      </c>
      <c r="CZ4" s="187">
        <v>44339</v>
      </c>
      <c r="DB4" s="187">
        <v>44340</v>
      </c>
      <c r="DD4" s="187">
        <v>44341</v>
      </c>
      <c r="DF4" s="187">
        <v>44342</v>
      </c>
      <c r="DH4" s="187">
        <v>44343</v>
      </c>
      <c r="DJ4" s="187">
        <v>44344</v>
      </c>
      <c r="DL4" s="187">
        <v>44345</v>
      </c>
      <c r="DN4" s="187">
        <v>44346</v>
      </c>
      <c r="DP4" s="187">
        <v>44347</v>
      </c>
      <c r="DR4" s="187">
        <v>44348</v>
      </c>
      <c r="DT4" s="187">
        <v>44349</v>
      </c>
      <c r="DV4" s="187">
        <v>44350</v>
      </c>
      <c r="DX4" s="187">
        <v>44351</v>
      </c>
      <c r="DZ4" s="187">
        <v>44352</v>
      </c>
      <c r="EB4" s="187">
        <v>44353</v>
      </c>
      <c r="ED4" s="187">
        <v>44354</v>
      </c>
    </row>
    <row r="5" spans="1:135" ht="15.75" thickBot="1" x14ac:dyDescent="0.3">
      <c r="A5" s="605" t="s">
        <v>24</v>
      </c>
      <c r="B5" s="263" t="s">
        <v>312</v>
      </c>
      <c r="C5" s="263" t="s">
        <v>311</v>
      </c>
      <c r="D5" s="263" t="s">
        <v>312</v>
      </c>
      <c r="E5" s="263" t="s">
        <v>311</v>
      </c>
      <c r="F5" s="263" t="s">
        <v>312</v>
      </c>
      <c r="G5" s="263" t="s">
        <v>311</v>
      </c>
      <c r="H5" s="263" t="s">
        <v>312</v>
      </c>
      <c r="I5" s="263" t="s">
        <v>311</v>
      </c>
      <c r="J5" s="263" t="s">
        <v>312</v>
      </c>
      <c r="K5" s="263" t="s">
        <v>311</v>
      </c>
      <c r="L5" s="263" t="s">
        <v>312</v>
      </c>
      <c r="M5" s="263" t="s">
        <v>311</v>
      </c>
      <c r="N5" s="263" t="s">
        <v>312</v>
      </c>
      <c r="O5" s="263" t="s">
        <v>311</v>
      </c>
      <c r="P5" s="263" t="s">
        <v>312</v>
      </c>
      <c r="Q5" s="263" t="s">
        <v>311</v>
      </c>
      <c r="R5" s="263" t="s">
        <v>312</v>
      </c>
      <c r="S5" s="263" t="s">
        <v>311</v>
      </c>
      <c r="T5" s="263" t="s">
        <v>312</v>
      </c>
      <c r="U5" s="263" t="s">
        <v>311</v>
      </c>
      <c r="V5" s="263" t="s">
        <v>312</v>
      </c>
      <c r="W5" s="263" t="s">
        <v>311</v>
      </c>
      <c r="X5" s="263" t="s">
        <v>312</v>
      </c>
      <c r="Y5" s="263" t="s">
        <v>311</v>
      </c>
      <c r="Z5" s="263" t="s">
        <v>312</v>
      </c>
      <c r="AA5" s="263" t="s">
        <v>311</v>
      </c>
      <c r="AB5" s="263" t="s">
        <v>312</v>
      </c>
      <c r="AC5" s="263" t="s">
        <v>311</v>
      </c>
      <c r="AD5" s="263" t="s">
        <v>312</v>
      </c>
      <c r="AE5" s="263" t="s">
        <v>311</v>
      </c>
      <c r="AF5" s="263" t="s">
        <v>312</v>
      </c>
      <c r="AG5" s="263" t="s">
        <v>311</v>
      </c>
      <c r="AH5" s="263" t="s">
        <v>312</v>
      </c>
      <c r="AI5" s="263" t="s">
        <v>311</v>
      </c>
      <c r="AJ5" s="263" t="s">
        <v>312</v>
      </c>
      <c r="AK5" s="263" t="s">
        <v>311</v>
      </c>
      <c r="AL5" s="263" t="s">
        <v>312</v>
      </c>
      <c r="AM5" s="263" t="s">
        <v>311</v>
      </c>
      <c r="AN5" s="263" t="s">
        <v>312</v>
      </c>
      <c r="AO5" s="263" t="s">
        <v>311</v>
      </c>
      <c r="AP5" s="263" t="s">
        <v>312</v>
      </c>
      <c r="AQ5" s="263" t="s">
        <v>311</v>
      </c>
      <c r="AR5" s="263" t="s">
        <v>312</v>
      </c>
      <c r="AS5" s="263" t="s">
        <v>311</v>
      </c>
      <c r="AT5" s="263" t="s">
        <v>312</v>
      </c>
      <c r="AU5" s="263" t="s">
        <v>311</v>
      </c>
      <c r="AV5" s="263" t="s">
        <v>312</v>
      </c>
      <c r="AW5" s="263" t="s">
        <v>311</v>
      </c>
      <c r="AX5" s="263" t="s">
        <v>312</v>
      </c>
      <c r="AY5" s="263" t="s">
        <v>311</v>
      </c>
      <c r="AZ5" s="263" t="s">
        <v>312</v>
      </c>
      <c r="BA5" s="263" t="s">
        <v>311</v>
      </c>
      <c r="BB5" s="263" t="s">
        <v>312</v>
      </c>
      <c r="BC5" s="263" t="s">
        <v>311</v>
      </c>
      <c r="BD5" s="263" t="s">
        <v>312</v>
      </c>
      <c r="BE5" s="263" t="s">
        <v>311</v>
      </c>
      <c r="BF5" s="263" t="s">
        <v>312</v>
      </c>
      <c r="BG5" s="263" t="s">
        <v>311</v>
      </c>
      <c r="BH5" s="263" t="s">
        <v>312</v>
      </c>
      <c r="BI5" s="263" t="s">
        <v>311</v>
      </c>
      <c r="BJ5" s="263" t="s">
        <v>312</v>
      </c>
      <c r="BK5" s="263" t="s">
        <v>311</v>
      </c>
      <c r="BL5" s="263" t="s">
        <v>312</v>
      </c>
      <c r="BM5" s="263" t="s">
        <v>311</v>
      </c>
      <c r="BN5" s="263" t="s">
        <v>312</v>
      </c>
      <c r="BO5" s="263" t="s">
        <v>311</v>
      </c>
      <c r="BP5" s="263" t="s">
        <v>312</v>
      </c>
      <c r="BQ5" s="263" t="s">
        <v>311</v>
      </c>
      <c r="BR5" s="263" t="s">
        <v>312</v>
      </c>
      <c r="BS5" s="263" t="s">
        <v>311</v>
      </c>
      <c r="BT5" s="263" t="s">
        <v>312</v>
      </c>
      <c r="BU5" s="263" t="s">
        <v>311</v>
      </c>
      <c r="BV5" s="263" t="s">
        <v>312</v>
      </c>
      <c r="BW5" s="263" t="s">
        <v>311</v>
      </c>
      <c r="BX5" s="263" t="s">
        <v>312</v>
      </c>
      <c r="BY5" s="263" t="s">
        <v>311</v>
      </c>
      <c r="BZ5" s="263" t="s">
        <v>312</v>
      </c>
      <c r="CA5" s="263" t="s">
        <v>311</v>
      </c>
      <c r="CB5" s="263" t="s">
        <v>312</v>
      </c>
      <c r="CC5" s="263" t="s">
        <v>311</v>
      </c>
      <c r="CD5" s="263" t="s">
        <v>312</v>
      </c>
      <c r="CE5" s="263" t="s">
        <v>311</v>
      </c>
      <c r="CF5" s="263" t="s">
        <v>312</v>
      </c>
      <c r="CG5" s="263" t="s">
        <v>311</v>
      </c>
      <c r="CH5" s="263" t="s">
        <v>312</v>
      </c>
      <c r="CI5" s="263" t="s">
        <v>311</v>
      </c>
      <c r="CJ5" s="263" t="s">
        <v>312</v>
      </c>
      <c r="CK5" s="263" t="s">
        <v>311</v>
      </c>
      <c r="CL5" s="263" t="s">
        <v>312</v>
      </c>
      <c r="CM5" s="263" t="s">
        <v>311</v>
      </c>
      <c r="CN5" s="263" t="s">
        <v>312</v>
      </c>
      <c r="CO5" s="263" t="s">
        <v>311</v>
      </c>
      <c r="CP5" s="263" t="s">
        <v>312</v>
      </c>
      <c r="CQ5" s="263" t="s">
        <v>311</v>
      </c>
      <c r="CR5" s="263" t="s">
        <v>312</v>
      </c>
      <c r="CS5" s="263" t="s">
        <v>311</v>
      </c>
      <c r="CT5" s="263" t="s">
        <v>312</v>
      </c>
      <c r="CU5" s="263" t="s">
        <v>311</v>
      </c>
      <c r="CV5" s="263" t="s">
        <v>312</v>
      </c>
      <c r="CW5" s="263" t="s">
        <v>311</v>
      </c>
      <c r="CX5" s="263" t="s">
        <v>312</v>
      </c>
      <c r="CY5" s="263" t="s">
        <v>311</v>
      </c>
      <c r="CZ5" s="263" t="s">
        <v>312</v>
      </c>
      <c r="DA5" s="263" t="s">
        <v>311</v>
      </c>
      <c r="DB5" s="263" t="s">
        <v>312</v>
      </c>
      <c r="DC5" s="263" t="s">
        <v>311</v>
      </c>
      <c r="DD5" s="263" t="s">
        <v>312</v>
      </c>
      <c r="DE5" s="263" t="s">
        <v>311</v>
      </c>
      <c r="DF5" s="263" t="s">
        <v>312</v>
      </c>
      <c r="DG5" s="263" t="s">
        <v>311</v>
      </c>
      <c r="DH5" s="263" t="s">
        <v>312</v>
      </c>
      <c r="DI5" s="263" t="s">
        <v>311</v>
      </c>
      <c r="DJ5" s="263" t="s">
        <v>312</v>
      </c>
      <c r="DK5" s="263" t="s">
        <v>311</v>
      </c>
      <c r="DL5" s="263" t="s">
        <v>312</v>
      </c>
      <c r="DM5" s="263" t="s">
        <v>311</v>
      </c>
      <c r="DN5" s="263" t="s">
        <v>312</v>
      </c>
      <c r="DO5" s="263" t="s">
        <v>311</v>
      </c>
      <c r="DP5" s="263" t="s">
        <v>312</v>
      </c>
      <c r="DQ5" s="263" t="s">
        <v>311</v>
      </c>
      <c r="DR5" s="263" t="s">
        <v>312</v>
      </c>
      <c r="DS5" s="263" t="s">
        <v>311</v>
      </c>
      <c r="DT5" s="263" t="s">
        <v>312</v>
      </c>
      <c r="DU5" s="263" t="s">
        <v>311</v>
      </c>
      <c r="DV5" s="263" t="s">
        <v>312</v>
      </c>
      <c r="DW5" s="263" t="s">
        <v>311</v>
      </c>
      <c r="DX5" s="263" t="s">
        <v>312</v>
      </c>
      <c r="DY5" s="263" t="s">
        <v>311</v>
      </c>
      <c r="DZ5" s="263" t="s">
        <v>312</v>
      </c>
      <c r="EA5" s="263" t="s">
        <v>311</v>
      </c>
      <c r="EB5" s="263" t="s">
        <v>312</v>
      </c>
      <c r="EC5" s="263" t="s">
        <v>311</v>
      </c>
      <c r="ED5" s="263" t="s">
        <v>312</v>
      </c>
      <c r="EE5" s="263" t="s">
        <v>311</v>
      </c>
    </row>
    <row r="6" spans="1:135" ht="16.5" thickBot="1" x14ac:dyDescent="0.3">
      <c r="A6" s="612" t="s">
        <v>16</v>
      </c>
      <c r="B6" s="306">
        <v>1.6469118982742961</v>
      </c>
      <c r="C6" s="306">
        <v>372.13656739889382</v>
      </c>
      <c r="D6" s="306">
        <v>1.6600004925744403</v>
      </c>
      <c r="E6" s="306">
        <v>384.24524379571432</v>
      </c>
      <c r="F6" s="306">
        <v>1.7208141507148049</v>
      </c>
      <c r="G6" s="306">
        <v>404.86533914755034</v>
      </c>
      <c r="H6" s="306">
        <v>1.7809860163222451</v>
      </c>
      <c r="I6" s="306">
        <v>425.4797336159603</v>
      </c>
      <c r="J6" s="306">
        <v>1.8698333217423557</v>
      </c>
      <c r="K6" s="306">
        <v>459.82755625760035</v>
      </c>
      <c r="L6" s="306">
        <v>2.0060307017543861</v>
      </c>
      <c r="M6" s="306">
        <v>500.62877893747054</v>
      </c>
      <c r="N6" s="306">
        <v>2.1836104297265377</v>
      </c>
      <c r="O6" s="306">
        <v>548.08293257548075</v>
      </c>
      <c r="P6" s="306">
        <v>2.2150806121790043</v>
      </c>
      <c r="Q6" s="306">
        <v>586.65510983578554</v>
      </c>
      <c r="R6" s="306">
        <v>2.1986147891627623</v>
      </c>
      <c r="S6" s="306">
        <v>615.29634816800115</v>
      </c>
      <c r="T6" s="306">
        <v>2.211639899228468</v>
      </c>
      <c r="U6" s="306">
        <v>640.60256969600778</v>
      </c>
      <c r="V6" s="306">
        <v>2.1123431038899256</v>
      </c>
      <c r="W6" s="306">
        <v>658.15558976465661</v>
      </c>
      <c r="X6" s="306">
        <v>2.2301189282132112</v>
      </c>
      <c r="Y6" s="306">
        <v>709.82839713790565</v>
      </c>
      <c r="Z6" s="306">
        <v>2.1507819366822005</v>
      </c>
      <c r="AA6" s="306">
        <v>739.3475715177251</v>
      </c>
      <c r="AB6" s="306">
        <v>2.1236305502876038</v>
      </c>
      <c r="AC6" s="306">
        <v>772.43549892221949</v>
      </c>
      <c r="AD6" s="306">
        <v>2.2311687117974173</v>
      </c>
      <c r="AE6" s="306">
        <v>830.29946569610263</v>
      </c>
      <c r="AF6" s="306">
        <v>2.2212430082639725</v>
      </c>
      <c r="AG6" s="306">
        <v>853.50206123991597</v>
      </c>
      <c r="AH6" s="306">
        <v>2.1460333999831027</v>
      </c>
      <c r="AI6" s="306">
        <v>868.85454030612948</v>
      </c>
      <c r="AJ6" s="306">
        <v>2.0992979071200795</v>
      </c>
      <c r="AK6" s="306">
        <v>893.20871430199429</v>
      </c>
      <c r="AL6" s="306">
        <v>1.9953383999305718</v>
      </c>
      <c r="AM6" s="306">
        <v>917.5115803470253</v>
      </c>
      <c r="AN6" s="306">
        <v>1.8535005010476451</v>
      </c>
      <c r="AO6" s="306">
        <v>927.91569259947221</v>
      </c>
      <c r="AP6" s="306">
        <v>1.7026211774495528</v>
      </c>
      <c r="AQ6" s="306">
        <v>933.17760800166877</v>
      </c>
      <c r="AR6" s="306">
        <v>1.6079820418634483</v>
      </c>
      <c r="AS6" s="306">
        <v>943.33088138337189</v>
      </c>
      <c r="AT6" s="306">
        <v>1.5313443898823311</v>
      </c>
      <c r="AU6" s="306">
        <v>942.23061088215422</v>
      </c>
      <c r="AV6" s="306">
        <v>1.4630547570949284</v>
      </c>
      <c r="AW6" s="306">
        <v>937.2366370009795</v>
      </c>
      <c r="AX6" s="306">
        <v>1.4183961610422009</v>
      </c>
      <c r="AY6" s="306">
        <v>933.52536189065461</v>
      </c>
      <c r="AZ6" s="306">
        <v>1.3023403366743769</v>
      </c>
      <c r="BA6" s="169">
        <v>924.43815370961329</v>
      </c>
      <c r="BB6" s="306">
        <v>1.2335029686174723</v>
      </c>
      <c r="BC6" s="169">
        <v>911.98742430723291</v>
      </c>
      <c r="BD6" s="306">
        <v>1.1756240128714186</v>
      </c>
      <c r="BE6" s="169">
        <v>908.09372092727608</v>
      </c>
      <c r="BF6" s="306">
        <v>1.0614512097992366</v>
      </c>
      <c r="BG6" s="169">
        <v>881.3223723587879</v>
      </c>
      <c r="BH6" s="306">
        <v>1.020118359004502</v>
      </c>
      <c r="BI6" s="306">
        <v>870.67312211902299</v>
      </c>
      <c r="BJ6" s="306">
        <v>0.98329473055699546</v>
      </c>
      <c r="BK6" s="306">
        <v>854.3400911035377</v>
      </c>
      <c r="BL6" s="306">
        <v>0.93420943457642691</v>
      </c>
      <c r="BM6" s="306">
        <v>834.44400794680348</v>
      </c>
      <c r="BN6" s="306">
        <v>0.89421655006151279</v>
      </c>
      <c r="BO6" s="306">
        <v>820.45404001940358</v>
      </c>
      <c r="BP6" s="306">
        <v>0.8718966375248054</v>
      </c>
      <c r="BQ6" s="306">
        <v>809.04657228398082</v>
      </c>
      <c r="BR6" s="306">
        <v>0.85347913739385428</v>
      </c>
      <c r="BS6" s="306">
        <v>796.4476199125246</v>
      </c>
      <c r="BT6" s="306">
        <v>0.81746046134972294</v>
      </c>
      <c r="BU6" s="306">
        <v>771.13569750109184</v>
      </c>
      <c r="BV6" s="306">
        <v>0.80200026621812948</v>
      </c>
      <c r="BW6" s="306">
        <v>755.66920076635836</v>
      </c>
      <c r="BX6" s="306">
        <v>0.79058040656439699</v>
      </c>
      <c r="BY6" s="306">
        <v>740.96092152728261</v>
      </c>
      <c r="BZ6" s="306">
        <v>0.78351887927401975</v>
      </c>
      <c r="CA6" s="169">
        <v>731.43474532243943</v>
      </c>
      <c r="CB6" s="306">
        <v>0.78383295201563918</v>
      </c>
      <c r="CC6" s="169">
        <v>724.60508697809337</v>
      </c>
      <c r="CD6" s="306">
        <v>0.79010833078081921</v>
      </c>
      <c r="CE6" s="169">
        <v>720.56886151248659</v>
      </c>
      <c r="CF6" s="306">
        <v>0.78385962709523516</v>
      </c>
      <c r="CG6" s="169">
        <v>711.81800545357908</v>
      </c>
      <c r="CH6" s="306">
        <v>0.81300050454739514</v>
      </c>
      <c r="CI6" s="169">
        <v>716.51553339660177</v>
      </c>
      <c r="CJ6" s="306">
        <v>0.82871940599505001</v>
      </c>
      <c r="CK6" s="169">
        <v>721.54371257833225</v>
      </c>
      <c r="CL6" s="306">
        <v>0.84665123013992971</v>
      </c>
      <c r="CM6" s="169">
        <v>723.32808909066978</v>
      </c>
      <c r="CN6" s="306">
        <v>0.88018801538556135</v>
      </c>
      <c r="CO6" s="169">
        <v>734.46761530507058</v>
      </c>
      <c r="CP6" s="306">
        <v>0.91174774349103993</v>
      </c>
      <c r="CQ6" s="169">
        <v>748.04711962579859</v>
      </c>
      <c r="CR6" s="306">
        <v>0.94695453648637218</v>
      </c>
      <c r="CS6" s="169">
        <v>766.13032185306531</v>
      </c>
      <c r="CT6" s="306">
        <v>0.99035116602007067</v>
      </c>
      <c r="CU6" s="169">
        <v>788.76282905427865</v>
      </c>
      <c r="CV6" s="306">
        <v>1.0503378528233258</v>
      </c>
      <c r="CW6" s="169">
        <v>809.95301274871463</v>
      </c>
      <c r="CX6" s="306">
        <v>1.1010991829683221</v>
      </c>
      <c r="CY6" s="169">
        <v>832.06673955816211</v>
      </c>
      <c r="CZ6" s="306">
        <v>1.1433066867734067</v>
      </c>
      <c r="DA6" s="169">
        <v>847.14557621992765</v>
      </c>
      <c r="DB6" s="306">
        <v>1.1608158875153933</v>
      </c>
      <c r="DC6" s="169">
        <v>849.0610730510632</v>
      </c>
      <c r="DD6" s="306">
        <v>1.1513012965760323</v>
      </c>
      <c r="DE6" s="169">
        <v>834.23877614346759</v>
      </c>
      <c r="DF6" s="306">
        <v>1.1760261400677237</v>
      </c>
      <c r="DG6" s="169">
        <v>847.4078168575237</v>
      </c>
      <c r="DH6" s="306">
        <v>1.2295432520963312</v>
      </c>
      <c r="DI6" s="169">
        <v>875.21102532611769</v>
      </c>
      <c r="DJ6" s="306">
        <v>1.2512471655328798</v>
      </c>
      <c r="DK6" s="169">
        <v>896.53803022277748</v>
      </c>
      <c r="DL6" s="306">
        <v>1.2628489258653519</v>
      </c>
      <c r="DM6" s="169">
        <v>911.2007023944451</v>
      </c>
      <c r="DN6" s="306">
        <v>1.2678593947036569</v>
      </c>
      <c r="DO6" s="169">
        <v>917.07831320664945</v>
      </c>
      <c r="DP6" s="306">
        <v>1.2567257090519584</v>
      </c>
      <c r="DQ6" s="169">
        <v>923.02433461996566</v>
      </c>
      <c r="DR6" s="306">
        <v>1.2239284843311791</v>
      </c>
      <c r="DS6" s="169">
        <v>915.55617733190786</v>
      </c>
      <c r="DT6" s="306">
        <v>1.1817870643212192</v>
      </c>
      <c r="DU6" s="169">
        <v>905.40290395020486</v>
      </c>
      <c r="DV6" s="306">
        <v>1.12368637881438</v>
      </c>
      <c r="DW6" s="169">
        <v>886.3220471233883</v>
      </c>
      <c r="DX6" s="306">
        <v>1.0724828435685378</v>
      </c>
      <c r="DY6" s="169">
        <v>868.66071026964539</v>
      </c>
      <c r="DZ6" s="306">
        <v>1.0199788974608439</v>
      </c>
      <c r="EA6" s="169">
        <v>848.69051562837342</v>
      </c>
      <c r="EB6" s="306">
        <v>0.98563247397357989</v>
      </c>
      <c r="EC6" s="169">
        <v>834.97419010542126</v>
      </c>
      <c r="ED6" s="306">
        <v>0.98389230201094435</v>
      </c>
      <c r="EE6" s="169">
        <v>835.38465371209327</v>
      </c>
    </row>
    <row r="7" spans="1:135" ht="16.5" thickBot="1" x14ac:dyDescent="0.3">
      <c r="A7" s="606" t="s">
        <v>43</v>
      </c>
      <c r="B7" s="306">
        <v>1.5714034470629616</v>
      </c>
      <c r="C7" s="306">
        <v>581.0161507533702</v>
      </c>
      <c r="D7" s="306">
        <v>1.6359076364265328</v>
      </c>
      <c r="E7" s="306">
        <v>615.02526623675158</v>
      </c>
      <c r="F7" s="306">
        <v>1.7212724334439058</v>
      </c>
      <c r="G7" s="306">
        <v>657.97559276977904</v>
      </c>
      <c r="H7" s="306">
        <v>1.8203863199264152</v>
      </c>
      <c r="I7" s="306">
        <v>707.81878018471571</v>
      </c>
      <c r="J7" s="306">
        <v>1.8651932800521938</v>
      </c>
      <c r="K7" s="306">
        <v>743.61613787802628</v>
      </c>
      <c r="L7" s="306">
        <v>1.9986102027468935</v>
      </c>
      <c r="M7" s="306">
        <v>794.85740556618032</v>
      </c>
      <c r="N7" s="306">
        <v>1.9846153846153847</v>
      </c>
      <c r="O7" s="306">
        <v>826.26544147148275</v>
      </c>
      <c r="P7" s="306">
        <v>1.9885658769897616</v>
      </c>
      <c r="Q7" s="306">
        <v>865.15158116376199</v>
      </c>
      <c r="R7" s="306">
        <v>1.9645828888414765</v>
      </c>
      <c r="S7" s="306">
        <v>898.15277831063781</v>
      </c>
      <c r="T7" s="306">
        <v>2.0118908516049214</v>
      </c>
      <c r="U7" s="306">
        <v>951.70250412433677</v>
      </c>
      <c r="V7" s="306">
        <v>1.9599280760339071</v>
      </c>
      <c r="W7" s="306">
        <v>992.31185903709343</v>
      </c>
      <c r="X7" s="306">
        <v>2.077351604021259</v>
      </c>
      <c r="Y7" s="306">
        <v>1054.8027959004385</v>
      </c>
      <c r="Z7" s="306">
        <v>2.0367795059469351</v>
      </c>
      <c r="AA7" s="306">
        <v>1085.7231293848511</v>
      </c>
      <c r="AB7" s="306">
        <v>2.0322486074464967</v>
      </c>
      <c r="AC7" s="306">
        <v>1126.9177272026755</v>
      </c>
      <c r="AD7" s="306">
        <v>2.0298824846110799</v>
      </c>
      <c r="AE7" s="306">
        <v>1179.394507690417</v>
      </c>
      <c r="AF7" s="306">
        <v>1.9675935715796151</v>
      </c>
      <c r="AG7" s="306">
        <v>1210.1197602064738</v>
      </c>
      <c r="AH7" s="306">
        <v>1.9006769778129169</v>
      </c>
      <c r="AI7" s="306">
        <v>1250.5990611403263</v>
      </c>
      <c r="AJ7" s="306">
        <v>1.7929260450160771</v>
      </c>
      <c r="AK7" s="306">
        <v>1269.0667261446863</v>
      </c>
      <c r="AL7" s="306">
        <v>1.7531371605963884</v>
      </c>
      <c r="AM7" s="306">
        <v>1303.6610845331354</v>
      </c>
      <c r="AN7" s="306">
        <v>1.6404875853888004</v>
      </c>
      <c r="AO7" s="306">
        <v>1303.9537059856693</v>
      </c>
      <c r="AP7" s="306">
        <v>1.6251918309526621</v>
      </c>
      <c r="AQ7" s="306">
        <v>1342.8398456779487</v>
      </c>
      <c r="AR7" s="306">
        <v>1.5644706678191589</v>
      </c>
      <c r="AS7" s="306">
        <v>1353.5042719480721</v>
      </c>
      <c r="AT7" s="306">
        <v>1.5257022878656241</v>
      </c>
      <c r="AU7" s="306">
        <v>1370.3137487214069</v>
      </c>
      <c r="AV7" s="306">
        <v>1.4401967817976837</v>
      </c>
      <c r="AW7" s="306">
        <v>1370.6388836686665</v>
      </c>
      <c r="AX7" s="306">
        <v>1.3647444298820446</v>
      </c>
      <c r="AY7" s="306">
        <v>1354.2520823267698</v>
      </c>
      <c r="AZ7" s="306">
        <v>1.2782812403674249</v>
      </c>
      <c r="BA7" s="306">
        <v>1348.3346262866403</v>
      </c>
      <c r="BB7" s="306">
        <v>1.2493935854819873</v>
      </c>
      <c r="BC7" s="306">
        <v>1356.4955134628628</v>
      </c>
      <c r="BD7" s="306">
        <v>1.2074437391806117</v>
      </c>
      <c r="BE7" s="306">
        <v>1360.689754282515</v>
      </c>
      <c r="BF7" s="306">
        <v>1.1373986877653415</v>
      </c>
      <c r="BG7" s="306">
        <v>1341.4417654047313</v>
      </c>
      <c r="BH7" s="306">
        <v>1.0964292431285096</v>
      </c>
      <c r="BI7" s="306">
        <v>1326.8106927780375</v>
      </c>
      <c r="BJ7" s="306">
        <v>1.0222285773710482</v>
      </c>
      <c r="BK7" s="306">
        <v>1278.3980991310443</v>
      </c>
      <c r="BL7" s="306">
        <v>0.9777105964336954</v>
      </c>
      <c r="BM7" s="306">
        <v>1240.7799857330785</v>
      </c>
      <c r="BN7" s="306">
        <v>0.94740123703112533</v>
      </c>
      <c r="BO7" s="306">
        <v>1235.0901241560309</v>
      </c>
      <c r="BP7" s="306">
        <v>0.93843660391472383</v>
      </c>
      <c r="BQ7" s="306">
        <v>1223.6778875072098</v>
      </c>
      <c r="BR7" s="306">
        <v>0.89285973705237165</v>
      </c>
      <c r="BS7" s="306">
        <v>1198.9676315154604</v>
      </c>
      <c r="BT7" s="306">
        <v>0.8654063273198972</v>
      </c>
      <c r="BU7" s="306">
        <v>1171.3311609983723</v>
      </c>
      <c r="BV7" s="306">
        <v>0.83215489014378585</v>
      </c>
      <c r="BW7" s="306">
        <v>1140.3132870297816</v>
      </c>
      <c r="BX7" s="306">
        <v>0.80491507733181511</v>
      </c>
      <c r="BY7" s="306">
        <v>1103.2479030421575</v>
      </c>
      <c r="BZ7" s="306">
        <v>0.79115048497070972</v>
      </c>
      <c r="CA7" s="306">
        <v>1071.4171917054173</v>
      </c>
      <c r="CB7" s="306">
        <v>0.79139136725343617</v>
      </c>
      <c r="CC7" s="306">
        <v>1067.0603834121353</v>
      </c>
      <c r="CD7" s="306">
        <v>0.77011576903717549</v>
      </c>
      <c r="CE7" s="306">
        <v>1044.6585855459309</v>
      </c>
      <c r="CF7" s="306">
        <v>0.75921146953405017</v>
      </c>
      <c r="CG7" s="306">
        <v>1033.0512679287538</v>
      </c>
      <c r="CH7" s="306">
        <v>0.77138979107082262</v>
      </c>
      <c r="CI7" s="306">
        <v>1034.7744831492312</v>
      </c>
      <c r="CJ7" s="306">
        <v>0.7776661438933542</v>
      </c>
      <c r="CK7" s="306">
        <v>1031.8157551291663</v>
      </c>
      <c r="CL7" s="306">
        <v>0.81095653500852005</v>
      </c>
      <c r="CM7" s="306">
        <v>1036.7252928327903</v>
      </c>
      <c r="CN7" s="306">
        <v>0.85142288140034594</v>
      </c>
      <c r="CO7" s="306">
        <v>1056.4284706367378</v>
      </c>
      <c r="CP7" s="306">
        <v>0.863111064311475</v>
      </c>
      <c r="CQ7" s="306">
        <v>1066.0199515809036</v>
      </c>
      <c r="CR7" s="306">
        <v>0.89565841215857156</v>
      </c>
      <c r="CS7" s="306">
        <v>1095.9973937182629</v>
      </c>
      <c r="CT7" s="306">
        <v>0.92076147087536608</v>
      </c>
      <c r="CU7" s="306">
        <v>1103.9631999261294</v>
      </c>
      <c r="CV7" s="306">
        <v>0.96616332648642644</v>
      </c>
      <c r="CW7" s="306">
        <v>1131.6972109273954</v>
      </c>
      <c r="CX7" s="306">
        <v>1.0197878649635037</v>
      </c>
      <c r="CY7" s="169">
        <v>1162.877652369616</v>
      </c>
      <c r="CZ7" s="306">
        <v>1.0607980667216788</v>
      </c>
      <c r="DA7" s="169">
        <v>1170.3232426618667</v>
      </c>
      <c r="DB7" s="306">
        <v>1.1002033198798289</v>
      </c>
      <c r="DC7" s="169">
        <v>1178.7767512906232</v>
      </c>
      <c r="DD7" s="306">
        <v>1.0947012401352876</v>
      </c>
      <c r="DE7" s="169">
        <v>1168.1123250204996</v>
      </c>
      <c r="DF7" s="306">
        <v>1.1629318394024277</v>
      </c>
      <c r="DG7" s="169">
        <v>1214.8667304364676</v>
      </c>
      <c r="DH7" s="306">
        <v>1.191042709218519</v>
      </c>
      <c r="DI7" s="169">
        <v>1230.4081809154891</v>
      </c>
      <c r="DJ7" s="306">
        <v>1.196977314145667</v>
      </c>
      <c r="DK7" s="169">
        <v>1238.6015815864375</v>
      </c>
      <c r="DL7" s="306">
        <v>1.199558846699228</v>
      </c>
      <c r="DM7" s="169">
        <v>1237.7237172288358</v>
      </c>
      <c r="DN7" s="306">
        <v>1.1928746158188546</v>
      </c>
      <c r="DO7" s="169">
        <v>1236.6832853976043</v>
      </c>
      <c r="DP7" s="306">
        <v>1.1601625015388404</v>
      </c>
      <c r="DQ7" s="169">
        <v>1225.6286971907689</v>
      </c>
      <c r="DR7" s="306">
        <v>1.1181565864519474</v>
      </c>
      <c r="DS7" s="169">
        <v>1191.9772301493736</v>
      </c>
      <c r="DT7" s="306">
        <v>1.0628615503278056</v>
      </c>
      <c r="DU7" s="169">
        <v>1164.8934890426272</v>
      </c>
      <c r="DV7" s="306">
        <v>1.0224421275843789</v>
      </c>
      <c r="DW7" s="169">
        <v>1128.7384829073308</v>
      </c>
      <c r="DX7" s="306">
        <v>0.96920159737983735</v>
      </c>
      <c r="DY7" s="169">
        <v>1096.8427445811383</v>
      </c>
      <c r="DZ7" s="306">
        <v>0.90661522115976068</v>
      </c>
      <c r="EA7" s="169">
        <v>1054.2825799848226</v>
      </c>
      <c r="EB7" s="306">
        <v>0.88456730101402969</v>
      </c>
      <c r="EC7" s="169">
        <v>1035.2296720753948</v>
      </c>
      <c r="ED7" s="306">
        <v>0.8633291959729692</v>
      </c>
      <c r="EE7" s="169">
        <v>1017.6723849233625</v>
      </c>
    </row>
    <row r="8" spans="1:135" ht="16.5" thickBot="1" x14ac:dyDescent="0.3">
      <c r="A8" s="606" t="s">
        <v>28</v>
      </c>
      <c r="B8" s="306">
        <v>0.86337448559670782</v>
      </c>
      <c r="C8" s="306">
        <v>252.50458552178665</v>
      </c>
      <c r="D8" s="306">
        <v>0.85265700483091789</v>
      </c>
      <c r="E8" s="306">
        <v>254.91168357251863</v>
      </c>
      <c r="F8" s="306">
        <v>0.84855769230769229</v>
      </c>
      <c r="G8" s="306">
        <v>254.91168357251863</v>
      </c>
      <c r="H8" s="306">
        <v>0.89789303079416527</v>
      </c>
      <c r="I8" s="306">
        <v>266.70646402110543</v>
      </c>
      <c r="J8" s="306">
        <v>0.93795918367346942</v>
      </c>
      <c r="K8" s="306">
        <v>276.5755660291066</v>
      </c>
      <c r="L8" s="306">
        <v>0.98202614379084963</v>
      </c>
      <c r="M8" s="306">
        <v>289.33318569798621</v>
      </c>
      <c r="N8" s="306">
        <v>1.0513447432762837</v>
      </c>
      <c r="O8" s="306">
        <v>310.51564854442779</v>
      </c>
      <c r="P8" s="306">
        <v>1.0784313725490196</v>
      </c>
      <c r="Q8" s="306">
        <v>317.73694269662383</v>
      </c>
      <c r="R8" s="306">
        <v>1.2194705380017079</v>
      </c>
      <c r="S8" s="306">
        <v>343.73360164452941</v>
      </c>
      <c r="T8" s="306">
        <v>1.2095158597662772</v>
      </c>
      <c r="U8" s="306">
        <v>348.78850755106657</v>
      </c>
      <c r="V8" s="306">
        <v>1.3039462636439967</v>
      </c>
      <c r="W8" s="306">
        <v>373.82232727867938</v>
      </c>
      <c r="X8" s="306">
        <v>1.4422907488986785</v>
      </c>
      <c r="Y8" s="306">
        <v>394.04195090482813</v>
      </c>
      <c r="Z8" s="306">
        <v>1.5653357531760435</v>
      </c>
      <c r="AA8" s="306">
        <v>415.22441375126976</v>
      </c>
      <c r="AB8" s="306">
        <v>1.6974789915966386</v>
      </c>
      <c r="AC8" s="306">
        <v>437.61042562307733</v>
      </c>
      <c r="AD8" s="306">
        <v>1.7807435653002859</v>
      </c>
      <c r="AE8" s="306">
        <v>449.64591587673726</v>
      </c>
      <c r="AF8" s="306">
        <v>1.8300283286118981</v>
      </c>
      <c r="AG8" s="306">
        <v>466.49560223186126</v>
      </c>
      <c r="AH8" s="306">
        <v>1.898961284230406</v>
      </c>
      <c r="AI8" s="306">
        <v>484.06741800220487</v>
      </c>
      <c r="AJ8" s="306">
        <v>1.8953068592057762</v>
      </c>
      <c r="AK8" s="306">
        <v>505.49059065371972</v>
      </c>
      <c r="AL8" s="306">
        <v>1.8825065274151436</v>
      </c>
      <c r="AM8" s="306">
        <v>520.65530837333131</v>
      </c>
      <c r="AN8" s="306">
        <v>1.8377703826955074</v>
      </c>
      <c r="AO8" s="306">
        <v>531.72795940669846</v>
      </c>
      <c r="AP8" s="306">
        <v>1.7372093023255815</v>
      </c>
      <c r="AQ8" s="306">
        <v>539.4306731690408</v>
      </c>
      <c r="AR8" s="306">
        <v>1.7530303030303029</v>
      </c>
      <c r="AS8" s="306">
        <v>557.00248893938453</v>
      </c>
      <c r="AT8" s="306">
        <v>1.6106442577030813</v>
      </c>
      <c r="AU8" s="306">
        <v>553.63255166835972</v>
      </c>
      <c r="AV8" s="306">
        <v>1.621808143547274</v>
      </c>
      <c r="AW8" s="306">
        <v>565.66804192201971</v>
      </c>
      <c r="AX8" s="306">
        <v>1.527366387636832</v>
      </c>
      <c r="AY8" s="306">
        <v>570.96365763363008</v>
      </c>
      <c r="AZ8" s="306">
        <v>1.481979230299328</v>
      </c>
      <c r="BA8" s="306">
        <v>583.9619871075829</v>
      </c>
      <c r="BB8" s="306">
        <v>1.3739130434782609</v>
      </c>
      <c r="BC8" s="306">
        <v>570.48223802348366</v>
      </c>
      <c r="BD8" s="306">
        <v>1.2992299229922992</v>
      </c>
      <c r="BE8" s="306">
        <v>568.5565595828981</v>
      </c>
      <c r="BF8" s="306">
        <v>1.2885438972162742</v>
      </c>
      <c r="BG8" s="306">
        <v>579.38850081119199</v>
      </c>
      <c r="BH8" s="306">
        <v>1.1826625386996905</v>
      </c>
      <c r="BI8" s="306">
        <v>551.70687322777405</v>
      </c>
      <c r="BJ8" s="306">
        <v>1.1084037792143213</v>
      </c>
      <c r="BK8" s="306">
        <v>536.54215550816241</v>
      </c>
      <c r="BL8" s="306">
        <v>1.0504761904761906</v>
      </c>
      <c r="BM8" s="306">
        <v>531.00582999147889</v>
      </c>
      <c r="BN8" s="306">
        <v>1.0171058714748036</v>
      </c>
      <c r="BO8" s="306">
        <v>529.56157116103964</v>
      </c>
      <c r="BP8" s="306">
        <v>1.0076957899502037</v>
      </c>
      <c r="BQ8" s="306">
        <v>535.82002609294284</v>
      </c>
      <c r="BR8" s="306">
        <v>0.96787148594377514</v>
      </c>
      <c r="BS8" s="306">
        <v>522.09956720377045</v>
      </c>
      <c r="BT8" s="306">
        <v>0.93085566119273988</v>
      </c>
      <c r="BU8" s="306">
        <v>518.48892012767249</v>
      </c>
      <c r="BV8" s="306">
        <v>0.89565217391304353</v>
      </c>
      <c r="BW8" s="306">
        <v>495.86219845079171</v>
      </c>
      <c r="BX8" s="306">
        <v>0.91276595744680855</v>
      </c>
      <c r="BY8" s="306">
        <v>516.32253188201366</v>
      </c>
      <c r="BZ8" s="306">
        <v>0.89123102866779091</v>
      </c>
      <c r="CA8" s="306">
        <v>508.86052792474447</v>
      </c>
      <c r="CB8" s="306">
        <v>0.8491343775762572</v>
      </c>
      <c r="CC8" s="306">
        <v>495.86219845079171</v>
      </c>
      <c r="CD8" s="306">
        <v>0.94135021097046412</v>
      </c>
      <c r="CE8" s="306">
        <v>537.02357511830894</v>
      </c>
      <c r="CF8" s="306">
        <v>0.985182049110923</v>
      </c>
      <c r="CG8" s="306">
        <v>560.13171640533608</v>
      </c>
      <c r="CH8" s="306">
        <v>0.96925633568757785</v>
      </c>
      <c r="CI8" s="306">
        <v>561.57597523577522</v>
      </c>
      <c r="CJ8" s="306">
        <v>1.1649214659685865</v>
      </c>
      <c r="CK8" s="306">
        <v>642.69517954544358</v>
      </c>
      <c r="CL8" s="306">
        <v>1.3593539703903095</v>
      </c>
      <c r="CM8" s="306">
        <v>729.35070937179557</v>
      </c>
      <c r="CN8" s="306">
        <v>1.3676337262012692</v>
      </c>
      <c r="CO8" s="306">
        <v>726.22148190584392</v>
      </c>
      <c r="CP8" s="306">
        <v>1.489090909090909</v>
      </c>
      <c r="CQ8" s="306">
        <v>788.56532141980267</v>
      </c>
      <c r="CR8" s="306">
        <v>1.5763701707097935</v>
      </c>
      <c r="CS8" s="306">
        <v>844.65070600185823</v>
      </c>
      <c r="CT8" s="306">
        <v>1.6486860304287689</v>
      </c>
      <c r="CU8" s="306">
        <v>860.7782629417627</v>
      </c>
      <c r="CV8" s="306">
        <v>1.8356545961002786</v>
      </c>
      <c r="CW8" s="306">
        <v>951.76656925943223</v>
      </c>
      <c r="CX8" s="306">
        <v>2.0208737864077668</v>
      </c>
      <c r="CY8" s="169">
        <v>1002.074918519731</v>
      </c>
      <c r="CZ8" s="306">
        <v>1.9305361305361306</v>
      </c>
      <c r="DA8" s="169">
        <v>996.77930280812063</v>
      </c>
      <c r="DB8" s="306">
        <v>2.1069063386944182</v>
      </c>
      <c r="DC8" s="169">
        <v>1072.1214717960322</v>
      </c>
      <c r="DD8" s="306">
        <v>2.3320388349514563</v>
      </c>
      <c r="DE8" s="169">
        <v>1156.369903571652</v>
      </c>
      <c r="DF8" s="306">
        <v>2.1707754370237562</v>
      </c>
      <c r="DG8" s="169">
        <v>1165.7575859695069</v>
      </c>
      <c r="DH8" s="306">
        <v>2.2191663085517832</v>
      </c>
      <c r="DI8" s="169">
        <v>1243.025433398004</v>
      </c>
      <c r="DJ8" s="306">
        <v>2.3107586798114017</v>
      </c>
      <c r="DK8" s="169">
        <v>1297.6665591496205</v>
      </c>
      <c r="DL8" s="306">
        <v>1.9902621722846443</v>
      </c>
      <c r="DM8" s="169">
        <v>1279.1319041589841</v>
      </c>
      <c r="DN8" s="306">
        <v>1.7785478547854785</v>
      </c>
      <c r="DO8" s="169">
        <v>1297.185139539474</v>
      </c>
      <c r="DP8" s="306">
        <v>1.8395757374875705</v>
      </c>
      <c r="DQ8" s="169">
        <v>1335.9394181562591</v>
      </c>
      <c r="DR8" s="306">
        <v>1.6987179487179487</v>
      </c>
      <c r="DS8" s="169">
        <v>1339.5500652323572</v>
      </c>
      <c r="DT8" s="306">
        <v>1.5756625819321743</v>
      </c>
      <c r="DU8" s="169">
        <v>1330.8845122497221</v>
      </c>
      <c r="DV8" s="306">
        <v>1.595917225950783</v>
      </c>
      <c r="DW8" s="169">
        <v>1373.7308575527516</v>
      </c>
      <c r="DX8" s="306">
        <v>1.4188163884673748</v>
      </c>
      <c r="DY8" s="169">
        <v>1350.3820064606512</v>
      </c>
      <c r="DZ8" s="306">
        <v>1.4059572423732885</v>
      </c>
      <c r="EA8" s="169">
        <v>1408.8744890934388</v>
      </c>
      <c r="EB8" s="306">
        <v>1.4397488529340738</v>
      </c>
      <c r="EC8" s="169">
        <v>1435.1118578464175</v>
      </c>
      <c r="ED8" s="306">
        <v>1.3262236192186798</v>
      </c>
      <c r="EE8" s="169">
        <v>1421.8728185673915</v>
      </c>
    </row>
    <row r="9" spans="1:135" ht="16.5" thickBot="1" x14ac:dyDescent="0.3">
      <c r="A9" s="606" t="s">
        <v>15</v>
      </c>
      <c r="B9" s="306">
        <v>1.2060606060606061</v>
      </c>
      <c r="C9" s="306">
        <v>181.72897394111118</v>
      </c>
      <c r="D9" s="306">
        <v>1.1288244766505635</v>
      </c>
      <c r="E9" s="306">
        <v>174.58932489637132</v>
      </c>
      <c r="F9" s="306">
        <v>1.0837282780410742</v>
      </c>
      <c r="G9" s="306">
        <v>170.8534620241237</v>
      </c>
      <c r="H9" s="306">
        <v>1.0915867944621938</v>
      </c>
      <c r="I9" s="306">
        <v>170.18930862461303</v>
      </c>
      <c r="J9" s="306">
        <v>1.1195822454308093</v>
      </c>
      <c r="K9" s="306">
        <v>177.99311106886358</v>
      </c>
      <c r="L9" s="306">
        <v>1.0986707566462168</v>
      </c>
      <c r="M9" s="306">
        <v>178.40820694355776</v>
      </c>
      <c r="N9" s="306">
        <v>1.1767130345182895</v>
      </c>
      <c r="O9" s="306">
        <v>189.61579556030057</v>
      </c>
      <c r="P9" s="306">
        <v>1.2083333333333333</v>
      </c>
      <c r="Q9" s="306">
        <v>195.01204193132486</v>
      </c>
      <c r="R9" s="306">
        <v>1.1392031480570586</v>
      </c>
      <c r="S9" s="306">
        <v>192.27240915834332</v>
      </c>
      <c r="T9" s="306">
        <v>1.1548260656540912</v>
      </c>
      <c r="U9" s="306">
        <v>195.67619533083555</v>
      </c>
      <c r="V9" s="306">
        <v>1.093098656785549</v>
      </c>
      <c r="W9" s="306">
        <v>195.9252528556521</v>
      </c>
      <c r="X9" s="306">
        <v>1.1797278273111216</v>
      </c>
      <c r="Y9" s="306">
        <v>208.71020579623277</v>
      </c>
      <c r="Z9" s="306">
        <v>1.1933548684817721</v>
      </c>
      <c r="AA9" s="306">
        <v>214.68758639182892</v>
      </c>
      <c r="AB9" s="306">
        <v>1.2710064635272391</v>
      </c>
      <c r="AC9" s="306">
        <v>228.55178860661448</v>
      </c>
      <c r="AD9" s="306">
        <v>1.3124714481498401</v>
      </c>
      <c r="AE9" s="306">
        <v>238.51408959927474</v>
      </c>
      <c r="AF9" s="306">
        <v>1.4441274369947694</v>
      </c>
      <c r="AG9" s="306">
        <v>252.12923428924381</v>
      </c>
      <c r="AH9" s="306">
        <v>1.4980563654033041</v>
      </c>
      <c r="AI9" s="306">
        <v>255.94811633643022</v>
      </c>
      <c r="AJ9" s="306">
        <v>1.5390243902439025</v>
      </c>
      <c r="AK9" s="306">
        <v>261.92549693202642</v>
      </c>
      <c r="AL9" s="306">
        <v>1.4827425373134329</v>
      </c>
      <c r="AM9" s="306">
        <v>263.91795713055848</v>
      </c>
      <c r="AN9" s="306">
        <v>1.5095393206142391</v>
      </c>
      <c r="AO9" s="306">
        <v>269.31420350158277</v>
      </c>
      <c r="AP9" s="306">
        <v>1.3866024518388791</v>
      </c>
      <c r="AQ9" s="306">
        <v>262.92172703129239</v>
      </c>
      <c r="AR9" s="306">
        <v>1.3597275436355896</v>
      </c>
      <c r="AS9" s="306">
        <v>265.16324475464097</v>
      </c>
      <c r="AT9" s="306">
        <v>1.3981001727115716</v>
      </c>
      <c r="AU9" s="306">
        <v>268.81608845194972</v>
      </c>
      <c r="AV9" s="306">
        <v>1.3860840050912175</v>
      </c>
      <c r="AW9" s="306">
        <v>271.22364452517598</v>
      </c>
      <c r="AX9" s="306">
        <v>1.3487288135593221</v>
      </c>
      <c r="AY9" s="306">
        <v>264.25003383031378</v>
      </c>
      <c r="AZ9" s="306">
        <v>1.2358790771678601</v>
      </c>
      <c r="BA9" s="306">
        <v>257.9405765349623</v>
      </c>
      <c r="BB9" s="306">
        <v>1.2076566125290022</v>
      </c>
      <c r="BC9" s="306">
        <v>259.26888333398364</v>
      </c>
      <c r="BD9" s="306">
        <v>1.1536505630221576</v>
      </c>
      <c r="BE9" s="306">
        <v>263.66889960574196</v>
      </c>
      <c r="BF9" s="306">
        <v>1.0685694396101635</v>
      </c>
      <c r="BG9" s="306">
        <v>254.86886706222538</v>
      </c>
      <c r="BH9" s="306">
        <v>1.0029634507737899</v>
      </c>
      <c r="BI9" s="306">
        <v>252.87640686369332</v>
      </c>
      <c r="BJ9" s="306">
        <v>0.99805384365877392</v>
      </c>
      <c r="BK9" s="306">
        <v>255.45000128679723</v>
      </c>
      <c r="BL9" s="306">
        <v>0.98541996830427891</v>
      </c>
      <c r="BM9" s="306">
        <v>258.10661488483998</v>
      </c>
      <c r="BN9" s="306">
        <v>0.9883611198490091</v>
      </c>
      <c r="BO9" s="306">
        <v>260.84624765782155</v>
      </c>
      <c r="BP9" s="306">
        <v>0.99445129469790383</v>
      </c>
      <c r="BQ9" s="306">
        <v>267.8198583526837</v>
      </c>
      <c r="BR9" s="306">
        <v>1.0533628039153773</v>
      </c>
      <c r="BS9" s="306">
        <v>276.95196759595564</v>
      </c>
      <c r="BT9" s="306">
        <v>1.0763932373199749</v>
      </c>
      <c r="BU9" s="306">
        <v>285.41992343971685</v>
      </c>
      <c r="BV9" s="306">
        <v>1.060840024706609</v>
      </c>
      <c r="BW9" s="306">
        <v>285.17086591490039</v>
      </c>
      <c r="BX9" s="306">
        <v>1.0321395775941231</v>
      </c>
      <c r="BY9" s="306">
        <v>279.94065789375372</v>
      </c>
      <c r="BZ9" s="306">
        <v>1.0656613257932768</v>
      </c>
      <c r="CA9" s="306">
        <v>281.60104139253048</v>
      </c>
      <c r="CB9" s="306">
        <v>1.1277759897006758</v>
      </c>
      <c r="CC9" s="306">
        <v>290.89918898568004</v>
      </c>
      <c r="CD9" s="306">
        <v>1.1344860710854947</v>
      </c>
      <c r="CE9" s="306">
        <v>294.13693680829459</v>
      </c>
      <c r="CF9" s="306">
        <v>1.1438916876574308</v>
      </c>
      <c r="CG9" s="306">
        <v>301.60866255278978</v>
      </c>
      <c r="CH9" s="306">
        <v>1.2758957654723126</v>
      </c>
      <c r="CI9" s="306">
        <v>325.18610823541911</v>
      </c>
      <c r="CJ9" s="306">
        <v>1.3246881155613921</v>
      </c>
      <c r="CK9" s="306">
        <v>334.98237087820172</v>
      </c>
      <c r="CL9" s="306">
        <v>1.3379915502112447</v>
      </c>
      <c r="CM9" s="306">
        <v>341.78994322318624</v>
      </c>
      <c r="CN9" s="306">
        <v>1.4039884207140561</v>
      </c>
      <c r="CO9" s="306">
        <v>362.37869860801749</v>
      </c>
      <c r="CP9" s="306">
        <v>1.4653087205601527</v>
      </c>
      <c r="CQ9" s="306">
        <v>382.22028141839922</v>
      </c>
      <c r="CR9" s="306">
        <v>1.5136391816491011</v>
      </c>
      <c r="CS9" s="306">
        <v>405.38263122633435</v>
      </c>
      <c r="CT9" s="306">
        <v>1.6028177458033572</v>
      </c>
      <c r="CU9" s="306">
        <v>443.90352839795406</v>
      </c>
      <c r="CV9" s="306">
        <v>1.6273996509598603</v>
      </c>
      <c r="CW9" s="306">
        <v>464.49228378278531</v>
      </c>
      <c r="CX9" s="306">
        <v>1.7592430858806405</v>
      </c>
      <c r="CY9" s="169">
        <v>501.68487415538368</v>
      </c>
      <c r="CZ9" s="306">
        <v>1.9021352313167259</v>
      </c>
      <c r="DA9" s="169">
        <v>532.48498805769168</v>
      </c>
      <c r="DB9" s="306">
        <v>1.9775943396226414</v>
      </c>
      <c r="DC9" s="169">
        <v>556.89262548970942</v>
      </c>
      <c r="DD9" s="306">
        <v>2.0131278538812785</v>
      </c>
      <c r="DE9" s="169">
        <v>585.6172600185464</v>
      </c>
      <c r="DF9" s="306">
        <v>2.072537397685577</v>
      </c>
      <c r="DG9" s="169">
        <v>609.60980157587005</v>
      </c>
      <c r="DH9" s="306">
        <v>2.1233140655105971</v>
      </c>
      <c r="DI9" s="169">
        <v>640.40991547817805</v>
      </c>
      <c r="DJ9" s="306">
        <v>2.0306356905795253</v>
      </c>
      <c r="DK9" s="169">
        <v>660.33451746349851</v>
      </c>
      <c r="DL9" s="306">
        <v>2.0599752168525405</v>
      </c>
      <c r="DM9" s="169">
        <v>690.0553820916017</v>
      </c>
      <c r="DN9" s="306">
        <v>2.0476074811756133</v>
      </c>
      <c r="DO9" s="169">
        <v>699.85164473438431</v>
      </c>
      <c r="DP9" s="306">
        <v>1.9399770904925544</v>
      </c>
      <c r="DQ9" s="169">
        <v>703.00637338206002</v>
      </c>
      <c r="DR9" s="306">
        <v>1.8970460469157255</v>
      </c>
      <c r="DS9" s="169">
        <v>725.08947391579034</v>
      </c>
      <c r="DT9" s="306">
        <v>1.8273602293671922</v>
      </c>
      <c r="DU9" s="169">
        <v>740.78009797923028</v>
      </c>
      <c r="DV9" s="306">
        <v>1.6829998129792407</v>
      </c>
      <c r="DW9" s="169">
        <v>747.08955527458181</v>
      </c>
      <c r="DX9" s="306">
        <v>1.6196604110813226</v>
      </c>
      <c r="DY9" s="169">
        <v>752.31976329572842</v>
      </c>
      <c r="DZ9" s="306">
        <v>1.5210987919907331</v>
      </c>
      <c r="EA9" s="169">
        <v>763.11225603777712</v>
      </c>
      <c r="EB9" s="306">
        <v>1.4706891175553476</v>
      </c>
      <c r="EC9" s="169">
        <v>783.11987719803642</v>
      </c>
      <c r="ED9" s="306">
        <v>1.4114490161001789</v>
      </c>
      <c r="EE9" s="169">
        <v>786.02554832089572</v>
      </c>
    </row>
    <row r="10" spans="1:135" ht="16.5" thickBot="1" x14ac:dyDescent="0.3">
      <c r="A10" s="606" t="s">
        <v>29</v>
      </c>
      <c r="B10" s="306">
        <v>1.2779578606158832</v>
      </c>
      <c r="C10" s="306">
        <v>254.76822069357701</v>
      </c>
      <c r="D10" s="306">
        <v>1.2890879478827362</v>
      </c>
      <c r="E10" s="306">
        <v>255.73753542037562</v>
      </c>
      <c r="F10" s="306">
        <v>1.3200332502078138</v>
      </c>
      <c r="G10" s="306">
        <v>256.54529769270783</v>
      </c>
      <c r="H10" s="306">
        <v>1.3026421136909527</v>
      </c>
      <c r="I10" s="306">
        <v>262.84584341689907</v>
      </c>
      <c r="J10" s="306">
        <v>1.2442572741194486</v>
      </c>
      <c r="K10" s="306">
        <v>262.52273850796615</v>
      </c>
      <c r="L10" s="306">
        <v>1.3086890243902438</v>
      </c>
      <c r="M10" s="306">
        <v>277.38556431887872</v>
      </c>
      <c r="N10" s="306">
        <v>1.3211077844311376</v>
      </c>
      <c r="O10" s="306">
        <v>285.14008213326787</v>
      </c>
      <c r="P10" s="306">
        <v>1.3036876355748372</v>
      </c>
      <c r="Q10" s="306">
        <v>291.27907540299259</v>
      </c>
      <c r="R10" s="306">
        <v>1.2992069214131219</v>
      </c>
      <c r="S10" s="306">
        <v>291.11752294852619</v>
      </c>
      <c r="T10" s="306">
        <v>1.2419804741980474</v>
      </c>
      <c r="U10" s="306">
        <v>287.72492140473094</v>
      </c>
      <c r="V10" s="306">
        <v>1.1491749174917492</v>
      </c>
      <c r="W10" s="306">
        <v>281.26282322607324</v>
      </c>
      <c r="X10" s="306">
        <v>1.1822882999353588</v>
      </c>
      <c r="Y10" s="306">
        <v>295.47943921912008</v>
      </c>
      <c r="Z10" s="306">
        <v>1.1460880195599021</v>
      </c>
      <c r="AA10" s="306">
        <v>302.91085212457631</v>
      </c>
      <c r="AB10" s="306">
        <v>1.1769323671497585</v>
      </c>
      <c r="AC10" s="306">
        <v>314.86573375509295</v>
      </c>
      <c r="AD10" s="306">
        <v>1.3779327837666455</v>
      </c>
      <c r="AE10" s="306">
        <v>351.05348355557567</v>
      </c>
      <c r="AF10" s="306">
        <v>1.4011370814908402</v>
      </c>
      <c r="AG10" s="306">
        <v>358.32334400656549</v>
      </c>
      <c r="AH10" s="306">
        <v>1.4231738035264483</v>
      </c>
      <c r="AI10" s="306">
        <v>365.10854709415599</v>
      </c>
      <c r="AJ10" s="306">
        <v>1.3853718500307315</v>
      </c>
      <c r="AK10" s="306">
        <v>364.13923236735735</v>
      </c>
      <c r="AL10" s="306">
        <v>1.4584615384615385</v>
      </c>
      <c r="AM10" s="306">
        <v>382.87931708546449</v>
      </c>
      <c r="AN10" s="306">
        <v>1.3983692486895749</v>
      </c>
      <c r="AO10" s="306">
        <v>387.88744317392417</v>
      </c>
      <c r="AP10" s="306">
        <v>1.3886685552407931</v>
      </c>
      <c r="AQ10" s="306">
        <v>395.96506589724618</v>
      </c>
      <c r="AR10" s="306">
        <v>1.415973377703827</v>
      </c>
      <c r="AS10" s="306">
        <v>412.44341625282311</v>
      </c>
      <c r="AT10" s="306">
        <v>1.4217536071032186</v>
      </c>
      <c r="AU10" s="306">
        <v>413.89738834302108</v>
      </c>
      <c r="AV10" s="306">
        <v>1.454800673778776</v>
      </c>
      <c r="AW10" s="306">
        <v>418.58240952254789</v>
      </c>
      <c r="AX10" s="306">
        <v>1.5002871912693854</v>
      </c>
      <c r="AY10" s="306">
        <v>421.97501106634309</v>
      </c>
      <c r="AZ10" s="306">
        <v>1.3985784581738654</v>
      </c>
      <c r="BA10" s="306">
        <v>413.2511785251553</v>
      </c>
      <c r="BB10" s="306">
        <v>1.3509333333333333</v>
      </c>
      <c r="BC10" s="306">
        <v>409.21236716349432</v>
      </c>
      <c r="BD10" s="306">
        <v>1.3252950230887635</v>
      </c>
      <c r="BE10" s="306">
        <v>417.28998988681639</v>
      </c>
      <c r="BF10" s="306">
        <v>1.1187298665439485</v>
      </c>
      <c r="BG10" s="306">
        <v>392.73401680791733</v>
      </c>
      <c r="BH10" s="306">
        <v>1.1077547339945897</v>
      </c>
      <c r="BI10" s="306">
        <v>396.93438062404476</v>
      </c>
      <c r="BJ10" s="306">
        <v>1.0884955752212389</v>
      </c>
      <c r="BK10" s="306">
        <v>397.41903798744414</v>
      </c>
      <c r="BL10" s="306">
        <v>1.0811889973380657</v>
      </c>
      <c r="BM10" s="306">
        <v>393.70333153471603</v>
      </c>
      <c r="BN10" s="306">
        <v>0.98185654008438816</v>
      </c>
      <c r="BO10" s="306">
        <v>375.93256154340753</v>
      </c>
      <c r="BP10" s="306">
        <v>1.0058309037900874</v>
      </c>
      <c r="BQ10" s="306">
        <v>390.14917753645432</v>
      </c>
      <c r="BR10" s="306">
        <v>0.97103223174214603</v>
      </c>
      <c r="BS10" s="306">
        <v>384.49484163012892</v>
      </c>
      <c r="BT10" s="306">
        <v>0.9240109674892284</v>
      </c>
      <c r="BU10" s="306">
        <v>381.10224008633361</v>
      </c>
      <c r="BV10" s="306">
        <v>0.93247462919594071</v>
      </c>
      <c r="BW10" s="306">
        <v>385.94881372032688</v>
      </c>
      <c r="BX10" s="306">
        <v>0.92975685063681979</v>
      </c>
      <c r="BY10" s="306">
        <v>389.17986280965567</v>
      </c>
      <c r="BZ10" s="306">
        <v>0.9402756508422665</v>
      </c>
      <c r="CA10" s="306">
        <v>396.77282816957842</v>
      </c>
      <c r="CB10" s="306">
        <v>1.0023455824863174</v>
      </c>
      <c r="CC10" s="306">
        <v>414.220493251954</v>
      </c>
      <c r="CD10" s="306">
        <v>1.0153967627319385</v>
      </c>
      <c r="CE10" s="306">
        <v>415.5129128876855</v>
      </c>
      <c r="CF10" s="306">
        <v>0.99070847851335653</v>
      </c>
      <c r="CG10" s="306">
        <v>413.41273097962176</v>
      </c>
      <c r="CH10" s="306">
        <v>1.1040723981900453</v>
      </c>
      <c r="CI10" s="306">
        <v>433.60678778792681</v>
      </c>
      <c r="CJ10" s="306">
        <v>1.1135531135531136</v>
      </c>
      <c r="CK10" s="306">
        <v>442.00751542018179</v>
      </c>
      <c r="CL10" s="306">
        <v>1.1439024390243901</v>
      </c>
      <c r="CM10" s="306">
        <v>454.60860686856415</v>
      </c>
      <c r="CN10" s="306">
        <v>1.2121460812474354</v>
      </c>
      <c r="CO10" s="306">
        <v>477.22595049386587</v>
      </c>
      <c r="CP10" s="306">
        <v>1.3382036957455952</v>
      </c>
      <c r="CQ10" s="306">
        <v>503.07434320849637</v>
      </c>
      <c r="CR10" s="306">
        <v>1.2902691511387163</v>
      </c>
      <c r="CS10" s="306">
        <v>503.39744811742924</v>
      </c>
      <c r="CT10" s="306">
        <v>1.4008403361344537</v>
      </c>
      <c r="CU10" s="306">
        <v>538.61588319111331</v>
      </c>
      <c r="CV10" s="306">
        <v>1.4561254768969902</v>
      </c>
      <c r="CW10" s="306">
        <v>554.9326810922239</v>
      </c>
      <c r="CX10" s="306">
        <v>1.4843030556718293</v>
      </c>
      <c r="CY10" s="169">
        <v>572.86500353799875</v>
      </c>
      <c r="CZ10" s="306">
        <v>1.5379825653798256</v>
      </c>
      <c r="DA10" s="169">
        <v>598.55184379816285</v>
      </c>
      <c r="DB10" s="306">
        <v>1.501628664495114</v>
      </c>
      <c r="DC10" s="169">
        <v>595.80545207223338</v>
      </c>
      <c r="DD10" s="306">
        <v>1.421996879875195</v>
      </c>
      <c r="DE10" s="169">
        <v>589.02024898464276</v>
      </c>
      <c r="DF10" s="306">
        <v>1.4867807153965786</v>
      </c>
      <c r="DG10" s="169">
        <v>617.77658587966926</v>
      </c>
      <c r="DH10" s="306">
        <v>1.6045330207112154</v>
      </c>
      <c r="DI10" s="169">
        <v>663.3343780392056</v>
      </c>
      <c r="DJ10" s="306">
        <v>1.6024590163934427</v>
      </c>
      <c r="DK10" s="169">
        <v>694.83710666016145</v>
      </c>
      <c r="DL10" s="306">
        <v>1.6264619883040936</v>
      </c>
      <c r="DM10" s="169">
        <v>718.90842237566119</v>
      </c>
      <c r="DN10" s="306">
        <v>1.5753375977256574</v>
      </c>
      <c r="DO10" s="169">
        <v>716.16203064973172</v>
      </c>
      <c r="DP10" s="306">
        <v>1.5612728503723765</v>
      </c>
      <c r="DQ10" s="169">
        <v>745.07991999922456</v>
      </c>
      <c r="DR10" s="306">
        <v>1.5407835581245986</v>
      </c>
      <c r="DS10" s="169">
        <v>775.1286765299825</v>
      </c>
      <c r="DT10" s="306">
        <v>1.608793324775353</v>
      </c>
      <c r="DU10" s="169">
        <v>809.86245424026731</v>
      </c>
      <c r="DV10" s="306">
        <v>1.5278944211157768</v>
      </c>
      <c r="DW10" s="169">
        <v>822.94820305204905</v>
      </c>
      <c r="DX10" s="306">
        <v>1.516448326055313</v>
      </c>
      <c r="DY10" s="169">
        <v>841.52673531568962</v>
      </c>
      <c r="DZ10" s="306">
        <v>1.4816694867456288</v>
      </c>
      <c r="EA10" s="169">
        <v>848.7965957666795</v>
      </c>
      <c r="EB10" s="306">
        <v>1.4086369770580296</v>
      </c>
      <c r="EC10" s="169">
        <v>843.1422598603541</v>
      </c>
      <c r="ED10" s="306">
        <v>1.4232646420824295</v>
      </c>
      <c r="EE10" s="169">
        <v>847.98883349434732</v>
      </c>
    </row>
    <row r="11" spans="1:135" ht="16.5" thickBot="1" x14ac:dyDescent="0.3">
      <c r="A11" s="606" t="s">
        <v>20</v>
      </c>
      <c r="B11" s="306">
        <v>1.3974231912784936</v>
      </c>
      <c r="C11" s="306">
        <v>299.96410004121844</v>
      </c>
      <c r="D11" s="306">
        <v>1.3781973203410476</v>
      </c>
      <c r="E11" s="306">
        <v>300.8948397133322</v>
      </c>
      <c r="F11" s="306">
        <v>1.3955018542887905</v>
      </c>
      <c r="G11" s="306">
        <v>310.20223643446928</v>
      </c>
      <c r="H11" s="306">
        <v>1.427173015685812</v>
      </c>
      <c r="I11" s="306">
        <v>321.79659349280007</v>
      </c>
      <c r="J11" s="306">
        <v>1.5269279981388857</v>
      </c>
      <c r="K11" s="306">
        <v>349.08056216676198</v>
      </c>
      <c r="L11" s="306">
        <v>1.6596306068601583</v>
      </c>
      <c r="M11" s="306">
        <v>384.71459532768688</v>
      </c>
      <c r="N11" s="306">
        <v>1.8225806451612903</v>
      </c>
      <c r="O11" s="306">
        <v>423.69929130822106</v>
      </c>
      <c r="P11" s="306">
        <v>1.8107375271149675</v>
      </c>
      <c r="Q11" s="306">
        <v>443.96282359823959</v>
      </c>
      <c r="R11" s="306">
        <v>1.8137857900318133</v>
      </c>
      <c r="S11" s="306">
        <v>454.83918148093977</v>
      </c>
      <c r="T11" s="306">
        <v>1.8511259382819016</v>
      </c>
      <c r="U11" s="306">
        <v>472.17753194431515</v>
      </c>
      <c r="V11" s="306">
        <v>1.7481769567331065</v>
      </c>
      <c r="W11" s="306">
        <v>478.13426584584295</v>
      </c>
      <c r="X11" s="306">
        <v>1.885264997087944</v>
      </c>
      <c r="Y11" s="306">
        <v>516.48074033692774</v>
      </c>
      <c r="Z11" s="306">
        <v>1.8553937482608291</v>
      </c>
      <c r="AA11" s="306">
        <v>531.93101889401532</v>
      </c>
      <c r="AB11" s="306">
        <v>1.8120007101011895</v>
      </c>
      <c r="AC11" s="306">
        <v>542.86056190083627</v>
      </c>
      <c r="AD11" s="306">
        <v>1.9546985815602838</v>
      </c>
      <c r="AE11" s="306">
        <v>586.33940086957682</v>
      </c>
      <c r="AF11" s="306">
        <v>2.0071586389748122</v>
      </c>
      <c r="AG11" s="306">
        <v>603.94367695355606</v>
      </c>
      <c r="AH11" s="306">
        <v>1.9681954564937849</v>
      </c>
      <c r="AI11" s="306">
        <v>610.5386323445332</v>
      </c>
      <c r="AJ11" s="306">
        <v>1.9214114535988762</v>
      </c>
      <c r="AK11" s="306">
        <v>618.30366046616757</v>
      </c>
      <c r="AL11" s="306">
        <v>1.8030776262664736</v>
      </c>
      <c r="AM11" s="306">
        <v>629.41935140741134</v>
      </c>
      <c r="AN11" s="306">
        <v>1.6532107555125457</v>
      </c>
      <c r="AO11" s="306">
        <v>636.01430679838847</v>
      </c>
      <c r="AP11" s="306">
        <v>1.4769974267244084</v>
      </c>
      <c r="AQ11" s="306">
        <v>625.80276296719808</v>
      </c>
      <c r="AR11" s="306">
        <v>1.408565438754118</v>
      </c>
      <c r="AS11" s="306">
        <v>625.35068941217139</v>
      </c>
      <c r="AT11" s="306">
        <v>1.3738891487371374</v>
      </c>
      <c r="AU11" s="306">
        <v>624.8986158571447</v>
      </c>
      <c r="AV11" s="306">
        <v>1.3120635278215815</v>
      </c>
      <c r="AW11" s="306">
        <v>619.52691832094558</v>
      </c>
      <c r="AX11" s="306">
        <v>1.2772525027808677</v>
      </c>
      <c r="AY11" s="306">
        <v>610.69818771689552</v>
      </c>
      <c r="AZ11" s="306">
        <v>1.1749562351971992</v>
      </c>
      <c r="BA11" s="306">
        <v>606.84226621813878</v>
      </c>
      <c r="BB11" s="306">
        <v>1.1360795880617907</v>
      </c>
      <c r="BC11" s="306">
        <v>604.31597282240159</v>
      </c>
      <c r="BD11" s="306">
        <v>1.1374057019692367</v>
      </c>
      <c r="BE11" s="306">
        <v>617.45269848023509</v>
      </c>
      <c r="BF11" s="306">
        <v>1.0312032291713911</v>
      </c>
      <c r="BG11" s="306">
        <v>604.63508356712634</v>
      </c>
      <c r="BH11" s="306">
        <v>1.0007925674783145</v>
      </c>
      <c r="BI11" s="306">
        <v>604.42234307064314</v>
      </c>
      <c r="BJ11" s="306">
        <v>0.98850124134326411</v>
      </c>
      <c r="BK11" s="306">
        <v>603.51819596058976</v>
      </c>
      <c r="BL11" s="306">
        <v>0.97032385703840696</v>
      </c>
      <c r="BM11" s="306">
        <v>599.95479264449739</v>
      </c>
      <c r="BN11" s="306">
        <v>0.93569648062867039</v>
      </c>
      <c r="BO11" s="306">
        <v>588.94547195149516</v>
      </c>
      <c r="BP11" s="306">
        <v>0.90312330141740182</v>
      </c>
      <c r="BQ11" s="306">
        <v>574.39934050446095</v>
      </c>
      <c r="BR11" s="306">
        <v>0.92045213105001489</v>
      </c>
      <c r="BS11" s="306">
        <v>576.02148679014488</v>
      </c>
      <c r="BT11" s="306">
        <v>0.90976356523218238</v>
      </c>
      <c r="BU11" s="306">
        <v>568.92127272002017</v>
      </c>
      <c r="BV11" s="306">
        <v>0.92778416102812888</v>
      </c>
      <c r="BW11" s="306">
        <v>579.77103804066007</v>
      </c>
      <c r="BX11" s="306">
        <v>0.94741812250504354</v>
      </c>
      <c r="BY11" s="306">
        <v>586.95102979696583</v>
      </c>
      <c r="BZ11" s="306">
        <v>0.97940344001741786</v>
      </c>
      <c r="CA11" s="306">
        <v>598.11990586233026</v>
      </c>
      <c r="CB11" s="306">
        <v>1.0041630148992111</v>
      </c>
      <c r="CC11" s="306">
        <v>609.36855961387596</v>
      </c>
      <c r="CD11" s="306">
        <v>1.0446204620462045</v>
      </c>
      <c r="CE11" s="306">
        <v>631.28083075163875</v>
      </c>
      <c r="CF11" s="306">
        <v>1.0469443128472371</v>
      </c>
      <c r="CG11" s="306">
        <v>646.43859112606208</v>
      </c>
      <c r="CH11" s="306">
        <v>1.1146589259796806</v>
      </c>
      <c r="CI11" s="306">
        <v>673.96189285856747</v>
      </c>
      <c r="CJ11" s="306">
        <v>1.1540322935456906</v>
      </c>
      <c r="CK11" s="306">
        <v>697.52290284407445</v>
      </c>
      <c r="CL11" s="306">
        <v>1.1952412425644414</v>
      </c>
      <c r="CM11" s="306">
        <v>721.34983845018542</v>
      </c>
      <c r="CN11" s="306">
        <v>1.2705553831833696</v>
      </c>
      <c r="CO11" s="306">
        <v>762.27579146112839</v>
      </c>
      <c r="CP11" s="306">
        <v>1.3948616065381316</v>
      </c>
      <c r="CQ11" s="306">
        <v>821.49742716962066</v>
      </c>
      <c r="CR11" s="306">
        <v>1.5274074074074073</v>
      </c>
      <c r="CS11" s="306">
        <v>877.34180749644315</v>
      </c>
      <c r="CT11" s="306">
        <v>1.5992798116430451</v>
      </c>
      <c r="CU11" s="306">
        <v>921.21953489608961</v>
      </c>
      <c r="CV11" s="306">
        <v>1.6773394409647564</v>
      </c>
      <c r="CW11" s="306">
        <v>954.27408953715644</v>
      </c>
      <c r="CX11" s="306">
        <v>1.7651591597101184</v>
      </c>
      <c r="CY11" s="169">
        <v>1023.3881583321145</v>
      </c>
      <c r="CZ11" s="306">
        <v>1.8369880391446176</v>
      </c>
      <c r="DA11" s="169">
        <v>1078.2220213006422</v>
      </c>
      <c r="DB11" s="306">
        <v>1.8657744975991464</v>
      </c>
      <c r="DC11" s="169">
        <v>1115.9568668643381</v>
      </c>
      <c r="DD11" s="306">
        <v>1.8696487017237617</v>
      </c>
      <c r="DE11" s="169">
        <v>1139.3051363533618</v>
      </c>
      <c r="DF11" s="306">
        <v>1.8870213572602048</v>
      </c>
      <c r="DG11" s="169">
        <v>1191.2404100573071</v>
      </c>
      <c r="DH11" s="306">
        <v>1.9359085112509771</v>
      </c>
      <c r="DI11" s="169">
        <v>1251.4459705620338</v>
      </c>
      <c r="DJ11" s="306">
        <v>1.9266493055555556</v>
      </c>
      <c r="DK11" s="169">
        <v>1298.4882128468669</v>
      </c>
      <c r="DL11" s="306">
        <v>1.9099123141441099</v>
      </c>
      <c r="DM11" s="169">
        <v>1332.2075815394433</v>
      </c>
      <c r="DN11" s="306">
        <v>1.9049251640492517</v>
      </c>
      <c r="DO11" s="169">
        <v>1374.1174593466208</v>
      </c>
      <c r="DP11" s="306">
        <v>1.8318158032443748</v>
      </c>
      <c r="DQ11" s="169">
        <v>1396.3488412291083</v>
      </c>
      <c r="DR11" s="306">
        <v>1.7340088048685744</v>
      </c>
      <c r="DS11" s="169">
        <v>1424.4837718890028</v>
      </c>
      <c r="DT11" s="306">
        <v>1.6565531037827352</v>
      </c>
      <c r="DU11" s="169">
        <v>1453.3632942865881</v>
      </c>
      <c r="DV11" s="306">
        <v>1.6246752496968997</v>
      </c>
      <c r="DW11" s="169">
        <v>1496.6825778829661</v>
      </c>
      <c r="DX11" s="306">
        <v>1.6389299150062699</v>
      </c>
      <c r="DY11" s="169">
        <v>1563.9883524578177</v>
      </c>
      <c r="DZ11" s="306">
        <v>1.5040796175033779</v>
      </c>
      <c r="EA11" s="169">
        <v>1539.2572697416533</v>
      </c>
      <c r="EB11" s="306">
        <v>1.4136782913234351</v>
      </c>
      <c r="EC11" s="169">
        <v>1524.2590647395923</v>
      </c>
      <c r="ED11" s="306">
        <v>1.3694507327534851</v>
      </c>
      <c r="EE11" s="169">
        <v>1528.247949048651</v>
      </c>
    </row>
    <row r="12" spans="1:135" ht="16.5" thickBot="1" x14ac:dyDescent="0.3">
      <c r="A12" s="606" t="s">
        <v>30</v>
      </c>
      <c r="B12" s="306">
        <v>1.3863080684596576</v>
      </c>
      <c r="C12" s="306">
        <v>404.71055968008591</v>
      </c>
      <c r="D12" s="306">
        <v>1.3495495495495495</v>
      </c>
      <c r="E12" s="306">
        <v>400.96323968304807</v>
      </c>
      <c r="F12" s="306">
        <v>1.3401277760876178</v>
      </c>
      <c r="G12" s="306">
        <v>393.02249016551553</v>
      </c>
      <c r="H12" s="306">
        <v>1.3115055079559363</v>
      </c>
      <c r="I12" s="306">
        <v>382.40508350724167</v>
      </c>
      <c r="J12" s="306">
        <v>1.4872040946896994</v>
      </c>
      <c r="K12" s="306">
        <v>414.79263491021152</v>
      </c>
      <c r="L12" s="306">
        <v>1.5108418367346939</v>
      </c>
      <c r="M12" s="306">
        <v>422.73338442774411</v>
      </c>
      <c r="N12" s="306">
        <v>1.6873585515680569</v>
      </c>
      <c r="O12" s="306">
        <v>465.64912058429638</v>
      </c>
      <c r="P12" s="306">
        <v>1.4561455847255369</v>
      </c>
      <c r="Q12" s="306">
        <v>435.49211679861099</v>
      </c>
      <c r="R12" s="306">
        <v>1.6604817708333333</v>
      </c>
      <c r="S12" s="306">
        <v>455.12093583071396</v>
      </c>
      <c r="T12" s="306">
        <v>1.4134811788736503</v>
      </c>
      <c r="U12" s="306">
        <v>432.19090632503003</v>
      </c>
      <c r="V12" s="306">
        <v>1.1485714285714286</v>
      </c>
      <c r="W12" s="306">
        <v>394.53926254526897</v>
      </c>
      <c r="X12" s="306">
        <v>0.87062171628721541</v>
      </c>
      <c r="Y12" s="306">
        <v>354.83551495760622</v>
      </c>
      <c r="Z12" s="306">
        <v>0.83808487486398264</v>
      </c>
      <c r="AA12" s="306">
        <v>343.59355496649272</v>
      </c>
      <c r="AB12" s="306">
        <v>0.76526920621408812</v>
      </c>
      <c r="AC12" s="306">
        <v>320.84196927019161</v>
      </c>
      <c r="AD12" s="306">
        <v>0.79166666666666663</v>
      </c>
      <c r="AE12" s="306">
        <v>320.39585974673469</v>
      </c>
      <c r="AF12" s="306">
        <v>0.81731197151757895</v>
      </c>
      <c r="AG12" s="306">
        <v>327.71205593142759</v>
      </c>
      <c r="AH12" s="306">
        <v>0.87650397275822933</v>
      </c>
      <c r="AI12" s="306">
        <v>344.48577401340646</v>
      </c>
      <c r="AJ12" s="306">
        <v>0.91483901073261786</v>
      </c>
      <c r="AK12" s="306">
        <v>349.83908829488911</v>
      </c>
      <c r="AL12" s="306">
        <v>0.8051193805119381</v>
      </c>
      <c r="AM12" s="306">
        <v>333.95758925982403</v>
      </c>
      <c r="AN12" s="306">
        <v>0.74208526804558883</v>
      </c>
      <c r="AO12" s="306">
        <v>313.70421689488143</v>
      </c>
      <c r="AP12" s="306">
        <v>0.64073577313661623</v>
      </c>
      <c r="AQ12" s="306">
        <v>298.3580492879646</v>
      </c>
      <c r="AR12" s="306">
        <v>0.67260807211636964</v>
      </c>
      <c r="AS12" s="306">
        <v>292.91551310179057</v>
      </c>
      <c r="AT12" s="306">
        <v>0.66359537345618502</v>
      </c>
      <c r="AU12" s="306">
        <v>302.01614738031105</v>
      </c>
      <c r="AV12" s="306">
        <v>0.69343517753922379</v>
      </c>
      <c r="AW12" s="306">
        <v>299.69637785833521</v>
      </c>
      <c r="AX12" s="306">
        <v>0.77250113071008597</v>
      </c>
      <c r="AY12" s="306">
        <v>304.78202642574371</v>
      </c>
      <c r="AZ12" s="306">
        <v>0.78199647975861197</v>
      </c>
      <c r="BA12" s="306">
        <v>277.48012359018236</v>
      </c>
      <c r="BB12" s="306">
        <v>0.85172682420150614</v>
      </c>
      <c r="BC12" s="306">
        <v>292.64784738771647</v>
      </c>
      <c r="BD12" s="306">
        <v>0.9207452725250278</v>
      </c>
      <c r="BE12" s="306">
        <v>295.41372643314912</v>
      </c>
      <c r="BF12" s="306">
        <v>0.90114174324700635</v>
      </c>
      <c r="BG12" s="306">
        <v>288.72208358129586</v>
      </c>
      <c r="BH12" s="306">
        <v>0.84644704601143483</v>
      </c>
      <c r="BI12" s="306">
        <v>277.39090168549097</v>
      </c>
      <c r="BJ12" s="306">
        <v>0.79150479150479147</v>
      </c>
      <c r="BK12" s="306">
        <v>272.66214073684802</v>
      </c>
      <c r="BL12" s="306">
        <v>0.7786279010456516</v>
      </c>
      <c r="BM12" s="306">
        <v>272.39447502277386</v>
      </c>
      <c r="BN12" s="306">
        <v>0.82260219075607799</v>
      </c>
      <c r="BO12" s="306">
        <v>274.7142445447497</v>
      </c>
      <c r="BP12" s="306">
        <v>0.85580204778156999</v>
      </c>
      <c r="BQ12" s="306">
        <v>268.46871121635331</v>
      </c>
      <c r="BR12" s="306">
        <v>0.86632775119617222</v>
      </c>
      <c r="BS12" s="306">
        <v>258.47585789091909</v>
      </c>
      <c r="BT12" s="306">
        <v>0.80992994212610414</v>
      </c>
      <c r="BU12" s="306">
        <v>237.24104457437139</v>
      </c>
      <c r="BV12" s="306">
        <v>0.7636632200886263</v>
      </c>
      <c r="BW12" s="306">
        <v>230.63862362720948</v>
      </c>
      <c r="BX12" s="306">
        <v>0.79220005954153017</v>
      </c>
      <c r="BY12" s="306">
        <v>237.41948838375413</v>
      </c>
      <c r="BZ12" s="306">
        <v>0.78073770491803274</v>
      </c>
      <c r="CA12" s="306">
        <v>237.95481981190238</v>
      </c>
      <c r="CB12" s="306">
        <v>0.82636655948553051</v>
      </c>
      <c r="CC12" s="306">
        <v>229.30029505683879</v>
      </c>
      <c r="CD12" s="306">
        <v>0.7</v>
      </c>
      <c r="CE12" s="306">
        <v>204.85349317140154</v>
      </c>
      <c r="CF12" s="306">
        <v>0.76895197825430384</v>
      </c>
      <c r="CG12" s="306">
        <v>227.15896934424575</v>
      </c>
      <c r="CH12" s="306">
        <v>0.85259579728059331</v>
      </c>
      <c r="CI12" s="306">
        <v>246.16323504350908</v>
      </c>
      <c r="CJ12" s="306">
        <v>0.85622386619491797</v>
      </c>
      <c r="CK12" s="306">
        <v>237.50871028844549</v>
      </c>
      <c r="CL12" s="306">
        <v>0.90346858638743455</v>
      </c>
      <c r="CM12" s="306">
        <v>246.34167885289185</v>
      </c>
      <c r="CN12" s="306">
        <v>0.96233213232885684</v>
      </c>
      <c r="CO12" s="306">
        <v>262.13395598326554</v>
      </c>
      <c r="CP12" s="306">
        <v>0.86326729457616114</v>
      </c>
      <c r="CQ12" s="306">
        <v>237.15182266967997</v>
      </c>
      <c r="CR12" s="306">
        <v>1.1844466600199401</v>
      </c>
      <c r="CS12" s="306">
        <v>317.98686832006752</v>
      </c>
      <c r="CT12" s="306">
        <v>1.2340352088367277</v>
      </c>
      <c r="CU12" s="306">
        <v>318.96830927167269</v>
      </c>
      <c r="CV12" s="306">
        <v>1.55133508837909</v>
      </c>
      <c r="CW12" s="306">
        <v>368.04035685192997</v>
      </c>
      <c r="CX12" s="306">
        <v>1.8634429400386847</v>
      </c>
      <c r="CY12" s="169">
        <v>429.78191489836291</v>
      </c>
      <c r="CZ12" s="306">
        <v>3.0962044344231492</v>
      </c>
      <c r="DA12" s="169">
        <v>735.09927275225493</v>
      </c>
      <c r="DB12" s="306">
        <v>3.1619797525309337</v>
      </c>
      <c r="DC12" s="169">
        <v>752.40832226238194</v>
      </c>
      <c r="DD12" s="306">
        <v>3.2758754863813229</v>
      </c>
      <c r="DE12" s="169">
        <v>751.15921559670278</v>
      </c>
      <c r="DF12" s="306">
        <v>3.9542682926829267</v>
      </c>
      <c r="DG12" s="169">
        <v>810.04567269301162</v>
      </c>
      <c r="DH12" s="306">
        <v>3.6614296936370776</v>
      </c>
      <c r="DI12" s="169">
        <v>831.72659553301617</v>
      </c>
      <c r="DJ12" s="306">
        <v>3.4382022471910112</v>
      </c>
      <c r="DK12" s="169">
        <v>846.35898790240185</v>
      </c>
      <c r="DL12" s="306">
        <v>3.8256949661908339</v>
      </c>
      <c r="DM12" s="169">
        <v>908.63587737698299</v>
      </c>
      <c r="DN12" s="306">
        <v>3.8257877580586745</v>
      </c>
      <c r="DO12" s="169">
        <v>942.450979255015</v>
      </c>
      <c r="DP12" s="306">
        <v>3.6113002042205582</v>
      </c>
      <c r="DQ12" s="169">
        <v>946.64440877550953</v>
      </c>
      <c r="DR12" s="306">
        <v>4.0413844996237769</v>
      </c>
      <c r="DS12" s="169">
        <v>958.42170019477135</v>
      </c>
      <c r="DT12" s="306">
        <v>2.8928170594837264</v>
      </c>
      <c r="DU12" s="169">
        <v>919.87783736809661</v>
      </c>
      <c r="DV12" s="306">
        <v>2.9832167832167831</v>
      </c>
      <c r="DW12" s="169">
        <v>951.55161353353537</v>
      </c>
      <c r="DX12" s="306">
        <v>2.5558787878787879</v>
      </c>
      <c r="DY12" s="169">
        <v>940.66654116118741</v>
      </c>
      <c r="DZ12" s="306">
        <v>2.1000622794270294</v>
      </c>
      <c r="EA12" s="169">
        <v>902.56878785796948</v>
      </c>
      <c r="EB12" s="306">
        <v>0.86745964316057778</v>
      </c>
      <c r="EC12" s="169">
        <v>637.66895282927123</v>
      </c>
      <c r="ED12" s="306">
        <v>0.84548796395114434</v>
      </c>
      <c r="EE12" s="169">
        <v>636.1521804495178</v>
      </c>
    </row>
    <row r="13" spans="1:135" ht="16.5" thickBot="1" x14ac:dyDescent="0.3">
      <c r="A13" s="606" t="s">
        <v>31</v>
      </c>
      <c r="B13" s="306">
        <v>1.2360834990059641</v>
      </c>
      <c r="C13" s="306">
        <v>179.44227867883728</v>
      </c>
      <c r="D13" s="306">
        <v>1.1868025230470645</v>
      </c>
      <c r="E13" s="306">
        <v>176.48404248027182</v>
      </c>
      <c r="F13" s="306">
        <v>1.1608818011257036</v>
      </c>
      <c r="G13" s="306">
        <v>178.57645344998886</v>
      </c>
      <c r="H13" s="306">
        <v>1.085135135135135</v>
      </c>
      <c r="I13" s="306">
        <v>173.8144146913225</v>
      </c>
      <c r="J13" s="306">
        <v>1.1808035714285714</v>
      </c>
      <c r="K13" s="306">
        <v>190.84231085867498</v>
      </c>
      <c r="L13" s="306">
        <v>1.3350045578851413</v>
      </c>
      <c r="M13" s="306">
        <v>211.33350794142115</v>
      </c>
      <c r="N13" s="306">
        <v>1.4755596162631339</v>
      </c>
      <c r="O13" s="306">
        <v>233.05129076503596</v>
      </c>
      <c r="P13" s="306">
        <v>1.5242718446601942</v>
      </c>
      <c r="Q13" s="306">
        <v>249.21336170353999</v>
      </c>
      <c r="R13" s="306">
        <v>1.6016330038676407</v>
      </c>
      <c r="S13" s="306">
        <v>268.91088565984182</v>
      </c>
      <c r="T13" s="306">
        <v>1.6405451448040886</v>
      </c>
      <c r="U13" s="306">
        <v>277.92989846034629</v>
      </c>
      <c r="V13" s="306">
        <v>1.5839475839475838</v>
      </c>
      <c r="W13" s="306">
        <v>279.08433209881088</v>
      </c>
      <c r="X13" s="306">
        <v>1.7564364527993461</v>
      </c>
      <c r="Y13" s="306">
        <v>310.10973613254635</v>
      </c>
      <c r="Z13" s="306">
        <v>1.8120330318521432</v>
      </c>
      <c r="AA13" s="306">
        <v>332.47688787779742</v>
      </c>
      <c r="AB13" s="306">
        <v>1.9065420560747663</v>
      </c>
      <c r="AC13" s="306">
        <v>353.25669337015978</v>
      </c>
      <c r="AD13" s="306">
        <v>2.1560112585444311</v>
      </c>
      <c r="AE13" s="306">
        <v>386.87957309044049</v>
      </c>
      <c r="AF13" s="306">
        <v>2.3597710547833195</v>
      </c>
      <c r="AG13" s="306">
        <v>416.46193507609519</v>
      </c>
      <c r="AH13" s="306">
        <v>2.3624242424242423</v>
      </c>
      <c r="AI13" s="306">
        <v>421.87334275639785</v>
      </c>
      <c r="AJ13" s="306">
        <v>2.4682440846824409</v>
      </c>
      <c r="AK13" s="306">
        <v>429.01640089439746</v>
      </c>
      <c r="AL13" s="306">
        <v>2.3187145557655953</v>
      </c>
      <c r="AM13" s="306">
        <v>442.50884404395214</v>
      </c>
      <c r="AN13" s="306">
        <v>2.1608057357459884</v>
      </c>
      <c r="AO13" s="306">
        <v>456.65065611514325</v>
      </c>
      <c r="AP13" s="306">
        <v>2.0222910216718266</v>
      </c>
      <c r="AQ13" s="306">
        <v>471.29753290316251</v>
      </c>
      <c r="AR13" s="306">
        <v>1.9545454545454546</v>
      </c>
      <c r="AS13" s="306">
        <v>487.09884332964634</v>
      </c>
      <c r="AT13" s="306">
        <v>1.8454521062516769</v>
      </c>
      <c r="AU13" s="306">
        <v>496.26216033495893</v>
      </c>
      <c r="AV13" s="306">
        <v>1.788681204569055</v>
      </c>
      <c r="AW13" s="306">
        <v>497.12798556380739</v>
      </c>
      <c r="AX13" s="306">
        <v>1.8156670113753879</v>
      </c>
      <c r="AY13" s="306">
        <v>506.72421518354412</v>
      </c>
      <c r="AZ13" s="306">
        <v>1.6382038157282457</v>
      </c>
      <c r="BA13" s="306">
        <v>508.02295302681677</v>
      </c>
      <c r="BB13" s="306">
        <v>1.5336371527777777</v>
      </c>
      <c r="BC13" s="306">
        <v>509.89890768932173</v>
      </c>
      <c r="BD13" s="306">
        <v>1.4922385620915033</v>
      </c>
      <c r="BE13" s="306">
        <v>527.14326016388634</v>
      </c>
      <c r="BF13" s="306">
        <v>1.3511749347258486</v>
      </c>
      <c r="BG13" s="306">
        <v>522.74198191724008</v>
      </c>
      <c r="BH13" s="306">
        <v>1.2321552321552323</v>
      </c>
      <c r="BI13" s="306">
        <v>513.14575229750335</v>
      </c>
      <c r="BJ13" s="306">
        <v>1.2122455960321532</v>
      </c>
      <c r="BK13" s="306">
        <v>511.41410183980645</v>
      </c>
      <c r="BL13" s="306">
        <v>1.208711738984191</v>
      </c>
      <c r="BM13" s="306">
        <v>518.55715997780601</v>
      </c>
      <c r="BN13" s="306">
        <v>1.1697374857329204</v>
      </c>
      <c r="BO13" s="306">
        <v>517.61918264655355</v>
      </c>
      <c r="BP13" s="306">
        <v>1.1709590772633907</v>
      </c>
      <c r="BQ13" s="306">
        <v>534.71923091631004</v>
      </c>
      <c r="BR13" s="306">
        <v>1.1477342314758114</v>
      </c>
      <c r="BS13" s="306">
        <v>540.92431172305714</v>
      </c>
      <c r="BT13" s="306">
        <v>1.1208709820767293</v>
      </c>
      <c r="BU13" s="306">
        <v>545.97495889133961</v>
      </c>
      <c r="BV13" s="306">
        <v>1.0770572840942134</v>
      </c>
      <c r="BW13" s="306">
        <v>534.50277460909797</v>
      </c>
      <c r="BX13" s="306">
        <v>1.0843251088534107</v>
      </c>
      <c r="BY13" s="306">
        <v>539.04835706055212</v>
      </c>
      <c r="BZ13" s="306">
        <v>1.0713370354549339</v>
      </c>
      <c r="CA13" s="306">
        <v>542.87241848796612</v>
      </c>
      <c r="CB13" s="306">
        <v>1.0771197273114614</v>
      </c>
      <c r="CC13" s="306">
        <v>547.20154463220831</v>
      </c>
      <c r="CD13" s="306">
        <v>1.0817885948776</v>
      </c>
      <c r="CE13" s="306">
        <v>551.60282287885445</v>
      </c>
      <c r="CF13" s="306">
        <v>1.0522857924993156</v>
      </c>
      <c r="CG13" s="306">
        <v>554.70536328222806</v>
      </c>
      <c r="CH13" s="306">
        <v>1.1108350586611455</v>
      </c>
      <c r="CI13" s="306">
        <v>580.6801201476809</v>
      </c>
      <c r="CJ13" s="306">
        <v>1.1744938132733409</v>
      </c>
      <c r="CK13" s="306">
        <v>602.68651138091184</v>
      </c>
      <c r="CL13" s="306">
        <v>1.2058408577878104</v>
      </c>
      <c r="CM13" s="306">
        <v>616.68401924729483</v>
      </c>
      <c r="CN13" s="306">
        <v>1.2114929734242381</v>
      </c>
      <c r="CO13" s="306">
        <v>628.22835563194064</v>
      </c>
      <c r="CP13" s="306">
        <v>1.2599665458600502</v>
      </c>
      <c r="CQ13" s="306">
        <v>652.18285363008056</v>
      </c>
      <c r="CR13" s="306">
        <v>1.2469302388341654</v>
      </c>
      <c r="CS13" s="306">
        <v>666.75757831569581</v>
      </c>
      <c r="CT13" s="306">
        <v>1.2891823396025077</v>
      </c>
      <c r="CU13" s="306">
        <v>697.35006973500697</v>
      </c>
      <c r="CV13" s="306">
        <v>1.3151843531121976</v>
      </c>
      <c r="CW13" s="306">
        <v>718.05772312496526</v>
      </c>
      <c r="CX13" s="306">
        <v>1.4059125269978401</v>
      </c>
      <c r="CY13" s="169">
        <v>751.4641465380339</v>
      </c>
      <c r="CZ13" s="306">
        <v>1.4600455093026368</v>
      </c>
      <c r="DA13" s="169">
        <v>787.03513302322369</v>
      </c>
      <c r="DB13" s="306">
        <v>1.4558745348219033</v>
      </c>
      <c r="DC13" s="169">
        <v>790.35412973380915</v>
      </c>
      <c r="DD13" s="306">
        <v>1.441191983122363</v>
      </c>
      <c r="DE13" s="169">
        <v>788.62247927611236</v>
      </c>
      <c r="DF13" s="306">
        <v>1.4470896010464356</v>
      </c>
      <c r="DG13" s="169">
        <v>798.2187088958492</v>
      </c>
      <c r="DH13" s="306">
        <v>1.5101456815816858</v>
      </c>
      <c r="DI13" s="169">
        <v>837.68590891085682</v>
      </c>
      <c r="DJ13" s="306">
        <v>1.5110586481113319</v>
      </c>
      <c r="DK13" s="169">
        <v>877.44171733548058</v>
      </c>
      <c r="DL13" s="306">
        <v>1.5102358434095535</v>
      </c>
      <c r="DM13" s="169">
        <v>910.19877182691289</v>
      </c>
      <c r="DN13" s="306">
        <v>1.5152685152685152</v>
      </c>
      <c r="DO13" s="169">
        <v>934.44187823466893</v>
      </c>
      <c r="DP13" s="306">
        <v>1.5199264959228207</v>
      </c>
      <c r="DQ13" s="169">
        <v>954.8609232150111</v>
      </c>
      <c r="DR13" s="306">
        <v>1.5028211085297045</v>
      </c>
      <c r="DS13" s="169">
        <v>980.11415905642377</v>
      </c>
      <c r="DT13" s="306">
        <v>1.4881506330483714</v>
      </c>
      <c r="DU13" s="169">
        <v>992.23571226030174</v>
      </c>
      <c r="DV13" s="306">
        <v>1.4129332643559234</v>
      </c>
      <c r="DW13" s="169">
        <v>985.30911042951436</v>
      </c>
      <c r="DX13" s="306">
        <v>1.3731913183279743</v>
      </c>
      <c r="DY13" s="169">
        <v>986.03063145355463</v>
      </c>
      <c r="DZ13" s="306">
        <v>1.3087854056649064</v>
      </c>
      <c r="EA13" s="169">
        <v>983.5053078694134</v>
      </c>
      <c r="EB13" s="306">
        <v>1.2255225522552256</v>
      </c>
      <c r="EC13" s="169">
        <v>964.52930493715178</v>
      </c>
      <c r="ED13" s="306">
        <v>1.2392733248128538</v>
      </c>
      <c r="EE13" s="169">
        <v>979.46479013478734</v>
      </c>
    </row>
    <row r="14" spans="1:135" ht="16.5" thickBot="1" x14ac:dyDescent="0.3">
      <c r="A14" s="606" t="s">
        <v>41</v>
      </c>
      <c r="B14" s="306">
        <v>1.75</v>
      </c>
      <c r="C14" s="306">
        <v>100.629055524436</v>
      </c>
      <c r="D14" s="306">
        <v>1.7449856733524356</v>
      </c>
      <c r="E14" s="306">
        <v>100.629055524436</v>
      </c>
      <c r="F14" s="306">
        <v>1.9082568807339451</v>
      </c>
      <c r="G14" s="306">
        <v>103.1076036900625</v>
      </c>
      <c r="H14" s="306">
        <v>1.9446153846153846</v>
      </c>
      <c r="I14" s="306">
        <v>104.42949604506332</v>
      </c>
      <c r="J14" s="306">
        <v>2.094224924012158</v>
      </c>
      <c r="K14" s="306">
        <v>113.84797907444401</v>
      </c>
      <c r="L14" s="306">
        <v>2.2287390029325511</v>
      </c>
      <c r="M14" s="306">
        <v>125.57977372507614</v>
      </c>
      <c r="N14" s="306">
        <v>2.0487106017191978</v>
      </c>
      <c r="O14" s="306">
        <v>118.14412922819663</v>
      </c>
      <c r="P14" s="306">
        <v>1.7621359223300972</v>
      </c>
      <c r="Q14" s="306">
        <v>119.96173121632272</v>
      </c>
      <c r="R14" s="306">
        <v>1.6494117647058824</v>
      </c>
      <c r="S14" s="306">
        <v>115.83081760694522</v>
      </c>
      <c r="T14" s="306">
        <v>1.6383495145631068</v>
      </c>
      <c r="U14" s="306">
        <v>111.53466745319261</v>
      </c>
      <c r="V14" s="306">
        <v>2.0835164835164837</v>
      </c>
      <c r="W14" s="306">
        <v>156.64424406759497</v>
      </c>
      <c r="X14" s="306">
        <v>2.3048245614035086</v>
      </c>
      <c r="Y14" s="306">
        <v>173.66360813823027</v>
      </c>
      <c r="Z14" s="306">
        <v>1.5868852459016394</v>
      </c>
      <c r="AA14" s="306">
        <v>159.94897495509696</v>
      </c>
      <c r="AB14" s="306">
        <v>1.6167192429022081</v>
      </c>
      <c r="AC14" s="306">
        <v>169.36745798447768</v>
      </c>
      <c r="AD14" s="306">
        <v>1.8357963875205254</v>
      </c>
      <c r="AE14" s="306">
        <v>184.73445661136199</v>
      </c>
      <c r="AF14" s="306">
        <v>1.8538587848932677</v>
      </c>
      <c r="AG14" s="306">
        <v>186.55205859948811</v>
      </c>
      <c r="AH14" s="306">
        <v>1.8317307692307692</v>
      </c>
      <c r="AI14" s="306">
        <v>188.86537022073949</v>
      </c>
      <c r="AJ14" s="306">
        <v>1.8243670886075949</v>
      </c>
      <c r="AK14" s="306">
        <v>190.51773566449052</v>
      </c>
      <c r="AL14" s="306">
        <v>1.725689404934688</v>
      </c>
      <c r="AM14" s="306">
        <v>196.4662512619941</v>
      </c>
      <c r="AN14" s="306">
        <v>1.5855263157894737</v>
      </c>
      <c r="AO14" s="306">
        <v>199.1100359719957</v>
      </c>
      <c r="AP14" s="306">
        <v>1.8461538461538463</v>
      </c>
      <c r="AQ14" s="306">
        <v>218.11223857513221</v>
      </c>
      <c r="AR14" s="306">
        <v>1.834710743801653</v>
      </c>
      <c r="AS14" s="306">
        <v>220.09507710763344</v>
      </c>
      <c r="AT14" s="306">
        <v>2.0513552068473611</v>
      </c>
      <c r="AU14" s="306">
        <v>237.61015081139405</v>
      </c>
      <c r="AV14" s="306">
        <v>2.2992592592592591</v>
      </c>
      <c r="AW14" s="306">
        <v>256.44711687015547</v>
      </c>
      <c r="AX14" s="306">
        <v>1.3554852320675106</v>
      </c>
      <c r="AY14" s="306">
        <v>212.32895952200374</v>
      </c>
      <c r="AZ14" s="306">
        <v>1.2102759276879163</v>
      </c>
      <c r="BA14" s="306">
        <v>210.18088444512742</v>
      </c>
      <c r="BB14" s="306">
        <v>1.3192148760330578</v>
      </c>
      <c r="BC14" s="306">
        <v>211.00706716700293</v>
      </c>
      <c r="BD14" s="306">
        <v>1.1648780487804877</v>
      </c>
      <c r="BE14" s="306">
        <v>197.29243398386961</v>
      </c>
      <c r="BF14" s="306">
        <v>0.99463327370304111</v>
      </c>
      <c r="BG14" s="306">
        <v>183.74303734511139</v>
      </c>
      <c r="BH14" s="306">
        <v>0.98051372896368472</v>
      </c>
      <c r="BI14" s="306">
        <v>182.91685462323591</v>
      </c>
      <c r="BJ14" s="306">
        <v>0.94225721784776906</v>
      </c>
      <c r="BK14" s="306">
        <v>177.95975829198289</v>
      </c>
      <c r="BL14" s="306">
        <v>0.97398091934084996</v>
      </c>
      <c r="BM14" s="306">
        <v>185.5606393332375</v>
      </c>
      <c r="BN14" s="306">
        <v>0.97897392767031122</v>
      </c>
      <c r="BO14" s="306">
        <v>192.3353376526166</v>
      </c>
      <c r="BP14" s="306">
        <v>1.1219917012448133</v>
      </c>
      <c r="BQ14" s="306">
        <v>223.39980799513543</v>
      </c>
      <c r="BR14" s="306">
        <v>1.1954545454545455</v>
      </c>
      <c r="BS14" s="306">
        <v>260.74326702390806</v>
      </c>
      <c r="BT14" s="306">
        <v>1.3453453453453454</v>
      </c>
      <c r="BU14" s="306">
        <v>296.10388752017951</v>
      </c>
      <c r="BV14" s="306">
        <v>1.2593880389429764</v>
      </c>
      <c r="BW14" s="306">
        <v>299.24338186330641</v>
      </c>
      <c r="BX14" s="306">
        <v>1.0927835051546391</v>
      </c>
      <c r="BY14" s="306">
        <v>280.24117926016987</v>
      </c>
      <c r="BZ14" s="306">
        <v>1.3719844357976654</v>
      </c>
      <c r="CA14" s="306">
        <v>291.31202773330159</v>
      </c>
      <c r="CB14" s="306">
        <v>1.5864779874213837</v>
      </c>
      <c r="CC14" s="306">
        <v>333.44734654895217</v>
      </c>
      <c r="CD14" s="306">
        <v>1.7564604541895066</v>
      </c>
      <c r="CE14" s="306">
        <v>370.62556903334968</v>
      </c>
      <c r="CF14" s="306">
        <v>1.9899497487437185</v>
      </c>
      <c r="CG14" s="306">
        <v>392.60202943523797</v>
      </c>
      <c r="CH14" s="306">
        <v>2.170863309352518</v>
      </c>
      <c r="CI14" s="306">
        <v>398.88101812149176</v>
      </c>
      <c r="CJ14" s="306">
        <v>2.1779584462511292</v>
      </c>
      <c r="CK14" s="306">
        <v>398.38530848836649</v>
      </c>
      <c r="CL14" s="306">
        <v>3.3676880222841228</v>
      </c>
      <c r="CM14" s="306">
        <v>599.31294644848833</v>
      </c>
      <c r="CN14" s="306">
        <v>8.1665182546749779</v>
      </c>
      <c r="CO14" s="306">
        <v>1515.3843484640438</v>
      </c>
      <c r="CP14" s="306">
        <v>8.0180412371134029</v>
      </c>
      <c r="CQ14" s="306">
        <v>1542.15266865281</v>
      </c>
      <c r="CR14" s="306">
        <v>10.394970414201184</v>
      </c>
      <c r="CS14" s="306">
        <v>2322.2343946476576</v>
      </c>
      <c r="CT14" s="306">
        <v>9.3060836501901143</v>
      </c>
      <c r="CU14" s="306">
        <v>2426.4986541483463</v>
      </c>
      <c r="CV14" s="306">
        <v>8.6199776785714288</v>
      </c>
      <c r="CW14" s="306">
        <v>2552.4089009621725</v>
      </c>
      <c r="CX14" s="306">
        <v>9.0552181115405848</v>
      </c>
      <c r="CY14" s="169">
        <v>2709.7140912072678</v>
      </c>
      <c r="CZ14" s="306">
        <v>10.180424528301886</v>
      </c>
      <c r="DA14" s="169">
        <v>2852.9741751804795</v>
      </c>
      <c r="DB14" s="306">
        <v>10.13953488372093</v>
      </c>
      <c r="DC14" s="169">
        <v>2953.7684672492906</v>
      </c>
      <c r="DD14" s="306">
        <v>9.055500495540139</v>
      </c>
      <c r="DE14" s="169">
        <v>3019.5326119105807</v>
      </c>
      <c r="DF14" s="306">
        <v>8.3802942487739642</v>
      </c>
      <c r="DG14" s="169">
        <v>3105.951324618758</v>
      </c>
      <c r="DH14" s="306">
        <v>8.3152356902356903</v>
      </c>
      <c r="DI14" s="169">
        <v>3264.5784072188544</v>
      </c>
      <c r="DJ14" s="306">
        <v>8.6623860811930413</v>
      </c>
      <c r="DK14" s="169">
        <v>3455.2613794277195</v>
      </c>
      <c r="DL14" s="306">
        <v>9.0937370385732059</v>
      </c>
      <c r="DM14" s="169">
        <v>3622.8112354240711</v>
      </c>
      <c r="DN14" s="306">
        <v>5.9225255031706645</v>
      </c>
      <c r="DO14" s="169">
        <v>3549.4462097215269</v>
      </c>
      <c r="DP14" s="306">
        <v>1.8221567986042961</v>
      </c>
      <c r="DQ14" s="169">
        <v>2761.2678930522989</v>
      </c>
      <c r="DR14" s="306">
        <v>1.8686381656487732</v>
      </c>
      <c r="DS14" s="169">
        <v>2881.725333901747</v>
      </c>
      <c r="DT14" s="306">
        <v>0.95645367866799491</v>
      </c>
      <c r="DU14" s="169">
        <v>2221.1096294900963</v>
      </c>
      <c r="DV14" s="306">
        <v>0.9094994892747702</v>
      </c>
      <c r="DW14" s="169">
        <v>2206.8992866738377</v>
      </c>
      <c r="DX14" s="306">
        <v>0.84035735094193043</v>
      </c>
      <c r="DY14" s="169">
        <v>2144.9355825331754</v>
      </c>
      <c r="DZ14" s="306">
        <v>0.76211964144155131</v>
      </c>
      <c r="EA14" s="169">
        <v>2065.1263316000022</v>
      </c>
      <c r="EB14" s="306">
        <v>0.70045175489401135</v>
      </c>
      <c r="EC14" s="169">
        <v>1998.3707676724614</v>
      </c>
      <c r="ED14" s="306">
        <v>0.66066234056835982</v>
      </c>
      <c r="EE14" s="169">
        <v>1951.4435890699331</v>
      </c>
    </row>
    <row r="15" spans="1:135" ht="16.5" thickBot="1" x14ac:dyDescent="0.3">
      <c r="A15" s="606" t="s">
        <v>32</v>
      </c>
      <c r="B15" s="306">
        <v>0.81313131313131315</v>
      </c>
      <c r="C15" s="306">
        <v>83.540779964741631</v>
      </c>
      <c r="D15" s="306">
        <v>0.83203125</v>
      </c>
      <c r="E15" s="306">
        <v>82.892171424642711</v>
      </c>
      <c r="F15" s="306">
        <v>0.8165137614678899</v>
      </c>
      <c r="G15" s="306">
        <v>80.816624096326152</v>
      </c>
      <c r="H15" s="306">
        <v>0.87516778523489935</v>
      </c>
      <c r="I15" s="306">
        <v>84.578553628899925</v>
      </c>
      <c r="J15" s="306">
        <v>0.93947730398899587</v>
      </c>
      <c r="K15" s="306">
        <v>88.599926577513259</v>
      </c>
      <c r="L15" s="306">
        <v>1.0582959641255605</v>
      </c>
      <c r="M15" s="306">
        <v>91.842969278007885</v>
      </c>
      <c r="N15" s="306">
        <v>1.153125</v>
      </c>
      <c r="O15" s="306">
        <v>95.734620518601446</v>
      </c>
      <c r="P15" s="306">
        <v>1.1813804173354736</v>
      </c>
      <c r="Q15" s="306">
        <v>95.475177102561872</v>
      </c>
      <c r="R15" s="306">
        <v>1.1475667189952905</v>
      </c>
      <c r="S15" s="306">
        <v>94.826568562462938</v>
      </c>
      <c r="T15" s="306">
        <v>1.2048780487804878</v>
      </c>
      <c r="U15" s="306">
        <v>96.123785642660806</v>
      </c>
      <c r="V15" s="306">
        <v>1.2764227642276422</v>
      </c>
      <c r="W15" s="306">
        <v>101.83154079553135</v>
      </c>
      <c r="X15" s="306">
        <v>1.3590163934426229</v>
      </c>
      <c r="Y15" s="306">
        <v>107.5392959484019</v>
      </c>
      <c r="Z15" s="306">
        <v>1.3567921440261865</v>
      </c>
      <c r="AA15" s="306">
        <v>107.5392959484019</v>
      </c>
      <c r="AB15" s="306">
        <v>1.2846034214618973</v>
      </c>
      <c r="AC15" s="306">
        <v>107.15013082434254</v>
      </c>
      <c r="AD15" s="306">
        <v>1.3773291925465838</v>
      </c>
      <c r="AE15" s="306">
        <v>115.06315501354943</v>
      </c>
      <c r="AF15" s="306">
        <v>1.5649452269170578</v>
      </c>
      <c r="AG15" s="306">
        <v>129.72170801978515</v>
      </c>
      <c r="AH15" s="306">
        <v>1.667736757624398</v>
      </c>
      <c r="AI15" s="306">
        <v>134.78085463255678</v>
      </c>
      <c r="AJ15" s="306">
        <v>1.6242331288343559</v>
      </c>
      <c r="AK15" s="306">
        <v>137.37528879295249</v>
      </c>
      <c r="AL15" s="306">
        <v>1.6134699853587116</v>
      </c>
      <c r="AM15" s="306">
        <v>142.95332223780323</v>
      </c>
      <c r="AN15" s="306">
        <v>1.6539548022598871</v>
      </c>
      <c r="AO15" s="306">
        <v>151.90412009116844</v>
      </c>
      <c r="AP15" s="306">
        <v>1.6368563685636857</v>
      </c>
      <c r="AQ15" s="306">
        <v>156.70382328790046</v>
      </c>
      <c r="AR15" s="306">
        <v>1.6684782608695652</v>
      </c>
      <c r="AS15" s="306">
        <v>159.29825744829617</v>
      </c>
      <c r="AT15" s="306">
        <v>1.7537619699042408</v>
      </c>
      <c r="AU15" s="306">
        <v>166.30322968136457</v>
      </c>
      <c r="AV15" s="306">
        <v>1.7638326585695008</v>
      </c>
      <c r="AW15" s="306">
        <v>169.54627238185918</v>
      </c>
      <c r="AX15" s="306">
        <v>1.6968152866242039</v>
      </c>
      <c r="AY15" s="306">
        <v>172.78931508235382</v>
      </c>
      <c r="AZ15" s="306">
        <v>1.6308805790108565</v>
      </c>
      <c r="BA15" s="306">
        <v>175.38374924274953</v>
      </c>
      <c r="BB15" s="306">
        <v>1.6550060313630881</v>
      </c>
      <c r="BC15" s="306">
        <v>177.97818340314521</v>
      </c>
      <c r="BD15" s="306">
        <v>1.7179176755447942</v>
      </c>
      <c r="BE15" s="306">
        <v>184.07510368007513</v>
      </c>
      <c r="BF15" s="306">
        <v>1.5727170236753101</v>
      </c>
      <c r="BG15" s="306">
        <v>180.96178268760028</v>
      </c>
      <c r="BH15" s="306">
        <v>1.3140000000000001</v>
      </c>
      <c r="BI15" s="306">
        <v>170.45432433799769</v>
      </c>
      <c r="BJ15" s="306">
        <v>1.2531280076997113</v>
      </c>
      <c r="BK15" s="306">
        <v>168.89766384176028</v>
      </c>
      <c r="BL15" s="306">
        <v>1.242681775259679</v>
      </c>
      <c r="BM15" s="306">
        <v>170.71376775403726</v>
      </c>
      <c r="BN15" s="306">
        <v>1.2087114337568059</v>
      </c>
      <c r="BO15" s="306">
        <v>172.78931508235382</v>
      </c>
      <c r="BP15" s="306">
        <v>1.1076003415883859</v>
      </c>
      <c r="BQ15" s="306">
        <v>168.24905530166134</v>
      </c>
      <c r="BR15" s="306">
        <v>1.0620860927152318</v>
      </c>
      <c r="BS15" s="306">
        <v>166.43295138938436</v>
      </c>
      <c r="BT15" s="306">
        <v>1.0871335504885993</v>
      </c>
      <c r="BU15" s="306">
        <v>173.17848020641318</v>
      </c>
      <c r="BV15" s="306">
        <v>1.0374414976599065</v>
      </c>
      <c r="BW15" s="306">
        <v>172.52987166631425</v>
      </c>
      <c r="BX15" s="306">
        <v>1.0053557765876051</v>
      </c>
      <c r="BY15" s="306">
        <v>170.45432433799769</v>
      </c>
      <c r="BZ15" s="306">
        <v>0.9496996996996997</v>
      </c>
      <c r="CA15" s="306">
        <v>164.09796064502822</v>
      </c>
      <c r="CB15" s="306">
        <v>0.92529585798816572</v>
      </c>
      <c r="CC15" s="306">
        <v>162.28185673275124</v>
      </c>
      <c r="CD15" s="306">
        <v>0.90670553935860054</v>
      </c>
      <c r="CE15" s="306">
        <v>161.37380477661273</v>
      </c>
      <c r="CF15" s="306">
        <v>0.85341789992952788</v>
      </c>
      <c r="CG15" s="306">
        <v>157.09298841195982</v>
      </c>
      <c r="CH15" s="306">
        <v>0.87383512544802866</v>
      </c>
      <c r="CI15" s="306">
        <v>158.13076207611812</v>
      </c>
      <c r="CJ15" s="306">
        <v>0.95281582952815824</v>
      </c>
      <c r="CK15" s="306">
        <v>162.41157844077102</v>
      </c>
      <c r="CL15" s="306">
        <v>0.96313364055299544</v>
      </c>
      <c r="CM15" s="306">
        <v>162.6710218568106</v>
      </c>
      <c r="CN15" s="306">
        <v>0.95060790273556228</v>
      </c>
      <c r="CO15" s="306">
        <v>162.28185673275124</v>
      </c>
      <c r="CP15" s="306">
        <v>0.9429429429429429</v>
      </c>
      <c r="CQ15" s="306">
        <v>162.93046527285014</v>
      </c>
      <c r="CR15" s="306">
        <v>1.0123361603700849</v>
      </c>
      <c r="CS15" s="306">
        <v>170.3246026299779</v>
      </c>
      <c r="CT15" s="306">
        <v>1.0810600155884644</v>
      </c>
      <c r="CU15" s="306">
        <v>179.92400902344201</v>
      </c>
      <c r="CV15" s="306">
        <v>1.053932584269663</v>
      </c>
      <c r="CW15" s="306">
        <v>182.51844318383772</v>
      </c>
      <c r="CX15" s="306">
        <v>1.0496240601503759</v>
      </c>
      <c r="CY15" s="169">
        <v>181.09150439562009</v>
      </c>
      <c r="CZ15" s="306">
        <v>1.1202435312024352</v>
      </c>
      <c r="DA15" s="169">
        <v>190.95035420512374</v>
      </c>
      <c r="DB15" s="306">
        <v>1.215810276679842</v>
      </c>
      <c r="DC15" s="169">
        <v>199.51198693442959</v>
      </c>
      <c r="DD15" s="306">
        <v>1.249400479616307</v>
      </c>
      <c r="DE15" s="169">
        <v>202.7550296349242</v>
      </c>
      <c r="DF15" s="306">
        <v>1.2861736334405145</v>
      </c>
      <c r="DG15" s="169">
        <v>207.55473283165622</v>
      </c>
      <c r="DH15" s="306">
        <v>1.4310487200660611</v>
      </c>
      <c r="DI15" s="169">
        <v>224.80771999828769</v>
      </c>
      <c r="DJ15" s="306">
        <v>1.4913863822805578</v>
      </c>
      <c r="DK15" s="169">
        <v>235.8340651799694</v>
      </c>
      <c r="DL15" s="306">
        <v>1.5103833865814698</v>
      </c>
      <c r="DM15" s="169">
        <v>245.30374986541375</v>
      </c>
      <c r="DN15" s="306">
        <v>1.5709728867623605</v>
      </c>
      <c r="DO15" s="169">
        <v>255.55176479897676</v>
      </c>
      <c r="DP15" s="306">
        <v>1.6386890487609913</v>
      </c>
      <c r="DQ15" s="169">
        <v>265.92950144055953</v>
      </c>
      <c r="DR15" s="306">
        <v>1.7380573248407643</v>
      </c>
      <c r="DS15" s="169">
        <v>283.18248860719098</v>
      </c>
      <c r="DT15" s="306">
        <v>1.7456207159177457</v>
      </c>
      <c r="DU15" s="169">
        <v>297.32215478134759</v>
      </c>
      <c r="DV15" s="306">
        <v>1.7058399423215573</v>
      </c>
      <c r="DW15" s="169">
        <v>306.92156117481164</v>
      </c>
      <c r="DX15" s="306">
        <v>1.7533759772565742</v>
      </c>
      <c r="DY15" s="169">
        <v>320.02345368481002</v>
      </c>
      <c r="DZ15" s="306">
        <v>1.8653295128939829</v>
      </c>
      <c r="EA15" s="169">
        <v>337.79532768352055</v>
      </c>
      <c r="EB15" s="306">
        <v>1.767663043478261</v>
      </c>
      <c r="EC15" s="169">
        <v>337.53588426748098</v>
      </c>
      <c r="ED15" s="306">
        <v>1.805591677503251</v>
      </c>
      <c r="EE15" s="169">
        <v>360.23718317094335</v>
      </c>
    </row>
    <row r="16" spans="1:135" ht="16.5" thickBot="1" x14ac:dyDescent="0.3">
      <c r="A16" s="606" t="s">
        <v>33</v>
      </c>
      <c r="B16" s="306">
        <v>0.88312757201646086</v>
      </c>
      <c r="C16" s="306">
        <v>299.36277299764527</v>
      </c>
      <c r="D16" s="306">
        <v>0.86184738955823292</v>
      </c>
      <c r="E16" s="306">
        <v>299.36277299764527</v>
      </c>
      <c r="F16" s="306">
        <v>0.89182692307692313</v>
      </c>
      <c r="G16" s="306">
        <v>310.52261542067026</v>
      </c>
      <c r="H16" s="306">
        <v>0.9502407704654896</v>
      </c>
      <c r="I16" s="306">
        <v>330.33133572153963</v>
      </c>
      <c r="J16" s="306">
        <v>1.0203252032520325</v>
      </c>
      <c r="K16" s="306">
        <v>350.140056022409</v>
      </c>
      <c r="L16" s="306">
        <v>1.1247933884297521</v>
      </c>
      <c r="M16" s="306">
        <v>379.71363844342517</v>
      </c>
      <c r="N16" s="306">
        <v>1.214046822742475</v>
      </c>
      <c r="O16" s="306">
        <v>405.10227995580703</v>
      </c>
      <c r="P16" s="306">
        <v>1.3204047217537942</v>
      </c>
      <c r="Q16" s="306">
        <v>436.90783086142829</v>
      </c>
      <c r="R16" s="306">
        <v>1.3375104427736006</v>
      </c>
      <c r="S16" s="306">
        <v>446.6726929815751</v>
      </c>
      <c r="T16" s="306">
        <v>1.3799342105263157</v>
      </c>
      <c r="U16" s="306">
        <v>468.15538964589825</v>
      </c>
      <c r="V16" s="306">
        <v>1.3662790697674418</v>
      </c>
      <c r="W16" s="306">
        <v>458.94851964690258</v>
      </c>
      <c r="X16" s="306">
        <v>1.5110326566637247</v>
      </c>
      <c r="Y16" s="306">
        <v>477.64125570546946</v>
      </c>
      <c r="Z16" s="306">
        <v>1.7231638418079096</v>
      </c>
      <c r="AA16" s="306">
        <v>510.56279085339321</v>
      </c>
      <c r="AB16" s="306">
        <v>1.808193668528864</v>
      </c>
      <c r="AC16" s="306">
        <v>541.81034963786317</v>
      </c>
      <c r="AD16" s="306">
        <v>2.1258154706430568</v>
      </c>
      <c r="AE16" s="306">
        <v>636.39001417299994</v>
      </c>
      <c r="AF16" s="306">
        <v>2.2087604846225535</v>
      </c>
      <c r="AG16" s="306">
        <v>661.22066356423056</v>
      </c>
      <c r="AH16" s="306">
        <v>2.1796945193171609</v>
      </c>
      <c r="AI16" s="306">
        <v>676.84444295646551</v>
      </c>
      <c r="AJ16" s="306">
        <v>2.0633445945945947</v>
      </c>
      <c r="AK16" s="306">
        <v>681.58737598625112</v>
      </c>
      <c r="AL16" s="306">
        <v>2.0605577689243026</v>
      </c>
      <c r="AM16" s="306">
        <v>721.48381264856539</v>
      </c>
      <c r="AN16" s="306">
        <v>2.091109478324761</v>
      </c>
      <c r="AO16" s="306">
        <v>794.0227883982277</v>
      </c>
      <c r="AP16" s="306">
        <v>2.0165289256198347</v>
      </c>
      <c r="AQ16" s="306">
        <v>816.90046536542911</v>
      </c>
      <c r="AR16" s="306">
        <v>1.8486590038314177</v>
      </c>
      <c r="AS16" s="306">
        <v>807.69359536643333</v>
      </c>
      <c r="AT16" s="306">
        <v>1.8338538413491567</v>
      </c>
      <c r="AU16" s="306">
        <v>819.13243385003409</v>
      </c>
      <c r="AV16" s="306">
        <v>1.8075089392133492</v>
      </c>
      <c r="AW16" s="306">
        <v>846.19505172586969</v>
      </c>
      <c r="AX16" s="306">
        <v>1.9106382978723404</v>
      </c>
      <c r="AY16" s="306">
        <v>876.88461838918829</v>
      </c>
      <c r="AZ16" s="306">
        <v>1.9626168224299065</v>
      </c>
      <c r="BA16" s="306">
        <v>937.42676353409888</v>
      </c>
      <c r="BB16" s="306">
        <v>1.8497267759562841</v>
      </c>
      <c r="BC16" s="306">
        <v>944.40166504848946</v>
      </c>
      <c r="BD16" s="306">
        <v>1.7976313079299691</v>
      </c>
      <c r="BE16" s="306">
        <v>973.97524746950569</v>
      </c>
      <c r="BF16" s="306">
        <v>1.48925909688733</v>
      </c>
      <c r="BG16" s="306">
        <v>947.74961777539693</v>
      </c>
      <c r="BH16" s="306">
        <v>1.4860759493670885</v>
      </c>
      <c r="BI16" s="306">
        <v>982.62412534735006</v>
      </c>
      <c r="BJ16" s="306">
        <v>1.4740313272877164</v>
      </c>
      <c r="BK16" s="306">
        <v>997.68991261843382</v>
      </c>
      <c r="BL16" s="306">
        <v>1.4907900122799835</v>
      </c>
      <c r="BM16" s="306">
        <v>1016.1036526164251</v>
      </c>
      <c r="BN16" s="306">
        <v>1.4566898685228151</v>
      </c>
      <c r="BO16" s="306">
        <v>1050.9781601883781</v>
      </c>
      <c r="BP16" s="306">
        <v>1.3070976809557273</v>
      </c>
      <c r="BQ16" s="306">
        <v>1037.8653453413237</v>
      </c>
      <c r="BR16" s="306">
        <v>1.3155737704918034</v>
      </c>
      <c r="BS16" s="306">
        <v>1074.6928253373064</v>
      </c>
      <c r="BT16" s="306">
        <v>1.3944732297063904</v>
      </c>
      <c r="BU16" s="306">
        <v>1126.3070965437967</v>
      </c>
      <c r="BV16" s="306">
        <v>1.4403950953678475</v>
      </c>
      <c r="BW16" s="306">
        <v>1179.8743401743168</v>
      </c>
      <c r="BX16" s="306">
        <v>1.4114737883283877</v>
      </c>
      <c r="BY16" s="306">
        <v>1194.3821353242492</v>
      </c>
      <c r="BZ16" s="306">
        <v>1.4492523067133312</v>
      </c>
      <c r="CA16" s="306">
        <v>1270.8270559219704</v>
      </c>
      <c r="CB16" s="306">
        <v>1.3758928571428573</v>
      </c>
      <c r="CC16" s="306">
        <v>1289.7987880411129</v>
      </c>
      <c r="CD16" s="306">
        <v>1.488626292466765</v>
      </c>
      <c r="CE16" s="306">
        <v>1405.8611492405728</v>
      </c>
      <c r="CF16" s="306">
        <v>1.5379547407619594</v>
      </c>
      <c r="CG16" s="306">
        <v>1497.9298492305288</v>
      </c>
      <c r="CH16" s="306">
        <v>1.6800117750956727</v>
      </c>
      <c r="CI16" s="306">
        <v>1592.2305177050901</v>
      </c>
      <c r="CJ16" s="306">
        <v>1.6930721181147075</v>
      </c>
      <c r="CK16" s="306">
        <v>1663.65350921245</v>
      </c>
      <c r="CL16" s="306">
        <v>1.674496644295302</v>
      </c>
      <c r="CM16" s="306">
        <v>1670.6284107268405</v>
      </c>
      <c r="CN16" s="306">
        <v>1.7232289950576607</v>
      </c>
      <c r="CO16" s="306">
        <v>1750.9792761726205</v>
      </c>
      <c r="CP16" s="306">
        <v>1.7632067958587736</v>
      </c>
      <c r="CQ16" s="306">
        <v>1853.0918343432991</v>
      </c>
      <c r="CR16" s="306">
        <v>1.8922043010752687</v>
      </c>
      <c r="CS16" s="306">
        <v>1963.853270391822</v>
      </c>
      <c r="CT16" s="306">
        <v>1.9086188992731048</v>
      </c>
      <c r="CU16" s="306">
        <v>2051.1790373519925</v>
      </c>
      <c r="CV16" s="306">
        <v>1.9435224176368591</v>
      </c>
      <c r="CW16" s="306">
        <v>2189.0030912763514</v>
      </c>
      <c r="CX16" s="306">
        <v>1.9397020572239301</v>
      </c>
      <c r="CY16" s="169">
        <v>2288.6046849018489</v>
      </c>
      <c r="CZ16" s="306">
        <v>1.970100443821537</v>
      </c>
      <c r="DA16" s="169">
        <v>2353.0527748948184</v>
      </c>
      <c r="DB16" s="306">
        <v>1.8963776070252469</v>
      </c>
      <c r="DC16" s="169">
        <v>2409.9679712522461</v>
      </c>
      <c r="DD16" s="306">
        <v>1.8827601124810729</v>
      </c>
      <c r="DE16" s="169">
        <v>2428.381711250237</v>
      </c>
      <c r="DF16" s="306">
        <v>1.7719785671760271</v>
      </c>
      <c r="DG16" s="169">
        <v>2491.1558248797528</v>
      </c>
      <c r="DH16" s="306">
        <v>1.6721922145650958</v>
      </c>
      <c r="DI16" s="169">
        <v>2504.8266318479582</v>
      </c>
      <c r="DJ16" s="306">
        <v>1.55913790082355</v>
      </c>
      <c r="DK16" s="169">
        <v>2482.5069470019084</v>
      </c>
      <c r="DL16" s="306">
        <v>1.4537984236122756</v>
      </c>
      <c r="DM16" s="169">
        <v>2418.6168491300905</v>
      </c>
      <c r="DN16" s="306">
        <v>1.4605878423513694</v>
      </c>
      <c r="DO16" s="169">
        <v>2440.0995457944132</v>
      </c>
      <c r="DP16" s="306">
        <v>1.3905353728489485</v>
      </c>
      <c r="DQ16" s="169">
        <v>2434.7986206434762</v>
      </c>
      <c r="DR16" s="306">
        <v>1.2731105088828667</v>
      </c>
      <c r="DS16" s="169">
        <v>2359.190688227482</v>
      </c>
      <c r="DT16" s="306">
        <v>1.1510157692854099</v>
      </c>
      <c r="DU16" s="169">
        <v>2260.4260827837111</v>
      </c>
      <c r="DV16" s="306">
        <v>1.065424374319913</v>
      </c>
      <c r="DW16" s="169">
        <v>2185.376142488868</v>
      </c>
      <c r="DX16" s="306">
        <v>0.94710680601580421</v>
      </c>
      <c r="DY16" s="169">
        <v>2073.2197261374668</v>
      </c>
      <c r="DZ16" s="306">
        <v>0.85688162867243689</v>
      </c>
      <c r="EA16" s="169">
        <v>1961.0633097860659</v>
      </c>
      <c r="EB16" s="306">
        <v>0.79333649513872417</v>
      </c>
      <c r="EC16" s="169">
        <v>1866.7626413115045</v>
      </c>
      <c r="ED16" s="306">
        <v>0.74693216022227371</v>
      </c>
      <c r="EE16" s="169">
        <v>1800.0825828339305</v>
      </c>
    </row>
    <row r="17" spans="1:135" ht="16.5" thickBot="1" x14ac:dyDescent="0.3">
      <c r="A17" s="606" t="s">
        <v>21</v>
      </c>
      <c r="B17" s="306">
        <v>1.7602523659305993</v>
      </c>
      <c r="C17" s="306">
        <v>141.79314971374555</v>
      </c>
      <c r="D17" s="306">
        <v>1.9503105590062111</v>
      </c>
      <c r="E17" s="306">
        <v>159.5808208247889</v>
      </c>
      <c r="F17" s="306">
        <v>2.0151057401812689</v>
      </c>
      <c r="G17" s="306">
        <v>169.49109472951307</v>
      </c>
      <c r="H17" s="306">
        <v>2.103030303030303</v>
      </c>
      <c r="I17" s="306">
        <v>176.35205358662978</v>
      </c>
      <c r="J17" s="306">
        <v>2.1818181818181817</v>
      </c>
      <c r="K17" s="306">
        <v>189.05753295166073</v>
      </c>
      <c r="L17" s="306">
        <v>2.4926253687315634</v>
      </c>
      <c r="M17" s="306">
        <v>214.7226012690233</v>
      </c>
      <c r="N17" s="306">
        <v>2.647398843930636</v>
      </c>
      <c r="O17" s="306">
        <v>232.76438196736726</v>
      </c>
      <c r="P17" s="306">
        <v>2.7994100294985249</v>
      </c>
      <c r="Q17" s="306">
        <v>241.14999834828768</v>
      </c>
      <c r="R17" s="306">
        <v>2.9885714285714284</v>
      </c>
      <c r="S17" s="306">
        <v>265.79862831644772</v>
      </c>
      <c r="T17" s="306">
        <v>3.0708446866485013</v>
      </c>
      <c r="U17" s="306">
        <v>286.38150488779792</v>
      </c>
      <c r="V17" s="306">
        <v>2.2505446623093683</v>
      </c>
      <c r="W17" s="306">
        <v>262.49520368153969</v>
      </c>
      <c r="X17" s="306">
        <v>2.3347826086956522</v>
      </c>
      <c r="Y17" s="306">
        <v>272.91369676086509</v>
      </c>
      <c r="Z17" s="306">
        <v>2.0357815442561207</v>
      </c>
      <c r="AA17" s="306">
        <v>274.69246387196944</v>
      </c>
      <c r="AB17" s="306">
        <v>2.1313320825515949</v>
      </c>
      <c r="AC17" s="306">
        <v>288.66849117350347</v>
      </c>
      <c r="AD17" s="306">
        <v>2.1308243727598568</v>
      </c>
      <c r="AE17" s="306">
        <v>302.13629930043629</v>
      </c>
      <c r="AF17" s="306">
        <v>1.7420382165605095</v>
      </c>
      <c r="AG17" s="306">
        <v>277.99588850687746</v>
      </c>
      <c r="AH17" s="306">
        <v>1.6191904047976011</v>
      </c>
      <c r="AI17" s="306">
        <v>274.43835428466883</v>
      </c>
      <c r="AJ17" s="306">
        <v>1.6628242074927955</v>
      </c>
      <c r="AK17" s="306">
        <v>293.24246374491463</v>
      </c>
      <c r="AL17" s="306">
        <v>1.5913978494623655</v>
      </c>
      <c r="AM17" s="306">
        <v>300.86575136393321</v>
      </c>
      <c r="AN17" s="306">
        <v>1.3763313609467456</v>
      </c>
      <c r="AO17" s="306">
        <v>295.52945003062018</v>
      </c>
      <c r="AP17" s="306">
        <v>1.2303493449781659</v>
      </c>
      <c r="AQ17" s="306">
        <v>286.38150488779792</v>
      </c>
      <c r="AR17" s="306">
        <v>1.1917808219178083</v>
      </c>
      <c r="AS17" s="306">
        <v>287.39794323700039</v>
      </c>
      <c r="AT17" s="306">
        <v>1.0726577437858509</v>
      </c>
      <c r="AU17" s="306">
        <v>285.11095695129484</v>
      </c>
      <c r="AV17" s="306">
        <v>0.92635314995563445</v>
      </c>
      <c r="AW17" s="306">
        <v>265.29040914184651</v>
      </c>
      <c r="AX17" s="306">
        <v>1.0435624394966119</v>
      </c>
      <c r="AY17" s="306">
        <v>273.93013511006757</v>
      </c>
      <c r="AZ17" s="306">
        <v>1.0139664804469273</v>
      </c>
      <c r="BA17" s="306">
        <v>276.72534057037439</v>
      </c>
      <c r="BB17" s="306">
        <v>1.0175763182238668</v>
      </c>
      <c r="BC17" s="306">
        <v>279.5205460306812</v>
      </c>
      <c r="BD17" s="306">
        <v>0.9119718309859155</v>
      </c>
      <c r="BE17" s="306">
        <v>263.25753244344156</v>
      </c>
      <c r="BF17" s="306">
        <v>0.82169890664423884</v>
      </c>
      <c r="BG17" s="306">
        <v>248.26506679270503</v>
      </c>
      <c r="BH17" s="306">
        <v>0.96800731261425965</v>
      </c>
      <c r="BI17" s="306">
        <v>269.1020529513558</v>
      </c>
      <c r="BJ17" s="306">
        <v>1.0222222222222221</v>
      </c>
      <c r="BK17" s="306">
        <v>280.53698437988368</v>
      </c>
      <c r="BL17" s="306">
        <v>1.0511265164644714</v>
      </c>
      <c r="BM17" s="306">
        <v>308.23492939565119</v>
      </c>
      <c r="BN17" s="306">
        <v>0.99831081081081086</v>
      </c>
      <c r="BO17" s="306">
        <v>300.35753218933201</v>
      </c>
      <c r="BP17" s="306">
        <v>0.99140154772141009</v>
      </c>
      <c r="BQ17" s="306">
        <v>292.98835415761403</v>
      </c>
      <c r="BR17" s="306">
        <v>1.0275066548358474</v>
      </c>
      <c r="BS17" s="306">
        <v>294.2589020941171</v>
      </c>
      <c r="BT17" s="306">
        <v>1.0424403183023874</v>
      </c>
      <c r="BU17" s="306">
        <v>299.59520342743008</v>
      </c>
      <c r="BV17" s="306">
        <v>1.0294117647058822</v>
      </c>
      <c r="BW17" s="306">
        <v>293.49657333221523</v>
      </c>
      <c r="BX17" s="306">
        <v>1.1618773946360152</v>
      </c>
      <c r="BY17" s="306">
        <v>308.23492939565119</v>
      </c>
      <c r="BZ17" s="306">
        <v>1.1697588126159555</v>
      </c>
      <c r="CA17" s="306">
        <v>320.43218958608094</v>
      </c>
      <c r="CB17" s="306">
        <v>1.1046831955922864</v>
      </c>
      <c r="CC17" s="306">
        <v>305.69383352264498</v>
      </c>
      <c r="CD17" s="306">
        <v>1.0372727272727273</v>
      </c>
      <c r="CE17" s="306">
        <v>289.9390391100066</v>
      </c>
      <c r="CF17" s="306">
        <v>1.082046332046332</v>
      </c>
      <c r="CG17" s="306">
        <v>284.85684736399418</v>
      </c>
      <c r="CH17" s="306">
        <v>1.1821903787103378</v>
      </c>
      <c r="CI17" s="306">
        <v>293.49657333221523</v>
      </c>
      <c r="CJ17" s="306">
        <v>1.137865911237016</v>
      </c>
      <c r="CK17" s="306">
        <v>306.20205269724619</v>
      </c>
      <c r="CL17" s="306">
        <v>1.1856884057971016</v>
      </c>
      <c r="CM17" s="306">
        <v>332.62944977651063</v>
      </c>
      <c r="CN17" s="306">
        <v>1.0263808738664468</v>
      </c>
      <c r="CO17" s="306">
        <v>316.36643618927098</v>
      </c>
      <c r="CP17" s="306">
        <v>1.3087986463620982</v>
      </c>
      <c r="CQ17" s="306">
        <v>393.10753155405797</v>
      </c>
      <c r="CR17" s="306">
        <v>1.3703382480485689</v>
      </c>
      <c r="CS17" s="306">
        <v>401.49314793497842</v>
      </c>
      <c r="CT17" s="306">
        <v>1.3920552677029361</v>
      </c>
      <c r="CU17" s="306">
        <v>409.62465472859827</v>
      </c>
      <c r="CV17" s="306">
        <v>1.4198473282442747</v>
      </c>
      <c r="CW17" s="306">
        <v>425.37944914123665</v>
      </c>
      <c r="CX17" s="306">
        <v>1.4779220779220779</v>
      </c>
      <c r="CY17" s="169">
        <v>433.7650655221571</v>
      </c>
      <c r="CZ17" s="306">
        <v>1.4962901896125309</v>
      </c>
      <c r="DA17" s="169">
        <v>461.20890095062396</v>
      </c>
      <c r="DB17" s="306">
        <v>1.5178429817605075</v>
      </c>
      <c r="DC17" s="169">
        <v>486.36575009338532</v>
      </c>
      <c r="DD17" s="306">
        <v>1.740648379052369</v>
      </c>
      <c r="DE17" s="169">
        <v>532.10547580749676</v>
      </c>
      <c r="DF17" s="306">
        <v>1.9211218229623137</v>
      </c>
      <c r="DG17" s="169">
        <v>557.00821536295734</v>
      </c>
      <c r="DH17" s="306">
        <v>2.0526315789473686</v>
      </c>
      <c r="DI17" s="169">
        <v>584.70616037872492</v>
      </c>
      <c r="DJ17" s="306">
        <v>2.1056277056277057</v>
      </c>
      <c r="DK17" s="169">
        <v>617.99451631510601</v>
      </c>
      <c r="DL17" s="306">
        <v>2.0921161825726142</v>
      </c>
      <c r="DM17" s="169">
        <v>640.61026958486116</v>
      </c>
      <c r="DN17" s="306">
        <v>1.8601986249045073</v>
      </c>
      <c r="DO17" s="169">
        <v>618.75684507700794</v>
      </c>
      <c r="DP17" s="306">
        <v>1.9156626506024097</v>
      </c>
      <c r="DQ17" s="169">
        <v>606.05136571197693</v>
      </c>
      <c r="DR17" s="306">
        <v>1.363283775048481</v>
      </c>
      <c r="DS17" s="169">
        <v>535.91711961700605</v>
      </c>
      <c r="DT17" s="306">
        <v>1.4208860759493671</v>
      </c>
      <c r="DU17" s="169">
        <v>570.47602348989017</v>
      </c>
      <c r="DV17" s="306">
        <v>1.4404466501240696</v>
      </c>
      <c r="DW17" s="169">
        <v>590.04246171203795</v>
      </c>
      <c r="DX17" s="306">
        <v>1.4301075268817205</v>
      </c>
      <c r="DY17" s="169">
        <v>608.33835199768248</v>
      </c>
      <c r="DZ17" s="306">
        <v>1.3842999414176917</v>
      </c>
      <c r="EA17" s="169">
        <v>600.46095479136329</v>
      </c>
      <c r="EB17" s="306">
        <v>1.3101928374655647</v>
      </c>
      <c r="EC17" s="169">
        <v>604.27259860087258</v>
      </c>
      <c r="ED17" s="306">
        <v>1.2152560083594566</v>
      </c>
      <c r="EE17" s="169">
        <v>591.05890006124037</v>
      </c>
    </row>
    <row r="18" spans="1:135" ht="16.5" thickBot="1" x14ac:dyDescent="0.3">
      <c r="A18" s="606" t="s">
        <v>17</v>
      </c>
      <c r="B18" s="306">
        <v>1.5937927886809675</v>
      </c>
      <c r="C18" s="306">
        <v>175.44758729421838</v>
      </c>
      <c r="D18" s="306">
        <v>1.6415949252378794</v>
      </c>
      <c r="E18" s="306">
        <v>182.02938395388119</v>
      </c>
      <c r="F18" s="306">
        <v>1.7562949640287771</v>
      </c>
      <c r="G18" s="306">
        <v>196.24807444765662</v>
      </c>
      <c r="H18" s="306">
        <v>1.9738621000450653</v>
      </c>
      <c r="I18" s="306">
        <v>220.06312495666566</v>
      </c>
      <c r="J18" s="306">
        <v>2.1671812968681077</v>
      </c>
      <c r="K18" s="306">
        <v>246.84249609865259</v>
      </c>
      <c r="L18" s="306">
        <v>2.6275137111517366</v>
      </c>
      <c r="M18" s="306">
        <v>288.84541218627186</v>
      </c>
      <c r="N18" s="306">
        <v>3.035369774919614</v>
      </c>
      <c r="O18" s="306">
        <v>332.00391089352661</v>
      </c>
      <c r="P18" s="306">
        <v>3.1249466950959488</v>
      </c>
      <c r="Q18" s="306">
        <v>368.17867116037581</v>
      </c>
      <c r="R18" s="306">
        <v>3.2584780810587262</v>
      </c>
      <c r="S18" s="306">
        <v>395.86241130903392</v>
      </c>
      <c r="T18" s="306">
        <v>3.3201293451899758</v>
      </c>
      <c r="U18" s="306">
        <v>412.69372337763741</v>
      </c>
      <c r="V18" s="306">
        <v>3.1153563556208672</v>
      </c>
      <c r="W18" s="306">
        <v>426.05828758733441</v>
      </c>
      <c r="X18" s="306">
        <v>3.2397454031117396</v>
      </c>
      <c r="Y18" s="306">
        <v>460.32382439565538</v>
      </c>
      <c r="Z18" s="306">
        <v>3.0021874999999998</v>
      </c>
      <c r="AA18" s="306">
        <v>482.68183594947186</v>
      </c>
      <c r="AB18" s="306">
        <v>2.9305475504322764</v>
      </c>
      <c r="AC18" s="306">
        <v>510.91824604665135</v>
      </c>
      <c r="AD18" s="306">
        <v>3.1741122565864832</v>
      </c>
      <c r="AE18" s="306">
        <v>556.8903372191055</v>
      </c>
      <c r="AF18" s="306">
        <v>3.1951421473916644</v>
      </c>
      <c r="AG18" s="306">
        <v>581.60975673478572</v>
      </c>
      <c r="AH18" s="306">
        <v>3.0174091141833079</v>
      </c>
      <c r="AI18" s="306">
        <v>592.16072847928342</v>
      </c>
      <c r="AJ18" s="306">
        <v>2.7301369863013698</v>
      </c>
      <c r="AK18" s="306">
        <v>600.80247676525289</v>
      </c>
      <c r="AL18" s="306">
        <v>2.5092611439039283</v>
      </c>
      <c r="AM18" s="306">
        <v>619.39228412460602</v>
      </c>
      <c r="AN18" s="306">
        <v>2.1269786049747781</v>
      </c>
      <c r="AO18" s="306">
        <v>614.36801186532136</v>
      </c>
      <c r="AP18" s="306">
        <v>1.8489709443099274</v>
      </c>
      <c r="AQ18" s="306">
        <v>613.86558463939286</v>
      </c>
      <c r="AR18" s="306">
        <v>1.6741266375545851</v>
      </c>
      <c r="AS18" s="306">
        <v>616.37772076903525</v>
      </c>
      <c r="AT18" s="306">
        <v>1.5533697169691585</v>
      </c>
      <c r="AU18" s="306">
        <v>614.92068181384263</v>
      </c>
      <c r="AV18" s="306">
        <v>1.4901387874360847</v>
      </c>
      <c r="AW18" s="306">
        <v>614.97092453643552</v>
      </c>
      <c r="AX18" s="306">
        <v>1.4523584905660378</v>
      </c>
      <c r="AY18" s="306">
        <v>618.78937145349175</v>
      </c>
      <c r="AZ18" s="306">
        <v>1.3491595721458196</v>
      </c>
      <c r="BA18" s="306">
        <v>621.05029397016995</v>
      </c>
      <c r="BB18" s="306">
        <v>1.2687623607785989</v>
      </c>
      <c r="BC18" s="306">
        <v>612.40854568420036</v>
      </c>
      <c r="BD18" s="306">
        <v>1.1818271216442129</v>
      </c>
      <c r="BE18" s="306">
        <v>603.81704012082366</v>
      </c>
      <c r="BF18" s="306">
        <v>1.0544929628293036</v>
      </c>
      <c r="BG18" s="306">
        <v>587.23694166518442</v>
      </c>
      <c r="BH18" s="306">
        <v>0.98557360055286802</v>
      </c>
      <c r="BI18" s="306">
        <v>573.21922206178044</v>
      </c>
      <c r="BJ18" s="306">
        <v>0.94781944680128971</v>
      </c>
      <c r="BK18" s="306">
        <v>561.26145408468312</v>
      </c>
      <c r="BL18" s="306">
        <v>0.92080615487539719</v>
      </c>
      <c r="BM18" s="306">
        <v>553.22261846982769</v>
      </c>
      <c r="BN18" s="306">
        <v>0.88303049967553537</v>
      </c>
      <c r="BO18" s="306">
        <v>546.94227814572196</v>
      </c>
      <c r="BP18" s="306">
        <v>0.89581288845273144</v>
      </c>
      <c r="BQ18" s="306">
        <v>550.35878328203546</v>
      </c>
      <c r="BR18" s="306">
        <v>0.87452938287772142</v>
      </c>
      <c r="BS18" s="306">
        <v>536.84349090455987</v>
      </c>
      <c r="BT18" s="306">
        <v>0.85604825562438869</v>
      </c>
      <c r="BU18" s="306">
        <v>527.64907267006913</v>
      </c>
      <c r="BV18" s="306">
        <v>0.8572595800310483</v>
      </c>
      <c r="BW18" s="306">
        <v>527.14664544414063</v>
      </c>
      <c r="BX18" s="306">
        <v>0.84395424836601307</v>
      </c>
      <c r="BY18" s="306">
        <v>519.00732438409955</v>
      </c>
      <c r="BZ18" s="306">
        <v>0.84881455017862939</v>
      </c>
      <c r="CA18" s="306">
        <v>525.23742198561251</v>
      </c>
      <c r="CB18" s="306">
        <v>0.84879864088665968</v>
      </c>
      <c r="CC18" s="306">
        <v>527.14664544414063</v>
      </c>
      <c r="CD18" s="306">
        <v>0.86331938633193861</v>
      </c>
      <c r="CE18" s="306">
        <v>528.7041698445189</v>
      </c>
      <c r="CF18" s="306">
        <v>0.88525545015809615</v>
      </c>
      <c r="CG18" s="306">
        <v>534.53232566528902</v>
      </c>
      <c r="CH18" s="306">
        <v>0.93078370978781655</v>
      </c>
      <c r="CI18" s="306">
        <v>546.59057908757211</v>
      </c>
      <c r="CJ18" s="306">
        <v>0.96336225786659657</v>
      </c>
      <c r="CK18" s="306">
        <v>552.21776401797081</v>
      </c>
      <c r="CL18" s="306">
        <v>0.98675140990063559</v>
      </c>
      <c r="CM18" s="306">
        <v>553.82553114094185</v>
      </c>
      <c r="CN18" s="306">
        <v>1.0273363000635727</v>
      </c>
      <c r="CO18" s="306">
        <v>568.34567797027444</v>
      </c>
      <c r="CP18" s="306">
        <v>1.0451038030497888</v>
      </c>
      <c r="CQ18" s="306">
        <v>571.6114549388094</v>
      </c>
      <c r="CR18" s="306">
        <v>1.0543180573306554</v>
      </c>
      <c r="CS18" s="306">
        <v>580.25320322477887</v>
      </c>
      <c r="CT18" s="306">
        <v>1.1138979878334114</v>
      </c>
      <c r="CU18" s="306">
        <v>597.98888430005354</v>
      </c>
      <c r="CV18" s="306">
        <v>1.1467339554370597</v>
      </c>
      <c r="CW18" s="306">
        <v>605.07310818564486</v>
      </c>
      <c r="CX18" s="306">
        <v>1.1552611513534121</v>
      </c>
      <c r="CY18" s="169">
        <v>608.99204054788686</v>
      </c>
      <c r="CZ18" s="306">
        <v>1.1855759922555662</v>
      </c>
      <c r="DA18" s="169">
        <v>615.32262359458548</v>
      </c>
      <c r="DB18" s="306">
        <v>1.1228237995025827</v>
      </c>
      <c r="DC18" s="169">
        <v>589.7490777948268</v>
      </c>
      <c r="DD18" s="306">
        <v>1.0608082348455967</v>
      </c>
      <c r="DE18" s="169">
        <v>559.20150245837647</v>
      </c>
      <c r="DF18" s="306">
        <v>1.0654756248218189</v>
      </c>
      <c r="DG18" s="169">
        <v>563.32140571098978</v>
      </c>
      <c r="DH18" s="306">
        <v>1.0640097753548265</v>
      </c>
      <c r="DI18" s="169">
        <v>568.74761975101717</v>
      </c>
      <c r="DJ18" s="306">
        <v>1.0466954683334866</v>
      </c>
      <c r="DK18" s="169">
        <v>572.11388216473779</v>
      </c>
      <c r="DL18" s="306">
        <v>1.0418524247111274</v>
      </c>
      <c r="DM18" s="169">
        <v>575.32941641067998</v>
      </c>
      <c r="DN18" s="306">
        <v>1.0469926517282047</v>
      </c>
      <c r="DO18" s="169">
        <v>579.85126144403614</v>
      </c>
      <c r="DP18" s="306">
        <v>1.010519801980198</v>
      </c>
      <c r="DQ18" s="169">
        <v>574.3245619588231</v>
      </c>
      <c r="DR18" s="306">
        <v>0.99929682693152855</v>
      </c>
      <c r="DS18" s="169">
        <v>571.20951315806656</v>
      </c>
      <c r="DT18" s="306">
        <v>0.97549571391462464</v>
      </c>
      <c r="DU18" s="169">
        <v>566.03451273100347</v>
      </c>
      <c r="DV18" s="306">
        <v>0.92127373550663749</v>
      </c>
      <c r="DW18" s="169">
        <v>550.91145323055684</v>
      </c>
      <c r="DX18" s="306">
        <v>0.88300257410944116</v>
      </c>
      <c r="DY18" s="169">
        <v>534.28111205232483</v>
      </c>
      <c r="DZ18" s="306">
        <v>0.85859252536919395</v>
      </c>
      <c r="EA18" s="169">
        <v>522.87601402374878</v>
      </c>
      <c r="EB18" s="306">
        <v>0.83857271168449421</v>
      </c>
      <c r="EC18" s="169">
        <v>515.99276102852889</v>
      </c>
      <c r="ED18" s="306">
        <v>0.90287953654796382</v>
      </c>
      <c r="EE18" s="169">
        <v>532.47237403898237</v>
      </c>
    </row>
    <row r="19" spans="1:135" ht="16.5" thickBot="1" x14ac:dyDescent="0.3">
      <c r="A19" s="606" t="s">
        <v>23</v>
      </c>
      <c r="B19" s="306">
        <v>0.99164677804295942</v>
      </c>
      <c r="C19" s="306">
        <v>131.76943678476232</v>
      </c>
      <c r="D19" s="306">
        <v>0.98254063816977721</v>
      </c>
      <c r="E19" s="306">
        <v>129.39092709550667</v>
      </c>
      <c r="F19" s="306">
        <v>0.90496114763897195</v>
      </c>
      <c r="G19" s="306">
        <v>120.03545565110117</v>
      </c>
      <c r="H19" s="306">
        <v>0.89407540394973073</v>
      </c>
      <c r="I19" s="306">
        <v>118.44978252493075</v>
      </c>
      <c r="J19" s="306">
        <v>0.94976076555023925</v>
      </c>
      <c r="K19" s="306">
        <v>125.90244621793175</v>
      </c>
      <c r="L19" s="306">
        <v>0.91396582203889221</v>
      </c>
      <c r="M19" s="306">
        <v>122.96895093451646</v>
      </c>
      <c r="N19" s="306">
        <v>0.93384524512699352</v>
      </c>
      <c r="O19" s="306">
        <v>125.34746062377209</v>
      </c>
      <c r="P19" s="306">
        <v>0.93735362997658078</v>
      </c>
      <c r="Q19" s="306">
        <v>126.93313374994251</v>
      </c>
      <c r="R19" s="306">
        <v>0.97716627634660425</v>
      </c>
      <c r="S19" s="306">
        <v>132.32442237892198</v>
      </c>
      <c r="T19" s="306">
        <v>0.96354166666666663</v>
      </c>
      <c r="U19" s="306">
        <v>132.00728775368788</v>
      </c>
      <c r="V19" s="306">
        <v>0.95391705069124422</v>
      </c>
      <c r="W19" s="306">
        <v>131.29373484691121</v>
      </c>
      <c r="X19" s="306">
        <v>0.97884505431675239</v>
      </c>
      <c r="Y19" s="306">
        <v>135.73361960018838</v>
      </c>
      <c r="Z19" s="306">
        <v>0.97933409873708377</v>
      </c>
      <c r="AA19" s="306">
        <v>135.25791766233723</v>
      </c>
      <c r="AB19" s="306">
        <v>1.0183215130023642</v>
      </c>
      <c r="AC19" s="306">
        <v>136.60573981958211</v>
      </c>
      <c r="AD19" s="306">
        <v>1.0968712394705173</v>
      </c>
      <c r="AE19" s="306">
        <v>144.53410545043423</v>
      </c>
      <c r="AF19" s="306">
        <v>1.1666666666666667</v>
      </c>
      <c r="AG19" s="306">
        <v>150.95608161142445</v>
      </c>
      <c r="AH19" s="306">
        <v>1.3137384412153237</v>
      </c>
      <c r="AI19" s="306">
        <v>157.69519239764875</v>
      </c>
      <c r="AJ19" s="306">
        <v>1.3199464524765729</v>
      </c>
      <c r="AK19" s="306">
        <v>156.3473702404039</v>
      </c>
      <c r="AL19" s="306">
        <v>1.1763224181360201</v>
      </c>
      <c r="AM19" s="306">
        <v>148.10186998431769</v>
      </c>
      <c r="AN19" s="306">
        <v>1.1895551257253385</v>
      </c>
      <c r="AO19" s="306">
        <v>146.2783458892217</v>
      </c>
      <c r="AP19" s="306">
        <v>1.1764705882352942</v>
      </c>
      <c r="AQ19" s="306">
        <v>147.46760073384954</v>
      </c>
      <c r="AR19" s="306">
        <v>1.1242973141786383</v>
      </c>
      <c r="AS19" s="306">
        <v>142.71058135533826</v>
      </c>
      <c r="AT19" s="306">
        <v>1.0533253445176753</v>
      </c>
      <c r="AU19" s="306">
        <v>139.38066779038036</v>
      </c>
      <c r="AV19" s="306">
        <v>1.0504504504504504</v>
      </c>
      <c r="AW19" s="306">
        <v>138.66711488360366</v>
      </c>
      <c r="AX19" s="306">
        <v>1.0446859903381642</v>
      </c>
      <c r="AY19" s="306">
        <v>137.16072541374177</v>
      </c>
      <c r="AZ19" s="306">
        <v>0.95560747663551404</v>
      </c>
      <c r="BA19" s="306">
        <v>129.70806172074077</v>
      </c>
      <c r="BB19" s="306">
        <v>0.92790152403282533</v>
      </c>
      <c r="BC19" s="306">
        <v>125.50602793638913</v>
      </c>
      <c r="BD19" s="306">
        <v>0.9518282066163668</v>
      </c>
      <c r="BE19" s="306">
        <v>130.02519634597485</v>
      </c>
      <c r="BF19" s="306">
        <v>0.85737794843664294</v>
      </c>
      <c r="BG19" s="306">
        <v>123.9203548102187</v>
      </c>
      <c r="BH19" s="306">
        <v>0.80042016806722693</v>
      </c>
      <c r="BI19" s="306">
        <v>120.82829221418639</v>
      </c>
      <c r="BJ19" s="306">
        <v>0.77325289089994975</v>
      </c>
      <c r="BK19" s="306">
        <v>121.93826340250568</v>
      </c>
      <c r="BL19" s="306">
        <v>0.79462474645030423</v>
      </c>
      <c r="BM19" s="306">
        <v>124.2374894354528</v>
      </c>
      <c r="BN19" s="306">
        <v>0.82173447537473232</v>
      </c>
      <c r="BO19" s="306">
        <v>121.70041243358013</v>
      </c>
      <c r="BP19" s="306">
        <v>0.8878048780487805</v>
      </c>
      <c r="BQ19" s="306">
        <v>129.86662903335781</v>
      </c>
      <c r="BR19" s="306">
        <v>0.87473118279569895</v>
      </c>
      <c r="BS19" s="306">
        <v>128.99450881396407</v>
      </c>
      <c r="BT19" s="306">
        <v>0.96777777777777774</v>
      </c>
      <c r="BU19" s="306">
        <v>138.11212928944403</v>
      </c>
      <c r="BV19" s="306">
        <v>0.98862343572241185</v>
      </c>
      <c r="BW19" s="306">
        <v>137.79499466420995</v>
      </c>
      <c r="BX19" s="306">
        <v>1.0222984562607205</v>
      </c>
      <c r="BY19" s="306">
        <v>141.75917747963598</v>
      </c>
      <c r="BZ19" s="306">
        <v>1.0705202312138729</v>
      </c>
      <c r="CA19" s="306">
        <v>146.83333148338136</v>
      </c>
      <c r="CB19" s="306">
        <v>1.1687041564792175</v>
      </c>
      <c r="CC19" s="306">
        <v>151.59035086189263</v>
      </c>
      <c r="CD19" s="306">
        <v>1.2482627921667719</v>
      </c>
      <c r="CE19" s="306">
        <v>156.66450486563798</v>
      </c>
      <c r="CF19" s="306">
        <v>1.2097560975609756</v>
      </c>
      <c r="CG19" s="306">
        <v>157.29877411610616</v>
      </c>
      <c r="CH19" s="306">
        <v>1.2827895073576456</v>
      </c>
      <c r="CI19" s="306">
        <v>158.96373089858511</v>
      </c>
      <c r="CJ19" s="306">
        <v>1.3543307086614174</v>
      </c>
      <c r="CK19" s="306">
        <v>163.64146662078787</v>
      </c>
      <c r="CL19" s="306">
        <v>1.3537061118335501</v>
      </c>
      <c r="CM19" s="306">
        <v>165.06857243434123</v>
      </c>
      <c r="CN19" s="306">
        <v>1.3624760689215061</v>
      </c>
      <c r="CO19" s="306">
        <v>169.27060621869288</v>
      </c>
      <c r="CP19" s="306">
        <v>1.4214983713355049</v>
      </c>
      <c r="CQ19" s="306">
        <v>172.99693806519338</v>
      </c>
      <c r="CR19" s="306">
        <v>1.3137973137973138</v>
      </c>
      <c r="CS19" s="306">
        <v>170.61842837593773</v>
      </c>
      <c r="CT19" s="306">
        <v>1.3337430854333128</v>
      </c>
      <c r="CU19" s="306">
        <v>172.04553418949112</v>
      </c>
      <c r="CV19" s="306">
        <v>1.2244546498277842</v>
      </c>
      <c r="CW19" s="306">
        <v>169.11203890607581</v>
      </c>
      <c r="CX19" s="306">
        <v>1.241657077100115</v>
      </c>
      <c r="CY19" s="169">
        <v>171.09413031378887</v>
      </c>
      <c r="CZ19" s="306">
        <v>1.1845637583892616</v>
      </c>
      <c r="DA19" s="169">
        <v>167.922784061448</v>
      </c>
      <c r="DB19" s="306">
        <v>1.1123110151187905</v>
      </c>
      <c r="DC19" s="169">
        <v>163.32433199555376</v>
      </c>
      <c r="DD19" s="306">
        <v>1.1202928870292888</v>
      </c>
      <c r="DE19" s="169">
        <v>169.82559181285251</v>
      </c>
      <c r="DF19" s="306">
        <v>1.0961538461538463</v>
      </c>
      <c r="DG19" s="169">
        <v>171.72839956425705</v>
      </c>
      <c r="DH19" s="306">
        <v>1.0892137096774193</v>
      </c>
      <c r="DI19" s="169">
        <v>171.33198128271442</v>
      </c>
      <c r="DJ19" s="306">
        <v>1.1182044887780549</v>
      </c>
      <c r="DK19" s="169">
        <v>177.75395744370465</v>
      </c>
      <c r="DL19" s="306">
        <v>1.1031976744186047</v>
      </c>
      <c r="DM19" s="169">
        <v>180.52888541450287</v>
      </c>
      <c r="DN19" s="306">
        <v>1.1268011527377522</v>
      </c>
      <c r="DO19" s="169">
        <v>185.99945769979084</v>
      </c>
      <c r="DP19" s="306">
        <v>1.1170960187353629</v>
      </c>
      <c r="DQ19" s="169">
        <v>189.09152029582319</v>
      </c>
      <c r="DR19" s="306">
        <v>1.1040329972502292</v>
      </c>
      <c r="DS19" s="169">
        <v>190.99432804722767</v>
      </c>
      <c r="DT19" s="306">
        <v>1.137081784386617</v>
      </c>
      <c r="DU19" s="169">
        <v>194.0071069869515</v>
      </c>
      <c r="DV19" s="306">
        <v>1.1322580645161291</v>
      </c>
      <c r="DW19" s="169">
        <v>194.79994355003672</v>
      </c>
      <c r="DX19" s="306">
        <v>1.1425222691045476</v>
      </c>
      <c r="DY19" s="169">
        <v>193.21427042386628</v>
      </c>
      <c r="DZ19" s="306">
        <v>1.1367006487488416</v>
      </c>
      <c r="EA19" s="169">
        <v>194.48280892480264</v>
      </c>
      <c r="EB19" s="306">
        <v>1.1628895184135977</v>
      </c>
      <c r="EC19" s="169">
        <v>195.27564548788783</v>
      </c>
      <c r="ED19" s="306">
        <v>1.2393203883495145</v>
      </c>
      <c r="EE19" s="169">
        <v>202.41117455565472</v>
      </c>
    </row>
    <row r="20" spans="1:135" ht="16.5" thickBot="1" x14ac:dyDescent="0.3">
      <c r="A20" s="606" t="s">
        <v>19</v>
      </c>
      <c r="B20" s="306">
        <v>0.79542981501632204</v>
      </c>
      <c r="C20" s="306">
        <v>220.16182345792603</v>
      </c>
      <c r="D20" s="306">
        <v>0.78310626702997277</v>
      </c>
      <c r="E20" s="306">
        <v>216.39708639469202</v>
      </c>
      <c r="F20" s="306">
        <v>0.81782065834279227</v>
      </c>
      <c r="G20" s="306">
        <v>216.99944432480947</v>
      </c>
      <c r="H20" s="306">
        <v>0.8436794582392777</v>
      </c>
      <c r="I20" s="306">
        <v>225.13127638139497</v>
      </c>
      <c r="J20" s="306">
        <v>0.86469584991472426</v>
      </c>
      <c r="K20" s="306">
        <v>229.04660292715835</v>
      </c>
      <c r="L20" s="306">
        <v>0.90657439446366783</v>
      </c>
      <c r="M20" s="306">
        <v>236.72666653615579</v>
      </c>
      <c r="N20" s="306">
        <v>0.98483009708737868</v>
      </c>
      <c r="O20" s="306">
        <v>244.4067301451532</v>
      </c>
      <c r="P20" s="306">
        <v>1.0054844606946984</v>
      </c>
      <c r="Q20" s="306">
        <v>248.47264617344598</v>
      </c>
      <c r="R20" s="306">
        <v>1.0210970464135021</v>
      </c>
      <c r="S20" s="306">
        <v>255.09858340473784</v>
      </c>
      <c r="T20" s="306">
        <v>1.0156720916214588</v>
      </c>
      <c r="U20" s="306">
        <v>253.7432780619736</v>
      </c>
      <c r="V20" s="306">
        <v>1.0054315027157514</v>
      </c>
      <c r="W20" s="306">
        <v>250.88207789391572</v>
      </c>
      <c r="X20" s="306">
        <v>1.1321339950372209</v>
      </c>
      <c r="Y20" s="306">
        <v>274.82580561608415</v>
      </c>
      <c r="Z20" s="306">
        <v>1.1523750771128933</v>
      </c>
      <c r="AA20" s="306">
        <v>281.3011533648467</v>
      </c>
      <c r="AB20" s="306">
        <v>1.2664958360025624</v>
      </c>
      <c r="AC20" s="306">
        <v>297.71540696054706</v>
      </c>
      <c r="AD20" s="306">
        <v>1.5129958960328318</v>
      </c>
      <c r="AE20" s="306">
        <v>333.10393535494694</v>
      </c>
      <c r="AF20" s="306">
        <v>1.5476687543493388</v>
      </c>
      <c r="AG20" s="306">
        <v>334.91100914529932</v>
      </c>
      <c r="AH20" s="306">
        <v>1.5773768216516308</v>
      </c>
      <c r="AI20" s="306">
        <v>342.28989378923796</v>
      </c>
      <c r="AJ20" s="306">
        <v>1.5130434782608695</v>
      </c>
      <c r="AK20" s="306">
        <v>340.63340948141501</v>
      </c>
      <c r="AL20" s="306">
        <v>1.5529257067718607</v>
      </c>
      <c r="AM20" s="306">
        <v>355.69235773435111</v>
      </c>
      <c r="AN20" s="306">
        <v>1.5203562340966921</v>
      </c>
      <c r="AO20" s="306">
        <v>359.90886324517322</v>
      </c>
      <c r="AP20" s="306">
        <v>1.534195933456562</v>
      </c>
      <c r="AQ20" s="306">
        <v>374.96781149810937</v>
      </c>
      <c r="AR20" s="306">
        <v>1.6036363636363635</v>
      </c>
      <c r="AS20" s="306">
        <v>398.45977077268975</v>
      </c>
      <c r="AT20" s="306">
        <v>1.5826446280991735</v>
      </c>
      <c r="AU20" s="306">
        <v>403.73040266121734</v>
      </c>
      <c r="AV20" s="306">
        <v>1.6587537091988132</v>
      </c>
      <c r="AW20" s="306">
        <v>420.89760366956455</v>
      </c>
      <c r="AX20" s="306">
        <v>1.7533013205282113</v>
      </c>
      <c r="AY20" s="306">
        <v>439.87187846826401</v>
      </c>
      <c r="AZ20" s="306">
        <v>1.7336986301369863</v>
      </c>
      <c r="BA20" s="306">
        <v>476.4651227228988</v>
      </c>
      <c r="BB20" s="306">
        <v>1.7762312633832977</v>
      </c>
      <c r="BC20" s="306">
        <v>499.65590303242044</v>
      </c>
      <c r="BD20" s="306">
        <v>1.7612544258978249</v>
      </c>
      <c r="BE20" s="306">
        <v>524.35257816723572</v>
      </c>
      <c r="BF20" s="306">
        <v>1.5976491862567812</v>
      </c>
      <c r="BG20" s="306">
        <v>532.18323125876248</v>
      </c>
      <c r="BH20" s="306">
        <v>1.7072841726618706</v>
      </c>
      <c r="BI20" s="306">
        <v>571.78826516398442</v>
      </c>
      <c r="BJ20" s="306">
        <v>1.6893972723273207</v>
      </c>
      <c r="BK20" s="306">
        <v>578.26361291274702</v>
      </c>
      <c r="BL20" s="306">
        <v>1.7603890362511052</v>
      </c>
      <c r="BM20" s="306">
        <v>599.64731943191623</v>
      </c>
      <c r="BN20" s="306">
        <v>1.7967823878069433</v>
      </c>
      <c r="BO20" s="306">
        <v>639.10176385460886</v>
      </c>
      <c r="BP20" s="306">
        <v>1.893305439330544</v>
      </c>
      <c r="BQ20" s="306">
        <v>681.41740844535934</v>
      </c>
      <c r="BR20" s="306">
        <v>1.9188755020080321</v>
      </c>
      <c r="BS20" s="306">
        <v>719.51654752528782</v>
      </c>
      <c r="BT20" s="306">
        <v>1.9104308390022675</v>
      </c>
      <c r="BU20" s="306">
        <v>761.22983418592071</v>
      </c>
      <c r="BV20" s="306">
        <v>1.9705333830660201</v>
      </c>
      <c r="BW20" s="306">
        <v>795.56423620261512</v>
      </c>
      <c r="BX20" s="306">
        <v>1.9413237924865832</v>
      </c>
      <c r="BY20" s="306">
        <v>817.09853220431376</v>
      </c>
      <c r="BZ20" s="306">
        <v>1.9322149948647724</v>
      </c>
      <c r="CA20" s="306">
        <v>849.92703939571447</v>
      </c>
      <c r="CB20" s="306">
        <v>1.8384955752212389</v>
      </c>
      <c r="CC20" s="306">
        <v>875.97901987329396</v>
      </c>
      <c r="CD20" s="306">
        <v>1.8065099457504521</v>
      </c>
      <c r="CE20" s="306">
        <v>902.63335828099093</v>
      </c>
      <c r="CF20" s="306">
        <v>1.8015508328546812</v>
      </c>
      <c r="CG20" s="306">
        <v>944.64782390668267</v>
      </c>
      <c r="CH20" s="306">
        <v>1.806168647425014</v>
      </c>
      <c r="CI20" s="306">
        <v>961.2126669849124</v>
      </c>
      <c r="CJ20" s="306">
        <v>1.7174084803792469</v>
      </c>
      <c r="CK20" s="306">
        <v>981.99401557396425</v>
      </c>
      <c r="CL20" s="306">
        <v>1.7658854166666667</v>
      </c>
      <c r="CM20" s="306">
        <v>1021.1472810315981</v>
      </c>
      <c r="CN20" s="306">
        <v>1.7975891511803115</v>
      </c>
      <c r="CO20" s="306">
        <v>1077.9195159451674</v>
      </c>
      <c r="CP20" s="306">
        <v>1.7516493873704053</v>
      </c>
      <c r="CQ20" s="306">
        <v>1119.4822131232711</v>
      </c>
      <c r="CR20" s="306">
        <v>1.6972375690607735</v>
      </c>
      <c r="CS20" s="306">
        <v>1156.527225825494</v>
      </c>
      <c r="CT20" s="306">
        <v>1.665341146923399</v>
      </c>
      <c r="CU20" s="306">
        <v>1198.2405124861268</v>
      </c>
      <c r="CV20" s="306">
        <v>1.6075173095944608</v>
      </c>
      <c r="CW20" s="306">
        <v>1223.6901350335891</v>
      </c>
      <c r="CX20" s="306">
        <v>1.5873556691273898</v>
      </c>
      <c r="CY20" s="169">
        <v>1262.8434004912228</v>
      </c>
      <c r="CZ20" s="306">
        <v>1.6328787320309621</v>
      </c>
      <c r="DA20" s="169">
        <v>1334.22281521014</v>
      </c>
      <c r="DB20" s="306">
        <v>1.6433380581148123</v>
      </c>
      <c r="DC20" s="169">
        <v>1396.7174504598249</v>
      </c>
      <c r="DD20" s="306">
        <v>1.6431150077359464</v>
      </c>
      <c r="DE20" s="169">
        <v>1439.3342740156343</v>
      </c>
      <c r="DF20" s="306">
        <v>1.6746746746746746</v>
      </c>
      <c r="DG20" s="169">
        <v>1511.6172256297275</v>
      </c>
      <c r="DH20" s="306">
        <v>1.640682289175833</v>
      </c>
      <c r="DI20" s="169">
        <v>1549.8669541921852</v>
      </c>
      <c r="DJ20" s="306">
        <v>1.6954410151966159</v>
      </c>
      <c r="DK20" s="169">
        <v>1629.6793799327465</v>
      </c>
      <c r="DL20" s="306">
        <v>1.6828707253488728</v>
      </c>
      <c r="DM20" s="169">
        <v>1652.5689812772096</v>
      </c>
      <c r="DN20" s="306">
        <v>1.645480017696505</v>
      </c>
      <c r="DO20" s="169">
        <v>1680.2774460626119</v>
      </c>
      <c r="DP20" s="306">
        <v>1.5808885163453479</v>
      </c>
      <c r="DQ20" s="169">
        <v>1704.0705843022513</v>
      </c>
      <c r="DR20" s="306">
        <v>1.527306967984934</v>
      </c>
      <c r="DS20" s="169">
        <v>1709.792984638367</v>
      </c>
      <c r="DT20" s="306">
        <v>1.49609375</v>
      </c>
      <c r="DU20" s="169">
        <v>1730.2731542623601</v>
      </c>
      <c r="DV20" s="306">
        <v>1.4222696996355411</v>
      </c>
      <c r="DW20" s="169">
        <v>1704.2211737847806</v>
      </c>
      <c r="DX20" s="306">
        <v>1.373000246123554</v>
      </c>
      <c r="DY20" s="169">
        <v>1680.1268565800829</v>
      </c>
      <c r="DZ20" s="306">
        <v>1.3007393274505128</v>
      </c>
      <c r="EA20" s="169">
        <v>1642.630075430272</v>
      </c>
      <c r="EB20" s="306">
        <v>1.1799097065462754</v>
      </c>
      <c r="EC20" s="169">
        <v>1574.2624503619418</v>
      </c>
      <c r="ED20" s="306">
        <v>1.0916442048517521</v>
      </c>
      <c r="EE20" s="169">
        <v>1524.718510609782</v>
      </c>
    </row>
    <row r="21" spans="1:135" ht="16.5" thickBot="1" x14ac:dyDescent="0.3">
      <c r="A21" s="606" t="s">
        <v>18</v>
      </c>
      <c r="B21" s="306">
        <v>1.0237341772151898</v>
      </c>
      <c r="C21" s="306">
        <v>173.08489720576236</v>
      </c>
      <c r="D21" s="306">
        <v>1.0360501567398119</v>
      </c>
      <c r="E21" s="306">
        <v>176.83016546060111</v>
      </c>
      <c r="F21" s="306">
        <v>1.0350194552529184</v>
      </c>
      <c r="G21" s="306">
        <v>177.90024210484074</v>
      </c>
      <c r="H21" s="306">
        <v>1.0808477237048666</v>
      </c>
      <c r="I21" s="306">
        <v>184.18694238974868</v>
      </c>
      <c r="J21" s="306">
        <v>1.18</v>
      </c>
      <c r="K21" s="306">
        <v>197.29538128168429</v>
      </c>
      <c r="L21" s="306">
        <v>1.2792262405382675</v>
      </c>
      <c r="M21" s="306">
        <v>203.44832198606224</v>
      </c>
      <c r="N21" s="306">
        <v>1.3513513513513513</v>
      </c>
      <c r="O21" s="306">
        <v>214.01532884792874</v>
      </c>
      <c r="P21" s="306">
        <v>1.4100418410041842</v>
      </c>
      <c r="Q21" s="306">
        <v>225.38489319297497</v>
      </c>
      <c r="R21" s="306">
        <v>1.3919028340080972</v>
      </c>
      <c r="S21" s="306">
        <v>229.93271893099345</v>
      </c>
      <c r="T21" s="306">
        <v>1.4078841512469831</v>
      </c>
      <c r="U21" s="306">
        <v>234.07926592742206</v>
      </c>
      <c r="V21" s="306">
        <v>1.3348588863463005</v>
      </c>
      <c r="W21" s="306">
        <v>234.07926592742206</v>
      </c>
      <c r="X21" s="306">
        <v>1.4980453479280689</v>
      </c>
      <c r="Y21" s="306">
        <v>256.28335629539464</v>
      </c>
      <c r="Z21" s="306">
        <v>1.530705079605762</v>
      </c>
      <c r="AA21" s="306">
        <v>270.0605930899801</v>
      </c>
      <c r="AB21" s="306">
        <v>1.5760542168674698</v>
      </c>
      <c r="AC21" s="306">
        <v>279.95880204919678</v>
      </c>
      <c r="AD21" s="306">
        <v>1.741112828438949</v>
      </c>
      <c r="AE21" s="306">
        <v>301.36033493398963</v>
      </c>
      <c r="AF21" s="306">
        <v>1.7405446293494704</v>
      </c>
      <c r="AG21" s="306">
        <v>307.7807947994275</v>
      </c>
      <c r="AH21" s="306">
        <v>1.806015037593985</v>
      </c>
      <c r="AI21" s="306">
        <v>321.29051243295299</v>
      </c>
      <c r="AJ21" s="306">
        <v>1.7814088598402325</v>
      </c>
      <c r="AK21" s="306">
        <v>328.11225103998078</v>
      </c>
      <c r="AL21" s="306">
        <v>1.7213559322033898</v>
      </c>
      <c r="AM21" s="306">
        <v>339.6155749655569</v>
      </c>
      <c r="AN21" s="306">
        <v>1.7508218277449046</v>
      </c>
      <c r="AO21" s="306">
        <v>356.20176295127141</v>
      </c>
      <c r="AP21" s="306">
        <v>1.76</v>
      </c>
      <c r="AQ21" s="306">
        <v>376.66697877235453</v>
      </c>
      <c r="AR21" s="306">
        <v>1.7252225519287834</v>
      </c>
      <c r="AS21" s="306">
        <v>388.83910060058048</v>
      </c>
      <c r="AT21" s="306">
        <v>1.7486910994764397</v>
      </c>
      <c r="AU21" s="306">
        <v>402.08129907304607</v>
      </c>
      <c r="AV21" s="306">
        <v>1.7474285714285713</v>
      </c>
      <c r="AW21" s="306">
        <v>409.03679726060375</v>
      </c>
      <c r="AX21" s="306">
        <v>1.8080000000000001</v>
      </c>
      <c r="AY21" s="306">
        <v>423.21531279677907</v>
      </c>
      <c r="AZ21" s="306">
        <v>1.7265135699373695</v>
      </c>
      <c r="BA21" s="306">
        <v>442.47669239309266</v>
      </c>
      <c r="BB21" s="306">
        <v>1.6716196136701338</v>
      </c>
      <c r="BC21" s="306">
        <v>451.43858428859966</v>
      </c>
      <c r="BD21" s="306">
        <v>1.68179646440516</v>
      </c>
      <c r="BE21" s="306">
        <v>470.8337234654432</v>
      </c>
      <c r="BF21" s="306">
        <v>1.602751886373724</v>
      </c>
      <c r="BG21" s="306">
        <v>483.00584529366915</v>
      </c>
      <c r="BH21" s="306">
        <v>1.5727944372012168</v>
      </c>
      <c r="BI21" s="306">
        <v>484.07592193790879</v>
      </c>
      <c r="BJ21" s="306">
        <v>1.4950041631973356</v>
      </c>
      <c r="BK21" s="306">
        <v>480.33065368307007</v>
      </c>
      <c r="BL21" s="306">
        <v>1.5144720750101917</v>
      </c>
      <c r="BM21" s="306">
        <v>496.91684166878451</v>
      </c>
      <c r="BN21" s="306">
        <v>1.4749901536037811</v>
      </c>
      <c r="BO21" s="306">
        <v>500.9296290846832</v>
      </c>
      <c r="BP21" s="306">
        <v>1.4521216672925272</v>
      </c>
      <c r="BQ21" s="306">
        <v>517.24829790933779</v>
      </c>
      <c r="BR21" s="306">
        <v>1.3902698863636365</v>
      </c>
      <c r="BS21" s="306">
        <v>523.6687577747756</v>
      </c>
      <c r="BT21" s="306">
        <v>1.3543171654626762</v>
      </c>
      <c r="BU21" s="306">
        <v>526.61146854643459</v>
      </c>
      <c r="BV21" s="306">
        <v>1.3306719893546242</v>
      </c>
      <c r="BW21" s="306">
        <v>535.03832211982183</v>
      </c>
      <c r="BX21" s="306">
        <v>1.3162197514715501</v>
      </c>
      <c r="BY21" s="306">
        <v>538.3823116330708</v>
      </c>
      <c r="BZ21" s="306">
        <v>1.2901390644753477</v>
      </c>
      <c r="CA21" s="306">
        <v>546.00660772327819</v>
      </c>
      <c r="CB21" s="306">
        <v>1.2557436517533254</v>
      </c>
      <c r="CC21" s="306">
        <v>555.63729752143502</v>
      </c>
      <c r="CD21" s="306">
        <v>1.2435555555555555</v>
      </c>
      <c r="CE21" s="306">
        <v>561.38895948422305</v>
      </c>
      <c r="CF21" s="306">
        <v>1.2514204545454546</v>
      </c>
      <c r="CG21" s="306">
        <v>589.21095223445377</v>
      </c>
      <c r="CH21" s="306">
        <v>1.2492384381057879</v>
      </c>
      <c r="CI21" s="306">
        <v>603.38946777062915</v>
      </c>
      <c r="CJ21" s="306">
        <v>1.2893064382426085</v>
      </c>
      <c r="CK21" s="306">
        <v>624.12220275277218</v>
      </c>
      <c r="CL21" s="306">
        <v>1.3130047340573656</v>
      </c>
      <c r="CM21" s="306">
        <v>630.67642219874006</v>
      </c>
      <c r="CN21" s="306">
        <v>1.2917900403768505</v>
      </c>
      <c r="CO21" s="306">
        <v>641.91222696325622</v>
      </c>
      <c r="CP21" s="306">
        <v>1.3420560747663552</v>
      </c>
      <c r="CQ21" s="306">
        <v>672.27565174355618</v>
      </c>
      <c r="CR21" s="306">
        <v>1.3408326868373417</v>
      </c>
      <c r="CS21" s="306">
        <v>693.54342504781903</v>
      </c>
      <c r="CT21" s="306">
        <v>1.3897828863346104</v>
      </c>
      <c r="CU21" s="306">
        <v>727.78587766348755</v>
      </c>
      <c r="CV21" s="306">
        <v>1.4820929641859284</v>
      </c>
      <c r="CW21" s="306">
        <v>780.48715239229011</v>
      </c>
      <c r="CX21" s="306">
        <v>1.5275000000000001</v>
      </c>
      <c r="CY21" s="169">
        <v>817.27103703802777</v>
      </c>
      <c r="CZ21" s="306">
        <v>1.5480745341614908</v>
      </c>
      <c r="DA21" s="169">
        <v>833.45594628215247</v>
      </c>
      <c r="DB21" s="306">
        <v>1.5509554140127388</v>
      </c>
      <c r="DC21" s="169">
        <v>846.83190433514801</v>
      </c>
      <c r="DD21" s="306">
        <v>1.5288878189696677</v>
      </c>
      <c r="DE21" s="169">
        <v>849.5070959457471</v>
      </c>
      <c r="DF21" s="306">
        <v>1.5813676435549202</v>
      </c>
      <c r="DG21" s="169">
        <v>887.76233597731425</v>
      </c>
      <c r="DH21" s="306">
        <v>1.5459704880817253</v>
      </c>
      <c r="DI21" s="169">
        <v>910.9027434089968</v>
      </c>
      <c r="DJ21" s="306">
        <v>1.555530924407005</v>
      </c>
      <c r="DK21" s="169">
        <v>938.59097657869745</v>
      </c>
      <c r="DL21" s="306">
        <v>1.534076296613802</v>
      </c>
      <c r="DM21" s="169">
        <v>957.45107743342112</v>
      </c>
      <c r="DN21" s="306">
        <v>1.5217391304347827</v>
      </c>
      <c r="DO21" s="169">
        <v>959.72499030243034</v>
      </c>
      <c r="DP21" s="306">
        <v>1.535111481558658</v>
      </c>
      <c r="DQ21" s="169">
        <v>985.40682976418179</v>
      </c>
      <c r="DR21" s="306">
        <v>1.4757262236370872</v>
      </c>
      <c r="DS21" s="169">
        <v>992.09480879067974</v>
      </c>
      <c r="DT21" s="306">
        <v>1.4223722275795565</v>
      </c>
      <c r="DU21" s="169">
        <v>986.47690640842143</v>
      </c>
      <c r="DV21" s="306">
        <v>1.3249402683330269</v>
      </c>
      <c r="DW21" s="169">
        <v>964.27281604044902</v>
      </c>
      <c r="DX21" s="306">
        <v>1.1931448157669238</v>
      </c>
      <c r="DY21" s="169">
        <v>931.23419964954985</v>
      </c>
      <c r="DZ21" s="306">
        <v>1.1018003273322423</v>
      </c>
      <c r="EA21" s="169">
        <v>900.46949612766002</v>
      </c>
      <c r="EB21" s="306">
        <v>1.0659605199807414</v>
      </c>
      <c r="EC21" s="169">
        <v>888.43113387996414</v>
      </c>
      <c r="ED21" s="306">
        <v>1.0434370557573842</v>
      </c>
      <c r="EE21" s="169">
        <v>883.61578898088578</v>
      </c>
    </row>
    <row r="22" spans="1:135" ht="16.5" thickBot="1" x14ac:dyDescent="0.3">
      <c r="A22" s="606" t="s">
        <v>34</v>
      </c>
      <c r="B22" s="306">
        <v>1.055596196049744</v>
      </c>
      <c r="C22" s="306">
        <v>101.30602633956684</v>
      </c>
      <c r="D22" s="306">
        <v>0.98732394366197185</v>
      </c>
      <c r="E22" s="306">
        <v>98.427615334769726</v>
      </c>
      <c r="F22" s="306">
        <v>0.99377162629757787</v>
      </c>
      <c r="G22" s="306">
        <v>100.81459031435757</v>
      </c>
      <c r="H22" s="306">
        <v>0.95841716968477531</v>
      </c>
      <c r="I22" s="306">
        <v>100.32315428914831</v>
      </c>
      <c r="J22" s="306">
        <v>1.0341823056300268</v>
      </c>
      <c r="K22" s="306">
        <v>108.32654098541347</v>
      </c>
      <c r="L22" s="306">
        <v>1.1722419928825623</v>
      </c>
      <c r="M22" s="306">
        <v>115.62787621709398</v>
      </c>
      <c r="N22" s="306">
        <v>1.3500749625187407</v>
      </c>
      <c r="O22" s="306">
        <v>126.43946877169779</v>
      </c>
      <c r="P22" s="306">
        <v>1.3956204379562043</v>
      </c>
      <c r="Q22" s="306">
        <v>134.23224002858754</v>
      </c>
      <c r="R22" s="306">
        <v>1.5255255255255256</v>
      </c>
      <c r="S22" s="306">
        <v>142.6568576036035</v>
      </c>
      <c r="T22" s="306">
        <v>1.5055514433752775</v>
      </c>
      <c r="U22" s="306">
        <v>142.79726789652042</v>
      </c>
      <c r="V22" s="306">
        <v>1.3832752613240418</v>
      </c>
      <c r="W22" s="306">
        <v>139.35721572005559</v>
      </c>
      <c r="X22" s="306">
        <v>1.5367435158501441</v>
      </c>
      <c r="Y22" s="306">
        <v>149.74757739590859</v>
      </c>
      <c r="Z22" s="306">
        <v>1.5803949224259521</v>
      </c>
      <c r="AA22" s="306">
        <v>157.32973321342294</v>
      </c>
      <c r="AB22" s="306">
        <v>1.6337047353760445</v>
      </c>
      <c r="AC22" s="306">
        <v>164.70127359156191</v>
      </c>
      <c r="AD22" s="306">
        <v>1.7733887733887734</v>
      </c>
      <c r="AE22" s="306">
        <v>179.65496978721521</v>
      </c>
      <c r="AF22" s="306">
        <v>1.8445078459343796</v>
      </c>
      <c r="AG22" s="306">
        <v>181.5505087415938</v>
      </c>
      <c r="AH22" s="306">
        <v>1.7945682451253482</v>
      </c>
      <c r="AI22" s="306">
        <v>180.91866242346759</v>
      </c>
      <c r="AJ22" s="306">
        <v>1.8383484954513647</v>
      </c>
      <c r="AK22" s="306">
        <v>184.42891974639093</v>
      </c>
      <c r="AL22" s="306">
        <v>1.7128969539857422</v>
      </c>
      <c r="AM22" s="306">
        <v>185.55220208972639</v>
      </c>
      <c r="AN22" s="306">
        <v>1.6387370977534912</v>
      </c>
      <c r="AO22" s="306">
        <v>189.48369029140051</v>
      </c>
      <c r="AP22" s="306">
        <v>1.5197112715158245</v>
      </c>
      <c r="AQ22" s="306">
        <v>192.15148585682221</v>
      </c>
      <c r="AR22" s="306">
        <v>1.4325313807531381</v>
      </c>
      <c r="AS22" s="306">
        <v>192.29189614973916</v>
      </c>
      <c r="AT22" s="306">
        <v>1.3085629921259843</v>
      </c>
      <c r="AU22" s="306">
        <v>186.67548443306185</v>
      </c>
      <c r="AV22" s="306">
        <v>1.3067846607669618</v>
      </c>
      <c r="AW22" s="306">
        <v>186.60527928660338</v>
      </c>
      <c r="AX22" s="306">
        <v>1.3687657430730478</v>
      </c>
      <c r="AY22" s="306">
        <v>190.74738292765289</v>
      </c>
      <c r="AZ22" s="306">
        <v>1.2662916080637601</v>
      </c>
      <c r="BA22" s="306">
        <v>189.62410058431743</v>
      </c>
      <c r="BB22" s="306">
        <v>1.1834002677376172</v>
      </c>
      <c r="BC22" s="306">
        <v>186.18404840785257</v>
      </c>
      <c r="BD22" s="306">
        <v>1.129156010230179</v>
      </c>
      <c r="BE22" s="306">
        <v>185.9734329684772</v>
      </c>
      <c r="BF22" s="306">
        <v>1.0293083235638922</v>
      </c>
      <c r="BG22" s="306">
        <v>184.92035577160019</v>
      </c>
      <c r="BH22" s="306">
        <v>1.0290023201856149</v>
      </c>
      <c r="BI22" s="306">
        <v>186.81589472597878</v>
      </c>
      <c r="BJ22" s="306">
        <v>1.020954598370198</v>
      </c>
      <c r="BK22" s="306">
        <v>184.70974033222481</v>
      </c>
      <c r="BL22" s="306">
        <v>1.0106585458698134</v>
      </c>
      <c r="BM22" s="306">
        <v>186.39466384722797</v>
      </c>
      <c r="BN22" s="306">
        <v>0.98562239878925462</v>
      </c>
      <c r="BO22" s="306">
        <v>182.88440652430467</v>
      </c>
      <c r="BP22" s="306">
        <v>0.98740274175620601</v>
      </c>
      <c r="BQ22" s="306">
        <v>187.09671531181266</v>
      </c>
      <c r="BR22" s="306">
        <v>0.9736938253562295</v>
      </c>
      <c r="BS22" s="306">
        <v>187.09671531181266</v>
      </c>
      <c r="BT22" s="306">
        <v>0.98064987221613731</v>
      </c>
      <c r="BU22" s="306">
        <v>188.57102338744042</v>
      </c>
      <c r="BV22" s="306">
        <v>1.0251974426476118</v>
      </c>
      <c r="BW22" s="306">
        <v>191.3792292457791</v>
      </c>
      <c r="BX22" s="306">
        <v>1.0474040632054176</v>
      </c>
      <c r="BY22" s="306">
        <v>195.45112774037014</v>
      </c>
      <c r="BZ22" s="306">
        <v>1.0710342289289658</v>
      </c>
      <c r="CA22" s="306">
        <v>204.2969761941369</v>
      </c>
      <c r="CB22" s="306">
        <v>1.1166234727878563</v>
      </c>
      <c r="CC22" s="306">
        <v>211.73872171873433</v>
      </c>
      <c r="CD22" s="306">
        <v>1.1892911010558069</v>
      </c>
      <c r="CE22" s="306">
        <v>221.42703193000264</v>
      </c>
      <c r="CF22" s="306">
        <v>1.189127972819932</v>
      </c>
      <c r="CG22" s="306">
        <v>221.14621134416879</v>
      </c>
      <c r="CH22" s="306">
        <v>1.2403189066059226</v>
      </c>
      <c r="CI22" s="306">
        <v>229.36021347980932</v>
      </c>
      <c r="CJ22" s="306">
        <v>1.296880871852687</v>
      </c>
      <c r="CK22" s="306">
        <v>242.27796042816715</v>
      </c>
      <c r="CL22" s="306">
        <v>1.3333333333333333</v>
      </c>
      <c r="CM22" s="306">
        <v>246.27965377629971</v>
      </c>
      <c r="CN22" s="306">
        <v>1.3559322033898304</v>
      </c>
      <c r="CO22" s="306">
        <v>252.73852725047863</v>
      </c>
      <c r="CP22" s="306">
        <v>1.4994241842610365</v>
      </c>
      <c r="CQ22" s="306">
        <v>274.22130206676928</v>
      </c>
      <c r="CR22" s="306">
        <v>1.5242026266416511</v>
      </c>
      <c r="CS22" s="306">
        <v>285.17330491429004</v>
      </c>
      <c r="CT22" s="306">
        <v>1.6645403377110695</v>
      </c>
      <c r="CU22" s="306">
        <v>311.4300296897564</v>
      </c>
      <c r="CV22" s="306">
        <v>1.7289650037230082</v>
      </c>
      <c r="CW22" s="306">
        <v>326.03270015311745</v>
      </c>
      <c r="CX22" s="306">
        <v>1.8580337490829053</v>
      </c>
      <c r="CY22" s="169">
        <v>355.5890668121317</v>
      </c>
      <c r="CZ22" s="306">
        <v>1.9022988505747127</v>
      </c>
      <c r="DA22" s="169">
        <v>371.80645564403744</v>
      </c>
      <c r="DB22" s="306">
        <v>1.8446735395189005</v>
      </c>
      <c r="DC22" s="169">
        <v>376.86122618904699</v>
      </c>
      <c r="DD22" s="306">
        <v>1.8156498673740054</v>
      </c>
      <c r="DE22" s="169">
        <v>384.44338200656136</v>
      </c>
      <c r="DF22" s="306">
        <v>1.7428662016487</v>
      </c>
      <c r="DG22" s="169">
        <v>385.91769008218915</v>
      </c>
      <c r="DH22" s="306">
        <v>1.8574603174603175</v>
      </c>
      <c r="DI22" s="169">
        <v>410.77031192848625</v>
      </c>
      <c r="DJ22" s="306">
        <v>1.8686868686868687</v>
      </c>
      <c r="DK22" s="169">
        <v>428.60241912893667</v>
      </c>
      <c r="DL22" s="306">
        <v>1.8258475804114749</v>
      </c>
      <c r="DM22" s="169">
        <v>442.36262783479611</v>
      </c>
      <c r="DN22" s="306">
        <v>1.8511972633979477</v>
      </c>
      <c r="DO22" s="169">
        <v>455.91222110128007</v>
      </c>
      <c r="DP22" s="306">
        <v>1.8536111111111111</v>
      </c>
      <c r="DQ22" s="169">
        <v>468.47894231734557</v>
      </c>
      <c r="DR22" s="306">
        <v>1.749615975422427</v>
      </c>
      <c r="DS22" s="169">
        <v>479.78197089715854</v>
      </c>
      <c r="DT22" s="306">
        <v>1.7451994091580503</v>
      </c>
      <c r="DU22" s="169">
        <v>497.6842832440675</v>
      </c>
      <c r="DV22" s="306">
        <v>1.5994138863841298</v>
      </c>
      <c r="DW22" s="169">
        <v>498.10551412281825</v>
      </c>
      <c r="DX22" s="306">
        <v>1.5652454780361758</v>
      </c>
      <c r="DY22" s="169">
        <v>510.32120960659142</v>
      </c>
      <c r="DZ22" s="306">
        <v>1.4420533070088846</v>
      </c>
      <c r="EA22" s="169">
        <v>512.77838973263772</v>
      </c>
      <c r="EB22" s="306">
        <v>1.3933157099697886</v>
      </c>
      <c r="EC22" s="169">
        <v>518.04377571702275</v>
      </c>
      <c r="ED22" s="306">
        <v>1.3733233979135619</v>
      </c>
      <c r="EE22" s="169">
        <v>517.55233969181347</v>
      </c>
    </row>
    <row r="23" spans="1:135" ht="16.5" thickBot="1" x14ac:dyDescent="0.3">
      <c r="A23" s="606" t="s">
        <v>35</v>
      </c>
      <c r="B23" s="306">
        <v>1.5525965379494009</v>
      </c>
      <c r="C23" s="306">
        <v>149.25430450182216</v>
      </c>
      <c r="D23" s="306">
        <v>1.4472681067344346</v>
      </c>
      <c r="E23" s="306">
        <v>145.79815851421563</v>
      </c>
      <c r="F23" s="306">
        <v>1.4878361075544173</v>
      </c>
      <c r="G23" s="306">
        <v>148.7422828740286</v>
      </c>
      <c r="H23" s="306">
        <v>1.5789473684210527</v>
      </c>
      <c r="I23" s="306">
        <v>157.44665054651909</v>
      </c>
      <c r="J23" s="306">
        <v>1.721189591078067</v>
      </c>
      <c r="K23" s="306">
        <v>177.79951025131302</v>
      </c>
      <c r="L23" s="306">
        <v>2.0775193798449614</v>
      </c>
      <c r="M23" s="306">
        <v>205.83269437301033</v>
      </c>
      <c r="N23" s="306">
        <v>2.291563275434243</v>
      </c>
      <c r="O23" s="306">
        <v>236.42598663367542</v>
      </c>
      <c r="P23" s="306">
        <v>2.0974808324205916</v>
      </c>
      <c r="Q23" s="306">
        <v>245.13035430616588</v>
      </c>
      <c r="R23" s="306">
        <v>2.0695931477516059</v>
      </c>
      <c r="S23" s="306">
        <v>247.4344516312369</v>
      </c>
      <c r="T23" s="306">
        <v>2.0567226890756301</v>
      </c>
      <c r="U23" s="306">
        <v>250.63458680494665</v>
      </c>
      <c r="V23" s="306">
        <v>1.8952929875120077</v>
      </c>
      <c r="W23" s="306">
        <v>252.55466790917248</v>
      </c>
      <c r="X23" s="306">
        <v>1.9584086799276672</v>
      </c>
      <c r="Y23" s="306">
        <v>277.25971145021163</v>
      </c>
      <c r="Z23" s="306">
        <v>1.8331957060280759</v>
      </c>
      <c r="AA23" s="306">
        <v>284.17200342542469</v>
      </c>
      <c r="AB23" s="306">
        <v>1.9753086419753085</v>
      </c>
      <c r="AC23" s="306">
        <v>307.21297667613476</v>
      </c>
      <c r="AD23" s="306">
        <v>2.2221269296740993</v>
      </c>
      <c r="AE23" s="306">
        <v>331.66200940327718</v>
      </c>
      <c r="AF23" s="306">
        <v>2.3239683933274802</v>
      </c>
      <c r="AG23" s="306">
        <v>338.830312192387</v>
      </c>
      <c r="AH23" s="306">
        <v>2.3072289156626504</v>
      </c>
      <c r="AI23" s="306">
        <v>343.18249602863227</v>
      </c>
      <c r="AJ23" s="306">
        <v>2.2406504065040651</v>
      </c>
      <c r="AK23" s="306">
        <v>352.78290154976145</v>
      </c>
      <c r="AL23" s="306">
        <v>2.0266378689704823</v>
      </c>
      <c r="AM23" s="306">
        <v>360.33522055971645</v>
      </c>
      <c r="AN23" s="306">
        <v>1.8022388059701493</v>
      </c>
      <c r="AO23" s="306">
        <v>370.95966933643274</v>
      </c>
      <c r="AP23" s="306">
        <v>1.5776935571196535</v>
      </c>
      <c r="AQ23" s="306">
        <v>373.00775584760703</v>
      </c>
      <c r="AR23" s="306">
        <v>1.5953002610966058</v>
      </c>
      <c r="AS23" s="306">
        <v>391.05651822732995</v>
      </c>
      <c r="AT23" s="306">
        <v>1.6466632177961718</v>
      </c>
      <c r="AU23" s="306">
        <v>407.44121031672381</v>
      </c>
      <c r="AV23" s="306">
        <v>1.6317671092951991</v>
      </c>
      <c r="AW23" s="306">
        <v>408.97727520010443</v>
      </c>
      <c r="AX23" s="306">
        <v>1.6517992904206791</v>
      </c>
      <c r="AY23" s="306">
        <v>417.16962124480142</v>
      </c>
      <c r="AZ23" s="306">
        <v>1.5650969529085872</v>
      </c>
      <c r="BA23" s="306">
        <v>433.93832955504041</v>
      </c>
      <c r="BB23" s="306">
        <v>1.5621621621621622</v>
      </c>
      <c r="BC23" s="306">
        <v>443.92275129701477</v>
      </c>
      <c r="BD23" s="306">
        <v>1.4720833333333334</v>
      </c>
      <c r="BE23" s="306">
        <v>452.24310274866008</v>
      </c>
      <c r="BF23" s="306">
        <v>1.3882670783481281</v>
      </c>
      <c r="BG23" s="306">
        <v>460.43544879335701</v>
      </c>
      <c r="BH23" s="306">
        <v>1.3747638836418588</v>
      </c>
      <c r="BI23" s="306">
        <v>465.8116758851894</v>
      </c>
      <c r="BJ23" s="306">
        <v>1.3528534129056322</v>
      </c>
      <c r="BK23" s="306">
        <v>464.27561100180873</v>
      </c>
      <c r="BL23" s="306">
        <v>1.3338171262699565</v>
      </c>
      <c r="BM23" s="306">
        <v>470.5478759422798</v>
      </c>
      <c r="BN23" s="306">
        <v>1.3463587921847247</v>
      </c>
      <c r="BO23" s="306">
        <v>485.14049233439624</v>
      </c>
      <c r="BP23" s="306">
        <v>1.3881987577639752</v>
      </c>
      <c r="BQ23" s="306">
        <v>514.965752153371</v>
      </c>
      <c r="BR23" s="306">
        <v>1.4094028826355525</v>
      </c>
      <c r="BS23" s="306">
        <v>525.71820633703567</v>
      </c>
      <c r="BT23" s="306">
        <v>1.3813420621931261</v>
      </c>
      <c r="BU23" s="306">
        <v>540.18281732220362</v>
      </c>
      <c r="BV23" s="306">
        <v>1.3524976437323279</v>
      </c>
      <c r="BW23" s="306">
        <v>551.06327691281683</v>
      </c>
      <c r="BX23" s="306">
        <v>1.3355242566510173</v>
      </c>
      <c r="BY23" s="306">
        <v>546.199071448778</v>
      </c>
      <c r="BZ23" s="306">
        <v>1.328014728444308</v>
      </c>
      <c r="CA23" s="306">
        <v>554.00740127262975</v>
      </c>
      <c r="CB23" s="306">
        <v>1.2764011799410029</v>
      </c>
      <c r="CC23" s="306">
        <v>553.87939586568143</v>
      </c>
      <c r="CD23" s="306">
        <v>1.2946943483275664</v>
      </c>
      <c r="CE23" s="306">
        <v>574.74427719826883</v>
      </c>
      <c r="CF23" s="306">
        <v>1.3365411831304841</v>
      </c>
      <c r="CG23" s="306">
        <v>604.44153161029521</v>
      </c>
      <c r="CH23" s="306">
        <v>1.4033917153183209</v>
      </c>
      <c r="CI23" s="306">
        <v>646.17129427547025</v>
      </c>
      <c r="CJ23" s="306">
        <v>1.4344600164880461</v>
      </c>
      <c r="CK23" s="306">
        <v>668.1882242705932</v>
      </c>
      <c r="CL23" s="306">
        <v>1.4998621450234353</v>
      </c>
      <c r="CM23" s="306">
        <v>696.34941379923885</v>
      </c>
      <c r="CN23" s="306">
        <v>1.559847660500544</v>
      </c>
      <c r="CO23" s="306">
        <v>733.98300344206541</v>
      </c>
      <c r="CP23" s="306">
        <v>1.5949868073878628</v>
      </c>
      <c r="CQ23" s="306">
        <v>773.79268500301453</v>
      </c>
      <c r="CR23" s="306">
        <v>1.5237385036042754</v>
      </c>
      <c r="CS23" s="306">
        <v>784.67314459362763</v>
      </c>
      <c r="CT23" s="306">
        <v>1.5519844168492818</v>
      </c>
      <c r="CU23" s="306">
        <v>815.90646388903474</v>
      </c>
      <c r="CV23" s="306">
        <v>1.5627962085308056</v>
      </c>
      <c r="CW23" s="306">
        <v>844.19565882462871</v>
      </c>
      <c r="CX23" s="306">
        <v>1.5544715447154471</v>
      </c>
      <c r="CY23" s="169">
        <v>856.61218329862243</v>
      </c>
      <c r="CZ23" s="306">
        <v>1.61237403327865</v>
      </c>
      <c r="DA23" s="169">
        <v>880.67719980491972</v>
      </c>
      <c r="DB23" s="306">
        <v>1.5815619223659889</v>
      </c>
      <c r="DC23" s="169">
        <v>876.19701056172607</v>
      </c>
      <c r="DD23" s="306">
        <v>1.5264617517910792</v>
      </c>
      <c r="DE23" s="169">
        <v>845.47571289411269</v>
      </c>
      <c r="DF23" s="306">
        <v>1.501336302895323</v>
      </c>
      <c r="DG23" s="169">
        <v>862.88444823909367</v>
      </c>
      <c r="DH23" s="306">
        <v>1.4661160525201187</v>
      </c>
      <c r="DI23" s="169">
        <v>886.18143230370038</v>
      </c>
      <c r="DJ23" s="306">
        <v>1.43026941362916</v>
      </c>
      <c r="DK23" s="169">
        <v>924.19903816737224</v>
      </c>
      <c r="DL23" s="306">
        <v>1.4172413793103449</v>
      </c>
      <c r="DM23" s="169">
        <v>946.98400060418544</v>
      </c>
      <c r="DN23" s="306">
        <v>1.3573529411764707</v>
      </c>
      <c r="DO23" s="169">
        <v>945.19192490690807</v>
      </c>
      <c r="DP23" s="306">
        <v>1.2610742936867807</v>
      </c>
      <c r="DQ23" s="169">
        <v>925.60709764380454</v>
      </c>
      <c r="DR23" s="306">
        <v>1.1765095119933831</v>
      </c>
      <c r="DS23" s="169">
        <v>910.37445421694611</v>
      </c>
      <c r="DT23" s="306">
        <v>1.166394779771615</v>
      </c>
      <c r="DU23" s="169">
        <v>915.23865968098505</v>
      </c>
      <c r="DV23" s="306">
        <v>1.0996234703482899</v>
      </c>
      <c r="DW23" s="169">
        <v>897.18989730126214</v>
      </c>
      <c r="DX23" s="306">
        <v>1.0186504927975739</v>
      </c>
      <c r="DY23" s="169">
        <v>859.94032387928064</v>
      </c>
      <c r="DZ23" s="306">
        <v>0.98221757322175729</v>
      </c>
      <c r="EA23" s="169">
        <v>841.37953987176422</v>
      </c>
      <c r="EB23" s="306">
        <v>0.94462209302325584</v>
      </c>
      <c r="EC23" s="169">
        <v>831.90713975758342</v>
      </c>
      <c r="ED23" s="306">
        <v>0.97983929875821763</v>
      </c>
      <c r="EE23" s="169">
        <v>858.53226440284845</v>
      </c>
    </row>
    <row r="24" spans="1:135" ht="16.5" thickBot="1" x14ac:dyDescent="0.3">
      <c r="A24" s="606" t="s">
        <v>36</v>
      </c>
      <c r="B24" s="306">
        <v>2.1853333333333333</v>
      </c>
      <c r="C24" s="306">
        <v>322.42961237626099</v>
      </c>
      <c r="D24" s="306">
        <v>2.508</v>
      </c>
      <c r="E24" s="306">
        <v>370.03666923718544</v>
      </c>
      <c r="F24" s="306">
        <v>2.7546666666666666</v>
      </c>
      <c r="G24" s="306">
        <v>406.43049369698304</v>
      </c>
      <c r="H24" s="306">
        <v>3.1216577540106951</v>
      </c>
      <c r="I24" s="306">
        <v>459.34908169528342</v>
      </c>
      <c r="J24" s="306">
        <v>3.6823687752355316</v>
      </c>
      <c r="K24" s="306">
        <v>538.23515525408789</v>
      </c>
      <c r="L24" s="306">
        <v>4.1522911051212938</v>
      </c>
      <c r="M24" s="306">
        <v>606.10471978722398</v>
      </c>
      <c r="N24" s="306">
        <v>13.063197026022305</v>
      </c>
      <c r="O24" s="306">
        <v>691.28594136069626</v>
      </c>
      <c r="P24" s="306">
        <v>6.4716636197440582</v>
      </c>
      <c r="Q24" s="306">
        <v>696.40074912261377</v>
      </c>
      <c r="R24" s="306">
        <v>6.1079365079365076</v>
      </c>
      <c r="S24" s="306">
        <v>756.99154876379032</v>
      </c>
      <c r="T24" s="306">
        <v>4.8243080625752102</v>
      </c>
      <c r="U24" s="306">
        <v>788.66401221258718</v>
      </c>
      <c r="V24" s="306">
        <v>4.2840352595494613</v>
      </c>
      <c r="W24" s="306">
        <v>860.46804425489051</v>
      </c>
      <c r="X24" s="306">
        <v>4.4722222222222223</v>
      </c>
      <c r="Y24" s="306">
        <v>950.17390346390528</v>
      </c>
      <c r="Z24" s="306">
        <v>3.9976544175136826</v>
      </c>
      <c r="AA24" s="306">
        <v>1005.8466187186227</v>
      </c>
      <c r="AB24" s="306">
        <v>3.5029742233972239</v>
      </c>
      <c r="AC24" s="306">
        <v>1042.6338899293369</v>
      </c>
      <c r="AD24" s="306">
        <v>3.6101281269066505</v>
      </c>
      <c r="AE24" s="306">
        <v>1164.0122125871485</v>
      </c>
      <c r="AF24" s="306">
        <v>3.2908027644869748</v>
      </c>
      <c r="AG24" s="306">
        <v>1217.7176940872821</v>
      </c>
      <c r="AH24" s="306">
        <v>3.1413359148112296</v>
      </c>
      <c r="AI24" s="306">
        <v>1276.734706724792</v>
      </c>
      <c r="AJ24" s="306">
        <v>2.8539614561027835</v>
      </c>
      <c r="AK24" s="306">
        <v>1310.9645740545475</v>
      </c>
      <c r="AL24" s="306">
        <v>2.5186403508771931</v>
      </c>
      <c r="AM24" s="306">
        <v>1355.6207802835963</v>
      </c>
      <c r="AN24" s="306">
        <v>2.3537812398571893</v>
      </c>
      <c r="AO24" s="306">
        <v>1426.6379188240664</v>
      </c>
      <c r="AP24" s="306">
        <v>2.1377347751849745</v>
      </c>
      <c r="AQ24" s="306">
        <v>1477.7859964432414</v>
      </c>
      <c r="AR24" s="306">
        <v>2.2002824858757064</v>
      </c>
      <c r="AS24" s="306">
        <v>1532.2783714452084</v>
      </c>
      <c r="AT24" s="306">
        <v>2.1226611226611225</v>
      </c>
      <c r="AU24" s="306">
        <v>1606.836530743929</v>
      </c>
      <c r="AV24" s="306">
        <v>2.0980294337740086</v>
      </c>
      <c r="AW24" s="306">
        <v>1654.6403109803118</v>
      </c>
      <c r="AX24" s="306">
        <v>1.9058070416095108</v>
      </c>
      <c r="AY24" s="306">
        <v>1639.8860578209346</v>
      </c>
      <c r="AZ24" s="306">
        <v>1.7443064182194616</v>
      </c>
      <c r="BA24" s="306">
        <v>1657.394438236729</v>
      </c>
      <c r="BB24" s="306">
        <v>1.6632114218658323</v>
      </c>
      <c r="BC24" s="306">
        <v>1672.9355848979399</v>
      </c>
      <c r="BD24" s="306">
        <v>1.6232075471698113</v>
      </c>
      <c r="BE24" s="306">
        <v>1692.411199068318</v>
      </c>
      <c r="BF24" s="306">
        <v>1.4140611796518505</v>
      </c>
      <c r="BG24" s="306">
        <v>1645.9844824601437</v>
      </c>
      <c r="BH24" s="306">
        <v>1.3534733441033926</v>
      </c>
      <c r="BI24" s="306">
        <v>1648.1484395901857</v>
      </c>
      <c r="BJ24" s="306">
        <v>1.2801232665639446</v>
      </c>
      <c r="BK24" s="306">
        <v>1634.3778033081003</v>
      </c>
      <c r="BL24" s="306">
        <v>1.243547418967587</v>
      </c>
      <c r="BM24" s="306">
        <v>1630.2466124234745</v>
      </c>
      <c r="BN24" s="306">
        <v>1.1800899724278044</v>
      </c>
      <c r="BO24" s="306">
        <v>1599.7544892274282</v>
      </c>
      <c r="BP24" s="306">
        <v>1.0643960286817429</v>
      </c>
      <c r="BQ24" s="306">
        <v>1518.507735163123</v>
      </c>
      <c r="BR24" s="306">
        <v>0.97377529286474973</v>
      </c>
      <c r="BS24" s="306">
        <v>1439.0314914779433</v>
      </c>
      <c r="BT24" s="306">
        <v>0.90460906406470665</v>
      </c>
      <c r="BU24" s="306">
        <v>1386.1129034796431</v>
      </c>
      <c r="BV24" s="306">
        <v>0.83202742409402541</v>
      </c>
      <c r="BW24" s="306">
        <v>1336.9320596150517</v>
      </c>
      <c r="BX24" s="306">
        <v>0.79419807395077879</v>
      </c>
      <c r="BY24" s="306">
        <v>1314.1121480618813</v>
      </c>
      <c r="BZ24" s="306">
        <v>0.79438579654510555</v>
      </c>
      <c r="CA24" s="306">
        <v>1302.702192285296</v>
      </c>
      <c r="CB24" s="306">
        <v>0.77649851632047473</v>
      </c>
      <c r="CC24" s="306">
        <v>1286.964322248627</v>
      </c>
      <c r="CD24" s="306">
        <v>0.75399811853245535</v>
      </c>
      <c r="CE24" s="306">
        <v>1261.3902834390394</v>
      </c>
      <c r="CF24" s="306">
        <v>0.75171451819132862</v>
      </c>
      <c r="CG24" s="306">
        <v>1272.2100690892494</v>
      </c>
      <c r="CH24" s="306">
        <v>0.78713995458348274</v>
      </c>
      <c r="CI24" s="306">
        <v>1295.6201507687949</v>
      </c>
      <c r="CJ24" s="306">
        <v>0.77822869419909291</v>
      </c>
      <c r="CK24" s="306">
        <v>1282.6364079885427</v>
      </c>
      <c r="CL24" s="306">
        <v>0.76420317766008672</v>
      </c>
      <c r="CM24" s="306">
        <v>1248.9967107851623</v>
      </c>
      <c r="CN24" s="306">
        <v>0.75358996017859303</v>
      </c>
      <c r="CO24" s="306">
        <v>1228.5374797374923</v>
      </c>
      <c r="CP24" s="306">
        <v>0.74581898671913427</v>
      </c>
      <c r="CQ24" s="306">
        <v>1193.1272721549865</v>
      </c>
      <c r="CR24" s="306">
        <v>0.81552014509651505</v>
      </c>
      <c r="CS24" s="306">
        <v>1238.3736485104105</v>
      </c>
      <c r="CT24" s="306">
        <v>0.91032125768967875</v>
      </c>
      <c r="CU24" s="306">
        <v>1309.9809571772557</v>
      </c>
      <c r="CV24" s="306">
        <v>0.99191030371842182</v>
      </c>
      <c r="CW24" s="306">
        <v>1374.8996710785163</v>
      </c>
      <c r="CX24" s="306">
        <v>1.0388463802236609</v>
      </c>
      <c r="CY24" s="169">
        <v>1388.8670307360601</v>
      </c>
      <c r="CZ24" s="306">
        <v>1.0854790419161677</v>
      </c>
      <c r="DA24" s="169">
        <v>1426.4411954486079</v>
      </c>
      <c r="DB24" s="306">
        <v>1.1250377529447297</v>
      </c>
      <c r="DC24" s="169">
        <v>1465.5891471648226</v>
      </c>
      <c r="DD24" s="306">
        <v>1.1325282788138185</v>
      </c>
      <c r="DE24" s="169">
        <v>1457.5234887710296</v>
      </c>
      <c r="DF24" s="306">
        <v>1.1734248284466624</v>
      </c>
      <c r="DG24" s="169">
        <v>1480.1466769487417</v>
      </c>
      <c r="DH24" s="306">
        <v>1.1504561620535023</v>
      </c>
      <c r="DI24" s="169">
        <v>1463.6219134102391</v>
      </c>
      <c r="DJ24" s="306">
        <v>1.1292134831460674</v>
      </c>
      <c r="DK24" s="169">
        <v>1463.031743283864</v>
      </c>
      <c r="DL24" s="306">
        <v>1.1590490797546011</v>
      </c>
      <c r="DM24" s="169">
        <v>1486.6385483388678</v>
      </c>
      <c r="DN24" s="306">
        <v>1.2231847535044889</v>
      </c>
      <c r="DO24" s="169">
        <v>1527.7537338096663</v>
      </c>
      <c r="DP24" s="306">
        <v>1.2776621297037629</v>
      </c>
      <c r="DQ24" s="169">
        <v>1569.655812782298</v>
      </c>
      <c r="DR24" s="306">
        <v>1.3389942291838417</v>
      </c>
      <c r="DS24" s="169">
        <v>1597.5905320973861</v>
      </c>
      <c r="DT24" s="306">
        <v>1.2876886417791897</v>
      </c>
      <c r="DU24" s="169">
        <v>1594.6396814655106</v>
      </c>
      <c r="DV24" s="306">
        <v>1.2070881513740801</v>
      </c>
      <c r="DW24" s="169">
        <v>1581.2624919343414</v>
      </c>
      <c r="DX24" s="306">
        <v>1.1183288024037774</v>
      </c>
      <c r="DY24" s="169">
        <v>1537.5899025825845</v>
      </c>
      <c r="DZ24" s="306">
        <v>1.0858356940509915</v>
      </c>
      <c r="EA24" s="169">
        <v>1508.0813962638297</v>
      </c>
      <c r="EB24" s="306">
        <v>1.0231692180388912</v>
      </c>
      <c r="EC24" s="169">
        <v>1459.4907225256134</v>
      </c>
      <c r="ED24" s="306">
        <v>0.98912751677852351</v>
      </c>
      <c r="EE24" s="169">
        <v>1449.6545537526952</v>
      </c>
    </row>
    <row r="25" spans="1:135" ht="16.5" thickBot="1" x14ac:dyDescent="0.3">
      <c r="A25" s="606" t="s">
        <v>37</v>
      </c>
      <c r="B25" s="306">
        <v>1.1656050955414012</v>
      </c>
      <c r="C25" s="306">
        <v>450.37161811111901</v>
      </c>
      <c r="D25" s="306">
        <v>1.0228459530026111</v>
      </c>
      <c r="E25" s="306">
        <v>428.49564394664452</v>
      </c>
      <c r="F25" s="306">
        <v>1.0464963981663393</v>
      </c>
      <c r="G25" s="306">
        <v>436.9725839353784</v>
      </c>
      <c r="H25" s="306">
        <v>1.101894186806009</v>
      </c>
      <c r="I25" s="306">
        <v>461.30960519335628</v>
      </c>
      <c r="J25" s="306">
        <v>1.0922299431459255</v>
      </c>
      <c r="K25" s="306">
        <v>472.79449162970542</v>
      </c>
      <c r="L25" s="306">
        <v>1.1523687580025608</v>
      </c>
      <c r="M25" s="306">
        <v>492.20941870067651</v>
      </c>
      <c r="N25" s="306">
        <v>1.2428010471204189</v>
      </c>
      <c r="O25" s="306">
        <v>519.28093672921375</v>
      </c>
      <c r="P25" s="306">
        <v>1.3272727272727274</v>
      </c>
      <c r="Q25" s="306">
        <v>538.9693134772408</v>
      </c>
      <c r="R25" s="306">
        <v>1.3202614379084967</v>
      </c>
      <c r="S25" s="306">
        <v>552.36834765298147</v>
      </c>
      <c r="T25" s="306">
        <v>1.3008285532186106</v>
      </c>
      <c r="U25" s="306">
        <v>558.11079087115604</v>
      </c>
      <c r="V25" s="306">
        <v>1.1946955997588908</v>
      </c>
      <c r="W25" s="306">
        <v>541.97725992485607</v>
      </c>
      <c r="X25" s="306">
        <v>1.3092909535452322</v>
      </c>
      <c r="Y25" s="306">
        <v>585.72920825380504</v>
      </c>
      <c r="Z25" s="306">
        <v>1.2966252220248669</v>
      </c>
      <c r="AA25" s="306">
        <v>598.85479275248974</v>
      </c>
      <c r="AB25" s="306">
        <v>1.278164924506388</v>
      </c>
      <c r="AC25" s="306">
        <v>601.86273920010501</v>
      </c>
      <c r="AD25" s="306">
        <v>1.3964784456587735</v>
      </c>
      <c r="AE25" s="306">
        <v>628.9342572286422</v>
      </c>
      <c r="AF25" s="306">
        <v>1.5220165922144224</v>
      </c>
      <c r="AG25" s="306">
        <v>652.17747977839645</v>
      </c>
      <c r="AH25" s="306">
        <v>1.5450563204005006</v>
      </c>
      <c r="AI25" s="306">
        <v>675.14725265109462</v>
      </c>
      <c r="AJ25" s="306">
        <v>1.4724362774155306</v>
      </c>
      <c r="AK25" s="306">
        <v>679.24899780693363</v>
      </c>
      <c r="AL25" s="306">
        <v>1.4800462695199537</v>
      </c>
      <c r="AM25" s="306">
        <v>699.75772358612846</v>
      </c>
      <c r="AN25" s="306">
        <v>1.4433333333333334</v>
      </c>
      <c r="AO25" s="306">
        <v>710.42226099130983</v>
      </c>
      <c r="AP25" s="306">
        <v>1.3770405476566614</v>
      </c>
      <c r="AQ25" s="306">
        <v>715.07090550126065</v>
      </c>
      <c r="AR25" s="306">
        <v>1.3409436834094368</v>
      </c>
      <c r="AS25" s="306">
        <v>722.72749645882664</v>
      </c>
      <c r="AT25" s="306">
        <v>1.305940594059406</v>
      </c>
      <c r="AU25" s="306">
        <v>721.36024807354704</v>
      </c>
      <c r="AV25" s="306">
        <v>1.3008329250367467</v>
      </c>
      <c r="AW25" s="306">
        <v>726.00889258349787</v>
      </c>
      <c r="AX25" s="306">
        <v>1.3975782038345106</v>
      </c>
      <c r="AY25" s="306">
        <v>757.45560544493003</v>
      </c>
      <c r="AZ25" s="306">
        <v>1.2605042016806722</v>
      </c>
      <c r="BA25" s="306">
        <v>738.31412805101479</v>
      </c>
      <c r="BB25" s="306">
        <v>1.2173515981735159</v>
      </c>
      <c r="BC25" s="306">
        <v>729.01683903111314</v>
      </c>
      <c r="BD25" s="306">
        <v>1.230349840981372</v>
      </c>
      <c r="BE25" s="306">
        <v>740.50172546746228</v>
      </c>
      <c r="BF25" s="306">
        <v>1.2265217391304348</v>
      </c>
      <c r="BG25" s="306">
        <v>771.40153897478251</v>
      </c>
      <c r="BH25" s="306">
        <v>1.1740041928721174</v>
      </c>
      <c r="BI25" s="306">
        <v>765.65909575660794</v>
      </c>
      <c r="BJ25" s="306">
        <v>1.130417172944512</v>
      </c>
      <c r="BK25" s="306">
        <v>763.19804866310449</v>
      </c>
      <c r="BL25" s="306">
        <v>1.1030595813204509</v>
      </c>
      <c r="BM25" s="306">
        <v>749.252115133252</v>
      </c>
      <c r="BN25" s="306">
        <v>1.0664322000781554</v>
      </c>
      <c r="BO25" s="306">
        <v>746.24416868563685</v>
      </c>
      <c r="BP25" s="306">
        <v>1.0488837567359508</v>
      </c>
      <c r="BQ25" s="306">
        <v>745.15036997741311</v>
      </c>
      <c r="BR25" s="306">
        <v>1.0948374760994264</v>
      </c>
      <c r="BS25" s="306">
        <v>782.88642541113165</v>
      </c>
      <c r="BT25" s="306">
        <v>1.1021566401816119</v>
      </c>
      <c r="BU25" s="306">
        <v>796.55890926392817</v>
      </c>
      <c r="BV25" s="306">
        <v>1.1091736163760424</v>
      </c>
      <c r="BW25" s="306">
        <v>800.11375506565537</v>
      </c>
      <c r="BX25" s="306">
        <v>1.0960451977401129</v>
      </c>
      <c r="BY25" s="306">
        <v>795.73856023276039</v>
      </c>
      <c r="BZ25" s="306">
        <v>1.055595667870036</v>
      </c>
      <c r="CA25" s="306">
        <v>799.56685571154344</v>
      </c>
      <c r="CB25" s="306">
        <v>1.0992592592592592</v>
      </c>
      <c r="CC25" s="306">
        <v>811.59864150200428</v>
      </c>
      <c r="CD25" s="306">
        <v>1.1211552888222056</v>
      </c>
      <c r="CE25" s="306">
        <v>817.34108472017886</v>
      </c>
      <c r="CF25" s="306">
        <v>1.095642540620384</v>
      </c>
      <c r="CG25" s="306">
        <v>811.32519182494855</v>
      </c>
      <c r="CH25" s="306">
        <v>1.0521091811414391</v>
      </c>
      <c r="CI25" s="306">
        <v>811.59864150200428</v>
      </c>
      <c r="CJ25" s="306">
        <v>1.0814285714285714</v>
      </c>
      <c r="CK25" s="306">
        <v>828.00562212536033</v>
      </c>
      <c r="CL25" s="306">
        <v>1.1082049444643498</v>
      </c>
      <c r="CM25" s="306">
        <v>845.77985113399586</v>
      </c>
      <c r="CN25" s="306">
        <v>1.1525547445255475</v>
      </c>
      <c r="CO25" s="306">
        <v>863.55408014263128</v>
      </c>
      <c r="CP25" s="306">
        <v>1.2096005862953463</v>
      </c>
      <c r="CQ25" s="306">
        <v>902.65738396162965</v>
      </c>
      <c r="CR25" s="306">
        <v>1.2249541284403669</v>
      </c>
      <c r="CS25" s="306">
        <v>912.77502201269897</v>
      </c>
      <c r="CT25" s="306">
        <v>1.1781348236115963</v>
      </c>
      <c r="CU25" s="306">
        <v>922.3457607096567</v>
      </c>
      <c r="CV25" s="306">
        <v>1.1781668383110195</v>
      </c>
      <c r="CW25" s="306">
        <v>938.47929165595656</v>
      </c>
      <c r="CX25" s="306">
        <v>1.1701982228298018</v>
      </c>
      <c r="CY25" s="169">
        <v>936.29169423950918</v>
      </c>
      <c r="CZ25" s="306">
        <v>1.1797250859106529</v>
      </c>
      <c r="DA25" s="169">
        <v>938.75274133301252</v>
      </c>
      <c r="DB25" s="306">
        <v>1.1443228454172367</v>
      </c>
      <c r="DC25" s="169">
        <v>914.96261942914646</v>
      </c>
      <c r="DD25" s="306">
        <v>1.1037735849056605</v>
      </c>
      <c r="DE25" s="169">
        <v>895.82114203523122</v>
      </c>
      <c r="DF25" s="306">
        <v>1.1244563399130143</v>
      </c>
      <c r="DG25" s="169">
        <v>919.06436458498547</v>
      </c>
      <c r="DH25" s="306">
        <v>1.1277384563532187</v>
      </c>
      <c r="DI25" s="169">
        <v>914.96261942914646</v>
      </c>
      <c r="DJ25" s="306">
        <v>1.1101752021563343</v>
      </c>
      <c r="DK25" s="169">
        <v>901.01668589929398</v>
      </c>
      <c r="DL25" s="306">
        <v>1.0861955085865258</v>
      </c>
      <c r="DM25" s="169">
        <v>899.37598783695842</v>
      </c>
      <c r="DN25" s="306">
        <v>1.0290979631425801</v>
      </c>
      <c r="DO25" s="169">
        <v>870.39032206902971</v>
      </c>
      <c r="DP25" s="306">
        <v>1.0085497150094997</v>
      </c>
      <c r="DQ25" s="169">
        <v>870.93722142314152</v>
      </c>
      <c r="DR25" s="306">
        <v>0.92275068161163287</v>
      </c>
      <c r="DS25" s="169">
        <v>832.92771631236701</v>
      </c>
      <c r="DT25" s="306">
        <v>0.90473337327741166</v>
      </c>
      <c r="DU25" s="169">
        <v>825.81802470891296</v>
      </c>
      <c r="DV25" s="306">
        <v>0.83871924103172246</v>
      </c>
      <c r="DW25" s="169">
        <v>773.58913639123</v>
      </c>
      <c r="DX25" s="306">
        <v>0.7966200466200466</v>
      </c>
      <c r="DY25" s="169">
        <v>747.61141707091645</v>
      </c>
      <c r="DZ25" s="306">
        <v>0.80753504672897192</v>
      </c>
      <c r="EA25" s="169">
        <v>756.08835705965032</v>
      </c>
      <c r="EB25" s="306">
        <v>0.79085348092047769</v>
      </c>
      <c r="EC25" s="169">
        <v>742.41587320685369</v>
      </c>
      <c r="ED25" s="306">
        <v>0.80005977286312013</v>
      </c>
      <c r="EE25" s="169">
        <v>732.0247854787284</v>
      </c>
    </row>
    <row r="26" spans="1:135" ht="16.5" thickBot="1" x14ac:dyDescent="0.3">
      <c r="A26" s="606" t="s">
        <v>22</v>
      </c>
      <c r="B26" s="306">
        <v>1.3281733746130031</v>
      </c>
      <c r="C26" s="306">
        <v>230.48745934445532</v>
      </c>
      <c r="D26" s="306">
        <v>1.3292486294743631</v>
      </c>
      <c r="E26" s="306">
        <v>233.11723896892278</v>
      </c>
      <c r="F26" s="306">
        <v>1.3383204633204633</v>
      </c>
      <c r="G26" s="306">
        <v>235.23802898865461</v>
      </c>
      <c r="H26" s="306">
        <v>1.3713657079993713</v>
      </c>
      <c r="I26" s="306">
        <v>246.74684949573268</v>
      </c>
      <c r="J26" s="306">
        <v>1.439815526518063</v>
      </c>
      <c r="K26" s="306">
        <v>264.84425766411101</v>
      </c>
      <c r="L26" s="306">
        <v>1.5370088333840999</v>
      </c>
      <c r="M26" s="306">
        <v>285.37350505511512</v>
      </c>
      <c r="N26" s="306">
        <v>1.7218574108818012</v>
      </c>
      <c r="O26" s="306">
        <v>311.41680649742199</v>
      </c>
      <c r="P26" s="306">
        <v>1.790400972053463</v>
      </c>
      <c r="Q26" s="306">
        <v>333.33163670131751</v>
      </c>
      <c r="R26" s="306">
        <v>1.8071775261067804</v>
      </c>
      <c r="S26" s="306">
        <v>347.44195963259995</v>
      </c>
      <c r="T26" s="306">
        <v>1.8882069267864972</v>
      </c>
      <c r="U26" s="306">
        <v>365.36970459939971</v>
      </c>
      <c r="V26" s="306">
        <v>1.782897411573384</v>
      </c>
      <c r="W26" s="306">
        <v>372.01484666122616</v>
      </c>
      <c r="X26" s="306">
        <v>1.9566993464052287</v>
      </c>
      <c r="Y26" s="306">
        <v>406.34336778061868</v>
      </c>
      <c r="Z26" s="306">
        <v>1.9753521126760563</v>
      </c>
      <c r="AA26" s="306">
        <v>428.31475238504044</v>
      </c>
      <c r="AB26" s="306">
        <v>1.9669673330082886</v>
      </c>
      <c r="AC26" s="306">
        <v>456.30918064550059</v>
      </c>
      <c r="AD26" s="306">
        <v>2.1619433198380569</v>
      </c>
      <c r="AE26" s="306">
        <v>498.30082303619088</v>
      </c>
      <c r="AF26" s="306">
        <v>2.2523047064531783</v>
      </c>
      <c r="AG26" s="306">
        <v>525.05105448507504</v>
      </c>
      <c r="AH26" s="306">
        <v>2.3030412309171777</v>
      </c>
      <c r="AI26" s="306">
        <v>541.76287984056182</v>
      </c>
      <c r="AJ26" s="306">
        <v>2.2334402933761175</v>
      </c>
      <c r="AK26" s="306">
        <v>551.09435592738191</v>
      </c>
      <c r="AL26" s="306">
        <v>2.1713645099295324</v>
      </c>
      <c r="AM26" s="306">
        <v>575.07342175048313</v>
      </c>
      <c r="AN26" s="306">
        <v>2.0790725326991675</v>
      </c>
      <c r="AO26" s="306">
        <v>593.31221592017687</v>
      </c>
      <c r="AP26" s="306">
        <v>1.9682193770997911</v>
      </c>
      <c r="AQ26" s="306">
        <v>612.93659290276207</v>
      </c>
      <c r="AR26" s="306">
        <v>1.8813199864268748</v>
      </c>
      <c r="AS26" s="306">
        <v>627.10347023457064</v>
      </c>
      <c r="AT26" s="306">
        <v>1.8530967689427851</v>
      </c>
      <c r="AU26" s="306">
        <v>643.84357279032054</v>
      </c>
      <c r="AV26" s="306">
        <v>1.7834532930887703</v>
      </c>
      <c r="AW26" s="306">
        <v>651.61980286267067</v>
      </c>
      <c r="AX26" s="306">
        <v>1.7496199452721193</v>
      </c>
      <c r="AY26" s="306">
        <v>650.88459565583037</v>
      </c>
      <c r="AZ26" s="306">
        <v>1.6185107863604733</v>
      </c>
      <c r="BA26" s="306">
        <v>657.67112371897213</v>
      </c>
      <c r="BB26" s="306">
        <v>1.5486234897999605</v>
      </c>
      <c r="BC26" s="306">
        <v>663.29828657132725</v>
      </c>
      <c r="BD26" s="306">
        <v>1.473136270682283</v>
      </c>
      <c r="BE26" s="306">
        <v>672.2056046542009</v>
      </c>
      <c r="BF26" s="306">
        <v>1.3484848484848484</v>
      </c>
      <c r="BG26" s="306">
        <v>671.95110985183317</v>
      </c>
      <c r="BH26" s="306">
        <v>1.280590262817751</v>
      </c>
      <c r="BI26" s="306">
        <v>672.3752678557795</v>
      </c>
      <c r="BJ26" s="306">
        <v>1.2360770395114569</v>
      </c>
      <c r="BK26" s="306">
        <v>669.66065663052279</v>
      </c>
      <c r="BL26" s="306">
        <v>1.2225357894196727</v>
      </c>
      <c r="BM26" s="306">
        <v>673.73257346840785</v>
      </c>
      <c r="BN26" s="306">
        <v>1.1771647735654227</v>
      </c>
      <c r="BO26" s="306">
        <v>676.95617429840024</v>
      </c>
      <c r="BP26" s="306">
        <v>1.157754265560957</v>
      </c>
      <c r="BQ26" s="306">
        <v>686.90974879100827</v>
      </c>
      <c r="BR26" s="306">
        <v>1.1177800332164607</v>
      </c>
      <c r="BS26" s="306">
        <v>685.12828517443359</v>
      </c>
      <c r="BT26" s="306">
        <v>1.0933399467917211</v>
      </c>
      <c r="BU26" s="306">
        <v>685.63727477916916</v>
      </c>
      <c r="BV26" s="306">
        <v>1.0662743203478413</v>
      </c>
      <c r="BW26" s="306">
        <v>686.51386798732506</v>
      </c>
      <c r="BX26" s="306">
        <v>1.0406179482728692</v>
      </c>
      <c r="BY26" s="306">
        <v>678.08726230892387</v>
      </c>
      <c r="BZ26" s="306">
        <v>1.0495699018159701</v>
      </c>
      <c r="CA26" s="306">
        <v>683.14888115601718</v>
      </c>
      <c r="CB26" s="306">
        <v>1.0469085905924842</v>
      </c>
      <c r="CC26" s="306">
        <v>688.52154920600447</v>
      </c>
      <c r="CD26" s="306">
        <v>1.0539284648505776</v>
      </c>
      <c r="CE26" s="306">
        <v>699.06894490413754</v>
      </c>
      <c r="CF26" s="306">
        <v>1.0338213023725391</v>
      </c>
      <c r="CG26" s="306">
        <v>694.94047366572613</v>
      </c>
      <c r="CH26" s="306">
        <v>1.0446492446239952</v>
      </c>
      <c r="CI26" s="306">
        <v>701.95321933097273</v>
      </c>
      <c r="CJ26" s="306">
        <v>1.085751535032383</v>
      </c>
      <c r="CK26" s="306">
        <v>730.03247919222213</v>
      </c>
      <c r="CL26" s="306">
        <v>1.1134194747065282</v>
      </c>
      <c r="CM26" s="306">
        <v>745.61321653718539</v>
      </c>
      <c r="CN26" s="306">
        <v>1.119323428187694</v>
      </c>
      <c r="CO26" s="306">
        <v>754.12465381637583</v>
      </c>
      <c r="CP26" s="306">
        <v>1.1576023391812866</v>
      </c>
      <c r="CQ26" s="306">
        <v>783.64605089104293</v>
      </c>
      <c r="CR26" s="306">
        <v>1.1734727482298699</v>
      </c>
      <c r="CS26" s="306">
        <v>806.06987069967408</v>
      </c>
      <c r="CT26" s="306">
        <v>1.2157744851211358</v>
      </c>
      <c r="CU26" s="306">
        <v>832.96148814987373</v>
      </c>
      <c r="CV26" s="306">
        <v>1.2845300449540149</v>
      </c>
      <c r="CW26" s="306">
        <v>880.72167939423457</v>
      </c>
      <c r="CX26" s="306">
        <v>1.3362303319878079</v>
      </c>
      <c r="CY26" s="169">
        <v>917.3406537349374</v>
      </c>
      <c r="CZ26" s="306">
        <v>1.3962885738115096</v>
      </c>
      <c r="DA26" s="169">
        <v>946.80549640907827</v>
      </c>
      <c r="DB26" s="306">
        <v>1.4210853098224265</v>
      </c>
      <c r="DC26" s="169">
        <v>970.81283943244273</v>
      </c>
      <c r="DD26" s="306">
        <v>1.4142675263871207</v>
      </c>
      <c r="DE26" s="169">
        <v>973.75366825980416</v>
      </c>
      <c r="DF26" s="306">
        <v>1.4110508858506594</v>
      </c>
      <c r="DG26" s="169">
        <v>986.421853977669</v>
      </c>
      <c r="DH26" s="306">
        <v>1.4748128255208333</v>
      </c>
      <c r="DI26" s="169">
        <v>1024.907123535736</v>
      </c>
      <c r="DJ26" s="306">
        <v>1.5188930067676443</v>
      </c>
      <c r="DK26" s="169">
        <v>1066.1918359198487</v>
      </c>
      <c r="DL26" s="306">
        <v>1.4894449393810281</v>
      </c>
      <c r="DM26" s="169">
        <v>1087.3431817166411</v>
      </c>
      <c r="DN26" s="306">
        <v>1.5029202063106797</v>
      </c>
      <c r="DO26" s="169">
        <v>1120.5971692260362</v>
      </c>
      <c r="DP26" s="306">
        <v>1.5165922981739097</v>
      </c>
      <c r="DQ26" s="169">
        <v>1143.6996418409815</v>
      </c>
      <c r="DR26" s="306">
        <v>1.4603976473135352</v>
      </c>
      <c r="DS26" s="169">
        <v>1144.4348490478219</v>
      </c>
      <c r="DT26" s="306">
        <v>1.4400827895881569</v>
      </c>
      <c r="DU26" s="169">
        <v>1160.8073480001517</v>
      </c>
      <c r="DV26" s="306">
        <v>1.3940659266048816</v>
      </c>
      <c r="DW26" s="169">
        <v>1161.2032288038347</v>
      </c>
      <c r="DX26" s="306">
        <v>1.2943235086367431</v>
      </c>
      <c r="DY26" s="169">
        <v>1139.9387742059903</v>
      </c>
      <c r="DZ26" s="306">
        <v>1.220215159828612</v>
      </c>
      <c r="EA26" s="169">
        <v>1119.3529724144601</v>
      </c>
      <c r="EB26" s="306">
        <v>1.1708030941074574</v>
      </c>
      <c r="EC26" s="169">
        <v>1108.5228047136961</v>
      </c>
      <c r="ED26" s="306">
        <v>1.13185948968892</v>
      </c>
      <c r="EE26" s="169">
        <v>1098.8237250234561</v>
      </c>
    </row>
    <row r="27" spans="1:135" ht="16.5" thickBot="1" x14ac:dyDescent="0.3">
      <c r="A27" s="606" t="s">
        <v>38</v>
      </c>
      <c r="B27" s="306">
        <v>1.4943934760448523</v>
      </c>
      <c r="C27" s="306">
        <v>149.84979244883795</v>
      </c>
      <c r="D27" s="306">
        <v>1.4804305283757337</v>
      </c>
      <c r="E27" s="306">
        <v>154.65398088341871</v>
      </c>
      <c r="F27" s="306">
        <v>1.4384976525821596</v>
      </c>
      <c r="G27" s="306">
        <v>156.59609961229177</v>
      </c>
      <c r="H27" s="306">
        <v>1.4340309372156506</v>
      </c>
      <c r="I27" s="306">
        <v>161.09363772126099</v>
      </c>
      <c r="J27" s="306">
        <v>1.4635463546354635</v>
      </c>
      <c r="K27" s="306">
        <v>166.20447648145327</v>
      </c>
      <c r="L27" s="306">
        <v>1.471502590673575</v>
      </c>
      <c r="M27" s="306">
        <v>174.17738494735326</v>
      </c>
      <c r="N27" s="306">
        <v>1.4195918367346938</v>
      </c>
      <c r="O27" s="306">
        <v>177.75497207948786</v>
      </c>
      <c r="P27" s="306">
        <v>1.4734337827121333</v>
      </c>
      <c r="Q27" s="306">
        <v>189.9187683287455</v>
      </c>
      <c r="R27" s="306">
        <v>1.4659090909090908</v>
      </c>
      <c r="S27" s="306">
        <v>197.78946001944163</v>
      </c>
      <c r="T27" s="306">
        <v>1.4433962264150944</v>
      </c>
      <c r="U27" s="306">
        <v>203.30916588044931</v>
      </c>
      <c r="V27" s="306">
        <v>1.4392857142857143</v>
      </c>
      <c r="W27" s="306">
        <v>205.96680203574928</v>
      </c>
      <c r="X27" s="306">
        <v>1.528</v>
      </c>
      <c r="Y27" s="306">
        <v>214.75744470328002</v>
      </c>
      <c r="Z27" s="306">
        <v>1.5741935483870968</v>
      </c>
      <c r="AA27" s="306">
        <v>224.4680383476454</v>
      </c>
      <c r="AB27" s="306">
        <v>1.494579945799458</v>
      </c>
      <c r="AC27" s="306">
        <v>225.49020609968383</v>
      </c>
      <c r="AD27" s="306">
        <v>1.6098226466575716</v>
      </c>
      <c r="AE27" s="306">
        <v>241.2315894810761</v>
      </c>
      <c r="AF27" s="306">
        <v>1.634500991407799</v>
      </c>
      <c r="AG27" s="306">
        <v>252.78208507911069</v>
      </c>
      <c r="AH27" s="306">
        <v>1.6971279373368147</v>
      </c>
      <c r="AI27" s="306">
        <v>265.76361552999907</v>
      </c>
      <c r="AJ27" s="306">
        <v>1.6814720812182742</v>
      </c>
      <c r="AK27" s="306">
        <v>270.87445429019141</v>
      </c>
      <c r="AL27" s="306">
        <v>1.6543665436654367</v>
      </c>
      <c r="AM27" s="306">
        <v>274.96312529834523</v>
      </c>
      <c r="AN27" s="306">
        <v>1.613262910798122</v>
      </c>
      <c r="AO27" s="306">
        <v>280.99391503537214</v>
      </c>
      <c r="AP27" s="306">
        <v>1.6543990799309949</v>
      </c>
      <c r="AQ27" s="306">
        <v>294.07766226146441</v>
      </c>
      <c r="AR27" s="306">
        <v>1.5602798708288481</v>
      </c>
      <c r="AS27" s="306">
        <v>296.32643131594898</v>
      </c>
      <c r="AT27" s="306">
        <v>1.5111111111111111</v>
      </c>
      <c r="AU27" s="306">
        <v>298.88185069604515</v>
      </c>
      <c r="AV27" s="306">
        <v>1.4922071392659628</v>
      </c>
      <c r="AW27" s="306">
        <v>303.37938880501434</v>
      </c>
      <c r="AX27" s="306">
        <v>1.4689826302729529</v>
      </c>
      <c r="AY27" s="306">
        <v>302.5616546033836</v>
      </c>
      <c r="AZ27" s="306">
        <v>1.401713469776297</v>
      </c>
      <c r="BA27" s="306">
        <v>301.02840297532589</v>
      </c>
      <c r="BB27" s="306">
        <v>1.3397085610200363</v>
      </c>
      <c r="BC27" s="306">
        <v>300.72175264971435</v>
      </c>
      <c r="BD27" s="306">
        <v>1.3490480507706255</v>
      </c>
      <c r="BE27" s="306">
        <v>304.19712300664514</v>
      </c>
      <c r="BF27" s="306">
        <v>1.2194915254237289</v>
      </c>
      <c r="BG27" s="306">
        <v>294.17987903666818</v>
      </c>
      <c r="BH27" s="306">
        <v>1.1459765467044076</v>
      </c>
      <c r="BI27" s="306">
        <v>289.68234092769899</v>
      </c>
      <c r="BJ27" s="306">
        <v>1.0873076923076923</v>
      </c>
      <c r="BK27" s="306">
        <v>288.96682350127207</v>
      </c>
      <c r="BL27" s="306">
        <v>1.0415094339622641</v>
      </c>
      <c r="BM27" s="306">
        <v>282.11829956261442</v>
      </c>
      <c r="BN27" s="306">
        <v>1.0241635687732342</v>
      </c>
      <c r="BO27" s="306">
        <v>281.60721568659517</v>
      </c>
      <c r="BP27" s="306">
        <v>1.0090942160785741</v>
      </c>
      <c r="BQ27" s="306">
        <v>283.54933441546825</v>
      </c>
      <c r="BR27" s="306">
        <v>0.98088286409454295</v>
      </c>
      <c r="BS27" s="306">
        <v>288.45573962525282</v>
      </c>
      <c r="BT27" s="306">
        <v>1.0093135563987581</v>
      </c>
      <c r="BU27" s="306">
        <v>299.08628424645281</v>
      </c>
      <c r="BV27" s="306">
        <v>1.0112859097127223</v>
      </c>
      <c r="BW27" s="306">
        <v>302.25500427777206</v>
      </c>
      <c r="BX27" s="306">
        <v>1.0138140161725067</v>
      </c>
      <c r="BY27" s="306">
        <v>307.570276588372</v>
      </c>
      <c r="BZ27" s="306">
        <v>1.054391891891892</v>
      </c>
      <c r="CA27" s="306">
        <v>319.01855541120273</v>
      </c>
      <c r="CB27" s="306">
        <v>1.0957555178268252</v>
      </c>
      <c r="CC27" s="306">
        <v>329.85353358281043</v>
      </c>
      <c r="CD27" s="306">
        <v>1.1383412644459552</v>
      </c>
      <c r="CE27" s="306">
        <v>342.32398015767961</v>
      </c>
      <c r="CF27" s="306">
        <v>1.1817876344086022</v>
      </c>
      <c r="CG27" s="306">
        <v>359.49639839192571</v>
      </c>
      <c r="CH27" s="306">
        <v>1.3241834607366227</v>
      </c>
      <c r="CI27" s="306">
        <v>389.54813030185636</v>
      </c>
      <c r="CJ27" s="306">
        <v>1.4364855328158082</v>
      </c>
      <c r="CK27" s="306">
        <v>416.12449185485622</v>
      </c>
      <c r="CL27" s="306">
        <v>1.5079589671029359</v>
      </c>
      <c r="CM27" s="306">
        <v>435.75011269399471</v>
      </c>
      <c r="CN27" s="306">
        <v>1.6619565217391303</v>
      </c>
      <c r="CO27" s="306">
        <v>468.86834786004067</v>
      </c>
      <c r="CP27" s="306">
        <v>1.7756805807622504</v>
      </c>
      <c r="CQ27" s="306">
        <v>500.04446429721372</v>
      </c>
      <c r="CR27" s="306">
        <v>1.902307137707282</v>
      </c>
      <c r="CS27" s="306">
        <v>539.39792275069431</v>
      </c>
      <c r="CT27" s="306">
        <v>2.0276399716513112</v>
      </c>
      <c r="CU27" s="306">
        <v>584.88438771640574</v>
      </c>
      <c r="CV27" s="306">
        <v>2.0567327409432674</v>
      </c>
      <c r="CW27" s="306">
        <v>615.14055317674399</v>
      </c>
      <c r="CX27" s="306">
        <v>2.2133919513019951</v>
      </c>
      <c r="CY27" s="169">
        <v>669.00879370917085</v>
      </c>
      <c r="CZ27" s="306">
        <v>2.2136922565636423</v>
      </c>
      <c r="DA27" s="169">
        <v>680.86593963281689</v>
      </c>
      <c r="DB27" s="306">
        <v>2.2694649150913171</v>
      </c>
      <c r="DC27" s="169">
        <v>724.00141876883981</v>
      </c>
      <c r="DD27" s="306">
        <v>2.2541059807871089</v>
      </c>
      <c r="DE27" s="169">
        <v>743.52482283277436</v>
      </c>
      <c r="DF27" s="306">
        <v>2.2355927142430576</v>
      </c>
      <c r="DG27" s="169">
        <v>765.29699595119348</v>
      </c>
      <c r="DH27" s="306">
        <v>2.1796986067671309</v>
      </c>
      <c r="DI27" s="169">
        <v>783.59379871268186</v>
      </c>
      <c r="DJ27" s="306">
        <v>2.0585148255051169</v>
      </c>
      <c r="DK27" s="169">
        <v>801.89060147417035</v>
      </c>
      <c r="DL27" s="306">
        <v>1.9739621714566447</v>
      </c>
      <c r="DM27" s="169">
        <v>821.4140055381049</v>
      </c>
      <c r="DN27" s="306">
        <v>1.8874032371569318</v>
      </c>
      <c r="DO27" s="169">
        <v>822.4361732901433</v>
      </c>
      <c r="DP27" s="306">
        <v>1.7793764988009593</v>
      </c>
      <c r="DQ27" s="169">
        <v>834.29331921378946</v>
      </c>
      <c r="DR27" s="306">
        <v>1.6559689288634505</v>
      </c>
      <c r="DS27" s="169">
        <v>828.05809592635478</v>
      </c>
      <c r="DT27" s="306">
        <v>1.5135493651696039</v>
      </c>
      <c r="DU27" s="169">
        <v>816.40538355311639</v>
      </c>
      <c r="DV27" s="306">
        <v>1.3773156239077247</v>
      </c>
      <c r="DW27" s="169">
        <v>805.57040538150886</v>
      </c>
      <c r="DX27" s="306">
        <v>1.3137254901960784</v>
      </c>
      <c r="DY27" s="169">
        <v>808.12582476160503</v>
      </c>
      <c r="DZ27" s="306">
        <v>1.1813598166539343</v>
      </c>
      <c r="EA27" s="169">
        <v>790.34010587613579</v>
      </c>
      <c r="EB27" s="306">
        <v>1.171295601261072</v>
      </c>
      <c r="EC27" s="169">
        <v>797.49528014040493</v>
      </c>
      <c r="ED27" s="306">
        <v>1.0753917831427362</v>
      </c>
      <c r="EE27" s="169">
        <v>778.58517672769347</v>
      </c>
    </row>
    <row r="28" spans="1:135" ht="16.5" thickBot="1" x14ac:dyDescent="0.3">
      <c r="A28" s="606" t="s">
        <v>39</v>
      </c>
      <c r="B28" s="306">
        <v>1.6568627450980393</v>
      </c>
      <c r="C28" s="306">
        <v>382.28807329073118</v>
      </c>
      <c r="D28" s="306">
        <v>1.5754716981132075</v>
      </c>
      <c r="E28" s="306">
        <v>377.76395408018999</v>
      </c>
      <c r="F28" s="306">
        <v>1.7536585365853659</v>
      </c>
      <c r="G28" s="306">
        <v>406.60521404739012</v>
      </c>
      <c r="H28" s="306">
        <v>1.8146341463414635</v>
      </c>
      <c r="I28" s="306">
        <v>420.74308658033141</v>
      </c>
      <c r="J28" s="306">
        <v>1.845605700712589</v>
      </c>
      <c r="K28" s="306">
        <v>439.40507832381383</v>
      </c>
      <c r="L28" s="306">
        <v>1.6260683760683761</v>
      </c>
      <c r="M28" s="306">
        <v>430.35683990273145</v>
      </c>
      <c r="N28" s="306">
        <v>1.6457023060796645</v>
      </c>
      <c r="O28" s="306">
        <v>443.92919753435507</v>
      </c>
      <c r="P28" s="306">
        <v>1.7704590818363273</v>
      </c>
      <c r="Q28" s="306">
        <v>501.61171746875533</v>
      </c>
      <c r="R28" s="306">
        <v>1.7212806026365348</v>
      </c>
      <c r="S28" s="306">
        <v>516.8806198043319</v>
      </c>
      <c r="T28" s="306">
        <v>1.6161971830985915</v>
      </c>
      <c r="U28" s="306">
        <v>519.14267940960235</v>
      </c>
      <c r="V28" s="306">
        <v>1.6490630323679727</v>
      </c>
      <c r="W28" s="306">
        <v>547.41842447548493</v>
      </c>
      <c r="X28" s="306">
        <v>1.7908163265306123</v>
      </c>
      <c r="Y28" s="306">
        <v>595.48719108748514</v>
      </c>
      <c r="Z28" s="306">
        <v>1.704225352112676</v>
      </c>
      <c r="AA28" s="306">
        <v>615.84572753492057</v>
      </c>
      <c r="AB28" s="306">
        <v>1.6811145510835914</v>
      </c>
      <c r="AC28" s="306">
        <v>614.14918283096756</v>
      </c>
      <c r="AD28" s="306">
        <v>1.6553254437869822</v>
      </c>
      <c r="AE28" s="306">
        <v>632.81117457444998</v>
      </c>
      <c r="AF28" s="306">
        <v>1.7679640718562875</v>
      </c>
      <c r="AG28" s="306">
        <v>667.87309845614436</v>
      </c>
      <c r="AH28" s="306">
        <v>1.6105702364394994</v>
      </c>
      <c r="AI28" s="306">
        <v>654.86625572583841</v>
      </c>
      <c r="AJ28" s="306">
        <v>1.5147849462365592</v>
      </c>
      <c r="AK28" s="306">
        <v>637.33529378499122</v>
      </c>
      <c r="AL28" s="306">
        <v>1.4877734877734878</v>
      </c>
      <c r="AM28" s="306">
        <v>653.73522592320307</v>
      </c>
      <c r="AN28" s="306">
        <v>1.5440210249671484</v>
      </c>
      <c r="AO28" s="306">
        <v>664.48000904823834</v>
      </c>
      <c r="AP28" s="306">
        <v>1.5821656050955415</v>
      </c>
      <c r="AQ28" s="306">
        <v>702.36950743652096</v>
      </c>
      <c r="AR28" s="306">
        <v>1.3934611048478016</v>
      </c>
      <c r="AS28" s="306">
        <v>698.97641802861506</v>
      </c>
      <c r="AT28" s="306">
        <v>1.3369803063457331</v>
      </c>
      <c r="AU28" s="306">
        <v>691.05920941016802</v>
      </c>
      <c r="AV28" s="306">
        <v>1.303921568627451</v>
      </c>
      <c r="AW28" s="306">
        <v>676.92133687722674</v>
      </c>
      <c r="AX28" s="306">
        <v>1.1849173553719008</v>
      </c>
      <c r="AY28" s="306">
        <v>648.64559181134427</v>
      </c>
      <c r="AZ28" s="306">
        <v>1.0607787274453941</v>
      </c>
      <c r="BA28" s="306">
        <v>631.68014477181475</v>
      </c>
      <c r="BB28" s="306">
        <v>1.0091827364554637</v>
      </c>
      <c r="BC28" s="306">
        <v>621.50087654809704</v>
      </c>
      <c r="BD28" s="306">
        <v>1.0497237569060773</v>
      </c>
      <c r="BE28" s="306">
        <v>644.6869875021207</v>
      </c>
      <c r="BF28" s="306">
        <v>0.98570151921358351</v>
      </c>
      <c r="BG28" s="306">
        <v>623.7629361533676</v>
      </c>
      <c r="BH28" s="306">
        <v>0.91871295512277729</v>
      </c>
      <c r="BI28" s="306">
        <v>613.58366792965001</v>
      </c>
      <c r="BJ28" s="306">
        <v>0.93091537132987912</v>
      </c>
      <c r="BK28" s="306">
        <v>609.62506362042643</v>
      </c>
      <c r="BL28" s="306">
        <v>0.96628216503992903</v>
      </c>
      <c r="BM28" s="306">
        <v>615.84572753492057</v>
      </c>
      <c r="BN28" s="306">
        <v>0.91782006920415227</v>
      </c>
      <c r="BO28" s="306">
        <v>600.01131029802639</v>
      </c>
      <c r="BP28" s="306">
        <v>0.93617021276595747</v>
      </c>
      <c r="BQ28" s="306">
        <v>622.06639144941471</v>
      </c>
      <c r="BR28" s="306">
        <v>0.8470209339774557</v>
      </c>
      <c r="BS28" s="306">
        <v>594.92167618616747</v>
      </c>
      <c r="BT28" s="306">
        <v>0.80097087378640774</v>
      </c>
      <c r="BU28" s="306">
        <v>559.8597523044732</v>
      </c>
      <c r="BV28" s="306">
        <v>0.80278232405891981</v>
      </c>
      <c r="BW28" s="306">
        <v>554.7701181926144</v>
      </c>
      <c r="BX28" s="306">
        <v>0.8128654970760234</v>
      </c>
      <c r="BY28" s="306">
        <v>550.24599898207316</v>
      </c>
      <c r="BZ28" s="306">
        <v>0.83435047951176988</v>
      </c>
      <c r="CA28" s="306">
        <v>541.19776056099079</v>
      </c>
      <c r="CB28" s="306">
        <v>0.87108325872873771</v>
      </c>
      <c r="CC28" s="306">
        <v>550.24599898207316</v>
      </c>
      <c r="CD28" s="306">
        <v>0.87807097361237485</v>
      </c>
      <c r="CE28" s="306">
        <v>545.72187977153203</v>
      </c>
      <c r="CF28" s="306">
        <v>0.86578947368421055</v>
      </c>
      <c r="CG28" s="306">
        <v>558.16320760052031</v>
      </c>
      <c r="CH28" s="306">
        <v>0.90117860380779691</v>
      </c>
      <c r="CI28" s="306">
        <v>562.12181190974388</v>
      </c>
      <c r="CJ28" s="306">
        <v>0.89032258064516134</v>
      </c>
      <c r="CK28" s="306">
        <v>546.28739467284959</v>
      </c>
      <c r="CL28" s="306">
        <v>0.91929499072356213</v>
      </c>
      <c r="CM28" s="306">
        <v>560.42526720579087</v>
      </c>
      <c r="CN28" s="306">
        <v>0.91643709825528008</v>
      </c>
      <c r="CO28" s="306">
        <v>564.38387151501445</v>
      </c>
      <c r="CP28" s="306">
        <v>0.94250706880301605</v>
      </c>
      <c r="CQ28" s="306">
        <v>565.51490131764967</v>
      </c>
      <c r="CR28" s="306">
        <v>0.91181818181818186</v>
      </c>
      <c r="CS28" s="306">
        <v>567.21144602160268</v>
      </c>
      <c r="CT28" s="306">
        <v>0.95532319391634979</v>
      </c>
      <c r="CU28" s="306">
        <v>568.34247582423802</v>
      </c>
      <c r="CV28" s="306">
        <v>1.0181818181818181</v>
      </c>
      <c r="CW28" s="306">
        <v>570.03902052819092</v>
      </c>
      <c r="CX28" s="306">
        <v>1.0346585117227318</v>
      </c>
      <c r="CY28" s="169">
        <v>573.99762483741449</v>
      </c>
      <c r="CZ28" s="306">
        <v>1.0616649537512848</v>
      </c>
      <c r="DA28" s="169">
        <v>584.17689306113209</v>
      </c>
      <c r="DB28" s="306">
        <v>1.0543364681295715</v>
      </c>
      <c r="DC28" s="169">
        <v>570.60453542950859</v>
      </c>
      <c r="DD28" s="306">
        <v>1.0596094552929085</v>
      </c>
      <c r="DE28" s="169">
        <v>583.04586325849687</v>
      </c>
      <c r="DF28" s="306">
        <v>1.0145077720207254</v>
      </c>
      <c r="DG28" s="169">
        <v>553.63908838997907</v>
      </c>
      <c r="DH28" s="306">
        <v>0.95339412360688958</v>
      </c>
      <c r="DI28" s="169">
        <v>532.14952213990841</v>
      </c>
      <c r="DJ28" s="306">
        <v>0.95573440643863183</v>
      </c>
      <c r="DK28" s="169">
        <v>537.23915625176721</v>
      </c>
      <c r="DL28" s="306">
        <v>0.98964803312629401</v>
      </c>
      <c r="DM28" s="169">
        <v>540.63224565967312</v>
      </c>
      <c r="DN28" s="306">
        <v>0.92734611503531783</v>
      </c>
      <c r="DO28" s="169">
        <v>519.70819431092013</v>
      </c>
      <c r="DP28" s="306">
        <v>0.90380761523046094</v>
      </c>
      <c r="DQ28" s="169">
        <v>510.09444098851998</v>
      </c>
      <c r="DR28" s="306">
        <v>0.873</v>
      </c>
      <c r="DS28" s="169">
        <v>493.69450885030824</v>
      </c>
      <c r="DT28" s="306">
        <v>0.83848454636091729</v>
      </c>
      <c r="DU28" s="169">
        <v>475.59803200814343</v>
      </c>
      <c r="DV28" s="306">
        <v>0.854726368159204</v>
      </c>
      <c r="DW28" s="169">
        <v>485.77730023186109</v>
      </c>
      <c r="DX28" s="306">
        <v>0.80952380952380953</v>
      </c>
      <c r="DY28" s="169">
        <v>461.46015947520215</v>
      </c>
      <c r="DZ28" s="306">
        <v>0.77536945812807878</v>
      </c>
      <c r="EA28" s="169">
        <v>445.06022733699035</v>
      </c>
      <c r="EB28" s="306">
        <v>0.7424975798644724</v>
      </c>
      <c r="EC28" s="169">
        <v>433.7499293106373</v>
      </c>
      <c r="ED28" s="306">
        <v>0.77106045589692762</v>
      </c>
      <c r="EE28" s="169">
        <v>439.97059322513144</v>
      </c>
    </row>
    <row r="29" spans="1:135" ht="15.75" x14ac:dyDescent="0.25">
      <c r="A29" s="606" t="s">
        <v>40</v>
      </c>
      <c r="B29" s="258">
        <v>1.6738183037210861</v>
      </c>
      <c r="C29" s="258">
        <v>294.63206692095622</v>
      </c>
      <c r="D29" s="258">
        <v>1.6332800000000001</v>
      </c>
      <c r="E29" s="258">
        <v>301.1820688092451</v>
      </c>
      <c r="F29" s="258">
        <v>1.6281121966593131</v>
      </c>
      <c r="G29" s="258">
        <v>304.84062842252348</v>
      </c>
      <c r="H29" s="258">
        <v>1.6352833638025595</v>
      </c>
      <c r="I29" s="258">
        <v>316.70144265266816</v>
      </c>
      <c r="J29" s="258">
        <v>1.5715094873973379</v>
      </c>
      <c r="K29" s="258">
        <v>327.44108538842102</v>
      </c>
      <c r="L29" s="258">
        <v>1.6599888703394547</v>
      </c>
      <c r="M29" s="258">
        <v>352.04784923901957</v>
      </c>
      <c r="N29" s="258">
        <v>1.8202341137123745</v>
      </c>
      <c r="O29" s="258">
        <v>385.38794894066996</v>
      </c>
      <c r="P29" s="258">
        <v>1.6891857827073355</v>
      </c>
      <c r="Q29" s="258">
        <v>395.41948336417539</v>
      </c>
      <c r="R29" s="258">
        <v>1.6805283757338552</v>
      </c>
      <c r="S29" s="258">
        <v>405.39200876166024</v>
      </c>
      <c r="T29" s="258">
        <v>1.6107209737827715</v>
      </c>
      <c r="U29" s="258">
        <v>406.04110804788701</v>
      </c>
      <c r="V29" s="258">
        <v>1.6179159049360146</v>
      </c>
      <c r="W29" s="258">
        <v>417.7839042259904</v>
      </c>
      <c r="X29" s="258">
        <v>1.7027821759782855</v>
      </c>
      <c r="Y29" s="258">
        <v>444.2199478832282</v>
      </c>
      <c r="Z29" s="258">
        <v>1.5361458120008191</v>
      </c>
      <c r="AA29" s="258">
        <v>442.62670418067148</v>
      </c>
      <c r="AB29" s="258">
        <v>1.5310834813499112</v>
      </c>
      <c r="AC29" s="258">
        <v>457.79202386797078</v>
      </c>
      <c r="AD29" s="258">
        <v>1.6675345483677149</v>
      </c>
      <c r="AE29" s="258">
        <v>491.30915064768305</v>
      </c>
      <c r="AF29" s="258">
        <v>1.6261755485893417</v>
      </c>
      <c r="AG29" s="258">
        <v>489.77491597114698</v>
      </c>
      <c r="AH29" s="258">
        <v>1.6178861788617886</v>
      </c>
      <c r="AI29" s="258">
        <v>493.19743948034289</v>
      </c>
      <c r="AJ29" s="258">
        <v>1.626048071548351</v>
      </c>
      <c r="AK29" s="258">
        <v>514.97177008195172</v>
      </c>
      <c r="AL29" s="258">
        <v>1.6303838529464769</v>
      </c>
      <c r="AM29" s="258">
        <v>533.85465840855022</v>
      </c>
      <c r="AN29" s="258">
        <v>1.5306738183037212</v>
      </c>
      <c r="AO29" s="258">
        <v>538.87042562030285</v>
      </c>
      <c r="AP29" s="258">
        <v>1.4114224467922216</v>
      </c>
      <c r="AQ29" s="258">
        <v>543.94520185807619</v>
      </c>
      <c r="AR29" s="258">
        <v>1.3900910311893748</v>
      </c>
      <c r="AS29" s="258">
        <v>549.66907738207635</v>
      </c>
      <c r="AT29" s="258">
        <v>1.3480349344978166</v>
      </c>
      <c r="AU29" s="258">
        <v>546.48258997696291</v>
      </c>
      <c r="AV29" s="258">
        <v>1.3230635082110158</v>
      </c>
      <c r="AW29" s="258">
        <v>537.21817289172543</v>
      </c>
      <c r="AX29" s="258">
        <v>1.3457627118644069</v>
      </c>
      <c r="AY29" s="258">
        <v>562.23799992446845</v>
      </c>
      <c r="AZ29" s="258">
        <v>1.249335812964931</v>
      </c>
      <c r="BA29" s="258">
        <v>554.97988972393216</v>
      </c>
      <c r="BB29" s="258">
        <v>1.2736968404212772</v>
      </c>
      <c r="BC29" s="258">
        <v>563.77223460100458</v>
      </c>
      <c r="BD29" s="258">
        <v>1.2257025006444959</v>
      </c>
      <c r="BE29" s="258">
        <v>561.11682843007668</v>
      </c>
      <c r="BF29" s="258">
        <v>1.1190247417727601</v>
      </c>
      <c r="BG29" s="258">
        <v>549.78709543411753</v>
      </c>
      <c r="BH29" s="258">
        <v>1.1220481927710844</v>
      </c>
      <c r="BI29" s="258">
        <v>549.55105933003506</v>
      </c>
      <c r="BJ29" s="258">
        <v>1.1147403685092128</v>
      </c>
      <c r="BK29" s="258">
        <v>549.78709543411753</v>
      </c>
      <c r="BL29" s="258">
        <v>1.0331156181964021</v>
      </c>
      <c r="BM29" s="258">
        <v>532.02537860191092</v>
      </c>
      <c r="BN29" s="258">
        <v>0.99005195092295784</v>
      </c>
      <c r="BO29" s="258">
        <v>528.54384606669441</v>
      </c>
      <c r="BP29" s="258">
        <v>0.9528033289531318</v>
      </c>
      <c r="BQ29" s="258">
        <v>513.43753540541559</v>
      </c>
      <c r="BR29" s="258">
        <v>0.9072466912562378</v>
      </c>
      <c r="BS29" s="258">
        <v>493.49248461044601</v>
      </c>
      <c r="BT29" s="258">
        <v>0.86011808910359633</v>
      </c>
      <c r="BU29" s="258">
        <v>472.78031647720832</v>
      </c>
      <c r="BV29" s="258">
        <v>0.86113810603606522</v>
      </c>
      <c r="BW29" s="258">
        <v>470.59698251444547</v>
      </c>
      <c r="BX29" s="258">
        <v>0.89466168717047456</v>
      </c>
      <c r="BY29" s="258">
        <v>480.62851693795085</v>
      </c>
      <c r="BZ29" s="258">
        <v>0.80258186397984888</v>
      </c>
      <c r="CA29" s="258">
        <v>451.24202197968202</v>
      </c>
      <c r="CB29" s="258">
        <v>0.8434875066454014</v>
      </c>
      <c r="CC29" s="258">
        <v>468.11860342157939</v>
      </c>
      <c r="CD29" s="258">
        <v>0.80510780824785433</v>
      </c>
      <c r="CE29" s="258">
        <v>453.89742815060993</v>
      </c>
      <c r="CF29" s="258">
        <v>0.80975917551793042</v>
      </c>
      <c r="CG29" s="258">
        <v>454.36950035877487</v>
      </c>
      <c r="CH29" s="258">
        <v>0.83031018568208648</v>
      </c>
      <c r="CI29" s="258">
        <v>456.49382529551718</v>
      </c>
      <c r="CJ29" s="258">
        <v>0.85214216686352406</v>
      </c>
      <c r="CK29" s="258">
        <v>468.29563049964122</v>
      </c>
      <c r="CL29" s="258">
        <v>0.86658795749704842</v>
      </c>
      <c r="CM29" s="258">
        <v>476.43887609048681</v>
      </c>
      <c r="CN29" s="258">
        <v>0.94010647737355812</v>
      </c>
      <c r="CO29" s="258">
        <v>500.16050455077607</v>
      </c>
      <c r="CP29" s="258">
        <v>0.9809087864240259</v>
      </c>
      <c r="CQ29" s="258">
        <v>518.45330261716833</v>
      </c>
      <c r="CR29" s="258">
        <v>1.0457418687507183</v>
      </c>
      <c r="CS29" s="258">
        <v>536.92312776162237</v>
      </c>
      <c r="CT29" s="258">
        <v>1.1334449360277412</v>
      </c>
      <c r="CU29" s="258">
        <v>559.34655764945808</v>
      </c>
      <c r="CV29" s="258">
        <v>1.2739640539191213</v>
      </c>
      <c r="CW29" s="258">
        <v>602.30512859246949</v>
      </c>
      <c r="CX29" s="258">
        <v>1.3310344827586207</v>
      </c>
      <c r="CY29" s="169">
        <v>626.38081120888251</v>
      </c>
      <c r="CZ29" s="258">
        <v>1.3157765500306937</v>
      </c>
      <c r="DA29" s="169">
        <v>632.39973186298573</v>
      </c>
      <c r="DB29" s="258">
        <v>1.4148031907937753</v>
      </c>
      <c r="DC29" s="169">
        <v>638.41865251708907</v>
      </c>
      <c r="DD29" s="258">
        <v>1.3056851128198663</v>
      </c>
      <c r="DE29" s="169">
        <v>611.2154915215832</v>
      </c>
      <c r="DF29" s="258">
        <v>1.5029901196047841</v>
      </c>
      <c r="DG29" s="169">
        <v>682.20334982438919</v>
      </c>
      <c r="DH29" s="258">
        <v>1.6892207792207792</v>
      </c>
      <c r="DI29" s="169">
        <v>767.53040145020589</v>
      </c>
      <c r="DJ29" s="258">
        <v>1.7311271975180973</v>
      </c>
      <c r="DK29" s="169">
        <v>790.24887646814454</v>
      </c>
      <c r="DL29" s="258">
        <v>1.7133316532258065</v>
      </c>
      <c r="DM29" s="169">
        <v>802.3457268023717</v>
      </c>
      <c r="DN29" s="258">
        <v>1.6980431013128561</v>
      </c>
      <c r="DO29" s="169">
        <v>809.01374674270176</v>
      </c>
      <c r="DP29" s="258">
        <v>1.6848749410099104</v>
      </c>
      <c r="DQ29" s="169">
        <v>842.7079006004758</v>
      </c>
      <c r="DR29" s="258">
        <v>1.6031185977691782</v>
      </c>
      <c r="DS29" s="169">
        <v>831.14213150043429</v>
      </c>
      <c r="DT29" s="258">
        <v>1.5679745026926035</v>
      </c>
      <c r="DU29" s="169">
        <v>841.8817742361872</v>
      </c>
      <c r="DV29" s="258">
        <v>1.4993142736575589</v>
      </c>
      <c r="DW29" s="169">
        <v>838.63627780505294</v>
      </c>
      <c r="DX29" s="258">
        <v>1.3558342314098168</v>
      </c>
      <c r="DY29" s="169">
        <v>816.6259110993617</v>
      </c>
      <c r="DZ29" s="258">
        <v>1.2915685350918511</v>
      </c>
      <c r="EA29" s="169">
        <v>809.01374674270176</v>
      </c>
      <c r="EB29" s="258">
        <v>1.2900998413735187</v>
      </c>
      <c r="EC29" s="169">
        <v>815.85879376109369</v>
      </c>
      <c r="ED29" s="258">
        <v>1.316110546261207</v>
      </c>
      <c r="EE29" s="169">
        <v>840.22952150760977</v>
      </c>
    </row>
  </sheetData>
  <conditionalFormatting pivot="1" sqref="B6:B28 D6:D28 F6:F28 H6:H28 J6:J28 L6:L28 N6:N28 P6:P28 R6:R28 T6:T28 V6:V28 X6:X28 Z6:Z28 AB6:AB28 AD6:AD28 AF6:AF28 AH6:AH28 AJ6:AJ28 AL6:AL28 AN6:AN28 AP6:AP28 AR6:AR28 AT6:AT28 AV6:AV28 AX6:AX28 AZ6:AZ28 BB6:BB28 BD6:BD28 BF6:BF28 BH6:BH28 BJ6:BJ28 BL6:BL28 BN6:BN28 BP6:BP28 BR6:BR28 BT6:BT28 BV6:BV28 BX6:BX28 BZ6:BZ28 CB6:CB28 CD6:CD28 CF6:CF28 CH6:CH28 CJ6:CJ28 CL6:CL28 CN6:CN28 CP6:CP28 CR6:CR28 CT6:CT28 CV6:CV28 CX6:CX28 CZ6:CZ28 DB6:DB28 DD6:DD28 DF6:DF28 DH6:DH28 DJ6:DJ28 DL6:DL28 DN6:DN28 DP6:DP28 DR6:DR28 DT6:DT28 DV6:DV28 DX6:DX28 DZ6:DZ28 EB6:EB28 ED6:ED28">
    <cfRule type="cellIs" dxfId="264" priority="145" operator="between">
      <formula>0.8</formula>
      <formula>1.2</formula>
    </cfRule>
    <cfRule type="cellIs" dxfId="263" priority="146" operator="lessThan">
      <formula>0.8</formula>
    </cfRule>
    <cfRule type="cellIs" dxfId="262" priority="147" operator="greaterThanOrEqual">
      <formula>1.2</formula>
    </cfRule>
  </conditionalFormatting>
  <conditionalFormatting pivot="1" sqref="B29 D29 F29 H29 J29 L29 N29 P29 R29 T29 V29 X29 Z29 AB29 AD29 AF29 AH29 AJ29 AL29 AN29 AP29 AR29 AT29 AV29 AX29 AZ29 BB29 BD29 BF29 BH29 BJ29 BL29 BN29 BP29 BR29 BT29 BV29 BX29 BZ29 CB29 CD29 CF29 CH29 CJ29 CL29 CN29 CP29 CR29 CT29 CV29 CX29 CZ29 DB29 DD29 DF29 DH29 DJ29 DL29 DN29 DP29 DR29 DT29 DV29 DX29 DZ29 EB29 ED29">
    <cfRule type="cellIs" dxfId="261" priority="142" operator="between">
      <formula>0.8</formula>
      <formula>1.2</formula>
    </cfRule>
    <cfRule type="cellIs" dxfId="260" priority="143" operator="lessThan">
      <formula>0.8</formula>
    </cfRule>
    <cfRule type="cellIs" dxfId="259" priority="144" operator="greaterThanOrEqual">
      <formula>1.2</formula>
    </cfRule>
  </conditionalFormatting>
  <conditionalFormatting pivot="1" sqref="AY6:AY29">
    <cfRule type="cellIs" dxfId="258" priority="139" operator="between">
      <formula>49</formula>
      <formula>149</formula>
    </cfRule>
    <cfRule type="cellIs" dxfId="257" priority="140" operator="lessThan">
      <formula>49</formula>
    </cfRule>
    <cfRule type="cellIs" dxfId="256" priority="141" operator="greaterThanOrEqual">
      <formula>150</formula>
    </cfRule>
  </conditionalFormatting>
  <conditionalFormatting pivot="1" sqref="BA6:BA29">
    <cfRule type="cellIs" dxfId="255" priority="136" operator="between">
      <formula>49</formula>
      <formula>149</formula>
    </cfRule>
    <cfRule type="cellIs" dxfId="254" priority="137" operator="lessThan">
      <formula>49</formula>
    </cfRule>
    <cfRule type="cellIs" dxfId="253" priority="138" operator="greaterThanOrEqual">
      <formula>150</formula>
    </cfRule>
  </conditionalFormatting>
  <conditionalFormatting pivot="1" sqref="BC6:BC29">
    <cfRule type="cellIs" dxfId="252" priority="133" operator="between">
      <formula>49</formula>
      <formula>149</formula>
    </cfRule>
    <cfRule type="cellIs" dxfId="251" priority="134" operator="lessThan">
      <formula>49</formula>
    </cfRule>
    <cfRule type="cellIs" dxfId="250" priority="135" operator="greaterThanOrEqual">
      <formula>150</formula>
    </cfRule>
  </conditionalFormatting>
  <conditionalFormatting pivot="1" sqref="BE6:BE29">
    <cfRule type="cellIs" dxfId="249" priority="130" operator="between">
      <formula>49</formula>
      <formula>149</formula>
    </cfRule>
    <cfRule type="cellIs" dxfId="248" priority="131" operator="lessThan">
      <formula>49</formula>
    </cfRule>
    <cfRule type="cellIs" dxfId="247" priority="132" operator="greaterThanOrEqual">
      <formula>150</formula>
    </cfRule>
  </conditionalFormatting>
  <conditionalFormatting pivot="1" sqref="BG6:BG29">
    <cfRule type="cellIs" dxfId="246" priority="127" operator="between">
      <formula>49</formula>
      <formula>149</formula>
    </cfRule>
    <cfRule type="cellIs" dxfId="245" priority="128" operator="lessThan">
      <formula>49</formula>
    </cfRule>
    <cfRule type="cellIs" dxfId="244" priority="129" operator="greaterThanOrEqual">
      <formula>150</formula>
    </cfRule>
  </conditionalFormatting>
  <conditionalFormatting pivot="1" sqref="CA6:CA29">
    <cfRule type="cellIs" dxfId="243" priority="124" operator="between">
      <formula>49</formula>
      <formula>149</formula>
    </cfRule>
    <cfRule type="cellIs" dxfId="242" priority="125" operator="lessThan">
      <formula>49</formula>
    </cfRule>
    <cfRule type="cellIs" dxfId="241" priority="126" operator="greaterThanOrEqual">
      <formula>150</formula>
    </cfRule>
  </conditionalFormatting>
  <conditionalFormatting pivot="1" sqref="CC6:CC29">
    <cfRule type="cellIs" dxfId="240" priority="121" operator="between">
      <formula>49</formula>
      <formula>149</formula>
    </cfRule>
    <cfRule type="cellIs" dxfId="239" priority="122" operator="lessThan">
      <formula>49</formula>
    </cfRule>
    <cfRule type="cellIs" dxfId="238" priority="123" operator="greaterThanOrEqual">
      <formula>150</formula>
    </cfRule>
  </conditionalFormatting>
  <conditionalFormatting pivot="1" sqref="CE6:CE29">
    <cfRule type="cellIs" dxfId="237" priority="118" operator="between">
      <formula>49</formula>
      <formula>149</formula>
    </cfRule>
    <cfRule type="cellIs" dxfId="236" priority="119" operator="lessThan">
      <formula>49</formula>
    </cfRule>
    <cfRule type="cellIs" dxfId="235" priority="120" operator="greaterThanOrEqual">
      <formula>150</formula>
    </cfRule>
  </conditionalFormatting>
  <conditionalFormatting pivot="1" sqref="CW6:CW29">
    <cfRule type="cellIs" dxfId="234" priority="76" operator="between">
      <formula>49</formula>
      <formula>149</formula>
    </cfRule>
    <cfRule type="cellIs" dxfId="233" priority="77" operator="lessThan">
      <formula>49</formula>
    </cfRule>
    <cfRule type="cellIs" dxfId="232" priority="78" operator="greaterThanOrEqual">
      <formula>150</formula>
    </cfRule>
  </conditionalFormatting>
  <conditionalFormatting pivot="1" sqref="CU6:CU29">
    <cfRule type="cellIs" dxfId="231" priority="73" operator="between">
      <formula>49</formula>
      <formula>149</formula>
    </cfRule>
    <cfRule type="cellIs" dxfId="230" priority="74" operator="lessThan">
      <formula>49</formula>
    </cfRule>
    <cfRule type="cellIs" dxfId="229" priority="75" operator="greaterThanOrEqual">
      <formula>150</formula>
    </cfRule>
  </conditionalFormatting>
  <conditionalFormatting pivot="1" sqref="CS6:CS29">
    <cfRule type="cellIs" dxfId="228" priority="70" operator="between">
      <formula>49</formula>
      <formula>149</formula>
    </cfRule>
    <cfRule type="cellIs" dxfId="227" priority="71" operator="lessThan">
      <formula>49</formula>
    </cfRule>
    <cfRule type="cellIs" dxfId="226" priority="72" operator="greaterThanOrEqual">
      <formula>150</formula>
    </cfRule>
  </conditionalFormatting>
  <conditionalFormatting pivot="1" sqref="CQ6:CQ29">
    <cfRule type="cellIs" dxfId="225" priority="67" operator="between">
      <formula>49</formula>
      <formula>149</formula>
    </cfRule>
    <cfRule type="cellIs" dxfId="224" priority="68" operator="lessThan">
      <formula>49</formula>
    </cfRule>
    <cfRule type="cellIs" dxfId="223" priority="69" operator="greaterThanOrEqual">
      <formula>150</formula>
    </cfRule>
  </conditionalFormatting>
  <conditionalFormatting pivot="1" sqref="CO6:CO29">
    <cfRule type="cellIs" dxfId="222" priority="64" operator="between">
      <formula>49</formula>
      <formula>149</formula>
    </cfRule>
    <cfRule type="cellIs" dxfId="221" priority="65" operator="lessThan">
      <formula>49</formula>
    </cfRule>
    <cfRule type="cellIs" dxfId="220" priority="66" operator="greaterThanOrEqual">
      <formula>150</formula>
    </cfRule>
  </conditionalFormatting>
  <conditionalFormatting pivot="1" sqref="CM6:CM29">
    <cfRule type="cellIs" dxfId="219" priority="61" operator="between">
      <formula>49</formula>
      <formula>149</formula>
    </cfRule>
    <cfRule type="cellIs" dxfId="218" priority="62" operator="lessThan">
      <formula>49</formula>
    </cfRule>
    <cfRule type="cellIs" dxfId="217" priority="63" operator="greaterThanOrEqual">
      <formula>150</formula>
    </cfRule>
  </conditionalFormatting>
  <conditionalFormatting pivot="1" sqref="CK6:CK29">
    <cfRule type="cellIs" dxfId="216" priority="58" operator="between">
      <formula>49</formula>
      <formula>149</formula>
    </cfRule>
    <cfRule type="cellIs" dxfId="215" priority="59" operator="lessThan">
      <formula>49</formula>
    </cfRule>
    <cfRule type="cellIs" dxfId="214" priority="60" operator="greaterThanOrEqual">
      <formula>150</formula>
    </cfRule>
  </conditionalFormatting>
  <conditionalFormatting pivot="1" sqref="CI6:CI29">
    <cfRule type="cellIs" dxfId="213" priority="55" operator="between">
      <formula>49</formula>
      <formula>149</formula>
    </cfRule>
    <cfRule type="cellIs" dxfId="212" priority="56" operator="lessThan">
      <formula>49</formula>
    </cfRule>
    <cfRule type="cellIs" dxfId="211" priority="57" operator="greaterThanOrEqual">
      <formula>150</formula>
    </cfRule>
  </conditionalFormatting>
  <conditionalFormatting pivot="1" sqref="CG6:CG29">
    <cfRule type="cellIs" dxfId="210" priority="52" operator="between">
      <formula>49</formula>
      <formula>149</formula>
    </cfRule>
    <cfRule type="cellIs" dxfId="209" priority="53" operator="lessThan">
      <formula>49</formula>
    </cfRule>
    <cfRule type="cellIs" dxfId="208" priority="54" operator="greaterThanOrEqual">
      <formula>150</formula>
    </cfRule>
  </conditionalFormatting>
  <conditionalFormatting pivot="1" sqref="DY6:DY29">
    <cfRule type="cellIs" dxfId="207" priority="49" operator="between">
      <formula>49</formula>
      <formula>149</formula>
    </cfRule>
    <cfRule type="cellIs" dxfId="206" priority="50" operator="lessThan">
      <formula>49</formula>
    </cfRule>
    <cfRule type="cellIs" dxfId="205" priority="51" operator="greaterThanOrEqual">
      <formula>150</formula>
    </cfRule>
  </conditionalFormatting>
  <conditionalFormatting pivot="1" sqref="EA6:EA29">
    <cfRule type="cellIs" dxfId="204" priority="46" operator="between">
      <formula>49</formula>
      <formula>149</formula>
    </cfRule>
    <cfRule type="cellIs" dxfId="203" priority="47" operator="lessThan">
      <formula>49</formula>
    </cfRule>
    <cfRule type="cellIs" dxfId="202" priority="48" operator="greaterThanOrEqual">
      <formula>150</formula>
    </cfRule>
  </conditionalFormatting>
  <conditionalFormatting pivot="1" sqref="EC6:EC29">
    <cfRule type="cellIs" dxfId="201" priority="43" operator="between">
      <formula>49</formula>
      <formula>149</formula>
    </cfRule>
    <cfRule type="cellIs" dxfId="200" priority="44" operator="lessThan">
      <formula>49</formula>
    </cfRule>
    <cfRule type="cellIs" dxfId="199" priority="45" operator="greaterThanOrEqual">
      <formula>150</formula>
    </cfRule>
  </conditionalFormatting>
  <conditionalFormatting pivot="1" sqref="EE6:EE29">
    <cfRule type="cellIs" dxfId="198" priority="40" operator="between">
      <formula>49</formula>
      <formula>149</formula>
    </cfRule>
    <cfRule type="cellIs" dxfId="197" priority="41" operator="lessThan">
      <formula>49</formula>
    </cfRule>
    <cfRule type="cellIs" dxfId="196" priority="42" operator="greaterThanOrEqual">
      <formula>150</formula>
    </cfRule>
  </conditionalFormatting>
  <conditionalFormatting pivot="1" sqref="DW6:DW29">
    <cfRule type="cellIs" dxfId="195" priority="37" operator="between">
      <formula>49</formula>
      <formula>149</formula>
    </cfRule>
    <cfRule type="cellIs" dxfId="194" priority="38" operator="lessThan">
      <formula>49</formula>
    </cfRule>
    <cfRule type="cellIs" dxfId="193" priority="39" operator="greaterThanOrEqual">
      <formula>150</formula>
    </cfRule>
  </conditionalFormatting>
  <conditionalFormatting pivot="1" sqref="DU6:DU29">
    <cfRule type="cellIs" dxfId="192" priority="34" operator="between">
      <formula>49</formula>
      <formula>149</formula>
    </cfRule>
    <cfRule type="cellIs" dxfId="191" priority="35" operator="lessThan">
      <formula>49</formula>
    </cfRule>
    <cfRule type="cellIs" dxfId="190" priority="36" operator="greaterThanOrEqual">
      <formula>150</formula>
    </cfRule>
  </conditionalFormatting>
  <conditionalFormatting pivot="1" sqref="DS6:DS29">
    <cfRule type="cellIs" dxfId="189" priority="31" operator="between">
      <formula>49</formula>
      <formula>149</formula>
    </cfRule>
    <cfRule type="cellIs" dxfId="188" priority="32" operator="lessThan">
      <formula>49</formula>
    </cfRule>
    <cfRule type="cellIs" dxfId="187" priority="33" operator="greaterThanOrEqual">
      <formula>150</formula>
    </cfRule>
  </conditionalFormatting>
  <conditionalFormatting pivot="1" sqref="DQ6:DQ29">
    <cfRule type="cellIs" dxfId="186" priority="28" operator="between">
      <formula>49</formula>
      <formula>149</formula>
    </cfRule>
    <cfRule type="cellIs" dxfId="185" priority="29" operator="lessThan">
      <formula>49</formula>
    </cfRule>
    <cfRule type="cellIs" dxfId="184" priority="30" operator="greaterThanOrEqual">
      <formula>150</formula>
    </cfRule>
  </conditionalFormatting>
  <conditionalFormatting pivot="1" sqref="DO6:DO29">
    <cfRule type="cellIs" dxfId="183" priority="25" operator="between">
      <formula>49</formula>
      <formula>149</formula>
    </cfRule>
    <cfRule type="cellIs" dxfId="182" priority="26" operator="lessThan">
      <formula>49</formula>
    </cfRule>
    <cfRule type="cellIs" dxfId="181" priority="27" operator="greaterThanOrEqual">
      <formula>150</formula>
    </cfRule>
  </conditionalFormatting>
  <conditionalFormatting pivot="1" sqref="DM6:DM29">
    <cfRule type="cellIs" dxfId="180" priority="22" operator="between">
      <formula>49</formula>
      <formula>149</formula>
    </cfRule>
    <cfRule type="cellIs" dxfId="179" priority="23" operator="lessThan">
      <formula>49</formula>
    </cfRule>
    <cfRule type="cellIs" dxfId="178" priority="24" operator="greaterThanOrEqual">
      <formula>150</formula>
    </cfRule>
  </conditionalFormatting>
  <conditionalFormatting pivot="1" sqref="DK6:DK29">
    <cfRule type="cellIs" dxfId="177" priority="19" operator="between">
      <formula>49</formula>
      <formula>149</formula>
    </cfRule>
    <cfRule type="cellIs" dxfId="176" priority="20" operator="lessThan">
      <formula>49</formula>
    </cfRule>
    <cfRule type="cellIs" dxfId="175" priority="21" operator="greaterThanOrEqual">
      <formula>150</formula>
    </cfRule>
  </conditionalFormatting>
  <conditionalFormatting pivot="1" sqref="DI6:DI29">
    <cfRule type="cellIs" dxfId="174" priority="16" operator="between">
      <formula>49</formula>
      <formula>149</formula>
    </cfRule>
    <cfRule type="cellIs" dxfId="173" priority="17" operator="lessThan">
      <formula>49</formula>
    </cfRule>
    <cfRule type="cellIs" dxfId="172" priority="18" operator="greaterThanOrEqual">
      <formula>150</formula>
    </cfRule>
  </conditionalFormatting>
  <conditionalFormatting pivot="1" sqref="DG6:DG29">
    <cfRule type="cellIs" dxfId="171" priority="13" operator="between">
      <formula>49</formula>
      <formula>149</formula>
    </cfRule>
    <cfRule type="cellIs" dxfId="170" priority="14" operator="lessThan">
      <formula>49</formula>
    </cfRule>
    <cfRule type="cellIs" dxfId="169" priority="15" operator="greaterThanOrEqual">
      <formula>150</formula>
    </cfRule>
  </conditionalFormatting>
  <conditionalFormatting pivot="1" sqref="DE6:DE29">
    <cfRule type="cellIs" dxfId="168" priority="10" operator="between">
      <formula>49</formula>
      <formula>149</formula>
    </cfRule>
    <cfRule type="cellIs" dxfId="167" priority="11" operator="lessThan">
      <formula>49</formula>
    </cfRule>
    <cfRule type="cellIs" dxfId="166" priority="12" operator="greaterThanOrEqual">
      <formula>150</formula>
    </cfRule>
  </conditionalFormatting>
  <conditionalFormatting pivot="1" sqref="DC6:DC29">
    <cfRule type="cellIs" dxfId="165" priority="7" operator="between">
      <formula>49</formula>
      <formula>149</formula>
    </cfRule>
    <cfRule type="cellIs" dxfId="164" priority="8" operator="lessThan">
      <formula>49</formula>
    </cfRule>
    <cfRule type="cellIs" dxfId="163" priority="9" operator="greaterThanOrEqual">
      <formula>150</formula>
    </cfRule>
  </conditionalFormatting>
  <conditionalFormatting pivot="1" sqref="DA6:DA29">
    <cfRule type="cellIs" dxfId="162" priority="4" operator="between">
      <formula>49</formula>
      <formula>149</formula>
    </cfRule>
    <cfRule type="cellIs" dxfId="161" priority="5" operator="lessThan">
      <formula>49</formula>
    </cfRule>
    <cfRule type="cellIs" dxfId="160" priority="6" operator="greaterThanOrEqual">
      <formula>150</formula>
    </cfRule>
  </conditionalFormatting>
  <conditionalFormatting pivot="1" sqref="CY6:CY29">
    <cfRule type="cellIs" dxfId="159" priority="1" operator="between">
      <formula>49</formula>
      <formula>149</formula>
    </cfRule>
    <cfRule type="cellIs" dxfId="158" priority="2" operator="lessThan">
      <formula>49</formula>
    </cfRule>
    <cfRule type="cellIs" dxfId="157" priority="3" operator="greaterThanOrEqual">
      <formula>150</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A0574-F9A8-4F23-9B94-6B4B91985BA3}">
  <dimension ref="A1:AT473"/>
  <sheetViews>
    <sheetView zoomScale="85" zoomScaleNormal="85" workbookViewId="0">
      <pane ySplit="1" topLeftCell="A452" activePane="bottomLeft" state="frozen"/>
      <selection activeCell="H388" sqref="H388"/>
      <selection pane="bottomLeft" activeCell="B465" sqref="B465"/>
    </sheetView>
  </sheetViews>
  <sheetFormatPr baseColWidth="10" defaultRowHeight="15" x14ac:dyDescent="0.25"/>
  <cols>
    <col min="1" max="1" width="10.28515625" style="37" customWidth="1"/>
    <col min="2" max="2" width="8.85546875" style="143" customWidth="1"/>
    <col min="3" max="3" width="10.7109375" style="143" customWidth="1"/>
    <col min="4" max="4" width="7" style="143" customWidth="1"/>
    <col min="5" max="6" width="8.5703125" style="143" customWidth="1"/>
    <col min="7" max="7" width="11.28515625" style="159" customWidth="1"/>
    <col min="8" max="8" width="7.28515625" style="143" customWidth="1"/>
    <col min="9" max="9" width="8.28515625" style="42" customWidth="1"/>
    <col min="10" max="10" width="9.140625" style="42" customWidth="1"/>
    <col min="11" max="11" width="8.42578125" style="23" customWidth="1"/>
    <col min="12" max="12" width="10.140625" style="23" hidden="1" customWidth="1"/>
    <col min="13" max="13" width="9.7109375" style="42" hidden="1" customWidth="1"/>
    <col min="14" max="14" width="6.85546875" style="68" customWidth="1"/>
    <col min="15" max="15" width="5.140625" style="42" hidden="1" customWidth="1"/>
    <col min="16" max="16" width="4.7109375" style="42" hidden="1" customWidth="1"/>
    <col min="17" max="17" width="5.5703125" style="42" hidden="1" customWidth="1"/>
    <col min="18" max="18" width="8.85546875" style="42" customWidth="1"/>
    <col min="19" max="19" width="6.85546875" style="17" customWidth="1"/>
    <col min="20" max="20" width="9.140625" style="42" customWidth="1"/>
    <col min="21" max="21" width="9.140625" style="608" customWidth="1"/>
    <col min="22" max="22" width="6.85546875" style="608" customWidth="1"/>
    <col min="23" max="23" width="9.140625" style="608" customWidth="1"/>
    <col min="24" max="24" width="7.5703125" style="42" customWidth="1"/>
    <col min="25" max="25" width="7.7109375" style="42" customWidth="1"/>
    <col min="26" max="26" width="9" style="546" customWidth="1"/>
    <col min="27" max="27" width="5.5703125" style="356" customWidth="1"/>
    <col min="28" max="28" width="5.28515625" style="356" customWidth="1"/>
    <col min="29" max="29" width="6" style="356" customWidth="1"/>
    <col min="30" max="30" width="8" style="356" customWidth="1"/>
    <col min="31" max="31" width="9.140625" style="42" customWidth="1"/>
    <col min="32" max="32" width="8.42578125" style="42" customWidth="1"/>
    <col min="33" max="33" width="8.85546875" style="42" customWidth="1"/>
    <col min="34" max="34" width="9.85546875" style="42" customWidth="1"/>
    <col min="35" max="35" width="7.42578125" style="356" customWidth="1"/>
    <col min="36" max="36" width="11.42578125" style="42"/>
    <col min="37" max="37" width="8.5703125" style="42" customWidth="1"/>
    <col min="38" max="39" width="7.85546875" style="42" customWidth="1"/>
    <col min="40" max="40" width="11" style="42" customWidth="1"/>
    <col min="41" max="41" width="7" style="42" customWidth="1"/>
    <col min="42" max="42" width="8.140625" style="200" customWidth="1"/>
    <col min="43" max="43" width="9.5703125" style="42" customWidth="1"/>
    <col min="44" max="44" width="8" style="42" customWidth="1"/>
    <col min="45" max="16384" width="11.42578125" style="42"/>
  </cols>
  <sheetData>
    <row r="1" spans="1:46" s="165" customFormat="1" ht="42.75" customHeight="1" x14ac:dyDescent="0.25">
      <c r="A1" s="160" t="s">
        <v>42</v>
      </c>
      <c r="B1" s="161" t="s">
        <v>0</v>
      </c>
      <c r="C1" s="161" t="s">
        <v>1</v>
      </c>
      <c r="D1" s="161" t="s">
        <v>2</v>
      </c>
      <c r="E1" s="161" t="s">
        <v>3</v>
      </c>
      <c r="F1" s="161" t="s">
        <v>109</v>
      </c>
      <c r="G1" s="162" t="s">
        <v>4</v>
      </c>
      <c r="H1" s="161" t="s">
        <v>5</v>
      </c>
      <c r="I1" s="163" t="s">
        <v>6</v>
      </c>
      <c r="J1" s="163" t="s">
        <v>7</v>
      </c>
      <c r="K1" s="164" t="s">
        <v>8</v>
      </c>
      <c r="L1" s="164" t="s">
        <v>9</v>
      </c>
      <c r="M1" s="309" t="s">
        <v>10</v>
      </c>
      <c r="N1" s="640" t="s">
        <v>313</v>
      </c>
      <c r="O1" s="309" t="s">
        <v>12</v>
      </c>
      <c r="P1" s="309" t="s">
        <v>13</v>
      </c>
      <c r="Q1" s="309" t="s">
        <v>14</v>
      </c>
      <c r="R1" s="309" t="s">
        <v>230</v>
      </c>
      <c r="S1" s="309" t="s">
        <v>110</v>
      </c>
      <c r="T1" s="309" t="s">
        <v>111</v>
      </c>
      <c r="U1" s="624" t="s">
        <v>308</v>
      </c>
      <c r="V1" s="624" t="s">
        <v>245</v>
      </c>
      <c r="W1" s="624" t="s">
        <v>309</v>
      </c>
      <c r="X1" s="308" t="s">
        <v>231</v>
      </c>
      <c r="Y1" s="564" t="s">
        <v>234</v>
      </c>
      <c r="Z1" s="564" t="s">
        <v>235</v>
      </c>
      <c r="AA1" s="565" t="s">
        <v>236</v>
      </c>
      <c r="AB1" s="565"/>
      <c r="AC1" s="565"/>
      <c r="AD1" s="565" t="s">
        <v>305</v>
      </c>
      <c r="AE1" s="308" t="s">
        <v>237</v>
      </c>
      <c r="AF1" s="308" t="s">
        <v>232</v>
      </c>
      <c r="AG1" s="308" t="s">
        <v>233</v>
      </c>
      <c r="AH1" s="308" t="s">
        <v>281</v>
      </c>
      <c r="AI1" s="591" t="s">
        <v>280</v>
      </c>
      <c r="AJ1" s="260" t="s">
        <v>238</v>
      </c>
      <c r="AK1" s="260"/>
      <c r="AL1" s="260" t="s">
        <v>273</v>
      </c>
      <c r="AM1" s="260" t="s">
        <v>275</v>
      </c>
      <c r="AO1" s="165" t="s">
        <v>274</v>
      </c>
      <c r="AP1" s="645" t="s">
        <v>309</v>
      </c>
    </row>
    <row r="2" spans="1:46" x14ac:dyDescent="0.25">
      <c r="A2" s="2">
        <v>43893</v>
      </c>
      <c r="B2" s="124">
        <v>1</v>
      </c>
      <c r="C2" s="124">
        <v>1</v>
      </c>
      <c r="D2" s="124">
        <v>0</v>
      </c>
      <c r="E2" s="124">
        <v>0</v>
      </c>
      <c r="F2" s="124"/>
      <c r="G2" s="149">
        <v>0</v>
      </c>
      <c r="H2" s="124"/>
      <c r="I2" s="124"/>
      <c r="J2" s="1"/>
      <c r="K2" s="611">
        <f t="shared" ref="K2:K65" si="0">E2/C2</f>
        <v>0</v>
      </c>
      <c r="L2" s="14"/>
      <c r="M2" s="1"/>
      <c r="N2" s="316">
        <v>1</v>
      </c>
      <c r="O2" s="1">
        <v>0</v>
      </c>
      <c r="P2" s="1">
        <v>0</v>
      </c>
      <c r="Q2" s="1">
        <v>0</v>
      </c>
      <c r="R2" s="96">
        <f t="shared" ref="R2:R65" si="1">C2-E2-G2</f>
        <v>1</v>
      </c>
      <c r="S2" s="1"/>
      <c r="T2" s="4"/>
      <c r="U2" s="91" t="e">
        <f>SUM(#REF!)/POBLA!$B$25*100000</f>
        <v>#REF!</v>
      </c>
      <c r="V2" s="91">
        <f>B2/POBLA!$B$25*100000</f>
        <v>2.2036061088456693E-3</v>
      </c>
      <c r="W2" s="625" t="e">
        <f>SUM(#REF!)/SUM(#REF!)</f>
        <v>#REF!</v>
      </c>
      <c r="AI2" s="357">
        <f>MAX(B2)</f>
        <v>1</v>
      </c>
    </row>
    <row r="3" spans="1:46" x14ac:dyDescent="0.25">
      <c r="A3" s="2">
        <v>43894</v>
      </c>
      <c r="B3" s="124">
        <v>0</v>
      </c>
      <c r="C3" s="124">
        <v>1</v>
      </c>
      <c r="D3" s="124">
        <v>0</v>
      </c>
      <c r="E3" s="124">
        <v>0</v>
      </c>
      <c r="F3" s="126">
        <f t="shared" ref="F3:F66" si="2">G3-G2</f>
        <v>0</v>
      </c>
      <c r="G3" s="149">
        <v>0</v>
      </c>
      <c r="H3" s="124"/>
      <c r="I3" s="124"/>
      <c r="J3" s="1"/>
      <c r="K3" s="611">
        <f t="shared" si="0"/>
        <v>0</v>
      </c>
      <c r="L3" s="14"/>
      <c r="M3" s="1"/>
      <c r="N3" s="316">
        <v>1</v>
      </c>
      <c r="O3" s="1">
        <v>0</v>
      </c>
      <c r="P3" s="1">
        <v>0</v>
      </c>
      <c r="Q3" s="1">
        <v>0</v>
      </c>
      <c r="R3" s="96">
        <f t="shared" si="1"/>
        <v>1</v>
      </c>
      <c r="S3" s="1"/>
      <c r="T3" s="4"/>
      <c r="U3" s="91" t="e">
        <f>SUM(#REF!)/POBLA!$B$25*100000</f>
        <v>#REF!</v>
      </c>
      <c r="V3" s="91">
        <f>B3/POBLA!$B$25*100000</f>
        <v>0</v>
      </c>
      <c r="W3" s="625" t="e">
        <f>SUM(#REF!)/SUM(#REF!)</f>
        <v>#REF!</v>
      </c>
      <c r="AI3" s="357">
        <f>MAX($B$2:B3)</f>
        <v>1</v>
      </c>
    </row>
    <row r="4" spans="1:46" x14ac:dyDescent="0.25">
      <c r="A4" s="2">
        <v>43895</v>
      </c>
      <c r="B4" s="124">
        <v>1</v>
      </c>
      <c r="C4" s="124">
        <v>2</v>
      </c>
      <c r="D4" s="124">
        <v>0</v>
      </c>
      <c r="E4" s="124">
        <v>0</v>
      </c>
      <c r="F4" s="126">
        <f t="shared" si="2"/>
        <v>0</v>
      </c>
      <c r="G4" s="149">
        <v>0</v>
      </c>
      <c r="H4" s="124"/>
      <c r="I4" s="124"/>
      <c r="J4" s="1"/>
      <c r="K4" s="611">
        <f t="shared" si="0"/>
        <v>0</v>
      </c>
      <c r="L4" s="14"/>
      <c r="M4" s="1"/>
      <c r="N4" s="316">
        <v>2</v>
      </c>
      <c r="O4" s="1">
        <v>0</v>
      </c>
      <c r="P4" s="1">
        <v>0</v>
      </c>
      <c r="Q4" s="1">
        <v>0</v>
      </c>
      <c r="R4" s="96">
        <f t="shared" si="1"/>
        <v>2</v>
      </c>
      <c r="S4" s="1"/>
      <c r="T4" s="4"/>
      <c r="U4" s="91" t="e">
        <f>SUM(#REF!)/POBLA!$B$25*100000</f>
        <v>#REF!</v>
      </c>
      <c r="V4" s="91">
        <f>B4/POBLA!$B$25*100000</f>
        <v>2.2036061088456693E-3</v>
      </c>
      <c r="W4" s="625" t="e">
        <f>SUM(#REF!)/SUM(#REF!)</f>
        <v>#REF!</v>
      </c>
      <c r="AI4" s="357">
        <f>MAX($B$2:B4)</f>
        <v>1</v>
      </c>
    </row>
    <row r="5" spans="1:46" x14ac:dyDescent="0.25">
      <c r="A5" s="2">
        <v>43896</v>
      </c>
      <c r="B5" s="124">
        <v>6</v>
      </c>
      <c r="C5" s="124">
        <v>8</v>
      </c>
      <c r="D5" s="124">
        <v>0</v>
      </c>
      <c r="E5" s="124">
        <v>0</v>
      </c>
      <c r="F5" s="126">
        <f t="shared" si="2"/>
        <v>0</v>
      </c>
      <c r="G5" s="149">
        <v>0</v>
      </c>
      <c r="H5" s="124"/>
      <c r="I5" s="124"/>
      <c r="J5" s="1"/>
      <c r="K5" s="611">
        <f t="shared" si="0"/>
        <v>0</v>
      </c>
      <c r="L5" s="14"/>
      <c r="M5" s="1"/>
      <c r="N5" s="316">
        <v>8</v>
      </c>
      <c r="O5" s="1">
        <v>0</v>
      </c>
      <c r="P5" s="1">
        <v>0</v>
      </c>
      <c r="Q5" s="1">
        <v>0</v>
      </c>
      <c r="R5" s="96">
        <f t="shared" si="1"/>
        <v>8</v>
      </c>
      <c r="S5" s="1"/>
      <c r="T5" s="4"/>
      <c r="U5" s="91" t="e">
        <f>SUM(#REF!)/POBLA!$B$25*100000</f>
        <v>#REF!</v>
      </c>
      <c r="V5" s="91">
        <f>B5/POBLA!$B$25*100000</f>
        <v>1.3221636653074015E-2</v>
      </c>
      <c r="W5" s="625" t="e">
        <f>SUM(#REF!)/SUM(#REF!)</f>
        <v>#REF!</v>
      </c>
      <c r="AI5" s="357">
        <f>MAX($B$2:B5)</f>
        <v>6</v>
      </c>
    </row>
    <row r="6" spans="1:46" x14ac:dyDescent="0.25">
      <c r="A6" s="2">
        <v>43897</v>
      </c>
      <c r="B6" s="124">
        <v>1</v>
      </c>
      <c r="C6" s="124">
        <v>9</v>
      </c>
      <c r="D6" s="124">
        <v>1</v>
      </c>
      <c r="E6" s="124">
        <v>1</v>
      </c>
      <c r="F6" s="126">
        <f t="shared" si="2"/>
        <v>0</v>
      </c>
      <c r="G6" s="149">
        <v>0</v>
      </c>
      <c r="H6" s="124"/>
      <c r="I6" s="124"/>
      <c r="J6" s="1"/>
      <c r="K6" s="611">
        <f t="shared" si="0"/>
        <v>0.1111111111111111</v>
      </c>
      <c r="L6" s="14"/>
      <c r="M6" s="1"/>
      <c r="N6" s="316">
        <v>9</v>
      </c>
      <c r="O6" s="1">
        <v>0</v>
      </c>
      <c r="P6" s="1">
        <v>0</v>
      </c>
      <c r="Q6" s="1">
        <v>0</v>
      </c>
      <c r="R6" s="96">
        <f t="shared" si="1"/>
        <v>8</v>
      </c>
      <c r="S6" s="1"/>
      <c r="T6" s="4"/>
      <c r="U6" s="91"/>
      <c r="V6" s="91">
        <f>B6/POBLA!$B$25*100000</f>
        <v>2.2036061088456693E-3</v>
      </c>
      <c r="W6" s="625" t="e">
        <f>SUM(#REF!)/SUM(#REF!)</f>
        <v>#REF!</v>
      </c>
      <c r="AI6" s="357">
        <f>MAX($B$2:B6)</f>
        <v>6</v>
      </c>
    </row>
    <row r="7" spans="1:46" x14ac:dyDescent="0.25">
      <c r="A7" s="2">
        <v>43898</v>
      </c>
      <c r="B7" s="124">
        <v>3</v>
      </c>
      <c r="C7" s="124">
        <v>12</v>
      </c>
      <c r="D7" s="124">
        <v>0</v>
      </c>
      <c r="E7" s="124">
        <v>1</v>
      </c>
      <c r="F7" s="126">
        <f t="shared" si="2"/>
        <v>0</v>
      </c>
      <c r="G7" s="149">
        <v>0</v>
      </c>
      <c r="H7" s="124"/>
      <c r="I7" s="124"/>
      <c r="J7" s="1"/>
      <c r="K7" s="611">
        <f t="shared" si="0"/>
        <v>8.3333333333333329E-2</v>
      </c>
      <c r="L7" s="14"/>
      <c r="M7" s="1"/>
      <c r="N7" s="316">
        <v>12</v>
      </c>
      <c r="O7" s="1">
        <v>0</v>
      </c>
      <c r="P7" s="1">
        <v>0</v>
      </c>
      <c r="Q7" s="1">
        <v>0</v>
      </c>
      <c r="R7" s="96">
        <f t="shared" si="1"/>
        <v>11</v>
      </c>
      <c r="S7" s="1"/>
      <c r="T7" s="4"/>
      <c r="U7" s="91"/>
      <c r="V7" s="91">
        <f>B7/POBLA!$B$25*100000</f>
        <v>6.6108183265370076E-3</v>
      </c>
      <c r="W7" s="625" t="e">
        <f>SUM(#REF!)/SUM(#REF!)</f>
        <v>#REF!</v>
      </c>
      <c r="AI7" s="357">
        <f>MAX($B$2:B7)</f>
        <v>6</v>
      </c>
    </row>
    <row r="8" spans="1:46" x14ac:dyDescent="0.25">
      <c r="A8" s="2">
        <v>43899</v>
      </c>
      <c r="B8" s="124">
        <v>5</v>
      </c>
      <c r="C8" s="124">
        <v>17</v>
      </c>
      <c r="D8" s="124">
        <v>0</v>
      </c>
      <c r="E8" s="124">
        <v>1</v>
      </c>
      <c r="F8" s="126">
        <f t="shared" si="2"/>
        <v>0</v>
      </c>
      <c r="G8" s="149">
        <v>0</v>
      </c>
      <c r="H8" s="124"/>
      <c r="I8" s="124"/>
      <c r="J8" s="1"/>
      <c r="K8" s="611">
        <f t="shared" si="0"/>
        <v>5.8823529411764705E-2</v>
      </c>
      <c r="L8" s="14"/>
      <c r="M8" s="1"/>
      <c r="N8" s="316">
        <v>17</v>
      </c>
      <c r="O8" s="1">
        <v>0</v>
      </c>
      <c r="P8" s="1">
        <v>0</v>
      </c>
      <c r="Q8" s="1">
        <v>0</v>
      </c>
      <c r="R8" s="96">
        <f t="shared" si="1"/>
        <v>16</v>
      </c>
      <c r="S8" s="1"/>
      <c r="T8" s="4"/>
      <c r="U8" s="91"/>
      <c r="V8" s="91">
        <f>B8/POBLA!$B$25*100000</f>
        <v>1.1018030544228348E-2</v>
      </c>
      <c r="W8" s="625" t="e">
        <f>SUM(#REF!)/SUM(#REF!)</f>
        <v>#REF!</v>
      </c>
      <c r="Z8" s="167">
        <f>AVERAGE(B2:B8)</f>
        <v>2.4285714285714284</v>
      </c>
      <c r="AA8" s="357">
        <f>AVERAGE(D2:D8)</f>
        <v>0.14285714285714285</v>
      </c>
      <c r="AB8" s="357"/>
      <c r="AC8" s="357"/>
      <c r="AD8" s="357"/>
      <c r="AE8" s="167"/>
      <c r="AI8" s="357">
        <f>MAX($B$2:B8)</f>
        <v>6</v>
      </c>
    </row>
    <row r="9" spans="1:46" x14ac:dyDescent="0.25">
      <c r="A9" s="2">
        <v>43900</v>
      </c>
      <c r="B9" s="124">
        <v>2</v>
      </c>
      <c r="C9" s="124">
        <v>19</v>
      </c>
      <c r="D9" s="124">
        <v>0</v>
      </c>
      <c r="E9" s="124">
        <v>1</v>
      </c>
      <c r="F9" s="126">
        <f t="shared" si="2"/>
        <v>0</v>
      </c>
      <c r="G9" s="149">
        <v>0</v>
      </c>
      <c r="H9" s="124"/>
      <c r="I9" s="124"/>
      <c r="J9" s="1"/>
      <c r="K9" s="611">
        <f t="shared" si="0"/>
        <v>5.2631578947368418E-2</v>
      </c>
      <c r="L9" s="14"/>
      <c r="M9" s="1"/>
      <c r="N9" s="316">
        <v>19</v>
      </c>
      <c r="O9" s="1">
        <v>0</v>
      </c>
      <c r="P9" s="1">
        <v>0</v>
      </c>
      <c r="Q9" s="1">
        <v>0</v>
      </c>
      <c r="R9" s="96">
        <f t="shared" si="1"/>
        <v>18</v>
      </c>
      <c r="S9" s="1"/>
      <c r="T9" s="4"/>
      <c r="U9" s="91"/>
      <c r="V9" s="91">
        <f>B9/POBLA!$B$25*100000</f>
        <v>4.4072122176913387E-3</v>
      </c>
      <c r="W9" s="625" t="e">
        <f>SUM(#REF!)/SUM(#REF!)</f>
        <v>#REF!</v>
      </c>
      <c r="Z9" s="167">
        <f t="shared" ref="Z9:Z72" si="3">AVERAGE(B3:B9)</f>
        <v>2.5714285714285716</v>
      </c>
      <c r="AA9" s="357">
        <f t="shared" ref="AA9:AA72" si="4">AVERAGE(D3:D9)</f>
        <v>0.14285714285714285</v>
      </c>
      <c r="AB9" s="357"/>
      <c r="AC9" s="357"/>
      <c r="AD9" s="357"/>
      <c r="AE9" s="167"/>
      <c r="AI9" s="357">
        <f>MAX($B$2:B9)</f>
        <v>6</v>
      </c>
    </row>
    <row r="10" spans="1:46" x14ac:dyDescent="0.25">
      <c r="A10" s="2">
        <v>43901</v>
      </c>
      <c r="B10" s="124">
        <v>2</v>
      </c>
      <c r="C10" s="124">
        <v>21</v>
      </c>
      <c r="D10" s="124">
        <v>0</v>
      </c>
      <c r="E10" s="124">
        <v>1</v>
      </c>
      <c r="F10" s="126">
        <f t="shared" si="2"/>
        <v>0</v>
      </c>
      <c r="G10" s="149">
        <v>0</v>
      </c>
      <c r="H10" s="124"/>
      <c r="I10" s="124"/>
      <c r="J10" s="1"/>
      <c r="K10" s="611">
        <f t="shared" si="0"/>
        <v>4.7619047619047616E-2</v>
      </c>
      <c r="L10" s="14"/>
      <c r="M10" s="1"/>
      <c r="N10" s="316">
        <v>21</v>
      </c>
      <c r="O10" s="1">
        <v>0</v>
      </c>
      <c r="P10" s="1">
        <v>0</v>
      </c>
      <c r="Q10" s="1">
        <v>0</v>
      </c>
      <c r="R10" s="96">
        <f t="shared" si="1"/>
        <v>20</v>
      </c>
      <c r="S10" s="1"/>
      <c r="T10" s="4"/>
      <c r="U10" s="91"/>
      <c r="V10" s="91">
        <f>B10/POBLA!$B$25*100000</f>
        <v>4.4072122176913387E-3</v>
      </c>
      <c r="W10" s="625" t="e">
        <f>SUM(#REF!)/SUM(#REF!)</f>
        <v>#REF!</v>
      </c>
      <c r="Z10" s="167">
        <f t="shared" si="3"/>
        <v>2.8571428571428572</v>
      </c>
      <c r="AA10" s="357">
        <f t="shared" si="4"/>
        <v>0.14285714285714285</v>
      </c>
      <c r="AB10" s="357"/>
      <c r="AC10" s="357"/>
      <c r="AD10" s="357"/>
      <c r="AE10" s="167"/>
      <c r="AI10" s="357">
        <f>MAX($B$2:B10)</f>
        <v>6</v>
      </c>
    </row>
    <row r="11" spans="1:46" x14ac:dyDescent="0.25">
      <c r="A11" s="2">
        <v>43902</v>
      </c>
      <c r="B11" s="124">
        <v>10</v>
      </c>
      <c r="C11" s="124">
        <v>31</v>
      </c>
      <c r="D11" s="124">
        <v>0</v>
      </c>
      <c r="E11" s="124">
        <v>1</v>
      </c>
      <c r="F11" s="126">
        <f t="shared" si="2"/>
        <v>0</v>
      </c>
      <c r="G11" s="149">
        <v>0</v>
      </c>
      <c r="H11" s="124"/>
      <c r="I11" s="124"/>
      <c r="J11" s="1"/>
      <c r="K11" s="611">
        <f t="shared" si="0"/>
        <v>3.2258064516129031E-2</v>
      </c>
      <c r="L11" s="14"/>
      <c r="M11" s="1"/>
      <c r="N11" s="316">
        <v>28</v>
      </c>
      <c r="O11" s="1">
        <v>3</v>
      </c>
      <c r="P11" s="1">
        <v>0</v>
      </c>
      <c r="Q11" s="1">
        <v>0</v>
      </c>
      <c r="R11" s="96">
        <f t="shared" si="1"/>
        <v>30</v>
      </c>
      <c r="S11" s="1"/>
      <c r="T11" s="4"/>
      <c r="U11" s="91"/>
      <c r="V11" s="91">
        <f>B11/POBLA!$B$25*100000</f>
        <v>2.2036061088456696E-2</v>
      </c>
      <c r="W11" s="625" t="e">
        <f>SUM(#REF!)/SUM(#REF!)</f>
        <v>#REF!</v>
      </c>
      <c r="Z11" s="167">
        <f t="shared" si="3"/>
        <v>4.1428571428571432</v>
      </c>
      <c r="AA11" s="357">
        <f t="shared" si="4"/>
        <v>0.14285714285714285</v>
      </c>
      <c r="AB11" s="357"/>
      <c r="AC11" s="357"/>
      <c r="AD11" s="357"/>
      <c r="AE11" s="167"/>
      <c r="AI11" s="357">
        <f>MAX($B$2:B11)</f>
        <v>10</v>
      </c>
    </row>
    <row r="12" spans="1:46" x14ac:dyDescent="0.25">
      <c r="A12" s="2">
        <v>43903</v>
      </c>
      <c r="B12" s="124">
        <v>3</v>
      </c>
      <c r="C12" s="124">
        <v>34</v>
      </c>
      <c r="D12" s="124">
        <v>1</v>
      </c>
      <c r="E12" s="124">
        <v>2</v>
      </c>
      <c r="F12" s="126">
        <f t="shared" si="2"/>
        <v>0</v>
      </c>
      <c r="G12" s="149">
        <v>0</v>
      </c>
      <c r="H12" s="124"/>
      <c r="I12" s="124"/>
      <c r="J12" s="1"/>
      <c r="K12" s="611">
        <f t="shared" si="0"/>
        <v>5.8823529411764705E-2</v>
      </c>
      <c r="L12" s="14"/>
      <c r="M12" s="1"/>
      <c r="N12" s="316">
        <v>30</v>
      </c>
      <c r="O12" s="1">
        <v>4</v>
      </c>
      <c r="P12" s="1">
        <v>0</v>
      </c>
      <c r="Q12" s="1">
        <v>0</v>
      </c>
      <c r="R12" s="96">
        <f t="shared" si="1"/>
        <v>32</v>
      </c>
      <c r="S12" s="1"/>
      <c r="T12" s="4"/>
      <c r="U12" s="91"/>
      <c r="V12" s="91">
        <f>B12/POBLA!$B$25*100000</f>
        <v>6.6108183265370076E-3</v>
      </c>
      <c r="W12" s="625" t="e">
        <f>SUM(#REF!)/SUM(#REF!)</f>
        <v>#REF!</v>
      </c>
      <c r="Z12" s="167">
        <f t="shared" si="3"/>
        <v>3.7142857142857144</v>
      </c>
      <c r="AA12" s="357">
        <f t="shared" si="4"/>
        <v>0.2857142857142857</v>
      </c>
      <c r="AB12" s="357"/>
      <c r="AC12" s="357"/>
      <c r="AD12" s="357"/>
      <c r="AE12" s="167"/>
      <c r="AI12" s="357">
        <f>MAX($B$2:B12)</f>
        <v>10</v>
      </c>
    </row>
    <row r="13" spans="1:46" x14ac:dyDescent="0.25">
      <c r="A13" s="2">
        <v>43904</v>
      </c>
      <c r="B13" s="124">
        <v>11</v>
      </c>
      <c r="C13" s="124">
        <v>45</v>
      </c>
      <c r="D13" s="124">
        <v>0</v>
      </c>
      <c r="E13" s="124">
        <v>2</v>
      </c>
      <c r="F13" s="126">
        <f t="shared" si="2"/>
        <v>0</v>
      </c>
      <c r="G13" s="149">
        <v>0</v>
      </c>
      <c r="H13" s="124"/>
      <c r="I13" s="124"/>
      <c r="J13" s="1"/>
      <c r="K13" s="611">
        <f t="shared" si="0"/>
        <v>4.4444444444444446E-2</v>
      </c>
      <c r="L13" s="14"/>
      <c r="M13" s="1"/>
      <c r="N13" s="316">
        <v>40</v>
      </c>
      <c r="O13" s="1">
        <v>5</v>
      </c>
      <c r="P13" s="1">
        <v>0</v>
      </c>
      <c r="Q13" s="1">
        <v>0</v>
      </c>
      <c r="R13" s="96">
        <f t="shared" si="1"/>
        <v>43</v>
      </c>
      <c r="S13" s="1"/>
      <c r="T13" s="4"/>
      <c r="U13" s="91"/>
      <c r="V13" s="91">
        <f>B13/POBLA!$B$25*100000</f>
        <v>2.4239667197302365E-2</v>
      </c>
      <c r="W13" s="625" t="e">
        <f>SUM(#REF!)/SUM(#REF!)</f>
        <v>#REF!</v>
      </c>
      <c r="Z13" s="167">
        <f t="shared" si="3"/>
        <v>5.1428571428571432</v>
      </c>
      <c r="AA13" s="357">
        <f t="shared" si="4"/>
        <v>0.14285714285714285</v>
      </c>
      <c r="AB13" s="357"/>
      <c r="AC13" s="357"/>
      <c r="AD13" s="357"/>
      <c r="AE13" s="167"/>
      <c r="AI13" s="357">
        <f>MAX($B$2:B13)</f>
        <v>11</v>
      </c>
    </row>
    <row r="14" spans="1:46" x14ac:dyDescent="0.25">
      <c r="A14" s="2">
        <v>43905</v>
      </c>
      <c r="B14" s="124">
        <v>11</v>
      </c>
      <c r="C14" s="124">
        <v>56</v>
      </c>
      <c r="D14" s="124">
        <v>0</v>
      </c>
      <c r="E14" s="124">
        <v>2</v>
      </c>
      <c r="F14" s="126">
        <f t="shared" si="2"/>
        <v>0</v>
      </c>
      <c r="G14" s="149">
        <v>0</v>
      </c>
      <c r="H14" s="124"/>
      <c r="I14" s="124"/>
      <c r="J14" s="1"/>
      <c r="K14" s="611">
        <f t="shared" si="0"/>
        <v>3.5714285714285712E-2</v>
      </c>
      <c r="L14" s="14"/>
      <c r="M14" s="1"/>
      <c r="N14" s="316">
        <v>48</v>
      </c>
      <c r="O14" s="1">
        <v>8</v>
      </c>
      <c r="P14" s="1">
        <v>0</v>
      </c>
      <c r="Q14" s="1">
        <v>0</v>
      </c>
      <c r="R14" s="96">
        <f t="shared" si="1"/>
        <v>54</v>
      </c>
      <c r="S14" s="35">
        <f t="shared" ref="S14:S77" si="5">H14/(C14-E14-G14)</f>
        <v>0</v>
      </c>
      <c r="T14" s="28">
        <f t="shared" ref="T14:T45" si="6">E14/C14</f>
        <v>3.5714285714285712E-2</v>
      </c>
      <c r="U14" s="91">
        <f>SUM(B1:B14)/POBLA!$B$25*100000</f>
        <v>0.12340194209535747</v>
      </c>
      <c r="V14" s="91">
        <f>B14/POBLA!$B$25*100000</f>
        <v>2.4239667197302365E-2</v>
      </c>
      <c r="W14" s="625" t="e">
        <f>SUM(B1:B14)/SUM(#REF!)</f>
        <v>#REF!</v>
      </c>
      <c r="Z14" s="167">
        <f t="shared" si="3"/>
        <v>6.2857142857142856</v>
      </c>
      <c r="AA14" s="357">
        <f t="shared" si="4"/>
        <v>0.14285714285714285</v>
      </c>
      <c r="AB14" s="357"/>
      <c r="AC14" s="357"/>
      <c r="AD14" s="357"/>
      <c r="AE14" s="167"/>
      <c r="AI14" s="357">
        <f>MAX($B$2:B14)</f>
        <v>11</v>
      </c>
      <c r="AT14" s="180"/>
    </row>
    <row r="15" spans="1:46" x14ac:dyDescent="0.25">
      <c r="A15" s="2">
        <v>43906</v>
      </c>
      <c r="B15" s="124">
        <v>9</v>
      </c>
      <c r="C15" s="124">
        <v>65</v>
      </c>
      <c r="D15" s="124">
        <v>0</v>
      </c>
      <c r="E15" s="124">
        <v>2</v>
      </c>
      <c r="F15" s="126">
        <f t="shared" si="2"/>
        <v>0</v>
      </c>
      <c r="G15" s="149">
        <v>0</v>
      </c>
      <c r="H15" s="124"/>
      <c r="I15" s="124"/>
      <c r="J15" s="1"/>
      <c r="K15" s="611">
        <f t="shared" si="0"/>
        <v>3.0769230769230771E-2</v>
      </c>
      <c r="L15" s="14"/>
      <c r="M15" s="1">
        <v>464</v>
      </c>
      <c r="N15" s="316">
        <v>56</v>
      </c>
      <c r="O15" s="1">
        <v>9</v>
      </c>
      <c r="P15" s="1">
        <v>0</v>
      </c>
      <c r="Q15" s="1">
        <v>0</v>
      </c>
      <c r="R15" s="96">
        <f t="shared" si="1"/>
        <v>63</v>
      </c>
      <c r="S15" s="35">
        <f t="shared" si="5"/>
        <v>0</v>
      </c>
      <c r="T15" s="28">
        <f t="shared" si="6"/>
        <v>3.0769230769230771E-2</v>
      </c>
      <c r="U15" s="91">
        <f>SUM(B2:B15)/POBLA!$B$25*100000</f>
        <v>0.14323439707496849</v>
      </c>
      <c r="V15" s="91">
        <f>B15/POBLA!$B$25*100000</f>
        <v>1.9832454979611027E-2</v>
      </c>
      <c r="W15" s="625" t="e">
        <f>SUM(B2:B15)/SUM(#REF!)</f>
        <v>#REF!</v>
      </c>
      <c r="Z15" s="167">
        <f t="shared" si="3"/>
        <v>6.8571428571428568</v>
      </c>
      <c r="AA15" s="357">
        <f t="shared" si="4"/>
        <v>0.14285714285714285</v>
      </c>
      <c r="AB15" s="357"/>
      <c r="AC15" s="357"/>
      <c r="AD15" s="357"/>
      <c r="AE15" s="167"/>
      <c r="AI15" s="357">
        <f>MAX($B$2:B15)</f>
        <v>11</v>
      </c>
      <c r="AT15" s="180"/>
    </row>
    <row r="16" spans="1:46" x14ac:dyDescent="0.25">
      <c r="A16" s="2">
        <v>43907</v>
      </c>
      <c r="B16" s="124">
        <v>13</v>
      </c>
      <c r="C16" s="124">
        <v>78</v>
      </c>
      <c r="D16" s="124">
        <v>0</v>
      </c>
      <c r="E16" s="124">
        <v>2</v>
      </c>
      <c r="F16" s="126">
        <f t="shared" si="2"/>
        <v>0</v>
      </c>
      <c r="G16" s="149">
        <v>0</v>
      </c>
      <c r="H16" s="124"/>
      <c r="I16" s="124"/>
      <c r="J16" s="1"/>
      <c r="K16" s="611">
        <f t="shared" si="0"/>
        <v>2.564102564102564E-2</v>
      </c>
      <c r="L16" s="14">
        <v>496</v>
      </c>
      <c r="M16" s="1">
        <v>496</v>
      </c>
      <c r="N16" s="316">
        <v>67</v>
      </c>
      <c r="O16" s="1">
        <v>11</v>
      </c>
      <c r="P16" s="1">
        <v>0</v>
      </c>
      <c r="Q16" s="1">
        <v>0</v>
      </c>
      <c r="R16" s="96">
        <f t="shared" si="1"/>
        <v>76</v>
      </c>
      <c r="S16" s="35">
        <f t="shared" si="5"/>
        <v>0</v>
      </c>
      <c r="T16" s="28">
        <f t="shared" si="6"/>
        <v>2.564102564102564E-2</v>
      </c>
      <c r="U16" s="91">
        <f>SUM(B3:B16)/POBLA!$B$25*100000</f>
        <v>0.16967767038111653</v>
      </c>
      <c r="V16" s="91">
        <f>B16/POBLA!$B$25*100000</f>
        <v>2.8646879414993703E-2</v>
      </c>
      <c r="W16" s="625" t="e">
        <f>SUM(B3:B16)/SUM(#REF!)</f>
        <v>#REF!</v>
      </c>
      <c r="Z16" s="167">
        <f t="shared" si="3"/>
        <v>8.4285714285714288</v>
      </c>
      <c r="AA16" s="357">
        <f t="shared" si="4"/>
        <v>0.14285714285714285</v>
      </c>
      <c r="AB16" s="357"/>
      <c r="AC16" s="357"/>
      <c r="AD16" s="357"/>
      <c r="AE16" s="167"/>
      <c r="AI16" s="357">
        <f>MAX($B$2:B16)</f>
        <v>13</v>
      </c>
      <c r="AT16" s="180"/>
    </row>
    <row r="17" spans="1:46" x14ac:dyDescent="0.25">
      <c r="A17" s="2">
        <v>43908</v>
      </c>
      <c r="B17" s="124">
        <v>19</v>
      </c>
      <c r="C17" s="124">
        <v>97</v>
      </c>
      <c r="D17" s="124">
        <v>1</v>
      </c>
      <c r="E17" s="124">
        <v>3</v>
      </c>
      <c r="F17" s="126">
        <f t="shared" si="2"/>
        <v>18</v>
      </c>
      <c r="G17" s="149">
        <v>18</v>
      </c>
      <c r="H17" s="124"/>
      <c r="I17" s="124"/>
      <c r="J17" s="1"/>
      <c r="K17" s="611">
        <f t="shared" si="0"/>
        <v>3.0927835051546393E-2</v>
      </c>
      <c r="L17" s="14">
        <v>562</v>
      </c>
      <c r="M17" s="1">
        <v>562</v>
      </c>
      <c r="N17" s="316">
        <v>80</v>
      </c>
      <c r="O17" s="1">
        <v>16</v>
      </c>
      <c r="P17" s="1">
        <v>0</v>
      </c>
      <c r="Q17" s="12">
        <f t="shared" ref="Q17:Q48" si="7">C17-P17-O17-N17</f>
        <v>1</v>
      </c>
      <c r="R17" s="96">
        <f t="shared" si="1"/>
        <v>76</v>
      </c>
      <c r="S17" s="35">
        <f t="shared" si="5"/>
        <v>0</v>
      </c>
      <c r="T17" s="28">
        <f t="shared" si="6"/>
        <v>3.0927835051546393E-2</v>
      </c>
      <c r="U17" s="91">
        <f>SUM(B4:B17)/POBLA!$B$25*100000</f>
        <v>0.21154618644918424</v>
      </c>
      <c r="V17" s="91">
        <f>B17/POBLA!$B$25*100000</f>
        <v>4.186851606806772E-2</v>
      </c>
      <c r="W17" s="625" t="e">
        <f>SUM(B4:B17)/SUM(#REF!)</f>
        <v>#REF!</v>
      </c>
      <c r="Z17" s="167">
        <f t="shared" si="3"/>
        <v>10.857142857142858</v>
      </c>
      <c r="AA17" s="357">
        <f t="shared" si="4"/>
        <v>0.2857142857142857</v>
      </c>
      <c r="AB17" s="357"/>
      <c r="AC17" s="357"/>
      <c r="AD17" s="357"/>
      <c r="AE17" s="167"/>
      <c r="AI17" s="357">
        <f>MAX($B$2:B17)</f>
        <v>19</v>
      </c>
      <c r="AT17" s="180"/>
    </row>
    <row r="18" spans="1:46" x14ac:dyDescent="0.25">
      <c r="A18" s="2">
        <v>43909</v>
      </c>
      <c r="B18" s="124">
        <v>31</v>
      </c>
      <c r="C18" s="124">
        <v>128</v>
      </c>
      <c r="D18" s="124">
        <v>0</v>
      </c>
      <c r="E18" s="124">
        <v>3</v>
      </c>
      <c r="F18" s="126">
        <f t="shared" si="2"/>
        <v>5</v>
      </c>
      <c r="G18" s="149">
        <v>23</v>
      </c>
      <c r="H18" s="124"/>
      <c r="I18" s="124"/>
      <c r="J18" s="1"/>
      <c r="K18" s="611">
        <f t="shared" si="0"/>
        <v>2.34375E-2</v>
      </c>
      <c r="L18" s="14">
        <v>705</v>
      </c>
      <c r="M18" s="1">
        <v>705</v>
      </c>
      <c r="N18" s="316">
        <v>100</v>
      </c>
      <c r="O18" s="1">
        <v>22</v>
      </c>
      <c r="P18" s="1">
        <v>0</v>
      </c>
      <c r="Q18" s="12">
        <f t="shared" si="7"/>
        <v>6</v>
      </c>
      <c r="R18" s="96">
        <f t="shared" si="1"/>
        <v>102</v>
      </c>
      <c r="S18" s="35">
        <f t="shared" si="5"/>
        <v>0</v>
      </c>
      <c r="T18" s="28">
        <f t="shared" si="6"/>
        <v>2.34375E-2</v>
      </c>
      <c r="U18" s="91">
        <f>SUM(B5:B18)/POBLA!$B$25*100000</f>
        <v>0.27765436971455437</v>
      </c>
      <c r="V18" s="91">
        <f>B18/POBLA!$B$25*100000</f>
        <v>6.8311789374215753E-2</v>
      </c>
      <c r="W18" s="625" t="e">
        <f>SUM(B5:B18)/SUM(#REF!)</f>
        <v>#REF!</v>
      </c>
      <c r="Z18" s="167">
        <f t="shared" si="3"/>
        <v>13.857142857142858</v>
      </c>
      <c r="AA18" s="357">
        <f t="shared" si="4"/>
        <v>0.2857142857142857</v>
      </c>
      <c r="AB18" s="357"/>
      <c r="AC18" s="357"/>
      <c r="AD18" s="357"/>
      <c r="AE18" s="167"/>
      <c r="AI18" s="357">
        <f>MAX($B$2:B18)</f>
        <v>31</v>
      </c>
      <c r="AT18" s="180"/>
    </row>
    <row r="19" spans="1:46" x14ac:dyDescent="0.25">
      <c r="A19" s="2">
        <v>43910</v>
      </c>
      <c r="B19" s="124">
        <v>30</v>
      </c>
      <c r="C19" s="124">
        <v>158</v>
      </c>
      <c r="D19" s="124">
        <v>0</v>
      </c>
      <c r="E19" s="124">
        <v>3</v>
      </c>
      <c r="F19" s="126">
        <f t="shared" si="2"/>
        <v>4</v>
      </c>
      <c r="G19" s="149">
        <v>27</v>
      </c>
      <c r="H19" s="124"/>
      <c r="I19" s="124"/>
      <c r="J19" s="1"/>
      <c r="K19" s="611">
        <f t="shared" si="0"/>
        <v>1.8987341772151899E-2</v>
      </c>
      <c r="L19" s="14">
        <v>872</v>
      </c>
      <c r="M19" s="1">
        <v>872</v>
      </c>
      <c r="N19" s="316">
        <v>122</v>
      </c>
      <c r="O19" s="1">
        <v>26</v>
      </c>
      <c r="P19" s="1">
        <v>0</v>
      </c>
      <c r="Q19" s="12">
        <f t="shared" si="7"/>
        <v>10</v>
      </c>
      <c r="R19" s="96">
        <f t="shared" si="1"/>
        <v>128</v>
      </c>
      <c r="S19" s="35">
        <f t="shared" si="5"/>
        <v>0</v>
      </c>
      <c r="T19" s="28">
        <f t="shared" si="6"/>
        <v>1.8987341772151899E-2</v>
      </c>
      <c r="U19" s="91">
        <f>SUM(B6:B19)/POBLA!$B$25*100000</f>
        <v>0.3305409163268504</v>
      </c>
      <c r="V19" s="91">
        <f>B19/POBLA!$B$25*100000</f>
        <v>6.6108183265370088E-2</v>
      </c>
      <c r="W19" s="625" t="e">
        <f>SUM(B6:B19)/SUM(#REF!)</f>
        <v>#REF!</v>
      </c>
      <c r="Z19" s="167">
        <f t="shared" si="3"/>
        <v>17.714285714285715</v>
      </c>
      <c r="AA19" s="357">
        <f t="shared" si="4"/>
        <v>0.14285714285714285</v>
      </c>
      <c r="AB19" s="357"/>
      <c r="AC19" s="357"/>
      <c r="AD19" s="357"/>
      <c r="AE19" s="167"/>
      <c r="AI19" s="357">
        <f>MAX($B$2:B19)</f>
        <v>31</v>
      </c>
      <c r="AT19" s="180"/>
    </row>
    <row r="20" spans="1:46" x14ac:dyDescent="0.25">
      <c r="A20" s="2">
        <v>43911</v>
      </c>
      <c r="B20" s="124">
        <v>67</v>
      </c>
      <c r="C20" s="124">
        <v>225</v>
      </c>
      <c r="D20" s="124">
        <v>1</v>
      </c>
      <c r="E20" s="124">
        <v>4</v>
      </c>
      <c r="F20" s="126">
        <f t="shared" si="2"/>
        <v>4</v>
      </c>
      <c r="G20" s="149">
        <v>31</v>
      </c>
      <c r="H20" s="124"/>
      <c r="I20" s="124"/>
      <c r="J20" s="1"/>
      <c r="K20" s="611">
        <f t="shared" si="0"/>
        <v>1.7777777777777778E-2</v>
      </c>
      <c r="L20" s="14">
        <v>1028</v>
      </c>
      <c r="M20" s="1">
        <v>1028</v>
      </c>
      <c r="N20" s="316">
        <v>167</v>
      </c>
      <c r="O20" s="1">
        <v>38</v>
      </c>
      <c r="P20" s="1">
        <v>0</v>
      </c>
      <c r="Q20" s="12">
        <f t="shared" si="7"/>
        <v>20</v>
      </c>
      <c r="R20" s="96">
        <f t="shared" si="1"/>
        <v>190</v>
      </c>
      <c r="S20" s="35">
        <f t="shared" si="5"/>
        <v>0</v>
      </c>
      <c r="T20" s="28">
        <f t="shared" si="6"/>
        <v>1.7777777777777778E-2</v>
      </c>
      <c r="U20" s="91">
        <f>SUM(B7:B20)/POBLA!$B$25*100000</f>
        <v>0.47597891951066462</v>
      </c>
      <c r="V20" s="91">
        <f>B20/POBLA!$B$25*100000</f>
        <v>0.14764160929265985</v>
      </c>
      <c r="W20" s="625" t="e">
        <f>SUM(B7:B20)/SUM(#REF!)</f>
        <v>#REF!</v>
      </c>
      <c r="Z20" s="167">
        <f t="shared" si="3"/>
        <v>25.714285714285715</v>
      </c>
      <c r="AA20" s="357">
        <f t="shared" si="4"/>
        <v>0.2857142857142857</v>
      </c>
      <c r="AB20" s="357"/>
      <c r="AC20" s="357"/>
      <c r="AD20" s="357"/>
      <c r="AE20" s="167"/>
      <c r="AI20" s="357">
        <f>MAX($B$2:B20)</f>
        <v>67</v>
      </c>
      <c r="AT20" s="180"/>
    </row>
    <row r="21" spans="1:46" x14ac:dyDescent="0.25">
      <c r="A21" s="2">
        <v>43912</v>
      </c>
      <c r="B21" s="124">
        <v>41</v>
      </c>
      <c r="C21" s="124">
        <v>266</v>
      </c>
      <c r="D21" s="124">
        <v>0</v>
      </c>
      <c r="E21" s="124">
        <v>4</v>
      </c>
      <c r="F21" s="126">
        <f t="shared" si="2"/>
        <v>20</v>
      </c>
      <c r="G21" s="149">
        <v>51</v>
      </c>
      <c r="H21" s="124"/>
      <c r="I21" s="124"/>
      <c r="J21" s="1"/>
      <c r="K21" s="611">
        <f t="shared" si="0"/>
        <v>1.5037593984962405E-2</v>
      </c>
      <c r="L21" s="14">
        <v>1271</v>
      </c>
      <c r="M21" s="1">
        <v>1271</v>
      </c>
      <c r="N21" s="316">
        <v>189</v>
      </c>
      <c r="O21" s="1">
        <v>59</v>
      </c>
      <c r="P21" s="1">
        <v>1</v>
      </c>
      <c r="Q21" s="12">
        <f t="shared" si="7"/>
        <v>17</v>
      </c>
      <c r="R21" s="96">
        <f t="shared" si="1"/>
        <v>211</v>
      </c>
      <c r="S21" s="35">
        <f t="shared" si="5"/>
        <v>0</v>
      </c>
      <c r="T21" s="28">
        <f t="shared" si="6"/>
        <v>1.5037593984962405E-2</v>
      </c>
      <c r="U21" s="91">
        <f>SUM(B8:B21)/POBLA!$B$25*100000</f>
        <v>0.5597159516468001</v>
      </c>
      <c r="V21" s="91">
        <f>B21/POBLA!$B$25*100000</f>
        <v>9.0347850462672435E-2</v>
      </c>
      <c r="W21" s="625" t="e">
        <f>SUM(B8:B21)/SUM(#REF!)</f>
        <v>#REF!</v>
      </c>
      <c r="Z21" s="167">
        <f t="shared" si="3"/>
        <v>30</v>
      </c>
      <c r="AA21" s="357">
        <f t="shared" si="4"/>
        <v>0.2857142857142857</v>
      </c>
      <c r="AB21" s="357"/>
      <c r="AC21" s="357"/>
      <c r="AD21" s="357"/>
      <c r="AE21" s="68">
        <f t="shared" ref="AE21:AE84" si="8">Z21/Z14</f>
        <v>4.7727272727272725</v>
      </c>
      <c r="AI21" s="357">
        <f>MAX($B$2:B21)</f>
        <v>67</v>
      </c>
      <c r="AT21" s="180"/>
    </row>
    <row r="22" spans="1:46" x14ac:dyDescent="0.25">
      <c r="A22" s="2">
        <v>43913</v>
      </c>
      <c r="B22" s="125">
        <v>36</v>
      </c>
      <c r="C22" s="125">
        <v>301</v>
      </c>
      <c r="D22" s="125">
        <v>0</v>
      </c>
      <c r="E22" s="124">
        <v>4</v>
      </c>
      <c r="F22" s="126">
        <f t="shared" si="2"/>
        <v>1</v>
      </c>
      <c r="G22" s="149">
        <v>52</v>
      </c>
      <c r="H22" s="124"/>
      <c r="I22" s="124"/>
      <c r="J22" s="1"/>
      <c r="K22" s="611">
        <f t="shared" si="0"/>
        <v>1.3289036544850499E-2</v>
      </c>
      <c r="L22" s="14">
        <v>1453</v>
      </c>
      <c r="M22" s="1">
        <v>1453</v>
      </c>
      <c r="N22" s="316">
        <v>206</v>
      </c>
      <c r="O22" s="1">
        <v>64</v>
      </c>
      <c r="P22" s="1">
        <v>1</v>
      </c>
      <c r="Q22" s="12">
        <f t="shared" si="7"/>
        <v>30</v>
      </c>
      <c r="R22" s="96">
        <f t="shared" si="1"/>
        <v>245</v>
      </c>
      <c r="S22" s="35">
        <f t="shared" si="5"/>
        <v>0</v>
      </c>
      <c r="T22" s="28">
        <f t="shared" si="6"/>
        <v>1.3289036544850499E-2</v>
      </c>
      <c r="U22" s="91">
        <f>SUM(B9:B22)/POBLA!$B$25*100000</f>
        <v>0.62802774102101577</v>
      </c>
      <c r="V22" s="91">
        <f>B22/POBLA!$B$25*100000</f>
        <v>7.9329819918444108E-2</v>
      </c>
      <c r="W22" s="625" t="e">
        <f>SUM(B9:B22)/SUM(#REF!)</f>
        <v>#REF!</v>
      </c>
      <c r="Z22" s="167">
        <f t="shared" si="3"/>
        <v>33.857142857142854</v>
      </c>
      <c r="AA22" s="357">
        <f t="shared" si="4"/>
        <v>0.2857142857142857</v>
      </c>
      <c r="AB22" s="357">
        <f t="shared" ref="AB22:AB31" si="9">Z8*0.023</f>
        <v>5.5857142857142855E-2</v>
      </c>
      <c r="AC22" s="610">
        <f t="shared" ref="AC22:AC85" si="10">AB22-AA22</f>
        <v>-0.22985714285714284</v>
      </c>
      <c r="AD22" s="610">
        <f t="shared" ref="AD22:AD85" si="11">AVERAGE(B9:B22)</f>
        <v>20.357142857142858</v>
      </c>
      <c r="AE22" s="68">
        <f t="shared" si="8"/>
        <v>4.9375</v>
      </c>
      <c r="AI22" s="357">
        <f>MAX($B$2:B22)</f>
        <v>67</v>
      </c>
      <c r="AT22" s="180"/>
    </row>
    <row r="23" spans="1:46" x14ac:dyDescent="0.25">
      <c r="A23" s="2">
        <v>43914</v>
      </c>
      <c r="B23" s="124">
        <v>86</v>
      </c>
      <c r="C23" s="124">
        <v>387</v>
      </c>
      <c r="D23" s="125">
        <v>2</v>
      </c>
      <c r="E23" s="124">
        <v>6</v>
      </c>
      <c r="F23" s="126">
        <f t="shared" si="2"/>
        <v>11</v>
      </c>
      <c r="G23" s="149">
        <v>63</v>
      </c>
      <c r="H23" s="124"/>
      <c r="I23" s="124"/>
      <c r="J23" s="1"/>
      <c r="K23" s="611">
        <f t="shared" si="0"/>
        <v>1.5503875968992248E-2</v>
      </c>
      <c r="L23" s="14">
        <v>1453</v>
      </c>
      <c r="M23" s="1">
        <v>1453</v>
      </c>
      <c r="N23" s="316">
        <v>247</v>
      </c>
      <c r="O23" s="1">
        <v>84</v>
      </c>
      <c r="P23" s="1">
        <v>1</v>
      </c>
      <c r="Q23" s="12">
        <f t="shared" si="7"/>
        <v>55</v>
      </c>
      <c r="R23" s="96">
        <f t="shared" si="1"/>
        <v>318</v>
      </c>
      <c r="S23" s="35">
        <f t="shared" si="5"/>
        <v>0</v>
      </c>
      <c r="T23" s="28">
        <f t="shared" si="6"/>
        <v>1.5503875968992248E-2</v>
      </c>
      <c r="U23" s="91">
        <f>SUM(B10:B23)/POBLA!$B$25*100000</f>
        <v>0.81313065416405195</v>
      </c>
      <c r="V23" s="91">
        <f>B23/POBLA!$B$25*100000</f>
        <v>0.18951012536072756</v>
      </c>
      <c r="W23" s="625" t="e">
        <f>SUM(B10:B23)/SUM(#REF!)</f>
        <v>#REF!</v>
      </c>
      <c r="Z23" s="167">
        <f t="shared" si="3"/>
        <v>44.285714285714285</v>
      </c>
      <c r="AA23" s="357">
        <f t="shared" si="4"/>
        <v>0.5714285714285714</v>
      </c>
      <c r="AB23" s="357">
        <f t="shared" si="9"/>
        <v>5.9142857142857143E-2</v>
      </c>
      <c r="AC23" s="610">
        <f t="shared" si="10"/>
        <v>-0.51228571428571423</v>
      </c>
      <c r="AD23" s="610">
        <f t="shared" si="11"/>
        <v>26.357142857142858</v>
      </c>
      <c r="AE23" s="68">
        <f t="shared" si="8"/>
        <v>5.2542372881355925</v>
      </c>
      <c r="AI23" s="357">
        <f>MAX($B$2:B23)</f>
        <v>86</v>
      </c>
      <c r="AT23" s="180"/>
    </row>
    <row r="24" spans="1:46" x14ac:dyDescent="0.25">
      <c r="A24" s="2">
        <v>43915</v>
      </c>
      <c r="B24" s="124">
        <v>117</v>
      </c>
      <c r="C24" s="124">
        <v>503</v>
      </c>
      <c r="D24" s="124">
        <v>2</v>
      </c>
      <c r="E24" s="124">
        <v>8</v>
      </c>
      <c r="F24" s="126">
        <f t="shared" si="2"/>
        <v>9</v>
      </c>
      <c r="G24" s="149">
        <v>72</v>
      </c>
      <c r="H24" s="124"/>
      <c r="I24" s="124"/>
      <c r="J24" s="1"/>
      <c r="K24" s="611">
        <f t="shared" si="0"/>
        <v>1.5904572564612324E-2</v>
      </c>
      <c r="L24" s="14">
        <v>1946</v>
      </c>
      <c r="M24" s="1">
        <v>1946</v>
      </c>
      <c r="N24" s="316">
        <v>250</v>
      </c>
      <c r="O24" s="1">
        <v>102</v>
      </c>
      <c r="P24" s="1">
        <v>1</v>
      </c>
      <c r="Q24" s="12">
        <f t="shared" si="7"/>
        <v>150</v>
      </c>
      <c r="R24" s="96">
        <f t="shared" si="1"/>
        <v>423</v>
      </c>
      <c r="S24" s="35">
        <f t="shared" si="5"/>
        <v>0</v>
      </c>
      <c r="T24" s="28">
        <f t="shared" si="6"/>
        <v>1.5904572564612324E-2</v>
      </c>
      <c r="U24" s="91">
        <f>SUM(B11:B24)/POBLA!$B$25*100000</f>
        <v>1.0665453566813039</v>
      </c>
      <c r="V24" s="91">
        <f>B24/POBLA!$B$25*100000</f>
        <v>0.25782191473494331</v>
      </c>
      <c r="W24" s="625" t="e">
        <f>SUM(B11:B24)/SUM(#REF!)</f>
        <v>#REF!</v>
      </c>
      <c r="Z24" s="167">
        <f t="shared" si="3"/>
        <v>58.285714285714285</v>
      </c>
      <c r="AA24" s="357">
        <f t="shared" si="4"/>
        <v>0.7142857142857143</v>
      </c>
      <c r="AB24" s="357">
        <f t="shared" si="9"/>
        <v>6.5714285714285711E-2</v>
      </c>
      <c r="AC24" s="610">
        <f t="shared" si="10"/>
        <v>-0.64857142857142858</v>
      </c>
      <c r="AD24" s="610">
        <f t="shared" si="11"/>
        <v>34.571428571428569</v>
      </c>
      <c r="AE24" s="68">
        <f t="shared" si="8"/>
        <v>5.3684210526315788</v>
      </c>
      <c r="AI24" s="357">
        <f>MAX($B$2:B24)</f>
        <v>117</v>
      </c>
      <c r="AT24" s="180"/>
    </row>
    <row r="25" spans="1:46" x14ac:dyDescent="0.25">
      <c r="A25" s="2">
        <v>43916</v>
      </c>
      <c r="B25" s="124">
        <v>87</v>
      </c>
      <c r="C25" s="124">
        <v>589</v>
      </c>
      <c r="D25" s="124">
        <v>4</v>
      </c>
      <c r="E25" s="124">
        <v>12</v>
      </c>
      <c r="F25" s="126">
        <f t="shared" si="2"/>
        <v>3</v>
      </c>
      <c r="G25" s="149">
        <v>75</v>
      </c>
      <c r="H25" s="124">
        <v>25</v>
      </c>
      <c r="I25" s="124"/>
      <c r="J25" s="1"/>
      <c r="K25" s="611">
        <f t="shared" si="0"/>
        <v>2.037351443123939E-2</v>
      </c>
      <c r="L25" s="14">
        <v>2558</v>
      </c>
      <c r="M25" s="1">
        <v>2558</v>
      </c>
      <c r="N25" s="316">
        <v>287</v>
      </c>
      <c r="O25" s="1">
        <v>126</v>
      </c>
      <c r="P25" s="1">
        <v>1</v>
      </c>
      <c r="Q25" s="12">
        <f t="shared" si="7"/>
        <v>175</v>
      </c>
      <c r="R25" s="96">
        <f t="shared" si="1"/>
        <v>502</v>
      </c>
      <c r="S25" s="35">
        <f t="shared" si="5"/>
        <v>4.9800796812749001E-2</v>
      </c>
      <c r="T25" s="28">
        <f t="shared" si="6"/>
        <v>2.037351443123939E-2</v>
      </c>
      <c r="U25" s="91">
        <f>SUM(B12:B25)/POBLA!$B$25*100000</f>
        <v>1.2362230270624204</v>
      </c>
      <c r="V25" s="91">
        <f>B25/POBLA!$B$25*100000</f>
        <v>0.19171373146957324</v>
      </c>
      <c r="W25" s="625" t="e">
        <f>SUM(B12:B25)/SUM(#REF!)</f>
        <v>#REF!</v>
      </c>
      <c r="Z25" s="167">
        <f t="shared" si="3"/>
        <v>66.285714285714292</v>
      </c>
      <c r="AA25" s="357">
        <f t="shared" si="4"/>
        <v>1.2857142857142858</v>
      </c>
      <c r="AB25" s="357">
        <f t="shared" si="9"/>
        <v>9.5285714285714293E-2</v>
      </c>
      <c r="AC25" s="610">
        <f t="shared" si="10"/>
        <v>-1.1904285714285716</v>
      </c>
      <c r="AD25" s="610">
        <f t="shared" si="11"/>
        <v>40.071428571428569</v>
      </c>
      <c r="AE25" s="68">
        <f t="shared" si="8"/>
        <v>4.7835051546391751</v>
      </c>
      <c r="AI25" s="357">
        <f>MAX($B$2:B25)</f>
        <v>117</v>
      </c>
      <c r="AT25" s="180"/>
    </row>
    <row r="26" spans="1:46" x14ac:dyDescent="0.25">
      <c r="A26" s="2">
        <v>43917</v>
      </c>
      <c r="B26" s="124">
        <v>101</v>
      </c>
      <c r="C26" s="124">
        <v>690</v>
      </c>
      <c r="D26" s="124">
        <v>5</v>
      </c>
      <c r="E26" s="124">
        <v>17</v>
      </c>
      <c r="F26" s="126">
        <f t="shared" si="2"/>
        <v>5</v>
      </c>
      <c r="G26" s="149">
        <v>80</v>
      </c>
      <c r="H26" s="124"/>
      <c r="I26" s="124"/>
      <c r="J26" s="1"/>
      <c r="K26" s="611">
        <f t="shared" si="0"/>
        <v>2.4637681159420291E-2</v>
      </c>
      <c r="L26" s="14">
        <v>2817</v>
      </c>
      <c r="M26" s="1">
        <v>2817</v>
      </c>
      <c r="N26" s="316">
        <v>387</v>
      </c>
      <c r="O26" s="1">
        <v>167</v>
      </c>
      <c r="P26" s="1">
        <v>1</v>
      </c>
      <c r="Q26" s="12">
        <f t="shared" si="7"/>
        <v>135</v>
      </c>
      <c r="R26" s="96">
        <f t="shared" si="1"/>
        <v>593</v>
      </c>
      <c r="S26" s="35">
        <f t="shared" si="5"/>
        <v>0</v>
      </c>
      <c r="T26" s="28">
        <f t="shared" si="6"/>
        <v>2.4637681159420291E-2</v>
      </c>
      <c r="U26" s="91">
        <f>SUM(B13:B26)/POBLA!$B$25*100000</f>
        <v>1.4521764257292962</v>
      </c>
      <c r="V26" s="91">
        <f>B26/POBLA!$B$25*100000</f>
        <v>0.22256421699341261</v>
      </c>
      <c r="W26" s="625" t="e">
        <f>SUM(B13:B26)/SUM(#REF!)</f>
        <v>#REF!</v>
      </c>
      <c r="Z26" s="167">
        <f t="shared" si="3"/>
        <v>76.428571428571431</v>
      </c>
      <c r="AA26" s="357">
        <f t="shared" si="4"/>
        <v>2</v>
      </c>
      <c r="AB26" s="357">
        <f t="shared" si="9"/>
        <v>8.5428571428571423E-2</v>
      </c>
      <c r="AC26" s="610">
        <f t="shared" si="10"/>
        <v>-1.9145714285714286</v>
      </c>
      <c r="AD26" s="610">
        <f t="shared" si="11"/>
        <v>47.071428571428569</v>
      </c>
      <c r="AE26" s="68">
        <f t="shared" si="8"/>
        <v>4.314516129032258</v>
      </c>
      <c r="AI26" s="357">
        <f>MAX($B$2:B26)</f>
        <v>117</v>
      </c>
      <c r="AT26" s="180"/>
    </row>
    <row r="27" spans="1:46" x14ac:dyDescent="0.25">
      <c r="A27" s="2">
        <v>43918</v>
      </c>
      <c r="B27" s="124">
        <v>55</v>
      </c>
      <c r="C27" s="124">
        <v>745</v>
      </c>
      <c r="D27" s="124">
        <v>2</v>
      </c>
      <c r="E27" s="124">
        <v>19</v>
      </c>
      <c r="F27" s="126">
        <f t="shared" si="2"/>
        <v>11</v>
      </c>
      <c r="G27" s="149">
        <v>91</v>
      </c>
      <c r="H27" s="124">
        <v>44</v>
      </c>
      <c r="I27" s="124"/>
      <c r="J27" s="1"/>
      <c r="K27" s="611">
        <f t="shared" si="0"/>
        <v>2.5503355704697986E-2</v>
      </c>
      <c r="L27" s="14">
        <v>3215</v>
      </c>
      <c r="M27" s="1">
        <v>3215</v>
      </c>
      <c r="N27" s="316">
        <v>408</v>
      </c>
      <c r="O27" s="1">
        <v>185</v>
      </c>
      <c r="P27" s="1">
        <v>1</v>
      </c>
      <c r="Q27" s="12">
        <f t="shared" si="7"/>
        <v>151</v>
      </c>
      <c r="R27" s="96">
        <f t="shared" si="1"/>
        <v>635</v>
      </c>
      <c r="S27" s="35">
        <f t="shared" si="5"/>
        <v>6.9291338582677164E-2</v>
      </c>
      <c r="T27" s="28">
        <f t="shared" si="6"/>
        <v>2.5503355704697986E-2</v>
      </c>
      <c r="U27" s="91">
        <f>SUM(B14:B27)/POBLA!$B$25*100000</f>
        <v>1.5491350945185056</v>
      </c>
      <c r="V27" s="91">
        <f>B27/POBLA!$B$25*100000</f>
        <v>0.12119833598651182</v>
      </c>
      <c r="W27" s="625" t="e">
        <f>SUM(B14:B27)/SUM(#REF!)</f>
        <v>#REF!</v>
      </c>
      <c r="Z27" s="167">
        <f t="shared" si="3"/>
        <v>74.714285714285708</v>
      </c>
      <c r="AA27" s="357">
        <f t="shared" si="4"/>
        <v>2.1428571428571428</v>
      </c>
      <c r="AB27" s="357">
        <f t="shared" si="9"/>
        <v>0.11828571428571429</v>
      </c>
      <c r="AC27" s="610">
        <f t="shared" si="10"/>
        <v>-2.0245714285714285</v>
      </c>
      <c r="AD27" s="610">
        <f t="shared" si="11"/>
        <v>50.214285714285715</v>
      </c>
      <c r="AE27" s="68">
        <f t="shared" si="8"/>
        <v>2.905555555555555</v>
      </c>
      <c r="AI27" s="357">
        <f>MAX($B$2:B27)</f>
        <v>117</v>
      </c>
      <c r="AT27" s="180"/>
    </row>
    <row r="28" spans="1:46" x14ac:dyDescent="0.25">
      <c r="A28" s="2">
        <v>43919</v>
      </c>
      <c r="B28" s="124">
        <v>75</v>
      </c>
      <c r="C28" s="124">
        <v>820</v>
      </c>
      <c r="D28" s="124">
        <v>1</v>
      </c>
      <c r="E28" s="124">
        <v>20</v>
      </c>
      <c r="F28" s="126">
        <f t="shared" si="2"/>
        <v>137</v>
      </c>
      <c r="G28" s="149">
        <v>228</v>
      </c>
      <c r="H28" s="124">
        <v>53</v>
      </c>
      <c r="I28" s="124"/>
      <c r="J28" s="1"/>
      <c r="K28" s="611">
        <f t="shared" si="0"/>
        <v>2.4390243902439025E-2</v>
      </c>
      <c r="L28" s="14">
        <v>3580</v>
      </c>
      <c r="M28" s="1">
        <v>3580</v>
      </c>
      <c r="N28" s="316">
        <v>442</v>
      </c>
      <c r="O28" s="1">
        <v>207</v>
      </c>
      <c r="P28" s="1">
        <v>1</v>
      </c>
      <c r="Q28" s="12">
        <f t="shared" si="7"/>
        <v>170</v>
      </c>
      <c r="R28" s="96">
        <f t="shared" si="1"/>
        <v>572</v>
      </c>
      <c r="S28" s="35">
        <f t="shared" si="5"/>
        <v>9.2657342657342656E-2</v>
      </c>
      <c r="T28" s="28">
        <f t="shared" si="6"/>
        <v>2.4390243902439025E-2</v>
      </c>
      <c r="U28" s="91">
        <f>SUM(B15:B28)/POBLA!$B$25*100000</f>
        <v>1.6901658854846284</v>
      </c>
      <c r="V28" s="91">
        <f>B28/POBLA!$B$25*100000</f>
        <v>0.1652704581634252</v>
      </c>
      <c r="W28" s="625">
        <f>SUM(B15:B28)/SUM(B1:B14)</f>
        <v>13.696428571428571</v>
      </c>
      <c r="Z28" s="167">
        <f t="shared" si="3"/>
        <v>79.571428571428569</v>
      </c>
      <c r="AA28" s="357">
        <f t="shared" si="4"/>
        <v>2.2857142857142856</v>
      </c>
      <c r="AB28" s="357">
        <f t="shared" si="9"/>
        <v>0.14457142857142857</v>
      </c>
      <c r="AC28" s="610">
        <f t="shared" si="10"/>
        <v>-2.141142857142857</v>
      </c>
      <c r="AD28" s="610">
        <f t="shared" si="11"/>
        <v>54.785714285714285</v>
      </c>
      <c r="AE28" s="68">
        <f t="shared" si="8"/>
        <v>2.6523809523809523</v>
      </c>
      <c r="AI28" s="357">
        <f>MAX($B$2:B28)</f>
        <v>117</v>
      </c>
      <c r="AT28" s="180"/>
    </row>
    <row r="29" spans="1:46" x14ac:dyDescent="0.25">
      <c r="A29" s="2">
        <v>43920</v>
      </c>
      <c r="B29" s="124">
        <v>146</v>
      </c>
      <c r="C29" s="124">
        <v>966</v>
      </c>
      <c r="D29" s="124">
        <v>5</v>
      </c>
      <c r="E29" s="124">
        <v>25</v>
      </c>
      <c r="F29" s="126">
        <f t="shared" si="2"/>
        <v>12</v>
      </c>
      <c r="G29" s="149">
        <v>240</v>
      </c>
      <c r="H29" s="124">
        <v>55</v>
      </c>
      <c r="I29" s="124"/>
      <c r="J29" s="1"/>
      <c r="K29" s="611">
        <f t="shared" si="0"/>
        <v>2.5879917184265012E-2</v>
      </c>
      <c r="L29" s="14">
        <v>4065</v>
      </c>
      <c r="M29" s="1">
        <v>4065</v>
      </c>
      <c r="N29" s="316">
        <v>489</v>
      </c>
      <c r="O29" s="1">
        <v>207</v>
      </c>
      <c r="P29" s="1">
        <v>1</v>
      </c>
      <c r="Q29" s="12">
        <f t="shared" si="7"/>
        <v>269</v>
      </c>
      <c r="R29" s="96">
        <f t="shared" si="1"/>
        <v>701</v>
      </c>
      <c r="S29" s="35">
        <f t="shared" si="5"/>
        <v>7.8459343794579167E-2</v>
      </c>
      <c r="T29" s="28">
        <f t="shared" si="6"/>
        <v>2.5879917184265012E-2</v>
      </c>
      <c r="U29" s="91">
        <f>SUM(B16:B29)/POBLA!$B$25*100000</f>
        <v>1.992059922396485</v>
      </c>
      <c r="V29" s="91">
        <f>B29/POBLA!$B$25*100000</f>
        <v>0.32172649189146774</v>
      </c>
      <c r="W29" s="625">
        <f>SUM(B16:B29)/SUM(B2:B15)</f>
        <v>13.907692307692308</v>
      </c>
      <c r="Z29" s="167">
        <f t="shared" si="3"/>
        <v>95.285714285714292</v>
      </c>
      <c r="AA29" s="357">
        <f t="shared" si="4"/>
        <v>3</v>
      </c>
      <c r="AB29" s="357">
        <f t="shared" si="9"/>
        <v>0.1577142857142857</v>
      </c>
      <c r="AC29" s="610">
        <f t="shared" si="10"/>
        <v>-2.8422857142857145</v>
      </c>
      <c r="AD29" s="610">
        <f t="shared" si="11"/>
        <v>64.571428571428569</v>
      </c>
      <c r="AE29" s="68">
        <f t="shared" si="8"/>
        <v>2.8143459915611819</v>
      </c>
      <c r="AI29" s="357">
        <f>MAX($B$2:B29)</f>
        <v>146</v>
      </c>
      <c r="AT29" s="180"/>
    </row>
    <row r="30" spans="1:46" x14ac:dyDescent="0.25">
      <c r="A30" s="2">
        <v>43921</v>
      </c>
      <c r="B30" s="124">
        <v>88</v>
      </c>
      <c r="C30" s="124">
        <v>1054</v>
      </c>
      <c r="D30" s="124">
        <v>3</v>
      </c>
      <c r="E30" s="124">
        <v>28</v>
      </c>
      <c r="F30" s="126">
        <f t="shared" si="2"/>
        <v>8</v>
      </c>
      <c r="G30" s="149">
        <v>248</v>
      </c>
      <c r="H30" s="124">
        <v>55</v>
      </c>
      <c r="I30" s="124"/>
      <c r="J30" s="1"/>
      <c r="K30" s="611">
        <f t="shared" si="0"/>
        <v>2.6565464895635674E-2</v>
      </c>
      <c r="L30" s="14">
        <v>4597</v>
      </c>
      <c r="M30" s="1">
        <v>4597</v>
      </c>
      <c r="N30" s="316">
        <v>529</v>
      </c>
      <c r="O30" s="1">
        <v>295</v>
      </c>
      <c r="P30" s="1">
        <v>1</v>
      </c>
      <c r="Q30" s="12">
        <f t="shared" si="7"/>
        <v>229</v>
      </c>
      <c r="R30" s="96">
        <f t="shared" si="1"/>
        <v>778</v>
      </c>
      <c r="S30" s="35">
        <f t="shared" si="5"/>
        <v>7.0694087403598976E-2</v>
      </c>
      <c r="T30" s="28">
        <f t="shared" si="6"/>
        <v>2.6565464895635674E-2</v>
      </c>
      <c r="U30" s="91">
        <f>SUM(B17:B30)/POBLA!$B$25*100000</f>
        <v>2.1573303805599107</v>
      </c>
      <c r="V30" s="91">
        <f>B30/POBLA!$B$25*100000</f>
        <v>0.19391733757841892</v>
      </c>
      <c r="W30" s="625">
        <f>SUM(B17:B30)/SUM(B3:B16)</f>
        <v>12.714285714285714</v>
      </c>
      <c r="Z30" s="167">
        <f t="shared" si="3"/>
        <v>95.571428571428569</v>
      </c>
      <c r="AA30" s="357">
        <f t="shared" si="4"/>
        <v>3.1428571428571428</v>
      </c>
      <c r="AB30" s="357">
        <f t="shared" si="9"/>
        <v>0.19385714285714287</v>
      </c>
      <c r="AC30" s="610">
        <f t="shared" si="10"/>
        <v>-2.9489999999999998</v>
      </c>
      <c r="AD30" s="610">
        <f t="shared" si="11"/>
        <v>69.928571428571431</v>
      </c>
      <c r="AE30" s="68">
        <f t="shared" si="8"/>
        <v>2.1580645161290324</v>
      </c>
      <c r="AI30" s="357">
        <f>MAX($B$2:B30)</f>
        <v>146</v>
      </c>
      <c r="AT30" s="180"/>
    </row>
    <row r="31" spans="1:46" x14ac:dyDescent="0.25">
      <c r="A31" s="2">
        <v>43922</v>
      </c>
      <c r="B31" s="124">
        <v>79</v>
      </c>
      <c r="C31" s="124">
        <v>1133</v>
      </c>
      <c r="D31" s="124">
        <v>5</v>
      </c>
      <c r="E31" s="124">
        <v>33</v>
      </c>
      <c r="F31" s="126">
        <f t="shared" si="2"/>
        <v>8</v>
      </c>
      <c r="G31" s="149">
        <v>256</v>
      </c>
      <c r="H31" s="124">
        <v>72</v>
      </c>
      <c r="I31" s="124"/>
      <c r="J31" s="1"/>
      <c r="K31" s="611">
        <f t="shared" si="0"/>
        <v>2.9126213592233011E-2</v>
      </c>
      <c r="L31" s="14">
        <v>5144</v>
      </c>
      <c r="M31" s="1">
        <v>5144</v>
      </c>
      <c r="N31" s="316">
        <v>580</v>
      </c>
      <c r="O31" s="1">
        <v>349</v>
      </c>
      <c r="P31" s="1">
        <v>1</v>
      </c>
      <c r="Q31" s="12">
        <f t="shared" si="7"/>
        <v>203</v>
      </c>
      <c r="R31" s="96">
        <f t="shared" si="1"/>
        <v>844</v>
      </c>
      <c r="S31" s="35">
        <f t="shared" si="5"/>
        <v>8.5308056872037921E-2</v>
      </c>
      <c r="T31" s="28">
        <f t="shared" si="6"/>
        <v>2.9126213592233011E-2</v>
      </c>
      <c r="U31" s="91">
        <f>SUM(B18:B31)/POBLA!$B$25*100000</f>
        <v>2.2895467470906503</v>
      </c>
      <c r="V31" s="91">
        <f>B31/POBLA!$B$25*100000</f>
        <v>0.17408488259880789</v>
      </c>
      <c r="W31" s="625">
        <f>SUM(B18:B31)/SUM(B4:B17)</f>
        <v>10.822916666666666</v>
      </c>
      <c r="Z31" s="167">
        <f t="shared" si="3"/>
        <v>90.142857142857139</v>
      </c>
      <c r="AA31" s="357">
        <f t="shared" si="4"/>
        <v>3.5714285714285716</v>
      </c>
      <c r="AB31" s="357">
        <f t="shared" si="9"/>
        <v>0.24971428571428572</v>
      </c>
      <c r="AC31" s="610">
        <f t="shared" si="10"/>
        <v>-3.3217142857142861</v>
      </c>
      <c r="AD31" s="610">
        <f t="shared" si="11"/>
        <v>74.214285714285708</v>
      </c>
      <c r="AE31" s="68">
        <f t="shared" si="8"/>
        <v>1.5465686274509804</v>
      </c>
      <c r="AI31" s="357">
        <f>MAX($B$2:B31)</f>
        <v>146</v>
      </c>
      <c r="AT31" s="180"/>
    </row>
    <row r="32" spans="1:46" x14ac:dyDescent="0.25">
      <c r="A32" s="2">
        <v>43923</v>
      </c>
      <c r="B32" s="124">
        <v>132</v>
      </c>
      <c r="C32" s="124">
        <v>1265</v>
      </c>
      <c r="D32" s="124">
        <v>4</v>
      </c>
      <c r="E32" s="124">
        <v>37</v>
      </c>
      <c r="F32" s="126">
        <f t="shared" si="2"/>
        <v>10</v>
      </c>
      <c r="G32" s="149">
        <v>266</v>
      </c>
      <c r="H32" s="124">
        <v>82</v>
      </c>
      <c r="I32" s="124"/>
      <c r="J32" s="1"/>
      <c r="K32" s="611">
        <f t="shared" si="0"/>
        <v>2.9249011857707511E-2</v>
      </c>
      <c r="L32" s="14">
        <v>6120</v>
      </c>
      <c r="M32" s="1">
        <v>6120</v>
      </c>
      <c r="N32" s="316">
        <v>622</v>
      </c>
      <c r="O32" s="1">
        <v>397</v>
      </c>
      <c r="P32" s="1">
        <v>103</v>
      </c>
      <c r="Q32" s="12">
        <f t="shared" si="7"/>
        <v>143</v>
      </c>
      <c r="R32" s="96">
        <f t="shared" si="1"/>
        <v>962</v>
      </c>
      <c r="S32" s="35">
        <f t="shared" si="5"/>
        <v>8.5239085239085244E-2</v>
      </c>
      <c r="T32" s="28">
        <f t="shared" si="6"/>
        <v>2.9249011857707511E-2</v>
      </c>
      <c r="U32" s="91">
        <f>SUM(B19:B32)/POBLA!$B$25*100000</f>
        <v>2.5121109640840631</v>
      </c>
      <c r="V32" s="91">
        <f>B32/POBLA!$B$25*100000</f>
        <v>0.29087600636762834</v>
      </c>
      <c r="W32" s="625">
        <f>SUM(B19:B32)/SUM(B5:B18)</f>
        <v>9.0476190476190474</v>
      </c>
      <c r="Z32" s="167">
        <f t="shared" si="3"/>
        <v>96.571428571428569</v>
      </c>
      <c r="AA32" s="357">
        <f t="shared" si="4"/>
        <v>3.5714285714285716</v>
      </c>
      <c r="AB32" s="357">
        <f>Z18*K32</f>
        <v>0.40530773574251838</v>
      </c>
      <c r="AC32" s="610">
        <f t="shared" si="10"/>
        <v>-3.1661208356860531</v>
      </c>
      <c r="AD32" s="610">
        <f t="shared" si="11"/>
        <v>81.428571428571431</v>
      </c>
      <c r="AE32" s="68">
        <f t="shared" si="8"/>
        <v>1.4568965517241377</v>
      </c>
      <c r="AI32" s="357">
        <f>MAX($B$2:B32)</f>
        <v>146</v>
      </c>
      <c r="AT32" s="180"/>
    </row>
    <row r="33" spans="1:46" x14ac:dyDescent="0.25">
      <c r="A33" s="2">
        <v>43924</v>
      </c>
      <c r="B33" s="124">
        <v>88</v>
      </c>
      <c r="C33" s="124">
        <v>1353</v>
      </c>
      <c r="D33" s="124">
        <v>5</v>
      </c>
      <c r="E33" s="124">
        <v>42</v>
      </c>
      <c r="F33" s="126">
        <f t="shared" si="2"/>
        <v>13</v>
      </c>
      <c r="G33" s="149">
        <v>279</v>
      </c>
      <c r="H33" s="124">
        <v>86</v>
      </c>
      <c r="I33" s="124"/>
      <c r="J33" s="1"/>
      <c r="K33" s="611">
        <f t="shared" si="0"/>
        <v>3.1042128603104215E-2</v>
      </c>
      <c r="L33" s="14">
        <v>7135</v>
      </c>
      <c r="M33" s="1">
        <v>7135</v>
      </c>
      <c r="N33" s="316">
        <v>656</v>
      </c>
      <c r="O33" s="1">
        <v>460</v>
      </c>
      <c r="P33" s="1">
        <v>113</v>
      </c>
      <c r="Q33" s="12">
        <f t="shared" si="7"/>
        <v>124</v>
      </c>
      <c r="R33" s="96">
        <f t="shared" si="1"/>
        <v>1032</v>
      </c>
      <c r="S33" s="35">
        <f t="shared" si="5"/>
        <v>8.3333333333333329E-2</v>
      </c>
      <c r="T33" s="28">
        <f t="shared" si="6"/>
        <v>3.1042128603104215E-2</v>
      </c>
      <c r="U33" s="91">
        <f>SUM(B20:B33)/POBLA!$B$25*100000</f>
        <v>2.6399201183971122</v>
      </c>
      <c r="V33" s="91">
        <f>B33/POBLA!$B$25*100000</f>
        <v>0.19391733757841892</v>
      </c>
      <c r="W33" s="625">
        <f t="shared" ref="W33:W52" si="12">SUM(B20:B33)/SUM(B6:B19)</f>
        <v>7.9866666666666664</v>
      </c>
      <c r="Z33" s="167">
        <f t="shared" si="3"/>
        <v>94.714285714285708</v>
      </c>
      <c r="AA33" s="357">
        <f t="shared" si="4"/>
        <v>3.5714285714285716</v>
      </c>
      <c r="AB33" s="357">
        <f>Z19*K33</f>
        <v>0.54988913525498895</v>
      </c>
      <c r="AC33" s="610">
        <f t="shared" si="10"/>
        <v>-3.0215394361735828</v>
      </c>
      <c r="AD33" s="610">
        <f t="shared" si="11"/>
        <v>85.571428571428569</v>
      </c>
      <c r="AE33" s="68">
        <f t="shared" si="8"/>
        <v>1.2392523364485981</v>
      </c>
      <c r="AI33" s="357">
        <f>MAX($B$2:B33)</f>
        <v>146</v>
      </c>
      <c r="AT33" s="180"/>
    </row>
    <row r="34" spans="1:46" x14ac:dyDescent="0.25">
      <c r="A34" s="2">
        <v>43925</v>
      </c>
      <c r="B34" s="124">
        <v>98</v>
      </c>
      <c r="C34" s="124">
        <v>1451</v>
      </c>
      <c r="D34" s="124">
        <v>1</v>
      </c>
      <c r="E34" s="124">
        <v>43</v>
      </c>
      <c r="F34" s="126">
        <f t="shared" si="2"/>
        <v>1</v>
      </c>
      <c r="G34" s="149">
        <v>280</v>
      </c>
      <c r="H34" s="124">
        <v>87</v>
      </c>
      <c r="I34" s="124"/>
      <c r="J34" s="1"/>
      <c r="K34" s="611">
        <f t="shared" si="0"/>
        <v>2.9634734665747762E-2</v>
      </c>
      <c r="L34" s="14">
        <v>7494</v>
      </c>
      <c r="M34" s="1">
        <v>7888</v>
      </c>
      <c r="N34" s="316">
        <v>674</v>
      </c>
      <c r="O34" s="1">
        <v>490</v>
      </c>
      <c r="P34" s="1">
        <v>119</v>
      </c>
      <c r="Q34" s="12">
        <f t="shared" si="7"/>
        <v>168</v>
      </c>
      <c r="R34" s="96">
        <f t="shared" si="1"/>
        <v>1128</v>
      </c>
      <c r="S34" s="35">
        <f t="shared" si="5"/>
        <v>7.7127659574468085E-2</v>
      </c>
      <c r="T34" s="28">
        <f t="shared" si="6"/>
        <v>2.9634734665747762E-2</v>
      </c>
      <c r="U34" s="91">
        <f>SUM(B21:B34)/POBLA!$B$25*100000</f>
        <v>2.7082319077713275</v>
      </c>
      <c r="V34" s="91">
        <f>B34/POBLA!$B$25*100000</f>
        <v>0.2159533986668756</v>
      </c>
      <c r="W34" s="625">
        <f t="shared" si="12"/>
        <v>5.6898148148148149</v>
      </c>
      <c r="Z34" s="167">
        <f t="shared" si="3"/>
        <v>100.85714285714286</v>
      </c>
      <c r="AA34" s="357">
        <f t="shared" si="4"/>
        <v>3.4285714285714284</v>
      </c>
      <c r="AB34" s="357">
        <f t="shared" ref="AB34:AB97" si="13">Z20*K20</f>
        <v>0.45714285714285718</v>
      </c>
      <c r="AC34" s="610">
        <f t="shared" si="10"/>
        <v>-2.9714285714285711</v>
      </c>
      <c r="AD34" s="610">
        <f t="shared" si="11"/>
        <v>87.785714285714292</v>
      </c>
      <c r="AE34" s="68">
        <f t="shared" si="8"/>
        <v>1.3499043977055452</v>
      </c>
      <c r="AI34" s="357">
        <f>MAX($B$2:B34)</f>
        <v>146</v>
      </c>
      <c r="AT34" s="180"/>
    </row>
    <row r="35" spans="1:46" x14ac:dyDescent="0.25">
      <c r="A35" s="2">
        <v>43926</v>
      </c>
      <c r="B35" s="124">
        <v>103</v>
      </c>
      <c r="C35" s="124">
        <v>1554</v>
      </c>
      <c r="D35" s="124">
        <v>3</v>
      </c>
      <c r="E35" s="124">
        <v>46</v>
      </c>
      <c r="F35" s="126">
        <f t="shared" si="2"/>
        <v>45</v>
      </c>
      <c r="G35" s="149">
        <v>325</v>
      </c>
      <c r="H35" s="124">
        <v>94</v>
      </c>
      <c r="I35" s="124"/>
      <c r="J35" s="1"/>
      <c r="K35" s="611">
        <f t="shared" si="0"/>
        <v>2.9601029601029602E-2</v>
      </c>
      <c r="L35" s="14">
        <v>8125</v>
      </c>
      <c r="M35" s="1">
        <v>8508</v>
      </c>
      <c r="N35" s="316">
        <v>695</v>
      </c>
      <c r="O35" s="1">
        <v>536</v>
      </c>
      <c r="P35" s="1">
        <v>148</v>
      </c>
      <c r="Q35" s="12">
        <f t="shared" si="7"/>
        <v>175</v>
      </c>
      <c r="R35" s="96">
        <f t="shared" si="1"/>
        <v>1183</v>
      </c>
      <c r="S35" s="35">
        <f t="shared" si="5"/>
        <v>7.945900253592561E-2</v>
      </c>
      <c r="T35" s="28">
        <f t="shared" si="6"/>
        <v>2.9601029601029602E-2</v>
      </c>
      <c r="U35" s="91">
        <f>SUM(B22:B35)/POBLA!$B$25*100000</f>
        <v>2.8448554865197591</v>
      </c>
      <c r="V35" s="91">
        <f>B35/POBLA!$B$25*100000</f>
        <v>0.22697142921110394</v>
      </c>
      <c r="W35" s="625">
        <f t="shared" si="12"/>
        <v>5.0826771653543306</v>
      </c>
      <c r="Z35" s="167">
        <f t="shared" si="3"/>
        <v>104.85714285714286</v>
      </c>
      <c r="AA35" s="357">
        <f t="shared" si="4"/>
        <v>3.7142857142857144</v>
      </c>
      <c r="AB35" s="357">
        <f t="shared" si="13"/>
        <v>0.45112781954887216</v>
      </c>
      <c r="AC35" s="610">
        <f t="shared" si="10"/>
        <v>-3.2631578947368425</v>
      </c>
      <c r="AD35" s="610">
        <f t="shared" si="11"/>
        <v>92.214285714285708</v>
      </c>
      <c r="AE35" s="68">
        <f t="shared" si="8"/>
        <v>1.317773788150808</v>
      </c>
      <c r="AI35" s="357">
        <f>MAX($B$2:B35)</f>
        <v>146</v>
      </c>
      <c r="AT35" s="180"/>
    </row>
    <row r="36" spans="1:46" x14ac:dyDescent="0.25">
      <c r="A36" s="2">
        <v>43927</v>
      </c>
      <c r="B36" s="124">
        <v>74</v>
      </c>
      <c r="C36" s="124">
        <v>1628</v>
      </c>
      <c r="D36" s="124">
        <v>7</v>
      </c>
      <c r="E36" s="124">
        <v>53</v>
      </c>
      <c r="F36" s="126">
        <f t="shared" si="2"/>
        <v>13</v>
      </c>
      <c r="G36" s="149">
        <v>338</v>
      </c>
      <c r="H36" s="124">
        <v>96</v>
      </c>
      <c r="I36" s="124"/>
      <c r="J36" s="1"/>
      <c r="K36" s="611">
        <f t="shared" si="0"/>
        <v>3.2555282555282554E-2</v>
      </c>
      <c r="L36" s="14">
        <v>8707</v>
      </c>
      <c r="M36" s="1">
        <v>9165</v>
      </c>
      <c r="N36" s="316">
        <v>718</v>
      </c>
      <c r="O36" s="1">
        <v>563</v>
      </c>
      <c r="P36" s="1">
        <v>175</v>
      </c>
      <c r="Q36" s="12">
        <f t="shared" si="7"/>
        <v>172</v>
      </c>
      <c r="R36" s="96">
        <f t="shared" si="1"/>
        <v>1237</v>
      </c>
      <c r="S36" s="35">
        <f t="shared" si="5"/>
        <v>7.7607113985448672E-2</v>
      </c>
      <c r="T36" s="28">
        <f t="shared" si="6"/>
        <v>3.2555282555282554E-2</v>
      </c>
      <c r="U36" s="91">
        <f>SUM(B23:B36)/POBLA!$B$25*100000</f>
        <v>2.9285925186558943</v>
      </c>
      <c r="V36" s="91">
        <f>B36/POBLA!$B$25*100000</f>
        <v>0.16306685205457952</v>
      </c>
      <c r="W36" s="625">
        <f t="shared" si="12"/>
        <v>4.6631578947368419</v>
      </c>
      <c r="Z36" s="167">
        <f t="shared" si="3"/>
        <v>94.571428571428569</v>
      </c>
      <c r="AA36" s="357">
        <f t="shared" si="4"/>
        <v>4</v>
      </c>
      <c r="AB36" s="357">
        <f t="shared" si="13"/>
        <v>0.44992880873279539</v>
      </c>
      <c r="AC36" s="610">
        <f t="shared" si="10"/>
        <v>-3.5500711912672047</v>
      </c>
      <c r="AD36" s="610">
        <f t="shared" si="11"/>
        <v>94.928571428571431</v>
      </c>
      <c r="AE36" s="68">
        <f t="shared" si="8"/>
        <v>0.992503748125937</v>
      </c>
      <c r="AI36" s="357">
        <f>MAX($B$2:B36)</f>
        <v>146</v>
      </c>
      <c r="AT36" s="180"/>
    </row>
    <row r="37" spans="1:46" x14ac:dyDescent="0.25">
      <c r="A37" s="2">
        <v>43928</v>
      </c>
      <c r="B37" s="124">
        <v>87</v>
      </c>
      <c r="C37" s="124">
        <v>1715</v>
      </c>
      <c r="D37" s="124">
        <v>7</v>
      </c>
      <c r="E37" s="124">
        <v>60</v>
      </c>
      <c r="F37" s="126">
        <f t="shared" si="2"/>
        <v>20</v>
      </c>
      <c r="G37" s="149">
        <v>358</v>
      </c>
      <c r="H37" s="124">
        <v>98</v>
      </c>
      <c r="I37" s="124">
        <v>1552</v>
      </c>
      <c r="J37" s="1"/>
      <c r="K37" s="611">
        <f t="shared" si="0"/>
        <v>3.4985422740524783E-2</v>
      </c>
      <c r="L37" s="14">
        <v>10020</v>
      </c>
      <c r="M37" s="1">
        <v>10438</v>
      </c>
      <c r="N37" s="316">
        <v>738</v>
      </c>
      <c r="O37" s="1">
        <v>588</v>
      </c>
      <c r="P37" s="1">
        <v>205</v>
      </c>
      <c r="Q37" s="12">
        <f t="shared" si="7"/>
        <v>184</v>
      </c>
      <c r="R37" s="96">
        <f t="shared" si="1"/>
        <v>1297</v>
      </c>
      <c r="S37" s="35">
        <f t="shared" si="5"/>
        <v>7.5558982266769464E-2</v>
      </c>
      <c r="T37" s="28">
        <f t="shared" si="6"/>
        <v>3.4985422740524783E-2</v>
      </c>
      <c r="U37" s="91">
        <f>SUM(B24:B37)/POBLA!$B$25*100000</f>
        <v>2.9307961247647403</v>
      </c>
      <c r="V37" s="91">
        <f>B37/POBLA!$B$25*100000</f>
        <v>0.19171373146957324</v>
      </c>
      <c r="W37" s="625">
        <f t="shared" si="12"/>
        <v>3.6043360433604335</v>
      </c>
      <c r="Z37" s="167">
        <f t="shared" si="3"/>
        <v>94.428571428571431</v>
      </c>
      <c r="AA37" s="357">
        <f t="shared" si="4"/>
        <v>4.5714285714285712</v>
      </c>
      <c r="AB37" s="357">
        <f t="shared" si="13"/>
        <v>0.6866002214839424</v>
      </c>
      <c r="AC37" s="610">
        <f t="shared" si="10"/>
        <v>-3.8848283499446286</v>
      </c>
      <c r="AD37" s="610">
        <f t="shared" si="11"/>
        <v>95</v>
      </c>
      <c r="AE37" s="68">
        <f t="shared" si="8"/>
        <v>0.98804185351270557</v>
      </c>
      <c r="AI37" s="357">
        <f>MAX($B$2:B37)</f>
        <v>146</v>
      </c>
      <c r="AT37" s="180"/>
    </row>
    <row r="38" spans="1:46" x14ac:dyDescent="0.25">
      <c r="A38" s="2">
        <v>43929</v>
      </c>
      <c r="B38" s="124">
        <v>80</v>
      </c>
      <c r="C38" s="124">
        <v>1795</v>
      </c>
      <c r="D38" s="124">
        <v>5</v>
      </c>
      <c r="E38" s="124">
        <v>65</v>
      </c>
      <c r="F38" s="126">
        <f t="shared" si="2"/>
        <v>7</v>
      </c>
      <c r="G38" s="149">
        <v>365</v>
      </c>
      <c r="H38" s="124">
        <v>98</v>
      </c>
      <c r="I38" s="124">
        <v>1520</v>
      </c>
      <c r="J38" s="1"/>
      <c r="K38" s="611">
        <f t="shared" si="0"/>
        <v>3.6211699164345405E-2</v>
      </c>
      <c r="L38" s="14">
        <v>11385</v>
      </c>
      <c r="M38" s="1">
        <v>11835</v>
      </c>
      <c r="N38" s="316">
        <v>767</v>
      </c>
      <c r="O38" s="1">
        <v>618</v>
      </c>
      <c r="P38" s="1">
        <v>224</v>
      </c>
      <c r="Q38" s="12">
        <f t="shared" si="7"/>
        <v>186</v>
      </c>
      <c r="R38" s="96">
        <f t="shared" si="1"/>
        <v>1365</v>
      </c>
      <c r="S38" s="35">
        <f t="shared" si="5"/>
        <v>7.179487179487179E-2</v>
      </c>
      <c r="T38" s="28">
        <f t="shared" si="6"/>
        <v>3.6211699164345405E-2</v>
      </c>
      <c r="U38" s="91">
        <f>SUM(B25:B38)/POBLA!$B$25*100000</f>
        <v>2.8492626987374505</v>
      </c>
      <c r="V38" s="91">
        <f>B38/POBLA!$B$25*100000</f>
        <v>0.17628848870765357</v>
      </c>
      <c r="W38" s="625">
        <f t="shared" si="12"/>
        <v>2.6714876033057853</v>
      </c>
      <c r="Z38" s="167">
        <f t="shared" si="3"/>
        <v>94.571428571428569</v>
      </c>
      <c r="AA38" s="357">
        <f t="shared" si="4"/>
        <v>4.5714285714285712</v>
      </c>
      <c r="AB38" s="357">
        <f t="shared" si="13"/>
        <v>0.92700937233740399</v>
      </c>
      <c r="AC38" s="610">
        <f t="shared" si="10"/>
        <v>-3.6444191990911672</v>
      </c>
      <c r="AD38" s="610">
        <f t="shared" si="11"/>
        <v>92.357142857142861</v>
      </c>
      <c r="AE38" s="68">
        <f t="shared" si="8"/>
        <v>1.0491283676703644</v>
      </c>
      <c r="AI38" s="357">
        <f>MAX($B$2:B38)</f>
        <v>146</v>
      </c>
      <c r="AT38" s="180"/>
    </row>
    <row r="39" spans="1:46" x14ac:dyDescent="0.25">
      <c r="A39" s="2">
        <v>43930</v>
      </c>
      <c r="B39" s="124">
        <v>99</v>
      </c>
      <c r="C39" s="124">
        <v>1894</v>
      </c>
      <c r="D39" s="124">
        <v>14</v>
      </c>
      <c r="E39" s="124">
        <v>79</v>
      </c>
      <c r="F39" s="126">
        <f t="shared" si="2"/>
        <v>10</v>
      </c>
      <c r="G39" s="149">
        <v>375</v>
      </c>
      <c r="H39" s="124">
        <v>98</v>
      </c>
      <c r="I39" s="124">
        <v>1529</v>
      </c>
      <c r="J39" s="1">
        <v>16379</v>
      </c>
      <c r="K39" s="611">
        <f t="shared" si="0"/>
        <v>4.171066525871172E-2</v>
      </c>
      <c r="L39" s="14"/>
      <c r="M39" s="1">
        <v>12983</v>
      </c>
      <c r="N39" s="316">
        <v>785</v>
      </c>
      <c r="O39" s="1">
        <v>641</v>
      </c>
      <c r="P39" s="1">
        <v>261</v>
      </c>
      <c r="Q39" s="12">
        <f t="shared" si="7"/>
        <v>207</v>
      </c>
      <c r="R39" s="96">
        <f t="shared" si="1"/>
        <v>1440</v>
      </c>
      <c r="S39" s="35">
        <f t="shared" si="5"/>
        <v>6.805555555555555E-2</v>
      </c>
      <c r="T39" s="28">
        <f t="shared" si="6"/>
        <v>4.171066525871172E-2</v>
      </c>
      <c r="U39" s="91">
        <f>SUM(B26:B39)/POBLA!$B$25*100000</f>
        <v>2.8757059720435985</v>
      </c>
      <c r="V39" s="91">
        <f>B39/POBLA!$B$25*100000</f>
        <v>0.21815700477572125</v>
      </c>
      <c r="W39" s="625">
        <f t="shared" si="12"/>
        <v>2.3262032085561497</v>
      </c>
      <c r="Z39" s="167">
        <f t="shared" si="3"/>
        <v>89.857142857142861</v>
      </c>
      <c r="AA39" s="357">
        <f t="shared" si="4"/>
        <v>6</v>
      </c>
      <c r="AB39" s="357">
        <f t="shared" si="13"/>
        <v>1.3504729565850111</v>
      </c>
      <c r="AC39" s="610">
        <f t="shared" si="10"/>
        <v>-4.6495270434149889</v>
      </c>
      <c r="AD39" s="610">
        <f t="shared" si="11"/>
        <v>93.214285714285708</v>
      </c>
      <c r="AE39" s="68">
        <f t="shared" si="8"/>
        <v>0.93047337278106512</v>
      </c>
      <c r="AI39" s="357">
        <f>MAX($B$2:B39)</f>
        <v>146</v>
      </c>
      <c r="AT39" s="180"/>
    </row>
    <row r="40" spans="1:46" x14ac:dyDescent="0.25">
      <c r="A40" s="2">
        <v>43931</v>
      </c>
      <c r="B40" s="124">
        <v>81</v>
      </c>
      <c r="C40" s="124">
        <v>1975</v>
      </c>
      <c r="D40" s="124">
        <v>3</v>
      </c>
      <c r="E40" s="124">
        <v>82</v>
      </c>
      <c r="F40" s="126">
        <f t="shared" si="2"/>
        <v>65</v>
      </c>
      <c r="G40" s="149">
        <v>440</v>
      </c>
      <c r="H40" s="124">
        <v>115</v>
      </c>
      <c r="I40" s="124">
        <v>1648</v>
      </c>
      <c r="J40" s="1">
        <v>18027</v>
      </c>
      <c r="K40" s="611">
        <f t="shared" si="0"/>
        <v>4.1518987341772152E-2</v>
      </c>
      <c r="L40" s="14">
        <v>13584</v>
      </c>
      <c r="M40" s="1">
        <v>14150</v>
      </c>
      <c r="N40" s="316">
        <v>790</v>
      </c>
      <c r="O40" s="1">
        <v>672</v>
      </c>
      <c r="P40" s="1">
        <v>290</v>
      </c>
      <c r="Q40" s="12">
        <f t="shared" si="7"/>
        <v>223</v>
      </c>
      <c r="R40" s="96">
        <f t="shared" si="1"/>
        <v>1453</v>
      </c>
      <c r="S40" s="35">
        <f t="shared" si="5"/>
        <v>7.9146593255333797E-2</v>
      </c>
      <c r="T40" s="28">
        <f t="shared" si="6"/>
        <v>4.1518987341772152E-2</v>
      </c>
      <c r="U40" s="91">
        <f>SUM(B27:B40)/POBLA!$B$25*100000</f>
        <v>2.8316338498666851</v>
      </c>
      <c r="V40" s="91">
        <f>B40/POBLA!$B$25*100000</f>
        <v>0.17849209481649922</v>
      </c>
      <c r="W40" s="625">
        <f t="shared" si="12"/>
        <v>1.9499241274658574</v>
      </c>
      <c r="Z40" s="167">
        <f t="shared" si="3"/>
        <v>88.857142857142861</v>
      </c>
      <c r="AA40" s="357">
        <f t="shared" si="4"/>
        <v>5.7142857142857144</v>
      </c>
      <c r="AB40" s="357">
        <f t="shared" si="13"/>
        <v>1.8830227743271224</v>
      </c>
      <c r="AC40" s="610">
        <f t="shared" si="10"/>
        <v>-3.831262939958592</v>
      </c>
      <c r="AD40" s="610">
        <f t="shared" si="11"/>
        <v>91.785714285714292</v>
      </c>
      <c r="AE40" s="68">
        <f t="shared" si="8"/>
        <v>0.93815987933635003</v>
      </c>
      <c r="AI40" s="357">
        <f>MAX($B$2:B40)</f>
        <v>146</v>
      </c>
      <c r="AT40" s="180"/>
    </row>
    <row r="41" spans="1:46" x14ac:dyDescent="0.25">
      <c r="A41" s="2">
        <v>43932</v>
      </c>
      <c r="B41" s="124">
        <v>167</v>
      </c>
      <c r="C41" s="124">
        <v>2142</v>
      </c>
      <c r="D41" s="124">
        <v>7</v>
      </c>
      <c r="E41" s="124">
        <v>89</v>
      </c>
      <c r="F41" s="126">
        <f t="shared" si="2"/>
        <v>28</v>
      </c>
      <c r="G41" s="149">
        <v>468</v>
      </c>
      <c r="H41" s="124">
        <v>83</v>
      </c>
      <c r="I41" s="124">
        <v>1731</v>
      </c>
      <c r="J41" s="1">
        <v>19758</v>
      </c>
      <c r="K41" s="611">
        <f t="shared" si="0"/>
        <v>4.1549953314659195E-2</v>
      </c>
      <c r="L41" s="14">
        <v>15016</v>
      </c>
      <c r="M41" s="1">
        <v>15480</v>
      </c>
      <c r="N41" s="316">
        <v>816</v>
      </c>
      <c r="O41" s="1">
        <v>712</v>
      </c>
      <c r="P41" s="1">
        <v>304</v>
      </c>
      <c r="Q41" s="12">
        <f t="shared" si="7"/>
        <v>310</v>
      </c>
      <c r="R41" s="96">
        <f t="shared" si="1"/>
        <v>1585</v>
      </c>
      <c r="S41" s="35">
        <f t="shared" si="5"/>
        <v>5.2365930599369087E-2</v>
      </c>
      <c r="T41" s="28">
        <f t="shared" si="6"/>
        <v>4.1549953314659195E-2</v>
      </c>
      <c r="U41" s="91">
        <f>SUM(B28:B41)/POBLA!$B$25*100000</f>
        <v>3.0784377340573998</v>
      </c>
      <c r="V41" s="91">
        <f>B41/POBLA!$B$25*100000</f>
        <v>0.36800222017722678</v>
      </c>
      <c r="W41" s="625">
        <f t="shared" si="12"/>
        <v>1.9871977240398293</v>
      </c>
      <c r="Z41" s="167">
        <f t="shared" si="3"/>
        <v>98.714285714285708</v>
      </c>
      <c r="AA41" s="357">
        <f t="shared" si="4"/>
        <v>6.5714285714285712</v>
      </c>
      <c r="AB41" s="357">
        <f t="shared" si="13"/>
        <v>1.9054650047938637</v>
      </c>
      <c r="AC41" s="610">
        <f t="shared" si="10"/>
        <v>-4.6659635666347077</v>
      </c>
      <c r="AD41" s="610">
        <f t="shared" si="11"/>
        <v>99.785714285714292</v>
      </c>
      <c r="AE41" s="68">
        <f t="shared" si="8"/>
        <v>0.97875354107648715</v>
      </c>
      <c r="AI41" s="357">
        <f>MAX($B$2:B41)</f>
        <v>167</v>
      </c>
      <c r="AT41" s="180"/>
    </row>
    <row r="42" spans="1:46" x14ac:dyDescent="0.25">
      <c r="A42" s="2">
        <v>43933</v>
      </c>
      <c r="B42" s="124">
        <v>66</v>
      </c>
      <c r="C42" s="124">
        <v>2208</v>
      </c>
      <c r="D42" s="124">
        <v>6</v>
      </c>
      <c r="E42" s="124">
        <v>95</v>
      </c>
      <c r="F42" s="126">
        <f t="shared" si="2"/>
        <v>47</v>
      </c>
      <c r="G42" s="149">
        <v>515</v>
      </c>
      <c r="H42" s="124">
        <v>113</v>
      </c>
      <c r="I42" s="124">
        <v>1435</v>
      </c>
      <c r="J42" s="1">
        <v>21193</v>
      </c>
      <c r="K42" s="611">
        <f t="shared" si="0"/>
        <v>4.3025362318840576E-2</v>
      </c>
      <c r="L42" s="14">
        <v>15939</v>
      </c>
      <c r="M42" s="1">
        <v>16416</v>
      </c>
      <c r="N42" s="316">
        <v>821</v>
      </c>
      <c r="O42" s="1">
        <v>766</v>
      </c>
      <c r="P42" s="1">
        <v>318</v>
      </c>
      <c r="Q42" s="12">
        <f t="shared" si="7"/>
        <v>303</v>
      </c>
      <c r="R42" s="96">
        <f t="shared" si="1"/>
        <v>1598</v>
      </c>
      <c r="S42" s="35">
        <f t="shared" si="5"/>
        <v>7.07133917396746E-2</v>
      </c>
      <c r="T42" s="28">
        <f t="shared" si="6"/>
        <v>4.3025362318840576E-2</v>
      </c>
      <c r="U42" s="91">
        <f>SUM(B29:B42)/POBLA!$B$25*100000</f>
        <v>3.0586052790777889</v>
      </c>
      <c r="V42" s="91">
        <f>B42/POBLA!$B$25*100000</f>
        <v>0.14543800318381417</v>
      </c>
      <c r="W42" s="625">
        <f t="shared" si="12"/>
        <v>1.8096479791395046</v>
      </c>
      <c r="Z42" s="167">
        <f t="shared" si="3"/>
        <v>93.428571428571431</v>
      </c>
      <c r="AA42" s="357">
        <f t="shared" si="4"/>
        <v>7</v>
      </c>
      <c r="AB42" s="357">
        <f t="shared" si="13"/>
        <v>1.9407665505226481</v>
      </c>
      <c r="AC42" s="610">
        <f t="shared" si="10"/>
        <v>-5.0592334494773521</v>
      </c>
      <c r="AD42" s="610">
        <f t="shared" si="11"/>
        <v>99.142857142857139</v>
      </c>
      <c r="AE42" s="68">
        <f t="shared" si="8"/>
        <v>0.89100817438692093</v>
      </c>
      <c r="AI42" s="357">
        <f>MAX($B$2:B42)</f>
        <v>167</v>
      </c>
      <c r="AT42" s="180"/>
    </row>
    <row r="43" spans="1:46" x14ac:dyDescent="0.25">
      <c r="A43" s="2">
        <v>43934</v>
      </c>
      <c r="B43" s="124">
        <v>69</v>
      </c>
      <c r="C43" s="124">
        <v>2277</v>
      </c>
      <c r="D43" s="124">
        <v>3</v>
      </c>
      <c r="E43" s="124">
        <v>98</v>
      </c>
      <c r="F43" s="126">
        <f t="shared" si="2"/>
        <v>44</v>
      </c>
      <c r="G43" s="149">
        <v>559</v>
      </c>
      <c r="H43" s="124">
        <v>116</v>
      </c>
      <c r="I43" s="124">
        <v>1612</v>
      </c>
      <c r="J43" s="1">
        <v>22805</v>
      </c>
      <c r="K43" s="611">
        <f t="shared" si="0"/>
        <v>4.3039086517347384E-2</v>
      </c>
      <c r="L43" s="14">
        <v>17245</v>
      </c>
      <c r="M43" s="1">
        <v>17724</v>
      </c>
      <c r="N43" s="316">
        <v>830</v>
      </c>
      <c r="O43" s="1">
        <v>790</v>
      </c>
      <c r="P43" s="1">
        <v>354</v>
      </c>
      <c r="Q43" s="12">
        <f t="shared" si="7"/>
        <v>303</v>
      </c>
      <c r="R43" s="96">
        <f t="shared" si="1"/>
        <v>1620</v>
      </c>
      <c r="S43" s="35">
        <f t="shared" si="5"/>
        <v>7.160493827160494E-2</v>
      </c>
      <c r="T43" s="28">
        <f t="shared" si="6"/>
        <v>4.3039086517347384E-2</v>
      </c>
      <c r="U43" s="91">
        <f>SUM(B30:B43)/POBLA!$B$25*100000</f>
        <v>2.8889276086966724</v>
      </c>
      <c r="V43" s="91">
        <f>B43/POBLA!$B$25*100000</f>
        <v>0.15204882151035118</v>
      </c>
      <c r="W43" s="625">
        <f t="shared" si="12"/>
        <v>1.4502212389380531</v>
      </c>
      <c r="Z43" s="167">
        <f t="shared" si="3"/>
        <v>92.714285714285708</v>
      </c>
      <c r="AA43" s="357">
        <f t="shared" si="4"/>
        <v>6.4285714285714288</v>
      </c>
      <c r="AB43" s="357">
        <f t="shared" si="13"/>
        <v>2.4659863945578233</v>
      </c>
      <c r="AC43" s="610">
        <f t="shared" si="10"/>
        <v>-3.9625850340136055</v>
      </c>
      <c r="AD43" s="610">
        <f t="shared" si="11"/>
        <v>93.642857142857139</v>
      </c>
      <c r="AE43" s="68">
        <f t="shared" si="8"/>
        <v>0.98036253776435045</v>
      </c>
      <c r="AI43" s="357">
        <f>MAX($B$2:B43)</f>
        <v>167</v>
      </c>
      <c r="AT43" s="180"/>
    </row>
    <row r="44" spans="1:46" x14ac:dyDescent="0.25">
      <c r="A44" s="2">
        <v>43935</v>
      </c>
      <c r="B44" s="124">
        <v>166</v>
      </c>
      <c r="C44" s="124">
        <v>2443</v>
      </c>
      <c r="D44" s="124">
        <v>7</v>
      </c>
      <c r="E44" s="124">
        <v>105</v>
      </c>
      <c r="F44" s="126">
        <f t="shared" si="2"/>
        <v>37</v>
      </c>
      <c r="G44" s="149">
        <v>596</v>
      </c>
      <c r="H44" s="124">
        <v>117</v>
      </c>
      <c r="I44" s="124">
        <v>1569</v>
      </c>
      <c r="J44" s="1">
        <v>24374</v>
      </c>
      <c r="K44" s="611">
        <f t="shared" si="0"/>
        <v>4.2979942693409739E-2</v>
      </c>
      <c r="L44" s="14">
        <v>18415</v>
      </c>
      <c r="M44" s="1">
        <v>18901</v>
      </c>
      <c r="N44" s="316">
        <v>833</v>
      </c>
      <c r="O44" s="1">
        <v>857</v>
      </c>
      <c r="P44" s="1">
        <v>393</v>
      </c>
      <c r="Q44" s="12">
        <f t="shared" si="7"/>
        <v>360</v>
      </c>
      <c r="R44" s="96">
        <f t="shared" si="1"/>
        <v>1742</v>
      </c>
      <c r="S44" s="35">
        <f t="shared" si="5"/>
        <v>6.7164179104477612E-2</v>
      </c>
      <c r="T44" s="28">
        <f t="shared" si="6"/>
        <v>4.2979942693409739E-2</v>
      </c>
      <c r="U44" s="91">
        <f>SUM(B31:B44)/POBLA!$B$25*100000</f>
        <v>3.0608088851866353</v>
      </c>
      <c r="V44" s="91">
        <f>B44/POBLA!$B$25*100000</f>
        <v>0.3657986140683811</v>
      </c>
      <c r="W44" s="625">
        <f t="shared" si="12"/>
        <v>1.4187946884576097</v>
      </c>
      <c r="Z44" s="167">
        <f t="shared" si="3"/>
        <v>104</v>
      </c>
      <c r="AA44" s="357">
        <f t="shared" si="4"/>
        <v>6.4285714285714288</v>
      </c>
      <c r="AB44" s="357">
        <f t="shared" si="13"/>
        <v>2.5388994307400381</v>
      </c>
      <c r="AC44" s="610">
        <f t="shared" si="10"/>
        <v>-3.8896719978313907</v>
      </c>
      <c r="AD44" s="610">
        <f t="shared" si="11"/>
        <v>99.214285714285708</v>
      </c>
      <c r="AE44" s="68">
        <f t="shared" si="8"/>
        <v>1.1013615733736761</v>
      </c>
      <c r="AI44" s="357">
        <f>MAX($B$2:B44)</f>
        <v>167</v>
      </c>
      <c r="AT44" s="180"/>
    </row>
    <row r="45" spans="1:46" x14ac:dyDescent="0.25">
      <c r="A45" s="2">
        <v>43936</v>
      </c>
      <c r="B45" s="124">
        <v>128</v>
      </c>
      <c r="C45" s="124">
        <v>2571</v>
      </c>
      <c r="D45" s="124">
        <v>7</v>
      </c>
      <c r="E45" s="124">
        <v>112</v>
      </c>
      <c r="F45" s="126">
        <f t="shared" si="2"/>
        <v>35</v>
      </c>
      <c r="G45" s="149">
        <v>631</v>
      </c>
      <c r="H45" s="124">
        <v>121</v>
      </c>
      <c r="I45" s="124">
        <v>2083</v>
      </c>
      <c r="J45" s="1">
        <v>26457</v>
      </c>
      <c r="K45" s="611">
        <f t="shared" si="0"/>
        <v>4.3562816024893036E-2</v>
      </c>
      <c r="L45" s="14">
        <v>20148</v>
      </c>
      <c r="M45" s="1">
        <v>20645</v>
      </c>
      <c r="N45" s="316">
        <v>840</v>
      </c>
      <c r="O45" s="1">
        <v>903</v>
      </c>
      <c r="P45" s="1">
        <v>425</v>
      </c>
      <c r="Q45" s="12">
        <f t="shared" si="7"/>
        <v>403</v>
      </c>
      <c r="R45" s="96">
        <f t="shared" si="1"/>
        <v>1828</v>
      </c>
      <c r="S45" s="35">
        <f t="shared" si="5"/>
        <v>6.6192560175054704E-2</v>
      </c>
      <c r="T45" s="28">
        <f t="shared" si="6"/>
        <v>4.3562816024893036E-2</v>
      </c>
      <c r="U45" s="91">
        <f>SUM(B32:B45)/POBLA!$B$25*100000</f>
        <v>3.1687855845200721</v>
      </c>
      <c r="V45" s="91">
        <f>B45/POBLA!$B$25*100000</f>
        <v>0.28206158193224568</v>
      </c>
      <c r="W45" s="625">
        <f t="shared" si="12"/>
        <v>1.3840230991337825</v>
      </c>
      <c r="Z45" s="167">
        <f t="shared" si="3"/>
        <v>110.85714285714286</v>
      </c>
      <c r="AA45" s="357">
        <f t="shared" si="4"/>
        <v>6.7142857142857144</v>
      </c>
      <c r="AB45" s="357">
        <f t="shared" si="13"/>
        <v>2.6255201109570043</v>
      </c>
      <c r="AC45" s="610">
        <f t="shared" si="10"/>
        <v>-4.0887656033287101</v>
      </c>
      <c r="AD45" s="610">
        <f t="shared" si="11"/>
        <v>102.71428571428571</v>
      </c>
      <c r="AE45" s="68">
        <f t="shared" si="8"/>
        <v>1.1722054380664653</v>
      </c>
      <c r="AI45" s="357">
        <f>MAX($B$2:B45)</f>
        <v>167</v>
      </c>
      <c r="AT45" s="180"/>
    </row>
    <row r="46" spans="1:46" x14ac:dyDescent="0.25">
      <c r="A46" s="2">
        <v>43937</v>
      </c>
      <c r="B46" s="124">
        <v>98</v>
      </c>
      <c r="C46" s="124">
        <v>2669</v>
      </c>
      <c r="D46" s="124">
        <v>10</v>
      </c>
      <c r="E46" s="124">
        <v>122</v>
      </c>
      <c r="F46" s="126">
        <f t="shared" si="2"/>
        <v>35</v>
      </c>
      <c r="G46" s="149">
        <v>666</v>
      </c>
      <c r="H46" s="124">
        <v>126</v>
      </c>
      <c r="I46" s="124">
        <v>2193</v>
      </c>
      <c r="J46" s="1">
        <v>28650</v>
      </c>
      <c r="K46" s="611">
        <f t="shared" si="0"/>
        <v>4.5710003746721621E-2</v>
      </c>
      <c r="L46" s="14">
        <v>21802</v>
      </c>
      <c r="M46" s="1">
        <v>22310</v>
      </c>
      <c r="N46" s="316">
        <v>845</v>
      </c>
      <c r="O46" s="1">
        <v>951</v>
      </c>
      <c r="P46" s="1">
        <v>448</v>
      </c>
      <c r="Q46" s="12">
        <f t="shared" si="7"/>
        <v>425</v>
      </c>
      <c r="R46" s="96">
        <f t="shared" si="1"/>
        <v>1881</v>
      </c>
      <c r="S46" s="35">
        <f t="shared" si="5"/>
        <v>6.6985645933014357E-2</v>
      </c>
      <c r="T46" s="28">
        <f t="shared" ref="T46:T77" si="14">E46/C46</f>
        <v>4.5710003746721621E-2</v>
      </c>
      <c r="U46" s="91">
        <f>SUM(B33:B46)/POBLA!$B$25*100000</f>
        <v>3.0938629768193198</v>
      </c>
      <c r="V46" s="91">
        <f>B46/POBLA!$B$25*100000</f>
        <v>0.2159533986668756</v>
      </c>
      <c r="W46" s="625">
        <f t="shared" si="12"/>
        <v>1.2315789473684211</v>
      </c>
      <c r="Z46" s="167">
        <f t="shared" si="3"/>
        <v>110.71428571428571</v>
      </c>
      <c r="AA46" s="357">
        <f t="shared" si="4"/>
        <v>6.1428571428571432</v>
      </c>
      <c r="AB46" s="357">
        <f t="shared" si="13"/>
        <v>2.8246188594014683</v>
      </c>
      <c r="AC46" s="610">
        <f t="shared" si="10"/>
        <v>-3.318238283455675</v>
      </c>
      <c r="AD46" s="610">
        <f t="shared" si="11"/>
        <v>100.28571428571429</v>
      </c>
      <c r="AE46" s="68">
        <f t="shared" si="8"/>
        <v>1.2321144674085849</v>
      </c>
      <c r="AI46" s="357">
        <f>MAX($B$2:B46)</f>
        <v>167</v>
      </c>
      <c r="AT46" s="180"/>
    </row>
    <row r="47" spans="1:46" x14ac:dyDescent="0.25">
      <c r="A47" s="2">
        <v>43938</v>
      </c>
      <c r="B47" s="124">
        <v>89</v>
      </c>
      <c r="C47" s="124">
        <v>2758</v>
      </c>
      <c r="D47" s="124">
        <v>7</v>
      </c>
      <c r="E47" s="124">
        <v>129</v>
      </c>
      <c r="F47" s="126">
        <f t="shared" si="2"/>
        <v>19</v>
      </c>
      <c r="G47" s="149">
        <v>685</v>
      </c>
      <c r="H47" s="124">
        <v>127</v>
      </c>
      <c r="I47" s="124">
        <v>2292</v>
      </c>
      <c r="J47" s="1">
        <v>30942</v>
      </c>
      <c r="K47" s="611">
        <f t="shared" si="0"/>
        <v>4.6773023930384336E-2</v>
      </c>
      <c r="L47" s="14">
        <v>23291</v>
      </c>
      <c r="M47" s="1">
        <v>23796</v>
      </c>
      <c r="N47" s="316">
        <v>851</v>
      </c>
      <c r="O47" s="1">
        <v>997</v>
      </c>
      <c r="P47" s="1">
        <v>474</v>
      </c>
      <c r="Q47" s="12">
        <f t="shared" si="7"/>
        <v>436</v>
      </c>
      <c r="R47" s="96">
        <f t="shared" si="1"/>
        <v>1944</v>
      </c>
      <c r="S47" s="35">
        <f t="shared" si="5"/>
        <v>6.5329218106995879E-2</v>
      </c>
      <c r="T47" s="28">
        <f t="shared" si="14"/>
        <v>4.6773023930384336E-2</v>
      </c>
      <c r="U47" s="91">
        <f>SUM(B34:B47)/POBLA!$B$25*100000</f>
        <v>3.0960665829281653</v>
      </c>
      <c r="V47" s="91">
        <f>B47/POBLA!$B$25*100000</f>
        <v>0.19612094368726457</v>
      </c>
      <c r="W47" s="625">
        <f t="shared" si="12"/>
        <v>1.172787979966611</v>
      </c>
      <c r="Z47" s="167">
        <f t="shared" si="3"/>
        <v>111.85714285714286</v>
      </c>
      <c r="AA47" s="357">
        <f t="shared" si="4"/>
        <v>6.7142857142857144</v>
      </c>
      <c r="AB47" s="357">
        <f t="shared" si="13"/>
        <v>2.9401330376940131</v>
      </c>
      <c r="AC47" s="610">
        <f t="shared" si="10"/>
        <v>-3.7741526765917013</v>
      </c>
      <c r="AD47" s="610">
        <f t="shared" si="11"/>
        <v>100.35714285714286</v>
      </c>
      <c r="AE47" s="68">
        <f t="shared" si="8"/>
        <v>1.2588424437299035</v>
      </c>
      <c r="AI47" s="357">
        <f>MAX($B$2:B47)</f>
        <v>167</v>
      </c>
      <c r="AT47" s="180"/>
    </row>
    <row r="48" spans="1:46" x14ac:dyDescent="0.25">
      <c r="A48" s="2">
        <v>43939</v>
      </c>
      <c r="B48" s="124">
        <v>81</v>
      </c>
      <c r="C48" s="124">
        <v>2839</v>
      </c>
      <c r="D48" s="124">
        <v>3</v>
      </c>
      <c r="E48" s="124">
        <v>132</v>
      </c>
      <c r="F48" s="126">
        <f t="shared" si="2"/>
        <v>24</v>
      </c>
      <c r="G48" s="149">
        <v>709</v>
      </c>
      <c r="H48" s="124">
        <v>123</v>
      </c>
      <c r="I48" s="124">
        <v>1770</v>
      </c>
      <c r="J48" s="1">
        <v>32712</v>
      </c>
      <c r="K48" s="611">
        <f t="shared" si="0"/>
        <v>4.6495244804508631E-2</v>
      </c>
      <c r="L48" s="14">
        <v>24756</v>
      </c>
      <c r="M48" s="1">
        <v>25259</v>
      </c>
      <c r="N48" s="316">
        <v>856</v>
      </c>
      <c r="O48" s="1">
        <v>1184</v>
      </c>
      <c r="P48" s="1">
        <v>496</v>
      </c>
      <c r="Q48" s="12">
        <f t="shared" si="7"/>
        <v>303</v>
      </c>
      <c r="R48" s="96">
        <f t="shared" si="1"/>
        <v>1998</v>
      </c>
      <c r="S48" s="35">
        <f t="shared" si="5"/>
        <v>6.1561561561561562E-2</v>
      </c>
      <c r="T48" s="28">
        <f t="shared" si="14"/>
        <v>4.6495244804508631E-2</v>
      </c>
      <c r="U48" s="91">
        <f>SUM(B35:B48)/POBLA!$B$25*100000</f>
        <v>3.0586052790777889</v>
      </c>
      <c r="V48" s="91">
        <f>B48/POBLA!$B$25*100000</f>
        <v>0.17849209481649922</v>
      </c>
      <c r="W48" s="625">
        <f t="shared" si="12"/>
        <v>1.1293734743694059</v>
      </c>
      <c r="Z48" s="167">
        <f t="shared" si="3"/>
        <v>99.571428571428569</v>
      </c>
      <c r="AA48" s="357">
        <f t="shared" si="4"/>
        <v>6.1428571428571432</v>
      </c>
      <c r="AB48" s="357">
        <f t="shared" si="13"/>
        <v>2.9888746677168458</v>
      </c>
      <c r="AC48" s="610">
        <f t="shared" si="10"/>
        <v>-3.1539824751402974</v>
      </c>
      <c r="AD48" s="610">
        <f t="shared" si="11"/>
        <v>99.142857142857139</v>
      </c>
      <c r="AE48" s="68">
        <f t="shared" si="8"/>
        <v>1.0086830680173662</v>
      </c>
      <c r="AI48" s="357">
        <f>MAX($B$2:B48)</f>
        <v>167</v>
      </c>
      <c r="AT48" s="180"/>
    </row>
    <row r="49" spans="1:46" x14ac:dyDescent="0.25">
      <c r="A49" s="2">
        <v>43940</v>
      </c>
      <c r="B49" s="124">
        <v>102</v>
      </c>
      <c r="C49" s="124">
        <v>2941</v>
      </c>
      <c r="D49" s="124">
        <v>2</v>
      </c>
      <c r="E49" s="124">
        <v>134</v>
      </c>
      <c r="F49" s="126">
        <f t="shared" si="2"/>
        <v>28</v>
      </c>
      <c r="G49" s="149">
        <v>737</v>
      </c>
      <c r="H49" s="124">
        <v>126</v>
      </c>
      <c r="I49" s="124">
        <v>1856</v>
      </c>
      <c r="J49" s="1">
        <v>34568</v>
      </c>
      <c r="K49" s="611">
        <f t="shared" si="0"/>
        <v>4.5562733764025844E-2</v>
      </c>
      <c r="L49" s="14">
        <v>26122</v>
      </c>
      <c r="M49" s="1">
        <v>26658</v>
      </c>
      <c r="N49" s="316">
        <v>858</v>
      </c>
      <c r="O49" s="1">
        <v>1235</v>
      </c>
      <c r="P49" s="1">
        <v>538</v>
      </c>
      <c r="Q49" s="12">
        <f t="shared" ref="Q49:Q80" si="15">C49-P49-O49-N49</f>
        <v>310</v>
      </c>
      <c r="R49" s="96">
        <f t="shared" si="1"/>
        <v>2070</v>
      </c>
      <c r="S49" s="35">
        <f t="shared" si="5"/>
        <v>6.0869565217391307E-2</v>
      </c>
      <c r="T49" s="28">
        <f t="shared" si="14"/>
        <v>4.5562733764025844E-2</v>
      </c>
      <c r="U49" s="91">
        <f>SUM(B36:B49)/POBLA!$B$25*100000</f>
        <v>3.0564016729689434</v>
      </c>
      <c r="V49" s="91">
        <f>B49/POBLA!$B$25*100000</f>
        <v>0.22476782310225826</v>
      </c>
      <c r="W49" s="625">
        <f t="shared" si="12"/>
        <v>1.0743609604957398</v>
      </c>
      <c r="Z49" s="167">
        <f t="shared" si="3"/>
        <v>104.71428571428571</v>
      </c>
      <c r="AA49" s="357">
        <f t="shared" si="4"/>
        <v>5.5714285714285712</v>
      </c>
      <c r="AB49" s="357">
        <f t="shared" si="13"/>
        <v>3.1038793895936756</v>
      </c>
      <c r="AC49" s="610">
        <f t="shared" si="10"/>
        <v>-2.4675491818348956</v>
      </c>
      <c r="AD49" s="610">
        <f t="shared" si="11"/>
        <v>99.071428571428569</v>
      </c>
      <c r="AE49" s="68">
        <f t="shared" si="8"/>
        <v>1.120795107033639</v>
      </c>
      <c r="AI49" s="357">
        <f>MAX($B$2:B49)</f>
        <v>167</v>
      </c>
      <c r="AT49" s="180"/>
    </row>
    <row r="50" spans="1:46" x14ac:dyDescent="0.25">
      <c r="A50" s="2">
        <v>43941</v>
      </c>
      <c r="B50" s="124">
        <v>90</v>
      </c>
      <c r="C50" s="124">
        <v>3031</v>
      </c>
      <c r="D50" s="124">
        <v>8</v>
      </c>
      <c r="E50" s="124">
        <v>142</v>
      </c>
      <c r="F50" s="126">
        <f t="shared" si="2"/>
        <v>103</v>
      </c>
      <c r="G50" s="149">
        <v>840</v>
      </c>
      <c r="H50" s="124">
        <v>129</v>
      </c>
      <c r="I50" s="124">
        <v>2043</v>
      </c>
      <c r="J50" s="1">
        <v>36611</v>
      </c>
      <c r="K50" s="611">
        <f t="shared" si="0"/>
        <v>4.6849224678323982E-2</v>
      </c>
      <c r="L50" s="14">
        <v>27732</v>
      </c>
      <c r="M50" s="1">
        <v>28298</v>
      </c>
      <c r="N50" s="316">
        <v>863</v>
      </c>
      <c r="O50" s="1">
        <v>1293</v>
      </c>
      <c r="P50" s="1">
        <v>576</v>
      </c>
      <c r="Q50" s="12">
        <f t="shared" si="15"/>
        <v>299</v>
      </c>
      <c r="R50" s="96">
        <f t="shared" si="1"/>
        <v>2049</v>
      </c>
      <c r="S50" s="35">
        <f t="shared" si="5"/>
        <v>6.2957540263543194E-2</v>
      </c>
      <c r="T50" s="28">
        <f t="shared" si="14"/>
        <v>4.6849224678323982E-2</v>
      </c>
      <c r="U50" s="91">
        <f>SUM(B37:B50)/POBLA!$B$25*100000</f>
        <v>3.0916593707104738</v>
      </c>
      <c r="V50" s="91">
        <f>B50/POBLA!$B$25*100000</f>
        <v>0.19832454979611025</v>
      </c>
      <c r="W50" s="625">
        <f t="shared" si="12"/>
        <v>1.0556809631301731</v>
      </c>
      <c r="Z50" s="167">
        <f t="shared" si="3"/>
        <v>107.71428571428571</v>
      </c>
      <c r="AA50" s="357">
        <f t="shared" si="4"/>
        <v>6.2857142857142856</v>
      </c>
      <c r="AB50" s="357">
        <f t="shared" si="13"/>
        <v>3.0787995787995786</v>
      </c>
      <c r="AC50" s="610">
        <f t="shared" si="10"/>
        <v>-3.206914706914707</v>
      </c>
      <c r="AD50" s="610">
        <f t="shared" si="11"/>
        <v>100.21428571428571</v>
      </c>
      <c r="AE50" s="68">
        <f t="shared" si="8"/>
        <v>1.1617873651771957</v>
      </c>
      <c r="AI50" s="357">
        <f>MAX($B$2:B50)</f>
        <v>167</v>
      </c>
      <c r="AT50" s="180"/>
    </row>
    <row r="51" spans="1:46" x14ac:dyDescent="0.25">
      <c r="A51" s="2">
        <v>43942</v>
      </c>
      <c r="B51" s="124">
        <v>113</v>
      </c>
      <c r="C51" s="124">
        <v>3144</v>
      </c>
      <c r="D51" s="124">
        <v>9</v>
      </c>
      <c r="E51" s="124">
        <v>151</v>
      </c>
      <c r="F51" s="126">
        <f t="shared" si="2"/>
        <v>32</v>
      </c>
      <c r="G51" s="149">
        <v>872</v>
      </c>
      <c r="H51" s="124">
        <v>131</v>
      </c>
      <c r="I51" s="124">
        <v>2617</v>
      </c>
      <c r="J51" s="1">
        <v>39228</v>
      </c>
      <c r="K51" s="611">
        <f t="shared" si="0"/>
        <v>4.8027989821882951E-2</v>
      </c>
      <c r="L51" s="14">
        <v>29829</v>
      </c>
      <c r="M51" s="1">
        <v>30362</v>
      </c>
      <c r="N51" s="316">
        <v>866</v>
      </c>
      <c r="O51" s="1">
        <v>1346</v>
      </c>
      <c r="P51" s="1">
        <v>618</v>
      </c>
      <c r="Q51" s="12">
        <f t="shared" si="15"/>
        <v>314</v>
      </c>
      <c r="R51" s="96">
        <f t="shared" si="1"/>
        <v>2121</v>
      </c>
      <c r="S51" s="35">
        <f t="shared" si="5"/>
        <v>6.1763319189061763E-2</v>
      </c>
      <c r="T51" s="28">
        <f t="shared" si="14"/>
        <v>4.8027989821882951E-2</v>
      </c>
      <c r="U51" s="91">
        <f>SUM(B38:B51)/POBLA!$B$25*100000</f>
        <v>3.1489531295404611</v>
      </c>
      <c r="V51" s="91">
        <f>B51/POBLA!$B$25*100000</f>
        <v>0.24900749029956062</v>
      </c>
      <c r="W51" s="625">
        <f t="shared" si="12"/>
        <v>1.0744360902255639</v>
      </c>
      <c r="Z51" s="167">
        <f t="shared" si="3"/>
        <v>100.14285714285714</v>
      </c>
      <c r="AA51" s="357">
        <f t="shared" si="4"/>
        <v>6.5714285714285712</v>
      </c>
      <c r="AB51" s="357">
        <f>Z37*K37</f>
        <v>3.3036234902124115</v>
      </c>
      <c r="AC51" s="610">
        <f t="shared" si="10"/>
        <v>-3.2678050812161596</v>
      </c>
      <c r="AD51" s="610">
        <f t="shared" si="11"/>
        <v>102.07142857142857</v>
      </c>
      <c r="AE51" s="68">
        <f t="shared" si="8"/>
        <v>0.96291208791208782</v>
      </c>
      <c r="AI51" s="357">
        <f>MAX($B$2:B51)</f>
        <v>167</v>
      </c>
      <c r="AT51" s="180"/>
    </row>
    <row r="52" spans="1:46" x14ac:dyDescent="0.25">
      <c r="A52" s="2">
        <v>43943</v>
      </c>
      <c r="B52" s="124">
        <v>144</v>
      </c>
      <c r="C52" s="124">
        <v>3288</v>
      </c>
      <c r="D52" s="124">
        <v>8</v>
      </c>
      <c r="E52" s="124">
        <v>159</v>
      </c>
      <c r="F52" s="126">
        <f t="shared" si="2"/>
        <v>47</v>
      </c>
      <c r="G52" s="149">
        <v>919</v>
      </c>
      <c r="H52" s="124">
        <v>136</v>
      </c>
      <c r="I52" s="124">
        <v>2558</v>
      </c>
      <c r="J52" s="1">
        <v>41786</v>
      </c>
      <c r="K52" s="611">
        <f t="shared" si="0"/>
        <v>4.8357664233576646E-2</v>
      </c>
      <c r="L52" s="14">
        <v>31845</v>
      </c>
      <c r="M52" s="1">
        <v>32414</v>
      </c>
      <c r="N52" s="316">
        <v>870</v>
      </c>
      <c r="O52" s="1">
        <v>1408</v>
      </c>
      <c r="P52" s="1">
        <v>669</v>
      </c>
      <c r="Q52" s="12">
        <f t="shared" si="15"/>
        <v>341</v>
      </c>
      <c r="R52" s="96">
        <f t="shared" si="1"/>
        <v>2210</v>
      </c>
      <c r="S52" s="35">
        <f t="shared" si="5"/>
        <v>6.1538461538461542E-2</v>
      </c>
      <c r="T52" s="28">
        <f t="shared" si="14"/>
        <v>4.8357664233576646E-2</v>
      </c>
      <c r="U52" s="91">
        <f>SUM(B39:B52)/POBLA!$B$25*100000</f>
        <v>3.2899839205065842</v>
      </c>
      <c r="V52" s="91">
        <f>B52/POBLA!$B$25*100000</f>
        <v>0.31731927967377643</v>
      </c>
      <c r="W52" s="625">
        <f t="shared" si="12"/>
        <v>1.1546790409899459</v>
      </c>
      <c r="Z52" s="167">
        <f t="shared" si="3"/>
        <v>102.42857142857143</v>
      </c>
      <c r="AA52" s="357">
        <f t="shared" si="4"/>
        <v>6.7142857142857144</v>
      </c>
      <c r="AB52" s="357">
        <f t="shared" si="13"/>
        <v>3.4245921209709511</v>
      </c>
      <c r="AC52" s="610">
        <f t="shared" si="10"/>
        <v>-3.2896935933147633</v>
      </c>
      <c r="AD52" s="610">
        <f t="shared" si="11"/>
        <v>106.64285714285714</v>
      </c>
      <c r="AE52" s="68">
        <f t="shared" si="8"/>
        <v>0.92396907216494839</v>
      </c>
      <c r="AI52" s="357">
        <f>MAX($B$2:B52)</f>
        <v>167</v>
      </c>
      <c r="AT52" s="180"/>
    </row>
    <row r="53" spans="1:46" x14ac:dyDescent="0.25">
      <c r="A53" s="2">
        <v>43944</v>
      </c>
      <c r="B53" s="124">
        <v>147</v>
      </c>
      <c r="C53" s="124">
        <v>3435</v>
      </c>
      <c r="D53" s="124">
        <v>6</v>
      </c>
      <c r="E53" s="124">
        <v>165</v>
      </c>
      <c r="F53" s="126">
        <f t="shared" si="2"/>
        <v>57</v>
      </c>
      <c r="G53" s="149">
        <v>976</v>
      </c>
      <c r="H53" s="124">
        <v>141</v>
      </c>
      <c r="I53" s="124">
        <v>2868</v>
      </c>
      <c r="J53" s="1">
        <v>44654</v>
      </c>
      <c r="K53" s="611">
        <f t="shared" si="0"/>
        <v>4.8034934497816595E-2</v>
      </c>
      <c r="L53" s="14">
        <v>33874</v>
      </c>
      <c r="M53" s="1">
        <v>34431</v>
      </c>
      <c r="N53" s="316">
        <v>875</v>
      </c>
      <c r="O53" s="1">
        <v>1490</v>
      </c>
      <c r="P53" s="1">
        <v>722</v>
      </c>
      <c r="Q53" s="12">
        <f t="shared" si="15"/>
        <v>348</v>
      </c>
      <c r="R53" s="96">
        <f t="shared" si="1"/>
        <v>2294</v>
      </c>
      <c r="S53" s="35">
        <f t="shared" si="5"/>
        <v>6.1464690496948561E-2</v>
      </c>
      <c r="T53" s="28">
        <f t="shared" si="14"/>
        <v>4.8034934497816595E-2</v>
      </c>
      <c r="U53" s="91">
        <f>SUM(B40:B53)/POBLA!$B$25*100000</f>
        <v>3.3957570137311763</v>
      </c>
      <c r="V53" s="91">
        <f>B53/POBLA!$B$25*100000</f>
        <v>0.32393009800031336</v>
      </c>
      <c r="W53" s="625">
        <f t="shared" ref="W53:W64" si="16">SUM(B40:B53)/SUM(B26:B39)</f>
        <v>1.1808429118773947</v>
      </c>
      <c r="Z53" s="167">
        <f t="shared" si="3"/>
        <v>109.42857142857143</v>
      </c>
      <c r="AA53" s="357">
        <f t="shared" si="4"/>
        <v>6.1428571428571432</v>
      </c>
      <c r="AB53" s="357">
        <f t="shared" si="13"/>
        <v>3.7480012068185249</v>
      </c>
      <c r="AC53" s="610">
        <f t="shared" si="10"/>
        <v>-2.3948559360386183</v>
      </c>
      <c r="AD53" s="610">
        <f t="shared" si="11"/>
        <v>110.07142857142857</v>
      </c>
      <c r="AE53" s="68">
        <f t="shared" si="8"/>
        <v>0.98838709677419367</v>
      </c>
      <c r="AI53" s="357">
        <f>MAX($B$2:B53)</f>
        <v>167</v>
      </c>
      <c r="AP53" s="644">
        <f t="shared" ref="AP53:AP116" si="17">SUM(B40:B53)/SUM(B26:B39)</f>
        <v>1.1808429118773947</v>
      </c>
      <c r="AT53" s="180"/>
    </row>
    <row r="54" spans="1:46" x14ac:dyDescent="0.25">
      <c r="A54" s="2">
        <v>43945</v>
      </c>
      <c r="B54" s="124">
        <v>172</v>
      </c>
      <c r="C54" s="124">
        <v>3607</v>
      </c>
      <c r="D54" s="124">
        <v>11</v>
      </c>
      <c r="E54" s="124">
        <v>176</v>
      </c>
      <c r="F54" s="126">
        <f t="shared" si="2"/>
        <v>54</v>
      </c>
      <c r="G54" s="149">
        <v>1030</v>
      </c>
      <c r="H54" s="124">
        <v>144</v>
      </c>
      <c r="I54" s="124">
        <v>2752</v>
      </c>
      <c r="J54" s="1">
        <v>47406</v>
      </c>
      <c r="K54" s="611">
        <f t="shared" si="0"/>
        <v>4.8794011644025505E-2</v>
      </c>
      <c r="L54" s="14">
        <v>36067</v>
      </c>
      <c r="M54" s="1">
        <v>36610</v>
      </c>
      <c r="N54" s="316">
        <v>887</v>
      </c>
      <c r="O54" s="1">
        <v>1562</v>
      </c>
      <c r="P54" s="1">
        <v>755</v>
      </c>
      <c r="Q54" s="12">
        <f t="shared" si="15"/>
        <v>403</v>
      </c>
      <c r="R54" s="96">
        <f t="shared" si="1"/>
        <v>2401</v>
      </c>
      <c r="S54" s="35">
        <f t="shared" si="5"/>
        <v>5.9975010412328195E-2</v>
      </c>
      <c r="T54" s="28">
        <f t="shared" si="14"/>
        <v>4.8794011644025505E-2</v>
      </c>
      <c r="U54" s="91">
        <f>SUM(B41:B54)/POBLA!$B$25*100000</f>
        <v>3.5962851696361322</v>
      </c>
      <c r="V54" s="91">
        <f>B54/POBLA!$B$25*100000</f>
        <v>0.37902025072145512</v>
      </c>
      <c r="W54" s="625">
        <f t="shared" si="16"/>
        <v>1.2700389105058365</v>
      </c>
      <c r="X54" s="68"/>
      <c r="Z54" s="167">
        <f t="shared" si="3"/>
        <v>121.28571428571429</v>
      </c>
      <c r="AA54" s="357">
        <f t="shared" si="4"/>
        <v>6.7142857142857144</v>
      </c>
      <c r="AB54" s="357">
        <f t="shared" si="13"/>
        <v>3.6892585895117542</v>
      </c>
      <c r="AC54" s="610">
        <f t="shared" si="10"/>
        <v>-3.0250271247739602</v>
      </c>
      <c r="AD54" s="610">
        <f t="shared" si="11"/>
        <v>116.57142857142857</v>
      </c>
      <c r="AE54" s="68">
        <f t="shared" si="8"/>
        <v>1.0842911877394636</v>
      </c>
      <c r="AI54" s="357">
        <f>MAX($B$2:B54)</f>
        <v>172</v>
      </c>
      <c r="AP54" s="644">
        <f t="shared" si="17"/>
        <v>1.2700389105058365</v>
      </c>
      <c r="AT54" s="180"/>
    </row>
    <row r="55" spans="1:46" x14ac:dyDescent="0.25">
      <c r="A55" s="2">
        <v>43946</v>
      </c>
      <c r="B55" s="124">
        <v>173</v>
      </c>
      <c r="C55" s="124">
        <v>3780</v>
      </c>
      <c r="D55" s="124">
        <v>9</v>
      </c>
      <c r="E55" s="124">
        <v>185</v>
      </c>
      <c r="F55" s="126">
        <f t="shared" si="2"/>
        <v>77</v>
      </c>
      <c r="G55" s="149">
        <v>1107</v>
      </c>
      <c r="H55" s="124">
        <v>139</v>
      </c>
      <c r="I55" s="124">
        <v>2499</v>
      </c>
      <c r="J55" s="1">
        <v>49905</v>
      </c>
      <c r="K55" s="611">
        <f t="shared" si="0"/>
        <v>4.8941798941798939E-2</v>
      </c>
      <c r="L55" s="14">
        <v>37654</v>
      </c>
      <c r="M55" s="1">
        <v>38215</v>
      </c>
      <c r="N55" s="316">
        <v>888</v>
      </c>
      <c r="O55" s="1">
        <v>1641</v>
      </c>
      <c r="P55" s="1">
        <v>797</v>
      </c>
      <c r="Q55" s="12">
        <f t="shared" si="15"/>
        <v>454</v>
      </c>
      <c r="R55" s="96">
        <f t="shared" si="1"/>
        <v>2488</v>
      </c>
      <c r="S55" s="35">
        <f t="shared" si="5"/>
        <v>5.5868167202572344E-2</v>
      </c>
      <c r="T55" s="28">
        <f t="shared" si="14"/>
        <v>4.8941798941798939E-2</v>
      </c>
      <c r="U55" s="91">
        <f>SUM(B42:B55)/POBLA!$B$25*100000</f>
        <v>3.6095068062892066</v>
      </c>
      <c r="V55" s="91">
        <f>B55/POBLA!$B$25*100000</f>
        <v>0.3812238568303008</v>
      </c>
      <c r="W55" s="625">
        <f t="shared" si="16"/>
        <v>1.1725125268432355</v>
      </c>
      <c r="X55" s="68"/>
      <c r="Z55" s="167">
        <f t="shared" si="3"/>
        <v>134.42857142857142</v>
      </c>
      <c r="AA55" s="357">
        <f t="shared" si="4"/>
        <v>7.5714285714285712</v>
      </c>
      <c r="AB55" s="357">
        <f t="shared" si="13"/>
        <v>4.1015739629185006</v>
      </c>
      <c r="AC55" s="610">
        <f t="shared" si="10"/>
        <v>-3.4698546085100705</v>
      </c>
      <c r="AD55" s="610">
        <f t="shared" si="11"/>
        <v>117</v>
      </c>
      <c r="AE55" s="68">
        <f t="shared" si="8"/>
        <v>1.3500717360114776</v>
      </c>
      <c r="AI55" s="357">
        <f>MAX($B$2:B55)</f>
        <v>173</v>
      </c>
      <c r="AP55" s="644">
        <f t="shared" si="17"/>
        <v>1.1725125268432355</v>
      </c>
      <c r="AT55" s="180"/>
    </row>
    <row r="56" spans="1:46" x14ac:dyDescent="0.25">
      <c r="A56" s="2">
        <v>43947</v>
      </c>
      <c r="B56" s="124">
        <v>112</v>
      </c>
      <c r="C56" s="124">
        <v>3892</v>
      </c>
      <c r="D56" s="124">
        <v>7</v>
      </c>
      <c r="E56" s="124">
        <v>192</v>
      </c>
      <c r="F56" s="126">
        <f t="shared" si="2"/>
        <v>33</v>
      </c>
      <c r="G56" s="149">
        <v>1140</v>
      </c>
      <c r="H56" s="124">
        <v>151</v>
      </c>
      <c r="I56" s="124">
        <v>1995</v>
      </c>
      <c r="J56" s="1">
        <v>51900</v>
      </c>
      <c r="K56" s="611">
        <f t="shared" si="0"/>
        <v>4.9331963001027747E-2</v>
      </c>
      <c r="L56" s="14">
        <v>39420</v>
      </c>
      <c r="M56" s="1">
        <v>39990</v>
      </c>
      <c r="N56" s="316">
        <v>900</v>
      </c>
      <c r="O56" s="1">
        <v>1684</v>
      </c>
      <c r="P56" s="1">
        <v>829</v>
      </c>
      <c r="Q56" s="12">
        <f t="shared" si="15"/>
        <v>479</v>
      </c>
      <c r="R56" s="96">
        <f t="shared" si="1"/>
        <v>2560</v>
      </c>
      <c r="S56" s="35">
        <f t="shared" si="5"/>
        <v>5.8984374999999999E-2</v>
      </c>
      <c r="T56" s="28">
        <f t="shared" si="14"/>
        <v>4.9331963001027747E-2</v>
      </c>
      <c r="U56" s="91">
        <f>SUM(B43:B56)/POBLA!$B$25*100000</f>
        <v>3.7108726872961069</v>
      </c>
      <c r="V56" s="91">
        <f>B56/POBLA!$B$25*100000</f>
        <v>0.24680388419071494</v>
      </c>
      <c r="W56" s="625">
        <f t="shared" si="16"/>
        <v>1.2132564841498559</v>
      </c>
      <c r="X56" s="68"/>
      <c r="Z56" s="167">
        <f t="shared" si="3"/>
        <v>135.85714285714286</v>
      </c>
      <c r="AA56" s="357">
        <f t="shared" si="4"/>
        <v>8.2857142857142865</v>
      </c>
      <c r="AB56" s="357">
        <f t="shared" si="13"/>
        <v>4.0197981366459627</v>
      </c>
      <c r="AC56" s="610">
        <f t="shared" si="10"/>
        <v>-4.2659161490683237</v>
      </c>
      <c r="AD56" s="610">
        <f t="shared" si="11"/>
        <v>120.28571428571429</v>
      </c>
      <c r="AE56" s="68">
        <f t="shared" si="8"/>
        <v>1.2974079126875855</v>
      </c>
      <c r="AI56" s="357">
        <f>MAX($B$2:B56)</f>
        <v>173</v>
      </c>
      <c r="AP56" s="644">
        <f t="shared" si="17"/>
        <v>1.2132564841498559</v>
      </c>
      <c r="AT56" s="180"/>
    </row>
    <row r="57" spans="1:46" x14ac:dyDescent="0.25">
      <c r="A57" s="2">
        <v>43948</v>
      </c>
      <c r="B57" s="124">
        <v>111</v>
      </c>
      <c r="C57" s="124">
        <v>4003</v>
      </c>
      <c r="D57" s="124">
        <v>5</v>
      </c>
      <c r="E57" s="124">
        <v>197</v>
      </c>
      <c r="F57" s="126">
        <f t="shared" si="2"/>
        <v>22</v>
      </c>
      <c r="G57" s="149">
        <v>1162</v>
      </c>
      <c r="H57" s="124">
        <v>155</v>
      </c>
      <c r="I57" s="124">
        <v>1700</v>
      </c>
      <c r="J57" s="1">
        <v>53600</v>
      </c>
      <c r="K57" s="611">
        <f t="shared" si="0"/>
        <v>4.921309018236323E-2</v>
      </c>
      <c r="L57" s="14">
        <v>40959</v>
      </c>
      <c r="M57" s="1">
        <v>41559</v>
      </c>
      <c r="N57" s="316">
        <v>905</v>
      </c>
      <c r="O57" s="1">
        <v>1725</v>
      </c>
      <c r="P57" s="1">
        <v>897</v>
      </c>
      <c r="Q57" s="12">
        <f t="shared" si="15"/>
        <v>476</v>
      </c>
      <c r="R57" s="96">
        <f t="shared" si="1"/>
        <v>2644</v>
      </c>
      <c r="S57" s="35">
        <f t="shared" si="5"/>
        <v>5.8623298033282902E-2</v>
      </c>
      <c r="T57" s="28">
        <f t="shared" si="14"/>
        <v>4.921309018236323E-2</v>
      </c>
      <c r="U57" s="91">
        <f>SUM(B44:B57)/POBLA!$B$25*100000</f>
        <v>3.8034241438676251</v>
      </c>
      <c r="V57" s="91">
        <f>B57/POBLA!$B$25*100000</f>
        <v>0.24460027808186929</v>
      </c>
      <c r="W57" s="625">
        <f t="shared" si="16"/>
        <v>1.3165522501906941</v>
      </c>
      <c r="X57" s="68"/>
      <c r="Z57" s="167">
        <f t="shared" si="3"/>
        <v>138.85714285714286</v>
      </c>
      <c r="AA57" s="357">
        <f t="shared" si="4"/>
        <v>7.8571428571428568</v>
      </c>
      <c r="AB57" s="357">
        <f t="shared" si="13"/>
        <v>3.9903381642512072</v>
      </c>
      <c r="AC57" s="610">
        <f t="shared" si="10"/>
        <v>-3.8668046928916495</v>
      </c>
      <c r="AD57" s="610">
        <f t="shared" si="11"/>
        <v>123.28571428571429</v>
      </c>
      <c r="AE57" s="68">
        <f t="shared" si="8"/>
        <v>1.2891246684350133</v>
      </c>
      <c r="AI57" s="357">
        <f>MAX($B$2:B57)</f>
        <v>173</v>
      </c>
      <c r="AP57" s="644">
        <f t="shared" si="17"/>
        <v>1.3165522501906941</v>
      </c>
      <c r="AT57" s="180"/>
    </row>
    <row r="58" spans="1:46" x14ac:dyDescent="0.25">
      <c r="A58" s="2">
        <v>43949</v>
      </c>
      <c r="B58" s="124">
        <v>124</v>
      </c>
      <c r="C58" s="124">
        <v>4127</v>
      </c>
      <c r="D58" s="124">
        <v>10</v>
      </c>
      <c r="E58" s="124">
        <v>207</v>
      </c>
      <c r="F58" s="126">
        <f t="shared" si="2"/>
        <v>30</v>
      </c>
      <c r="G58" s="149">
        <v>1192</v>
      </c>
      <c r="H58" s="124">
        <v>154</v>
      </c>
      <c r="I58" s="124">
        <v>2458</v>
      </c>
      <c r="J58" s="1">
        <v>56058</v>
      </c>
      <c r="K58" s="611">
        <f t="shared" si="0"/>
        <v>5.0157499394233099E-2</v>
      </c>
      <c r="L58" s="14">
        <v>42710</v>
      </c>
      <c r="M58" s="1">
        <v>43322</v>
      </c>
      <c r="N58" s="316">
        <v>909</v>
      </c>
      <c r="O58" s="1">
        <v>1766</v>
      </c>
      <c r="P58" s="1">
        <v>984</v>
      </c>
      <c r="Q58" s="12">
        <f t="shared" si="15"/>
        <v>468</v>
      </c>
      <c r="R58" s="96">
        <f t="shared" si="1"/>
        <v>2728</v>
      </c>
      <c r="S58" s="35">
        <f t="shared" si="5"/>
        <v>5.6451612903225805E-2</v>
      </c>
      <c r="T58" s="28">
        <f t="shared" si="14"/>
        <v>5.0157499394233099E-2</v>
      </c>
      <c r="U58" s="91">
        <f>SUM(B45:B58)/POBLA!$B$25*100000</f>
        <v>3.7108726872961069</v>
      </c>
      <c r="V58" s="91">
        <f>B58/POBLA!$B$25*100000</f>
        <v>0.27324715749686301</v>
      </c>
      <c r="W58" s="625">
        <f t="shared" si="16"/>
        <v>1.2123830093592514</v>
      </c>
      <c r="X58" s="68"/>
      <c r="Y58" s="68">
        <f t="shared" ref="Y58:Y121" si="18">SUM(B52:B58)/SUM(I52:I58)</f>
        <v>5.8407605466428994E-2</v>
      </c>
      <c r="Z58" s="167">
        <f t="shared" si="3"/>
        <v>140.42857142857142</v>
      </c>
      <c r="AA58" s="357">
        <f t="shared" si="4"/>
        <v>8</v>
      </c>
      <c r="AB58" s="357">
        <f t="shared" si="13"/>
        <v>4.4699140401146131</v>
      </c>
      <c r="AC58" s="610">
        <f t="shared" si="10"/>
        <v>-3.5300859598853869</v>
      </c>
      <c r="AD58" s="610">
        <f t="shared" si="11"/>
        <v>120.28571428571429</v>
      </c>
      <c r="AE58" s="68">
        <f t="shared" si="8"/>
        <v>1.4022824536376604</v>
      </c>
      <c r="AI58" s="357">
        <f>MAX($B$2:B58)</f>
        <v>173</v>
      </c>
      <c r="AP58" s="644">
        <f t="shared" si="17"/>
        <v>1.2123830093592514</v>
      </c>
      <c r="AT58" s="180"/>
    </row>
    <row r="59" spans="1:46" x14ac:dyDescent="0.25">
      <c r="A59" s="2">
        <v>43950</v>
      </c>
      <c r="B59" s="124">
        <v>158</v>
      </c>
      <c r="C59" s="124">
        <v>4285</v>
      </c>
      <c r="D59" s="124">
        <v>7</v>
      </c>
      <c r="E59" s="124">
        <v>214</v>
      </c>
      <c r="F59" s="126">
        <f t="shared" si="2"/>
        <v>64</v>
      </c>
      <c r="G59" s="149">
        <v>1256</v>
      </c>
      <c r="H59" s="124">
        <v>157</v>
      </c>
      <c r="I59" s="124">
        <v>2627</v>
      </c>
      <c r="J59" s="1">
        <v>58685</v>
      </c>
      <c r="K59" s="611">
        <f t="shared" si="0"/>
        <v>4.9941656942823806E-2</v>
      </c>
      <c r="L59" s="14">
        <v>44828</v>
      </c>
      <c r="M59" s="1">
        <v>45446</v>
      </c>
      <c r="N59" s="316">
        <v>912</v>
      </c>
      <c r="O59" s="1">
        <v>1835</v>
      </c>
      <c r="P59" s="1">
        <v>1041</v>
      </c>
      <c r="Q59" s="12">
        <f t="shared" si="15"/>
        <v>497</v>
      </c>
      <c r="R59" s="96">
        <f t="shared" si="1"/>
        <v>2815</v>
      </c>
      <c r="S59" s="35">
        <f t="shared" si="5"/>
        <v>5.5772646536412077E-2</v>
      </c>
      <c r="T59" s="28">
        <f t="shared" si="14"/>
        <v>4.9941656942823806E-2</v>
      </c>
      <c r="U59" s="91">
        <f>SUM(B46:B59)/POBLA!$B$25*100000</f>
        <v>3.7769808705614771</v>
      </c>
      <c r="V59" s="91">
        <f>B59/POBLA!$B$25*100000</f>
        <v>0.34816976519761578</v>
      </c>
      <c r="W59" s="625">
        <f t="shared" si="16"/>
        <v>1.1919332406119612</v>
      </c>
      <c r="X59" s="68"/>
      <c r="Y59" s="68">
        <f t="shared" si="18"/>
        <v>5.899757382093615E-2</v>
      </c>
      <c r="Z59" s="167">
        <f t="shared" si="3"/>
        <v>142.42857142857142</v>
      </c>
      <c r="AA59" s="357">
        <f t="shared" si="4"/>
        <v>7.8571428571428568</v>
      </c>
      <c r="AB59" s="357">
        <f t="shared" si="13"/>
        <v>4.8292493193309998</v>
      </c>
      <c r="AC59" s="610">
        <f t="shared" si="10"/>
        <v>-3.027893537811857</v>
      </c>
      <c r="AD59" s="610">
        <f t="shared" si="11"/>
        <v>122.42857142857143</v>
      </c>
      <c r="AE59" s="68">
        <f t="shared" si="8"/>
        <v>1.3905160390516038</v>
      </c>
      <c r="AI59" s="357">
        <f>MAX($B$2:B59)</f>
        <v>173</v>
      </c>
      <c r="AP59" s="644">
        <f t="shared" si="17"/>
        <v>1.1919332406119612</v>
      </c>
      <c r="AT59" s="180"/>
    </row>
    <row r="60" spans="1:46" x14ac:dyDescent="0.25">
      <c r="A60" s="2">
        <v>43951</v>
      </c>
      <c r="B60" s="124">
        <v>143</v>
      </c>
      <c r="C60" s="124">
        <v>4428</v>
      </c>
      <c r="D60" s="124">
        <v>4</v>
      </c>
      <c r="E60" s="124">
        <v>218</v>
      </c>
      <c r="F60" s="126">
        <f t="shared" si="2"/>
        <v>36</v>
      </c>
      <c r="G60" s="149">
        <v>1292</v>
      </c>
      <c r="H60" s="124">
        <v>157</v>
      </c>
      <c r="I60" s="124">
        <v>2845</v>
      </c>
      <c r="J60" s="1">
        <v>61530</v>
      </c>
      <c r="K60" s="611">
        <f t="shared" si="0"/>
        <v>4.9232158988256551E-2</v>
      </c>
      <c r="L60" s="14">
        <v>46829</v>
      </c>
      <c r="M60" s="1">
        <v>47467</v>
      </c>
      <c r="N60" s="316">
        <v>915</v>
      </c>
      <c r="O60" s="1">
        <v>1904</v>
      </c>
      <c r="P60" s="1">
        <v>1149</v>
      </c>
      <c r="Q60" s="12">
        <f t="shared" si="15"/>
        <v>460</v>
      </c>
      <c r="R60" s="96">
        <f t="shared" si="1"/>
        <v>2918</v>
      </c>
      <c r="S60" s="35">
        <f t="shared" si="5"/>
        <v>5.3803975325565453E-2</v>
      </c>
      <c r="T60" s="28">
        <f t="shared" si="14"/>
        <v>4.9232158988256551E-2</v>
      </c>
      <c r="U60" s="91">
        <f>SUM(B47:B60)/POBLA!$B$25*100000</f>
        <v>3.8761431454595323</v>
      </c>
      <c r="V60" s="91">
        <f>B60/POBLA!$B$25*100000</f>
        <v>0.31511567356493075</v>
      </c>
      <c r="W60" s="625">
        <f t="shared" si="16"/>
        <v>1.2528490028490029</v>
      </c>
      <c r="X60" s="68"/>
      <c r="Y60" s="68">
        <f t="shared" si="18"/>
        <v>5.8840957572884572E-2</v>
      </c>
      <c r="Z60" s="167">
        <f t="shared" si="3"/>
        <v>141.85714285714286</v>
      </c>
      <c r="AA60" s="357">
        <f t="shared" si="4"/>
        <v>7.5714285714285712</v>
      </c>
      <c r="AB60" s="357">
        <f t="shared" si="13"/>
        <v>5.0607504148156082</v>
      </c>
      <c r="AC60" s="610">
        <f t="shared" si="10"/>
        <v>-2.510678156612963</v>
      </c>
      <c r="AD60" s="610">
        <f t="shared" si="11"/>
        <v>125.64285714285714</v>
      </c>
      <c r="AE60" s="68">
        <f t="shared" si="8"/>
        <v>1.2963446475195823</v>
      </c>
      <c r="AI60" s="357">
        <f>MAX($B$2:B60)</f>
        <v>173</v>
      </c>
      <c r="AP60" s="644">
        <f t="shared" si="17"/>
        <v>1.2528490028490029</v>
      </c>
      <c r="AT60" s="180"/>
    </row>
    <row r="61" spans="1:46" x14ac:dyDescent="0.25">
      <c r="A61" s="2">
        <v>43952</v>
      </c>
      <c r="B61" s="124">
        <v>105</v>
      </c>
      <c r="C61" s="124">
        <v>4532</v>
      </c>
      <c r="D61" s="124">
        <v>7</v>
      </c>
      <c r="E61" s="124">
        <v>225</v>
      </c>
      <c r="F61" s="126">
        <f t="shared" si="2"/>
        <v>28</v>
      </c>
      <c r="G61" s="149">
        <v>1320</v>
      </c>
      <c r="H61" s="124">
        <v>164</v>
      </c>
      <c r="I61" s="124">
        <v>2336</v>
      </c>
      <c r="J61" s="1">
        <v>63866</v>
      </c>
      <c r="K61" s="611">
        <f t="shared" si="0"/>
        <v>4.9646954986760812E-2</v>
      </c>
      <c r="L61" s="14">
        <v>48591</v>
      </c>
      <c r="M61" s="1">
        <v>49247</v>
      </c>
      <c r="N61" s="316">
        <v>916</v>
      </c>
      <c r="O61" s="1">
        <v>1949</v>
      </c>
      <c r="P61" s="1">
        <v>1224</v>
      </c>
      <c r="Q61" s="12">
        <f t="shared" si="15"/>
        <v>443</v>
      </c>
      <c r="R61" s="96">
        <f t="shared" si="1"/>
        <v>2987</v>
      </c>
      <c r="S61" s="35">
        <f t="shared" si="5"/>
        <v>5.4904586541680615E-2</v>
      </c>
      <c r="T61" s="28">
        <f t="shared" si="14"/>
        <v>4.9646954986760812E-2</v>
      </c>
      <c r="U61" s="91">
        <f>SUM(B48:B61)/POBLA!$B$25*100000</f>
        <v>3.9114008432010627</v>
      </c>
      <c r="V61" s="91">
        <f>B61/POBLA!$B$25*100000</f>
        <v>0.2313786414287953</v>
      </c>
      <c r="W61" s="625">
        <f t="shared" si="16"/>
        <v>1.2633451957295374</v>
      </c>
      <c r="X61" s="68"/>
      <c r="Y61" s="68">
        <f t="shared" si="18"/>
        <v>5.6257594167679226E-2</v>
      </c>
      <c r="Z61" s="167">
        <f t="shared" si="3"/>
        <v>132.28571428571428</v>
      </c>
      <c r="AA61" s="357">
        <f t="shared" si="4"/>
        <v>7</v>
      </c>
      <c r="AB61" s="357">
        <f t="shared" si="13"/>
        <v>5.2318968196415625</v>
      </c>
      <c r="AC61" s="610">
        <f t="shared" si="10"/>
        <v>-1.7681031803584375</v>
      </c>
      <c r="AD61" s="610">
        <f t="shared" si="11"/>
        <v>126.78571428571429</v>
      </c>
      <c r="AE61" s="68">
        <f t="shared" si="8"/>
        <v>1.0906949352179034</v>
      </c>
      <c r="AI61" s="357">
        <f>MAX($B$2:B61)</f>
        <v>173</v>
      </c>
      <c r="AP61" s="644">
        <f t="shared" si="17"/>
        <v>1.2633451957295374</v>
      </c>
      <c r="AT61" s="180"/>
    </row>
    <row r="62" spans="1:46" x14ac:dyDescent="0.25">
      <c r="A62" s="2">
        <v>43953</v>
      </c>
      <c r="B62" s="124">
        <v>149</v>
      </c>
      <c r="C62" s="124">
        <v>4681</v>
      </c>
      <c r="D62" s="124">
        <v>12</v>
      </c>
      <c r="E62" s="124">
        <v>237</v>
      </c>
      <c r="F62" s="126">
        <f t="shared" si="2"/>
        <v>34</v>
      </c>
      <c r="G62" s="149">
        <v>1354</v>
      </c>
      <c r="H62" s="124">
        <v>164</v>
      </c>
      <c r="I62" s="124">
        <v>1947</v>
      </c>
      <c r="J62" s="1">
        <v>65813</v>
      </c>
      <c r="K62" s="611">
        <f t="shared" si="0"/>
        <v>5.0630207220679339E-2</v>
      </c>
      <c r="L62" s="14">
        <v>50098</v>
      </c>
      <c r="M62" s="1">
        <v>50779</v>
      </c>
      <c r="N62" s="316">
        <v>917</v>
      </c>
      <c r="O62" s="1">
        <v>2012</v>
      </c>
      <c r="P62" s="1">
        <v>1267</v>
      </c>
      <c r="Q62" s="12">
        <f t="shared" si="15"/>
        <v>485</v>
      </c>
      <c r="R62" s="96">
        <f t="shared" si="1"/>
        <v>3090</v>
      </c>
      <c r="S62" s="35">
        <f t="shared" si="5"/>
        <v>5.307443365695793E-2</v>
      </c>
      <c r="T62" s="28">
        <f t="shared" si="14"/>
        <v>5.0630207220679339E-2</v>
      </c>
      <c r="U62" s="91">
        <f>SUM(B49:B62)/POBLA!$B$25*100000</f>
        <v>4.0612460586025687</v>
      </c>
      <c r="V62" s="91">
        <f>B62/POBLA!$B$25*100000</f>
        <v>0.32833731021800472</v>
      </c>
      <c r="W62" s="625">
        <f t="shared" si="16"/>
        <v>1.3278097982708934</v>
      </c>
      <c r="X62" s="68"/>
      <c r="Y62" s="68">
        <f t="shared" si="18"/>
        <v>5.6701030927835051E-2</v>
      </c>
      <c r="Z62" s="167">
        <f t="shared" si="3"/>
        <v>128.85714285714286</v>
      </c>
      <c r="AA62" s="357">
        <f t="shared" si="4"/>
        <v>7.4285714285714288</v>
      </c>
      <c r="AB62" s="357">
        <f t="shared" si="13"/>
        <v>4.6295979469632167</v>
      </c>
      <c r="AC62" s="610">
        <f t="shared" si="10"/>
        <v>-2.7989734816082121</v>
      </c>
      <c r="AD62" s="610">
        <f t="shared" si="11"/>
        <v>131.64285714285714</v>
      </c>
      <c r="AE62" s="68">
        <f t="shared" si="8"/>
        <v>0.95855472901168981</v>
      </c>
      <c r="AI62" s="357">
        <f>MAX($B$2:B62)</f>
        <v>173</v>
      </c>
      <c r="AP62" s="644">
        <f t="shared" si="17"/>
        <v>1.3278097982708934</v>
      </c>
      <c r="AT62" s="180"/>
    </row>
    <row r="63" spans="1:46" x14ac:dyDescent="0.25">
      <c r="A63" s="2">
        <v>43954</v>
      </c>
      <c r="B63" s="124">
        <v>103</v>
      </c>
      <c r="C63" s="124">
        <v>4784</v>
      </c>
      <c r="D63" s="124">
        <v>9</v>
      </c>
      <c r="E63" s="124">
        <v>246</v>
      </c>
      <c r="F63" s="126">
        <f t="shared" si="2"/>
        <v>88</v>
      </c>
      <c r="G63" s="149">
        <v>1442</v>
      </c>
      <c r="H63" s="124">
        <v>146</v>
      </c>
      <c r="I63" s="124">
        <v>1497</v>
      </c>
      <c r="J63" s="1">
        <v>67920</v>
      </c>
      <c r="K63" s="611">
        <f t="shared" si="0"/>
        <v>5.1421404682274248E-2</v>
      </c>
      <c r="L63" s="14">
        <v>51590</v>
      </c>
      <c r="M63" s="1">
        <v>52264</v>
      </c>
      <c r="N63" s="316">
        <v>920</v>
      </c>
      <c r="O63" s="1">
        <v>2076</v>
      </c>
      <c r="P63" s="1">
        <v>1314</v>
      </c>
      <c r="Q63" s="12">
        <f t="shared" si="15"/>
        <v>474</v>
      </c>
      <c r="R63" s="96">
        <f t="shared" si="1"/>
        <v>3096</v>
      </c>
      <c r="S63" s="35">
        <f t="shared" si="5"/>
        <v>4.7157622739018086E-2</v>
      </c>
      <c r="T63" s="28">
        <f t="shared" si="14"/>
        <v>5.1421404682274248E-2</v>
      </c>
      <c r="U63" s="91">
        <f>SUM(B50:B63)/POBLA!$B$25*100000</f>
        <v>4.0634496647114142</v>
      </c>
      <c r="V63" s="91">
        <f>B63/POBLA!$B$25*100000</f>
        <v>0.22697142921110394</v>
      </c>
      <c r="W63" s="625">
        <f t="shared" si="16"/>
        <v>1.3294881038211968</v>
      </c>
      <c r="X63" s="68"/>
      <c r="Y63" s="68">
        <f t="shared" si="18"/>
        <v>5.7949383517196626E-2</v>
      </c>
      <c r="Z63" s="167">
        <f t="shared" si="3"/>
        <v>127.57142857142857</v>
      </c>
      <c r="AA63" s="357">
        <f t="shared" si="4"/>
        <v>7.7142857142857144</v>
      </c>
      <c r="AB63" s="357">
        <f t="shared" si="13"/>
        <v>4.7710691212901342</v>
      </c>
      <c r="AC63" s="610">
        <f t="shared" si="10"/>
        <v>-2.9432165929955802</v>
      </c>
      <c r="AD63" s="610">
        <f t="shared" si="11"/>
        <v>131.71428571428572</v>
      </c>
      <c r="AE63" s="68">
        <f t="shared" si="8"/>
        <v>0.93901156677181907</v>
      </c>
      <c r="AI63" s="357">
        <f>MAX($B$2:B63)</f>
        <v>173</v>
      </c>
      <c r="AP63" s="644">
        <f t="shared" si="17"/>
        <v>1.3294881038211968</v>
      </c>
      <c r="AT63" s="180"/>
    </row>
    <row r="64" spans="1:46" x14ac:dyDescent="0.25">
      <c r="A64" s="2">
        <v>43955</v>
      </c>
      <c r="B64" s="124">
        <v>104</v>
      </c>
      <c r="C64" s="124">
        <v>4887</v>
      </c>
      <c r="D64" s="124">
        <v>14</v>
      </c>
      <c r="E64" s="124">
        <v>260</v>
      </c>
      <c r="F64" s="126">
        <f t="shared" si="2"/>
        <v>30</v>
      </c>
      <c r="G64" s="149">
        <v>1472</v>
      </c>
      <c r="H64" s="124">
        <v>148</v>
      </c>
      <c r="I64" s="124">
        <v>1798</v>
      </c>
      <c r="J64" s="1">
        <v>69718</v>
      </c>
      <c r="K64" s="611">
        <f t="shared" si="0"/>
        <v>5.3202373644362595E-2</v>
      </c>
      <c r="L64" s="14">
        <v>53203</v>
      </c>
      <c r="M64" s="1">
        <v>53895</v>
      </c>
      <c r="N64" s="316">
        <v>924</v>
      </c>
      <c r="O64" s="1">
        <v>2136</v>
      </c>
      <c r="P64" s="1">
        <v>1378</v>
      </c>
      <c r="Q64" s="12">
        <f t="shared" si="15"/>
        <v>449</v>
      </c>
      <c r="R64" s="96">
        <f t="shared" si="1"/>
        <v>3155</v>
      </c>
      <c r="S64" s="35">
        <f t="shared" si="5"/>
        <v>4.6909667194928686E-2</v>
      </c>
      <c r="T64" s="28">
        <f t="shared" si="14"/>
        <v>5.3202373644362595E-2</v>
      </c>
      <c r="U64" s="91">
        <f>SUM(B51:B64)/POBLA!$B$25*100000</f>
        <v>4.0943001502352532</v>
      </c>
      <c r="V64" s="91">
        <f>B64/POBLA!$B$25*100000</f>
        <v>0.22917503531994962</v>
      </c>
      <c r="W64" s="625">
        <f t="shared" si="16"/>
        <v>1.324305060584462</v>
      </c>
      <c r="X64" s="68"/>
      <c r="Y64" s="68">
        <f t="shared" si="18"/>
        <v>5.713180294041785E-2</v>
      </c>
      <c r="Z64" s="167">
        <f t="shared" si="3"/>
        <v>126.57142857142857</v>
      </c>
      <c r="AA64" s="357">
        <f t="shared" si="4"/>
        <v>9</v>
      </c>
      <c r="AB64" s="357">
        <f t="shared" si="13"/>
        <v>5.0463307724937545</v>
      </c>
      <c r="AC64" s="610">
        <f t="shared" si="10"/>
        <v>-3.9536692275062455</v>
      </c>
      <c r="AD64" s="610">
        <f t="shared" si="11"/>
        <v>132.71428571428572</v>
      </c>
      <c r="AE64" s="68">
        <f t="shared" si="8"/>
        <v>0.91152263374485598</v>
      </c>
      <c r="AI64" s="357">
        <f>MAX($B$2:B64)</f>
        <v>173</v>
      </c>
      <c r="AP64" s="644">
        <f t="shared" si="17"/>
        <v>1.324305060584462</v>
      </c>
      <c r="AT64" s="180"/>
    </row>
    <row r="65" spans="1:46" x14ac:dyDescent="0.25">
      <c r="A65" s="2">
        <v>43956</v>
      </c>
      <c r="B65" s="124">
        <v>134</v>
      </c>
      <c r="C65" s="124">
        <v>5020</v>
      </c>
      <c r="D65" s="124">
        <v>4</v>
      </c>
      <c r="E65" s="124">
        <v>264</v>
      </c>
      <c r="F65" s="126">
        <f t="shared" si="2"/>
        <v>52</v>
      </c>
      <c r="G65" s="149">
        <v>1524</v>
      </c>
      <c r="H65" s="124">
        <v>143</v>
      </c>
      <c r="I65" s="124">
        <v>2597</v>
      </c>
      <c r="J65" s="1">
        <v>72315</v>
      </c>
      <c r="K65" s="611">
        <f t="shared" si="0"/>
        <v>5.2589641434262951E-2</v>
      </c>
      <c r="L65" s="14">
        <v>55227</v>
      </c>
      <c r="M65" s="1">
        <v>55893</v>
      </c>
      <c r="N65" s="316">
        <v>929</v>
      </c>
      <c r="O65" s="1">
        <v>2204</v>
      </c>
      <c r="P65" s="1">
        <v>1446</v>
      </c>
      <c r="Q65" s="12">
        <f t="shared" si="15"/>
        <v>441</v>
      </c>
      <c r="R65" s="96">
        <f t="shared" si="1"/>
        <v>3232</v>
      </c>
      <c r="S65" s="35">
        <f t="shared" si="5"/>
        <v>4.4245049504950493E-2</v>
      </c>
      <c r="T65" s="28">
        <f t="shared" si="14"/>
        <v>5.2589641434262951E-2</v>
      </c>
      <c r="U65" s="91">
        <f>SUM(B52:B65)/POBLA!$B$25*100000</f>
        <v>4.1405758785210125</v>
      </c>
      <c r="V65" s="91">
        <f>B65/POBLA!$B$25*100000</f>
        <v>0.2952832185853197</v>
      </c>
      <c r="W65" s="625">
        <f t="shared" ref="W65:W95" si="19">SUM(B52:B65)/SUM(B38:B51)</f>
        <v>1.3149055283414977</v>
      </c>
      <c r="X65" s="68"/>
      <c r="Y65" s="68">
        <f t="shared" si="18"/>
        <v>5.7263373170575831E-2</v>
      </c>
      <c r="Z65" s="167">
        <f t="shared" si="3"/>
        <v>128</v>
      </c>
      <c r="AA65" s="357">
        <f t="shared" si="4"/>
        <v>8.1428571428571423</v>
      </c>
      <c r="AB65" s="357">
        <f t="shared" si="13"/>
        <v>4.8096601235914207</v>
      </c>
      <c r="AC65" s="610">
        <f t="shared" si="10"/>
        <v>-3.3331970192657217</v>
      </c>
      <c r="AD65" s="610">
        <f t="shared" si="11"/>
        <v>134.21428571428572</v>
      </c>
      <c r="AE65" s="68">
        <f t="shared" si="8"/>
        <v>0.91149542217700918</v>
      </c>
      <c r="AI65" s="357">
        <f>MAX($B$2:B65)</f>
        <v>173</v>
      </c>
      <c r="AP65" s="644">
        <f t="shared" si="17"/>
        <v>1.3149055283414977</v>
      </c>
      <c r="AT65" s="180"/>
    </row>
    <row r="66" spans="1:46" x14ac:dyDescent="0.25">
      <c r="A66" s="2">
        <v>43957</v>
      </c>
      <c r="B66" s="124">
        <v>188</v>
      </c>
      <c r="C66" s="124">
        <v>5208</v>
      </c>
      <c r="D66" s="124">
        <v>9</v>
      </c>
      <c r="E66" s="124">
        <v>273</v>
      </c>
      <c r="F66" s="126">
        <f t="shared" si="2"/>
        <v>77</v>
      </c>
      <c r="G66" s="149">
        <v>1601</v>
      </c>
      <c r="H66" s="124">
        <v>151</v>
      </c>
      <c r="I66" s="124">
        <v>2883</v>
      </c>
      <c r="J66" s="1">
        <v>75198</v>
      </c>
      <c r="K66" s="611">
        <f t="shared" ref="K66:K129" si="20">E66/C66</f>
        <v>5.2419354838709679E-2</v>
      </c>
      <c r="L66" s="14">
        <v>57176</v>
      </c>
      <c r="M66" s="1">
        <v>57828</v>
      </c>
      <c r="N66" s="316">
        <v>927</v>
      </c>
      <c r="O66" s="1">
        <v>2292</v>
      </c>
      <c r="P66" s="1">
        <v>1510</v>
      </c>
      <c r="Q66" s="12">
        <f t="shared" si="15"/>
        <v>479</v>
      </c>
      <c r="R66" s="96">
        <f t="shared" ref="R66:R129" si="21">C66-E66-G66</f>
        <v>3334</v>
      </c>
      <c r="S66" s="35">
        <f t="shared" si="5"/>
        <v>4.5290941811637675E-2</v>
      </c>
      <c r="T66" s="28">
        <f t="shared" si="14"/>
        <v>5.2419354838709679E-2</v>
      </c>
      <c r="U66" s="91">
        <f>SUM(B53:B66)/POBLA!$B$25*100000</f>
        <v>4.2375345473102222</v>
      </c>
      <c r="V66" s="91">
        <f>B66/POBLA!$B$25*100000</f>
        <v>0.41427794846298582</v>
      </c>
      <c r="W66" s="625">
        <f t="shared" si="19"/>
        <v>1.2880107166778298</v>
      </c>
      <c r="X66" s="68"/>
      <c r="Y66" s="68">
        <f t="shared" si="18"/>
        <v>5.8228007294221215E-2</v>
      </c>
      <c r="Z66" s="167">
        <f t="shared" si="3"/>
        <v>132.28571428571428</v>
      </c>
      <c r="AA66" s="357">
        <f t="shared" si="4"/>
        <v>8.4285714285714288</v>
      </c>
      <c r="AB66" s="357">
        <f t="shared" si="13"/>
        <v>4.9532064650677796</v>
      </c>
      <c r="AC66" s="610">
        <f t="shared" si="10"/>
        <v>-3.4753649635036492</v>
      </c>
      <c r="AD66" s="610">
        <f t="shared" si="11"/>
        <v>137.35714285714286</v>
      </c>
      <c r="AE66" s="68">
        <f t="shared" si="8"/>
        <v>0.92878635907723173</v>
      </c>
      <c r="AI66" s="357">
        <f>MAX($B$2:B66)</f>
        <v>188</v>
      </c>
      <c r="AP66" s="644">
        <f t="shared" si="17"/>
        <v>1.2880107166778298</v>
      </c>
      <c r="AT66" s="180"/>
    </row>
    <row r="67" spans="1:46" x14ac:dyDescent="0.25">
      <c r="A67" s="2">
        <v>43958</v>
      </c>
      <c r="B67" s="124">
        <v>163</v>
      </c>
      <c r="C67" s="124">
        <v>5371</v>
      </c>
      <c r="D67" s="124">
        <v>9</v>
      </c>
      <c r="E67" s="124">
        <v>282</v>
      </c>
      <c r="F67" s="126">
        <f t="shared" ref="F67:F130" si="22">G67-G66</f>
        <v>0</v>
      </c>
      <c r="G67" s="149">
        <v>1601</v>
      </c>
      <c r="H67" s="124">
        <v>151</v>
      </c>
      <c r="I67" s="124">
        <v>2703</v>
      </c>
      <c r="J67" s="1">
        <v>77901</v>
      </c>
      <c r="K67" s="611">
        <f t="shared" si="20"/>
        <v>5.2504189164029047E-2</v>
      </c>
      <c r="L67" s="14">
        <v>59080</v>
      </c>
      <c r="M67" s="1">
        <v>59768</v>
      </c>
      <c r="N67" s="316">
        <v>929</v>
      </c>
      <c r="O67" s="1">
        <v>2374</v>
      </c>
      <c r="P67" s="1">
        <v>1595</v>
      </c>
      <c r="Q67" s="12">
        <f t="shared" si="15"/>
        <v>473</v>
      </c>
      <c r="R67" s="96">
        <f t="shared" si="21"/>
        <v>3488</v>
      </c>
      <c r="S67" s="35">
        <f t="shared" si="5"/>
        <v>4.3291284403669722E-2</v>
      </c>
      <c r="T67" s="28">
        <f t="shared" si="14"/>
        <v>5.2504189164029047E-2</v>
      </c>
      <c r="U67" s="91">
        <f>SUM(B54:B67)/POBLA!$B$25*100000</f>
        <v>4.272792245051753</v>
      </c>
      <c r="V67" s="91">
        <f>B67/POBLA!$B$25*100000</f>
        <v>0.35918779574184406</v>
      </c>
      <c r="W67" s="625">
        <f t="shared" si="19"/>
        <v>1.2582738481505515</v>
      </c>
      <c r="X67" s="68"/>
      <c r="Y67" s="68">
        <f t="shared" si="18"/>
        <v>6.0021572235264262E-2</v>
      </c>
      <c r="Z67" s="167">
        <f t="shared" si="3"/>
        <v>135.14285714285714</v>
      </c>
      <c r="AA67" s="357">
        <f t="shared" si="4"/>
        <v>9.1428571428571423</v>
      </c>
      <c r="AB67" s="357">
        <f t="shared" si="13"/>
        <v>5.2563942607610734</v>
      </c>
      <c r="AC67" s="610">
        <f t="shared" si="10"/>
        <v>-3.8864628820960689</v>
      </c>
      <c r="AD67" s="610">
        <f t="shared" si="11"/>
        <v>138.5</v>
      </c>
      <c r="AE67" s="68">
        <f t="shared" si="8"/>
        <v>0.95266868076535749</v>
      </c>
      <c r="AI67" s="357">
        <f>MAX($B$2:B67)</f>
        <v>188</v>
      </c>
      <c r="AP67" s="644">
        <f t="shared" si="17"/>
        <v>1.2582738481505515</v>
      </c>
      <c r="AT67" s="180"/>
    </row>
    <row r="68" spans="1:46" x14ac:dyDescent="0.25">
      <c r="A68" s="2">
        <v>43959</v>
      </c>
      <c r="B68" s="124">
        <v>240</v>
      </c>
      <c r="C68" s="124">
        <v>5611</v>
      </c>
      <c r="D68" s="124">
        <v>11</v>
      </c>
      <c r="E68" s="124">
        <v>293</v>
      </c>
      <c r="F68" s="126">
        <f t="shared" si="22"/>
        <v>127</v>
      </c>
      <c r="G68" s="149">
        <v>1728</v>
      </c>
      <c r="H68" s="124">
        <v>157</v>
      </c>
      <c r="I68" s="124">
        <v>2828</v>
      </c>
      <c r="J68" s="1">
        <v>80729</v>
      </c>
      <c r="K68" s="611">
        <f t="shared" si="20"/>
        <v>5.2218855818927108E-2</v>
      </c>
      <c r="L68" s="14">
        <v>61025</v>
      </c>
      <c r="M68" s="1">
        <v>61703</v>
      </c>
      <c r="N68" s="316">
        <v>931</v>
      </c>
      <c r="O68" s="1">
        <v>2469</v>
      </c>
      <c r="P68" s="1">
        <v>1644</v>
      </c>
      <c r="Q68" s="12">
        <f t="shared" si="15"/>
        <v>567</v>
      </c>
      <c r="R68" s="96">
        <f t="shared" si="21"/>
        <v>3590</v>
      </c>
      <c r="S68" s="35">
        <f t="shared" si="5"/>
        <v>4.3732590529247911E-2</v>
      </c>
      <c r="T68" s="28">
        <f t="shared" si="14"/>
        <v>5.2218855818927108E-2</v>
      </c>
      <c r="U68" s="91">
        <f>SUM(B55:B68)/POBLA!$B$25*100000</f>
        <v>4.4226374604532577</v>
      </c>
      <c r="V68" s="91">
        <f>B68/POBLA!$B$25*100000</f>
        <v>0.5288654661229607</v>
      </c>
      <c r="W68" s="625">
        <f t="shared" si="19"/>
        <v>1.2297794117647058</v>
      </c>
      <c r="X68" s="68"/>
      <c r="Y68" s="68">
        <f t="shared" si="18"/>
        <v>6.6510798006521876E-2</v>
      </c>
      <c r="Z68" s="167">
        <f t="shared" si="3"/>
        <v>154.42857142857142</v>
      </c>
      <c r="AA68" s="357">
        <f t="shared" si="4"/>
        <v>9.7142857142857135</v>
      </c>
      <c r="AB68" s="357">
        <f t="shared" si="13"/>
        <v>5.9180165551110937</v>
      </c>
      <c r="AC68" s="610">
        <f t="shared" si="10"/>
        <v>-3.7962691591746198</v>
      </c>
      <c r="AD68" s="610">
        <f t="shared" si="11"/>
        <v>143.35714285714286</v>
      </c>
      <c r="AE68" s="68">
        <f t="shared" si="8"/>
        <v>1.1673866090712743</v>
      </c>
      <c r="AI68" s="357">
        <f>MAX($B$2:B68)</f>
        <v>240</v>
      </c>
      <c r="AP68" s="644">
        <f t="shared" si="17"/>
        <v>1.2297794117647058</v>
      </c>
      <c r="AT68" s="180"/>
    </row>
    <row r="69" spans="1:46" x14ac:dyDescent="0.25">
      <c r="A69" s="2">
        <v>43960</v>
      </c>
      <c r="B69" s="124">
        <v>165</v>
      </c>
      <c r="C69" s="124">
        <v>5776</v>
      </c>
      <c r="D69" s="124">
        <v>7</v>
      </c>
      <c r="E69" s="124">
        <v>300</v>
      </c>
      <c r="F69" s="126">
        <f t="shared" si="22"/>
        <v>29</v>
      </c>
      <c r="G69" s="149">
        <v>1757</v>
      </c>
      <c r="H69" s="124">
        <v>160</v>
      </c>
      <c r="I69" s="124">
        <v>2289</v>
      </c>
      <c r="J69" s="1">
        <v>83018</v>
      </c>
      <c r="K69" s="611">
        <f t="shared" si="20"/>
        <v>5.1939058171745149E-2</v>
      </c>
      <c r="L69" s="14">
        <v>62760</v>
      </c>
      <c r="M69" s="1">
        <v>63458</v>
      </c>
      <c r="N69" s="316">
        <v>930</v>
      </c>
      <c r="O69" s="1">
        <v>2530</v>
      </c>
      <c r="P69" s="1">
        <v>1703</v>
      </c>
      <c r="Q69" s="12">
        <f t="shared" si="15"/>
        <v>613</v>
      </c>
      <c r="R69" s="96">
        <f t="shared" si="21"/>
        <v>3719</v>
      </c>
      <c r="S69" s="35">
        <f t="shared" si="5"/>
        <v>4.3022317827372952E-2</v>
      </c>
      <c r="T69" s="28">
        <f t="shared" si="14"/>
        <v>5.1939058171745149E-2</v>
      </c>
      <c r="U69" s="91">
        <f>SUM(B56:B69)/POBLA!$B$25*100000</f>
        <v>4.4050086115824936</v>
      </c>
      <c r="V69" s="91">
        <f>B69/POBLA!$B$25*100000</f>
        <v>0.36359500795953542</v>
      </c>
      <c r="W69" s="625">
        <f t="shared" si="19"/>
        <v>1.2203907203907205</v>
      </c>
      <c r="X69" s="68"/>
      <c r="Y69" s="68">
        <f t="shared" si="18"/>
        <v>6.6104248267550472E-2</v>
      </c>
      <c r="Z69" s="167">
        <f t="shared" si="3"/>
        <v>156.71428571428572</v>
      </c>
      <c r="AA69" s="357">
        <f t="shared" si="4"/>
        <v>9</v>
      </c>
      <c r="AB69" s="357">
        <f t="shared" si="13"/>
        <v>6.5791761148903998</v>
      </c>
      <c r="AC69" s="610">
        <f t="shared" si="10"/>
        <v>-2.4208238851096002</v>
      </c>
      <c r="AD69" s="610">
        <f t="shared" si="11"/>
        <v>142.78571428571428</v>
      </c>
      <c r="AE69" s="68">
        <f t="shared" si="8"/>
        <v>1.2161862527716187</v>
      </c>
      <c r="AI69" s="357">
        <f>MAX($B$2:B69)</f>
        <v>240</v>
      </c>
      <c r="AP69" s="644">
        <f t="shared" si="17"/>
        <v>1.2203907203907205</v>
      </c>
      <c r="AT69" s="180"/>
    </row>
    <row r="70" spans="1:46" x14ac:dyDescent="0.25">
      <c r="A70" s="2">
        <v>43961</v>
      </c>
      <c r="B70" s="124">
        <v>258</v>
      </c>
      <c r="C70" s="124">
        <v>6034</v>
      </c>
      <c r="D70" s="124">
        <v>5</v>
      </c>
      <c r="E70" s="124">
        <v>305</v>
      </c>
      <c r="F70" s="126">
        <f t="shared" si="22"/>
        <v>80</v>
      </c>
      <c r="G70" s="149">
        <v>1837</v>
      </c>
      <c r="H70" s="124">
        <v>164</v>
      </c>
      <c r="I70" s="124">
        <v>2140</v>
      </c>
      <c r="J70" s="1">
        <v>85158</v>
      </c>
      <c r="K70" s="611">
        <f t="shared" si="20"/>
        <v>5.0546900894928734E-2</v>
      </c>
      <c r="L70" s="14">
        <v>64104</v>
      </c>
      <c r="M70" s="1">
        <v>64817</v>
      </c>
      <c r="N70" s="316">
        <v>929</v>
      </c>
      <c r="O70" s="1">
        <v>2667</v>
      </c>
      <c r="P70" s="1">
        <v>1768</v>
      </c>
      <c r="Q70" s="12">
        <f t="shared" si="15"/>
        <v>670</v>
      </c>
      <c r="R70" s="96">
        <f t="shared" si="21"/>
        <v>3892</v>
      </c>
      <c r="S70" s="35">
        <f t="shared" si="5"/>
        <v>4.2137718396711203E-2</v>
      </c>
      <c r="T70" s="28">
        <f t="shared" si="14"/>
        <v>5.0546900894928734E-2</v>
      </c>
      <c r="U70" s="91">
        <f>SUM(B57:B70)/POBLA!$B$25*100000</f>
        <v>4.7267351034739606</v>
      </c>
      <c r="V70" s="91">
        <f>B70/POBLA!$B$25*100000</f>
        <v>0.56853037608218271</v>
      </c>
      <c r="W70" s="625">
        <f t="shared" si="19"/>
        <v>1.2737529691211402</v>
      </c>
      <c r="X70" s="68"/>
      <c r="Y70" s="68">
        <f t="shared" si="18"/>
        <v>7.2630235526163128E-2</v>
      </c>
      <c r="Z70" s="167">
        <f t="shared" si="3"/>
        <v>178.85714285714286</v>
      </c>
      <c r="AA70" s="357">
        <f t="shared" si="4"/>
        <v>8.4285714285714288</v>
      </c>
      <c r="AB70" s="357">
        <f t="shared" si="13"/>
        <v>6.7020995448539127</v>
      </c>
      <c r="AC70" s="610">
        <f t="shared" si="10"/>
        <v>-1.7264718837175161</v>
      </c>
      <c r="AD70" s="610">
        <f t="shared" si="11"/>
        <v>153.21428571428572</v>
      </c>
      <c r="AE70" s="68">
        <f t="shared" si="8"/>
        <v>1.4020156774916015</v>
      </c>
      <c r="AI70" s="357">
        <f>MAX($B$2:B70)</f>
        <v>258</v>
      </c>
      <c r="AP70" s="644">
        <f t="shared" si="17"/>
        <v>1.2737529691211402</v>
      </c>
      <c r="AT70" s="180"/>
    </row>
    <row r="71" spans="1:46" x14ac:dyDescent="0.25">
      <c r="A71" s="2">
        <v>43962</v>
      </c>
      <c r="B71" s="124">
        <v>244</v>
      </c>
      <c r="C71" s="124">
        <v>6278</v>
      </c>
      <c r="D71" s="124">
        <v>9</v>
      </c>
      <c r="E71" s="124">
        <v>314</v>
      </c>
      <c r="F71" s="126">
        <f t="shared" si="22"/>
        <v>25</v>
      </c>
      <c r="G71" s="149">
        <v>1862</v>
      </c>
      <c r="H71" s="124">
        <v>170</v>
      </c>
      <c r="I71" s="124">
        <v>2389</v>
      </c>
      <c r="J71" s="1">
        <v>87547</v>
      </c>
      <c r="K71" s="611">
        <f t="shared" si="20"/>
        <v>5.0015928639694167E-2</v>
      </c>
      <c r="L71" s="14">
        <v>65976</v>
      </c>
      <c r="M71" s="1">
        <v>66709</v>
      </c>
      <c r="N71" s="316">
        <v>929</v>
      </c>
      <c r="O71" s="1">
        <v>2800</v>
      </c>
      <c r="P71" s="1">
        <v>1833</v>
      </c>
      <c r="Q71" s="12">
        <f t="shared" si="15"/>
        <v>716</v>
      </c>
      <c r="R71" s="96">
        <f t="shared" si="21"/>
        <v>4102</v>
      </c>
      <c r="S71" s="35">
        <f t="shared" si="5"/>
        <v>4.1443198439785472E-2</v>
      </c>
      <c r="T71" s="28">
        <f t="shared" si="14"/>
        <v>5.0015928639694167E-2</v>
      </c>
      <c r="U71" s="91">
        <f>SUM(B58:B71)/POBLA!$B$25*100000</f>
        <v>5.0198147159504343</v>
      </c>
      <c r="V71" s="91">
        <f>B71/POBLA!$B$25*100000</f>
        <v>0.53767989055834331</v>
      </c>
      <c r="W71" s="625">
        <f t="shared" si="19"/>
        <v>1.3198146002317497</v>
      </c>
      <c r="X71" s="68"/>
      <c r="Y71" s="68">
        <f t="shared" si="18"/>
        <v>7.8075046272926135E-2</v>
      </c>
      <c r="Z71" s="167">
        <f t="shared" si="3"/>
        <v>198.85714285714286</v>
      </c>
      <c r="AA71" s="357">
        <f t="shared" si="4"/>
        <v>7.7142857142857144</v>
      </c>
      <c r="AB71" s="357">
        <f t="shared" si="13"/>
        <v>6.8335890938938659</v>
      </c>
      <c r="AC71" s="610">
        <f t="shared" si="10"/>
        <v>-0.88069662039184848</v>
      </c>
      <c r="AD71" s="610">
        <f t="shared" si="11"/>
        <v>162.71428571428572</v>
      </c>
      <c r="AE71" s="68">
        <f t="shared" si="8"/>
        <v>1.5711060948081266</v>
      </c>
      <c r="AI71" s="357">
        <f>MAX($B$2:B71)</f>
        <v>258</v>
      </c>
      <c r="AP71" s="644">
        <f t="shared" si="17"/>
        <v>1.3198146002317497</v>
      </c>
      <c r="AT71" s="180"/>
    </row>
    <row r="72" spans="1:46" x14ac:dyDescent="0.25">
      <c r="A72" s="2">
        <v>43963</v>
      </c>
      <c r="B72" s="124">
        <v>285</v>
      </c>
      <c r="C72" s="124">
        <v>6563</v>
      </c>
      <c r="D72" s="124">
        <v>5</v>
      </c>
      <c r="E72" s="124">
        <v>319</v>
      </c>
      <c r="F72" s="126">
        <f t="shared" si="22"/>
        <v>404</v>
      </c>
      <c r="G72" s="149">
        <v>2266</v>
      </c>
      <c r="H72" s="124">
        <v>147</v>
      </c>
      <c r="I72" s="124">
        <v>2927</v>
      </c>
      <c r="J72" s="1">
        <v>90474</v>
      </c>
      <c r="K72" s="611">
        <f t="shared" si="20"/>
        <v>4.8605820508913607E-2</v>
      </c>
      <c r="L72" s="14">
        <v>68237</v>
      </c>
      <c r="M72" s="1">
        <v>68926</v>
      </c>
      <c r="N72" s="316">
        <v>932</v>
      </c>
      <c r="O72" s="1">
        <v>2973</v>
      </c>
      <c r="P72" s="1">
        <v>1923</v>
      </c>
      <c r="Q72" s="12">
        <f t="shared" si="15"/>
        <v>735</v>
      </c>
      <c r="R72" s="96">
        <f t="shared" si="21"/>
        <v>3978</v>
      </c>
      <c r="S72" s="35">
        <f t="shared" si="5"/>
        <v>3.6953242835595777E-2</v>
      </c>
      <c r="T72" s="28">
        <f t="shared" si="14"/>
        <v>4.8605820508913607E-2</v>
      </c>
      <c r="U72" s="91">
        <f>SUM(B59:B72)/POBLA!$B$25*100000</f>
        <v>5.3745952994745876</v>
      </c>
      <c r="V72" s="91">
        <f>B72/POBLA!$B$25*100000</f>
        <v>0.62802774102101577</v>
      </c>
      <c r="W72" s="625">
        <f t="shared" si="19"/>
        <v>1.4483372921615203</v>
      </c>
      <c r="X72" s="68"/>
      <c r="Y72" s="68">
        <f t="shared" si="18"/>
        <v>8.4971639407456362E-2</v>
      </c>
      <c r="Z72" s="167">
        <f t="shared" si="3"/>
        <v>220.42857142857142</v>
      </c>
      <c r="AA72" s="357">
        <f t="shared" si="4"/>
        <v>7.8571428571428568</v>
      </c>
      <c r="AB72" s="357">
        <f t="shared" si="13"/>
        <v>7.0435459863615906</v>
      </c>
      <c r="AC72" s="610">
        <f t="shared" si="10"/>
        <v>-0.81359687078126619</v>
      </c>
      <c r="AD72" s="610">
        <f t="shared" si="11"/>
        <v>174.21428571428572</v>
      </c>
      <c r="AE72" s="68">
        <f t="shared" si="8"/>
        <v>1.7220982142857142</v>
      </c>
      <c r="AI72" s="357">
        <f>MAX($B$2:B72)</f>
        <v>285</v>
      </c>
      <c r="AP72" s="644">
        <f t="shared" si="17"/>
        <v>1.4483372921615203</v>
      </c>
      <c r="AT72" s="180"/>
    </row>
    <row r="73" spans="1:46" x14ac:dyDescent="0.25">
      <c r="A73" s="2">
        <v>43964</v>
      </c>
      <c r="B73" s="124">
        <v>316</v>
      </c>
      <c r="C73" s="124">
        <v>6879</v>
      </c>
      <c r="D73" s="124">
        <v>10</v>
      </c>
      <c r="E73" s="124">
        <v>329</v>
      </c>
      <c r="F73" s="126">
        <f t="shared" si="22"/>
        <v>119</v>
      </c>
      <c r="G73" s="149">
        <v>2385</v>
      </c>
      <c r="H73" s="124">
        <v>147</v>
      </c>
      <c r="I73" s="124">
        <v>3199</v>
      </c>
      <c r="J73" s="1">
        <v>93673</v>
      </c>
      <c r="K73" s="611">
        <f t="shared" si="20"/>
        <v>4.7826718999854627E-2</v>
      </c>
      <c r="L73" s="14">
        <v>70497</v>
      </c>
      <c r="M73" s="1">
        <v>71209</v>
      </c>
      <c r="N73" s="316">
        <v>936</v>
      </c>
      <c r="O73" s="1">
        <v>3109</v>
      </c>
      <c r="P73" s="1">
        <v>2036</v>
      </c>
      <c r="Q73" s="12">
        <f t="shared" si="15"/>
        <v>798</v>
      </c>
      <c r="R73" s="96">
        <f t="shared" si="21"/>
        <v>4165</v>
      </c>
      <c r="S73" s="35">
        <f t="shared" si="5"/>
        <v>3.5294117647058823E-2</v>
      </c>
      <c r="T73" s="28">
        <f t="shared" si="14"/>
        <v>4.7826718999854627E-2</v>
      </c>
      <c r="U73" s="91">
        <f>SUM(B60:B73)/POBLA!$B$25*100000</f>
        <v>5.7227650646722035</v>
      </c>
      <c r="V73" s="91">
        <f>B73/POBLA!$B$25*100000</f>
        <v>0.69633953039523155</v>
      </c>
      <c r="W73" s="625">
        <f t="shared" si="19"/>
        <v>1.515169194865811</v>
      </c>
      <c r="X73" s="68"/>
      <c r="Y73" s="68">
        <f t="shared" si="18"/>
        <v>9.0446549391069012E-2</v>
      </c>
      <c r="Z73" s="167">
        <f t="shared" ref="Z73:Z136" si="23">AVERAGE(B67:B73)</f>
        <v>238.71428571428572</v>
      </c>
      <c r="AA73" s="357">
        <f t="shared" ref="AA73:AA136" si="24">AVERAGE(D67:D73)</f>
        <v>8</v>
      </c>
      <c r="AB73" s="357">
        <f t="shared" si="13"/>
        <v>7.1131188531421898</v>
      </c>
      <c r="AC73" s="610">
        <f t="shared" si="10"/>
        <v>-0.88688114685781017</v>
      </c>
      <c r="AD73" s="610">
        <f t="shared" si="11"/>
        <v>185.5</v>
      </c>
      <c r="AE73" s="68">
        <f t="shared" si="8"/>
        <v>1.8045356371490282</v>
      </c>
      <c r="AI73" s="357">
        <f>MAX($B$2:B73)</f>
        <v>316</v>
      </c>
      <c r="AP73" s="644">
        <f t="shared" si="17"/>
        <v>1.515169194865811</v>
      </c>
      <c r="AT73" s="180"/>
    </row>
    <row r="74" spans="1:46" x14ac:dyDescent="0.25">
      <c r="A74" s="2">
        <v>43965</v>
      </c>
      <c r="B74" s="124">
        <v>255</v>
      </c>
      <c r="C74" s="124">
        <v>7134</v>
      </c>
      <c r="D74" s="124">
        <v>24</v>
      </c>
      <c r="E74" s="124">
        <v>353</v>
      </c>
      <c r="F74" s="126">
        <f t="shared" si="22"/>
        <v>112</v>
      </c>
      <c r="G74" s="149">
        <v>2497</v>
      </c>
      <c r="H74" s="124">
        <v>149</v>
      </c>
      <c r="I74" s="124">
        <v>3220</v>
      </c>
      <c r="J74" s="1">
        <v>96893</v>
      </c>
      <c r="K74" s="611">
        <f t="shared" si="20"/>
        <v>4.9481356882534341E-2</v>
      </c>
      <c r="L74" s="14">
        <v>72972</v>
      </c>
      <c r="M74" s="1">
        <v>73709</v>
      </c>
      <c r="N74" s="316">
        <v>935</v>
      </c>
      <c r="O74" s="1">
        <v>3225</v>
      </c>
      <c r="P74" s="1">
        <v>2169</v>
      </c>
      <c r="Q74" s="12">
        <f t="shared" si="15"/>
        <v>805</v>
      </c>
      <c r="R74" s="96">
        <f t="shared" si="21"/>
        <v>4284</v>
      </c>
      <c r="S74" s="35">
        <f t="shared" si="5"/>
        <v>3.4780578898225958E-2</v>
      </c>
      <c r="T74" s="28">
        <f t="shared" si="14"/>
        <v>4.9481356882534341E-2</v>
      </c>
      <c r="U74" s="91">
        <f>SUM(B61:B74)/POBLA!$B$25*100000</f>
        <v>5.9695689488629187</v>
      </c>
      <c r="V74" s="91">
        <f>B74/POBLA!$B$25*100000</f>
        <v>0.56191955775564562</v>
      </c>
      <c r="W74" s="625">
        <f t="shared" si="19"/>
        <v>1.5400795906765208</v>
      </c>
      <c r="X74" s="68"/>
      <c r="Y74" s="68">
        <f t="shared" si="18"/>
        <v>9.2828559393428808E-2</v>
      </c>
      <c r="Z74" s="167">
        <f t="shared" si="23"/>
        <v>251.85714285714286</v>
      </c>
      <c r="AA74" s="357">
        <f t="shared" si="24"/>
        <v>10.142857142857142</v>
      </c>
      <c r="AB74" s="357">
        <f t="shared" si="13"/>
        <v>6.9839334107626794</v>
      </c>
      <c r="AC74" s="610">
        <f t="shared" si="10"/>
        <v>-3.158923732094463</v>
      </c>
      <c r="AD74" s="610">
        <f t="shared" si="11"/>
        <v>193.5</v>
      </c>
      <c r="AE74" s="68">
        <f t="shared" si="8"/>
        <v>1.8636363636363638</v>
      </c>
      <c r="AI74" s="357">
        <f>MAX($B$2:B74)</f>
        <v>316</v>
      </c>
      <c r="AP74" s="644">
        <f t="shared" si="17"/>
        <v>1.5400795906765208</v>
      </c>
      <c r="AT74" s="180"/>
    </row>
    <row r="75" spans="1:46" x14ac:dyDescent="0.25">
      <c r="A75" s="2">
        <v>43966</v>
      </c>
      <c r="B75" s="124">
        <v>345</v>
      </c>
      <c r="C75" s="124">
        <v>7479</v>
      </c>
      <c r="D75" s="124">
        <v>3</v>
      </c>
      <c r="E75" s="124">
        <v>356</v>
      </c>
      <c r="F75" s="126">
        <f t="shared" si="22"/>
        <v>37</v>
      </c>
      <c r="G75" s="149">
        <v>2534</v>
      </c>
      <c r="H75" s="124">
        <v>151</v>
      </c>
      <c r="I75" s="124">
        <v>3469</v>
      </c>
      <c r="J75" s="1">
        <v>100362</v>
      </c>
      <c r="K75" s="611">
        <f t="shared" si="20"/>
        <v>4.7599946516914023E-2</v>
      </c>
      <c r="L75" s="14">
        <v>75647</v>
      </c>
      <c r="M75" s="1">
        <v>76257</v>
      </c>
      <c r="N75" s="316">
        <v>937</v>
      </c>
      <c r="O75" s="1">
        <v>3367</v>
      </c>
      <c r="P75" s="1">
        <v>2272</v>
      </c>
      <c r="Q75" s="12">
        <f t="shared" si="15"/>
        <v>903</v>
      </c>
      <c r="R75" s="96">
        <f t="shared" si="21"/>
        <v>4589</v>
      </c>
      <c r="S75" s="35">
        <f t="shared" si="5"/>
        <v>3.2904772281542823E-2</v>
      </c>
      <c r="T75" s="28">
        <f t="shared" si="14"/>
        <v>4.7599946516914023E-2</v>
      </c>
      <c r="U75" s="91">
        <f>SUM(B62:B75)/POBLA!$B$25*100000</f>
        <v>6.4984344149858781</v>
      </c>
      <c r="V75" s="91">
        <f>B75/POBLA!$B$25*100000</f>
        <v>0.76024410755175598</v>
      </c>
      <c r="W75" s="625">
        <f t="shared" si="19"/>
        <v>1.6614084507042253</v>
      </c>
      <c r="X75" s="68"/>
      <c r="Y75" s="68">
        <f t="shared" si="18"/>
        <v>9.5145927774665101E-2</v>
      </c>
      <c r="Z75" s="167">
        <f t="shared" si="23"/>
        <v>266.85714285714283</v>
      </c>
      <c r="AA75" s="357">
        <f t="shared" si="24"/>
        <v>9</v>
      </c>
      <c r="AB75" s="357">
        <f t="shared" si="13"/>
        <v>6.5675829025343582</v>
      </c>
      <c r="AC75" s="610">
        <f t="shared" si="10"/>
        <v>-2.4324170974656418</v>
      </c>
      <c r="AD75" s="610">
        <f t="shared" si="11"/>
        <v>210.64285714285714</v>
      </c>
      <c r="AE75" s="68">
        <f t="shared" si="8"/>
        <v>1.7280296022201664</v>
      </c>
      <c r="AI75" s="357">
        <f>MAX($B$2:B75)</f>
        <v>345</v>
      </c>
      <c r="AP75" s="644">
        <f t="shared" si="17"/>
        <v>1.6614084507042253</v>
      </c>
      <c r="AT75" s="180"/>
    </row>
    <row r="76" spans="1:46" x14ac:dyDescent="0.25">
      <c r="A76" s="2">
        <v>43967</v>
      </c>
      <c r="B76" s="124">
        <v>327</v>
      </c>
      <c r="C76" s="124">
        <v>7805</v>
      </c>
      <c r="D76" s="124">
        <v>7</v>
      </c>
      <c r="E76" s="124">
        <v>363</v>
      </c>
      <c r="F76" s="126">
        <f t="shared" si="22"/>
        <v>35</v>
      </c>
      <c r="G76" s="149">
        <v>2569</v>
      </c>
      <c r="H76" s="124">
        <v>154</v>
      </c>
      <c r="I76" s="124">
        <v>2858</v>
      </c>
      <c r="J76" s="1">
        <v>103220</v>
      </c>
      <c r="K76" s="611">
        <f t="shared" si="20"/>
        <v>4.6508648302370274E-2</v>
      </c>
      <c r="L76" s="14">
        <v>77581</v>
      </c>
      <c r="M76" s="1">
        <v>78207</v>
      </c>
      <c r="N76" s="316">
        <v>987</v>
      </c>
      <c r="O76" s="1">
        <v>3482</v>
      </c>
      <c r="P76" s="1">
        <v>2372</v>
      </c>
      <c r="Q76" s="12">
        <f t="shared" si="15"/>
        <v>964</v>
      </c>
      <c r="R76" s="96">
        <f t="shared" si="21"/>
        <v>4873</v>
      </c>
      <c r="S76" s="35">
        <f t="shared" si="5"/>
        <v>3.160270880361174E-2</v>
      </c>
      <c r="T76" s="28">
        <f t="shared" si="14"/>
        <v>4.6508648302370274E-2</v>
      </c>
      <c r="U76" s="91">
        <f>SUM(B63:B76)/POBLA!$B$25*100000</f>
        <v>6.8906763023604078</v>
      </c>
      <c r="V76" s="91">
        <f>B76/POBLA!$B$25*100000</f>
        <v>0.72057919759253386</v>
      </c>
      <c r="W76" s="625">
        <f t="shared" si="19"/>
        <v>1.696690179055887</v>
      </c>
      <c r="X76" s="68"/>
      <c r="Y76" s="68">
        <f t="shared" si="18"/>
        <v>0.10048510048510048</v>
      </c>
      <c r="Z76" s="167">
        <f t="shared" si="23"/>
        <v>290</v>
      </c>
      <c r="AA76" s="357">
        <f t="shared" si="24"/>
        <v>9</v>
      </c>
      <c r="AB76" s="357">
        <f t="shared" si="13"/>
        <v>6.524063844721824</v>
      </c>
      <c r="AC76" s="610">
        <f t="shared" si="10"/>
        <v>-2.475936155278176</v>
      </c>
      <c r="AD76" s="610">
        <f t="shared" si="11"/>
        <v>223.35714285714286</v>
      </c>
      <c r="AE76" s="68">
        <f t="shared" si="8"/>
        <v>1.8505013673655424</v>
      </c>
      <c r="AI76" s="357">
        <f>MAX($B$2:B76)</f>
        <v>345</v>
      </c>
      <c r="AP76" s="644">
        <f t="shared" si="17"/>
        <v>1.696690179055887</v>
      </c>
      <c r="AT76" s="180"/>
    </row>
    <row r="77" spans="1:46" x14ac:dyDescent="0.25">
      <c r="A77" s="2">
        <v>43968</v>
      </c>
      <c r="B77" s="124">
        <v>263</v>
      </c>
      <c r="C77" s="124">
        <v>8086</v>
      </c>
      <c r="D77" s="124">
        <v>10</v>
      </c>
      <c r="E77" s="124">
        <v>373</v>
      </c>
      <c r="F77" s="126">
        <f t="shared" si="22"/>
        <v>56</v>
      </c>
      <c r="G77" s="149">
        <v>2625</v>
      </c>
      <c r="H77" s="124">
        <v>159</v>
      </c>
      <c r="I77" s="124">
        <v>2609</v>
      </c>
      <c r="J77" s="1">
        <v>105829</v>
      </c>
      <c r="K77" s="611">
        <f t="shared" si="20"/>
        <v>4.6129112045510762E-2</v>
      </c>
      <c r="L77" s="14">
        <v>79462</v>
      </c>
      <c r="M77" s="1">
        <v>80102</v>
      </c>
      <c r="N77" s="316">
        <v>939</v>
      </c>
      <c r="O77" s="1">
        <v>3561</v>
      </c>
      <c r="P77" s="1">
        <v>2468</v>
      </c>
      <c r="Q77" s="12">
        <f t="shared" si="15"/>
        <v>1118</v>
      </c>
      <c r="R77" s="96">
        <f t="shared" si="21"/>
        <v>5088</v>
      </c>
      <c r="S77" s="35">
        <f t="shared" si="5"/>
        <v>3.125E-2</v>
      </c>
      <c r="T77" s="28">
        <f t="shared" si="14"/>
        <v>4.6129112045510762E-2</v>
      </c>
      <c r="U77" s="91">
        <f>SUM(B64:B77)/POBLA!$B$25*100000</f>
        <v>7.2432532797757156</v>
      </c>
      <c r="V77" s="91">
        <f>B77/POBLA!$B$25*100000</f>
        <v>0.57954840662641105</v>
      </c>
      <c r="W77" s="625">
        <f t="shared" si="19"/>
        <v>1.7825379609544469</v>
      </c>
      <c r="X77" s="68"/>
      <c r="Y77" s="68">
        <f t="shared" si="18"/>
        <v>9.8447099801654489E-2</v>
      </c>
      <c r="Z77" s="167">
        <f t="shared" si="23"/>
        <v>290.71428571428572</v>
      </c>
      <c r="AA77" s="357">
        <f t="shared" si="24"/>
        <v>9.7142857142857135</v>
      </c>
      <c r="AB77" s="357">
        <f t="shared" si="13"/>
        <v>6.5599020544672717</v>
      </c>
      <c r="AC77" s="610">
        <f t="shared" si="10"/>
        <v>-3.1543836598184418</v>
      </c>
      <c r="AD77" s="610">
        <f t="shared" si="11"/>
        <v>234.78571428571428</v>
      </c>
      <c r="AE77" s="68">
        <f t="shared" si="8"/>
        <v>1.6253993610223643</v>
      </c>
      <c r="AI77" s="357">
        <f>MAX($B$2:B77)</f>
        <v>345</v>
      </c>
      <c r="AP77" s="644">
        <f t="shared" si="17"/>
        <v>1.7825379609544469</v>
      </c>
      <c r="AT77" s="180"/>
    </row>
    <row r="78" spans="1:46" x14ac:dyDescent="0.25">
      <c r="A78" s="2">
        <v>43969</v>
      </c>
      <c r="B78" s="124">
        <v>303</v>
      </c>
      <c r="C78" s="124">
        <v>8371</v>
      </c>
      <c r="D78" s="124">
        <v>9</v>
      </c>
      <c r="E78" s="124">
        <v>382</v>
      </c>
      <c r="F78" s="126">
        <f t="shared" si="22"/>
        <v>247</v>
      </c>
      <c r="G78" s="149">
        <v>2872</v>
      </c>
      <c r="H78" s="124">
        <v>156</v>
      </c>
      <c r="I78" s="124">
        <v>2805</v>
      </c>
      <c r="J78" s="1">
        <v>108634</v>
      </c>
      <c r="K78" s="611">
        <f t="shared" si="20"/>
        <v>4.5633735515470078E-2</v>
      </c>
      <c r="L78" s="14">
        <v>81466</v>
      </c>
      <c r="M78" s="1">
        <v>82123</v>
      </c>
      <c r="N78" s="316">
        <v>939</v>
      </c>
      <c r="O78" s="1">
        <v>3718</v>
      </c>
      <c r="P78" s="1">
        <v>2607</v>
      </c>
      <c r="Q78" s="12">
        <f t="shared" si="15"/>
        <v>1107</v>
      </c>
      <c r="R78" s="96">
        <f t="shared" si="21"/>
        <v>5117</v>
      </c>
      <c r="S78" s="35">
        <f t="shared" ref="S78:S141" si="25">H78/(C78-E78-G78)</f>
        <v>3.0486613249951142E-2</v>
      </c>
      <c r="T78" s="28">
        <f t="shared" ref="T78:T109" si="26">E78/C78</f>
        <v>4.5633735515470078E-2</v>
      </c>
      <c r="U78" s="91">
        <f>SUM(B65:B78)/POBLA!$B$25*100000</f>
        <v>7.6817708954360029</v>
      </c>
      <c r="V78" s="91">
        <f>B78/POBLA!$B$25*100000</f>
        <v>0.66769265098023778</v>
      </c>
      <c r="W78" s="625">
        <f t="shared" si="19"/>
        <v>1.8762109795479009</v>
      </c>
      <c r="X78" s="68"/>
      <c r="Y78" s="68">
        <f t="shared" si="18"/>
        <v>9.9302888035282408E-2</v>
      </c>
      <c r="Z78" s="167">
        <f t="shared" si="23"/>
        <v>299.14285714285717</v>
      </c>
      <c r="AA78" s="357">
        <f t="shared" si="24"/>
        <v>9.7142857142857135</v>
      </c>
      <c r="AB78" s="357">
        <f t="shared" si="13"/>
        <v>6.733900435557894</v>
      </c>
      <c r="AC78" s="610">
        <f t="shared" si="10"/>
        <v>-2.9803852787278196</v>
      </c>
      <c r="AD78" s="610">
        <f t="shared" si="11"/>
        <v>249</v>
      </c>
      <c r="AE78" s="68">
        <f t="shared" si="8"/>
        <v>1.5043103448275863</v>
      </c>
      <c r="AI78" s="357">
        <f>MAX($B$2:B78)</f>
        <v>345</v>
      </c>
      <c r="AP78" s="644">
        <f t="shared" si="17"/>
        <v>1.8762109795479009</v>
      </c>
      <c r="AT78" s="180"/>
    </row>
    <row r="79" spans="1:46" x14ac:dyDescent="0.25">
      <c r="A79" s="2">
        <v>43970</v>
      </c>
      <c r="B79" s="124">
        <v>438</v>
      </c>
      <c r="C79" s="124">
        <v>8809</v>
      </c>
      <c r="D79" s="124">
        <v>11</v>
      </c>
      <c r="E79" s="124">
        <v>393</v>
      </c>
      <c r="F79" s="126">
        <f t="shared" si="22"/>
        <v>61</v>
      </c>
      <c r="G79" s="149">
        <v>2933</v>
      </c>
      <c r="H79" s="124">
        <v>161</v>
      </c>
      <c r="I79" s="124">
        <v>3736</v>
      </c>
      <c r="J79" s="1">
        <v>112370</v>
      </c>
      <c r="K79" s="611">
        <f t="shared" si="20"/>
        <v>4.4613463503235327E-2</v>
      </c>
      <c r="L79" s="14">
        <v>84449</v>
      </c>
      <c r="M79" s="1">
        <v>85130</v>
      </c>
      <c r="N79" s="316">
        <v>940</v>
      </c>
      <c r="O79" s="1">
        <v>3879</v>
      </c>
      <c r="P79" s="1">
        <v>2758</v>
      </c>
      <c r="Q79" s="12">
        <f t="shared" si="15"/>
        <v>1232</v>
      </c>
      <c r="R79" s="96">
        <f t="shared" si="21"/>
        <v>5483</v>
      </c>
      <c r="S79" s="35">
        <f t="shared" si="25"/>
        <v>2.9363487142075505E-2</v>
      </c>
      <c r="T79" s="28">
        <f t="shared" si="26"/>
        <v>4.4613463503235327E-2</v>
      </c>
      <c r="U79" s="91">
        <f>SUM(B66:B79)/POBLA!$B$25*100000</f>
        <v>8.3516671525250867</v>
      </c>
      <c r="V79" s="91">
        <f>B79/POBLA!$B$25*100000</f>
        <v>0.96517947567440321</v>
      </c>
      <c r="W79" s="625">
        <f t="shared" si="19"/>
        <v>2.0170303352847259</v>
      </c>
      <c r="X79" s="68"/>
      <c r="Y79" s="68">
        <f t="shared" si="18"/>
        <v>0.10262148337595908</v>
      </c>
      <c r="Z79" s="167">
        <f t="shared" si="23"/>
        <v>321</v>
      </c>
      <c r="AA79" s="357">
        <f t="shared" si="24"/>
        <v>10.571428571428571</v>
      </c>
      <c r="AB79" s="357">
        <f t="shared" si="13"/>
        <v>6.7314741035856578</v>
      </c>
      <c r="AC79" s="610">
        <f t="shared" si="10"/>
        <v>-3.8399544678429134</v>
      </c>
      <c r="AD79" s="610">
        <f t="shared" si="11"/>
        <v>270.71428571428572</v>
      </c>
      <c r="AE79" s="68">
        <f t="shared" si="8"/>
        <v>1.456254050550875</v>
      </c>
      <c r="AI79" s="357">
        <f>MAX($B$2:B79)</f>
        <v>438</v>
      </c>
      <c r="AP79" s="644">
        <f t="shared" si="17"/>
        <v>2.0170303352847259</v>
      </c>
      <c r="AT79" s="180"/>
    </row>
    <row r="80" spans="1:46" x14ac:dyDescent="0.25">
      <c r="A80" s="2">
        <v>43971</v>
      </c>
      <c r="B80" s="124">
        <v>474</v>
      </c>
      <c r="C80" s="124">
        <v>9283</v>
      </c>
      <c r="D80" s="124">
        <v>10</v>
      </c>
      <c r="E80" s="124">
        <v>403</v>
      </c>
      <c r="F80" s="126">
        <f t="shared" si="22"/>
        <v>99</v>
      </c>
      <c r="G80" s="149">
        <v>3032</v>
      </c>
      <c r="H80" s="124">
        <v>171</v>
      </c>
      <c r="I80" s="124">
        <v>4319</v>
      </c>
      <c r="J80" s="1">
        <v>116689</v>
      </c>
      <c r="K80" s="611">
        <f t="shared" si="20"/>
        <v>4.341268986319078E-2</v>
      </c>
      <c r="L80" s="14">
        <v>87447</v>
      </c>
      <c r="M80" s="1">
        <v>88152</v>
      </c>
      <c r="N80" s="316">
        <v>945</v>
      </c>
      <c r="O80" s="1">
        <v>4068</v>
      </c>
      <c r="P80" s="1">
        <v>2919</v>
      </c>
      <c r="Q80" s="12">
        <f t="shared" si="15"/>
        <v>1351</v>
      </c>
      <c r="R80" s="96">
        <f t="shared" si="21"/>
        <v>5848</v>
      </c>
      <c r="S80" s="35">
        <f t="shared" si="25"/>
        <v>2.924076607387141E-2</v>
      </c>
      <c r="T80" s="28">
        <f t="shared" si="26"/>
        <v>4.341268986319078E-2</v>
      </c>
      <c r="U80" s="91">
        <f>SUM(B67:B80)/POBLA!$B$25*100000</f>
        <v>8.9818984996549478</v>
      </c>
      <c r="V80" s="91">
        <f>B80/POBLA!$B$25*100000</f>
        <v>1.0445092955928472</v>
      </c>
      <c r="W80" s="625">
        <f t="shared" si="19"/>
        <v>2.1196047841913677</v>
      </c>
      <c r="X80" s="68"/>
      <c r="Y80" s="68">
        <f t="shared" si="18"/>
        <v>0.10449252693778241</v>
      </c>
      <c r="Z80" s="167">
        <f t="shared" si="23"/>
        <v>343.57142857142856</v>
      </c>
      <c r="AA80" s="357">
        <f t="shared" si="24"/>
        <v>10.571428571428571</v>
      </c>
      <c r="AB80" s="357">
        <f t="shared" si="13"/>
        <v>6.9343317972350231</v>
      </c>
      <c r="AC80" s="610">
        <f t="shared" si="10"/>
        <v>-3.637096774193548</v>
      </c>
      <c r="AD80" s="610">
        <f t="shared" si="11"/>
        <v>291.14285714285717</v>
      </c>
      <c r="AE80" s="68">
        <f t="shared" si="8"/>
        <v>1.4392579293836025</v>
      </c>
      <c r="AI80" s="357">
        <f>MAX($B$2:B80)</f>
        <v>474</v>
      </c>
      <c r="AP80" s="644">
        <f t="shared" si="17"/>
        <v>2.1196047841913677</v>
      </c>
      <c r="AT80" s="180">
        <f t="shared" ref="AT80:AT143" si="27">SUM(D51:D80)/SUM(B51:B80)</f>
        <v>4.1719948849104863E-2</v>
      </c>
    </row>
    <row r="81" spans="1:46" x14ac:dyDescent="0.25">
      <c r="A81" s="2">
        <v>43972</v>
      </c>
      <c r="B81" s="124">
        <v>648</v>
      </c>
      <c r="C81" s="124">
        <v>9931</v>
      </c>
      <c r="D81" s="124">
        <v>13</v>
      </c>
      <c r="E81" s="124">
        <v>416</v>
      </c>
      <c r="F81" s="126">
        <f t="shared" si="22"/>
        <v>30</v>
      </c>
      <c r="G81" s="149">
        <v>3062</v>
      </c>
      <c r="H81" s="124">
        <v>172</v>
      </c>
      <c r="I81" s="124">
        <v>4589</v>
      </c>
      <c r="J81" s="1">
        <v>121278</v>
      </c>
      <c r="K81" s="611">
        <f t="shared" si="20"/>
        <v>4.1889034336924778E-2</v>
      </c>
      <c r="L81" s="14">
        <v>90667</v>
      </c>
      <c r="M81" s="1">
        <v>91398</v>
      </c>
      <c r="N81" s="316">
        <v>947</v>
      </c>
      <c r="O81" s="1">
        <v>4334</v>
      </c>
      <c r="P81" s="1">
        <v>3154</v>
      </c>
      <c r="Q81" s="12">
        <f t="shared" ref="Q81:Q112" si="28">C81-P81-O81-N81</f>
        <v>1496</v>
      </c>
      <c r="R81" s="96">
        <f t="shared" si="21"/>
        <v>6453</v>
      </c>
      <c r="S81" s="35">
        <f t="shared" si="25"/>
        <v>2.66542693320936E-2</v>
      </c>
      <c r="T81" s="28">
        <f t="shared" si="26"/>
        <v>4.1889034336924778E-2</v>
      </c>
      <c r="U81" s="91">
        <f>SUM(B68:B81)/POBLA!$B$25*100000</f>
        <v>10.050647462445097</v>
      </c>
      <c r="V81" s="91">
        <f>B81/POBLA!$B$25*100000</f>
        <v>1.4279367585319938</v>
      </c>
      <c r="W81" s="625">
        <f t="shared" si="19"/>
        <v>2.3522434244455903</v>
      </c>
      <c r="X81" s="68"/>
      <c r="Y81" s="68">
        <f t="shared" si="18"/>
        <v>0.11474266967397991</v>
      </c>
      <c r="Z81" s="167">
        <f t="shared" si="23"/>
        <v>399.71428571428572</v>
      </c>
      <c r="AA81" s="357">
        <f t="shared" si="24"/>
        <v>9</v>
      </c>
      <c r="AB81" s="357">
        <f t="shared" si="13"/>
        <v>7.0955661355959254</v>
      </c>
      <c r="AC81" s="610">
        <f t="shared" si="10"/>
        <v>-1.9044338644040746</v>
      </c>
      <c r="AD81" s="610">
        <f t="shared" si="11"/>
        <v>325.78571428571428</v>
      </c>
      <c r="AE81" s="68">
        <f t="shared" si="8"/>
        <v>1.5870674985819626</v>
      </c>
      <c r="AF81" s="68">
        <f t="shared" ref="AF81:AF144" si="29">R81/R74-1</f>
        <v>0.50630252100840334</v>
      </c>
      <c r="AI81" s="357">
        <f>MAX($B$2:B81)</f>
        <v>648</v>
      </c>
      <c r="AP81" s="644">
        <f t="shared" si="17"/>
        <v>2.3522434244455903</v>
      </c>
      <c r="AT81" s="180">
        <f t="shared" si="27"/>
        <v>3.9022235311441611E-2</v>
      </c>
    </row>
    <row r="82" spans="1:46" x14ac:dyDescent="0.25">
      <c r="A82" s="2">
        <v>43973</v>
      </c>
      <c r="B82" s="124">
        <v>718</v>
      </c>
      <c r="C82" s="124">
        <v>10649</v>
      </c>
      <c r="D82" s="124">
        <v>18</v>
      </c>
      <c r="E82" s="124">
        <v>433</v>
      </c>
      <c r="F82" s="126">
        <f t="shared" si="22"/>
        <v>468</v>
      </c>
      <c r="G82" s="149">
        <v>3530</v>
      </c>
      <c r="H82" s="124">
        <v>173</v>
      </c>
      <c r="I82" s="124">
        <v>4615</v>
      </c>
      <c r="J82" s="1">
        <v>125893</v>
      </c>
      <c r="K82" s="611">
        <f t="shared" si="20"/>
        <v>4.0661094938491876E-2</v>
      </c>
      <c r="L82" s="14">
        <v>93528</v>
      </c>
      <c r="M82" s="1">
        <v>94282</v>
      </c>
      <c r="N82" s="316">
        <v>948</v>
      </c>
      <c r="O82" s="1">
        <v>4648</v>
      </c>
      <c r="P82" s="1">
        <v>3314</v>
      </c>
      <c r="Q82" s="12">
        <f t="shared" si="28"/>
        <v>1739</v>
      </c>
      <c r="R82" s="96">
        <f t="shared" si="21"/>
        <v>6686</v>
      </c>
      <c r="S82" s="35">
        <f t="shared" si="25"/>
        <v>2.5874962608435536E-2</v>
      </c>
      <c r="T82" s="28">
        <f t="shared" si="26"/>
        <v>4.0661094938491876E-2</v>
      </c>
      <c r="U82" s="91">
        <f>SUM(B69:B82)/POBLA!$B$25*100000</f>
        <v>11.103971182473328</v>
      </c>
      <c r="V82" s="91">
        <f>B82/POBLA!$B$25*100000</f>
        <v>1.5821891861511905</v>
      </c>
      <c r="W82" s="625">
        <f t="shared" si="19"/>
        <v>2.5107125062282014</v>
      </c>
      <c r="X82" s="68"/>
      <c r="Y82" s="68">
        <f t="shared" si="18"/>
        <v>0.12420195056989543</v>
      </c>
      <c r="Z82" s="167">
        <f t="shared" si="23"/>
        <v>453</v>
      </c>
      <c r="AA82" s="357">
        <f t="shared" si="24"/>
        <v>11.142857142857142</v>
      </c>
      <c r="AB82" s="357">
        <f t="shared" si="13"/>
        <v>8.0640833057514563</v>
      </c>
      <c r="AC82" s="610">
        <f t="shared" si="10"/>
        <v>-3.0787738371056861</v>
      </c>
      <c r="AD82" s="610">
        <f t="shared" si="11"/>
        <v>359.92857142857144</v>
      </c>
      <c r="AE82" s="68">
        <f t="shared" si="8"/>
        <v>1.6975374732334048</v>
      </c>
      <c r="AF82" s="68">
        <f t="shared" si="29"/>
        <v>0.45696230115493575</v>
      </c>
      <c r="AI82" s="357">
        <f>MAX($B$2:B82)</f>
        <v>718</v>
      </c>
      <c r="AP82" s="644">
        <f t="shared" si="17"/>
        <v>2.5107125062282014</v>
      </c>
      <c r="AT82" s="180">
        <f t="shared" si="27"/>
        <v>3.7338764426340799E-2</v>
      </c>
    </row>
    <row r="83" spans="1:46" x14ac:dyDescent="0.25">
      <c r="A83" s="2">
        <v>43974</v>
      </c>
      <c r="B83" s="124">
        <v>704</v>
      </c>
      <c r="C83" s="124">
        <v>11353</v>
      </c>
      <c r="D83" s="124">
        <v>12</v>
      </c>
      <c r="E83" s="124">
        <v>445</v>
      </c>
      <c r="F83" s="126">
        <f t="shared" si="22"/>
        <v>202</v>
      </c>
      <c r="G83" s="149">
        <v>3732</v>
      </c>
      <c r="H83" s="124">
        <v>181</v>
      </c>
      <c r="I83" s="124">
        <v>3525</v>
      </c>
      <c r="J83" s="1">
        <v>129418</v>
      </c>
      <c r="K83" s="611">
        <f t="shared" si="20"/>
        <v>3.9196688100061661E-2</v>
      </c>
      <c r="L83" s="14">
        <v>95859</v>
      </c>
      <c r="M83" s="1">
        <v>96632</v>
      </c>
      <c r="N83" s="316">
        <v>951</v>
      </c>
      <c r="O83" s="1">
        <v>4955</v>
      </c>
      <c r="P83" s="1">
        <v>3540</v>
      </c>
      <c r="Q83" s="12">
        <f t="shared" si="28"/>
        <v>1907</v>
      </c>
      <c r="R83" s="96">
        <f t="shared" si="21"/>
        <v>7176</v>
      </c>
      <c r="S83" s="35">
        <f t="shared" si="25"/>
        <v>2.5222965440356744E-2</v>
      </c>
      <c r="T83" s="28">
        <f t="shared" si="26"/>
        <v>3.9196688100061661E-2</v>
      </c>
      <c r="U83" s="91">
        <f>SUM(B70:B83)/POBLA!$B$25*100000</f>
        <v>12.291714875141144</v>
      </c>
      <c r="V83" s="91">
        <f>B83/POBLA!$B$25*100000</f>
        <v>1.5513387006273514</v>
      </c>
      <c r="W83" s="625">
        <f t="shared" si="19"/>
        <v>2.7903951975987993</v>
      </c>
      <c r="X83" s="68"/>
      <c r="Y83" s="68">
        <f t="shared" si="18"/>
        <v>0.1354301855103443</v>
      </c>
      <c r="Z83" s="167">
        <f t="shared" si="23"/>
        <v>506.85714285714283</v>
      </c>
      <c r="AA83" s="357">
        <f t="shared" si="24"/>
        <v>11.857142857142858</v>
      </c>
      <c r="AB83" s="357">
        <f t="shared" si="13"/>
        <v>8.1395924020577759</v>
      </c>
      <c r="AC83" s="610">
        <f t="shared" si="10"/>
        <v>-3.7175504550850818</v>
      </c>
      <c r="AD83" s="610">
        <f t="shared" si="11"/>
        <v>398.42857142857144</v>
      </c>
      <c r="AE83" s="68">
        <f t="shared" si="8"/>
        <v>1.747783251231527</v>
      </c>
      <c r="AF83" s="68">
        <f t="shared" si="29"/>
        <v>0.47260414529037553</v>
      </c>
      <c r="AI83" s="357">
        <f>MAX($B$2:B83)</f>
        <v>718</v>
      </c>
      <c r="AP83" s="644">
        <f t="shared" si="17"/>
        <v>2.7903951975987993</v>
      </c>
      <c r="AT83" s="180">
        <f t="shared" si="27"/>
        <v>3.5470840696793737E-2</v>
      </c>
    </row>
    <row r="84" spans="1:46" x14ac:dyDescent="0.25">
      <c r="A84" s="2">
        <v>43975</v>
      </c>
      <c r="B84" s="124">
        <v>723</v>
      </c>
      <c r="C84" s="124">
        <v>12076</v>
      </c>
      <c r="D84" s="124">
        <v>8</v>
      </c>
      <c r="E84" s="124">
        <v>452</v>
      </c>
      <c r="F84" s="126">
        <f t="shared" si="22"/>
        <v>267</v>
      </c>
      <c r="G84" s="149">
        <v>3999</v>
      </c>
      <c r="H84" s="124">
        <v>181</v>
      </c>
      <c r="I84" s="124">
        <v>4050</v>
      </c>
      <c r="J84" s="1">
        <v>133468</v>
      </c>
      <c r="K84" s="611">
        <f t="shared" si="20"/>
        <v>3.742961245445512E-2</v>
      </c>
      <c r="L84" s="14">
        <v>98352</v>
      </c>
      <c r="M84" s="1">
        <v>99145</v>
      </c>
      <c r="N84" s="316">
        <v>955</v>
      </c>
      <c r="O84" s="1">
        <v>5302</v>
      </c>
      <c r="P84" s="1">
        <v>3766</v>
      </c>
      <c r="Q84" s="12">
        <f t="shared" si="28"/>
        <v>2053</v>
      </c>
      <c r="R84" s="96">
        <f t="shared" si="21"/>
        <v>7625</v>
      </c>
      <c r="S84" s="35">
        <f t="shared" si="25"/>
        <v>2.3737704918032787E-2</v>
      </c>
      <c r="T84" s="28">
        <f t="shared" si="26"/>
        <v>3.742961245445512E-2</v>
      </c>
      <c r="U84" s="91">
        <f>SUM(B71:B84)/POBLA!$B$25*100000</f>
        <v>13.316391715754381</v>
      </c>
      <c r="V84" s="91">
        <f>B84/POBLA!$B$25*100000</f>
        <v>1.5932072166954188</v>
      </c>
      <c r="W84" s="625">
        <f t="shared" si="19"/>
        <v>2.8172494172494171</v>
      </c>
      <c r="X84" s="68"/>
      <c r="Y84" s="68">
        <f t="shared" si="18"/>
        <v>0.14501248236187994</v>
      </c>
      <c r="Z84" s="167">
        <f t="shared" si="23"/>
        <v>572.57142857142856</v>
      </c>
      <c r="AA84" s="357">
        <f t="shared" si="24"/>
        <v>11.571428571428571</v>
      </c>
      <c r="AB84" s="357">
        <f t="shared" si="13"/>
        <v>9.0406742743501116</v>
      </c>
      <c r="AC84" s="610">
        <f t="shared" si="10"/>
        <v>-2.5307542970784596</v>
      </c>
      <c r="AD84" s="610">
        <f t="shared" si="11"/>
        <v>431.64285714285717</v>
      </c>
      <c r="AE84" s="68">
        <f t="shared" si="8"/>
        <v>1.9695331695331695</v>
      </c>
      <c r="AF84" s="68">
        <f t="shared" si="29"/>
        <v>0.49862421383647804</v>
      </c>
      <c r="AI84" s="357">
        <f>MAX($B$2:B84)</f>
        <v>723</v>
      </c>
      <c r="AP84" s="644">
        <f t="shared" si="17"/>
        <v>2.8172494172494171</v>
      </c>
      <c r="AT84" s="180">
        <f t="shared" si="27"/>
        <v>3.2810102679098313E-2</v>
      </c>
    </row>
    <row r="85" spans="1:46" x14ac:dyDescent="0.25">
      <c r="A85" s="2">
        <v>43976</v>
      </c>
      <c r="B85" s="124">
        <v>552</v>
      </c>
      <c r="C85" s="124">
        <v>12628</v>
      </c>
      <c r="D85" s="124">
        <v>15</v>
      </c>
      <c r="E85" s="124">
        <v>467</v>
      </c>
      <c r="F85" s="126">
        <f t="shared" si="22"/>
        <v>168</v>
      </c>
      <c r="G85" s="149">
        <v>4167</v>
      </c>
      <c r="H85" s="124">
        <v>203</v>
      </c>
      <c r="I85" s="124">
        <v>3194</v>
      </c>
      <c r="J85" s="1">
        <v>136662</v>
      </c>
      <c r="K85" s="611">
        <f t="shared" si="20"/>
        <v>3.6981311371555275E-2</v>
      </c>
      <c r="L85" s="14">
        <v>100639</v>
      </c>
      <c r="M85" s="1">
        <v>101348</v>
      </c>
      <c r="N85" s="316">
        <v>956</v>
      </c>
      <c r="O85" s="1">
        <v>5563</v>
      </c>
      <c r="P85" s="1">
        <v>4057</v>
      </c>
      <c r="Q85" s="12">
        <f t="shared" si="28"/>
        <v>2052</v>
      </c>
      <c r="R85" s="96">
        <f t="shared" si="21"/>
        <v>7994</v>
      </c>
      <c r="S85" s="35">
        <f t="shared" si="25"/>
        <v>2.5394045534150613E-2</v>
      </c>
      <c r="T85" s="28">
        <f t="shared" si="26"/>
        <v>3.6981311371555275E-2</v>
      </c>
      <c r="U85" s="91">
        <f>SUM(B72:B85)/POBLA!$B$25*100000</f>
        <v>13.995102397278847</v>
      </c>
      <c r="V85" s="91">
        <f>B85/POBLA!$B$25*100000</f>
        <v>1.2163905720828094</v>
      </c>
      <c r="W85" s="625">
        <f t="shared" si="19"/>
        <v>2.7879719051799823</v>
      </c>
      <c r="X85" s="68"/>
      <c r="Y85" s="68">
        <f t="shared" si="18"/>
        <v>0.15188383045525902</v>
      </c>
      <c r="Z85" s="167">
        <f t="shared" si="23"/>
        <v>608.14285714285711</v>
      </c>
      <c r="AA85" s="357">
        <f t="shared" si="24"/>
        <v>12.428571428571429</v>
      </c>
      <c r="AB85" s="357">
        <f t="shared" si="13"/>
        <v>9.9460246666363261</v>
      </c>
      <c r="AC85" s="610">
        <f t="shared" si="10"/>
        <v>-2.4825467619351027</v>
      </c>
      <c r="AD85" s="610">
        <f t="shared" si="11"/>
        <v>453.64285714285717</v>
      </c>
      <c r="AE85" s="68">
        <f t="shared" ref="AE85:AE148" si="30">Z85/Z78</f>
        <v>2.0329512893982806</v>
      </c>
      <c r="AF85" s="68">
        <f t="shared" si="29"/>
        <v>0.56224350205198359</v>
      </c>
      <c r="AI85" s="357">
        <f>MAX($B$2:B85)</f>
        <v>723</v>
      </c>
      <c r="AP85" s="644">
        <f t="shared" si="17"/>
        <v>2.7879719051799823</v>
      </c>
      <c r="AT85" s="180">
        <f t="shared" si="27"/>
        <v>3.2083145051965654E-2</v>
      </c>
    </row>
    <row r="86" spans="1:46" x14ac:dyDescent="0.25">
      <c r="A86" s="2">
        <v>43977</v>
      </c>
      <c r="B86" s="124">
        <v>600</v>
      </c>
      <c r="C86" s="124">
        <v>13228</v>
      </c>
      <c r="D86" s="124">
        <v>23</v>
      </c>
      <c r="E86" s="124">
        <v>490</v>
      </c>
      <c r="F86" s="126">
        <f t="shared" si="22"/>
        <v>182</v>
      </c>
      <c r="G86" s="149">
        <v>4349</v>
      </c>
      <c r="H86" s="124">
        <v>250</v>
      </c>
      <c r="I86" s="124">
        <v>3556</v>
      </c>
      <c r="J86" s="1">
        <v>140218</v>
      </c>
      <c r="K86" s="611">
        <f t="shared" si="20"/>
        <v>3.704263683096462E-2</v>
      </c>
      <c r="L86" s="14">
        <v>103173</v>
      </c>
      <c r="M86" s="1">
        <v>103900</v>
      </c>
      <c r="N86" s="641">
        <v>959</v>
      </c>
      <c r="O86" s="3">
        <v>5813</v>
      </c>
      <c r="P86" s="3">
        <v>4354</v>
      </c>
      <c r="Q86" s="12">
        <f t="shared" si="28"/>
        <v>2102</v>
      </c>
      <c r="R86" s="96">
        <f t="shared" si="21"/>
        <v>8389</v>
      </c>
      <c r="S86" s="35">
        <f t="shared" si="25"/>
        <v>2.9800929789009417E-2</v>
      </c>
      <c r="T86" s="28">
        <f t="shared" si="26"/>
        <v>3.704263683096462E-2</v>
      </c>
      <c r="U86" s="91">
        <f>SUM(B73:B86)/POBLA!$B$25*100000</f>
        <v>14.689238321565233</v>
      </c>
      <c r="V86" s="91">
        <f>B86/POBLA!$B$25*100000</f>
        <v>1.3221636653074016</v>
      </c>
      <c r="W86" s="625">
        <f t="shared" si="19"/>
        <v>2.7330873308733086</v>
      </c>
      <c r="X86" s="68"/>
      <c r="Y86" s="68">
        <f t="shared" si="18"/>
        <v>0.15868284975581728</v>
      </c>
      <c r="Z86" s="167">
        <f t="shared" si="23"/>
        <v>631.28571428571433</v>
      </c>
      <c r="AA86" s="357">
        <f t="shared" si="24"/>
        <v>14.142857142857142</v>
      </c>
      <c r="AB86" s="357">
        <f t="shared" si="13"/>
        <v>10.714111577893384</v>
      </c>
      <c r="AC86" s="610">
        <f t="shared" ref="AC86:AC149" si="31">AB86-AA86</f>
        <v>-3.4287455649637586</v>
      </c>
      <c r="AD86" s="610">
        <f t="shared" ref="AD86:AD149" si="32">AVERAGE(B73:B86)</f>
        <v>476.14285714285717</v>
      </c>
      <c r="AE86" s="68">
        <f t="shared" si="30"/>
        <v>1.9666221628838452</v>
      </c>
      <c r="AF86" s="68">
        <f t="shared" si="29"/>
        <v>0.53000182381907712</v>
      </c>
      <c r="AI86" s="357">
        <f>MAX($B$2:B86)</f>
        <v>723</v>
      </c>
      <c r="AP86" s="644">
        <f t="shared" si="17"/>
        <v>2.7330873308733086</v>
      </c>
      <c r="AT86" s="180">
        <f t="shared" si="27"/>
        <v>3.2119914346895075E-2</v>
      </c>
    </row>
    <row r="87" spans="1:46" x14ac:dyDescent="0.25">
      <c r="A87" s="2">
        <v>43978</v>
      </c>
      <c r="B87" s="124">
        <v>706</v>
      </c>
      <c r="C87" s="124">
        <v>13933</v>
      </c>
      <c r="D87" s="124">
        <v>10</v>
      </c>
      <c r="E87" s="124">
        <v>500</v>
      </c>
      <c r="F87" s="126">
        <f t="shared" si="22"/>
        <v>268</v>
      </c>
      <c r="G87" s="149">
        <v>4617</v>
      </c>
      <c r="H87" s="124">
        <v>254</v>
      </c>
      <c r="I87" s="124">
        <v>4863</v>
      </c>
      <c r="J87" s="1">
        <v>145081</v>
      </c>
      <c r="K87" s="611">
        <f t="shared" si="20"/>
        <v>3.5886025981482814E-2</v>
      </c>
      <c r="L87" s="14">
        <v>106456</v>
      </c>
      <c r="M87" s="1">
        <v>107098</v>
      </c>
      <c r="N87" s="316">
        <v>961</v>
      </c>
      <c r="O87" s="1">
        <v>6091</v>
      </c>
      <c r="P87" s="1">
        <v>4694</v>
      </c>
      <c r="Q87" s="12">
        <f t="shared" si="28"/>
        <v>2187</v>
      </c>
      <c r="R87" s="96">
        <f t="shared" si="21"/>
        <v>8816</v>
      </c>
      <c r="S87" s="35">
        <f t="shared" si="25"/>
        <v>2.8811252268602542E-2</v>
      </c>
      <c r="T87" s="28">
        <f t="shared" si="26"/>
        <v>3.5886025981482814E-2</v>
      </c>
      <c r="U87" s="91">
        <f>SUM(B74:B87)/POBLA!$B$25*100000</f>
        <v>15.548644704015043</v>
      </c>
      <c r="V87" s="91">
        <f>B87/POBLA!$B$25*100000</f>
        <v>1.5557459128450424</v>
      </c>
      <c r="W87" s="625">
        <f t="shared" si="19"/>
        <v>2.7169811320754715</v>
      </c>
      <c r="X87" s="68"/>
      <c r="Y87" s="68">
        <f t="shared" si="18"/>
        <v>0.16381375035221188</v>
      </c>
      <c r="Z87" s="167">
        <f t="shared" si="23"/>
        <v>664.42857142857144</v>
      </c>
      <c r="AA87" s="357">
        <f t="shared" si="24"/>
        <v>14.142857142857142</v>
      </c>
      <c r="AB87" s="357">
        <f t="shared" si="13"/>
        <v>11.416921064108156</v>
      </c>
      <c r="AC87" s="610">
        <f t="shared" si="31"/>
        <v>-2.7259360787489868</v>
      </c>
      <c r="AD87" s="610">
        <f t="shared" si="32"/>
        <v>504</v>
      </c>
      <c r="AE87" s="68">
        <f t="shared" si="30"/>
        <v>1.9338877338877341</v>
      </c>
      <c r="AF87" s="68">
        <f t="shared" si="29"/>
        <v>0.50752393980848143</v>
      </c>
      <c r="AI87" s="357">
        <f>MAX($B$2:B87)</f>
        <v>723</v>
      </c>
      <c r="AP87" s="644">
        <f t="shared" si="17"/>
        <v>2.7169811320754715</v>
      </c>
      <c r="AT87" s="180">
        <f t="shared" si="27"/>
        <v>3.069954705586311E-2</v>
      </c>
    </row>
    <row r="88" spans="1:46" x14ac:dyDescent="0.25">
      <c r="A88" s="2">
        <v>43979</v>
      </c>
      <c r="B88" s="124">
        <v>769</v>
      </c>
      <c r="C88" s="124">
        <v>14702</v>
      </c>
      <c r="D88" s="124">
        <v>8</v>
      </c>
      <c r="E88" s="124">
        <v>508</v>
      </c>
      <c r="F88" s="126">
        <f t="shared" si="22"/>
        <v>171</v>
      </c>
      <c r="G88" s="149">
        <v>4788</v>
      </c>
      <c r="H88" s="124">
        <v>259</v>
      </c>
      <c r="I88" s="124">
        <v>5405</v>
      </c>
      <c r="J88" s="1">
        <v>150486</v>
      </c>
      <c r="K88" s="611">
        <f t="shared" si="20"/>
        <v>3.4553122024214393E-2</v>
      </c>
      <c r="L88" s="14">
        <v>110132</v>
      </c>
      <c r="M88" s="4">
        <v>110796</v>
      </c>
      <c r="N88" s="316">
        <v>967</v>
      </c>
      <c r="O88" s="1">
        <v>6450</v>
      </c>
      <c r="P88" s="1">
        <v>5051</v>
      </c>
      <c r="Q88" s="12">
        <f t="shared" si="28"/>
        <v>2234</v>
      </c>
      <c r="R88" s="96">
        <f t="shared" si="21"/>
        <v>9406</v>
      </c>
      <c r="S88" s="35">
        <f t="shared" si="25"/>
        <v>2.7535615564533277E-2</v>
      </c>
      <c r="T88" s="28">
        <f t="shared" si="26"/>
        <v>3.4553122024214393E-2</v>
      </c>
      <c r="U88" s="91">
        <f>SUM(B75:B88)/POBLA!$B$25*100000</f>
        <v>16.681298243961717</v>
      </c>
      <c r="V88" s="91">
        <f>B88/POBLA!$B$25*100000</f>
        <v>1.6945730977023199</v>
      </c>
      <c r="W88" s="625">
        <f t="shared" si="19"/>
        <v>2.794389073458841</v>
      </c>
      <c r="X88" s="68"/>
      <c r="Y88" s="68">
        <f t="shared" si="18"/>
        <v>0.16337989591892632</v>
      </c>
      <c r="Z88" s="167">
        <f t="shared" si="23"/>
        <v>681.71428571428567</v>
      </c>
      <c r="AA88" s="357">
        <f t="shared" si="24"/>
        <v>13.428571428571429</v>
      </c>
      <c r="AB88" s="357">
        <f t="shared" si="13"/>
        <v>12.462233169129721</v>
      </c>
      <c r="AC88" s="610">
        <f t="shared" si="31"/>
        <v>-0.96633825944170759</v>
      </c>
      <c r="AD88" s="610">
        <f t="shared" si="32"/>
        <v>540.71428571428567</v>
      </c>
      <c r="AE88" s="68">
        <f t="shared" si="30"/>
        <v>1.7055039313795566</v>
      </c>
      <c r="AF88" s="68">
        <f t="shared" si="29"/>
        <v>0.45761661242832785</v>
      </c>
      <c r="AI88" s="357">
        <f>MAX($B$2:B88)</f>
        <v>769</v>
      </c>
      <c r="AP88" s="644">
        <f t="shared" si="17"/>
        <v>2.794389073458841</v>
      </c>
      <c r="AT88" s="180">
        <f t="shared" si="27"/>
        <v>2.8638941398865785E-2</v>
      </c>
    </row>
    <row r="89" spans="1:46" x14ac:dyDescent="0.25">
      <c r="A89" s="2">
        <v>43980</v>
      </c>
      <c r="B89" s="126">
        <v>717</v>
      </c>
      <c r="C89" s="126">
        <v>15419</v>
      </c>
      <c r="D89" s="126">
        <v>12</v>
      </c>
      <c r="E89" s="124">
        <v>520</v>
      </c>
      <c r="F89" s="126">
        <f t="shared" si="22"/>
        <v>312</v>
      </c>
      <c r="G89" s="149">
        <v>5100</v>
      </c>
      <c r="H89" s="124">
        <v>244</v>
      </c>
      <c r="I89" s="126">
        <v>4921</v>
      </c>
      <c r="J89" s="4">
        <v>155400</v>
      </c>
      <c r="K89" s="611">
        <f t="shared" si="20"/>
        <v>3.3724625462092227E-2</v>
      </c>
      <c r="L89" s="7">
        <v>113314</v>
      </c>
      <c r="M89" s="4">
        <v>114112</v>
      </c>
      <c r="N89" s="202">
        <v>968</v>
      </c>
      <c r="O89" s="4">
        <v>6727</v>
      </c>
      <c r="P89" s="4">
        <v>5408</v>
      </c>
      <c r="Q89" s="12">
        <f t="shared" si="28"/>
        <v>2316</v>
      </c>
      <c r="R89" s="96">
        <f t="shared" si="21"/>
        <v>9799</v>
      </c>
      <c r="S89" s="35">
        <f t="shared" si="25"/>
        <v>2.4900500051025613E-2</v>
      </c>
      <c r="T89" s="28">
        <f t="shared" si="26"/>
        <v>3.3724625462092227E-2</v>
      </c>
      <c r="U89" s="91">
        <f>SUM(B76:B89)/POBLA!$B$25*100000</f>
        <v>17.501039716452304</v>
      </c>
      <c r="V89" s="91">
        <f>B89/POBLA!$B$25*100000</f>
        <v>1.579985580042345</v>
      </c>
      <c r="W89" s="625">
        <f t="shared" si="19"/>
        <v>2.6931163106137674</v>
      </c>
      <c r="X89" s="68"/>
      <c r="Y89" s="68">
        <f t="shared" si="18"/>
        <v>0.1616520973097513</v>
      </c>
      <c r="Z89" s="167">
        <f t="shared" si="23"/>
        <v>681.57142857142856</v>
      </c>
      <c r="AA89" s="357">
        <f t="shared" si="24"/>
        <v>12.571428571428571</v>
      </c>
      <c r="AB89" s="357">
        <f t="shared" si="13"/>
        <v>12.702385727656484</v>
      </c>
      <c r="AC89" s="610">
        <f t="shared" si="31"/>
        <v>0.13095715622791282</v>
      </c>
      <c r="AD89" s="610">
        <f t="shared" si="32"/>
        <v>567.28571428571433</v>
      </c>
      <c r="AE89" s="68">
        <f t="shared" si="30"/>
        <v>1.5045726900031535</v>
      </c>
      <c r="AF89" s="68">
        <f t="shared" si="29"/>
        <v>0.46559976069398745</v>
      </c>
      <c r="AI89" s="357">
        <f>MAX($B$2:B89)</f>
        <v>769</v>
      </c>
      <c r="AP89" s="644">
        <f t="shared" si="17"/>
        <v>2.6931163106137674</v>
      </c>
      <c r="AT89" s="180">
        <f t="shared" si="27"/>
        <v>2.7650597001526171E-2</v>
      </c>
    </row>
    <row r="90" spans="1:46" x14ac:dyDescent="0.25">
      <c r="A90" s="2">
        <v>43981</v>
      </c>
      <c r="B90" s="124">
        <v>795</v>
      </c>
      <c r="C90" s="124">
        <v>16214</v>
      </c>
      <c r="D90" s="124">
        <v>8</v>
      </c>
      <c r="E90" s="124">
        <v>528</v>
      </c>
      <c r="F90" s="126">
        <f t="shared" si="22"/>
        <v>236</v>
      </c>
      <c r="G90" s="149">
        <v>5336</v>
      </c>
      <c r="H90" s="124">
        <v>256</v>
      </c>
      <c r="I90" s="126">
        <v>4663</v>
      </c>
      <c r="J90" s="4">
        <v>160070</v>
      </c>
      <c r="K90" s="611">
        <f t="shared" si="20"/>
        <v>3.2564450474898234E-2</v>
      </c>
      <c r="L90" s="7">
        <v>116215</v>
      </c>
      <c r="M90" s="4">
        <v>117034</v>
      </c>
      <c r="N90" s="316">
        <v>969</v>
      </c>
      <c r="O90" s="1">
        <v>7030</v>
      </c>
      <c r="P90" s="1">
        <v>5724</v>
      </c>
      <c r="Q90" s="12">
        <f t="shared" si="28"/>
        <v>2491</v>
      </c>
      <c r="R90" s="96">
        <f t="shared" si="21"/>
        <v>10350</v>
      </c>
      <c r="S90" s="35">
        <f t="shared" si="25"/>
        <v>2.4734299516908212E-2</v>
      </c>
      <c r="T90" s="28">
        <f t="shared" si="26"/>
        <v>3.2564450474898234E-2</v>
      </c>
      <c r="U90" s="91">
        <f>SUM(B77:B90)/POBLA!$B$25*100000</f>
        <v>18.532327375392079</v>
      </c>
      <c r="V90" s="91">
        <f>B90/POBLA!$B$25*100000</f>
        <v>1.7518668565323072</v>
      </c>
      <c r="W90" s="625">
        <f t="shared" si="19"/>
        <v>2.6894787336104895</v>
      </c>
      <c r="X90" s="68"/>
      <c r="Y90" s="68">
        <f t="shared" si="18"/>
        <v>0.15861933968419678</v>
      </c>
      <c r="Z90" s="167">
        <f t="shared" si="23"/>
        <v>694.57142857142856</v>
      </c>
      <c r="AA90" s="357">
        <f t="shared" si="24"/>
        <v>12</v>
      </c>
      <c r="AB90" s="357">
        <f t="shared" si="13"/>
        <v>13.48750800768738</v>
      </c>
      <c r="AC90" s="610">
        <f t="shared" si="31"/>
        <v>1.4875080076873797</v>
      </c>
      <c r="AD90" s="610">
        <f t="shared" si="32"/>
        <v>600.71428571428567</v>
      </c>
      <c r="AE90" s="68">
        <f t="shared" si="30"/>
        <v>1.370349492671928</v>
      </c>
      <c r="AF90" s="68">
        <f t="shared" si="29"/>
        <v>0.44230769230769229</v>
      </c>
      <c r="AI90" s="357">
        <f>MAX($B$2:B90)</f>
        <v>795</v>
      </c>
      <c r="AP90" s="644">
        <f t="shared" si="17"/>
        <v>2.6894787336104895</v>
      </c>
      <c r="AT90" s="180">
        <f t="shared" si="27"/>
        <v>2.6460859977949284E-2</v>
      </c>
    </row>
    <row r="91" spans="1:46" x14ac:dyDescent="0.25">
      <c r="A91" s="2">
        <v>43982</v>
      </c>
      <c r="B91" s="124">
        <v>637</v>
      </c>
      <c r="C91" s="124">
        <v>16851</v>
      </c>
      <c r="D91" s="124">
        <v>11</v>
      </c>
      <c r="E91" s="124">
        <v>539</v>
      </c>
      <c r="F91" s="126">
        <f t="shared" si="22"/>
        <v>185</v>
      </c>
      <c r="G91" s="149">
        <v>5521</v>
      </c>
      <c r="H91" s="124">
        <v>272</v>
      </c>
      <c r="I91" s="126">
        <v>4014</v>
      </c>
      <c r="J91" s="4">
        <v>164084</v>
      </c>
      <c r="K91" s="611">
        <f t="shared" si="20"/>
        <v>3.1986232271081834E-2</v>
      </c>
      <c r="L91" s="7">
        <v>118815.429</v>
      </c>
      <c r="M91" s="4">
        <v>119653</v>
      </c>
      <c r="N91" s="202">
        <v>970</v>
      </c>
      <c r="O91" s="4">
        <v>7308</v>
      </c>
      <c r="P91" s="4">
        <v>5975</v>
      </c>
      <c r="Q91" s="12">
        <f t="shared" si="28"/>
        <v>2598</v>
      </c>
      <c r="R91" s="96">
        <f t="shared" si="21"/>
        <v>10791</v>
      </c>
      <c r="S91" s="35">
        <f t="shared" si="25"/>
        <v>2.5206190343805022E-2</v>
      </c>
      <c r="T91" s="28">
        <f t="shared" si="26"/>
        <v>3.1986232271081834E-2</v>
      </c>
      <c r="U91" s="91">
        <f>SUM(B78:B91)/POBLA!$B$25*100000</f>
        <v>19.356476060100359</v>
      </c>
      <c r="V91" s="91">
        <f>B91/POBLA!$B$25*100000</f>
        <v>1.4036970913346913</v>
      </c>
      <c r="W91" s="625">
        <f t="shared" si="19"/>
        <v>2.6723456038941285</v>
      </c>
      <c r="X91" s="68"/>
      <c r="Y91" s="68">
        <f t="shared" si="18"/>
        <v>0.15599686438463548</v>
      </c>
      <c r="Z91" s="167">
        <f t="shared" si="23"/>
        <v>682.28571428571433</v>
      </c>
      <c r="AA91" s="357">
        <f t="shared" si="24"/>
        <v>12.428571428571429</v>
      </c>
      <c r="AB91" s="357">
        <f t="shared" si="13"/>
        <v>13.410391858944914</v>
      </c>
      <c r="AC91" s="610">
        <f t="shared" si="31"/>
        <v>0.98182043037348521</v>
      </c>
      <c r="AD91" s="610">
        <f t="shared" si="32"/>
        <v>627.42857142857144</v>
      </c>
      <c r="AE91" s="68">
        <f t="shared" si="30"/>
        <v>1.191616766467066</v>
      </c>
      <c r="AF91" s="68">
        <f t="shared" si="29"/>
        <v>0.41521311475409828</v>
      </c>
      <c r="AI91" s="357">
        <f>MAX($B$2:B91)</f>
        <v>795</v>
      </c>
      <c r="AP91" s="644">
        <f t="shared" si="17"/>
        <v>2.6723456038941285</v>
      </c>
      <c r="AT91" s="180">
        <f t="shared" si="27"/>
        <v>2.5643106386431875E-2</v>
      </c>
    </row>
    <row r="92" spans="1:46" x14ac:dyDescent="0.25">
      <c r="A92" s="2">
        <v>43983</v>
      </c>
      <c r="B92" s="124">
        <v>564</v>
      </c>
      <c r="C92" s="124">
        <v>17415</v>
      </c>
      <c r="D92" s="124">
        <v>17</v>
      </c>
      <c r="E92" s="124">
        <v>556</v>
      </c>
      <c r="F92" s="126">
        <f t="shared" si="22"/>
        <v>188</v>
      </c>
      <c r="G92" s="149">
        <v>5709</v>
      </c>
      <c r="H92" s="124">
        <v>271</v>
      </c>
      <c r="I92" s="126">
        <v>3715</v>
      </c>
      <c r="J92" s="4">
        <v>167799</v>
      </c>
      <c r="K92" s="611">
        <f t="shared" si="20"/>
        <v>3.1926500143554408E-2</v>
      </c>
      <c r="L92" s="7">
        <v>121411</v>
      </c>
      <c r="M92" s="4">
        <v>122143</v>
      </c>
      <c r="N92" s="316">
        <v>974</v>
      </c>
      <c r="O92" s="1">
        <v>7532</v>
      </c>
      <c r="P92" s="1">
        <v>6263</v>
      </c>
      <c r="Q92" s="12">
        <f t="shared" si="28"/>
        <v>2646</v>
      </c>
      <c r="R92" s="96">
        <f t="shared" si="21"/>
        <v>11150</v>
      </c>
      <c r="S92" s="35">
        <f t="shared" si="25"/>
        <v>2.430493273542601E-2</v>
      </c>
      <c r="T92" s="28">
        <f t="shared" si="26"/>
        <v>3.1926500143554408E-2</v>
      </c>
      <c r="U92" s="91">
        <f>SUM(B79:B92)/POBLA!$B$25*100000</f>
        <v>19.931617254509078</v>
      </c>
      <c r="V92" s="91">
        <f>B92/POBLA!$B$25*100000</f>
        <v>1.2428338453889576</v>
      </c>
      <c r="W92" s="625">
        <f t="shared" si="19"/>
        <v>2.5946643717728053</v>
      </c>
      <c r="X92" s="68"/>
      <c r="Y92" s="68">
        <f t="shared" si="18"/>
        <v>0.15377203969553907</v>
      </c>
      <c r="Z92" s="167">
        <f t="shared" si="23"/>
        <v>684</v>
      </c>
      <c r="AA92" s="357">
        <f t="shared" si="24"/>
        <v>12.714285714285714</v>
      </c>
      <c r="AB92" s="357">
        <f t="shared" si="13"/>
        <v>13.651006024199193</v>
      </c>
      <c r="AC92" s="610">
        <f t="shared" si="31"/>
        <v>0.9367203099134791</v>
      </c>
      <c r="AD92" s="610">
        <f t="shared" si="32"/>
        <v>646.07142857142856</v>
      </c>
      <c r="AE92" s="68">
        <f t="shared" si="30"/>
        <v>1.1247357293868923</v>
      </c>
      <c r="AF92" s="68">
        <f t="shared" si="29"/>
        <v>0.39479609707280461</v>
      </c>
      <c r="AI92" s="357">
        <f>MAX($B$2:B92)</f>
        <v>795</v>
      </c>
      <c r="AP92" s="644">
        <f t="shared" si="17"/>
        <v>2.5946643717728053</v>
      </c>
      <c r="AT92" s="180">
        <f t="shared" si="27"/>
        <v>2.5200188412623645E-2</v>
      </c>
    </row>
    <row r="93" spans="1:46" x14ac:dyDescent="0.25">
      <c r="A93" s="2">
        <v>43984</v>
      </c>
      <c r="B93" s="124">
        <v>904</v>
      </c>
      <c r="C93" s="124">
        <v>18319</v>
      </c>
      <c r="D93" s="124">
        <v>13</v>
      </c>
      <c r="E93" s="124">
        <v>569</v>
      </c>
      <c r="F93" s="126">
        <f t="shared" si="22"/>
        <v>187</v>
      </c>
      <c r="G93" s="149">
        <v>5896</v>
      </c>
      <c r="H93" s="124">
        <v>288</v>
      </c>
      <c r="I93" s="126">
        <v>5148</v>
      </c>
      <c r="J93" s="4">
        <v>172947</v>
      </c>
      <c r="K93" s="611">
        <f t="shared" si="20"/>
        <v>3.1060647415251923E-2</v>
      </c>
      <c r="L93" s="7">
        <v>124692</v>
      </c>
      <c r="M93" s="4">
        <v>125571</v>
      </c>
      <c r="N93" s="316">
        <v>974</v>
      </c>
      <c r="O93" s="4">
        <v>7854</v>
      </c>
      <c r="P93" s="4">
        <v>6596</v>
      </c>
      <c r="Q93" s="12">
        <f t="shared" si="28"/>
        <v>2895</v>
      </c>
      <c r="R93" s="96">
        <f t="shared" si="21"/>
        <v>11854</v>
      </c>
      <c r="S93" s="35">
        <f t="shared" si="25"/>
        <v>2.4295596423148304E-2</v>
      </c>
      <c r="T93" s="28">
        <f t="shared" si="26"/>
        <v>3.1060647415251923E-2</v>
      </c>
      <c r="U93" s="91">
        <f>SUM(B80:B93)/POBLA!$B$25*100000</f>
        <v>20.958497701231163</v>
      </c>
      <c r="V93" s="91">
        <f>B93/POBLA!$B$25*100000</f>
        <v>1.992059922396485</v>
      </c>
      <c r="W93" s="625">
        <f t="shared" si="19"/>
        <v>2.5094986807387865</v>
      </c>
      <c r="X93" s="68"/>
      <c r="Y93" s="68">
        <f t="shared" si="18"/>
        <v>0.15558067768645545</v>
      </c>
      <c r="Z93" s="167">
        <f t="shared" si="23"/>
        <v>727.42857142857144</v>
      </c>
      <c r="AA93" s="357">
        <f t="shared" si="24"/>
        <v>11.285714285714286</v>
      </c>
      <c r="AB93" s="357">
        <f t="shared" si="13"/>
        <v>14.320921784538539</v>
      </c>
      <c r="AC93" s="610">
        <f t="shared" si="31"/>
        <v>3.0352074988242528</v>
      </c>
      <c r="AD93" s="610">
        <f t="shared" si="32"/>
        <v>679.35714285714289</v>
      </c>
      <c r="AE93" s="68">
        <f t="shared" si="30"/>
        <v>1.1522968997510747</v>
      </c>
      <c r="AF93" s="68">
        <f t="shared" si="29"/>
        <v>0.41304088687567053</v>
      </c>
      <c r="AI93" s="357">
        <f>MAX($B$2:B93)</f>
        <v>904</v>
      </c>
      <c r="AP93" s="644">
        <f t="shared" si="17"/>
        <v>2.5094986807387865</v>
      </c>
      <c r="AT93" s="180">
        <f t="shared" si="27"/>
        <v>2.4004727084718222E-2</v>
      </c>
    </row>
    <row r="94" spans="1:46" x14ac:dyDescent="0.25">
      <c r="A94" s="2">
        <v>43985</v>
      </c>
      <c r="B94" s="124">
        <v>949</v>
      </c>
      <c r="C94" s="124">
        <v>19268</v>
      </c>
      <c r="D94" s="126">
        <v>14</v>
      </c>
      <c r="E94" s="126">
        <v>583</v>
      </c>
      <c r="F94" s="126">
        <f t="shared" si="22"/>
        <v>97</v>
      </c>
      <c r="G94" s="149">
        <v>5993</v>
      </c>
      <c r="H94" s="124">
        <v>293</v>
      </c>
      <c r="I94" s="126">
        <v>5501</v>
      </c>
      <c r="J94" s="4">
        <v>178448</v>
      </c>
      <c r="K94" s="611">
        <f t="shared" si="20"/>
        <v>3.0257421631720988E-2</v>
      </c>
      <c r="L94" s="7">
        <v>128031</v>
      </c>
      <c r="M94" s="4">
        <v>128933</v>
      </c>
      <c r="N94" s="316">
        <v>977</v>
      </c>
      <c r="O94" s="1">
        <v>8217</v>
      </c>
      <c r="P94" s="1">
        <v>6941</v>
      </c>
      <c r="Q94" s="12">
        <f t="shared" si="28"/>
        <v>3133</v>
      </c>
      <c r="R94" s="96">
        <f t="shared" si="21"/>
        <v>12692</v>
      </c>
      <c r="S94" s="35">
        <f t="shared" si="25"/>
        <v>2.3085408131106207E-2</v>
      </c>
      <c r="T94" s="28">
        <f t="shared" si="26"/>
        <v>3.0257421631720988E-2</v>
      </c>
      <c r="U94" s="91">
        <f>SUM(B81:B94)/POBLA!$B$25*100000</f>
        <v>22.005210602932852</v>
      </c>
      <c r="V94" s="91">
        <f>B94/POBLA!$B$25*100000</f>
        <v>2.09122219729454</v>
      </c>
      <c r="W94" s="625">
        <f t="shared" si="19"/>
        <v>2.4499509322865554</v>
      </c>
      <c r="X94" s="68"/>
      <c r="Y94" s="68">
        <f t="shared" si="18"/>
        <v>0.15988851260227172</v>
      </c>
      <c r="Z94" s="167">
        <f t="shared" si="23"/>
        <v>762.14285714285711</v>
      </c>
      <c r="AA94" s="357">
        <f t="shared" si="24"/>
        <v>11.857142857142858</v>
      </c>
      <c r="AB94" s="357">
        <f t="shared" si="13"/>
        <v>14.915359874424832</v>
      </c>
      <c r="AC94" s="610">
        <f t="shared" si="31"/>
        <v>3.058217017281974</v>
      </c>
      <c r="AD94" s="610">
        <f t="shared" si="32"/>
        <v>713.28571428571433</v>
      </c>
      <c r="AE94" s="68">
        <f t="shared" si="30"/>
        <v>1.1470651472801547</v>
      </c>
      <c r="AF94" s="68">
        <f t="shared" si="29"/>
        <v>0.43965517241379315</v>
      </c>
      <c r="AI94" s="357">
        <f>MAX($B$2:B94)</f>
        <v>949</v>
      </c>
      <c r="AP94" s="644">
        <f t="shared" si="17"/>
        <v>2.4499509322865554</v>
      </c>
      <c r="AT94" s="180">
        <f t="shared" si="27"/>
        <v>2.2594549499443825E-2</v>
      </c>
    </row>
    <row r="95" spans="1:46" x14ac:dyDescent="0.25">
      <c r="A95" s="2">
        <v>43986</v>
      </c>
      <c r="B95" s="124">
        <v>929</v>
      </c>
      <c r="C95" s="126">
        <v>20197</v>
      </c>
      <c r="D95" s="126">
        <v>25</v>
      </c>
      <c r="E95" s="126">
        <v>608</v>
      </c>
      <c r="F95" s="126">
        <f t="shared" si="22"/>
        <v>95</v>
      </c>
      <c r="G95" s="149">
        <v>6088</v>
      </c>
      <c r="H95" s="124">
        <v>248</v>
      </c>
      <c r="I95" s="126">
        <v>5414</v>
      </c>
      <c r="J95" s="4">
        <v>183862</v>
      </c>
      <c r="K95" s="611">
        <f t="shared" si="20"/>
        <v>3.0103480714957668E-2</v>
      </c>
      <c r="L95" s="7">
        <v>131608</v>
      </c>
      <c r="M95" s="4">
        <v>132402</v>
      </c>
      <c r="N95" s="316">
        <v>978</v>
      </c>
      <c r="O95" s="4">
        <v>8541</v>
      </c>
      <c r="P95" s="4">
        <v>7349</v>
      </c>
      <c r="Q95" s="12">
        <f t="shared" si="28"/>
        <v>3329</v>
      </c>
      <c r="R95" s="96">
        <f t="shared" si="21"/>
        <v>13501</v>
      </c>
      <c r="S95" s="35">
        <f t="shared" si="25"/>
        <v>1.8369009702984964E-2</v>
      </c>
      <c r="T95" s="28">
        <f t="shared" si="26"/>
        <v>3.0103480714957668E-2</v>
      </c>
      <c r="U95" s="91">
        <f>SUM(B82:B95)/POBLA!$B$25*100000</f>
        <v>22.624423919518488</v>
      </c>
      <c r="V95" s="91">
        <f>B95/POBLA!$B$25*100000</f>
        <v>2.0471500751176266</v>
      </c>
      <c r="W95" s="625">
        <f t="shared" si="19"/>
        <v>2.2510414382810788</v>
      </c>
      <c r="X95" s="68"/>
      <c r="Y95" s="68">
        <f t="shared" si="18"/>
        <v>0.16463926174496643</v>
      </c>
      <c r="Z95" s="167">
        <f t="shared" si="23"/>
        <v>785</v>
      </c>
      <c r="AA95" s="357">
        <f t="shared" si="24"/>
        <v>14.285714285714286</v>
      </c>
      <c r="AB95" s="357">
        <f t="shared" si="13"/>
        <v>16.743645439245075</v>
      </c>
      <c r="AC95" s="610">
        <f t="shared" si="31"/>
        <v>2.4579311535307884</v>
      </c>
      <c r="AD95" s="610">
        <f t="shared" si="32"/>
        <v>733.35714285714289</v>
      </c>
      <c r="AE95" s="68">
        <f t="shared" si="30"/>
        <v>1.1515088013411567</v>
      </c>
      <c r="AF95" s="68">
        <f t="shared" si="29"/>
        <v>0.43536040825005307</v>
      </c>
      <c r="AI95" s="357">
        <f>MAX($B$2:B95)</f>
        <v>949</v>
      </c>
      <c r="AP95" s="644">
        <f t="shared" si="17"/>
        <v>2.2510414382810788</v>
      </c>
      <c r="AT95" s="180">
        <f t="shared" si="27"/>
        <v>2.2794650503985769E-2</v>
      </c>
    </row>
    <row r="96" spans="1:46" x14ac:dyDescent="0.25">
      <c r="A96" s="2">
        <v>43987</v>
      </c>
      <c r="B96" s="124">
        <v>840</v>
      </c>
      <c r="C96" s="124">
        <v>21037</v>
      </c>
      <c r="D96" s="124">
        <v>24</v>
      </c>
      <c r="E96" s="126">
        <v>632</v>
      </c>
      <c r="F96" s="126">
        <f t="shared" si="22"/>
        <v>92</v>
      </c>
      <c r="G96" s="149">
        <v>6180</v>
      </c>
      <c r="H96" s="124">
        <v>249</v>
      </c>
      <c r="I96" s="126">
        <v>5416</v>
      </c>
      <c r="J96" s="4">
        <v>189278</v>
      </c>
      <c r="K96" s="611">
        <f t="shared" si="20"/>
        <v>3.004230641251129E-2</v>
      </c>
      <c r="L96" s="7">
        <v>134642</v>
      </c>
      <c r="M96" s="4">
        <v>135454</v>
      </c>
      <c r="N96" s="642">
        <v>980</v>
      </c>
      <c r="O96" s="8">
        <v>8883</v>
      </c>
      <c r="P96" s="8">
        <v>7770</v>
      </c>
      <c r="Q96" s="12">
        <f t="shared" si="28"/>
        <v>3404</v>
      </c>
      <c r="R96" s="96">
        <f t="shared" si="21"/>
        <v>14225</v>
      </c>
      <c r="S96" s="35">
        <f t="shared" si="25"/>
        <v>1.750439367311072E-2</v>
      </c>
      <c r="T96" s="28">
        <f t="shared" si="26"/>
        <v>3.004230641251129E-2</v>
      </c>
      <c r="U96" s="91">
        <f>SUM(B83:B96)/POBLA!$B$25*100000</f>
        <v>22.89326386479766</v>
      </c>
      <c r="V96" s="91">
        <f>B96/POBLA!$B$25*100000</f>
        <v>1.8510291314303624</v>
      </c>
      <c r="W96" s="625">
        <f t="shared" ref="W96:W140" si="33">SUM(B83:B96)/SUM(B69:B82)</f>
        <v>2.0617185949593173</v>
      </c>
      <c r="X96" s="68"/>
      <c r="Y96" s="68">
        <f t="shared" si="18"/>
        <v>0.16586460393847244</v>
      </c>
      <c r="Z96" s="167">
        <f t="shared" si="23"/>
        <v>802.57142857142856</v>
      </c>
      <c r="AA96" s="357">
        <f t="shared" si="24"/>
        <v>16</v>
      </c>
      <c r="AB96" s="357">
        <f t="shared" si="13"/>
        <v>18.419476007136819</v>
      </c>
      <c r="AC96" s="610">
        <f t="shared" si="31"/>
        <v>2.4194760071368187</v>
      </c>
      <c r="AD96" s="610">
        <f t="shared" si="32"/>
        <v>742.07142857142856</v>
      </c>
      <c r="AE96" s="68">
        <f t="shared" si="30"/>
        <v>1.1775309159505345</v>
      </c>
      <c r="AF96" s="68">
        <f t="shared" si="29"/>
        <v>0.45167874272884978</v>
      </c>
      <c r="AI96" s="357">
        <f>MAX($B$2:B96)</f>
        <v>949</v>
      </c>
      <c r="AP96" s="644">
        <f t="shared" si="17"/>
        <v>2.0617185949593173</v>
      </c>
      <c r="AT96" s="180">
        <f t="shared" si="27"/>
        <v>2.2803360495230875E-2</v>
      </c>
    </row>
    <row r="97" spans="1:46" x14ac:dyDescent="0.25">
      <c r="A97" s="2">
        <v>43988</v>
      </c>
      <c r="B97" s="124">
        <v>983</v>
      </c>
      <c r="C97" s="124">
        <v>22020</v>
      </c>
      <c r="D97" s="126">
        <v>16</v>
      </c>
      <c r="E97" s="126">
        <v>648</v>
      </c>
      <c r="F97" s="126">
        <f t="shared" si="22"/>
        <v>729</v>
      </c>
      <c r="G97" s="149">
        <v>6909</v>
      </c>
      <c r="H97" s="124">
        <v>247</v>
      </c>
      <c r="I97" s="126">
        <v>4635</v>
      </c>
      <c r="J97" s="4">
        <v>193923</v>
      </c>
      <c r="K97" s="611">
        <f t="shared" si="20"/>
        <v>2.9427792915531336E-2</v>
      </c>
      <c r="L97" s="7">
        <v>137840</v>
      </c>
      <c r="M97" s="4">
        <v>138672</v>
      </c>
      <c r="N97" s="202">
        <v>983</v>
      </c>
      <c r="O97" s="4">
        <v>9219</v>
      </c>
      <c r="P97" s="4">
        <v>8141</v>
      </c>
      <c r="Q97" s="12">
        <f t="shared" si="28"/>
        <v>3677</v>
      </c>
      <c r="R97" s="96">
        <f t="shared" si="21"/>
        <v>14463</v>
      </c>
      <c r="S97" s="35">
        <f t="shared" si="25"/>
        <v>1.7078061259766301E-2</v>
      </c>
      <c r="T97" s="28">
        <f t="shared" si="26"/>
        <v>2.9427792915531336E-2</v>
      </c>
      <c r="U97" s="91">
        <f>SUM(B84:B97)/POBLA!$B$25*100000</f>
        <v>23.508069969165604</v>
      </c>
      <c r="V97" s="91">
        <f>B97/POBLA!$B$25*100000</f>
        <v>2.1661448049952932</v>
      </c>
      <c r="W97" s="625">
        <f t="shared" si="33"/>
        <v>1.912513445679455</v>
      </c>
      <c r="X97" s="68"/>
      <c r="Y97" s="68">
        <f t="shared" si="18"/>
        <v>0.17155689507431374</v>
      </c>
      <c r="Z97" s="167">
        <f t="shared" si="23"/>
        <v>829.42857142857144</v>
      </c>
      <c r="AA97" s="357">
        <f t="shared" si="24"/>
        <v>17.142857142857142</v>
      </c>
      <c r="AB97" s="357">
        <f t="shared" si="13"/>
        <v>19.867121339859825</v>
      </c>
      <c r="AC97" s="610">
        <f t="shared" si="31"/>
        <v>2.7242641970026824</v>
      </c>
      <c r="AD97" s="610">
        <f t="shared" si="32"/>
        <v>762</v>
      </c>
      <c r="AE97" s="68">
        <f t="shared" si="30"/>
        <v>1.1941587823940765</v>
      </c>
      <c r="AF97" s="68">
        <f t="shared" si="29"/>
        <v>0.3973913043478261</v>
      </c>
      <c r="AI97" s="357">
        <f>MAX($B$2:B97)</f>
        <v>983</v>
      </c>
      <c r="AP97" s="644">
        <f t="shared" si="17"/>
        <v>1.912513445679455</v>
      </c>
      <c r="AT97" s="180">
        <f t="shared" si="27"/>
        <v>2.2100774728244552E-2</v>
      </c>
    </row>
    <row r="98" spans="1:46" x14ac:dyDescent="0.25">
      <c r="A98" s="2">
        <v>43989</v>
      </c>
      <c r="B98" s="124">
        <v>774</v>
      </c>
      <c r="C98" s="124">
        <v>22794</v>
      </c>
      <c r="D98" s="126">
        <v>15</v>
      </c>
      <c r="E98" s="126">
        <v>664</v>
      </c>
      <c r="F98" s="126">
        <f t="shared" si="22"/>
        <v>396</v>
      </c>
      <c r="G98" s="149">
        <v>7305</v>
      </c>
      <c r="H98" s="124">
        <v>235</v>
      </c>
      <c r="I98" s="126">
        <v>4607</v>
      </c>
      <c r="J98" s="4">
        <v>198520</v>
      </c>
      <c r="K98" s="611">
        <f t="shared" si="20"/>
        <v>2.9130472931473195E-2</v>
      </c>
      <c r="L98" s="7">
        <v>140401.50599999999</v>
      </c>
      <c r="M98" s="4">
        <v>141249</v>
      </c>
      <c r="N98" s="202">
        <v>985</v>
      </c>
      <c r="O98" s="4">
        <v>9476</v>
      </c>
      <c r="P98" s="4">
        <v>8441</v>
      </c>
      <c r="Q98" s="12">
        <f t="shared" si="28"/>
        <v>3892</v>
      </c>
      <c r="R98" s="96">
        <f t="shared" si="21"/>
        <v>14825</v>
      </c>
      <c r="S98" s="35">
        <f t="shared" si="25"/>
        <v>1.5851602023608771E-2</v>
      </c>
      <c r="T98" s="28">
        <f t="shared" si="26"/>
        <v>2.9130472931473195E-2</v>
      </c>
      <c r="U98" s="91">
        <f>SUM(B85:B98)/POBLA!$B$25*100000</f>
        <v>23.620453880716727</v>
      </c>
      <c r="V98" s="91">
        <f>B98/POBLA!$B$25*100000</f>
        <v>1.7055911282465481</v>
      </c>
      <c r="W98" s="625">
        <f t="shared" si="33"/>
        <v>1.7737878537150422</v>
      </c>
      <c r="X98" s="68"/>
      <c r="Y98" s="68">
        <f t="shared" si="18"/>
        <v>0.17258101986293414</v>
      </c>
      <c r="Z98" s="167">
        <f t="shared" si="23"/>
        <v>849</v>
      </c>
      <c r="AA98" s="357">
        <f t="shared" si="24"/>
        <v>17.714285714285715</v>
      </c>
      <c r="AB98" s="357">
        <f t="shared" ref="AB98:AB161" si="34">Z84*K84</f>
        <v>21.431126673922304</v>
      </c>
      <c r="AC98" s="610">
        <f t="shared" si="31"/>
        <v>3.7168409596365883</v>
      </c>
      <c r="AD98" s="610">
        <f t="shared" si="32"/>
        <v>765.64285714285711</v>
      </c>
      <c r="AE98" s="68">
        <f t="shared" si="30"/>
        <v>1.2443467336683416</v>
      </c>
      <c r="AF98" s="68">
        <f t="shared" si="29"/>
        <v>0.37383004355481431</v>
      </c>
      <c r="AI98" s="357">
        <f>MAX($B$2:B98)</f>
        <v>983</v>
      </c>
      <c r="AP98" s="644">
        <f t="shared" si="17"/>
        <v>1.7737878537150422</v>
      </c>
      <c r="AT98" s="180">
        <f t="shared" si="27"/>
        <v>2.1646784986907187E-2</v>
      </c>
    </row>
    <row r="99" spans="1:46" x14ac:dyDescent="0.25">
      <c r="A99" s="2">
        <v>43990</v>
      </c>
      <c r="B99" s="127">
        <v>826</v>
      </c>
      <c r="C99" s="127">
        <v>23620</v>
      </c>
      <c r="D99" s="126">
        <v>29</v>
      </c>
      <c r="E99" s="126">
        <v>693</v>
      </c>
      <c r="F99" s="126">
        <f t="shared" si="22"/>
        <v>263</v>
      </c>
      <c r="G99" s="149">
        <v>7568</v>
      </c>
      <c r="H99" s="124">
        <v>265</v>
      </c>
      <c r="I99" s="126">
        <v>4531</v>
      </c>
      <c r="J99" s="4">
        <v>203810</v>
      </c>
      <c r="K99" s="611">
        <f t="shared" si="20"/>
        <v>2.9339542760372567E-2</v>
      </c>
      <c r="L99" s="7">
        <v>143482</v>
      </c>
      <c r="M99" s="4">
        <v>144348</v>
      </c>
      <c r="N99" s="202">
        <v>986</v>
      </c>
      <c r="O99" s="4">
        <v>9822</v>
      </c>
      <c r="P99" s="4">
        <v>8919</v>
      </c>
      <c r="Q99" s="12">
        <f t="shared" si="28"/>
        <v>3893</v>
      </c>
      <c r="R99" s="96">
        <f t="shared" si="21"/>
        <v>15359</v>
      </c>
      <c r="S99" s="35">
        <f t="shared" si="25"/>
        <v>1.7253727456214597E-2</v>
      </c>
      <c r="T99" s="28">
        <f t="shared" si="26"/>
        <v>2.9339542760372567E-2</v>
      </c>
      <c r="U99" s="91">
        <f>SUM(B86:B99)/POBLA!$B$25*100000</f>
        <v>24.224241954540442</v>
      </c>
      <c r="V99" s="91">
        <f>B99/POBLA!$B$25*100000</f>
        <v>1.8201786459065228</v>
      </c>
      <c r="W99" s="625">
        <f t="shared" si="33"/>
        <v>1.730908518343568</v>
      </c>
      <c r="X99" s="68"/>
      <c r="Y99" s="68">
        <f t="shared" si="18"/>
        <v>0.17601838193577668</v>
      </c>
      <c r="Z99" s="167">
        <f t="shared" si="23"/>
        <v>886.42857142857144</v>
      </c>
      <c r="AA99" s="357">
        <f t="shared" si="24"/>
        <v>19.428571428571427</v>
      </c>
      <c r="AB99" s="357">
        <f t="shared" si="34"/>
        <v>22.489920358387256</v>
      </c>
      <c r="AC99" s="610">
        <f t="shared" si="31"/>
        <v>3.0613489298158285</v>
      </c>
      <c r="AD99" s="610">
        <f t="shared" si="32"/>
        <v>785.21428571428567</v>
      </c>
      <c r="AE99" s="68">
        <f t="shared" si="30"/>
        <v>1.2959482038429406</v>
      </c>
      <c r="AF99" s="68">
        <f t="shared" si="29"/>
        <v>0.37748878923766815</v>
      </c>
      <c r="AI99" s="357">
        <f>MAX($B$2:B99)</f>
        <v>983</v>
      </c>
      <c r="AP99" s="644">
        <f t="shared" si="17"/>
        <v>1.730908518343568</v>
      </c>
      <c r="AT99" s="180">
        <f t="shared" si="27"/>
        <v>2.2077776532556315E-2</v>
      </c>
    </row>
    <row r="100" spans="1:46" x14ac:dyDescent="0.25">
      <c r="A100" s="2">
        <v>43991</v>
      </c>
      <c r="B100" s="127">
        <v>1141</v>
      </c>
      <c r="C100" s="127">
        <v>24761</v>
      </c>
      <c r="D100" s="126">
        <v>24</v>
      </c>
      <c r="E100" s="129">
        <v>717</v>
      </c>
      <c r="F100" s="126">
        <f t="shared" si="22"/>
        <v>423</v>
      </c>
      <c r="G100" s="149">
        <v>7991</v>
      </c>
      <c r="H100" s="124">
        <v>263</v>
      </c>
      <c r="I100" s="126">
        <v>5468</v>
      </c>
      <c r="J100" s="4">
        <v>208519</v>
      </c>
      <c r="K100" s="611">
        <f t="shared" si="20"/>
        <v>2.8956827268688663E-2</v>
      </c>
      <c r="L100" s="7">
        <v>147178</v>
      </c>
      <c r="M100" s="4">
        <v>147917</v>
      </c>
      <c r="N100" s="202">
        <v>992</v>
      </c>
      <c r="O100" s="4">
        <v>10260</v>
      </c>
      <c r="P100" s="4">
        <v>9406</v>
      </c>
      <c r="Q100" s="12">
        <f t="shared" si="28"/>
        <v>4103</v>
      </c>
      <c r="R100" s="96">
        <f t="shared" si="21"/>
        <v>16053</v>
      </c>
      <c r="S100" s="35">
        <f t="shared" si="25"/>
        <v>1.6383230548807078E-2</v>
      </c>
      <c r="T100" s="28">
        <f t="shared" si="26"/>
        <v>2.8956827268688663E-2</v>
      </c>
      <c r="U100" s="91">
        <f>SUM(B87:B100)/POBLA!$B$25*100000</f>
        <v>25.416392859425951</v>
      </c>
      <c r="V100" s="91">
        <f>B100/POBLA!$B$25*100000</f>
        <v>2.5143145701929086</v>
      </c>
      <c r="W100" s="625">
        <f t="shared" si="33"/>
        <v>1.7302730273027302</v>
      </c>
      <c r="X100" s="68"/>
      <c r="Y100" s="68">
        <f t="shared" si="18"/>
        <v>0.18109749240976047</v>
      </c>
      <c r="Z100" s="167">
        <f t="shared" si="23"/>
        <v>920.28571428571433</v>
      </c>
      <c r="AA100" s="357">
        <f t="shared" si="24"/>
        <v>21</v>
      </c>
      <c r="AB100" s="357">
        <f t="shared" si="34"/>
        <v>23.384487450861808</v>
      </c>
      <c r="AC100" s="610">
        <f t="shared" si="31"/>
        <v>2.3844874508618084</v>
      </c>
      <c r="AD100" s="610">
        <f t="shared" si="32"/>
        <v>823.85714285714289</v>
      </c>
      <c r="AE100" s="68">
        <f t="shared" si="30"/>
        <v>1.265121759622938</v>
      </c>
      <c r="AF100" s="68">
        <f t="shared" si="29"/>
        <v>0.35422642146111016</v>
      </c>
      <c r="AI100" s="357">
        <f>MAX($B$2:B100)</f>
        <v>1141</v>
      </c>
      <c r="AP100" s="644">
        <f t="shared" si="17"/>
        <v>1.7302730273027302</v>
      </c>
      <c r="AT100" s="180">
        <f t="shared" si="27"/>
        <v>2.205136419456458E-2</v>
      </c>
    </row>
    <row r="101" spans="1:46" x14ac:dyDescent="0.25">
      <c r="A101" s="2">
        <v>43992</v>
      </c>
      <c r="B101" s="127">
        <v>1226</v>
      </c>
      <c r="C101" s="126">
        <v>25987</v>
      </c>
      <c r="D101" s="126">
        <v>18</v>
      </c>
      <c r="E101" s="129">
        <v>735</v>
      </c>
      <c r="F101" s="126">
        <f t="shared" si="22"/>
        <v>341</v>
      </c>
      <c r="G101" s="149">
        <v>8332</v>
      </c>
      <c r="H101" s="124">
        <v>325</v>
      </c>
      <c r="I101" s="126">
        <v>6288</v>
      </c>
      <c r="J101" s="4">
        <v>214807</v>
      </c>
      <c r="K101" s="611">
        <f t="shared" si="20"/>
        <v>2.8283372455458498E-2</v>
      </c>
      <c r="L101" s="7">
        <v>150755</v>
      </c>
      <c r="M101" s="4">
        <v>151512</v>
      </c>
      <c r="N101" s="202">
        <v>996</v>
      </c>
      <c r="O101" s="4">
        <v>10657</v>
      </c>
      <c r="P101" s="4">
        <v>9948</v>
      </c>
      <c r="Q101" s="12">
        <f t="shared" si="28"/>
        <v>4386</v>
      </c>
      <c r="R101" s="96">
        <f t="shared" si="21"/>
        <v>16920</v>
      </c>
      <c r="S101" s="35">
        <f t="shared" si="25"/>
        <v>1.9208037825059102E-2</v>
      </c>
      <c r="T101" s="28">
        <f t="shared" si="26"/>
        <v>2.8283372455458498E-2</v>
      </c>
      <c r="U101" s="91">
        <f>SUM(B88:B101)/POBLA!$B$25*100000</f>
        <v>26.562268036025699</v>
      </c>
      <c r="V101" s="91">
        <f>B101/POBLA!$B$25*100000</f>
        <v>2.7016210894447905</v>
      </c>
      <c r="W101" s="625">
        <f t="shared" si="33"/>
        <v>1.7083333333333333</v>
      </c>
      <c r="X101" s="68"/>
      <c r="Y101" s="68">
        <f t="shared" si="18"/>
        <v>0.18479606149784097</v>
      </c>
      <c r="Z101" s="167">
        <f t="shared" si="23"/>
        <v>959.85714285714289</v>
      </c>
      <c r="AA101" s="357">
        <f t="shared" si="24"/>
        <v>21.571428571428573</v>
      </c>
      <c r="AB101" s="357">
        <f t="shared" si="34"/>
        <v>23.843700977125224</v>
      </c>
      <c r="AC101" s="610">
        <f t="shared" si="31"/>
        <v>2.2722724056966506</v>
      </c>
      <c r="AD101" s="610">
        <f t="shared" si="32"/>
        <v>861</v>
      </c>
      <c r="AE101" s="68">
        <f t="shared" si="30"/>
        <v>1.2594189315838802</v>
      </c>
      <c r="AF101" s="68">
        <f t="shared" si="29"/>
        <v>0.33312322722975107</v>
      </c>
      <c r="AI101" s="357">
        <f>MAX($B$2:B101)</f>
        <v>1226</v>
      </c>
      <c r="AP101" s="644">
        <f t="shared" si="17"/>
        <v>1.7083333333333333</v>
      </c>
      <c r="AT101" s="180">
        <f t="shared" si="27"/>
        <v>2.1409365329004108E-2</v>
      </c>
    </row>
    <row r="102" spans="1:46" x14ac:dyDescent="0.25">
      <c r="A102" s="2">
        <v>43993</v>
      </c>
      <c r="B102" s="127">
        <v>1386</v>
      </c>
      <c r="C102" s="126">
        <v>27373</v>
      </c>
      <c r="D102" s="126">
        <v>30</v>
      </c>
      <c r="E102" s="129">
        <v>765</v>
      </c>
      <c r="F102" s="126">
        <f t="shared" si="22"/>
        <v>411</v>
      </c>
      <c r="G102" s="149">
        <v>8743</v>
      </c>
      <c r="H102" s="124">
        <v>295</v>
      </c>
      <c r="I102" s="126">
        <v>6498</v>
      </c>
      <c r="J102" s="4">
        <v>221305</v>
      </c>
      <c r="K102" s="611">
        <f t="shared" si="20"/>
        <v>2.7947247287473057E-2</v>
      </c>
      <c r="L102" s="7">
        <v>154725</v>
      </c>
      <c r="M102" s="4">
        <v>155502</v>
      </c>
      <c r="N102" s="202">
        <v>999</v>
      </c>
      <c r="O102" s="4">
        <v>11091</v>
      </c>
      <c r="P102" s="4">
        <v>10542</v>
      </c>
      <c r="Q102" s="12">
        <f t="shared" si="28"/>
        <v>4741</v>
      </c>
      <c r="R102" s="96">
        <f t="shared" si="21"/>
        <v>17865</v>
      </c>
      <c r="S102" s="35">
        <f t="shared" si="25"/>
        <v>1.6512734396865379E-2</v>
      </c>
      <c r="T102" s="28">
        <f t="shared" si="26"/>
        <v>2.7947247287473057E-2</v>
      </c>
      <c r="U102" s="91">
        <f>SUM(B89:B102)/POBLA!$B$25*100000</f>
        <v>27.921893005183477</v>
      </c>
      <c r="V102" s="91">
        <f>B102/POBLA!$B$25*100000</f>
        <v>3.0541980668600974</v>
      </c>
      <c r="W102" s="625">
        <f t="shared" si="33"/>
        <v>1.6738441215323645</v>
      </c>
      <c r="X102" s="68"/>
      <c r="Y102" s="68">
        <f t="shared" si="18"/>
        <v>0.1916513099911866</v>
      </c>
      <c r="Z102" s="167">
        <f t="shared" si="23"/>
        <v>1025.1428571428571</v>
      </c>
      <c r="AA102" s="357">
        <f t="shared" si="24"/>
        <v>22.285714285714285</v>
      </c>
      <c r="AB102" s="357">
        <f t="shared" si="34"/>
        <v>23.555356899935866</v>
      </c>
      <c r="AC102" s="610">
        <f t="shared" si="31"/>
        <v>1.2696426142215813</v>
      </c>
      <c r="AD102" s="610">
        <f t="shared" si="32"/>
        <v>905.07142857142856</v>
      </c>
      <c r="AE102" s="68">
        <f t="shared" si="30"/>
        <v>1.3059144676979071</v>
      </c>
      <c r="AF102" s="68">
        <f t="shared" si="29"/>
        <v>0.32323531590252563</v>
      </c>
      <c r="AI102" s="357">
        <f>MAX($B$2:B102)</f>
        <v>1386</v>
      </c>
      <c r="AP102" s="644">
        <f t="shared" si="17"/>
        <v>1.6738441215323645</v>
      </c>
      <c r="AT102" s="180">
        <f t="shared" si="27"/>
        <v>2.1477993465308477E-2</v>
      </c>
    </row>
    <row r="103" spans="1:46" x14ac:dyDescent="0.25">
      <c r="A103" s="2">
        <v>43994</v>
      </c>
      <c r="B103" s="127">
        <v>1391</v>
      </c>
      <c r="C103" s="126">
        <v>28764</v>
      </c>
      <c r="D103" s="126">
        <v>20</v>
      </c>
      <c r="E103" s="129">
        <v>785</v>
      </c>
      <c r="F103" s="126">
        <f t="shared" si="22"/>
        <v>340</v>
      </c>
      <c r="G103" s="149">
        <v>9083</v>
      </c>
      <c r="H103" s="124">
        <v>280</v>
      </c>
      <c r="I103" s="126">
        <v>7019</v>
      </c>
      <c r="J103" s="4">
        <v>228324</v>
      </c>
      <c r="K103" s="611">
        <f t="shared" si="20"/>
        <v>2.7291058267278543E-2</v>
      </c>
      <c r="L103" s="24">
        <v>158691</v>
      </c>
      <c r="M103" s="4">
        <v>159488</v>
      </c>
      <c r="N103" s="202">
        <v>1005</v>
      </c>
      <c r="O103" s="4">
        <v>11529</v>
      </c>
      <c r="P103" s="4">
        <v>11161</v>
      </c>
      <c r="Q103" s="12">
        <f t="shared" si="28"/>
        <v>5069</v>
      </c>
      <c r="R103" s="96">
        <f t="shared" si="21"/>
        <v>18896</v>
      </c>
      <c r="S103" s="35">
        <f t="shared" si="25"/>
        <v>1.4817950889077053E-2</v>
      </c>
      <c r="T103" s="28">
        <f t="shared" si="26"/>
        <v>2.7291058267278543E-2</v>
      </c>
      <c r="U103" s="91">
        <f>SUM(B90:B103)/POBLA!$B$25*100000</f>
        <v>29.407123522545458</v>
      </c>
      <c r="V103" s="91">
        <f>B103/POBLA!$B$25*100000</f>
        <v>3.0652160974043263</v>
      </c>
      <c r="W103" s="625">
        <f t="shared" si="33"/>
        <v>1.6803072273986401</v>
      </c>
      <c r="X103" s="68"/>
      <c r="Y103" s="68">
        <f t="shared" si="18"/>
        <v>0.19789479075961686</v>
      </c>
      <c r="Z103" s="167">
        <f t="shared" si="23"/>
        <v>1103.8571428571429</v>
      </c>
      <c r="AA103" s="357">
        <f t="shared" si="24"/>
        <v>21.714285714285715</v>
      </c>
      <c r="AB103" s="357">
        <f t="shared" si="34"/>
        <v>22.985741154234574</v>
      </c>
      <c r="AC103" s="610">
        <f t="shared" si="31"/>
        <v>1.2714554399488591</v>
      </c>
      <c r="AD103" s="610">
        <f t="shared" si="32"/>
        <v>953.21428571428567</v>
      </c>
      <c r="AE103" s="68">
        <f t="shared" si="30"/>
        <v>1.3754004983980064</v>
      </c>
      <c r="AF103" s="68">
        <f t="shared" si="29"/>
        <v>0.32836555360281205</v>
      </c>
      <c r="AI103" s="357">
        <f>MAX($B$2:B103)</f>
        <v>1391</v>
      </c>
      <c r="AP103" s="644">
        <f t="shared" si="17"/>
        <v>1.6803072273986401</v>
      </c>
      <c r="AT103" s="180">
        <f t="shared" si="27"/>
        <v>2.0879974414035728E-2</v>
      </c>
    </row>
    <row r="104" spans="1:46" x14ac:dyDescent="0.25">
      <c r="A104" s="2">
        <v>43995</v>
      </c>
      <c r="B104" s="128">
        <v>1531</v>
      </c>
      <c r="C104" s="126">
        <v>30295</v>
      </c>
      <c r="D104" s="126">
        <v>30</v>
      </c>
      <c r="E104" s="126">
        <v>815</v>
      </c>
      <c r="F104" s="126">
        <f t="shared" si="22"/>
        <v>481</v>
      </c>
      <c r="G104" s="150">
        <v>9564</v>
      </c>
      <c r="H104" s="151">
        <v>293</v>
      </c>
      <c r="I104" s="126">
        <v>6046</v>
      </c>
      <c r="J104" s="4">
        <v>234370</v>
      </c>
      <c r="K104" s="611">
        <f t="shared" si="20"/>
        <v>2.6902129064202012E-2</v>
      </c>
      <c r="L104" s="24">
        <v>162346</v>
      </c>
      <c r="M104" s="4">
        <v>163161</v>
      </c>
      <c r="N104" s="202">
        <v>1011</v>
      </c>
      <c r="O104" s="4">
        <v>11950</v>
      </c>
      <c r="P104" s="4">
        <v>11707</v>
      </c>
      <c r="Q104" s="12">
        <f t="shared" si="28"/>
        <v>5627</v>
      </c>
      <c r="R104" s="96">
        <f t="shared" si="21"/>
        <v>19916</v>
      </c>
      <c r="S104" s="35">
        <f t="shared" si="25"/>
        <v>1.4711789515967062E-2</v>
      </c>
      <c r="T104" s="28">
        <f t="shared" si="26"/>
        <v>2.6902129064202012E-2</v>
      </c>
      <c r="U104" s="91">
        <f>SUM(B91:B104)/POBLA!$B$25*100000</f>
        <v>31.028977618655873</v>
      </c>
      <c r="V104" s="91">
        <f>B104/POBLA!$B$25*100000</f>
        <v>3.3737209526427199</v>
      </c>
      <c r="W104" s="625">
        <f t="shared" si="33"/>
        <v>1.6743162901307966</v>
      </c>
      <c r="X104" s="68"/>
      <c r="Y104" s="68">
        <f t="shared" si="18"/>
        <v>0.20453815161776701</v>
      </c>
      <c r="Z104" s="167">
        <f t="shared" si="23"/>
        <v>1182.1428571428571</v>
      </c>
      <c r="AA104" s="357">
        <f t="shared" si="24"/>
        <v>23.714285714285715</v>
      </c>
      <c r="AB104" s="357">
        <f t="shared" si="34"/>
        <v>22.6183368869936</v>
      </c>
      <c r="AC104" s="610">
        <f t="shared" si="31"/>
        <v>-1.0959488272921156</v>
      </c>
      <c r="AD104" s="610">
        <f t="shared" si="32"/>
        <v>1005.7857142857143</v>
      </c>
      <c r="AE104" s="68">
        <f t="shared" si="30"/>
        <v>1.4252497416465724</v>
      </c>
      <c r="AF104" s="68">
        <f t="shared" si="29"/>
        <v>0.37703104473484061</v>
      </c>
      <c r="AI104" s="357">
        <f>MAX($B$2:B104)</f>
        <v>1531</v>
      </c>
      <c r="AP104" s="644">
        <f t="shared" si="17"/>
        <v>1.6743162901307966</v>
      </c>
      <c r="AT104" s="180">
        <f t="shared" si="27"/>
        <v>1.9988775201830504E-2</v>
      </c>
    </row>
    <row r="105" spans="1:46" x14ac:dyDescent="0.25">
      <c r="A105" s="2">
        <v>43996</v>
      </c>
      <c r="B105" s="127">
        <v>1282</v>
      </c>
      <c r="C105" s="126">
        <v>31577</v>
      </c>
      <c r="D105" s="126">
        <v>18</v>
      </c>
      <c r="E105" s="126">
        <v>833</v>
      </c>
      <c r="F105" s="126">
        <f t="shared" si="22"/>
        <v>327</v>
      </c>
      <c r="G105" s="150">
        <v>9891</v>
      </c>
      <c r="H105" s="152">
        <v>316</v>
      </c>
      <c r="I105" s="126">
        <v>5571</v>
      </c>
      <c r="J105" s="4">
        <v>239941</v>
      </c>
      <c r="K105" s="611">
        <f t="shared" si="20"/>
        <v>2.6379960097539349E-2</v>
      </c>
      <c r="L105" s="7">
        <v>165611</v>
      </c>
      <c r="M105" s="4">
        <v>166443</v>
      </c>
      <c r="N105" s="202">
        <v>1022</v>
      </c>
      <c r="O105" s="4">
        <v>12386</v>
      </c>
      <c r="P105" s="4">
        <v>12167</v>
      </c>
      <c r="Q105" s="12">
        <f t="shared" si="28"/>
        <v>6002</v>
      </c>
      <c r="R105" s="96">
        <f t="shared" si="21"/>
        <v>20853</v>
      </c>
      <c r="S105" s="35">
        <f t="shared" si="25"/>
        <v>1.5153694912003069E-2</v>
      </c>
      <c r="T105" s="28">
        <f t="shared" si="26"/>
        <v>2.6379960097539349E-2</v>
      </c>
      <c r="U105" s="91">
        <f>SUM(B92:B105)/POBLA!$B$25*100000</f>
        <v>32.450303558861329</v>
      </c>
      <c r="V105" s="91">
        <f>B105/POBLA!$B$25*100000</f>
        <v>2.8250230315401481</v>
      </c>
      <c r="W105" s="625">
        <f t="shared" si="33"/>
        <v>1.6764571948998179</v>
      </c>
      <c r="X105" s="68"/>
      <c r="Y105" s="68">
        <f t="shared" si="18"/>
        <v>0.21204220081601119</v>
      </c>
      <c r="Z105" s="167">
        <f t="shared" si="23"/>
        <v>1254.7142857142858</v>
      </c>
      <c r="AA105" s="357">
        <f t="shared" si="24"/>
        <v>24.142857142857142</v>
      </c>
      <c r="AB105" s="357">
        <f t="shared" si="34"/>
        <v>21.823749332383837</v>
      </c>
      <c r="AC105" s="610">
        <f t="shared" si="31"/>
        <v>-2.3191078104733052</v>
      </c>
      <c r="AD105" s="610">
        <f t="shared" si="32"/>
        <v>1051.8571428571429</v>
      </c>
      <c r="AE105" s="68">
        <f t="shared" si="30"/>
        <v>1.4778731280498065</v>
      </c>
      <c r="AF105" s="68">
        <f t="shared" si="29"/>
        <v>0.40661045531197293</v>
      </c>
      <c r="AI105" s="357">
        <f>MAX($B$2:B105)</f>
        <v>1531</v>
      </c>
      <c r="AP105" s="644">
        <f t="shared" si="17"/>
        <v>1.6764571948998179</v>
      </c>
      <c r="AT105" s="180">
        <f t="shared" si="27"/>
        <v>1.983402489626556E-2</v>
      </c>
    </row>
    <row r="106" spans="1:46" x14ac:dyDescent="0.25">
      <c r="A106" s="2">
        <v>43997</v>
      </c>
      <c r="B106" s="127">
        <v>1208</v>
      </c>
      <c r="C106" s="126">
        <v>32785</v>
      </c>
      <c r="D106" s="126">
        <v>21</v>
      </c>
      <c r="E106" s="126">
        <v>854</v>
      </c>
      <c r="F106" s="126">
        <f t="shared" si="22"/>
        <v>273</v>
      </c>
      <c r="G106" s="150">
        <v>10164</v>
      </c>
      <c r="H106" s="153">
        <v>324</v>
      </c>
      <c r="I106" s="126">
        <v>5118</v>
      </c>
      <c r="J106" s="4">
        <v>245059</v>
      </c>
      <c r="K106" s="611">
        <f t="shared" si="20"/>
        <v>2.6048497788622844E-2</v>
      </c>
      <c r="L106" s="7">
        <v>168596</v>
      </c>
      <c r="M106" s="4">
        <v>169443</v>
      </c>
      <c r="N106" s="202">
        <v>1028</v>
      </c>
      <c r="O106" s="4">
        <v>12835</v>
      </c>
      <c r="P106" s="4">
        <v>12828</v>
      </c>
      <c r="Q106" s="12">
        <f t="shared" si="28"/>
        <v>6094</v>
      </c>
      <c r="R106" s="96">
        <f t="shared" si="21"/>
        <v>21767</v>
      </c>
      <c r="S106" s="35">
        <f t="shared" si="25"/>
        <v>1.4884917535719208E-2</v>
      </c>
      <c r="T106" s="28">
        <f t="shared" si="26"/>
        <v>2.6048497788622844E-2</v>
      </c>
      <c r="U106" s="91">
        <f>SUM(B93:B106)/POBLA!$B$25*100000</f>
        <v>33.869425892957942</v>
      </c>
      <c r="V106" s="91">
        <f>B106/POBLA!$B$25*100000</f>
        <v>2.6619561794855686</v>
      </c>
      <c r="W106" s="625">
        <f t="shared" si="33"/>
        <v>1.699281370923162</v>
      </c>
      <c r="X106" s="68"/>
      <c r="Y106" s="68">
        <f t="shared" si="18"/>
        <v>0.21817272900399923</v>
      </c>
      <c r="Z106" s="167">
        <f t="shared" si="23"/>
        <v>1309.2857142857142</v>
      </c>
      <c r="AA106" s="357">
        <f t="shared" si="24"/>
        <v>23</v>
      </c>
      <c r="AB106" s="357">
        <f t="shared" si="34"/>
        <v>21.837726098191215</v>
      </c>
      <c r="AC106" s="610">
        <f t="shared" si="31"/>
        <v>-1.1622739018087849</v>
      </c>
      <c r="AD106" s="610">
        <f t="shared" si="32"/>
        <v>1097.8571428571429</v>
      </c>
      <c r="AE106" s="68">
        <f t="shared" si="30"/>
        <v>1.4770346494762288</v>
      </c>
      <c r="AF106" s="68">
        <f t="shared" si="29"/>
        <v>0.4172146624129176</v>
      </c>
      <c r="AI106" s="357">
        <f>MAX($B$2:B106)</f>
        <v>1531</v>
      </c>
      <c r="AP106" s="644">
        <f t="shared" si="17"/>
        <v>1.699281370923162</v>
      </c>
      <c r="AT106" s="180">
        <f t="shared" si="27"/>
        <v>1.9694968175813617E-2</v>
      </c>
    </row>
    <row r="107" spans="1:46" x14ac:dyDescent="0.25">
      <c r="A107" s="34">
        <v>43998</v>
      </c>
      <c r="B107" s="292">
        <v>1374</v>
      </c>
      <c r="C107" s="133">
        <v>34159</v>
      </c>
      <c r="D107" s="133">
        <v>24</v>
      </c>
      <c r="E107" s="293">
        <v>878</v>
      </c>
      <c r="F107" s="133">
        <f t="shared" si="22"/>
        <v>348</v>
      </c>
      <c r="G107" s="294">
        <v>10512</v>
      </c>
      <c r="H107" s="295">
        <v>345</v>
      </c>
      <c r="I107" s="293">
        <v>5556</v>
      </c>
      <c r="J107" s="27">
        <v>250615</v>
      </c>
      <c r="K107" s="611">
        <f t="shared" si="20"/>
        <v>2.5703328551772594E-2</v>
      </c>
      <c r="L107" s="30">
        <v>171855</v>
      </c>
      <c r="M107" s="27">
        <v>172718</v>
      </c>
      <c r="N107" s="262">
        <v>1030</v>
      </c>
      <c r="O107" s="27">
        <v>13340</v>
      </c>
      <c r="P107" s="27">
        <v>13602</v>
      </c>
      <c r="Q107" s="92">
        <f t="shared" si="28"/>
        <v>6187</v>
      </c>
      <c r="R107" s="296">
        <f t="shared" si="21"/>
        <v>22769</v>
      </c>
      <c r="S107" s="71">
        <f t="shared" si="25"/>
        <v>1.5152180596424964E-2</v>
      </c>
      <c r="T107" s="72">
        <f t="shared" si="26"/>
        <v>2.5703328551772594E-2</v>
      </c>
      <c r="U107" s="91">
        <f>SUM(B94:B107)/POBLA!$B$25*100000</f>
        <v>34.905120764115402</v>
      </c>
      <c r="V107" s="91">
        <f>B107/POBLA!$B$25*100000</f>
        <v>3.0277547935539495</v>
      </c>
      <c r="W107" s="625">
        <f t="shared" si="33"/>
        <v>1.6654400168226264</v>
      </c>
      <c r="X107" s="68"/>
      <c r="Y107" s="68">
        <f t="shared" si="18"/>
        <v>0.22325161535537819</v>
      </c>
      <c r="Z107" s="167">
        <f t="shared" si="23"/>
        <v>1342.5714285714287</v>
      </c>
      <c r="AA107" s="357">
        <f t="shared" si="24"/>
        <v>23</v>
      </c>
      <c r="AB107" s="357">
        <f t="shared" si="34"/>
        <v>22.594402376923256</v>
      </c>
      <c r="AC107" s="610">
        <f t="shared" si="31"/>
        <v>-0.40559762307674418</v>
      </c>
      <c r="AD107" s="610">
        <f t="shared" si="32"/>
        <v>1131.4285714285713</v>
      </c>
      <c r="AE107" s="68">
        <f t="shared" si="30"/>
        <v>1.4588637069233157</v>
      </c>
      <c r="AF107" s="68">
        <f t="shared" si="29"/>
        <v>0.41836416869121029</v>
      </c>
      <c r="AI107" s="357">
        <f>MAX($B$2:B107)</f>
        <v>1531</v>
      </c>
      <c r="AP107" s="644">
        <f t="shared" si="17"/>
        <v>1.6654400168226264</v>
      </c>
      <c r="AT107" s="180">
        <f t="shared" si="27"/>
        <v>1.93929173693086E-2</v>
      </c>
    </row>
    <row r="108" spans="1:46" x14ac:dyDescent="0.25">
      <c r="A108" s="2">
        <v>43999</v>
      </c>
      <c r="B108" s="126">
        <v>1393</v>
      </c>
      <c r="C108" s="126">
        <v>35552</v>
      </c>
      <c r="D108" s="126">
        <v>35</v>
      </c>
      <c r="E108" s="129">
        <v>913</v>
      </c>
      <c r="F108" s="126">
        <f t="shared" si="22"/>
        <v>209</v>
      </c>
      <c r="G108" s="150">
        <v>10721</v>
      </c>
      <c r="H108" s="153">
        <v>353</v>
      </c>
      <c r="I108" s="126">
        <v>6477</v>
      </c>
      <c r="J108" s="4">
        <v>257092</v>
      </c>
      <c r="K108" s="611">
        <f t="shared" si="20"/>
        <v>2.5680693069306929E-2</v>
      </c>
      <c r="L108" s="7">
        <v>175554</v>
      </c>
      <c r="M108" s="4">
        <v>176436</v>
      </c>
      <c r="N108" s="202">
        <v>1036</v>
      </c>
      <c r="O108" s="4">
        <v>13805</v>
      </c>
      <c r="P108" s="4">
        <v>14433</v>
      </c>
      <c r="Q108" s="12">
        <f t="shared" si="28"/>
        <v>6278</v>
      </c>
      <c r="R108" s="96">
        <f t="shared" si="21"/>
        <v>23918</v>
      </c>
      <c r="S108" s="35">
        <f t="shared" si="25"/>
        <v>1.4758759093569697E-2</v>
      </c>
      <c r="T108" s="28">
        <f t="shared" si="26"/>
        <v>2.5680693069306929E-2</v>
      </c>
      <c r="U108" s="91">
        <f>SUM(B95:B108)/POBLA!$B$25*100000</f>
        <v>35.883521876442877</v>
      </c>
      <c r="V108" s="91">
        <f>B108/POBLA!$B$25*100000</f>
        <v>3.0696233096220173</v>
      </c>
      <c r="W108" s="625">
        <f t="shared" si="33"/>
        <v>1.630682956138594</v>
      </c>
      <c r="X108" s="202"/>
      <c r="Y108" s="202">
        <f t="shared" si="18"/>
        <v>0.22620314532340074</v>
      </c>
      <c r="Z108" s="297">
        <f t="shared" si="23"/>
        <v>1366.4285714285713</v>
      </c>
      <c r="AA108" s="179">
        <f t="shared" si="24"/>
        <v>25.428571428571427</v>
      </c>
      <c r="AB108" s="357">
        <f t="shared" si="34"/>
        <v>23.060477772175922</v>
      </c>
      <c r="AC108" s="610">
        <f t="shared" si="31"/>
        <v>-2.3680936563955051</v>
      </c>
      <c r="AD108" s="610">
        <f t="shared" si="32"/>
        <v>1163.1428571428571</v>
      </c>
      <c r="AE108" s="202">
        <f t="shared" si="30"/>
        <v>1.4235749367465396</v>
      </c>
      <c r="AF108" s="202">
        <f t="shared" si="29"/>
        <v>0.41359338061465722</v>
      </c>
      <c r="AG108" s="4"/>
      <c r="AH108" s="4"/>
      <c r="AI108" s="179">
        <f>MAX($B$2:B108)</f>
        <v>1531</v>
      </c>
      <c r="AP108" s="644">
        <f t="shared" si="17"/>
        <v>1.630682956138594</v>
      </c>
      <c r="AT108" s="180">
        <f t="shared" si="27"/>
        <v>1.9571775439629166E-2</v>
      </c>
    </row>
    <row r="109" spans="1:46" x14ac:dyDescent="0.25">
      <c r="A109" s="2">
        <v>44000</v>
      </c>
      <c r="B109" s="127">
        <v>1958</v>
      </c>
      <c r="C109" s="126">
        <v>37510</v>
      </c>
      <c r="D109" s="126">
        <v>35</v>
      </c>
      <c r="E109" s="129">
        <v>948</v>
      </c>
      <c r="F109" s="126">
        <f t="shared" si="22"/>
        <v>1130</v>
      </c>
      <c r="G109" s="150">
        <v>11851</v>
      </c>
      <c r="H109" s="126">
        <v>364</v>
      </c>
      <c r="I109" s="126">
        <v>7512</v>
      </c>
      <c r="J109" s="4">
        <v>264604</v>
      </c>
      <c r="K109" s="611">
        <f t="shared" si="20"/>
        <v>2.5273260463876301E-2</v>
      </c>
      <c r="L109" s="7">
        <v>180447</v>
      </c>
      <c r="M109" s="4">
        <v>181353</v>
      </c>
      <c r="N109" s="202">
        <v>1049</v>
      </c>
      <c r="O109" s="4">
        <v>14420</v>
      </c>
      <c r="P109" s="4">
        <v>15347</v>
      </c>
      <c r="Q109" s="12">
        <f t="shared" si="28"/>
        <v>6694</v>
      </c>
      <c r="R109" s="96">
        <f t="shared" si="21"/>
        <v>24711</v>
      </c>
      <c r="S109" s="35">
        <f t="shared" si="25"/>
        <v>1.4730282060620777E-2</v>
      </c>
      <c r="T109" s="28">
        <f t="shared" si="26"/>
        <v>2.5273260463876301E-2</v>
      </c>
      <c r="U109" s="91">
        <f>SUM(B96:B109)/POBLA!$B$25*100000</f>
        <v>38.151032562445074</v>
      </c>
      <c r="V109" s="91">
        <f>B109/POBLA!$B$25*100000</f>
        <v>4.3146607611198213</v>
      </c>
      <c r="W109" s="625">
        <f t="shared" si="33"/>
        <v>1.6862764195967663</v>
      </c>
      <c r="X109" s="202"/>
      <c r="Y109" s="202">
        <f t="shared" si="18"/>
        <v>0.2341162613455276</v>
      </c>
      <c r="Z109" s="297">
        <f t="shared" si="23"/>
        <v>1448.1428571428571</v>
      </c>
      <c r="AA109" s="179">
        <f t="shared" si="24"/>
        <v>26.142857142857142</v>
      </c>
      <c r="AB109" s="357">
        <f t="shared" si="34"/>
        <v>23.631232361241768</v>
      </c>
      <c r="AC109" s="610">
        <f t="shared" si="31"/>
        <v>-2.5116247816153745</v>
      </c>
      <c r="AD109" s="610">
        <f t="shared" si="32"/>
        <v>1236.6428571428571</v>
      </c>
      <c r="AE109" s="202">
        <f t="shared" si="30"/>
        <v>1.4126254180602007</v>
      </c>
      <c r="AF109" s="202">
        <f t="shared" si="29"/>
        <v>0.38320738874895044</v>
      </c>
      <c r="AG109" s="4"/>
      <c r="AH109" s="4"/>
      <c r="AI109" s="179">
        <f>MAX($B$2:B109)</f>
        <v>1958</v>
      </c>
      <c r="AP109" s="644">
        <f t="shared" si="17"/>
        <v>1.6862764195967663</v>
      </c>
      <c r="AT109" s="180">
        <f t="shared" si="27"/>
        <v>1.9371472371263326E-2</v>
      </c>
    </row>
    <row r="110" spans="1:46" x14ac:dyDescent="0.25">
      <c r="A110" s="2">
        <v>44001</v>
      </c>
      <c r="B110" s="127">
        <v>2060</v>
      </c>
      <c r="C110" s="126">
        <v>39570</v>
      </c>
      <c r="D110" s="126">
        <v>31</v>
      </c>
      <c r="E110" s="129">
        <v>979</v>
      </c>
      <c r="F110" s="126">
        <f t="shared" si="22"/>
        <v>355</v>
      </c>
      <c r="G110" s="150">
        <v>12206</v>
      </c>
      <c r="H110" s="126">
        <v>364</v>
      </c>
      <c r="I110" s="126">
        <v>8625</v>
      </c>
      <c r="J110" s="4">
        <v>273229</v>
      </c>
      <c r="K110" s="611">
        <f t="shared" si="20"/>
        <v>2.4740965377811473E-2</v>
      </c>
      <c r="L110" s="7">
        <v>185302</v>
      </c>
      <c r="M110" s="4">
        <v>186233</v>
      </c>
      <c r="N110" s="202">
        <v>1044</v>
      </c>
      <c r="O110" s="4">
        <v>15003</v>
      </c>
      <c r="P110" s="4">
        <v>16383</v>
      </c>
      <c r="Q110" s="12">
        <f t="shared" si="28"/>
        <v>7140</v>
      </c>
      <c r="R110" s="96">
        <f t="shared" si="21"/>
        <v>26385</v>
      </c>
      <c r="S110" s="35">
        <f t="shared" si="25"/>
        <v>1.3795717263596741E-2</v>
      </c>
      <c r="T110" s="28">
        <f t="shared" ref="T110:T141" si="35">E110/C110</f>
        <v>2.4740965377811473E-2</v>
      </c>
      <c r="U110" s="91">
        <f>SUM(B97:B110)/POBLA!$B$25*100000</f>
        <v>40.839432015236788</v>
      </c>
      <c r="V110" s="91">
        <f>B110/POBLA!$B$25*100000</f>
        <v>4.5394285842220787</v>
      </c>
      <c r="W110" s="625">
        <f t="shared" si="33"/>
        <v>1.7839060544807008</v>
      </c>
      <c r="X110" s="202"/>
      <c r="Y110" s="202">
        <f t="shared" si="18"/>
        <v>0.24064135396949116</v>
      </c>
      <c r="Z110" s="297">
        <f t="shared" si="23"/>
        <v>1543.7142857142858</v>
      </c>
      <c r="AA110" s="179">
        <f t="shared" si="24"/>
        <v>27.714285714285715</v>
      </c>
      <c r="AB110" s="357">
        <f t="shared" si="34"/>
        <v>24.111096775069775</v>
      </c>
      <c r="AC110" s="610">
        <f t="shared" si="31"/>
        <v>-3.60318893921594</v>
      </c>
      <c r="AD110" s="610">
        <f t="shared" si="32"/>
        <v>1323.7857142857142</v>
      </c>
      <c r="AE110" s="202">
        <f t="shared" si="30"/>
        <v>1.3984728872783745</v>
      </c>
      <c r="AF110" s="202">
        <f t="shared" si="29"/>
        <v>0.39632726502963589</v>
      </c>
      <c r="AG110" s="4"/>
      <c r="AH110" s="4"/>
      <c r="AI110" s="179">
        <f>MAX($B$2:B110)</f>
        <v>2060</v>
      </c>
      <c r="AP110" s="644">
        <f t="shared" si="17"/>
        <v>1.7839060544807008</v>
      </c>
      <c r="AT110" s="180">
        <f t="shared" si="27"/>
        <v>1.9050449022715268E-2</v>
      </c>
    </row>
    <row r="111" spans="1:46" x14ac:dyDescent="0.25">
      <c r="A111" s="2">
        <v>44002</v>
      </c>
      <c r="B111" s="127">
        <v>1634</v>
      </c>
      <c r="C111" s="129">
        <v>41204</v>
      </c>
      <c r="D111" s="129">
        <v>12</v>
      </c>
      <c r="E111" s="129">
        <v>991</v>
      </c>
      <c r="F111" s="126">
        <f t="shared" si="22"/>
        <v>522</v>
      </c>
      <c r="G111" s="150">
        <v>12728</v>
      </c>
      <c r="H111" s="126">
        <v>381</v>
      </c>
      <c r="I111" s="126">
        <v>6443</v>
      </c>
      <c r="J111" s="4">
        <v>279672</v>
      </c>
      <c r="K111" s="611">
        <f t="shared" si="20"/>
        <v>2.4051063003591885E-2</v>
      </c>
      <c r="L111" s="7">
        <v>188951</v>
      </c>
      <c r="M111" s="4">
        <v>189901</v>
      </c>
      <c r="N111" s="202">
        <v>1046</v>
      </c>
      <c r="O111" s="4">
        <v>15528</v>
      </c>
      <c r="P111" s="4">
        <v>17095</v>
      </c>
      <c r="Q111" s="12">
        <f t="shared" si="28"/>
        <v>7535</v>
      </c>
      <c r="R111" s="96">
        <f t="shared" si="21"/>
        <v>27485</v>
      </c>
      <c r="S111" s="35">
        <f t="shared" si="25"/>
        <v>1.3862106603601964E-2</v>
      </c>
      <c r="T111" s="28">
        <f t="shared" si="35"/>
        <v>2.4051063003591885E-2</v>
      </c>
      <c r="U111" s="91">
        <f>SUM(B98:B111)/POBLA!$B$25*100000</f>
        <v>42.273979592095323</v>
      </c>
      <c r="V111" s="91">
        <f>B111/POBLA!$B$25*100000</f>
        <v>3.6006923818538237</v>
      </c>
      <c r="W111" s="625">
        <f t="shared" si="33"/>
        <v>1.7982752155980501</v>
      </c>
      <c r="X111" s="202"/>
      <c r="Y111" s="202">
        <f t="shared" si="18"/>
        <v>0.24080614542404308</v>
      </c>
      <c r="Z111" s="297">
        <f t="shared" si="23"/>
        <v>1558.4285714285713</v>
      </c>
      <c r="AA111" s="179">
        <f t="shared" si="24"/>
        <v>25.142857142857142</v>
      </c>
      <c r="AB111" s="357">
        <f t="shared" si="34"/>
        <v>24.408252238224993</v>
      </c>
      <c r="AC111" s="610">
        <f t="shared" si="31"/>
        <v>-0.73460490463214967</v>
      </c>
      <c r="AD111" s="610">
        <f t="shared" si="32"/>
        <v>1370.2857142857142</v>
      </c>
      <c r="AE111" s="202">
        <f t="shared" si="30"/>
        <v>1.3183081570996977</v>
      </c>
      <c r="AF111" s="202">
        <f t="shared" si="29"/>
        <v>0.3800461940148625</v>
      </c>
      <c r="AG111" s="4"/>
      <c r="AH111" s="4"/>
      <c r="AI111" s="179">
        <f>MAX($B$2:B111)</f>
        <v>2060</v>
      </c>
      <c r="AP111" s="644">
        <f t="shared" si="17"/>
        <v>1.7982752155980501</v>
      </c>
      <c r="AT111" s="180">
        <f t="shared" si="27"/>
        <v>1.8417855087292958E-2</v>
      </c>
    </row>
    <row r="112" spans="1:46" x14ac:dyDescent="0.25">
      <c r="A112" s="2">
        <v>44003</v>
      </c>
      <c r="B112" s="127">
        <v>1581</v>
      </c>
      <c r="C112" s="126">
        <v>42785</v>
      </c>
      <c r="D112" s="129">
        <v>19</v>
      </c>
      <c r="E112" s="126">
        <v>1011</v>
      </c>
      <c r="F112" s="126">
        <f t="shared" si="22"/>
        <v>425</v>
      </c>
      <c r="G112" s="155">
        <v>13153</v>
      </c>
      <c r="H112" s="126">
        <v>397</v>
      </c>
      <c r="I112" s="126">
        <v>5719</v>
      </c>
      <c r="J112" s="7">
        <v>285391</v>
      </c>
      <c r="K112" s="611">
        <f t="shared" si="20"/>
        <v>2.3629776790931402E-2</v>
      </c>
      <c r="L112" s="7">
        <v>192543.73199999999</v>
      </c>
      <c r="M112" s="4">
        <v>193317</v>
      </c>
      <c r="N112" s="202">
        <v>1047</v>
      </c>
      <c r="O112" s="4">
        <v>16101</v>
      </c>
      <c r="P112" s="4">
        <v>17750</v>
      </c>
      <c r="Q112" s="12">
        <f t="shared" si="28"/>
        <v>7887</v>
      </c>
      <c r="R112" s="96">
        <f t="shared" si="21"/>
        <v>28621</v>
      </c>
      <c r="S112" s="35">
        <f t="shared" si="25"/>
        <v>1.3870933929632089E-2</v>
      </c>
      <c r="T112" s="28">
        <f t="shared" si="35"/>
        <v>2.3629776790931402E-2</v>
      </c>
      <c r="U112" s="91">
        <f>SUM(B99:B112)/POBLA!$B$25*100000</f>
        <v>44.052289721933775</v>
      </c>
      <c r="V112" s="91">
        <f>B112/POBLA!$B$25*100000</f>
        <v>3.4839012580850035</v>
      </c>
      <c r="W112" s="625">
        <f t="shared" si="33"/>
        <v>1.8650060639985073</v>
      </c>
      <c r="X112" s="28">
        <f t="shared" ref="X112:X175" si="36">H112/R112</f>
        <v>1.3870933929632089E-2</v>
      </c>
      <c r="Y112" s="202">
        <f t="shared" si="18"/>
        <v>0.24660066006600659</v>
      </c>
      <c r="Z112" s="297">
        <f t="shared" si="23"/>
        <v>1601.1428571428571</v>
      </c>
      <c r="AA112" s="179">
        <f t="shared" si="24"/>
        <v>25.285714285714285</v>
      </c>
      <c r="AB112" s="357">
        <f t="shared" si="34"/>
        <v>24.731771518820743</v>
      </c>
      <c r="AC112" s="610">
        <f t="shared" si="31"/>
        <v>-0.55394276689354172</v>
      </c>
      <c r="AD112" s="610">
        <f t="shared" si="32"/>
        <v>1427.9285714285713</v>
      </c>
      <c r="AE112" s="202">
        <f t="shared" si="30"/>
        <v>1.2761015598314926</v>
      </c>
      <c r="AF112" s="202">
        <f t="shared" si="29"/>
        <v>0.37251234834316405</v>
      </c>
      <c r="AG112" s="4"/>
      <c r="AH112" s="4"/>
      <c r="AI112" s="179">
        <f>MAX($B$2:B112)</f>
        <v>2060</v>
      </c>
      <c r="AP112" s="644">
        <f t="shared" si="17"/>
        <v>1.8650060639985073</v>
      </c>
      <c r="AT112" s="180">
        <f t="shared" si="27"/>
        <v>1.7954382798643309E-2</v>
      </c>
    </row>
    <row r="113" spans="1:46" x14ac:dyDescent="0.25">
      <c r="A113" s="2">
        <v>44004</v>
      </c>
      <c r="B113" s="127">
        <v>2146</v>
      </c>
      <c r="C113" s="129">
        <v>44931</v>
      </c>
      <c r="D113" s="126">
        <v>32</v>
      </c>
      <c r="E113" s="126">
        <f>E112+D113</f>
        <v>1043</v>
      </c>
      <c r="F113" s="126">
        <f t="shared" si="22"/>
        <v>423</v>
      </c>
      <c r="G113" s="155">
        <v>13576</v>
      </c>
      <c r="H113" s="126">
        <v>414</v>
      </c>
      <c r="I113" s="126">
        <v>7120</v>
      </c>
      <c r="J113" s="7">
        <v>292511</v>
      </c>
      <c r="K113" s="611">
        <f t="shared" si="20"/>
        <v>2.3213371614252964E-2</v>
      </c>
      <c r="L113" s="14">
        <v>196839</v>
      </c>
      <c r="M113" s="4">
        <v>197629</v>
      </c>
      <c r="N113" s="202">
        <v>1050</v>
      </c>
      <c r="O113" s="12">
        <v>16924</v>
      </c>
      <c r="P113" s="12">
        <v>18537</v>
      </c>
      <c r="Q113" s="12">
        <f t="shared" ref="Q113:Q125" si="37">C113-P113-O113-N113</f>
        <v>8420</v>
      </c>
      <c r="R113" s="96">
        <f t="shared" si="21"/>
        <v>30312</v>
      </c>
      <c r="S113" s="35">
        <f t="shared" si="25"/>
        <v>1.3657957244655582E-2</v>
      </c>
      <c r="T113" s="28">
        <f t="shared" si="35"/>
        <v>2.3213371614252964E-2</v>
      </c>
      <c r="U113" s="91">
        <f>SUM(B100:B113)/POBLA!$B$25*100000</f>
        <v>46.961049785610058</v>
      </c>
      <c r="V113" s="91">
        <f>B113/POBLA!$B$25*100000</f>
        <v>4.7289387095828062</v>
      </c>
      <c r="W113" s="625">
        <f t="shared" si="33"/>
        <v>1.9385972891840262</v>
      </c>
      <c r="X113" s="28">
        <f t="shared" si="36"/>
        <v>1.3657957244655582E-2</v>
      </c>
      <c r="Y113" s="202">
        <f t="shared" si="18"/>
        <v>0.2559639214363989</v>
      </c>
      <c r="Z113" s="297">
        <f t="shared" si="23"/>
        <v>1735.1428571428571</v>
      </c>
      <c r="AA113" s="179">
        <f t="shared" si="24"/>
        <v>26.857142857142858</v>
      </c>
      <c r="AB113" s="357">
        <f t="shared" si="34"/>
        <v>26.007408975444541</v>
      </c>
      <c r="AC113" s="610">
        <f t="shared" si="31"/>
        <v>-0.84973388169831665</v>
      </c>
      <c r="AD113" s="610">
        <f t="shared" si="32"/>
        <v>1522.2142857142858</v>
      </c>
      <c r="AE113" s="202">
        <f t="shared" si="30"/>
        <v>1.3252591380250955</v>
      </c>
      <c r="AF113" s="202">
        <f t="shared" si="29"/>
        <v>0.39256672945284143</v>
      </c>
      <c r="AG113" s="4"/>
      <c r="AH113" s="4"/>
      <c r="AI113" s="179">
        <f>MAX($B$2:B113)</f>
        <v>2146</v>
      </c>
      <c r="AP113" s="644">
        <f t="shared" si="17"/>
        <v>1.9385972891840262</v>
      </c>
      <c r="AT113" s="180">
        <f t="shared" si="27"/>
        <v>1.7778968998481193E-2</v>
      </c>
    </row>
    <row r="114" spans="1:46" x14ac:dyDescent="0.25">
      <c r="A114" s="2">
        <v>44005</v>
      </c>
      <c r="B114" s="126">
        <v>2285</v>
      </c>
      <c r="C114" s="126">
        <f>C113+B114</f>
        <v>47216</v>
      </c>
      <c r="D114" s="126">
        <v>35</v>
      </c>
      <c r="E114" s="126">
        <f>E113+D114</f>
        <v>1078</v>
      </c>
      <c r="F114" s="126">
        <f t="shared" si="22"/>
        <v>240</v>
      </c>
      <c r="G114" s="155">
        <v>13816</v>
      </c>
      <c r="H114" s="126">
        <v>433</v>
      </c>
      <c r="I114" s="126">
        <v>7832</v>
      </c>
      <c r="J114" s="12">
        <v>300343</v>
      </c>
      <c r="K114" s="611">
        <f t="shared" si="20"/>
        <v>2.2831243646221619E-2</v>
      </c>
      <c r="L114" s="31">
        <v>202380</v>
      </c>
      <c r="M114" s="12">
        <v>203192</v>
      </c>
      <c r="N114" s="202">
        <v>1052</v>
      </c>
      <c r="O114" s="12">
        <v>17655</v>
      </c>
      <c r="P114" s="12">
        <v>19603</v>
      </c>
      <c r="Q114" s="12">
        <f t="shared" si="37"/>
        <v>8906</v>
      </c>
      <c r="R114" s="96">
        <f t="shared" si="21"/>
        <v>32322</v>
      </c>
      <c r="S114" s="35">
        <f t="shared" si="25"/>
        <v>1.3396448239589135E-2</v>
      </c>
      <c r="T114" s="28">
        <f t="shared" si="35"/>
        <v>2.2831243646221619E-2</v>
      </c>
      <c r="U114" s="91">
        <f>SUM(B101:B114)/POBLA!$B$25*100000</f>
        <v>49.481975174129502</v>
      </c>
      <c r="V114" s="91">
        <f>B114/POBLA!$B$25*100000</f>
        <v>5.0352399587123546</v>
      </c>
      <c r="W114" s="625">
        <f t="shared" si="33"/>
        <v>1.9468527830761229</v>
      </c>
      <c r="X114" s="28">
        <f t="shared" si="36"/>
        <v>1.3396448239589135E-2</v>
      </c>
      <c r="Y114" s="202">
        <f t="shared" si="18"/>
        <v>0.26256837194337196</v>
      </c>
      <c r="Z114" s="297">
        <f t="shared" si="23"/>
        <v>1865.2857142857142</v>
      </c>
      <c r="AA114" s="179">
        <f t="shared" si="24"/>
        <v>28.428571428571427</v>
      </c>
      <c r="AB114" s="357">
        <f t="shared" si="34"/>
        <v>26.648554466413195</v>
      </c>
      <c r="AC114" s="610">
        <f t="shared" si="31"/>
        <v>-1.780016962158232</v>
      </c>
      <c r="AD114" s="610">
        <f t="shared" si="32"/>
        <v>1603.9285714285713</v>
      </c>
      <c r="AE114" s="202">
        <f t="shared" si="30"/>
        <v>1.3893381570546923</v>
      </c>
      <c r="AF114" s="202">
        <f t="shared" si="29"/>
        <v>0.41956168474680489</v>
      </c>
      <c r="AG114" s="4"/>
      <c r="AH114" s="4"/>
      <c r="AI114" s="179">
        <f>MAX($B$2:B114)</f>
        <v>2285</v>
      </c>
      <c r="AP114" s="644">
        <f t="shared" si="17"/>
        <v>1.9468527830761229</v>
      </c>
      <c r="AT114" s="180">
        <f t="shared" si="27"/>
        <v>1.7757035940923708E-2</v>
      </c>
    </row>
    <row r="115" spans="1:46" x14ac:dyDescent="0.25">
      <c r="A115" s="2">
        <v>44006</v>
      </c>
      <c r="B115" s="127">
        <v>2635</v>
      </c>
      <c r="C115" s="126">
        <v>49851</v>
      </c>
      <c r="D115" s="126">
        <v>38</v>
      </c>
      <c r="E115" s="126">
        <v>1116</v>
      </c>
      <c r="F115" s="126">
        <f t="shared" si="22"/>
        <v>972</v>
      </c>
      <c r="G115" s="155">
        <v>14788</v>
      </c>
      <c r="H115" s="126">
        <v>457</v>
      </c>
      <c r="I115" s="126">
        <v>9258</v>
      </c>
      <c r="J115" s="4">
        <v>309601</v>
      </c>
      <c r="K115" s="611">
        <f t="shared" si="20"/>
        <v>2.2386712402960824E-2</v>
      </c>
      <c r="L115" s="14">
        <v>207399.07199999999</v>
      </c>
      <c r="M115" s="1">
        <v>208232</v>
      </c>
      <c r="N115" s="316">
        <v>1060</v>
      </c>
      <c r="O115" s="1">
        <v>18460</v>
      </c>
      <c r="P115" s="1">
        <v>20816</v>
      </c>
      <c r="Q115" s="12">
        <f t="shared" si="37"/>
        <v>9515</v>
      </c>
      <c r="R115" s="96">
        <f t="shared" si="21"/>
        <v>33947</v>
      </c>
      <c r="S115" s="35">
        <f t="shared" si="25"/>
        <v>1.3462161604854627E-2</v>
      </c>
      <c r="T115" s="28">
        <f t="shared" si="35"/>
        <v>2.2386712402960824E-2</v>
      </c>
      <c r="U115" s="91">
        <f>SUM(B102:B115)/POBLA!$B$25*100000</f>
        <v>52.586856181493047</v>
      </c>
      <c r="V115" s="91">
        <f>B115/POBLA!$B$25*100000</f>
        <v>5.8065020968083392</v>
      </c>
      <c r="W115" s="625">
        <f t="shared" si="33"/>
        <v>1.979757756761241</v>
      </c>
      <c r="X115" s="28">
        <f t="shared" si="36"/>
        <v>1.3462161604854627E-2</v>
      </c>
      <c r="Y115" s="202">
        <f t="shared" si="18"/>
        <v>0.2723152221523929</v>
      </c>
      <c r="Z115" s="297">
        <f t="shared" si="23"/>
        <v>2042.7142857142858</v>
      </c>
      <c r="AA115" s="179">
        <f t="shared" si="24"/>
        <v>28.857142857142858</v>
      </c>
      <c r="AB115" s="357">
        <f t="shared" si="34"/>
        <v>27.147997075460808</v>
      </c>
      <c r="AC115" s="610">
        <f t="shared" si="31"/>
        <v>-1.7091457816820501</v>
      </c>
      <c r="AD115" s="610">
        <f t="shared" si="32"/>
        <v>1704.5714285714287</v>
      </c>
      <c r="AE115" s="202">
        <f t="shared" si="30"/>
        <v>1.4949294302143232</v>
      </c>
      <c r="AF115" s="202">
        <f t="shared" si="29"/>
        <v>0.41930763441759344</v>
      </c>
      <c r="AG115" s="4"/>
      <c r="AH115" s="4"/>
      <c r="AI115" s="179">
        <f>MAX($B$2:B115)</f>
        <v>2635</v>
      </c>
      <c r="AP115" s="644">
        <f t="shared" si="17"/>
        <v>1.979757756761241</v>
      </c>
      <c r="AT115" s="180">
        <f t="shared" si="27"/>
        <v>1.7381259402535997E-2</v>
      </c>
    </row>
    <row r="116" spans="1:46" x14ac:dyDescent="0.25">
      <c r="A116" s="2">
        <v>44007</v>
      </c>
      <c r="B116" s="126">
        <v>2606</v>
      </c>
      <c r="C116" s="129">
        <v>52457</v>
      </c>
      <c r="D116" s="126">
        <v>34</v>
      </c>
      <c r="E116" s="126">
        <v>1150</v>
      </c>
      <c r="F116" s="126">
        <f t="shared" si="22"/>
        <v>3628</v>
      </c>
      <c r="G116" s="155">
        <v>18416</v>
      </c>
      <c r="H116" s="126">
        <v>472</v>
      </c>
      <c r="I116" s="126">
        <v>9120</v>
      </c>
      <c r="J116" s="4">
        <v>318721</v>
      </c>
      <c r="K116" s="611">
        <f t="shared" si="20"/>
        <v>2.1922717654459842E-2</v>
      </c>
      <c r="L116" s="7">
        <v>212323</v>
      </c>
      <c r="M116" s="4">
        <v>213175</v>
      </c>
      <c r="N116" s="202">
        <v>1061</v>
      </c>
      <c r="O116" s="4">
        <v>19202</v>
      </c>
      <c r="P116" s="4">
        <v>22078</v>
      </c>
      <c r="Q116" s="12">
        <f t="shared" si="37"/>
        <v>10116</v>
      </c>
      <c r="R116" s="96">
        <f t="shared" si="21"/>
        <v>32891</v>
      </c>
      <c r="S116" s="35">
        <f t="shared" si="25"/>
        <v>1.4350430208871728E-2</v>
      </c>
      <c r="T116" s="28">
        <f t="shared" si="35"/>
        <v>2.1922717654459842E-2</v>
      </c>
      <c r="U116" s="91">
        <f>SUM(B103:B116)/POBLA!$B$25*100000</f>
        <v>55.275255634284768</v>
      </c>
      <c r="V116" s="91">
        <f>B116/POBLA!$B$25*100000</f>
        <v>5.742597519651814</v>
      </c>
      <c r="W116" s="625">
        <f t="shared" si="33"/>
        <v>1.9796385447083893</v>
      </c>
      <c r="X116" s="28">
        <f t="shared" si="36"/>
        <v>1.4350430208871728E-2</v>
      </c>
      <c r="Y116" s="202">
        <f t="shared" si="18"/>
        <v>0.27619786758319936</v>
      </c>
      <c r="Z116" s="297">
        <f t="shared" si="23"/>
        <v>2135.2857142857142</v>
      </c>
      <c r="AA116" s="179">
        <f t="shared" si="24"/>
        <v>28.714285714285715</v>
      </c>
      <c r="AB116" s="357">
        <f t="shared" si="34"/>
        <v>28.649920933558093</v>
      </c>
      <c r="AC116" s="610">
        <f t="shared" si="31"/>
        <v>-6.4364780727622417E-2</v>
      </c>
      <c r="AD116" s="610">
        <f t="shared" si="32"/>
        <v>1791.7142857142858</v>
      </c>
      <c r="AE116" s="202">
        <f t="shared" si="30"/>
        <v>1.4744993587846502</v>
      </c>
      <c r="AF116" s="202">
        <f t="shared" si="29"/>
        <v>0.33102666828537908</v>
      </c>
      <c r="AG116" s="4"/>
      <c r="AH116" s="4"/>
      <c r="AI116" s="179">
        <f>MAX($B$2:B116)</f>
        <v>2635</v>
      </c>
      <c r="AP116" s="644">
        <f t="shared" si="17"/>
        <v>1.9796385447083893</v>
      </c>
      <c r="AT116" s="180">
        <f t="shared" si="27"/>
        <v>1.6772877899566659E-2</v>
      </c>
    </row>
    <row r="117" spans="1:46" x14ac:dyDescent="0.25">
      <c r="A117" s="2">
        <v>44008</v>
      </c>
      <c r="B117" s="127">
        <v>2886</v>
      </c>
      <c r="C117" s="126">
        <v>55343</v>
      </c>
      <c r="D117" s="129">
        <v>34</v>
      </c>
      <c r="E117" s="129">
        <v>1184</v>
      </c>
      <c r="F117" s="126">
        <f t="shared" si="22"/>
        <v>727</v>
      </c>
      <c r="G117" s="155">
        <v>19143</v>
      </c>
      <c r="H117" s="126">
        <v>507</v>
      </c>
      <c r="I117" s="126">
        <v>10315</v>
      </c>
      <c r="J117" s="4">
        <v>329036</v>
      </c>
      <c r="K117" s="611">
        <f t="shared" si="20"/>
        <v>2.1393852881123176E-2</v>
      </c>
      <c r="L117" s="7">
        <v>217766</v>
      </c>
      <c r="M117" s="4">
        <v>218640</v>
      </c>
      <c r="N117" s="202">
        <v>1061</v>
      </c>
      <c r="O117" s="4">
        <v>20095</v>
      </c>
      <c r="P117" s="4">
        <v>23464</v>
      </c>
      <c r="Q117" s="12">
        <f t="shared" si="37"/>
        <v>10723</v>
      </c>
      <c r="R117" s="96">
        <f t="shared" si="21"/>
        <v>35016</v>
      </c>
      <c r="S117" s="35">
        <f t="shared" si="25"/>
        <v>1.4479095270733379E-2</v>
      </c>
      <c r="T117" s="28">
        <f t="shared" si="35"/>
        <v>2.1393852881123176E-2</v>
      </c>
      <c r="U117" s="91">
        <f>SUM(B104:B117)/POBLA!$B$25*100000</f>
        <v>58.569646767009047</v>
      </c>
      <c r="V117" s="91">
        <f>B117/POBLA!$B$25*100000</f>
        <v>6.359607230128602</v>
      </c>
      <c r="W117" s="625">
        <f t="shared" si="33"/>
        <v>1.991682278006744</v>
      </c>
      <c r="X117" s="28">
        <f t="shared" si="36"/>
        <v>1.4479095270733379E-2</v>
      </c>
      <c r="Y117" s="202">
        <f t="shared" si="18"/>
        <v>0.28263479491820021</v>
      </c>
      <c r="Z117" s="297">
        <f t="shared" si="23"/>
        <v>2253.2857142857142</v>
      </c>
      <c r="AA117" s="179">
        <f t="shared" si="24"/>
        <v>29.142857142857142</v>
      </c>
      <c r="AB117" s="357">
        <f t="shared" si="34"/>
        <v>30.1254296044659</v>
      </c>
      <c r="AC117" s="610">
        <f t="shared" si="31"/>
        <v>0.98257246160875766</v>
      </c>
      <c r="AD117" s="610">
        <f t="shared" si="32"/>
        <v>1898.5</v>
      </c>
      <c r="AE117" s="202">
        <f t="shared" si="30"/>
        <v>1.4596520451600961</v>
      </c>
      <c r="AF117" s="202">
        <f t="shared" si="29"/>
        <v>0.32711768050028422</v>
      </c>
      <c r="AG117" s="4"/>
      <c r="AH117" s="4"/>
      <c r="AI117" s="179">
        <f>MAX($B$2:B117)</f>
        <v>2886</v>
      </c>
      <c r="AP117" s="644">
        <f t="shared" ref="AP117:AP180" si="38">SUM(B104:B117)/SUM(B90:B103)</f>
        <v>1.991682278006744</v>
      </c>
      <c r="AT117" s="180">
        <f t="shared" si="27"/>
        <v>1.6469451823231104E-2</v>
      </c>
    </row>
    <row r="118" spans="1:46" x14ac:dyDescent="0.25">
      <c r="A118" s="2">
        <v>44009</v>
      </c>
      <c r="B118" s="129">
        <v>2401</v>
      </c>
      <c r="C118" s="126">
        <v>57744</v>
      </c>
      <c r="D118" s="126">
        <v>23</v>
      </c>
      <c r="E118" s="129">
        <v>1207</v>
      </c>
      <c r="F118" s="126">
        <f t="shared" si="22"/>
        <v>991</v>
      </c>
      <c r="G118" s="155">
        <v>20134</v>
      </c>
      <c r="H118" s="126">
        <v>542</v>
      </c>
      <c r="I118" s="126">
        <v>7915</v>
      </c>
      <c r="J118" s="4">
        <v>336951</v>
      </c>
      <c r="K118" s="611">
        <f t="shared" si="20"/>
        <v>2.090260459961208E-2</v>
      </c>
      <c r="L118" s="7">
        <v>222328.11600000001</v>
      </c>
      <c r="M118" s="4">
        <v>223221</v>
      </c>
      <c r="N118" s="202">
        <v>1062</v>
      </c>
      <c r="O118" s="4">
        <v>20807</v>
      </c>
      <c r="P118" s="4">
        <v>24743</v>
      </c>
      <c r="Q118" s="12">
        <f t="shared" si="37"/>
        <v>11132</v>
      </c>
      <c r="R118" s="96">
        <f t="shared" si="21"/>
        <v>36403</v>
      </c>
      <c r="S118" s="35">
        <f t="shared" si="25"/>
        <v>1.4888882784385903E-2</v>
      </c>
      <c r="T118" s="28">
        <f t="shared" si="35"/>
        <v>2.090260459961208E-2</v>
      </c>
      <c r="U118" s="91">
        <f>SUM(B105:B118)/POBLA!$B$25*100000</f>
        <v>60.486784081704776</v>
      </c>
      <c r="V118" s="91">
        <f>B118/POBLA!$B$25*100000</f>
        <v>5.2908582673384519</v>
      </c>
      <c r="W118" s="625">
        <f t="shared" si="33"/>
        <v>1.9493643917335417</v>
      </c>
      <c r="X118" s="28">
        <f t="shared" si="36"/>
        <v>1.4888882784385903E-2</v>
      </c>
      <c r="Y118" s="202">
        <f t="shared" si="18"/>
        <v>0.28876202447668431</v>
      </c>
      <c r="Z118" s="297">
        <f t="shared" si="23"/>
        <v>2362.8571428571427</v>
      </c>
      <c r="AA118" s="179">
        <f t="shared" si="24"/>
        <v>30.714285714285715</v>
      </c>
      <c r="AB118" s="357">
        <f t="shared" si="34"/>
        <v>31.802159715181663</v>
      </c>
      <c r="AC118" s="610">
        <f t="shared" si="31"/>
        <v>1.0878740008959475</v>
      </c>
      <c r="AD118" s="610">
        <f t="shared" si="32"/>
        <v>1960.6428571428571</v>
      </c>
      <c r="AE118" s="202">
        <f t="shared" si="30"/>
        <v>1.5161793014941791</v>
      </c>
      <c r="AF118" s="202">
        <f t="shared" si="29"/>
        <v>0.32446789157722389</v>
      </c>
      <c r="AG118" s="4"/>
      <c r="AH118" s="4"/>
      <c r="AI118" s="179">
        <f>MAX($B$2:B118)</f>
        <v>2886</v>
      </c>
      <c r="AP118" s="644">
        <f t="shared" si="38"/>
        <v>1.9493643917335417</v>
      </c>
      <c r="AT118" s="180">
        <f t="shared" si="27"/>
        <v>1.6193485432833048E-2</v>
      </c>
    </row>
    <row r="119" spans="1:46" x14ac:dyDescent="0.25">
      <c r="A119" s="2">
        <v>44010</v>
      </c>
      <c r="B119" s="127">
        <v>2189</v>
      </c>
      <c r="C119" s="126">
        <f>C118+B119</f>
        <v>59933</v>
      </c>
      <c r="D119" s="126">
        <v>26</v>
      </c>
      <c r="E119" s="126">
        <f>E118+D119</f>
        <v>1233</v>
      </c>
      <c r="F119" s="126">
        <f t="shared" si="22"/>
        <v>1004</v>
      </c>
      <c r="G119" s="155">
        <v>21138</v>
      </c>
      <c r="H119" s="126">
        <v>535</v>
      </c>
      <c r="I119" s="126">
        <v>7458</v>
      </c>
      <c r="J119" s="4">
        <v>344409</v>
      </c>
      <c r="K119" s="611">
        <f t="shared" si="20"/>
        <v>2.057297315335458E-2</v>
      </c>
      <c r="L119" s="7">
        <v>226138</v>
      </c>
      <c r="M119" s="4">
        <v>227046</v>
      </c>
      <c r="N119" s="202">
        <v>1063</v>
      </c>
      <c r="O119" s="4">
        <v>21599</v>
      </c>
      <c r="P119" s="4">
        <v>25600</v>
      </c>
      <c r="Q119" s="12">
        <f t="shared" si="37"/>
        <v>11671</v>
      </c>
      <c r="R119" s="96">
        <f t="shared" si="21"/>
        <v>37562</v>
      </c>
      <c r="S119" s="35">
        <f t="shared" si="25"/>
        <v>1.4243118044832543E-2</v>
      </c>
      <c r="T119" s="28">
        <f t="shared" si="35"/>
        <v>2.057297315335458E-2</v>
      </c>
      <c r="U119" s="91">
        <f>SUM(B106:B119)/POBLA!$B$25*100000</f>
        <v>62.485454822427805</v>
      </c>
      <c r="V119" s="91">
        <f>B119/POBLA!$B$25*100000</f>
        <v>4.8236937722631703</v>
      </c>
      <c r="W119" s="625">
        <f t="shared" si="33"/>
        <v>1.9255738150210513</v>
      </c>
      <c r="X119" s="28">
        <f t="shared" si="36"/>
        <v>1.4243118044832543E-2</v>
      </c>
      <c r="Y119" s="202">
        <f t="shared" si="18"/>
        <v>0.29055542376901961</v>
      </c>
      <c r="Z119" s="297">
        <f t="shared" si="23"/>
        <v>2449.7142857142858</v>
      </c>
      <c r="AA119" s="179">
        <f t="shared" si="24"/>
        <v>31.714285714285715</v>
      </c>
      <c r="AB119" s="357">
        <f t="shared" si="34"/>
        <v>33.099312790955445</v>
      </c>
      <c r="AC119" s="610">
        <f t="shared" si="31"/>
        <v>1.3850270766697292</v>
      </c>
      <c r="AD119" s="610">
        <f t="shared" si="32"/>
        <v>2025.4285714285713</v>
      </c>
      <c r="AE119" s="202">
        <f t="shared" si="30"/>
        <v>1.5299785867237687</v>
      </c>
      <c r="AF119" s="202">
        <f t="shared" si="29"/>
        <v>0.31239299814821275</v>
      </c>
      <c r="AG119" s="4"/>
      <c r="AH119" s="4"/>
      <c r="AI119" s="179">
        <f>MAX($B$2:B119)</f>
        <v>2886</v>
      </c>
      <c r="AP119" s="644">
        <f t="shared" si="38"/>
        <v>1.9255738150210513</v>
      </c>
      <c r="AT119" s="180">
        <f t="shared" si="27"/>
        <v>1.597250303275374E-2</v>
      </c>
    </row>
    <row r="120" spans="1:46" x14ac:dyDescent="0.25">
      <c r="A120" s="36">
        <v>44011</v>
      </c>
      <c r="B120" s="129">
        <v>2335</v>
      </c>
      <c r="C120" s="126">
        <f>C119+B120</f>
        <v>62268</v>
      </c>
      <c r="D120" s="126">
        <v>48</v>
      </c>
      <c r="E120" s="126">
        <f>E119+D120</f>
        <v>1281</v>
      </c>
      <c r="F120" s="126">
        <f t="shared" si="22"/>
        <v>890</v>
      </c>
      <c r="G120" s="155">
        <v>22028</v>
      </c>
      <c r="H120" s="126">
        <v>555</v>
      </c>
      <c r="I120" s="126">
        <v>7933</v>
      </c>
      <c r="J120" s="4">
        <v>350402</v>
      </c>
      <c r="K120" s="611">
        <f t="shared" si="20"/>
        <v>2.0572364617460013E-2</v>
      </c>
      <c r="L120" s="7">
        <f>M120-K120</f>
        <v>232015.97942763538</v>
      </c>
      <c r="M120" s="4">
        <v>232016</v>
      </c>
      <c r="N120" s="202">
        <v>1064</v>
      </c>
      <c r="O120" s="4">
        <v>22481</v>
      </c>
      <c r="P120" s="4">
        <v>27136</v>
      </c>
      <c r="Q120" s="12">
        <f t="shared" si="37"/>
        <v>11587</v>
      </c>
      <c r="R120" s="96">
        <f t="shared" si="21"/>
        <v>38959</v>
      </c>
      <c r="S120" s="35">
        <f t="shared" si="25"/>
        <v>1.4245745527349264E-2</v>
      </c>
      <c r="T120" s="28">
        <f t="shared" si="35"/>
        <v>2.0572364617460013E-2</v>
      </c>
      <c r="U120" s="91">
        <f>SUM(B107:B120)/POBLA!$B$25*100000</f>
        <v>64.968918907096864</v>
      </c>
      <c r="V120" s="91">
        <f>B120/POBLA!$B$25*100000</f>
        <v>5.1454202641546374</v>
      </c>
      <c r="W120" s="625">
        <f t="shared" si="33"/>
        <v>1.918217306441119</v>
      </c>
      <c r="X120" s="28">
        <f t="shared" si="36"/>
        <v>1.4245745527349264E-2</v>
      </c>
      <c r="Y120" s="202">
        <f t="shared" si="18"/>
        <v>0.28976617472547678</v>
      </c>
      <c r="Z120" s="297">
        <f t="shared" si="23"/>
        <v>2476.7142857142858</v>
      </c>
      <c r="AA120" s="179">
        <f t="shared" si="24"/>
        <v>34</v>
      </c>
      <c r="AB120" s="357">
        <f t="shared" si="34"/>
        <v>34.104926033246912</v>
      </c>
      <c r="AC120" s="610">
        <f t="shared" si="31"/>
        <v>0.10492603324691174</v>
      </c>
      <c r="AD120" s="610">
        <f t="shared" si="32"/>
        <v>2105.9285714285716</v>
      </c>
      <c r="AE120" s="202">
        <f t="shared" si="30"/>
        <v>1.4273835007409847</v>
      </c>
      <c r="AF120" s="202">
        <f t="shared" si="29"/>
        <v>0.28526656109791504</v>
      </c>
      <c r="AG120" s="4"/>
      <c r="AH120" s="4"/>
      <c r="AI120" s="179">
        <f>MAX($B$2:B120)</f>
        <v>2886</v>
      </c>
      <c r="AP120" s="644">
        <f t="shared" si="38"/>
        <v>1.918217306441119</v>
      </c>
      <c r="AT120" s="180">
        <f t="shared" si="27"/>
        <v>1.6306944022234766E-2</v>
      </c>
    </row>
    <row r="121" spans="1:46" x14ac:dyDescent="0.25">
      <c r="A121" s="2">
        <v>44012</v>
      </c>
      <c r="B121" s="126">
        <v>2262</v>
      </c>
      <c r="C121" s="126">
        <v>64530</v>
      </c>
      <c r="D121" s="126">
        <v>27</v>
      </c>
      <c r="E121" s="126">
        <v>1307</v>
      </c>
      <c r="F121" s="126">
        <f t="shared" si="22"/>
        <v>1012</v>
      </c>
      <c r="G121" s="155">
        <v>23040</v>
      </c>
      <c r="H121" s="126">
        <v>576</v>
      </c>
      <c r="I121" s="126">
        <v>10506</v>
      </c>
      <c r="J121" s="4">
        <v>362908</v>
      </c>
      <c r="K121" s="611">
        <f t="shared" si="20"/>
        <v>2.0254145358747869E-2</v>
      </c>
      <c r="L121" s="7">
        <f>M121-K121</f>
        <v>236562.97974585465</v>
      </c>
      <c r="M121" s="4">
        <v>236563</v>
      </c>
      <c r="N121" s="202">
        <v>1065</v>
      </c>
      <c r="O121" s="4">
        <v>23565</v>
      </c>
      <c r="P121" s="12">
        <v>28732</v>
      </c>
      <c r="Q121" s="12">
        <f t="shared" si="37"/>
        <v>11168</v>
      </c>
      <c r="R121" s="96">
        <f t="shared" si="21"/>
        <v>40183</v>
      </c>
      <c r="S121" s="35">
        <f t="shared" si="25"/>
        <v>1.4334420028370206E-2</v>
      </c>
      <c r="T121" s="28">
        <f t="shared" si="35"/>
        <v>2.0254145358747869E-2</v>
      </c>
      <c r="U121" s="91">
        <f>SUM(B108:B121)/POBLA!$B$25*100000</f>
        <v>66.925721131751814</v>
      </c>
      <c r="V121" s="91">
        <f>B121/POBLA!$B$25*100000</f>
        <v>4.9845570182089034</v>
      </c>
      <c r="W121" s="625">
        <f t="shared" si="33"/>
        <v>1.9173611111111111</v>
      </c>
      <c r="X121" s="28">
        <f t="shared" si="36"/>
        <v>1.4334420028370206E-2</v>
      </c>
      <c r="Y121" s="202">
        <f t="shared" si="18"/>
        <v>0.27700183985281179</v>
      </c>
      <c r="Z121" s="297">
        <f t="shared" si="23"/>
        <v>2473.4285714285716</v>
      </c>
      <c r="AA121" s="179">
        <f t="shared" si="24"/>
        <v>32.857142857142854</v>
      </c>
      <c r="AB121" s="357">
        <f t="shared" si="34"/>
        <v>34.508554532794122</v>
      </c>
      <c r="AC121" s="610">
        <f t="shared" si="31"/>
        <v>1.6514116756512678</v>
      </c>
      <c r="AD121" s="610">
        <f t="shared" si="32"/>
        <v>2169.3571428571427</v>
      </c>
      <c r="AE121" s="202">
        <f t="shared" si="30"/>
        <v>1.32603201347936</v>
      </c>
      <c r="AF121" s="202">
        <f t="shared" si="29"/>
        <v>0.24320895984159385</v>
      </c>
      <c r="AG121" s="4"/>
      <c r="AH121" s="4"/>
      <c r="AI121" s="179">
        <f>MAX($B$2:B121)</f>
        <v>2886</v>
      </c>
      <c r="AP121" s="644">
        <f t="shared" si="38"/>
        <v>1.9173611111111111</v>
      </c>
      <c r="AT121" s="180">
        <f t="shared" si="27"/>
        <v>1.6086746785796684E-2</v>
      </c>
    </row>
    <row r="122" spans="1:46" x14ac:dyDescent="0.25">
      <c r="A122" s="2">
        <v>44013</v>
      </c>
      <c r="B122" s="129">
        <v>2667</v>
      </c>
      <c r="C122" s="126">
        <f>C121+B122</f>
        <v>67197</v>
      </c>
      <c r="D122" s="126">
        <v>44</v>
      </c>
      <c r="E122" s="126">
        <f>E121+D122</f>
        <v>1351</v>
      </c>
      <c r="F122" s="126">
        <f t="shared" si="22"/>
        <v>1146</v>
      </c>
      <c r="G122" s="155">
        <v>24186</v>
      </c>
      <c r="H122" s="126">
        <v>594</v>
      </c>
      <c r="I122" s="126">
        <v>9200</v>
      </c>
      <c r="J122" s="4">
        <v>372108</v>
      </c>
      <c r="K122" s="611">
        <f t="shared" si="20"/>
        <v>2.0105064214176228E-2</v>
      </c>
      <c r="L122" s="7">
        <v>240610</v>
      </c>
      <c r="M122" s="4">
        <v>246576</v>
      </c>
      <c r="N122" s="202">
        <v>1066</v>
      </c>
      <c r="O122" s="4">
        <v>24124</v>
      </c>
      <c r="P122" s="4">
        <v>30493</v>
      </c>
      <c r="Q122" s="12">
        <f t="shared" si="37"/>
        <v>11514</v>
      </c>
      <c r="R122" s="96">
        <f t="shared" si="21"/>
        <v>41660</v>
      </c>
      <c r="S122" s="35">
        <f t="shared" si="25"/>
        <v>1.4258281325012001E-2</v>
      </c>
      <c r="T122" s="28">
        <f t="shared" si="35"/>
        <v>2.0105064214176228E-2</v>
      </c>
      <c r="U122" s="91">
        <f>SUM(B109:B122)/POBLA!$B$25*100000</f>
        <v>69.733115314421212</v>
      </c>
      <c r="V122" s="91">
        <f>B122/POBLA!$B$25*100000</f>
        <v>5.8770174922914009</v>
      </c>
      <c r="W122" s="625">
        <f t="shared" si="33"/>
        <v>1.9433185949398182</v>
      </c>
      <c r="X122" s="28">
        <f t="shared" si="36"/>
        <v>1.4258281325012001E-2</v>
      </c>
      <c r="Y122" s="202">
        <f t="shared" ref="Y122:Y185" si="39">SUM(B116:B122)/SUM(I116:I122)</f>
        <v>0.27777155027463291</v>
      </c>
      <c r="Z122" s="297">
        <f t="shared" si="23"/>
        <v>2478</v>
      </c>
      <c r="AA122" s="179">
        <f t="shared" si="24"/>
        <v>33.714285714285715</v>
      </c>
      <c r="AB122" s="357">
        <f t="shared" si="34"/>
        <v>35.090832743988678</v>
      </c>
      <c r="AC122" s="610">
        <f t="shared" si="31"/>
        <v>1.3765470297029623</v>
      </c>
      <c r="AD122" s="610">
        <f t="shared" si="32"/>
        <v>2260.3571428571427</v>
      </c>
      <c r="AE122" s="202">
        <f t="shared" si="30"/>
        <v>1.213091824603119</v>
      </c>
      <c r="AF122" s="202">
        <f t="shared" si="29"/>
        <v>0.22720711697646334</v>
      </c>
      <c r="AG122" s="4"/>
      <c r="AH122" s="4"/>
      <c r="AI122" s="179">
        <f>MAX($B$2:B122)</f>
        <v>2886</v>
      </c>
      <c r="AP122" s="644">
        <f t="shared" si="38"/>
        <v>1.9433185949398182</v>
      </c>
      <c r="AT122" s="180">
        <f t="shared" si="27"/>
        <v>1.5949539994375476E-2</v>
      </c>
    </row>
    <row r="123" spans="1:46" x14ac:dyDescent="0.25">
      <c r="A123" s="2">
        <v>44014</v>
      </c>
      <c r="B123" s="129">
        <v>2744</v>
      </c>
      <c r="C123" s="126">
        <f>C122+B123</f>
        <v>69941</v>
      </c>
      <c r="D123" s="126">
        <v>34</v>
      </c>
      <c r="E123" s="126">
        <f>D123+E122</f>
        <v>1385</v>
      </c>
      <c r="F123" s="126">
        <f t="shared" si="22"/>
        <v>1038</v>
      </c>
      <c r="G123" s="155">
        <v>25224</v>
      </c>
      <c r="H123" s="126">
        <v>620</v>
      </c>
      <c r="I123" s="126">
        <v>9323</v>
      </c>
      <c r="J123" s="4">
        <v>381431</v>
      </c>
      <c r="K123" s="611">
        <f t="shared" si="20"/>
        <v>1.9802404884116612E-2</v>
      </c>
      <c r="L123" s="7">
        <f>M123*0.997</f>
        <v>245114.44399999999</v>
      </c>
      <c r="M123" s="4">
        <v>245852</v>
      </c>
      <c r="N123" s="202">
        <v>1067</v>
      </c>
      <c r="O123" s="4">
        <v>24969</v>
      </c>
      <c r="P123" s="4">
        <v>32144</v>
      </c>
      <c r="Q123" s="12">
        <f t="shared" si="37"/>
        <v>11761</v>
      </c>
      <c r="R123" s="96">
        <f t="shared" si="21"/>
        <v>43332</v>
      </c>
      <c r="S123" s="35">
        <f t="shared" si="25"/>
        <v>1.4308132557924859E-2</v>
      </c>
      <c r="T123" s="28">
        <f t="shared" si="35"/>
        <v>1.9802404884116612E-2</v>
      </c>
      <c r="U123" s="91">
        <f>SUM(B110:B123)/POBLA!$B$25*100000</f>
        <v>71.465149715973894</v>
      </c>
      <c r="V123" s="91">
        <f>B123/POBLA!$B$25*100000</f>
        <v>6.0466951626725169</v>
      </c>
      <c r="W123" s="625">
        <f t="shared" si="33"/>
        <v>1.873216658002657</v>
      </c>
      <c r="X123" s="28">
        <f t="shared" si="36"/>
        <v>1.4308132557924859E-2</v>
      </c>
      <c r="Y123" s="202">
        <f t="shared" si="39"/>
        <v>0.27907422186751796</v>
      </c>
      <c r="Z123" s="297">
        <f t="shared" si="23"/>
        <v>2497.7142857142858</v>
      </c>
      <c r="AA123" s="179">
        <f t="shared" si="24"/>
        <v>33.714285714285715</v>
      </c>
      <c r="AB123" s="357">
        <f t="shared" si="34"/>
        <v>36.599291617473433</v>
      </c>
      <c r="AC123" s="610">
        <f t="shared" si="31"/>
        <v>2.885005903187718</v>
      </c>
      <c r="AD123" s="610">
        <f t="shared" si="32"/>
        <v>2316.5</v>
      </c>
      <c r="AE123" s="202">
        <f t="shared" si="30"/>
        <v>1.1697330568006958</v>
      </c>
      <c r="AF123" s="202">
        <f t="shared" si="29"/>
        <v>0.31744246146362221</v>
      </c>
      <c r="AG123" s="4"/>
      <c r="AH123" s="4"/>
      <c r="AI123" s="179">
        <f>MAX($B$2:B123)</f>
        <v>2886</v>
      </c>
      <c r="AP123" s="644">
        <f t="shared" si="38"/>
        <v>1.873216658002657</v>
      </c>
      <c r="AT123" s="180">
        <f t="shared" si="27"/>
        <v>1.5787842392778272E-2</v>
      </c>
    </row>
    <row r="124" spans="1:46" ht="16.5" customHeight="1" x14ac:dyDescent="0.25">
      <c r="A124" s="2">
        <v>44015</v>
      </c>
      <c r="B124" s="127">
        <v>2845</v>
      </c>
      <c r="C124" s="124">
        <f>C123+B124</f>
        <v>72786</v>
      </c>
      <c r="D124" s="124">
        <v>52</v>
      </c>
      <c r="E124" s="124">
        <f>E123+D124</f>
        <v>1437</v>
      </c>
      <c r="F124" s="126">
        <f t="shared" si="22"/>
        <v>706</v>
      </c>
      <c r="G124" s="155">
        <v>25930</v>
      </c>
      <c r="H124" s="124">
        <v>637</v>
      </c>
      <c r="I124" s="126">
        <v>8951</v>
      </c>
      <c r="J124" s="4">
        <v>390382</v>
      </c>
      <c r="K124" s="611">
        <f t="shared" si="20"/>
        <v>1.9742807682796144E-2</v>
      </c>
      <c r="L124" s="7">
        <v>249794</v>
      </c>
      <c r="M124" s="4">
        <f>L124+K124</f>
        <v>249794.01974280769</v>
      </c>
      <c r="N124" s="202">
        <v>1068</v>
      </c>
      <c r="O124" s="4">
        <v>25848</v>
      </c>
      <c r="P124" s="4">
        <v>33867</v>
      </c>
      <c r="Q124" s="12">
        <f t="shared" si="37"/>
        <v>12003</v>
      </c>
      <c r="R124" s="96">
        <f t="shared" si="21"/>
        <v>45419</v>
      </c>
      <c r="S124" s="35">
        <f t="shared" si="25"/>
        <v>1.4024967524604241E-2</v>
      </c>
      <c r="T124" s="28">
        <f t="shared" si="35"/>
        <v>1.9742807682796144E-2</v>
      </c>
      <c r="U124" s="91">
        <f>SUM(B111:B124)/POBLA!$B$25*100000</f>
        <v>73.194980511417754</v>
      </c>
      <c r="V124" s="91">
        <f>B124/POBLA!$B$25*100000</f>
        <v>6.2692593796659288</v>
      </c>
      <c r="W124" s="625">
        <f t="shared" si="33"/>
        <v>1.792262450763503</v>
      </c>
      <c r="X124" s="28">
        <f t="shared" si="36"/>
        <v>1.4024967524604241E-2</v>
      </c>
      <c r="Y124" s="202">
        <f t="shared" si="39"/>
        <v>0.28461638873478445</v>
      </c>
      <c r="Z124" s="297">
        <f t="shared" si="23"/>
        <v>2491.8571428571427</v>
      </c>
      <c r="AA124" s="179">
        <f t="shared" si="24"/>
        <v>36.285714285714285</v>
      </c>
      <c r="AB124" s="357">
        <f t="shared" si="34"/>
        <v>38.192981696090115</v>
      </c>
      <c r="AC124" s="610">
        <f t="shared" si="31"/>
        <v>1.9072674103758303</v>
      </c>
      <c r="AD124" s="610">
        <f t="shared" si="32"/>
        <v>2372.5714285714284</v>
      </c>
      <c r="AE124" s="202">
        <f t="shared" si="30"/>
        <v>1.1058771318075191</v>
      </c>
      <c r="AF124" s="202">
        <f t="shared" si="29"/>
        <v>0.2970927575965272</v>
      </c>
      <c r="AG124" s="4"/>
      <c r="AH124" s="4"/>
      <c r="AI124" s="179">
        <f>MAX($B$2:B124)</f>
        <v>2886</v>
      </c>
      <c r="AP124" s="644">
        <f t="shared" si="38"/>
        <v>1.792262450763503</v>
      </c>
      <c r="AT124" s="180">
        <f t="shared" si="27"/>
        <v>1.5938562726559288E-2</v>
      </c>
    </row>
    <row r="125" spans="1:46" x14ac:dyDescent="0.25">
      <c r="A125" s="2">
        <v>44016</v>
      </c>
      <c r="B125" s="127">
        <v>2590</v>
      </c>
      <c r="C125" s="124">
        <f>C124+B125</f>
        <v>75376</v>
      </c>
      <c r="D125" s="124">
        <v>44</v>
      </c>
      <c r="E125" s="124">
        <f>E124+D125</f>
        <v>1481</v>
      </c>
      <c r="F125" s="126">
        <f t="shared" si="22"/>
        <v>1667</v>
      </c>
      <c r="G125" s="155">
        <v>27597</v>
      </c>
      <c r="H125" s="124">
        <v>658</v>
      </c>
      <c r="I125" s="126">
        <v>9072</v>
      </c>
      <c r="J125" s="4">
        <v>399454</v>
      </c>
      <c r="K125" s="611">
        <f t="shared" si="20"/>
        <v>1.9648163871789429E-2</v>
      </c>
      <c r="L125" s="7">
        <v>254498</v>
      </c>
      <c r="M125" s="4">
        <v>255263</v>
      </c>
      <c r="N125" s="202">
        <v>1069</v>
      </c>
      <c r="O125" s="4">
        <v>26548</v>
      </c>
      <c r="P125" s="4">
        <v>35186</v>
      </c>
      <c r="Q125" s="12">
        <f t="shared" si="37"/>
        <v>12573</v>
      </c>
      <c r="R125" s="96">
        <f t="shared" si="21"/>
        <v>46298</v>
      </c>
      <c r="S125" s="35">
        <f t="shared" si="25"/>
        <v>1.4212276988206833E-2</v>
      </c>
      <c r="T125" s="28">
        <f t="shared" si="35"/>
        <v>1.9648163871789429E-2</v>
      </c>
      <c r="U125" s="91">
        <f>SUM(B112:B125)/POBLA!$B$25*100000</f>
        <v>75.301627951474217</v>
      </c>
      <c r="V125" s="91">
        <f>B125/POBLA!$B$25*100000</f>
        <v>5.7073398219102831</v>
      </c>
      <c r="W125" s="625">
        <f t="shared" si="33"/>
        <v>1.7812760633861551</v>
      </c>
      <c r="X125" s="28">
        <f t="shared" si="36"/>
        <v>1.4212276988206833E-2</v>
      </c>
      <c r="Y125" s="202">
        <f t="shared" si="39"/>
        <v>0.28236952100315488</v>
      </c>
      <c r="Z125" s="297">
        <f t="shared" si="23"/>
        <v>2518.8571428571427</v>
      </c>
      <c r="AA125" s="179">
        <f t="shared" si="24"/>
        <v>39.285714285714285</v>
      </c>
      <c r="AB125" s="357">
        <f t="shared" si="34"/>
        <v>37.481863758026265</v>
      </c>
      <c r="AC125" s="610">
        <f t="shared" si="31"/>
        <v>-1.8038505276880201</v>
      </c>
      <c r="AD125" s="610">
        <f t="shared" si="32"/>
        <v>2440.8571428571427</v>
      </c>
      <c r="AE125" s="202">
        <f t="shared" si="30"/>
        <v>1.0660217654171704</v>
      </c>
      <c r="AF125" s="202">
        <f t="shared" si="29"/>
        <v>0.27181825673708215</v>
      </c>
      <c r="AG125" s="4"/>
      <c r="AH125" s="4"/>
      <c r="AI125" s="179">
        <f>MAX($B$2:B125)</f>
        <v>2886</v>
      </c>
      <c r="AP125" s="644">
        <f t="shared" si="38"/>
        <v>1.7812760633861551</v>
      </c>
      <c r="AT125" s="180">
        <f t="shared" si="27"/>
        <v>1.5803113503325542E-2</v>
      </c>
    </row>
    <row r="126" spans="1:46" x14ac:dyDescent="0.25">
      <c r="A126" s="2">
        <v>44017</v>
      </c>
      <c r="B126" s="129">
        <v>2439</v>
      </c>
      <c r="C126" s="126">
        <v>77815</v>
      </c>
      <c r="D126" s="126">
        <v>26</v>
      </c>
      <c r="E126" s="126">
        <f>E125+D126</f>
        <v>1507</v>
      </c>
      <c r="F126" s="126">
        <f t="shared" si="22"/>
        <v>934</v>
      </c>
      <c r="G126" s="155">
        <v>28531</v>
      </c>
      <c r="H126" s="124">
        <v>676</v>
      </c>
      <c r="I126" s="126">
        <v>6756</v>
      </c>
      <c r="J126" s="4">
        <v>406210</v>
      </c>
      <c r="K126" s="611">
        <f t="shared" si="20"/>
        <v>1.9366446057957978E-2</v>
      </c>
      <c r="L126" s="7">
        <v>258025</v>
      </c>
      <c r="M126" s="4">
        <v>258801</v>
      </c>
      <c r="N126" s="202">
        <v>1072</v>
      </c>
      <c r="O126" s="4">
        <v>27239</v>
      </c>
      <c r="P126" s="4">
        <v>36235</v>
      </c>
      <c r="Q126" s="4">
        <f>77815-P126-O126-N126</f>
        <v>13269</v>
      </c>
      <c r="R126" s="96">
        <f t="shared" si="21"/>
        <v>47777</v>
      </c>
      <c r="S126" s="35">
        <f t="shared" si="25"/>
        <v>1.4149067542960001E-2</v>
      </c>
      <c r="T126" s="28">
        <f t="shared" si="35"/>
        <v>1.9366446057957978E-2</v>
      </c>
      <c r="U126" s="91">
        <f>SUM(B113:B126)/POBLA!$B$25*100000</f>
        <v>77.192321992863796</v>
      </c>
      <c r="V126" s="91">
        <f>B126/POBLA!$B$25*100000</f>
        <v>5.3745952994745876</v>
      </c>
      <c r="W126" s="625">
        <f t="shared" si="33"/>
        <v>1.7522885298384272</v>
      </c>
      <c r="X126" s="28">
        <f t="shared" si="36"/>
        <v>1.4149067542960001E-2</v>
      </c>
      <c r="Y126" s="202">
        <f t="shared" si="39"/>
        <v>0.28962925770557651</v>
      </c>
      <c r="Z126" s="297">
        <f t="shared" si="23"/>
        <v>2554.5714285714284</v>
      </c>
      <c r="AA126" s="179">
        <f t="shared" si="24"/>
        <v>39.285714285714285</v>
      </c>
      <c r="AB126" s="357">
        <f t="shared" si="34"/>
        <v>37.834648324679875</v>
      </c>
      <c r="AC126" s="610">
        <f t="shared" si="31"/>
        <v>-1.4510659610344092</v>
      </c>
      <c r="AD126" s="610">
        <f t="shared" si="32"/>
        <v>2502.1428571428573</v>
      </c>
      <c r="AE126" s="202">
        <f t="shared" si="30"/>
        <v>1.0428038255190109</v>
      </c>
      <c r="AF126" s="202">
        <f t="shared" si="29"/>
        <v>0.27195037537937283</v>
      </c>
      <c r="AG126" s="4"/>
      <c r="AH126" s="4"/>
      <c r="AI126" s="179">
        <f>MAX($B$2:B126)</f>
        <v>2886</v>
      </c>
      <c r="AP126" s="644">
        <f t="shared" si="38"/>
        <v>1.7522885298384272</v>
      </c>
      <c r="AT126" s="180">
        <f t="shared" si="27"/>
        <v>1.5393286131952517E-2</v>
      </c>
    </row>
    <row r="127" spans="1:46" x14ac:dyDescent="0.25">
      <c r="A127" s="36">
        <v>44018</v>
      </c>
      <c r="B127" s="126">
        <v>2632</v>
      </c>
      <c r="C127" s="126">
        <v>80447</v>
      </c>
      <c r="D127" s="126">
        <v>75</v>
      </c>
      <c r="E127" s="126">
        <v>1582</v>
      </c>
      <c r="F127" s="126">
        <f t="shared" si="22"/>
        <v>1564</v>
      </c>
      <c r="G127" s="155">
        <v>30095</v>
      </c>
      <c r="H127" s="124">
        <v>688</v>
      </c>
      <c r="I127" s="126">
        <v>8487</v>
      </c>
      <c r="J127" s="4">
        <v>414697</v>
      </c>
      <c r="K127" s="611">
        <f t="shared" si="20"/>
        <v>1.966512113565453E-2</v>
      </c>
      <c r="L127" s="7">
        <f>M127-K127</f>
        <v>263155.98033487884</v>
      </c>
      <c r="M127" s="4">
        <v>263156</v>
      </c>
      <c r="N127" s="202">
        <v>1073</v>
      </c>
      <c r="O127" s="4">
        <v>27991</v>
      </c>
      <c r="P127" s="4">
        <v>38006</v>
      </c>
      <c r="Q127" s="4">
        <f>80447-P127-O127-N127</f>
        <v>13377</v>
      </c>
      <c r="R127" s="96">
        <f t="shared" si="21"/>
        <v>48770</v>
      </c>
      <c r="S127" s="35">
        <f t="shared" si="25"/>
        <v>1.41070330120976E-2</v>
      </c>
      <c r="T127" s="28">
        <f t="shared" si="35"/>
        <v>1.966512113565453E-2</v>
      </c>
      <c r="U127" s="91">
        <f>SUM(B114:B127)/POBLA!$B$25*100000</f>
        <v>78.263274561762799</v>
      </c>
      <c r="V127" s="91">
        <f>B127/POBLA!$B$25*100000</f>
        <v>5.7998912784818017</v>
      </c>
      <c r="W127" s="625">
        <f t="shared" si="33"/>
        <v>1.6665571770447187</v>
      </c>
      <c r="X127" s="28">
        <f t="shared" si="36"/>
        <v>1.41070330120976E-2</v>
      </c>
      <c r="Y127" s="202">
        <f t="shared" si="39"/>
        <v>0.29182117344891245</v>
      </c>
      <c r="Z127" s="297">
        <f t="shared" si="23"/>
        <v>2597</v>
      </c>
      <c r="AA127" s="179">
        <f t="shared" si="24"/>
        <v>43.142857142857146</v>
      </c>
      <c r="AB127" s="357">
        <f t="shared" si="34"/>
        <v>40.278515946673785</v>
      </c>
      <c r="AC127" s="610">
        <f t="shared" si="31"/>
        <v>-2.8643411961833607</v>
      </c>
      <c r="AD127" s="610">
        <f t="shared" si="32"/>
        <v>2536.8571428571427</v>
      </c>
      <c r="AE127" s="202">
        <f t="shared" si="30"/>
        <v>1.0485666493626349</v>
      </c>
      <c r="AF127" s="202">
        <f t="shared" si="29"/>
        <v>0.25182884570959208</v>
      </c>
      <c r="AG127" s="4"/>
      <c r="AH127" s="4"/>
      <c r="AI127" s="179">
        <f>MAX($B$2:B127)</f>
        <v>2886</v>
      </c>
      <c r="AP127" s="644">
        <f t="shared" si="38"/>
        <v>1.6665571770447187</v>
      </c>
      <c r="AT127" s="180">
        <f t="shared" si="27"/>
        <v>1.5968644633474249E-2</v>
      </c>
    </row>
    <row r="128" spans="1:46" x14ac:dyDescent="0.25">
      <c r="A128" s="2">
        <v>44019</v>
      </c>
      <c r="B128" s="126">
        <v>2979</v>
      </c>
      <c r="C128" s="126">
        <v>83426</v>
      </c>
      <c r="D128" s="126">
        <v>62</v>
      </c>
      <c r="E128" s="129">
        <v>1644</v>
      </c>
      <c r="F128" s="126">
        <f t="shared" si="22"/>
        <v>6407</v>
      </c>
      <c r="G128" s="155">
        <v>36502</v>
      </c>
      <c r="H128" s="126">
        <v>646</v>
      </c>
      <c r="I128" s="126">
        <v>9805</v>
      </c>
      <c r="J128" s="4">
        <v>423782</v>
      </c>
      <c r="K128" s="611">
        <f t="shared" si="20"/>
        <v>1.9706086831443436E-2</v>
      </c>
      <c r="L128" s="7">
        <v>266938</v>
      </c>
      <c r="M128" s="4">
        <v>267741</v>
      </c>
      <c r="N128" s="202">
        <v>1074</v>
      </c>
      <c r="O128" s="4">
        <v>28792</v>
      </c>
      <c r="P128" s="4">
        <v>39718</v>
      </c>
      <c r="Q128" s="4">
        <f>83426-P128-O128-N128</f>
        <v>13842</v>
      </c>
      <c r="R128" s="96">
        <f t="shared" si="21"/>
        <v>45280</v>
      </c>
      <c r="S128" s="35">
        <f t="shared" si="25"/>
        <v>1.4266784452296819E-2</v>
      </c>
      <c r="T128" s="28">
        <f t="shared" si="35"/>
        <v>1.9706086831443436E-2</v>
      </c>
      <c r="U128" s="91">
        <f>SUM(B115:B128)/POBLA!$B$25*100000</f>
        <v>79.792577201301683</v>
      </c>
      <c r="V128" s="91">
        <f>B128/POBLA!$B$25*100000</f>
        <v>6.5645425982512489</v>
      </c>
      <c r="W128" s="625">
        <f t="shared" si="33"/>
        <v>1.6125584502338008</v>
      </c>
      <c r="X128" s="28">
        <f t="shared" si="36"/>
        <v>1.4266784452296819E-2</v>
      </c>
      <c r="Y128" s="202">
        <f t="shared" si="39"/>
        <v>0.30678312822677534</v>
      </c>
      <c r="Z128" s="297">
        <f t="shared" si="23"/>
        <v>2699.4285714285716</v>
      </c>
      <c r="AA128" s="179">
        <f t="shared" si="24"/>
        <v>48.142857142857146</v>
      </c>
      <c r="AB128" s="357">
        <f t="shared" si="34"/>
        <v>42.586792612673669</v>
      </c>
      <c r="AC128" s="610">
        <f t="shared" si="31"/>
        <v>-5.5560645301834768</v>
      </c>
      <c r="AD128" s="610">
        <f t="shared" si="32"/>
        <v>2586.4285714285716</v>
      </c>
      <c r="AE128" s="202">
        <f t="shared" si="30"/>
        <v>1.0913711447383621</v>
      </c>
      <c r="AF128" s="202">
        <f t="shared" si="29"/>
        <v>0.12684468556354678</v>
      </c>
      <c r="AG128" s="4"/>
      <c r="AH128" s="4"/>
      <c r="AI128" s="179">
        <f>MAX($B$2:B128)</f>
        <v>2979</v>
      </c>
      <c r="AP128" s="644">
        <f t="shared" si="38"/>
        <v>1.6125584502338008</v>
      </c>
      <c r="AT128" s="180">
        <f t="shared" si="27"/>
        <v>1.6163082200818048E-2</v>
      </c>
    </row>
    <row r="129" spans="1:46" x14ac:dyDescent="0.25">
      <c r="A129" s="2">
        <v>44020</v>
      </c>
      <c r="B129" s="126">
        <v>3604</v>
      </c>
      <c r="C129" s="129">
        <v>87030</v>
      </c>
      <c r="D129" s="126">
        <v>51</v>
      </c>
      <c r="E129" s="144">
        <v>1695</v>
      </c>
      <c r="F129" s="126">
        <f t="shared" si="22"/>
        <v>1811</v>
      </c>
      <c r="G129" s="155">
        <v>38313</v>
      </c>
      <c r="H129" s="126">
        <v>671</v>
      </c>
      <c r="I129" s="126">
        <v>10910</v>
      </c>
      <c r="J129" s="4">
        <v>434692</v>
      </c>
      <c r="K129" s="611">
        <f t="shared" si="20"/>
        <v>1.9476042743881421E-2</v>
      </c>
      <c r="L129" s="7">
        <v>272349</v>
      </c>
      <c r="M129" s="4">
        <v>273168</v>
      </c>
      <c r="N129" s="202">
        <v>1074</v>
      </c>
      <c r="O129" s="4">
        <v>29747</v>
      </c>
      <c r="P129" s="4">
        <v>41495</v>
      </c>
      <c r="Q129" s="4">
        <f>87030-P129-O129-N129</f>
        <v>14714</v>
      </c>
      <c r="R129" s="96">
        <f t="shared" si="21"/>
        <v>47022</v>
      </c>
      <c r="S129" s="35">
        <f t="shared" si="25"/>
        <v>1.4269916209433882E-2</v>
      </c>
      <c r="T129" s="28">
        <f t="shared" si="35"/>
        <v>1.9476042743881421E-2</v>
      </c>
      <c r="U129" s="91">
        <f>SUM(B116:B129)/POBLA!$B$25*100000</f>
        <v>81.927871520773138</v>
      </c>
      <c r="V129" s="91">
        <f>B129/POBLA!$B$25*100000</f>
        <v>7.9417964162797929</v>
      </c>
      <c r="W129" s="625">
        <f t="shared" si="33"/>
        <v>1.5579534026148174</v>
      </c>
      <c r="X129" s="28">
        <f t="shared" si="36"/>
        <v>1.4269916209433882E-2</v>
      </c>
      <c r="Y129" s="202">
        <f t="shared" si="39"/>
        <v>0.31329773789965881</v>
      </c>
      <c r="Z129" s="297">
        <f t="shared" si="23"/>
        <v>2833.2857142857142</v>
      </c>
      <c r="AA129" s="179">
        <f t="shared" si="24"/>
        <v>49.142857142857146</v>
      </c>
      <c r="AB129" s="357">
        <f t="shared" si="34"/>
        <v>45.729657235705261</v>
      </c>
      <c r="AC129" s="610">
        <f t="shared" si="31"/>
        <v>-3.4131999071518848</v>
      </c>
      <c r="AD129" s="610">
        <f t="shared" si="32"/>
        <v>2655.6428571428573</v>
      </c>
      <c r="AE129" s="202">
        <f t="shared" si="30"/>
        <v>1.1433759944655828</v>
      </c>
      <c r="AF129" s="202">
        <f t="shared" si="29"/>
        <v>0.12870859337493989</v>
      </c>
      <c r="AG129" s="4"/>
      <c r="AH129" s="4"/>
      <c r="AI129" s="179">
        <f>MAX($B$2:B129)</f>
        <v>3604</v>
      </c>
      <c r="AP129" s="644">
        <f t="shared" si="38"/>
        <v>1.5579534026148174</v>
      </c>
      <c r="AT129" s="180">
        <f t="shared" si="27"/>
        <v>1.580192398675288E-2</v>
      </c>
    </row>
    <row r="130" spans="1:46" x14ac:dyDescent="0.25">
      <c r="A130" s="2">
        <v>44021</v>
      </c>
      <c r="B130" s="129">
        <v>3663</v>
      </c>
      <c r="C130" s="129">
        <v>90693</v>
      </c>
      <c r="D130" s="126">
        <v>26</v>
      </c>
      <c r="E130" s="129">
        <v>1721</v>
      </c>
      <c r="F130" s="126">
        <f t="shared" si="22"/>
        <v>671</v>
      </c>
      <c r="G130" s="155">
        <v>38984</v>
      </c>
      <c r="H130" s="126">
        <v>662</v>
      </c>
      <c r="I130" s="126">
        <v>11041</v>
      </c>
      <c r="J130" s="4">
        <v>445733</v>
      </c>
      <c r="K130" s="611">
        <f t="shared" ref="K130:K193" si="40">E130/C130</f>
        <v>1.8976106204447972E-2</v>
      </c>
      <c r="L130" s="7">
        <v>277811</v>
      </c>
      <c r="M130" s="4">
        <v>278647</v>
      </c>
      <c r="N130" s="202">
        <v>1076</v>
      </c>
      <c r="O130" s="4">
        <v>30597</v>
      </c>
      <c r="P130" s="4">
        <v>43374</v>
      </c>
      <c r="Q130" s="4">
        <f>90693-P130-O130-N130</f>
        <v>15646</v>
      </c>
      <c r="R130" s="96">
        <f t="shared" ref="R130:R193" si="41">C130-E130-G130</f>
        <v>49988</v>
      </c>
      <c r="S130" s="35">
        <f t="shared" si="25"/>
        <v>1.3243178362807074E-2</v>
      </c>
      <c r="T130" s="28">
        <f t="shared" si="35"/>
        <v>1.8976106204447972E-2</v>
      </c>
      <c r="U130" s="91">
        <f>SUM(B117:B130)/POBLA!$B$25*100000</f>
        <v>84.257083177823006</v>
      </c>
      <c r="V130" s="91">
        <f>B130/POBLA!$B$25*100000</f>
        <v>8.071809176701688</v>
      </c>
      <c r="W130" s="625">
        <f t="shared" si="33"/>
        <v>1.5243182905437729</v>
      </c>
      <c r="X130" s="28">
        <f t="shared" si="36"/>
        <v>1.3243178362807074E-2</v>
      </c>
      <c r="Y130" s="202">
        <f t="shared" si="39"/>
        <v>0.31915351727107749</v>
      </c>
      <c r="Z130" s="297">
        <f t="shared" si="23"/>
        <v>2964.5714285714284</v>
      </c>
      <c r="AA130" s="179">
        <f t="shared" si="24"/>
        <v>48</v>
      </c>
      <c r="AB130" s="357">
        <f t="shared" si="34"/>
        <v>46.811265825887318</v>
      </c>
      <c r="AC130" s="610">
        <f t="shared" si="31"/>
        <v>-1.1887341741126818</v>
      </c>
      <c r="AD130" s="610">
        <f t="shared" si="32"/>
        <v>2731.1428571428573</v>
      </c>
      <c r="AE130" s="202">
        <f t="shared" si="30"/>
        <v>1.1869137497140241</v>
      </c>
      <c r="AF130" s="202">
        <f t="shared" si="29"/>
        <v>0.1536047262992708</v>
      </c>
      <c r="AG130" s="4"/>
      <c r="AH130" s="4"/>
      <c r="AI130" s="179">
        <f>MAX($B$2:B130)</f>
        <v>3663</v>
      </c>
      <c r="AP130" s="644">
        <f t="shared" si="38"/>
        <v>1.5243182905437729</v>
      </c>
      <c r="AT130" s="180">
        <f t="shared" si="27"/>
        <v>1.522781047139477E-2</v>
      </c>
    </row>
    <row r="131" spans="1:46" x14ac:dyDescent="0.25">
      <c r="A131" s="2">
        <v>44022</v>
      </c>
      <c r="B131" s="129">
        <v>3367</v>
      </c>
      <c r="C131" s="126">
        <v>94060</v>
      </c>
      <c r="D131" s="126">
        <v>54</v>
      </c>
      <c r="E131" s="129">
        <v>1775</v>
      </c>
      <c r="F131" s="126">
        <f t="shared" ref="F131:F194" si="42">G131-G130</f>
        <v>2424</v>
      </c>
      <c r="G131" s="155">
        <v>41408</v>
      </c>
      <c r="H131" s="126">
        <v>686</v>
      </c>
      <c r="I131" s="126">
        <v>10309</v>
      </c>
      <c r="J131" s="4">
        <v>456042</v>
      </c>
      <c r="K131" s="611">
        <f t="shared" si="40"/>
        <v>1.8870933446736127E-2</v>
      </c>
      <c r="L131" s="7">
        <v>283021</v>
      </c>
      <c r="M131" s="4">
        <f>L131+K131</f>
        <v>283021.01887093345</v>
      </c>
      <c r="N131" s="202">
        <v>1078</v>
      </c>
      <c r="O131" s="4">
        <v>31739</v>
      </c>
      <c r="P131" s="4">
        <v>45328</v>
      </c>
      <c r="Q131" s="4">
        <v>15915</v>
      </c>
      <c r="R131" s="96">
        <f t="shared" si="41"/>
        <v>50877</v>
      </c>
      <c r="S131" s="35">
        <f t="shared" si="25"/>
        <v>1.3483499420170214E-2</v>
      </c>
      <c r="T131" s="28">
        <f t="shared" si="35"/>
        <v>1.8870933446736127E-2</v>
      </c>
      <c r="U131" s="91">
        <f>SUM(B118:B131)/POBLA!$B$25*100000</f>
        <v>85.317017716177787</v>
      </c>
      <c r="V131" s="91">
        <f>B131/POBLA!$B$25*100000</f>
        <v>7.4195417684833691</v>
      </c>
      <c r="W131" s="625">
        <f t="shared" si="33"/>
        <v>1.456676323413221</v>
      </c>
      <c r="X131" s="28">
        <f t="shared" si="36"/>
        <v>1.3483499420170214E-2</v>
      </c>
      <c r="Y131" s="202">
        <f t="shared" si="39"/>
        <v>0.32048809882494728</v>
      </c>
      <c r="Z131" s="297">
        <f t="shared" si="23"/>
        <v>3039.1428571428573</v>
      </c>
      <c r="AA131" s="179">
        <f t="shared" si="24"/>
        <v>48.285714285714285</v>
      </c>
      <c r="AB131" s="357">
        <f t="shared" si="34"/>
        <v>48.206463070565121</v>
      </c>
      <c r="AC131" s="610">
        <f t="shared" si="31"/>
        <v>-7.9251215149163556E-2</v>
      </c>
      <c r="AD131" s="610">
        <f t="shared" si="32"/>
        <v>2765.5</v>
      </c>
      <c r="AE131" s="202">
        <f t="shared" si="30"/>
        <v>1.2196296508628104</v>
      </c>
      <c r="AF131" s="202">
        <f t="shared" si="29"/>
        <v>0.12016997291882259</v>
      </c>
      <c r="AG131" s="4"/>
      <c r="AH131" s="4"/>
      <c r="AI131" s="179">
        <f>MAX($B$2:B131)</f>
        <v>3663</v>
      </c>
      <c r="AP131" s="644">
        <f t="shared" si="38"/>
        <v>1.456676323413221</v>
      </c>
      <c r="AT131" s="180">
        <f t="shared" si="27"/>
        <v>1.5277716568977421E-2</v>
      </c>
    </row>
    <row r="132" spans="1:46" x14ac:dyDescent="0.25">
      <c r="A132" s="2">
        <v>44023</v>
      </c>
      <c r="B132" s="129">
        <v>3449</v>
      </c>
      <c r="C132" s="129">
        <v>97509</v>
      </c>
      <c r="D132" s="126">
        <v>36</v>
      </c>
      <c r="E132" s="129">
        <v>1811</v>
      </c>
      <c r="F132" s="126">
        <f t="shared" si="42"/>
        <v>1286</v>
      </c>
      <c r="G132" s="155">
        <v>42694</v>
      </c>
      <c r="H132" s="126">
        <v>701</v>
      </c>
      <c r="I132" s="126">
        <v>10266</v>
      </c>
      <c r="J132" s="4">
        <v>466308</v>
      </c>
      <c r="K132" s="611">
        <f t="shared" si="40"/>
        <v>1.8572644576398074E-2</v>
      </c>
      <c r="L132" s="7">
        <v>288165</v>
      </c>
      <c r="M132" s="4">
        <f>L132+K132</f>
        <v>288165.01857264456</v>
      </c>
      <c r="N132" s="202">
        <v>1080</v>
      </c>
      <c r="O132" s="4">
        <v>32616</v>
      </c>
      <c r="P132" s="4">
        <v>46824</v>
      </c>
      <c r="Q132" s="4">
        <v>16989</v>
      </c>
      <c r="R132" s="96">
        <f t="shared" si="41"/>
        <v>53004</v>
      </c>
      <c r="S132" s="35">
        <f t="shared" si="25"/>
        <v>1.3225416949664176E-2</v>
      </c>
      <c r="T132" s="28">
        <f t="shared" si="35"/>
        <v>1.8572644576398074E-2</v>
      </c>
      <c r="U132" s="91">
        <f>SUM(B119:B132)/POBLA!$B$25*100000</f>
        <v>87.626396918248048</v>
      </c>
      <c r="V132" s="91">
        <f>B132/POBLA!$B$25*100000</f>
        <v>7.6002374694087136</v>
      </c>
      <c r="W132" s="625">
        <f t="shared" si="33"/>
        <v>1.4486866552515574</v>
      </c>
      <c r="X132" s="28">
        <f t="shared" si="36"/>
        <v>1.3225416949664176E-2</v>
      </c>
      <c r="Y132" s="202">
        <f t="shared" si="39"/>
        <v>0.32753721845680289</v>
      </c>
      <c r="Z132" s="297">
        <f t="shared" si="23"/>
        <v>3161.8571428571427</v>
      </c>
      <c r="AA132" s="179">
        <f t="shared" si="24"/>
        <v>47.142857142857146</v>
      </c>
      <c r="AB132" s="357">
        <f t="shared" si="34"/>
        <v>49.389868582511966</v>
      </c>
      <c r="AC132" s="610">
        <f t="shared" si="31"/>
        <v>2.2470114396548198</v>
      </c>
      <c r="AD132" s="610">
        <f t="shared" si="32"/>
        <v>2840.3571428571427</v>
      </c>
      <c r="AE132" s="202">
        <f t="shared" si="30"/>
        <v>1.2552745009074411</v>
      </c>
      <c r="AF132" s="202">
        <f t="shared" si="29"/>
        <v>0.14484426973087383</v>
      </c>
      <c r="AG132" s="4"/>
      <c r="AH132" s="4"/>
      <c r="AI132" s="179">
        <f>MAX($B$2:B132)</f>
        <v>3663</v>
      </c>
      <c r="AP132" s="644">
        <f t="shared" si="38"/>
        <v>1.4486866552515574</v>
      </c>
      <c r="AT132" s="180">
        <f t="shared" si="27"/>
        <v>1.4913881601460021E-2</v>
      </c>
    </row>
    <row r="133" spans="1:46" x14ac:dyDescent="0.25">
      <c r="A133" s="2">
        <v>44024</v>
      </c>
      <c r="B133" s="129">
        <v>2657</v>
      </c>
      <c r="C133" s="129">
        <v>100166</v>
      </c>
      <c r="D133" s="129">
        <v>34</v>
      </c>
      <c r="E133" s="129">
        <v>1845</v>
      </c>
      <c r="F133" s="126">
        <f t="shared" si="42"/>
        <v>1479</v>
      </c>
      <c r="G133" s="155">
        <v>44173</v>
      </c>
      <c r="H133" s="126">
        <v>735</v>
      </c>
      <c r="I133" s="126">
        <v>8114</v>
      </c>
      <c r="J133" s="4">
        <v>474422</v>
      </c>
      <c r="K133" s="611">
        <f t="shared" si="40"/>
        <v>1.8419423756564104E-2</v>
      </c>
      <c r="L133" s="7">
        <v>292418</v>
      </c>
      <c r="M133" s="4">
        <f>L133+K133</f>
        <v>292418.01841942378</v>
      </c>
      <c r="N133" s="202">
        <v>1081</v>
      </c>
      <c r="O133" s="4">
        <v>33376</v>
      </c>
      <c r="P133" s="4">
        <v>48213</v>
      </c>
      <c r="Q133" s="4">
        <f>100166-P133-O133-N133</f>
        <v>17496</v>
      </c>
      <c r="R133" s="96">
        <f t="shared" si="41"/>
        <v>54148</v>
      </c>
      <c r="S133" s="35">
        <f t="shared" si="25"/>
        <v>1.3573908546945408E-2</v>
      </c>
      <c r="T133" s="28">
        <f t="shared" si="35"/>
        <v>1.8419423756564104E-2</v>
      </c>
      <c r="U133" s="91">
        <f>SUM(B120:B133)/POBLA!$B$25*100000</f>
        <v>88.657684577187808</v>
      </c>
      <c r="V133" s="91">
        <f>B133/POBLA!$B$25*100000</f>
        <v>5.8549814312029431</v>
      </c>
      <c r="W133" s="625">
        <f t="shared" si="33"/>
        <v>1.4188531527719002</v>
      </c>
      <c r="X133" s="28">
        <f t="shared" si="36"/>
        <v>1.3573908546945408E-2</v>
      </c>
      <c r="Y133" s="202">
        <f t="shared" si="39"/>
        <v>0.32424708408286429</v>
      </c>
      <c r="Z133" s="297">
        <f t="shared" si="23"/>
        <v>3193</v>
      </c>
      <c r="AA133" s="179">
        <f t="shared" si="24"/>
        <v>48.285714285714285</v>
      </c>
      <c r="AB133" s="357">
        <f t="shared" si="34"/>
        <v>50.397906233389193</v>
      </c>
      <c r="AC133" s="610">
        <f t="shared" si="31"/>
        <v>2.1121919476749085</v>
      </c>
      <c r="AD133" s="610">
        <f t="shared" si="32"/>
        <v>2873.7857142857142</v>
      </c>
      <c r="AE133" s="202">
        <f t="shared" si="30"/>
        <v>1.2499161167654624</v>
      </c>
      <c r="AF133" s="202">
        <f t="shared" si="29"/>
        <v>0.13334868242041154</v>
      </c>
      <c r="AG133" s="4"/>
      <c r="AH133" s="4"/>
      <c r="AI133" s="179">
        <f>MAX($B$2:B133)</f>
        <v>3663</v>
      </c>
      <c r="AP133" s="644">
        <f t="shared" si="38"/>
        <v>1.4188531527719002</v>
      </c>
      <c r="AT133" s="180">
        <f t="shared" si="27"/>
        <v>1.484552253438279E-2</v>
      </c>
    </row>
    <row r="134" spans="1:46" x14ac:dyDescent="0.25">
      <c r="A134" s="36">
        <v>44025</v>
      </c>
      <c r="B134" s="126">
        <v>3099</v>
      </c>
      <c r="C134" s="126">
        <v>103265</v>
      </c>
      <c r="D134" s="126">
        <v>58</v>
      </c>
      <c r="E134" s="126">
        <v>1903</v>
      </c>
      <c r="F134" s="126">
        <f t="shared" si="42"/>
        <v>1294</v>
      </c>
      <c r="G134" s="155">
        <v>45467</v>
      </c>
      <c r="H134" s="126">
        <v>752</v>
      </c>
      <c r="I134" s="126">
        <v>9377</v>
      </c>
      <c r="J134" s="4">
        <v>483799</v>
      </c>
      <c r="K134" s="611">
        <f t="shared" si="40"/>
        <v>1.8428315498958989E-2</v>
      </c>
      <c r="L134" s="7">
        <f>M134-K134</f>
        <v>298085.98157168448</v>
      </c>
      <c r="M134" s="4">
        <v>298086</v>
      </c>
      <c r="N134" s="202">
        <v>1082</v>
      </c>
      <c r="O134" s="4">
        <v>34293</v>
      </c>
      <c r="P134" s="4">
        <v>50637</v>
      </c>
      <c r="Q134" s="4">
        <f>103265-P134-O134-N134</f>
        <v>17253</v>
      </c>
      <c r="R134" s="96">
        <f t="shared" si="41"/>
        <v>55895</v>
      </c>
      <c r="S134" s="35">
        <f t="shared" si="25"/>
        <v>1.3453797298506128E-2</v>
      </c>
      <c r="T134" s="28">
        <f t="shared" si="35"/>
        <v>1.8428315498958989E-2</v>
      </c>
      <c r="U134" s="91">
        <f>SUM(B121:B134)/POBLA!$B$25*100000</f>
        <v>90.341239644345904</v>
      </c>
      <c r="V134" s="91">
        <f>B134/POBLA!$B$25*100000</f>
        <v>6.828975331312729</v>
      </c>
      <c r="W134" s="625">
        <f t="shared" si="33"/>
        <v>1.3905301360105824</v>
      </c>
      <c r="X134" s="28">
        <f t="shared" si="36"/>
        <v>1.3453797298506128E-2</v>
      </c>
      <c r="Y134" s="202">
        <f t="shared" si="39"/>
        <v>0.32680244049153562</v>
      </c>
      <c r="Z134" s="297">
        <f t="shared" si="23"/>
        <v>3259.7142857142858</v>
      </c>
      <c r="AA134" s="179">
        <f t="shared" si="24"/>
        <v>45.857142857142854</v>
      </c>
      <c r="AB134" s="357">
        <f t="shared" si="34"/>
        <v>50.95186933898632</v>
      </c>
      <c r="AC134" s="610">
        <f t="shared" si="31"/>
        <v>5.0947264818434661</v>
      </c>
      <c r="AD134" s="610">
        <f t="shared" si="32"/>
        <v>2928.3571428571427</v>
      </c>
      <c r="AE134" s="202">
        <f t="shared" si="30"/>
        <v>1.2551845536058088</v>
      </c>
      <c r="AF134" s="202">
        <f t="shared" si="29"/>
        <v>0.14609391019069107</v>
      </c>
      <c r="AG134" s="4"/>
      <c r="AH134" s="4"/>
      <c r="AI134" s="179">
        <f>MAX($B$2:B134)</f>
        <v>3663</v>
      </c>
      <c r="AP134" s="644">
        <f t="shared" si="38"/>
        <v>1.3905301360105824</v>
      </c>
      <c r="AT134" s="180">
        <f t="shared" si="27"/>
        <v>1.4910237083733041E-2</v>
      </c>
    </row>
    <row r="135" spans="1:46" x14ac:dyDescent="0.25">
      <c r="A135" s="2">
        <v>44026</v>
      </c>
      <c r="B135" s="126">
        <v>3645</v>
      </c>
      <c r="C135" s="129">
        <v>106910</v>
      </c>
      <c r="D135" s="126">
        <v>65</v>
      </c>
      <c r="E135" s="126">
        <v>1968</v>
      </c>
      <c r="F135" s="126">
        <f t="shared" si="42"/>
        <v>1831</v>
      </c>
      <c r="G135" s="155">
        <v>47298</v>
      </c>
      <c r="H135" s="126">
        <v>772</v>
      </c>
      <c r="I135" s="126">
        <v>11266</v>
      </c>
      <c r="J135" s="4">
        <v>495065</v>
      </c>
      <c r="K135" s="611">
        <f t="shared" si="40"/>
        <v>1.840800673463661E-2</v>
      </c>
      <c r="L135" s="7">
        <f>M135-K135</f>
        <v>303986.98159199324</v>
      </c>
      <c r="M135" s="4">
        <v>303987</v>
      </c>
      <c r="N135" s="202">
        <v>1083</v>
      </c>
      <c r="O135" s="4">
        <v>35260</v>
      </c>
      <c r="P135" s="4">
        <v>53247</v>
      </c>
      <c r="Q135" s="4">
        <f>106910-P135-O135-N135</f>
        <v>17320</v>
      </c>
      <c r="R135" s="96">
        <f t="shared" si="41"/>
        <v>57644</v>
      </c>
      <c r="S135" s="35">
        <f t="shared" si="25"/>
        <v>1.3392547359655818E-2</v>
      </c>
      <c r="T135" s="28">
        <f t="shared" si="35"/>
        <v>1.840800673463661E-2</v>
      </c>
      <c r="U135" s="91">
        <f>SUM(B122:B135)/POBLA!$B$25*100000</f>
        <v>93.388826892879479</v>
      </c>
      <c r="V135" s="91">
        <f>B135/POBLA!$B$25*100000</f>
        <v>8.0321442667424652</v>
      </c>
      <c r="W135" s="625">
        <f t="shared" si="33"/>
        <v>1.3954100951565638</v>
      </c>
      <c r="X135" s="28">
        <f t="shared" si="36"/>
        <v>1.3392547359655818E-2</v>
      </c>
      <c r="Y135" s="202">
        <f t="shared" si="39"/>
        <v>0.32944741382938431</v>
      </c>
      <c r="Z135" s="297">
        <f t="shared" si="23"/>
        <v>3354.8571428571427</v>
      </c>
      <c r="AA135" s="179">
        <f t="shared" si="24"/>
        <v>46.285714285714285</v>
      </c>
      <c r="AB135" s="357">
        <f t="shared" si="34"/>
        <v>50.097181820194379</v>
      </c>
      <c r="AC135" s="610">
        <f t="shared" si="31"/>
        <v>3.8114675344800943</v>
      </c>
      <c r="AD135" s="610">
        <f t="shared" si="32"/>
        <v>3027.1428571428573</v>
      </c>
      <c r="AE135" s="202">
        <f t="shared" si="30"/>
        <v>1.2428027095681624</v>
      </c>
      <c r="AF135" s="202">
        <f t="shared" si="29"/>
        <v>0.27305653710247357</v>
      </c>
      <c r="AG135" s="4"/>
      <c r="AH135" s="4"/>
      <c r="AI135" s="179">
        <f>MAX($B$2:B135)</f>
        <v>3663</v>
      </c>
      <c r="AP135" s="644">
        <f t="shared" si="38"/>
        <v>1.3954100951565638</v>
      </c>
      <c r="AT135" s="180">
        <f t="shared" si="27"/>
        <v>1.5066438347072332E-2</v>
      </c>
    </row>
    <row r="136" spans="1:46" x14ac:dyDescent="0.25">
      <c r="A136" s="2">
        <v>44027</v>
      </c>
      <c r="B136" s="129">
        <v>4250</v>
      </c>
      <c r="C136" s="126">
        <f>C135+B136</f>
        <v>111160</v>
      </c>
      <c r="D136" s="126">
        <v>82</v>
      </c>
      <c r="E136" s="126">
        <v>2050</v>
      </c>
      <c r="F136" s="126">
        <f t="shared" si="42"/>
        <v>1822</v>
      </c>
      <c r="G136" s="155">
        <v>49120</v>
      </c>
      <c r="H136" s="126">
        <v>783</v>
      </c>
      <c r="I136" s="126">
        <v>13163</v>
      </c>
      <c r="J136" s="4">
        <v>508228</v>
      </c>
      <c r="K136" s="611">
        <f t="shared" si="40"/>
        <v>1.8441885570349047E-2</v>
      </c>
      <c r="L136" s="7">
        <f>M136-K136</f>
        <v>309746.98155811441</v>
      </c>
      <c r="M136" s="4">
        <v>309747</v>
      </c>
      <c r="N136" s="202">
        <v>1085</v>
      </c>
      <c r="O136" s="4">
        <v>36398</v>
      </c>
      <c r="P136" s="4">
        <v>55836</v>
      </c>
      <c r="Q136" s="4">
        <v>17841</v>
      </c>
      <c r="R136" s="96">
        <f t="shared" si="41"/>
        <v>59990</v>
      </c>
      <c r="S136" s="35">
        <f t="shared" si="25"/>
        <v>1.3052175362560427E-2</v>
      </c>
      <c r="T136" s="28">
        <f t="shared" si="35"/>
        <v>1.8441885570349047E-2</v>
      </c>
      <c r="U136" s="91">
        <f>SUM(B123:B136)/POBLA!$B$25*100000</f>
        <v>96.877135363182163</v>
      </c>
      <c r="V136" s="91">
        <f>B136/POBLA!$B$25*100000</f>
        <v>9.3653259625940954</v>
      </c>
      <c r="W136" s="625">
        <f t="shared" si="33"/>
        <v>1.3892558066045189</v>
      </c>
      <c r="X136" s="28">
        <f t="shared" si="36"/>
        <v>1.3052175362560427E-2</v>
      </c>
      <c r="Y136" s="202">
        <f t="shared" si="39"/>
        <v>0.32813859878154916</v>
      </c>
      <c r="Z136" s="297">
        <f t="shared" si="23"/>
        <v>3447.1428571428573</v>
      </c>
      <c r="AA136" s="179">
        <f t="shared" si="24"/>
        <v>50.714285714285715</v>
      </c>
      <c r="AB136" s="357">
        <f t="shared" si="34"/>
        <v>49.820349122728693</v>
      </c>
      <c r="AC136" s="610">
        <f t="shared" si="31"/>
        <v>-0.8939365915570221</v>
      </c>
      <c r="AD136" s="610">
        <f t="shared" si="32"/>
        <v>3140.2142857142858</v>
      </c>
      <c r="AE136" s="202">
        <f t="shared" si="30"/>
        <v>1.2166591035143448</v>
      </c>
      <c r="AF136" s="202">
        <f t="shared" si="29"/>
        <v>0.27578580239037054</v>
      </c>
      <c r="AG136" s="4"/>
      <c r="AH136" s="4"/>
      <c r="AI136" s="179">
        <f>MAX($B$2:B136)</f>
        <v>4250</v>
      </c>
      <c r="AJ136" s="180">
        <f t="shared" ref="AJ136:AJ199" si="43">AA136/Z117</f>
        <v>2.250681544411336E-2</v>
      </c>
      <c r="AK136" s="180"/>
      <c r="AL136" s="180"/>
      <c r="AM136" s="180"/>
      <c r="AP136" s="644">
        <f t="shared" si="38"/>
        <v>1.3892558066045189</v>
      </c>
      <c r="AT136" s="180">
        <f t="shared" si="27"/>
        <v>1.5259968102073366E-2</v>
      </c>
    </row>
    <row r="137" spans="1:46" s="23" customFormat="1" x14ac:dyDescent="0.25">
      <c r="A137" s="2">
        <v>44028</v>
      </c>
      <c r="B137" s="126">
        <v>3624</v>
      </c>
      <c r="C137" s="127">
        <v>114783</v>
      </c>
      <c r="D137" s="126">
        <v>62</v>
      </c>
      <c r="E137" s="126">
        <v>2112</v>
      </c>
      <c r="F137" s="126">
        <f t="shared" si="42"/>
        <v>660</v>
      </c>
      <c r="G137" s="155">
        <v>49780</v>
      </c>
      <c r="H137" s="126">
        <v>793</v>
      </c>
      <c r="I137" s="126">
        <v>11053</v>
      </c>
      <c r="J137" s="7">
        <v>519281</v>
      </c>
      <c r="K137" s="611">
        <f t="shared" si="40"/>
        <v>1.8399937272941116E-2</v>
      </c>
      <c r="L137" s="7">
        <f>M137*0.997</f>
        <v>315396.962</v>
      </c>
      <c r="M137" s="7">
        <v>316346</v>
      </c>
      <c r="N137" s="202">
        <v>1086</v>
      </c>
      <c r="O137" s="7">
        <v>37225</v>
      </c>
      <c r="P137" s="7">
        <v>57961</v>
      </c>
      <c r="Q137" s="7">
        <f>114783-P137-O137-N137</f>
        <v>18511</v>
      </c>
      <c r="R137" s="96">
        <f t="shared" si="41"/>
        <v>62891</v>
      </c>
      <c r="S137" s="35">
        <f t="shared" si="25"/>
        <v>1.2609117361784675E-2</v>
      </c>
      <c r="T137" s="28">
        <f t="shared" si="35"/>
        <v>1.8399937272941116E-2</v>
      </c>
      <c r="U137" s="91">
        <f>SUM(B124:B137)/POBLA!$B$25*100000</f>
        <v>98.816308738966342</v>
      </c>
      <c r="V137" s="91">
        <f>B137/POBLA!$B$25*100000</f>
        <v>7.9858685384567059</v>
      </c>
      <c r="W137" s="625">
        <f t="shared" si="33"/>
        <v>1.3827202368104592</v>
      </c>
      <c r="X137" s="28">
        <f t="shared" si="36"/>
        <v>1.2609117361784675E-2</v>
      </c>
      <c r="Y137" s="202">
        <f t="shared" si="39"/>
        <v>0.3275547941480394</v>
      </c>
      <c r="Z137" s="297">
        <f t="shared" ref="Z137:Z200" si="44">AVERAGE(B131:B137)</f>
        <v>3441.5714285714284</v>
      </c>
      <c r="AA137" s="179">
        <f t="shared" ref="AA137:AA200" si="45">AVERAGE(D131:D137)</f>
        <v>55.857142857142854</v>
      </c>
      <c r="AB137" s="357">
        <f t="shared" si="34"/>
        <v>49.460749570556409</v>
      </c>
      <c r="AC137" s="610">
        <f t="shared" si="31"/>
        <v>-6.396393286586445</v>
      </c>
      <c r="AD137" s="610">
        <f t="shared" si="32"/>
        <v>3203.0714285714284</v>
      </c>
      <c r="AE137" s="202">
        <f t="shared" si="30"/>
        <v>1.1609001542020045</v>
      </c>
      <c r="AF137" s="202">
        <f t="shared" si="29"/>
        <v>0.25812194926782417</v>
      </c>
      <c r="AG137" s="7"/>
      <c r="AH137" s="7"/>
      <c r="AI137" s="179">
        <f>MAX($B$2:B137)</f>
        <v>4250</v>
      </c>
      <c r="AJ137" s="180">
        <f t="shared" si="43"/>
        <v>2.3639661426844014E-2</v>
      </c>
      <c r="AK137" s="180"/>
      <c r="AL137" s="180"/>
      <c r="AM137" s="180"/>
      <c r="AP137" s="644">
        <f t="shared" si="38"/>
        <v>1.3827202368104592</v>
      </c>
      <c r="AT137" s="180">
        <f t="shared" si="27"/>
        <v>1.5305426356589148E-2</v>
      </c>
    </row>
    <row r="138" spans="1:46" x14ac:dyDescent="0.25">
      <c r="A138" s="2">
        <v>44029</v>
      </c>
      <c r="B138" s="129">
        <v>4518</v>
      </c>
      <c r="C138" s="126">
        <f>C137+B138</f>
        <v>119301</v>
      </c>
      <c r="D138" s="126">
        <v>66</v>
      </c>
      <c r="E138" s="126">
        <v>2178</v>
      </c>
      <c r="F138" s="126">
        <f t="shared" si="42"/>
        <v>0</v>
      </c>
      <c r="G138" s="155">
        <v>49780</v>
      </c>
      <c r="H138" s="126">
        <v>823</v>
      </c>
      <c r="I138" s="126">
        <v>12472</v>
      </c>
      <c r="J138" s="7">
        <v>531753</v>
      </c>
      <c r="K138" s="611">
        <f t="shared" si="40"/>
        <v>1.825634319913496E-2</v>
      </c>
      <c r="L138" s="7">
        <v>321616</v>
      </c>
      <c r="M138" s="7">
        <v>322583</v>
      </c>
      <c r="N138" s="202">
        <v>1093</v>
      </c>
      <c r="O138" s="7">
        <v>38304</v>
      </c>
      <c r="P138" s="7">
        <v>60041</v>
      </c>
      <c r="Q138" s="4">
        <f>119301-P138-O138-N138</f>
        <v>19863</v>
      </c>
      <c r="R138" s="96">
        <f t="shared" si="41"/>
        <v>67343</v>
      </c>
      <c r="S138" s="35">
        <f t="shared" si="25"/>
        <v>1.2221017774675913E-2</v>
      </c>
      <c r="T138" s="28">
        <f t="shared" si="35"/>
        <v>1.825634319913496E-2</v>
      </c>
      <c r="U138" s="91">
        <f>SUM(B125:B138)/POBLA!$B$25*100000</f>
        <v>102.50294175906515</v>
      </c>
      <c r="V138" s="91">
        <f>B138/POBLA!$B$25*100000</f>
        <v>9.9558923997647337</v>
      </c>
      <c r="W138" s="625">
        <f t="shared" si="33"/>
        <v>1.4004094412331407</v>
      </c>
      <c r="X138" s="28">
        <f t="shared" si="36"/>
        <v>1.2221017774675913E-2</v>
      </c>
      <c r="Y138" s="202">
        <f t="shared" si="39"/>
        <v>0.33339937393509528</v>
      </c>
      <c r="Z138" s="297">
        <f t="shared" si="44"/>
        <v>3606</v>
      </c>
      <c r="AA138" s="179">
        <f t="shared" si="45"/>
        <v>57.571428571428569</v>
      </c>
      <c r="AB138" s="357">
        <f t="shared" si="34"/>
        <v>49.196256344430445</v>
      </c>
      <c r="AC138" s="610">
        <f t="shared" si="31"/>
        <v>-8.3751722269981244</v>
      </c>
      <c r="AD138" s="610">
        <f t="shared" si="32"/>
        <v>3322.5714285714284</v>
      </c>
      <c r="AE138" s="202">
        <f t="shared" si="30"/>
        <v>1.1865187552881451</v>
      </c>
      <c r="AF138" s="202">
        <f t="shared" si="29"/>
        <v>0.3236432965780216</v>
      </c>
      <c r="AG138" s="4"/>
      <c r="AH138" s="202">
        <f t="shared" ref="AH138:AH201" si="46">AA138/AA131</f>
        <v>1.1923076923076923</v>
      </c>
      <c r="AI138" s="179">
        <f>MAX($B$2:B138)</f>
        <v>4518</v>
      </c>
      <c r="AJ138" s="180">
        <f t="shared" si="43"/>
        <v>2.3501282948448797E-2</v>
      </c>
      <c r="AK138" s="180"/>
      <c r="AL138" s="180"/>
      <c r="AM138" s="180"/>
      <c r="AP138" s="644">
        <f t="shared" si="38"/>
        <v>1.4004094412331407</v>
      </c>
      <c r="AT138" s="180">
        <f t="shared" si="27"/>
        <v>1.5104477611940299E-2</v>
      </c>
    </row>
    <row r="139" spans="1:46" x14ac:dyDescent="0.25">
      <c r="A139" s="2">
        <v>44030</v>
      </c>
      <c r="B139" s="126">
        <f>3223+82</f>
        <v>3305</v>
      </c>
      <c r="C139" s="126">
        <f>C138+B139</f>
        <v>122606</v>
      </c>
      <c r="D139" s="126">
        <v>42</v>
      </c>
      <c r="E139" s="126">
        <v>2220</v>
      </c>
      <c r="F139" s="126">
        <f t="shared" si="42"/>
        <v>2827</v>
      </c>
      <c r="G139" s="155">
        <v>52607</v>
      </c>
      <c r="H139" s="126">
        <v>824</v>
      </c>
      <c r="I139" s="126">
        <v>9485</v>
      </c>
      <c r="J139" s="7">
        <v>541238</v>
      </c>
      <c r="K139" s="611">
        <f t="shared" si="40"/>
        <v>1.8106781071073195E-2</v>
      </c>
      <c r="L139" s="7">
        <f>M139-K139</f>
        <v>326365.98189321894</v>
      </c>
      <c r="M139" s="7">
        <v>326366</v>
      </c>
      <c r="N139" s="202">
        <v>1093</v>
      </c>
      <c r="O139" s="7">
        <v>39113</v>
      </c>
      <c r="P139" s="7">
        <v>62057</v>
      </c>
      <c r="Q139" s="7">
        <v>20261</v>
      </c>
      <c r="R139" s="96">
        <f t="shared" si="41"/>
        <v>67779</v>
      </c>
      <c r="S139" s="35">
        <f t="shared" si="25"/>
        <v>1.2157157821744199E-2</v>
      </c>
      <c r="T139" s="28">
        <f t="shared" si="35"/>
        <v>1.8106781071073195E-2</v>
      </c>
      <c r="U139" s="91">
        <f>SUM(B126:B139)/POBLA!$B$25*100000</f>
        <v>104.0785201268898</v>
      </c>
      <c r="V139" s="91">
        <f>B139/POBLA!$B$25*100000</f>
        <v>7.2829181897349375</v>
      </c>
      <c r="W139" s="625">
        <f t="shared" si="33"/>
        <v>1.3821549806859417</v>
      </c>
      <c r="X139" s="28">
        <f t="shared" si="36"/>
        <v>1.2157157821744199E-2</v>
      </c>
      <c r="Y139" s="202">
        <f t="shared" si="39"/>
        <v>0.33495262244761775</v>
      </c>
      <c r="Z139" s="297">
        <f t="shared" si="44"/>
        <v>3585.4285714285716</v>
      </c>
      <c r="AA139" s="179">
        <f t="shared" si="45"/>
        <v>58.428571428571431</v>
      </c>
      <c r="AB139" s="357">
        <f t="shared" si="34"/>
        <v>49.490917912484456</v>
      </c>
      <c r="AC139" s="610">
        <f t="shared" si="31"/>
        <v>-8.937653516086975</v>
      </c>
      <c r="AD139" s="610">
        <f t="shared" si="32"/>
        <v>3373.6428571428573</v>
      </c>
      <c r="AE139" s="202">
        <f t="shared" si="30"/>
        <v>1.1339628608864591</v>
      </c>
      <c r="AF139" s="202">
        <f t="shared" si="29"/>
        <v>0.27875254697758667</v>
      </c>
      <c r="AG139" s="4"/>
      <c r="AH139" s="202">
        <f t="shared" si="46"/>
        <v>1.2393939393939393</v>
      </c>
      <c r="AI139" s="179">
        <f>MAX($B$2:B139)</f>
        <v>4518</v>
      </c>
      <c r="AJ139" s="180">
        <f t="shared" si="43"/>
        <v>2.3591163407740669E-2</v>
      </c>
      <c r="AK139" s="180"/>
      <c r="AL139" s="180"/>
      <c r="AM139" s="180"/>
      <c r="AP139" s="644">
        <f t="shared" si="38"/>
        <v>1.3821549806859417</v>
      </c>
      <c r="AT139" s="180">
        <f t="shared" si="27"/>
        <v>1.4947647978189595E-2</v>
      </c>
    </row>
    <row r="140" spans="1:46" x14ac:dyDescent="0.25">
      <c r="A140" s="2">
        <v>44031</v>
      </c>
      <c r="B140" s="126">
        <v>4231</v>
      </c>
      <c r="C140" s="126">
        <f>C139+B140</f>
        <v>126837</v>
      </c>
      <c r="D140" s="126">
        <v>40</v>
      </c>
      <c r="E140" s="126">
        <v>2260</v>
      </c>
      <c r="F140" s="126">
        <f t="shared" si="42"/>
        <v>3306</v>
      </c>
      <c r="G140" s="155">
        <v>55913</v>
      </c>
      <c r="H140" s="126">
        <v>842</v>
      </c>
      <c r="I140" s="126">
        <v>11068</v>
      </c>
      <c r="J140" s="4">
        <v>552306</v>
      </c>
      <c r="K140" s="611">
        <f t="shared" si="40"/>
        <v>1.7818144547726608E-2</v>
      </c>
      <c r="L140" s="7">
        <v>331436</v>
      </c>
      <c r="M140" s="4">
        <v>332433</v>
      </c>
      <c r="N140" s="202">
        <v>1095</v>
      </c>
      <c r="O140" s="4">
        <v>40138</v>
      </c>
      <c r="P140" s="4">
        <v>63648</v>
      </c>
      <c r="Q140" s="4">
        <f>126755-P140-O140-N140</f>
        <v>21874</v>
      </c>
      <c r="R140" s="96">
        <f t="shared" si="41"/>
        <v>68664</v>
      </c>
      <c r="S140" s="35">
        <f t="shared" si="25"/>
        <v>1.2262612140277292E-2</v>
      </c>
      <c r="T140" s="28">
        <f t="shared" si="35"/>
        <v>1.7818144547726608E-2</v>
      </c>
      <c r="U140" s="91">
        <f>SUM(B127:B140)/POBLA!$B$25*100000</f>
        <v>108.02738227394124</v>
      </c>
      <c r="V140" s="91">
        <f>B140/POBLA!$B$25*100000</f>
        <v>9.3234574465260263</v>
      </c>
      <c r="W140" s="625">
        <f t="shared" si="33"/>
        <v>1.3994576077647731</v>
      </c>
      <c r="X140" s="28">
        <f t="shared" si="36"/>
        <v>1.2262612140277292E-2</v>
      </c>
      <c r="Y140" s="202">
        <f t="shared" si="39"/>
        <v>0.34245801448307739</v>
      </c>
      <c r="Z140" s="297">
        <f t="shared" si="44"/>
        <v>3810.2857142857142</v>
      </c>
      <c r="AA140" s="179">
        <f t="shared" si="45"/>
        <v>59.285714285714285</v>
      </c>
      <c r="AB140" s="357">
        <f t="shared" si="34"/>
        <v>49.47296977262922</v>
      </c>
      <c r="AC140" s="610">
        <f t="shared" si="31"/>
        <v>-9.8127445130850646</v>
      </c>
      <c r="AD140" s="610">
        <f t="shared" si="32"/>
        <v>3501.6428571428573</v>
      </c>
      <c r="AE140" s="202">
        <f t="shared" si="30"/>
        <v>1.1933246834593529</v>
      </c>
      <c r="AF140" s="202">
        <f t="shared" si="29"/>
        <v>0.2680800768264755</v>
      </c>
      <c r="AG140" s="4"/>
      <c r="AH140" s="202">
        <f t="shared" si="46"/>
        <v>1.2278106508875739</v>
      </c>
      <c r="AI140" s="179">
        <f>MAX($B$2:B140)</f>
        <v>4518</v>
      </c>
      <c r="AJ140" s="180">
        <f t="shared" si="43"/>
        <v>2.3969042393438833E-2</v>
      </c>
      <c r="AK140" s="180"/>
      <c r="AL140" s="180"/>
      <c r="AM140" s="180"/>
      <c r="AP140" s="644">
        <f t="shared" si="38"/>
        <v>1.3994576077647731</v>
      </c>
      <c r="AT140" s="180">
        <f t="shared" si="27"/>
        <v>1.4678920108172526E-2</v>
      </c>
    </row>
    <row r="141" spans="1:46" x14ac:dyDescent="0.25">
      <c r="A141" s="36">
        <v>44032</v>
      </c>
      <c r="B141" s="126">
        <v>3937</v>
      </c>
      <c r="C141" s="126">
        <v>130774</v>
      </c>
      <c r="D141" s="126">
        <v>113</v>
      </c>
      <c r="E141" s="126">
        <f t="shared" ref="E141:E148" si="47">E140+D141</f>
        <v>2373</v>
      </c>
      <c r="F141" s="126">
        <f t="shared" si="42"/>
        <v>2685</v>
      </c>
      <c r="G141" s="155">
        <v>58598</v>
      </c>
      <c r="H141" s="126">
        <v>853</v>
      </c>
      <c r="I141" s="126">
        <v>11207</v>
      </c>
      <c r="J141" s="4">
        <v>563513</v>
      </c>
      <c r="K141" s="611">
        <f t="shared" si="40"/>
        <v>1.8145808799914356E-2</v>
      </c>
      <c r="L141" s="7">
        <v>337237</v>
      </c>
      <c r="M141" s="4">
        <v>338251</v>
      </c>
      <c r="N141" s="202">
        <v>1095</v>
      </c>
      <c r="O141" s="4">
        <v>41086</v>
      </c>
      <c r="P141" s="4">
        <v>66293</v>
      </c>
      <c r="Q141" s="4">
        <f>130744-P141-N141-O141</f>
        <v>22270</v>
      </c>
      <c r="R141" s="96">
        <f t="shared" si="41"/>
        <v>69803</v>
      </c>
      <c r="S141" s="35">
        <f t="shared" si="25"/>
        <v>1.2220105153073649E-2</v>
      </c>
      <c r="T141" s="28">
        <f t="shared" si="35"/>
        <v>1.8145808799914356E-2</v>
      </c>
      <c r="U141" s="91">
        <f>SUM(B128:B141)/POBLA!$B$25*100000</f>
        <v>110.90308824598485</v>
      </c>
      <c r="V141" s="91">
        <f>B141/POBLA!$B$25*100000</f>
        <v>8.6755972505253993</v>
      </c>
      <c r="W141" s="625">
        <f t="shared" ref="W141:W204" si="48">SUM(B128:B141)/SUM(B114:B127)</f>
        <v>1.4170514697601082</v>
      </c>
      <c r="X141" s="28">
        <f t="shared" si="36"/>
        <v>1.2220105153073649E-2</v>
      </c>
      <c r="Y141" s="202">
        <f t="shared" si="39"/>
        <v>0.34510876383069472</v>
      </c>
      <c r="Z141" s="297">
        <f t="shared" si="44"/>
        <v>3930</v>
      </c>
      <c r="AA141" s="179">
        <f t="shared" si="45"/>
        <v>67.142857142857139</v>
      </c>
      <c r="AB141" s="357">
        <f t="shared" si="34"/>
        <v>51.070319589294812</v>
      </c>
      <c r="AC141" s="610">
        <f t="shared" si="31"/>
        <v>-16.072537553562327</v>
      </c>
      <c r="AD141" s="610">
        <f t="shared" si="32"/>
        <v>3594.8571428571427</v>
      </c>
      <c r="AE141" s="202">
        <f t="shared" si="30"/>
        <v>1.205627136471207</v>
      </c>
      <c r="AF141" s="202">
        <f t="shared" si="29"/>
        <v>0.24882368727077564</v>
      </c>
      <c r="AG141" s="4"/>
      <c r="AH141" s="202">
        <f t="shared" si="46"/>
        <v>1.4641744548286604</v>
      </c>
      <c r="AI141" s="179">
        <f>MAX($B$2:B141)</f>
        <v>4518</v>
      </c>
      <c r="AJ141" s="180">
        <f t="shared" si="43"/>
        <v>2.7095583996310388E-2</v>
      </c>
      <c r="AK141" s="180"/>
      <c r="AL141" s="180"/>
      <c r="AM141" s="180"/>
      <c r="AP141" s="644">
        <f t="shared" si="38"/>
        <v>1.4170514697601082</v>
      </c>
      <c r="AT141" s="180">
        <f t="shared" si="27"/>
        <v>1.5429100936687097E-2</v>
      </c>
    </row>
    <row r="142" spans="1:46" x14ac:dyDescent="0.25">
      <c r="A142" s="2">
        <v>44033</v>
      </c>
      <c r="B142" s="126">
        <v>5344</v>
      </c>
      <c r="C142" s="126">
        <f t="shared" ref="C142:C159" si="49">C141+B142</f>
        <v>136118</v>
      </c>
      <c r="D142" s="126">
        <v>117</v>
      </c>
      <c r="E142" s="126">
        <f t="shared" si="47"/>
        <v>2490</v>
      </c>
      <c r="F142" s="126">
        <f t="shared" si="42"/>
        <v>1933</v>
      </c>
      <c r="G142" s="155">
        <v>60531</v>
      </c>
      <c r="H142" s="126">
        <v>890</v>
      </c>
      <c r="I142" s="126">
        <v>14689</v>
      </c>
      <c r="J142" s="4">
        <v>578202</v>
      </c>
      <c r="K142" s="611">
        <f t="shared" si="40"/>
        <v>1.8292951703668875E-2</v>
      </c>
      <c r="L142" s="7">
        <v>344681</v>
      </c>
      <c r="M142" s="4">
        <v>345718</v>
      </c>
      <c r="N142" s="202">
        <v>1096</v>
      </c>
      <c r="O142" s="4">
        <v>42253</v>
      </c>
      <c r="P142" s="4">
        <v>69442</v>
      </c>
      <c r="Q142" s="4">
        <v>23327</v>
      </c>
      <c r="R142" s="96">
        <f t="shared" si="41"/>
        <v>73097</v>
      </c>
      <c r="S142" s="35">
        <f t="shared" ref="S142:S205" si="50">H142/(C142-E142-G142)</f>
        <v>1.2175602281899393E-2</v>
      </c>
      <c r="T142" s="28">
        <f t="shared" ref="T142:T173" si="51">E142/C142</f>
        <v>1.8292951703668875E-2</v>
      </c>
      <c r="U142" s="91">
        <f>SUM(B129:B142)/POBLA!$B$25*100000</f>
        <v>116.11461669340484</v>
      </c>
      <c r="V142" s="91">
        <f>B142/POBLA!$B$25*100000</f>
        <v>11.776071045671257</v>
      </c>
      <c r="W142" s="625">
        <f t="shared" si="48"/>
        <v>1.4552057442695387</v>
      </c>
      <c r="X142" s="28">
        <f t="shared" si="36"/>
        <v>1.2175602281899393E-2</v>
      </c>
      <c r="Y142" s="202">
        <f t="shared" si="39"/>
        <v>0.35133574701997905</v>
      </c>
      <c r="Z142" s="297">
        <f t="shared" si="44"/>
        <v>4172.7142857142853</v>
      </c>
      <c r="AA142" s="179">
        <f t="shared" si="45"/>
        <v>74.571428571428569</v>
      </c>
      <c r="AB142" s="357">
        <f t="shared" si="34"/>
        <v>53.195173823850737</v>
      </c>
      <c r="AC142" s="610">
        <f t="shared" si="31"/>
        <v>-21.376254747577832</v>
      </c>
      <c r="AD142" s="610">
        <f t="shared" si="32"/>
        <v>3763.7857142857142</v>
      </c>
      <c r="AE142" s="202">
        <f t="shared" si="30"/>
        <v>1.243783001192301</v>
      </c>
      <c r="AF142" s="202">
        <f t="shared" si="29"/>
        <v>0.26807646936368057</v>
      </c>
      <c r="AG142" s="4"/>
      <c r="AH142" s="202">
        <f t="shared" si="46"/>
        <v>1.6111111111111112</v>
      </c>
      <c r="AI142" s="179">
        <f>MAX($B$2:B142)</f>
        <v>5344</v>
      </c>
      <c r="AJ142" s="180">
        <f t="shared" si="43"/>
        <v>2.9855868222374741E-2</v>
      </c>
      <c r="AK142" s="180"/>
      <c r="AL142" s="180"/>
      <c r="AM142" s="180"/>
      <c r="AP142" s="644">
        <f t="shared" si="38"/>
        <v>1.4552057442695387</v>
      </c>
      <c r="AT142" s="180">
        <f t="shared" si="27"/>
        <v>1.5857029592645767E-2</v>
      </c>
    </row>
    <row r="143" spans="1:46" x14ac:dyDescent="0.25">
      <c r="A143" s="2">
        <v>44034</v>
      </c>
      <c r="B143" s="126">
        <v>5782</v>
      </c>
      <c r="C143" s="126">
        <f t="shared" si="49"/>
        <v>141900</v>
      </c>
      <c r="D143" s="126">
        <v>98</v>
      </c>
      <c r="E143" s="126">
        <f t="shared" si="47"/>
        <v>2588</v>
      </c>
      <c r="F143" s="126">
        <f t="shared" si="42"/>
        <v>2284</v>
      </c>
      <c r="G143" s="155">
        <v>62815</v>
      </c>
      <c r="H143" s="126">
        <v>902</v>
      </c>
      <c r="I143" s="126">
        <v>14842</v>
      </c>
      <c r="J143" s="4">
        <f>J142+I143</f>
        <v>593044</v>
      </c>
      <c r="K143" s="611">
        <f t="shared" si="40"/>
        <v>1.8238195912614517E-2</v>
      </c>
      <c r="L143" s="7">
        <v>351858</v>
      </c>
      <c r="M143" s="4">
        <v>352916</v>
      </c>
      <c r="N143" s="202">
        <v>1096</v>
      </c>
      <c r="O143" s="4">
        <v>43748</v>
      </c>
      <c r="P143" s="4">
        <v>72527</v>
      </c>
      <c r="Q143" s="4">
        <f>141900-P143-O143-N143</f>
        <v>24529</v>
      </c>
      <c r="R143" s="96">
        <f t="shared" si="41"/>
        <v>76497</v>
      </c>
      <c r="S143" s="35">
        <f t="shared" si="50"/>
        <v>1.1791312077597814E-2</v>
      </c>
      <c r="T143" s="28">
        <f t="shared" si="51"/>
        <v>1.8238195912614517E-2</v>
      </c>
      <c r="U143" s="91">
        <f>SUM(B130:B143)/POBLA!$B$25*100000</f>
        <v>120.91407079847072</v>
      </c>
      <c r="V143" s="91">
        <f>B143/POBLA!$B$25*100000</f>
        <v>12.741250521345661</v>
      </c>
      <c r="W143" s="625">
        <f t="shared" si="48"/>
        <v>1.4758600285107184</v>
      </c>
      <c r="X143" s="28">
        <f t="shared" si="36"/>
        <v>1.1791312077597814E-2</v>
      </c>
      <c r="Y143" s="202">
        <f t="shared" si="39"/>
        <v>0.36244340690435767</v>
      </c>
      <c r="Z143" s="297">
        <f t="shared" si="44"/>
        <v>4391.5714285714284</v>
      </c>
      <c r="AA143" s="179">
        <f t="shared" si="45"/>
        <v>76.857142857142861</v>
      </c>
      <c r="AB143" s="357">
        <f t="shared" si="34"/>
        <v>55.181193677057173</v>
      </c>
      <c r="AC143" s="610">
        <f t="shared" si="31"/>
        <v>-21.675949180085688</v>
      </c>
      <c r="AD143" s="610">
        <f t="shared" si="32"/>
        <v>3919.3571428571427</v>
      </c>
      <c r="AE143" s="202">
        <f t="shared" si="30"/>
        <v>1.2739743058433484</v>
      </c>
      <c r="AF143" s="202">
        <f t="shared" si="29"/>
        <v>0.27516252708784794</v>
      </c>
      <c r="AG143" s="4"/>
      <c r="AH143" s="202">
        <f t="shared" si="46"/>
        <v>1.5154929577464789</v>
      </c>
      <c r="AI143" s="179">
        <f>MAX($B$2:B143)</f>
        <v>5782</v>
      </c>
      <c r="AJ143" s="180">
        <f t="shared" si="43"/>
        <v>3.0843318236541885E-2</v>
      </c>
      <c r="AK143" s="180"/>
      <c r="AL143" s="180"/>
      <c r="AM143" s="180"/>
      <c r="AP143" s="644">
        <f t="shared" si="38"/>
        <v>1.4758600285107184</v>
      </c>
      <c r="AT143" s="180">
        <f t="shared" si="27"/>
        <v>1.5943075177890068E-2</v>
      </c>
    </row>
    <row r="144" spans="1:46" x14ac:dyDescent="0.25">
      <c r="A144" s="2">
        <v>44035</v>
      </c>
      <c r="B144" s="126">
        <v>6127</v>
      </c>
      <c r="C144" s="126">
        <f t="shared" si="49"/>
        <v>148027</v>
      </c>
      <c r="D144" s="126">
        <f>29+85</f>
        <v>114</v>
      </c>
      <c r="E144" s="126">
        <f t="shared" si="47"/>
        <v>2702</v>
      </c>
      <c r="F144" s="126">
        <f t="shared" si="42"/>
        <v>2632</v>
      </c>
      <c r="G144" s="155">
        <v>65447</v>
      </c>
      <c r="H144" s="126">
        <v>913</v>
      </c>
      <c r="I144" s="129">
        <v>16218</v>
      </c>
      <c r="J144" s="4">
        <v>609262</v>
      </c>
      <c r="K144" s="611">
        <f t="shared" si="40"/>
        <v>1.8253426739716402E-2</v>
      </c>
      <c r="L144" s="7">
        <v>359756</v>
      </c>
      <c r="M144" s="4">
        <v>360838</v>
      </c>
      <c r="N144" s="202">
        <v>1101</v>
      </c>
      <c r="O144" s="4">
        <v>45026</v>
      </c>
      <c r="P144" s="4">
        <v>76114</v>
      </c>
      <c r="Q144" s="4">
        <f>148027-P144-O144-N144</f>
        <v>25786</v>
      </c>
      <c r="R144" s="96">
        <f t="shared" si="41"/>
        <v>79878</v>
      </c>
      <c r="S144" s="35">
        <f t="shared" si="50"/>
        <v>1.1429930644232455E-2</v>
      </c>
      <c r="T144" s="28">
        <f t="shared" si="51"/>
        <v>1.8253426739716402E-2</v>
      </c>
      <c r="U144" s="91">
        <f>SUM(B131:B144)/POBLA!$B$25*100000</f>
        <v>126.34375625066646</v>
      </c>
      <c r="V144" s="91">
        <f>B144/POBLA!$B$25*100000</f>
        <v>13.501494628897415</v>
      </c>
      <c r="W144" s="625">
        <f t="shared" si="48"/>
        <v>1.4995030860968721</v>
      </c>
      <c r="X144" s="28">
        <f t="shared" si="36"/>
        <v>1.1429930644232455E-2</v>
      </c>
      <c r="Y144" s="202">
        <f t="shared" si="39"/>
        <v>0.36945577399673263</v>
      </c>
      <c r="Z144" s="297">
        <f t="shared" si="44"/>
        <v>4749.1428571428569</v>
      </c>
      <c r="AA144" s="179">
        <f t="shared" si="45"/>
        <v>84.285714285714292</v>
      </c>
      <c r="AB144" s="357">
        <f t="shared" si="34"/>
        <v>56.256022279243474</v>
      </c>
      <c r="AC144" s="610">
        <f t="shared" si="31"/>
        <v>-28.029692006470817</v>
      </c>
      <c r="AD144" s="610">
        <f t="shared" si="32"/>
        <v>4095.3571428571427</v>
      </c>
      <c r="AE144" s="202">
        <f t="shared" si="30"/>
        <v>1.3799344153418289</v>
      </c>
      <c r="AF144" s="202">
        <f t="shared" si="29"/>
        <v>0.27010224038415664</v>
      </c>
      <c r="AG144" s="4"/>
      <c r="AH144" s="202">
        <f t="shared" si="46"/>
        <v>1.5089514066496166</v>
      </c>
      <c r="AI144" s="179">
        <f>MAX($B$2:B144)</f>
        <v>6127</v>
      </c>
      <c r="AJ144" s="180">
        <f t="shared" si="43"/>
        <v>3.3461887477313983E-2</v>
      </c>
      <c r="AK144" s="180"/>
      <c r="AL144" s="180"/>
      <c r="AM144" s="180"/>
      <c r="AP144" s="644">
        <f t="shared" si="38"/>
        <v>1.4995030860968721</v>
      </c>
      <c r="AT144" s="180">
        <f t="shared" ref="AT144:AT207" si="52">SUM(D115:D144)/SUM(B115:B144)</f>
        <v>1.6119112804031267E-2</v>
      </c>
    </row>
    <row r="145" spans="1:46" x14ac:dyDescent="0.25">
      <c r="A145" s="2">
        <v>44036</v>
      </c>
      <c r="B145" s="126">
        <v>5493</v>
      </c>
      <c r="C145" s="126">
        <f t="shared" si="49"/>
        <v>153520</v>
      </c>
      <c r="D145" s="126">
        <f>20+85</f>
        <v>105</v>
      </c>
      <c r="E145" s="126">
        <f t="shared" si="47"/>
        <v>2807</v>
      </c>
      <c r="F145" s="126">
        <f t="shared" si="42"/>
        <v>2575</v>
      </c>
      <c r="G145" s="155">
        <v>68022</v>
      </c>
      <c r="H145" s="126">
        <v>955</v>
      </c>
      <c r="I145" s="126">
        <v>14631</v>
      </c>
      <c r="J145" s="4">
        <f>J144+I145</f>
        <v>623893</v>
      </c>
      <c r="K145" s="611">
        <f t="shared" si="40"/>
        <v>1.8284262636789995E-2</v>
      </c>
      <c r="L145" s="7">
        <v>367243</v>
      </c>
      <c r="M145" s="4">
        <v>367979</v>
      </c>
      <c r="N145" s="202">
        <v>1105</v>
      </c>
      <c r="O145" s="4">
        <v>46528</v>
      </c>
      <c r="P145" s="4">
        <v>79424</v>
      </c>
      <c r="Q145" s="4">
        <f>153520-P145-O145-N145</f>
        <v>26463</v>
      </c>
      <c r="R145" s="96">
        <f t="shared" si="41"/>
        <v>82691</v>
      </c>
      <c r="S145" s="35">
        <f t="shared" si="50"/>
        <v>1.1549019844964991E-2</v>
      </c>
      <c r="T145" s="28">
        <f t="shared" si="51"/>
        <v>1.8284262636789995E-2</v>
      </c>
      <c r="U145" s="91">
        <f>SUM(B132:B145)/POBLA!$B$25*100000</f>
        <v>131.02862283807235</v>
      </c>
      <c r="V145" s="91">
        <f>B145/POBLA!$B$25*100000</f>
        <v>12.104408355889262</v>
      </c>
      <c r="W145" s="625">
        <f t="shared" si="48"/>
        <v>1.5357853139447788</v>
      </c>
      <c r="X145" s="28">
        <f t="shared" si="36"/>
        <v>1.1549019844964991E-2</v>
      </c>
      <c r="Y145" s="202">
        <f t="shared" si="39"/>
        <v>0.37138050792272631</v>
      </c>
      <c r="Z145" s="297">
        <f t="shared" si="44"/>
        <v>4888.4285714285716</v>
      </c>
      <c r="AA145" s="179">
        <f t="shared" si="45"/>
        <v>89.857142857142861</v>
      </c>
      <c r="AB145" s="357">
        <f t="shared" si="34"/>
        <v>57.351462592266344</v>
      </c>
      <c r="AC145" s="610">
        <f t="shared" si="31"/>
        <v>-32.505680264876517</v>
      </c>
      <c r="AD145" s="610">
        <f t="shared" si="32"/>
        <v>4247.2142857142853</v>
      </c>
      <c r="AE145" s="202">
        <f t="shared" si="30"/>
        <v>1.355637429680691</v>
      </c>
      <c r="AF145" s="202">
        <f t="shared" ref="AF145:AF208" si="53">R145/R138-1</f>
        <v>0.22790787461206063</v>
      </c>
      <c r="AG145" s="4"/>
      <c r="AH145" s="202">
        <f t="shared" si="46"/>
        <v>1.5607940446650126</v>
      </c>
      <c r="AI145" s="179">
        <f>MAX($B$2:B145)</f>
        <v>6127</v>
      </c>
      <c r="AJ145" s="180">
        <f t="shared" si="43"/>
        <v>3.5175036349401639E-2</v>
      </c>
      <c r="AK145" s="180"/>
      <c r="AL145" s="180"/>
      <c r="AM145" s="180"/>
      <c r="AP145" s="644">
        <f t="shared" si="38"/>
        <v>1.5357853139447788</v>
      </c>
      <c r="AT145" s="180">
        <f t="shared" si="52"/>
        <v>1.6321018616764733E-2</v>
      </c>
    </row>
    <row r="146" spans="1:46" x14ac:dyDescent="0.25">
      <c r="A146" s="2">
        <v>44037</v>
      </c>
      <c r="B146" s="126">
        <v>4814</v>
      </c>
      <c r="C146" s="126">
        <f t="shared" si="49"/>
        <v>158334</v>
      </c>
      <c r="D146" s="126">
        <v>86</v>
      </c>
      <c r="E146" s="126">
        <f t="shared" si="47"/>
        <v>2893</v>
      </c>
      <c r="F146" s="126">
        <f t="shared" si="42"/>
        <v>2496</v>
      </c>
      <c r="G146" s="155">
        <v>70518</v>
      </c>
      <c r="H146" s="126">
        <v>980</v>
      </c>
      <c r="I146" s="126">
        <v>12951</v>
      </c>
      <c r="J146" s="4">
        <v>636844</v>
      </c>
      <c r="K146" s="611">
        <f t="shared" si="40"/>
        <v>1.8271502014728359E-2</v>
      </c>
      <c r="L146" s="7">
        <f>M146*0.998</f>
        <v>373724.054</v>
      </c>
      <c r="M146" s="4">
        <v>374473</v>
      </c>
      <c r="N146" s="202">
        <v>1107</v>
      </c>
      <c r="O146" s="4">
        <v>47659</v>
      </c>
      <c r="P146" s="4">
        <v>81828</v>
      </c>
      <c r="Q146" s="4">
        <f>158334-P146-O146-N146</f>
        <v>27740</v>
      </c>
      <c r="R146" s="96">
        <f t="shared" si="41"/>
        <v>84923</v>
      </c>
      <c r="S146" s="35">
        <f t="shared" si="50"/>
        <v>1.1539865525240512E-2</v>
      </c>
      <c r="T146" s="28">
        <f t="shared" si="51"/>
        <v>1.8271502014728359E-2</v>
      </c>
      <c r="U146" s="91">
        <f>SUM(B133:B146)/POBLA!$B$25*100000</f>
        <v>134.03654517664668</v>
      </c>
      <c r="V146" s="91">
        <f>B146/POBLA!$B$25*100000</f>
        <v>10.608159807983052</v>
      </c>
      <c r="W146" s="625">
        <f t="shared" si="48"/>
        <v>1.5296366151137935</v>
      </c>
      <c r="X146" s="28">
        <f t="shared" si="36"/>
        <v>1.1539865525240512E-2</v>
      </c>
      <c r="Y146" s="202">
        <f t="shared" si="39"/>
        <v>0.37370039537267535</v>
      </c>
      <c r="Z146" s="297">
        <f t="shared" si="44"/>
        <v>5104</v>
      </c>
      <c r="AA146" s="179">
        <f t="shared" si="45"/>
        <v>96.142857142857139</v>
      </c>
      <c r="AB146" s="357">
        <f t="shared" si="34"/>
        <v>58.724048915631222</v>
      </c>
      <c r="AC146" s="610">
        <f t="shared" si="31"/>
        <v>-37.418808227225917</v>
      </c>
      <c r="AD146" s="610">
        <f t="shared" si="32"/>
        <v>4344.7142857142853</v>
      </c>
      <c r="AE146" s="202">
        <f t="shared" si="30"/>
        <v>1.4235397242808192</v>
      </c>
      <c r="AF146" s="202">
        <f t="shared" si="53"/>
        <v>0.25293970108735753</v>
      </c>
      <c r="AG146" s="4"/>
      <c r="AH146" s="202">
        <f t="shared" si="46"/>
        <v>1.6454767726161368</v>
      </c>
      <c r="AI146" s="179">
        <f>MAX($B$2:B146)</f>
        <v>6127</v>
      </c>
      <c r="AJ146" s="180">
        <f t="shared" si="43"/>
        <v>3.7020738214423234E-2</v>
      </c>
      <c r="AK146" s="180"/>
      <c r="AL146" s="180"/>
      <c r="AM146" s="180"/>
      <c r="AP146" s="644">
        <f t="shared" si="38"/>
        <v>1.5296366151137935</v>
      </c>
      <c r="AT146" s="180">
        <f t="shared" si="52"/>
        <v>1.6471788284629481E-2</v>
      </c>
    </row>
    <row r="147" spans="1:46" x14ac:dyDescent="0.25">
      <c r="A147" s="2">
        <v>44038</v>
      </c>
      <c r="B147" s="126">
        <v>4192</v>
      </c>
      <c r="C147" s="126">
        <f t="shared" si="49"/>
        <v>162526</v>
      </c>
      <c r="D147" s="126">
        <v>45</v>
      </c>
      <c r="E147" s="126">
        <f t="shared" si="47"/>
        <v>2938</v>
      </c>
      <c r="F147" s="126">
        <f t="shared" si="42"/>
        <v>2057</v>
      </c>
      <c r="G147" s="155">
        <v>72575</v>
      </c>
      <c r="H147" s="126">
        <v>993</v>
      </c>
      <c r="I147" s="126">
        <v>10870</v>
      </c>
      <c r="J147" s="4">
        <v>647714</v>
      </c>
      <c r="K147" s="611">
        <f t="shared" si="40"/>
        <v>1.8077107662773956E-2</v>
      </c>
      <c r="L147" s="7">
        <f>0.998*M147</f>
        <v>378939.60200000001</v>
      </c>
      <c r="M147" s="4">
        <v>379699</v>
      </c>
      <c r="N147" s="202">
        <v>1109</v>
      </c>
      <c r="O147" s="4">
        <v>46698</v>
      </c>
      <c r="P147" s="4">
        <v>84358</v>
      </c>
      <c r="Q147" s="4">
        <f>162526-P147-O147-N147</f>
        <v>30361</v>
      </c>
      <c r="R147" s="96">
        <f t="shared" si="41"/>
        <v>87013</v>
      </c>
      <c r="S147" s="35">
        <f t="shared" si="50"/>
        <v>1.1412087848942112E-2</v>
      </c>
      <c r="T147" s="28">
        <f t="shared" si="51"/>
        <v>1.8077107662773956E-2</v>
      </c>
      <c r="U147" s="91">
        <f>SUM(B134:B147)/POBLA!$B$25*100000</f>
        <v>137.4190805537248</v>
      </c>
      <c r="V147" s="91">
        <f>B147/POBLA!$B$25*100000</f>
        <v>9.237516808281045</v>
      </c>
      <c r="W147" s="625">
        <f t="shared" si="48"/>
        <v>1.5499962717172471</v>
      </c>
      <c r="X147" s="28">
        <f t="shared" si="36"/>
        <v>1.1412087848942112E-2</v>
      </c>
      <c r="Y147" s="202">
        <f t="shared" si="39"/>
        <v>0.37406716417910446</v>
      </c>
      <c r="Z147" s="297">
        <f t="shared" si="44"/>
        <v>5098.4285714285716</v>
      </c>
      <c r="AA147" s="179">
        <f t="shared" si="45"/>
        <v>96.857142857142861</v>
      </c>
      <c r="AB147" s="357">
        <f t="shared" si="34"/>
        <v>58.813220054709184</v>
      </c>
      <c r="AC147" s="610">
        <f t="shared" si="31"/>
        <v>-38.043922802433677</v>
      </c>
      <c r="AD147" s="610">
        <f t="shared" si="32"/>
        <v>4454.3571428571431</v>
      </c>
      <c r="AE147" s="202">
        <f t="shared" si="30"/>
        <v>1.3380698860227955</v>
      </c>
      <c r="AF147" s="202">
        <f t="shared" si="53"/>
        <v>0.26722882442036577</v>
      </c>
      <c r="AG147" s="4"/>
      <c r="AH147" s="202">
        <f t="shared" si="46"/>
        <v>1.6337349397590362</v>
      </c>
      <c r="AI147" s="179">
        <f>MAX($B$2:B147)</f>
        <v>6127</v>
      </c>
      <c r="AJ147" s="180">
        <f t="shared" si="43"/>
        <v>3.5880609652836577E-2</v>
      </c>
      <c r="AK147" s="180"/>
      <c r="AL147" s="180"/>
      <c r="AM147" s="180"/>
      <c r="AP147" s="644">
        <f t="shared" si="38"/>
        <v>1.5499962717172471</v>
      </c>
      <c r="AT147" s="180">
        <f t="shared" si="52"/>
        <v>1.637371249440215E-2</v>
      </c>
    </row>
    <row r="148" spans="1:46" x14ac:dyDescent="0.25">
      <c r="A148" s="36">
        <v>44039</v>
      </c>
      <c r="B148" s="126">
        <v>4890</v>
      </c>
      <c r="C148" s="126">
        <f t="shared" si="49"/>
        <v>167416</v>
      </c>
      <c r="D148" s="126">
        <f>17+104</f>
        <v>121</v>
      </c>
      <c r="E148" s="126">
        <f t="shared" si="47"/>
        <v>3059</v>
      </c>
      <c r="F148" s="126">
        <f t="shared" si="42"/>
        <v>2508</v>
      </c>
      <c r="G148" s="155">
        <v>75083</v>
      </c>
      <c r="H148" s="126">
        <v>1002</v>
      </c>
      <c r="I148" s="126">
        <v>12398</v>
      </c>
      <c r="J148" s="4">
        <f>J147+I148</f>
        <v>660112</v>
      </c>
      <c r="K148" s="611">
        <f t="shared" si="40"/>
        <v>1.8271849763463469E-2</v>
      </c>
      <c r="L148" s="7">
        <f>M148-K148</f>
        <v>385642.98172815022</v>
      </c>
      <c r="M148" s="4">
        <v>385643</v>
      </c>
      <c r="N148" s="202">
        <v>1112</v>
      </c>
      <c r="O148" s="4">
        <v>49648</v>
      </c>
      <c r="P148" s="4">
        <v>88238</v>
      </c>
      <c r="Q148" s="4">
        <f>167416-P148-O148-N148</f>
        <v>28418</v>
      </c>
      <c r="R148" s="96">
        <f t="shared" si="41"/>
        <v>89274</v>
      </c>
      <c r="S148" s="35">
        <f t="shared" si="50"/>
        <v>1.1223872572081458E-2</v>
      </c>
      <c r="T148" s="28">
        <f t="shared" si="51"/>
        <v>1.8271849763463469E-2</v>
      </c>
      <c r="U148" s="91">
        <f>SUM(B135:B148)/POBLA!$B$25*100000</f>
        <v>141.36573909466736</v>
      </c>
      <c r="V148" s="91">
        <f>B148/POBLA!$B$25*100000</f>
        <v>10.775633872255323</v>
      </c>
      <c r="W148" s="625">
        <f t="shared" si="48"/>
        <v>1.5647974242017708</v>
      </c>
      <c r="X148" s="28">
        <f t="shared" si="36"/>
        <v>1.1223872572081458E-2</v>
      </c>
      <c r="Y148" s="202">
        <f t="shared" si="39"/>
        <v>0.37932069690162423</v>
      </c>
      <c r="Z148" s="297">
        <f t="shared" si="44"/>
        <v>5234.5714285714284</v>
      </c>
      <c r="AA148" s="179">
        <f t="shared" si="45"/>
        <v>98</v>
      </c>
      <c r="AB148" s="357">
        <f t="shared" si="34"/>
        <v>60.071043293606607</v>
      </c>
      <c r="AC148" s="610">
        <f t="shared" si="31"/>
        <v>-37.928956706393393</v>
      </c>
      <c r="AD148" s="610">
        <f t="shared" si="32"/>
        <v>4582.2857142857147</v>
      </c>
      <c r="AE148" s="202">
        <f t="shared" si="30"/>
        <v>1.3319520174482007</v>
      </c>
      <c r="AF148" s="202">
        <f t="shared" si="53"/>
        <v>0.27894216580949238</v>
      </c>
      <c r="AG148" s="4"/>
      <c r="AH148" s="202">
        <f t="shared" si="46"/>
        <v>1.4595744680851064</v>
      </c>
      <c r="AI148" s="179">
        <f>MAX($B$2:B148)</f>
        <v>6127</v>
      </c>
      <c r="AJ148" s="180">
        <f t="shared" si="43"/>
        <v>3.4588816618766706E-2</v>
      </c>
      <c r="AK148" s="180"/>
      <c r="AL148" s="180"/>
      <c r="AM148" s="180"/>
      <c r="AP148" s="644">
        <f t="shared" si="38"/>
        <v>1.5647974242017708</v>
      </c>
      <c r="AT148" s="180">
        <f t="shared" si="52"/>
        <v>1.6895680796549743E-2</v>
      </c>
    </row>
    <row r="149" spans="1:46" x14ac:dyDescent="0.25">
      <c r="A149" s="2">
        <v>44040</v>
      </c>
      <c r="B149" s="126">
        <v>5939</v>
      </c>
      <c r="C149" s="126">
        <f t="shared" si="49"/>
        <v>173355</v>
      </c>
      <c r="D149" s="126">
        <f>23+97</f>
        <v>120</v>
      </c>
      <c r="E149" s="126">
        <v>3178</v>
      </c>
      <c r="F149" s="126">
        <f t="shared" si="42"/>
        <v>2772</v>
      </c>
      <c r="G149" s="155">
        <v>77855</v>
      </c>
      <c r="H149" s="126">
        <v>1024</v>
      </c>
      <c r="I149" s="126">
        <v>14899</v>
      </c>
      <c r="J149" s="4">
        <v>675011</v>
      </c>
      <c r="K149" s="611">
        <f t="shared" si="40"/>
        <v>1.8332323844134867E-2</v>
      </c>
      <c r="L149" s="7">
        <f t="shared" ref="L149:L178" si="54">0.998*M149</f>
        <v>391958.51199999999</v>
      </c>
      <c r="M149" s="4">
        <v>392744</v>
      </c>
      <c r="N149" s="202">
        <v>1119</v>
      </c>
      <c r="O149" s="4">
        <v>51090</v>
      </c>
      <c r="P149" s="4">
        <v>92345</v>
      </c>
      <c r="Q149" s="4">
        <f>173355-P149-O149-N149</f>
        <v>28801</v>
      </c>
      <c r="R149" s="96">
        <f t="shared" si="41"/>
        <v>92322</v>
      </c>
      <c r="S149" s="35">
        <f t="shared" si="50"/>
        <v>1.1091614133142696E-2</v>
      </c>
      <c r="T149" s="28">
        <f t="shared" si="51"/>
        <v>1.8332323844134867E-2</v>
      </c>
      <c r="U149" s="91">
        <f>SUM(B136:B149)/POBLA!$B$25*100000</f>
        <v>146.42081150835935</v>
      </c>
      <c r="V149" s="91">
        <f>B149/POBLA!$B$25*100000</f>
        <v>13.087216680434429</v>
      </c>
      <c r="W149" s="625">
        <f t="shared" si="48"/>
        <v>1.5678621991505428</v>
      </c>
      <c r="X149" s="28">
        <f t="shared" si="36"/>
        <v>1.1091614133142696E-2</v>
      </c>
      <c r="Y149" s="202">
        <f t="shared" si="39"/>
        <v>0.38464398971170038</v>
      </c>
      <c r="Z149" s="297">
        <f t="shared" si="44"/>
        <v>5319.5714285714284</v>
      </c>
      <c r="AA149" s="179">
        <f t="shared" si="45"/>
        <v>98.428571428571431</v>
      </c>
      <c r="AB149" s="357">
        <f t="shared" si="34"/>
        <v>61.756232879458018</v>
      </c>
      <c r="AC149" s="610">
        <f t="shared" si="31"/>
        <v>-36.672338549113412</v>
      </c>
      <c r="AD149" s="610">
        <f t="shared" si="32"/>
        <v>4746.1428571428569</v>
      </c>
      <c r="AE149" s="202">
        <f t="shared" ref="AE149:AE212" si="55">Z149/Z142</f>
        <v>1.2748467937964327</v>
      </c>
      <c r="AF149" s="202">
        <f t="shared" si="53"/>
        <v>0.26300668974102903</v>
      </c>
      <c r="AG149" s="4"/>
      <c r="AH149" s="202">
        <f t="shared" si="46"/>
        <v>1.3199233716475096</v>
      </c>
      <c r="AI149" s="179">
        <f>MAX($B$2:B149)</f>
        <v>6127</v>
      </c>
      <c r="AJ149" s="180">
        <f t="shared" si="43"/>
        <v>3.3201619121048576E-2</v>
      </c>
      <c r="AK149" s="180"/>
      <c r="AL149" s="180"/>
      <c r="AM149" s="180"/>
      <c r="AP149" s="644">
        <f t="shared" si="38"/>
        <v>1.5678621991505428</v>
      </c>
      <c r="AT149" s="180">
        <f t="shared" si="52"/>
        <v>1.7165830563465965E-2</v>
      </c>
    </row>
    <row r="150" spans="1:46" x14ac:dyDescent="0.25">
      <c r="A150" s="2">
        <v>44041</v>
      </c>
      <c r="B150" s="126">
        <v>5641</v>
      </c>
      <c r="C150" s="126">
        <f t="shared" si="49"/>
        <v>178996</v>
      </c>
      <c r="D150" s="126">
        <v>110</v>
      </c>
      <c r="E150" s="126">
        <f>E149+D150</f>
        <v>3288</v>
      </c>
      <c r="F150" s="126">
        <f t="shared" si="42"/>
        <v>2741</v>
      </c>
      <c r="G150" s="155">
        <v>80596</v>
      </c>
      <c r="H150" s="126">
        <v>1057</v>
      </c>
      <c r="I150" s="126">
        <v>15812</v>
      </c>
      <c r="J150" s="4">
        <v>690823</v>
      </c>
      <c r="K150" s="611">
        <f t="shared" si="40"/>
        <v>1.8369125567051777E-2</v>
      </c>
      <c r="L150" s="7">
        <f t="shared" si="54"/>
        <v>400029.33799999999</v>
      </c>
      <c r="M150" s="4">
        <v>400831</v>
      </c>
      <c r="N150" s="202">
        <v>1115</v>
      </c>
      <c r="O150" s="4">
        <v>52375</v>
      </c>
      <c r="P150" s="4">
        <v>96710</v>
      </c>
      <c r="Q150" s="4">
        <f>178996-P150-O150-N150</f>
        <v>28796</v>
      </c>
      <c r="R150" s="96">
        <f t="shared" si="41"/>
        <v>95112</v>
      </c>
      <c r="S150" s="35">
        <f t="shared" si="50"/>
        <v>1.1113213895197241E-2</v>
      </c>
      <c r="T150" s="28">
        <f t="shared" si="51"/>
        <v>1.8369125567051777E-2</v>
      </c>
      <c r="U150" s="91">
        <f>SUM(B137:B150)/POBLA!$B$25*100000</f>
        <v>149.48602760576367</v>
      </c>
      <c r="V150" s="91">
        <f>B150/POBLA!$B$25*100000</f>
        <v>12.430542059998421</v>
      </c>
      <c r="W150" s="625">
        <f t="shared" si="48"/>
        <v>1.543047562723199</v>
      </c>
      <c r="X150" s="28">
        <f t="shared" si="36"/>
        <v>1.1113213895197241E-2</v>
      </c>
      <c r="Y150" s="202">
        <f t="shared" si="39"/>
        <v>0.37938616676382453</v>
      </c>
      <c r="Z150" s="297">
        <f t="shared" si="44"/>
        <v>5299.4285714285716</v>
      </c>
      <c r="AA150" s="179">
        <f t="shared" si="45"/>
        <v>100.14285714285714</v>
      </c>
      <c r="AB150" s="357">
        <f t="shared" si="34"/>
        <v>63.571814116074648</v>
      </c>
      <c r="AC150" s="610">
        <f t="shared" ref="AC150:AC213" si="56">AB150-AA150</f>
        <v>-36.57104302678249</v>
      </c>
      <c r="AD150" s="610">
        <f t="shared" ref="AD150:AD194" si="57">AVERAGE(B137:B150)</f>
        <v>4845.5</v>
      </c>
      <c r="AE150" s="202">
        <f t="shared" si="55"/>
        <v>1.2067271721804758</v>
      </c>
      <c r="AF150" s="202">
        <f t="shared" si="53"/>
        <v>0.24334287619122308</v>
      </c>
      <c r="AG150" s="4"/>
      <c r="AH150" s="202">
        <f t="shared" si="46"/>
        <v>1.3029739776951672</v>
      </c>
      <c r="AI150" s="179">
        <f>MAX($B$2:B150)</f>
        <v>6127</v>
      </c>
      <c r="AJ150" s="180">
        <f t="shared" si="43"/>
        <v>3.295102002444298E-2</v>
      </c>
      <c r="AK150" s="180"/>
      <c r="AL150" s="180"/>
      <c r="AM150" s="180"/>
      <c r="AP150" s="644">
        <f t="shared" si="38"/>
        <v>1.543047562723199</v>
      </c>
      <c r="AT150" s="180">
        <f t="shared" si="52"/>
        <v>1.721080451301733E-2</v>
      </c>
    </row>
    <row r="151" spans="1:46" x14ac:dyDescent="0.25">
      <c r="A151" s="2">
        <v>44042</v>
      </c>
      <c r="B151" s="126">
        <v>6377</v>
      </c>
      <c r="C151" s="126">
        <f t="shared" si="49"/>
        <v>185373</v>
      </c>
      <c r="D151" s="126">
        <f>23+131</f>
        <v>154</v>
      </c>
      <c r="E151" s="126">
        <f>E150+D151</f>
        <v>3442</v>
      </c>
      <c r="F151" s="126">
        <f t="shared" si="42"/>
        <v>3184</v>
      </c>
      <c r="G151" s="155">
        <v>83780</v>
      </c>
      <c r="H151" s="126">
        <v>1076</v>
      </c>
      <c r="I151" s="126">
        <v>16685</v>
      </c>
      <c r="J151" s="4">
        <v>707508</v>
      </c>
      <c r="K151" s="611">
        <f t="shared" si="40"/>
        <v>1.8567968366482713E-2</v>
      </c>
      <c r="L151" s="7">
        <f t="shared" si="54"/>
        <v>408221.92</v>
      </c>
      <c r="M151" s="4">
        <v>409040</v>
      </c>
      <c r="N151" s="202">
        <v>1117</v>
      </c>
      <c r="O151" s="4">
        <v>53660</v>
      </c>
      <c r="P151" s="4">
        <v>100811</v>
      </c>
      <c r="Q151" s="4">
        <f>185373-P151-O151-N151</f>
        <v>29785</v>
      </c>
      <c r="R151" s="96">
        <f t="shared" si="41"/>
        <v>98151</v>
      </c>
      <c r="S151" s="35">
        <f t="shared" si="50"/>
        <v>1.0962700329084777E-2</v>
      </c>
      <c r="T151" s="28">
        <f t="shared" si="51"/>
        <v>1.8567968366482713E-2</v>
      </c>
      <c r="U151" s="91">
        <f>SUM(B138:B151)/POBLA!$B$25*100000</f>
        <v>155.55255522341579</v>
      </c>
      <c r="V151" s="91">
        <f>B151/POBLA!$B$25*100000</f>
        <v>14.052396156108832</v>
      </c>
      <c r="W151" s="625">
        <f t="shared" si="48"/>
        <v>1.5741587315746048</v>
      </c>
      <c r="X151" s="28">
        <f t="shared" si="36"/>
        <v>1.0962700329084777E-2</v>
      </c>
      <c r="Y151" s="202">
        <f t="shared" si="39"/>
        <v>0.38012743521364739</v>
      </c>
      <c r="Z151" s="297">
        <f t="shared" si="44"/>
        <v>5335.1428571428569</v>
      </c>
      <c r="AA151" s="179">
        <f t="shared" si="45"/>
        <v>105.85714285714286</v>
      </c>
      <c r="AB151" s="357">
        <f t="shared" si="34"/>
        <v>63.324698406060627</v>
      </c>
      <c r="AC151" s="610">
        <f t="shared" si="56"/>
        <v>-42.532444451082235</v>
      </c>
      <c r="AD151" s="610">
        <f t="shared" si="57"/>
        <v>5042.1428571428569</v>
      </c>
      <c r="AE151" s="202">
        <f t="shared" si="55"/>
        <v>1.1233906870412707</v>
      </c>
      <c r="AF151" s="202">
        <f t="shared" si="53"/>
        <v>0.22876136107564027</v>
      </c>
      <c r="AG151" s="4"/>
      <c r="AH151" s="202">
        <f t="shared" si="46"/>
        <v>1.2559322033898304</v>
      </c>
      <c r="AI151" s="179">
        <f>MAX($B$2:B151)</f>
        <v>6377</v>
      </c>
      <c r="AJ151" s="180">
        <f t="shared" si="43"/>
        <v>3.3479419870781187E-2</v>
      </c>
      <c r="AK151" s="180"/>
      <c r="AL151" s="180"/>
      <c r="AM151" s="180"/>
      <c r="AP151" s="644">
        <f t="shared" si="38"/>
        <v>1.5741587315746048</v>
      </c>
      <c r="AT151" s="180">
        <f t="shared" si="52"/>
        <v>1.7675681043328589E-2</v>
      </c>
    </row>
    <row r="152" spans="1:46" x14ac:dyDescent="0.25">
      <c r="A152" s="2">
        <v>44043</v>
      </c>
      <c r="B152" s="126">
        <v>5929</v>
      </c>
      <c r="C152" s="126">
        <f t="shared" si="49"/>
        <v>191302</v>
      </c>
      <c r="D152" s="126">
        <f>25+77</f>
        <v>102</v>
      </c>
      <c r="E152" s="126">
        <f>E151+D152</f>
        <v>3544</v>
      </c>
      <c r="F152" s="126">
        <f t="shared" si="42"/>
        <v>2719</v>
      </c>
      <c r="G152" s="155">
        <v>86499</v>
      </c>
      <c r="H152" s="126">
        <v>1104</v>
      </c>
      <c r="I152" s="126">
        <v>15442</v>
      </c>
      <c r="J152" s="4">
        <f>J151+I152</f>
        <v>722950</v>
      </c>
      <c r="K152" s="611">
        <f t="shared" si="40"/>
        <v>1.852568190609612E-2</v>
      </c>
      <c r="L152" s="7">
        <f t="shared" si="54"/>
        <v>416154.02399999998</v>
      </c>
      <c r="M152" s="4">
        <v>416988</v>
      </c>
      <c r="N152" s="202">
        <v>1122</v>
      </c>
      <c r="O152" s="4">
        <v>54915</v>
      </c>
      <c r="P152" s="4">
        <v>104695</v>
      </c>
      <c r="Q152" s="4">
        <f>191302-P152-O152-N152</f>
        <v>30570</v>
      </c>
      <c r="R152" s="96">
        <f t="shared" si="41"/>
        <v>101259</v>
      </c>
      <c r="S152" s="35">
        <f t="shared" si="50"/>
        <v>1.0902734571741771E-2</v>
      </c>
      <c r="T152" s="28">
        <f t="shared" si="51"/>
        <v>1.852568190609612E-2</v>
      </c>
      <c r="U152" s="91">
        <f>SUM(B139:B152)/POBLA!$B$25*100000</f>
        <v>158.66184344299705</v>
      </c>
      <c r="V152" s="91">
        <f>B152/POBLA!$B$25*100000</f>
        <v>13.065180619345975</v>
      </c>
      <c r="W152" s="625">
        <f t="shared" si="48"/>
        <v>1.5478759996560323</v>
      </c>
      <c r="X152" s="28">
        <f t="shared" si="36"/>
        <v>1.0902734571741771E-2</v>
      </c>
      <c r="Y152" s="202">
        <f t="shared" si="39"/>
        <v>0.38141676004724551</v>
      </c>
      <c r="Z152" s="297">
        <f t="shared" si="44"/>
        <v>5397.4285714285716</v>
      </c>
      <c r="AA152" s="179">
        <f t="shared" si="45"/>
        <v>105.42857142857143</v>
      </c>
      <c r="AB152" s="357">
        <f t="shared" si="34"/>
        <v>65.83237357608067</v>
      </c>
      <c r="AC152" s="610">
        <f t="shared" si="56"/>
        <v>-39.596197852490761</v>
      </c>
      <c r="AD152" s="610">
        <f t="shared" si="57"/>
        <v>5142.9285714285716</v>
      </c>
      <c r="AE152" s="202">
        <f t="shared" si="55"/>
        <v>1.1041234401940443</v>
      </c>
      <c r="AF152" s="202">
        <f t="shared" si="53"/>
        <v>0.22454680678671202</v>
      </c>
      <c r="AG152" s="4"/>
      <c r="AH152" s="202">
        <f t="shared" si="46"/>
        <v>1.1732909379968204</v>
      </c>
      <c r="AI152" s="179">
        <f>MAX($B$2:B152)</f>
        <v>6377</v>
      </c>
      <c r="AJ152" s="180">
        <f t="shared" si="43"/>
        <v>3.3018656883360926E-2</v>
      </c>
      <c r="AK152" s="180"/>
      <c r="AL152" s="180"/>
      <c r="AM152" s="180"/>
      <c r="AP152" s="644">
        <f t="shared" si="38"/>
        <v>1.5478759996560323</v>
      </c>
      <c r="AT152" s="180">
        <f t="shared" si="52"/>
        <v>1.7678436175527373E-2</v>
      </c>
    </row>
    <row r="153" spans="1:46" x14ac:dyDescent="0.25">
      <c r="A153" s="2">
        <v>44044</v>
      </c>
      <c r="B153" s="126">
        <v>5241</v>
      </c>
      <c r="C153" s="126">
        <f t="shared" si="49"/>
        <v>196543</v>
      </c>
      <c r="D153" s="126">
        <f>15+38</f>
        <v>53</v>
      </c>
      <c r="E153" s="126">
        <v>3596</v>
      </c>
      <c r="F153" s="126">
        <f t="shared" si="42"/>
        <v>2527</v>
      </c>
      <c r="G153" s="155">
        <v>89026</v>
      </c>
      <c r="H153" s="126">
        <v>1128</v>
      </c>
      <c r="I153" s="126">
        <v>13057</v>
      </c>
      <c r="J153" s="4">
        <v>736007</v>
      </c>
      <c r="K153" s="611">
        <f t="shared" si="40"/>
        <v>1.8296250693232523E-2</v>
      </c>
      <c r="L153" s="7">
        <f t="shared" si="54"/>
        <v>422276.75400000002</v>
      </c>
      <c r="M153" s="4">
        <v>423123</v>
      </c>
      <c r="N153" s="202">
        <v>1123</v>
      </c>
      <c r="O153" s="4">
        <v>55946</v>
      </c>
      <c r="P153" s="4">
        <v>107909</v>
      </c>
      <c r="Q153" s="4">
        <f>196543-P153-O153-N153</f>
        <v>31565</v>
      </c>
      <c r="R153" s="96">
        <f t="shared" si="41"/>
        <v>103921</v>
      </c>
      <c r="S153" s="35">
        <f t="shared" si="50"/>
        <v>1.0854399014636118E-2</v>
      </c>
      <c r="T153" s="28">
        <f t="shared" si="51"/>
        <v>1.8296250693232523E-2</v>
      </c>
      <c r="U153" s="91">
        <f>SUM(B140:B153)/POBLA!$B$25*100000</f>
        <v>162.92802486972226</v>
      </c>
      <c r="V153" s="91">
        <f>B153/POBLA!$B$25*100000</f>
        <v>11.549099616460152</v>
      </c>
      <c r="W153" s="625">
        <f t="shared" si="48"/>
        <v>1.5654337193792214</v>
      </c>
      <c r="X153" s="28">
        <f t="shared" si="36"/>
        <v>1.0854399014636118E-2</v>
      </c>
      <c r="Y153" s="202">
        <f t="shared" si="39"/>
        <v>0.38531508728053809</v>
      </c>
      <c r="Z153" s="297">
        <f t="shared" si="44"/>
        <v>5458.4285714285716</v>
      </c>
      <c r="AA153" s="179">
        <f t="shared" si="45"/>
        <v>100.71428571428571</v>
      </c>
      <c r="AB153" s="357">
        <f t="shared" si="34"/>
        <v>64.920570188827867</v>
      </c>
      <c r="AC153" s="610">
        <f t="shared" si="56"/>
        <v>-35.793715525457841</v>
      </c>
      <c r="AD153" s="610">
        <f t="shared" si="57"/>
        <v>5281.2142857142853</v>
      </c>
      <c r="AE153" s="202">
        <f t="shared" si="55"/>
        <v>1.0694413345275415</v>
      </c>
      <c r="AF153" s="202">
        <f t="shared" si="53"/>
        <v>0.22370853596787676</v>
      </c>
      <c r="AG153" s="4"/>
      <c r="AH153" s="202">
        <f t="shared" si="46"/>
        <v>1.0475482912332839</v>
      </c>
      <c r="AI153" s="179">
        <f>MAX($B$2:B153)</f>
        <v>6377</v>
      </c>
      <c r="AJ153" s="180">
        <f t="shared" si="43"/>
        <v>3.0896660531159609E-2</v>
      </c>
      <c r="AK153" s="180"/>
      <c r="AL153" s="180"/>
      <c r="AM153" s="180"/>
      <c r="AP153" s="644">
        <f t="shared" si="38"/>
        <v>1.5654337193792214</v>
      </c>
      <c r="AT153" s="180">
        <f t="shared" si="52"/>
        <v>1.7479838550429293E-2</v>
      </c>
    </row>
    <row r="154" spans="1:46" x14ac:dyDescent="0.25">
      <c r="A154" s="2">
        <v>44045</v>
      </c>
      <c r="B154" s="126">
        <v>5376</v>
      </c>
      <c r="C154" s="126">
        <f t="shared" si="49"/>
        <v>201919</v>
      </c>
      <c r="D154" s="126">
        <f>15+36</f>
        <v>51</v>
      </c>
      <c r="E154" s="126">
        <f t="shared" ref="E154:E175" si="58">E153+D154</f>
        <v>3647</v>
      </c>
      <c r="F154" s="126">
        <f t="shared" si="42"/>
        <v>2276</v>
      </c>
      <c r="G154" s="155">
        <v>91302</v>
      </c>
      <c r="H154" s="126">
        <v>1112</v>
      </c>
      <c r="I154" s="126">
        <v>11900</v>
      </c>
      <c r="J154" s="4">
        <v>747907</v>
      </c>
      <c r="K154" s="611">
        <f t="shared" si="40"/>
        <v>1.8061698007616915E-2</v>
      </c>
      <c r="L154" s="7">
        <f t="shared" si="54"/>
        <v>427487.31199999998</v>
      </c>
      <c r="M154" s="4">
        <v>428344</v>
      </c>
      <c r="N154" s="202">
        <v>1123</v>
      </c>
      <c r="O154" s="4">
        <v>56975</v>
      </c>
      <c r="P154" s="4">
        <v>110459</v>
      </c>
      <c r="Q154" s="4">
        <f>201919-P154-O154-N154</f>
        <v>33362</v>
      </c>
      <c r="R154" s="96">
        <f t="shared" si="41"/>
        <v>106970</v>
      </c>
      <c r="S154" s="35">
        <f t="shared" si="50"/>
        <v>1.0395437973263533E-2</v>
      </c>
      <c r="T154" s="28">
        <f t="shared" si="51"/>
        <v>1.8061698007616915E-2</v>
      </c>
      <c r="U154" s="91">
        <f>SUM(B141:B154)/POBLA!$B$25*100000</f>
        <v>165.45115386435054</v>
      </c>
      <c r="V154" s="91">
        <f>B154/POBLA!$B$25*100000</f>
        <v>11.846586441154319</v>
      </c>
      <c r="W154" s="625">
        <f t="shared" si="48"/>
        <v>1.5315668155763622</v>
      </c>
      <c r="X154" s="28">
        <f t="shared" si="36"/>
        <v>1.0395437973263533E-2</v>
      </c>
      <c r="Y154" s="202">
        <f t="shared" si="39"/>
        <v>0.39317117962332698</v>
      </c>
      <c r="Z154" s="297">
        <f t="shared" si="44"/>
        <v>5627.5714285714284</v>
      </c>
      <c r="AA154" s="179">
        <f t="shared" si="45"/>
        <v>101.57142857142857</v>
      </c>
      <c r="AB154" s="357">
        <f t="shared" si="34"/>
        <v>67.892221625280584</v>
      </c>
      <c r="AC154" s="610">
        <f t="shared" si="56"/>
        <v>-33.679206946147985</v>
      </c>
      <c r="AD154" s="610">
        <f t="shared" si="57"/>
        <v>5363</v>
      </c>
      <c r="AE154" s="202">
        <f t="shared" si="55"/>
        <v>1.1037854801199249</v>
      </c>
      <c r="AF154" s="202">
        <f t="shared" si="53"/>
        <v>0.22935653293186076</v>
      </c>
      <c r="AG154" s="4"/>
      <c r="AH154" s="202">
        <f t="shared" si="46"/>
        <v>1.0486725663716814</v>
      </c>
      <c r="AI154" s="179">
        <f>MAX($B$2:B154)</f>
        <v>6377</v>
      </c>
      <c r="AJ154" s="180">
        <f t="shared" si="43"/>
        <v>3.0275932549821156E-2</v>
      </c>
      <c r="AK154" s="180"/>
      <c r="AL154" s="180"/>
      <c r="AM154" s="180"/>
      <c r="AP154" s="644">
        <f t="shared" si="38"/>
        <v>1.5315668155763622</v>
      </c>
      <c r="AT154" s="180">
        <f t="shared" si="52"/>
        <v>1.7129493394458468E-2</v>
      </c>
    </row>
    <row r="155" spans="1:46" x14ac:dyDescent="0.25">
      <c r="A155" s="36">
        <v>44046</v>
      </c>
      <c r="B155" s="129">
        <v>4824</v>
      </c>
      <c r="C155" s="126">
        <f t="shared" si="49"/>
        <v>206743</v>
      </c>
      <c r="D155" s="126">
        <v>164</v>
      </c>
      <c r="E155" s="126">
        <f t="shared" si="58"/>
        <v>3811</v>
      </c>
      <c r="F155" s="126">
        <f t="shared" si="42"/>
        <v>2827</v>
      </c>
      <c r="G155" s="155">
        <v>94129</v>
      </c>
      <c r="H155" s="126">
        <v>1150</v>
      </c>
      <c r="I155" s="126">
        <v>12839</v>
      </c>
      <c r="J155" s="4">
        <v>760746</v>
      </c>
      <c r="K155" s="611">
        <f t="shared" si="40"/>
        <v>1.8433514073027867E-2</v>
      </c>
      <c r="L155" s="7">
        <f t="shared" si="54"/>
        <v>434069.12199999997</v>
      </c>
      <c r="M155" s="4">
        <v>434939</v>
      </c>
      <c r="N155" s="202">
        <v>1123</v>
      </c>
      <c r="O155" s="4">
        <v>58084</v>
      </c>
      <c r="P155" s="4">
        <v>114826</v>
      </c>
      <c r="Q155" s="4">
        <f>206743-N155-O155-P155</f>
        <v>32710</v>
      </c>
      <c r="R155" s="96">
        <f t="shared" si="41"/>
        <v>108803</v>
      </c>
      <c r="S155" s="35">
        <f t="shared" si="50"/>
        <v>1.0569561501061552E-2</v>
      </c>
      <c r="T155" s="28">
        <f t="shared" si="51"/>
        <v>1.8433514073027867E-2</v>
      </c>
      <c r="U155" s="91">
        <f>SUM(B142:B155)/POBLA!$B$25*100000</f>
        <v>167.40575248289665</v>
      </c>
      <c r="V155" s="91">
        <f>B155/POBLA!$B$25*100000</f>
        <v>10.63019586907151</v>
      </c>
      <c r="W155" s="625">
        <f t="shared" si="48"/>
        <v>1.5094778254649499</v>
      </c>
      <c r="X155" s="28">
        <f t="shared" si="36"/>
        <v>1.0569561501061552E-2</v>
      </c>
      <c r="Y155" s="202">
        <f t="shared" si="39"/>
        <v>0.39079237633404218</v>
      </c>
      <c r="Z155" s="297">
        <f t="shared" si="44"/>
        <v>5618.1428571428569</v>
      </c>
      <c r="AA155" s="179">
        <f t="shared" si="45"/>
        <v>107.71428571428571</v>
      </c>
      <c r="AB155" s="357">
        <f t="shared" si="34"/>
        <v>71.313028583663424</v>
      </c>
      <c r="AC155" s="610">
        <f t="shared" si="56"/>
        <v>-36.401257130622284</v>
      </c>
      <c r="AD155" s="610">
        <f t="shared" si="57"/>
        <v>5426.3571428571431</v>
      </c>
      <c r="AE155" s="202">
        <f t="shared" si="55"/>
        <v>1.0732765678729326</v>
      </c>
      <c r="AF155" s="202">
        <f t="shared" si="53"/>
        <v>0.21875350045926023</v>
      </c>
      <c r="AG155" s="4"/>
      <c r="AH155" s="202">
        <f t="shared" si="46"/>
        <v>1.0991253644314869</v>
      </c>
      <c r="AI155" s="179">
        <f>MAX($B$2:B155)</f>
        <v>6377</v>
      </c>
      <c r="AJ155" s="180">
        <f t="shared" si="43"/>
        <v>3.1247409863240774E-2</v>
      </c>
      <c r="AK155" s="180"/>
      <c r="AL155" s="180"/>
      <c r="AM155" s="180"/>
      <c r="AP155" s="644">
        <f t="shared" si="38"/>
        <v>1.5094778254649499</v>
      </c>
      <c r="AT155" s="180">
        <f t="shared" si="52"/>
        <v>1.7751659460446989E-2</v>
      </c>
    </row>
    <row r="156" spans="1:46" x14ac:dyDescent="0.25">
      <c r="A156" s="2">
        <v>44047</v>
      </c>
      <c r="B156" s="129">
        <v>6792</v>
      </c>
      <c r="C156" s="126">
        <f t="shared" si="49"/>
        <v>213535</v>
      </c>
      <c r="D156" s="145">
        <f>116+52</f>
        <v>168</v>
      </c>
      <c r="E156" s="126">
        <f t="shared" si="58"/>
        <v>3979</v>
      </c>
      <c r="F156" s="126">
        <f t="shared" si="42"/>
        <v>2819</v>
      </c>
      <c r="G156" s="155">
        <v>96948</v>
      </c>
      <c r="H156" s="126">
        <v>1207</v>
      </c>
      <c r="I156" s="126">
        <v>16532</v>
      </c>
      <c r="J156" s="4">
        <f>J155+I156</f>
        <v>777278</v>
      </c>
      <c r="K156" s="611">
        <f t="shared" si="40"/>
        <v>1.8633947596412764E-2</v>
      </c>
      <c r="L156" s="7">
        <f t="shared" si="54"/>
        <v>441995.23800000001</v>
      </c>
      <c r="M156" s="4">
        <v>442881</v>
      </c>
      <c r="N156" s="202">
        <v>1123</v>
      </c>
      <c r="O156" s="4">
        <v>59408</v>
      </c>
      <c r="P156" s="4">
        <v>119544</v>
      </c>
      <c r="Q156" s="4">
        <f>213535-P156-O156-N156</f>
        <v>33460</v>
      </c>
      <c r="R156" s="96">
        <f t="shared" si="41"/>
        <v>112608</v>
      </c>
      <c r="S156" s="35">
        <f t="shared" si="50"/>
        <v>1.0718599033816426E-2</v>
      </c>
      <c r="T156" s="28">
        <f t="shared" si="51"/>
        <v>1.8633947596412764E-2</v>
      </c>
      <c r="U156" s="91">
        <f>SUM(B143:B156)/POBLA!$B$25*100000</f>
        <v>170.59657412850518</v>
      </c>
      <c r="V156" s="91">
        <f>B156/POBLA!$B$25*100000</f>
        <v>14.966892691279787</v>
      </c>
      <c r="W156" s="625">
        <f t="shared" si="48"/>
        <v>1.4692084337578046</v>
      </c>
      <c r="X156" s="28">
        <f t="shared" si="36"/>
        <v>1.0718599033816426E-2</v>
      </c>
      <c r="Y156" s="202">
        <f t="shared" si="39"/>
        <v>0.39289311312544611</v>
      </c>
      <c r="Z156" s="297">
        <f t="shared" si="44"/>
        <v>5740</v>
      </c>
      <c r="AA156" s="179">
        <f t="shared" si="45"/>
        <v>114.57142857142857</v>
      </c>
      <c r="AB156" s="357">
        <f t="shared" si="34"/>
        <v>76.331260901780581</v>
      </c>
      <c r="AC156" s="610">
        <f t="shared" si="56"/>
        <v>-38.240167669647988</v>
      </c>
      <c r="AD156" s="610">
        <f t="shared" si="57"/>
        <v>5529.7857142857147</v>
      </c>
      <c r="AE156" s="202">
        <f t="shared" si="55"/>
        <v>1.0790342938475173</v>
      </c>
      <c r="AF156" s="202">
        <f t="shared" si="53"/>
        <v>0.21973094170403584</v>
      </c>
      <c r="AG156" s="4"/>
      <c r="AH156" s="202">
        <f t="shared" si="46"/>
        <v>1.1640058055152394</v>
      </c>
      <c r="AI156" s="179">
        <f>MAX($B$2:B156)</f>
        <v>6792</v>
      </c>
      <c r="AJ156" s="180">
        <f t="shared" si="43"/>
        <v>3.3290440413432404E-2</v>
      </c>
      <c r="AK156" s="180"/>
      <c r="AL156" s="180"/>
      <c r="AM156" s="180"/>
      <c r="AP156" s="644">
        <f t="shared" si="38"/>
        <v>1.4692084337578046</v>
      </c>
      <c r="AT156" s="180">
        <f t="shared" si="52"/>
        <v>1.822857184960323E-2</v>
      </c>
    </row>
    <row r="157" spans="1:46" x14ac:dyDescent="0.25">
      <c r="A157" s="2">
        <v>44048</v>
      </c>
      <c r="B157" s="129">
        <v>7147</v>
      </c>
      <c r="C157" s="126">
        <f t="shared" si="49"/>
        <v>220682</v>
      </c>
      <c r="D157" s="126">
        <f>30+97</f>
        <v>127</v>
      </c>
      <c r="E157" s="126">
        <f t="shared" si="58"/>
        <v>4106</v>
      </c>
      <c r="F157" s="126">
        <f t="shared" si="42"/>
        <v>2904</v>
      </c>
      <c r="G157" s="155">
        <v>99852</v>
      </c>
      <c r="H157" s="126">
        <v>1219</v>
      </c>
      <c r="I157" s="126">
        <v>17266</v>
      </c>
      <c r="J157" s="4">
        <f>J156+I157</f>
        <v>794544</v>
      </c>
      <c r="K157" s="611">
        <f t="shared" si="40"/>
        <v>1.8605957894164454E-2</v>
      </c>
      <c r="L157" s="7">
        <f t="shared" si="54"/>
        <v>450552.09</v>
      </c>
      <c r="M157" s="4">
        <v>451455</v>
      </c>
      <c r="N157" s="202">
        <v>1124</v>
      </c>
      <c r="O157" s="4">
        <v>60922</v>
      </c>
      <c r="P157" s="4">
        <v>124163</v>
      </c>
      <c r="Q157" s="4">
        <f>220682-P157-O157-N157</f>
        <v>34473</v>
      </c>
      <c r="R157" s="96">
        <f t="shared" si="41"/>
        <v>116724</v>
      </c>
      <c r="S157" s="35">
        <f t="shared" si="50"/>
        <v>1.0443439224152702E-2</v>
      </c>
      <c r="T157" s="28">
        <f t="shared" si="51"/>
        <v>1.8605957894164454E-2</v>
      </c>
      <c r="U157" s="91">
        <f>SUM(B144:B157)/POBLA!$B$25*100000</f>
        <v>173.60449646707951</v>
      </c>
      <c r="V157" s="91">
        <f>B157/POBLA!$B$25*100000</f>
        <v>15.749172859919998</v>
      </c>
      <c r="W157" s="625">
        <f t="shared" si="48"/>
        <v>1.4357675274735289</v>
      </c>
      <c r="X157" s="28">
        <f t="shared" si="36"/>
        <v>1.0443439224152702E-2</v>
      </c>
      <c r="Y157" s="202">
        <f t="shared" si="39"/>
        <v>0.40190511082615865</v>
      </c>
      <c r="Z157" s="297">
        <f t="shared" si="44"/>
        <v>5955.1428571428569</v>
      </c>
      <c r="AA157" s="179">
        <f t="shared" si="45"/>
        <v>117</v>
      </c>
      <c r="AB157" s="357">
        <f t="shared" si="34"/>
        <v>80.094340078526116</v>
      </c>
      <c r="AC157" s="610">
        <f t="shared" si="56"/>
        <v>-36.905659921473884</v>
      </c>
      <c r="AD157" s="610">
        <f t="shared" si="57"/>
        <v>5627.2857142857147</v>
      </c>
      <c r="AE157" s="202">
        <f t="shared" si="55"/>
        <v>1.1237330170368771</v>
      </c>
      <c r="AF157" s="202">
        <f t="shared" si="53"/>
        <v>0.22722684834721174</v>
      </c>
      <c r="AG157" s="4"/>
      <c r="AH157" s="202">
        <f t="shared" si="46"/>
        <v>1.1683309557774608</v>
      </c>
      <c r="AI157" s="179">
        <f>MAX($B$2:B157)</f>
        <v>7147</v>
      </c>
      <c r="AJ157" s="180">
        <f t="shared" si="43"/>
        <v>3.2445923460898501E-2</v>
      </c>
      <c r="AK157" s="180"/>
      <c r="AL157" s="180"/>
      <c r="AM157" s="180"/>
      <c r="AP157" s="644">
        <f t="shared" si="38"/>
        <v>1.4357675274735289</v>
      </c>
      <c r="AT157" s="180">
        <f t="shared" si="52"/>
        <v>1.801249322570524E-2</v>
      </c>
    </row>
    <row r="158" spans="1:46" x14ac:dyDescent="0.25">
      <c r="A158" s="2">
        <v>44049</v>
      </c>
      <c r="B158" s="129">
        <v>7513</v>
      </c>
      <c r="C158" s="126">
        <f t="shared" si="49"/>
        <v>228195</v>
      </c>
      <c r="D158" s="126">
        <v>145</v>
      </c>
      <c r="E158" s="126">
        <f t="shared" si="58"/>
        <v>4251</v>
      </c>
      <c r="F158" s="126">
        <f t="shared" si="42"/>
        <v>3445</v>
      </c>
      <c r="G158" s="155">
        <v>103297</v>
      </c>
      <c r="H158" s="126">
        <v>1245</v>
      </c>
      <c r="I158" s="126">
        <v>18020</v>
      </c>
      <c r="J158" s="4">
        <v>812564</v>
      </c>
      <c r="K158" s="611">
        <f t="shared" si="40"/>
        <v>1.8628804312101493E-2</v>
      </c>
      <c r="L158" s="7">
        <f t="shared" si="54"/>
        <v>458766.62800000003</v>
      </c>
      <c r="M158" s="4">
        <v>459686</v>
      </c>
      <c r="N158" s="202">
        <v>1127</v>
      </c>
      <c r="O158" s="4">
        <v>62150</v>
      </c>
      <c r="P158" s="4">
        <v>128781</v>
      </c>
      <c r="Q158" s="4">
        <f>228195-P158-O158-N158</f>
        <v>36137</v>
      </c>
      <c r="R158" s="96">
        <f t="shared" si="41"/>
        <v>120647</v>
      </c>
      <c r="S158" s="35">
        <f t="shared" si="50"/>
        <v>1.0319361442887101E-2</v>
      </c>
      <c r="T158" s="28">
        <f t="shared" si="51"/>
        <v>1.8628804312101493E-2</v>
      </c>
      <c r="U158" s="91">
        <f>SUM(B145:B158)/POBLA!$B$25*100000</f>
        <v>176.65869453393964</v>
      </c>
      <c r="V158" s="91">
        <f>B158/POBLA!$B$25*100000</f>
        <v>16.555692695757514</v>
      </c>
      <c r="W158" s="625">
        <f t="shared" si="48"/>
        <v>1.3982384233016483</v>
      </c>
      <c r="X158" s="28">
        <f t="shared" si="36"/>
        <v>1.0319361442887101E-2</v>
      </c>
      <c r="Y158" s="202">
        <f t="shared" si="39"/>
        <v>0.40761117879987818</v>
      </c>
      <c r="Z158" s="297">
        <f t="shared" si="44"/>
        <v>6117.4285714285716</v>
      </c>
      <c r="AA158" s="179">
        <f t="shared" si="45"/>
        <v>115.71428571428571</v>
      </c>
      <c r="AB158" s="357">
        <f t="shared" si="34"/>
        <v>86.68813121930458</v>
      </c>
      <c r="AC158" s="610">
        <f t="shared" si="56"/>
        <v>-29.026154494981128</v>
      </c>
      <c r="AD158" s="610">
        <f t="shared" si="57"/>
        <v>5726.2857142857147</v>
      </c>
      <c r="AE158" s="202">
        <f t="shared" si="55"/>
        <v>1.146628822363841</v>
      </c>
      <c r="AF158" s="202">
        <f t="shared" si="53"/>
        <v>0.22919786859023339</v>
      </c>
      <c r="AG158" s="4"/>
      <c r="AH158" s="202">
        <f t="shared" si="46"/>
        <v>1.0931174089068825</v>
      </c>
      <c r="AI158" s="179">
        <f>MAX($B$2:B158)</f>
        <v>7513</v>
      </c>
      <c r="AJ158" s="180">
        <f t="shared" si="43"/>
        <v>3.2273487927324887E-2</v>
      </c>
      <c r="AK158" s="180"/>
      <c r="AL158" s="180"/>
      <c r="AM158" s="180"/>
      <c r="AP158" s="644">
        <f t="shared" si="38"/>
        <v>1.3982384233016483</v>
      </c>
      <c r="AT158" s="180">
        <f t="shared" si="52"/>
        <v>1.802168957656973E-2</v>
      </c>
    </row>
    <row r="159" spans="1:46" x14ac:dyDescent="0.25">
      <c r="A159" s="2">
        <v>44050</v>
      </c>
      <c r="B159" s="129">
        <v>7482</v>
      </c>
      <c r="C159" s="126">
        <f t="shared" si="49"/>
        <v>235677</v>
      </c>
      <c r="D159" s="126">
        <v>160</v>
      </c>
      <c r="E159" s="126">
        <f t="shared" si="58"/>
        <v>4411</v>
      </c>
      <c r="F159" s="126">
        <f t="shared" si="42"/>
        <v>4945</v>
      </c>
      <c r="G159" s="155">
        <v>108242</v>
      </c>
      <c r="H159" s="126">
        <v>1293</v>
      </c>
      <c r="I159" s="126">
        <v>17493</v>
      </c>
      <c r="J159" s="4">
        <f>J158+I159</f>
        <v>830057</v>
      </c>
      <c r="K159" s="611">
        <f t="shared" si="40"/>
        <v>1.8716293910733758E-2</v>
      </c>
      <c r="L159" s="7">
        <f t="shared" si="54"/>
        <v>469222.674</v>
      </c>
      <c r="M159" s="4">
        <v>470163</v>
      </c>
      <c r="N159" s="202">
        <v>1130</v>
      </c>
      <c r="O159" s="4">
        <v>63695</v>
      </c>
      <c r="P159" s="4">
        <v>133585</v>
      </c>
      <c r="Q159" s="4">
        <f>235677-P159-O159-N159</f>
        <v>37267</v>
      </c>
      <c r="R159" s="96">
        <f t="shared" si="41"/>
        <v>123024</v>
      </c>
      <c r="S159" s="35">
        <f t="shared" si="50"/>
        <v>1.0510144362075693E-2</v>
      </c>
      <c r="T159" s="28">
        <f t="shared" si="51"/>
        <v>1.8716293910733758E-2</v>
      </c>
      <c r="U159" s="91">
        <f>SUM(B146:B159)/POBLA!$B$25*100000</f>
        <v>181.04166708443364</v>
      </c>
      <c r="V159" s="91">
        <f>B159/POBLA!$B$25*100000</f>
        <v>16.487380906383297</v>
      </c>
      <c r="W159" s="625">
        <f t="shared" si="48"/>
        <v>1.3816955651603573</v>
      </c>
      <c r="X159" s="28">
        <f t="shared" si="36"/>
        <v>1.0510144362075693E-2</v>
      </c>
      <c r="Y159" s="202">
        <f t="shared" si="39"/>
        <v>0.41430532084737692</v>
      </c>
      <c r="Z159" s="297">
        <f t="shared" si="44"/>
        <v>6339.2857142857147</v>
      </c>
      <c r="AA159" s="179">
        <f t="shared" si="45"/>
        <v>124</v>
      </c>
      <c r="AB159" s="357">
        <f t="shared" si="34"/>
        <v>89.381311881188125</v>
      </c>
      <c r="AC159" s="610">
        <f t="shared" si="56"/>
        <v>-34.618688118811875</v>
      </c>
      <c r="AD159" s="610">
        <f t="shared" si="57"/>
        <v>5868.3571428571431</v>
      </c>
      <c r="AE159" s="202">
        <f t="shared" si="55"/>
        <v>1.1745010851728337</v>
      </c>
      <c r="AF159" s="202">
        <f t="shared" si="53"/>
        <v>0.21494385684235473</v>
      </c>
      <c r="AG159" s="4"/>
      <c r="AH159" s="202">
        <f t="shared" si="46"/>
        <v>1.1761517615176151</v>
      </c>
      <c r="AI159" s="179">
        <f>MAX($B$2:B159)</f>
        <v>7513</v>
      </c>
      <c r="AJ159" s="180">
        <f t="shared" si="43"/>
        <v>3.2543491301739655E-2</v>
      </c>
      <c r="AK159" s="180"/>
      <c r="AL159" s="180"/>
      <c r="AM159" s="180"/>
      <c r="AP159" s="644">
        <f t="shared" si="38"/>
        <v>1.3816955651603573</v>
      </c>
      <c r="AT159" s="180">
        <f t="shared" si="52"/>
        <v>1.8284807060976266E-2</v>
      </c>
    </row>
    <row r="160" spans="1:46" x14ac:dyDescent="0.25">
      <c r="A160" s="2">
        <v>44051</v>
      </c>
      <c r="B160" s="129">
        <v>6134</v>
      </c>
      <c r="C160" s="126">
        <f>B160+C159</f>
        <v>241811</v>
      </c>
      <c r="D160" s="126">
        <v>112</v>
      </c>
      <c r="E160" s="126">
        <f t="shared" si="58"/>
        <v>4523</v>
      </c>
      <c r="F160" s="126">
        <f t="shared" si="42"/>
        <v>61867</v>
      </c>
      <c r="G160" s="155">
        <v>170109</v>
      </c>
      <c r="H160" s="126">
        <v>1502</v>
      </c>
      <c r="I160" s="126">
        <v>15163</v>
      </c>
      <c r="J160" s="4">
        <v>845220</v>
      </c>
      <c r="K160" s="611">
        <f t="shared" si="40"/>
        <v>1.870469085360054E-2</v>
      </c>
      <c r="L160" s="7">
        <f t="shared" si="54"/>
        <v>476941.20600000001</v>
      </c>
      <c r="M160" s="4">
        <v>477897</v>
      </c>
      <c r="N160" s="202">
        <v>1130</v>
      </c>
      <c r="O160" s="4">
        <v>64762</v>
      </c>
      <c r="P160" s="4">
        <v>136987</v>
      </c>
      <c r="Q160" s="4">
        <f>241811-P160-O160-N160</f>
        <v>38932</v>
      </c>
      <c r="R160" s="96">
        <f t="shared" si="41"/>
        <v>67179</v>
      </c>
      <c r="S160" s="35">
        <f t="shared" si="50"/>
        <v>2.2358177406630049E-2</v>
      </c>
      <c r="T160" s="28">
        <f t="shared" si="51"/>
        <v>1.870469085360054E-2</v>
      </c>
      <c r="U160" s="91">
        <f>SUM(B147:B160)/POBLA!$B$25*100000</f>
        <v>183.95042714810992</v>
      </c>
      <c r="V160" s="91">
        <f>B160/POBLA!$B$25*100000</f>
        <v>13.516919871659336</v>
      </c>
      <c r="W160" s="625">
        <f t="shared" si="48"/>
        <v>1.3723900963403808</v>
      </c>
      <c r="X160" s="28">
        <f t="shared" si="36"/>
        <v>2.2358177406630049E-2</v>
      </c>
      <c r="Y160" s="202">
        <f t="shared" si="39"/>
        <v>0.41449278016353364</v>
      </c>
      <c r="Z160" s="297">
        <f t="shared" si="44"/>
        <v>6466.8571428571431</v>
      </c>
      <c r="AA160" s="179">
        <f t="shared" si="45"/>
        <v>132.42857142857142</v>
      </c>
      <c r="AB160" s="357">
        <f t="shared" si="34"/>
        <v>93.257746283173546</v>
      </c>
      <c r="AC160" s="610">
        <f t="shared" si="56"/>
        <v>-39.17082514539787</v>
      </c>
      <c r="AD160" s="610">
        <f t="shared" si="57"/>
        <v>5962.6428571428569</v>
      </c>
      <c r="AE160" s="202">
        <f t="shared" si="55"/>
        <v>1.1847470491245518</v>
      </c>
      <c r="AF160" s="202">
        <f t="shared" si="53"/>
        <v>-0.35355702889695062</v>
      </c>
      <c r="AG160" s="4"/>
      <c r="AH160" s="202">
        <f t="shared" si="46"/>
        <v>1.3148936170212766</v>
      </c>
      <c r="AI160" s="179">
        <f>MAX($B$2:B160)</f>
        <v>7513</v>
      </c>
      <c r="AJ160" s="180">
        <f t="shared" si="43"/>
        <v>3.3696837513631402E-2</v>
      </c>
      <c r="AK160" s="180"/>
      <c r="AL160" s="180"/>
      <c r="AM160" s="180"/>
      <c r="AP160" s="644">
        <f t="shared" si="38"/>
        <v>1.3723900963403808</v>
      </c>
      <c r="AT160" s="180">
        <f t="shared" si="52"/>
        <v>1.855491367730067E-2</v>
      </c>
    </row>
    <row r="161" spans="1:46" x14ac:dyDescent="0.25">
      <c r="A161" s="2">
        <v>44052</v>
      </c>
      <c r="B161" s="129">
        <v>4688</v>
      </c>
      <c r="C161" s="126">
        <f t="shared" ref="C161:C224" si="59">C160+B161</f>
        <v>246499</v>
      </c>
      <c r="D161" s="126">
        <v>83</v>
      </c>
      <c r="E161" s="126">
        <f t="shared" si="58"/>
        <v>4606</v>
      </c>
      <c r="F161" s="126">
        <f t="shared" si="42"/>
        <v>4865</v>
      </c>
      <c r="G161" s="155">
        <v>174974</v>
      </c>
      <c r="H161" s="126">
        <v>1565</v>
      </c>
      <c r="I161" s="126">
        <v>10835</v>
      </c>
      <c r="J161" s="4">
        <v>856055</v>
      </c>
      <c r="K161" s="611">
        <f t="shared" si="40"/>
        <v>1.8685674181233999E-2</v>
      </c>
      <c r="L161" s="7">
        <f t="shared" si="54"/>
        <v>482084.89799999999</v>
      </c>
      <c r="M161" s="4">
        <v>483051</v>
      </c>
      <c r="N161" s="202">
        <v>1131</v>
      </c>
      <c r="O161" s="4">
        <v>65737</v>
      </c>
      <c r="P161" s="4">
        <v>139746</v>
      </c>
      <c r="Q161" s="4">
        <f>246499-P161-O161-N161</f>
        <v>39885</v>
      </c>
      <c r="R161" s="96">
        <f t="shared" si="41"/>
        <v>66919</v>
      </c>
      <c r="S161" s="35">
        <f t="shared" si="50"/>
        <v>2.3386482165005454E-2</v>
      </c>
      <c r="T161" s="28">
        <f t="shared" si="51"/>
        <v>1.8685674181233999E-2</v>
      </c>
      <c r="U161" s="91">
        <f>SUM(B148:B161)/POBLA!$B$25*100000</f>
        <v>185.0434157780974</v>
      </c>
      <c r="V161" s="91">
        <f>B161/POBLA!$B$25*100000</f>
        <v>10.330505438268498</v>
      </c>
      <c r="W161" s="625">
        <f t="shared" si="48"/>
        <v>1.3465627555683841</v>
      </c>
      <c r="X161" s="28">
        <f t="shared" si="36"/>
        <v>2.3386482165005454E-2</v>
      </c>
      <c r="Y161" s="202">
        <f t="shared" si="39"/>
        <v>0.41221289344231976</v>
      </c>
      <c r="Z161" s="297">
        <f t="shared" si="44"/>
        <v>6368.5714285714284</v>
      </c>
      <c r="AA161" s="179">
        <f t="shared" si="45"/>
        <v>137</v>
      </c>
      <c r="AB161" s="357">
        <f t="shared" si="34"/>
        <v>92.1648421966771</v>
      </c>
      <c r="AC161" s="610">
        <f t="shared" si="56"/>
        <v>-44.8351578033229</v>
      </c>
      <c r="AD161" s="610">
        <f t="shared" si="57"/>
        <v>5998.0714285714284</v>
      </c>
      <c r="AE161" s="202">
        <f t="shared" si="55"/>
        <v>1.1316731398979514</v>
      </c>
      <c r="AF161" s="202">
        <f t="shared" si="53"/>
        <v>-0.37441338693091519</v>
      </c>
      <c r="AG161" s="4"/>
      <c r="AH161" s="202">
        <f t="shared" si="46"/>
        <v>1.348804500703235</v>
      </c>
      <c r="AI161" s="179">
        <f>MAX($B$2:B161)</f>
        <v>7513</v>
      </c>
      <c r="AJ161" s="180">
        <f t="shared" si="43"/>
        <v>3.2832346194666032E-2</v>
      </c>
      <c r="AK161" s="180"/>
      <c r="AL161" s="180"/>
      <c r="AM161" s="180"/>
      <c r="AP161" s="644">
        <f t="shared" si="38"/>
        <v>1.3465627555683841</v>
      </c>
      <c r="AT161" s="180">
        <f t="shared" si="52"/>
        <v>1.8584361060089215E-2</v>
      </c>
    </row>
    <row r="162" spans="1:46" x14ac:dyDescent="0.25">
      <c r="A162" s="36">
        <v>44053</v>
      </c>
      <c r="B162" s="129">
        <v>7369</v>
      </c>
      <c r="C162" s="126">
        <f t="shared" si="59"/>
        <v>253868</v>
      </c>
      <c r="D162" s="126">
        <f>27+131</f>
        <v>158</v>
      </c>
      <c r="E162" s="126">
        <f t="shared" si="58"/>
        <v>4764</v>
      </c>
      <c r="F162" s="126">
        <f t="shared" si="42"/>
        <v>6424</v>
      </c>
      <c r="G162" s="155">
        <v>181398</v>
      </c>
      <c r="H162" s="126">
        <v>1569</v>
      </c>
      <c r="I162" s="126">
        <v>16588</v>
      </c>
      <c r="J162" s="4">
        <v>872643</v>
      </c>
      <c r="K162" s="611">
        <f t="shared" si="40"/>
        <v>1.8765657743394205E-2</v>
      </c>
      <c r="L162" s="7">
        <f t="shared" si="54"/>
        <v>490542.94799999997</v>
      </c>
      <c r="M162" s="4">
        <v>491526</v>
      </c>
      <c r="N162" s="202">
        <v>1136</v>
      </c>
      <c r="O162" s="4">
        <v>67245</v>
      </c>
      <c r="P162" s="4">
        <v>144896</v>
      </c>
      <c r="Q162" s="4">
        <f>253686-P162-O162-N162</f>
        <v>40409</v>
      </c>
      <c r="R162" s="96">
        <f t="shared" si="41"/>
        <v>67706</v>
      </c>
      <c r="S162" s="35">
        <f t="shared" si="50"/>
        <v>2.3173721679024015E-2</v>
      </c>
      <c r="T162" s="28">
        <f t="shared" si="51"/>
        <v>1.8765657743394205E-2</v>
      </c>
      <c r="U162" s="91">
        <f>SUM(B149:B162)/POBLA!$B$25*100000</f>
        <v>190.5061553219258</v>
      </c>
      <c r="V162" s="91">
        <f>B162/POBLA!$B$25*100000</f>
        <v>16.238373416083736</v>
      </c>
      <c r="W162" s="625">
        <f t="shared" si="48"/>
        <v>1.3476119216859959</v>
      </c>
      <c r="X162" s="28">
        <f t="shared" si="36"/>
        <v>2.3173721679024015E-2</v>
      </c>
      <c r="Y162" s="202">
        <f t="shared" si="39"/>
        <v>0.42114623269614021</v>
      </c>
      <c r="Z162" s="297">
        <f t="shared" si="44"/>
        <v>6732.1428571428569</v>
      </c>
      <c r="AA162" s="179">
        <f t="shared" si="45"/>
        <v>136.14285714285714</v>
      </c>
      <c r="AB162" s="357">
        <f t="shared" ref="AB162:AB225" si="60">Z148*K148</f>
        <v>95.645302718975486</v>
      </c>
      <c r="AC162" s="610">
        <f t="shared" si="56"/>
        <v>-40.497554423881652</v>
      </c>
      <c r="AD162" s="610">
        <f t="shared" si="57"/>
        <v>6175.1428571428569</v>
      </c>
      <c r="AE162" s="202">
        <f t="shared" si="55"/>
        <v>1.1982861647214382</v>
      </c>
      <c r="AF162" s="202">
        <f t="shared" si="53"/>
        <v>-0.37771936435576225</v>
      </c>
      <c r="AG162" s="4"/>
      <c r="AH162" s="202">
        <f t="shared" si="46"/>
        <v>1.2639257294429709</v>
      </c>
      <c r="AI162" s="179">
        <f>MAX($B$2:B162)</f>
        <v>7513</v>
      </c>
      <c r="AJ162" s="180">
        <f t="shared" si="43"/>
        <v>3.1000943365537881E-2</v>
      </c>
      <c r="AK162" s="180"/>
      <c r="AL162" s="180"/>
      <c r="AM162" s="180"/>
      <c r="AP162" s="644">
        <f t="shared" si="38"/>
        <v>1.3476119216859959</v>
      </c>
      <c r="AT162" s="180">
        <f t="shared" si="52"/>
        <v>1.8898695318495778E-2</v>
      </c>
    </row>
    <row r="163" spans="1:46" x14ac:dyDescent="0.25">
      <c r="A163" s="2">
        <v>44054</v>
      </c>
      <c r="B163" s="129">
        <v>7043</v>
      </c>
      <c r="C163" s="126">
        <f t="shared" si="59"/>
        <v>260911</v>
      </c>
      <c r="D163" s="126">
        <f>21+220</f>
        <v>241</v>
      </c>
      <c r="E163" s="126">
        <f t="shared" si="58"/>
        <v>5005</v>
      </c>
      <c r="F163" s="126">
        <f t="shared" si="42"/>
        <v>5885</v>
      </c>
      <c r="G163" s="155">
        <v>187283</v>
      </c>
      <c r="H163" s="126">
        <v>1585</v>
      </c>
      <c r="I163" s="126">
        <v>19174</v>
      </c>
      <c r="J163" s="4">
        <f>J162+I163</f>
        <v>891817</v>
      </c>
      <c r="K163" s="611">
        <f t="shared" si="40"/>
        <v>1.9182786467416092E-2</v>
      </c>
      <c r="L163" s="7">
        <f t="shared" si="54"/>
        <v>500648.696</v>
      </c>
      <c r="M163" s="4">
        <v>501652</v>
      </c>
      <c r="N163" s="202">
        <v>1137</v>
      </c>
      <c r="O163" s="4">
        <v>68717</v>
      </c>
      <c r="P163" s="4">
        <v>151086</v>
      </c>
      <c r="Q163" s="4">
        <f>260911-P163-O163-N163</f>
        <v>39971</v>
      </c>
      <c r="R163" s="96">
        <f t="shared" si="41"/>
        <v>68623</v>
      </c>
      <c r="S163" s="35">
        <f t="shared" si="50"/>
        <v>2.3097212304912348E-2</v>
      </c>
      <c r="T163" s="28">
        <f t="shared" si="51"/>
        <v>1.9182786467416092E-2</v>
      </c>
      <c r="U163" s="91">
        <f>SUM(B150:B163)/POBLA!$B$25*100000</f>
        <v>192.93893646609143</v>
      </c>
      <c r="V163" s="91">
        <f>B163/POBLA!$B$25*100000</f>
        <v>15.519997824600051</v>
      </c>
      <c r="W163" s="625">
        <f t="shared" si="48"/>
        <v>1.3177015922704152</v>
      </c>
      <c r="X163" s="28">
        <f t="shared" si="36"/>
        <v>2.3097212304912348E-2</v>
      </c>
      <c r="Y163" s="202">
        <f t="shared" si="39"/>
        <v>0.41362330734509645</v>
      </c>
      <c r="Z163" s="297">
        <f t="shared" si="44"/>
        <v>6768</v>
      </c>
      <c r="AA163" s="179">
        <f t="shared" si="45"/>
        <v>146.57142857142858</v>
      </c>
      <c r="AB163" s="357">
        <f t="shared" si="60"/>
        <v>97.520106140578577</v>
      </c>
      <c r="AC163" s="610">
        <f t="shared" si="56"/>
        <v>-49.051322430850007</v>
      </c>
      <c r="AD163" s="610">
        <f t="shared" si="57"/>
        <v>6254</v>
      </c>
      <c r="AE163" s="202">
        <f t="shared" si="55"/>
        <v>1.1790940766550522</v>
      </c>
      <c r="AF163" s="202">
        <f t="shared" si="53"/>
        <v>-0.39060279909065077</v>
      </c>
      <c r="AG163" s="4"/>
      <c r="AH163" s="202">
        <f t="shared" si="46"/>
        <v>1.2793017456359104</v>
      </c>
      <c r="AI163" s="179">
        <f>MAX($B$2:B163)</f>
        <v>7513</v>
      </c>
      <c r="AJ163" s="180">
        <f t="shared" si="43"/>
        <v>3.0862712068343165E-2</v>
      </c>
      <c r="AK163" s="180"/>
      <c r="AL163" s="180"/>
      <c r="AM163" s="180"/>
      <c r="AP163" s="644">
        <f t="shared" si="38"/>
        <v>1.3177015922704152</v>
      </c>
      <c r="AT163" s="180">
        <f t="shared" si="52"/>
        <v>1.9670784965100219E-2</v>
      </c>
    </row>
    <row r="164" spans="1:46" x14ac:dyDescent="0.25">
      <c r="A164" s="2">
        <v>44055</v>
      </c>
      <c r="B164" s="129">
        <v>7663</v>
      </c>
      <c r="C164" s="126">
        <f t="shared" si="59"/>
        <v>268574</v>
      </c>
      <c r="D164" s="126">
        <f>84+125</f>
        <v>209</v>
      </c>
      <c r="E164" s="126">
        <f t="shared" si="58"/>
        <v>5214</v>
      </c>
      <c r="F164" s="126">
        <f t="shared" si="42"/>
        <v>5151</v>
      </c>
      <c r="G164" s="155">
        <v>192434</v>
      </c>
      <c r="H164" s="126">
        <v>1662</v>
      </c>
      <c r="I164" s="126">
        <v>19779</v>
      </c>
      <c r="J164" s="4">
        <v>911596</v>
      </c>
      <c r="K164" s="611">
        <f t="shared" si="40"/>
        <v>1.9413643911919992E-2</v>
      </c>
      <c r="L164" s="7">
        <f t="shared" si="54"/>
        <v>511092.766</v>
      </c>
      <c r="M164" s="4">
        <v>512117</v>
      </c>
      <c r="N164" s="202">
        <v>1142</v>
      </c>
      <c r="O164" s="4">
        <v>70280</v>
      </c>
      <c r="P164" s="4">
        <v>156764</v>
      </c>
      <c r="Q164" s="4">
        <f>268574-P164-O164-N164</f>
        <v>40388</v>
      </c>
      <c r="R164" s="96">
        <f t="shared" si="41"/>
        <v>70926</v>
      </c>
      <c r="S164" s="35">
        <f t="shared" si="50"/>
        <v>2.3432873699348617E-2</v>
      </c>
      <c r="T164" s="28">
        <f t="shared" si="51"/>
        <v>1.9413643911919992E-2</v>
      </c>
      <c r="U164" s="91">
        <f>SUM(B151:B164)/POBLA!$B$25*100000</f>
        <v>197.3946280181774</v>
      </c>
      <c r="V164" s="91">
        <f>B164/POBLA!$B$25*100000</f>
        <v>16.886233612084364</v>
      </c>
      <c r="W164" s="625">
        <f t="shared" si="48"/>
        <v>1.3204888187862081</v>
      </c>
      <c r="X164" s="28">
        <f t="shared" si="36"/>
        <v>2.3432873699348617E-2</v>
      </c>
      <c r="Y164" s="202">
        <f t="shared" si="39"/>
        <v>0.40915148822745445</v>
      </c>
      <c r="Z164" s="297">
        <f t="shared" si="44"/>
        <v>6841.7142857142853</v>
      </c>
      <c r="AA164" s="179">
        <f t="shared" si="45"/>
        <v>158.28571428571428</v>
      </c>
      <c r="AB164" s="357">
        <f t="shared" si="60"/>
        <v>97.345868862193242</v>
      </c>
      <c r="AC164" s="610">
        <f t="shared" si="56"/>
        <v>-60.939845423521035</v>
      </c>
      <c r="AD164" s="610">
        <f t="shared" si="57"/>
        <v>6398.4285714285716</v>
      </c>
      <c r="AE164" s="202">
        <f t="shared" si="55"/>
        <v>1.1488749220361751</v>
      </c>
      <c r="AF164" s="202">
        <f t="shared" si="53"/>
        <v>-0.39236146807854422</v>
      </c>
      <c r="AG164" s="4"/>
      <c r="AH164" s="202">
        <f t="shared" si="46"/>
        <v>1.3528693528693527</v>
      </c>
      <c r="AI164" s="179">
        <f>MAX($B$2:B164)</f>
        <v>7663</v>
      </c>
      <c r="AJ164" s="180">
        <f t="shared" si="43"/>
        <v>3.2379672111984566E-2</v>
      </c>
      <c r="AK164" s="180"/>
      <c r="AL164" s="180"/>
      <c r="AM164" s="180"/>
      <c r="AP164" s="644">
        <f t="shared" si="38"/>
        <v>1.3204888187862081</v>
      </c>
      <c r="AT164" s="180">
        <f t="shared" si="52"/>
        <v>2.0041134837577884E-2</v>
      </c>
    </row>
    <row r="165" spans="1:46" x14ac:dyDescent="0.25">
      <c r="A165" s="2">
        <v>44056</v>
      </c>
      <c r="B165" s="129">
        <v>7498</v>
      </c>
      <c r="C165" s="126">
        <f t="shared" si="59"/>
        <v>276072</v>
      </c>
      <c r="D165" s="126">
        <f>33+116</f>
        <v>149</v>
      </c>
      <c r="E165" s="126">
        <f t="shared" si="58"/>
        <v>5363</v>
      </c>
      <c r="F165" s="126">
        <f t="shared" si="42"/>
        <v>6571</v>
      </c>
      <c r="G165" s="155">
        <v>199005</v>
      </c>
      <c r="H165" s="126">
        <v>1682</v>
      </c>
      <c r="I165" s="126">
        <v>18501</v>
      </c>
      <c r="J165" s="4">
        <v>930097</v>
      </c>
      <c r="K165" s="611">
        <f t="shared" si="40"/>
        <v>1.9426091744182677E-2</v>
      </c>
      <c r="L165" s="7">
        <f t="shared" si="54"/>
        <v>521870.16800000001</v>
      </c>
      <c r="M165" s="4">
        <v>522916</v>
      </c>
      <c r="N165" s="202">
        <v>1143</v>
      </c>
      <c r="O165" s="4">
        <v>71620</v>
      </c>
      <c r="P165" s="4">
        <v>162959</v>
      </c>
      <c r="Q165" s="4">
        <f>276072-P165-O165-N165</f>
        <v>40350</v>
      </c>
      <c r="R165" s="96">
        <f t="shared" si="41"/>
        <v>71704</v>
      </c>
      <c r="S165" s="35">
        <f t="shared" si="50"/>
        <v>2.3457547696083901E-2</v>
      </c>
      <c r="T165" s="28">
        <f t="shared" si="51"/>
        <v>1.9426091744182677E-2</v>
      </c>
      <c r="U165" s="91">
        <f>SUM(B152:B165)/POBLA!$B$25*100000</f>
        <v>199.86487046619339</v>
      </c>
      <c r="V165" s="91">
        <f>B165/POBLA!$B$25*100000</f>
        <v>16.522638604124829</v>
      </c>
      <c r="W165" s="625">
        <f t="shared" si="48"/>
        <v>1.284870378240544</v>
      </c>
      <c r="X165" s="28">
        <f t="shared" si="36"/>
        <v>2.3457547696083901E-2</v>
      </c>
      <c r="Y165" s="202">
        <f t="shared" si="39"/>
        <v>0.40734942526779711</v>
      </c>
      <c r="Z165" s="297">
        <f t="shared" si="44"/>
        <v>6839.5714285714284</v>
      </c>
      <c r="AA165" s="179">
        <f t="shared" si="45"/>
        <v>158.85714285714286</v>
      </c>
      <c r="AB165" s="357">
        <f t="shared" si="60"/>
        <v>99.062763802094764</v>
      </c>
      <c r="AC165" s="610">
        <f t="shared" si="56"/>
        <v>-59.794379055048097</v>
      </c>
      <c r="AD165" s="610">
        <f t="shared" si="57"/>
        <v>6478.5</v>
      </c>
      <c r="AE165" s="202">
        <f t="shared" si="55"/>
        <v>1.1180467983746671</v>
      </c>
      <c r="AF165" s="202">
        <f t="shared" si="53"/>
        <v>-0.40567109003953683</v>
      </c>
      <c r="AG165" s="4"/>
      <c r="AH165" s="202">
        <f t="shared" si="46"/>
        <v>1.3728395061728396</v>
      </c>
      <c r="AI165" s="179">
        <f>MAX($B$2:B165)</f>
        <v>7663</v>
      </c>
      <c r="AJ165" s="180">
        <f t="shared" si="43"/>
        <v>3.1124048365427676E-2</v>
      </c>
      <c r="AK165" s="180"/>
      <c r="AL165" s="180"/>
      <c r="AM165" s="180"/>
      <c r="AP165" s="644">
        <f t="shared" si="38"/>
        <v>1.284870378240544</v>
      </c>
      <c r="AT165" s="180">
        <f t="shared" si="52"/>
        <v>2.0081223435384807E-2</v>
      </c>
    </row>
    <row r="166" spans="1:46" x14ac:dyDescent="0.25">
      <c r="A166" s="2">
        <v>44057</v>
      </c>
      <c r="B166" s="129">
        <v>6365</v>
      </c>
      <c r="C166" s="126">
        <f t="shared" si="59"/>
        <v>282437</v>
      </c>
      <c r="D166" s="126">
        <f>66+99</f>
        <v>165</v>
      </c>
      <c r="E166" s="126">
        <f t="shared" si="58"/>
        <v>5528</v>
      </c>
      <c r="F166" s="126">
        <f t="shared" si="42"/>
        <v>6692</v>
      </c>
      <c r="G166" s="155">
        <v>205697</v>
      </c>
      <c r="H166" s="126">
        <v>1718</v>
      </c>
      <c r="I166" s="126">
        <v>19073</v>
      </c>
      <c r="J166" s="4">
        <v>949170</v>
      </c>
      <c r="K166" s="611">
        <f t="shared" si="40"/>
        <v>1.9572506435063395E-2</v>
      </c>
      <c r="L166" s="7">
        <f t="shared" si="54"/>
        <v>532412.04200000002</v>
      </c>
      <c r="M166" s="4">
        <v>533479</v>
      </c>
      <c r="N166" s="202">
        <v>1148</v>
      </c>
      <c r="O166" s="4">
        <v>72902</v>
      </c>
      <c r="P166" s="4">
        <v>168252</v>
      </c>
      <c r="Q166" s="4">
        <f>282437-P166-O166-N166</f>
        <v>40135</v>
      </c>
      <c r="R166" s="96">
        <f t="shared" si="41"/>
        <v>71212</v>
      </c>
      <c r="S166" s="35">
        <f t="shared" si="50"/>
        <v>2.4125147447059483E-2</v>
      </c>
      <c r="T166" s="28">
        <f t="shared" si="51"/>
        <v>1.9572506435063395E-2</v>
      </c>
      <c r="U166" s="91">
        <f>SUM(B153:B166)/POBLA!$B$25*100000</f>
        <v>200.82564272965007</v>
      </c>
      <c r="V166" s="91">
        <f>B166/POBLA!$B$25*100000</f>
        <v>14.025952882802686</v>
      </c>
      <c r="W166" s="625">
        <f t="shared" si="48"/>
        <v>1.2657463090790406</v>
      </c>
      <c r="X166" s="28">
        <f t="shared" si="36"/>
        <v>2.4125147447059483E-2</v>
      </c>
      <c r="Y166" s="202">
        <f t="shared" si="39"/>
        <v>0.39256840143393246</v>
      </c>
      <c r="Z166" s="297">
        <f t="shared" si="44"/>
        <v>6680</v>
      </c>
      <c r="AA166" s="179">
        <f t="shared" si="45"/>
        <v>159.57142857142858</v>
      </c>
      <c r="AB166" s="357">
        <f t="shared" si="60"/>
        <v>99.991044825160515</v>
      </c>
      <c r="AC166" s="610">
        <f t="shared" si="56"/>
        <v>-59.580383746268069</v>
      </c>
      <c r="AD166" s="610">
        <f t="shared" si="57"/>
        <v>6509.6428571428569</v>
      </c>
      <c r="AE166" s="202">
        <f t="shared" si="55"/>
        <v>1.0537464788732394</v>
      </c>
      <c r="AF166" s="202">
        <f t="shared" si="53"/>
        <v>-0.42115359604629987</v>
      </c>
      <c r="AG166" s="4"/>
      <c r="AH166" s="202">
        <f t="shared" si="46"/>
        <v>1.2868663594470047</v>
      </c>
      <c r="AI166" s="179">
        <f>MAX($B$2:B166)</f>
        <v>7663</v>
      </c>
      <c r="AJ166" s="180">
        <f t="shared" si="43"/>
        <v>3.1298159096640424E-2</v>
      </c>
      <c r="AK166" s="180"/>
      <c r="AL166" s="180"/>
      <c r="AM166" s="180"/>
      <c r="AP166" s="644">
        <f t="shared" si="38"/>
        <v>1.2657463090790406</v>
      </c>
      <c r="AT166" s="180">
        <f t="shared" si="52"/>
        <v>2.031784584126391E-2</v>
      </c>
    </row>
    <row r="167" spans="1:46" x14ac:dyDescent="0.25">
      <c r="A167" s="2">
        <v>44058</v>
      </c>
      <c r="B167" s="126">
        <v>6663</v>
      </c>
      <c r="C167" s="126">
        <f t="shared" si="59"/>
        <v>289100</v>
      </c>
      <c r="D167" s="126">
        <f>38+72-1</f>
        <v>109</v>
      </c>
      <c r="E167" s="126">
        <f t="shared" si="58"/>
        <v>5637</v>
      </c>
      <c r="F167" s="126">
        <f t="shared" si="42"/>
        <v>6005</v>
      </c>
      <c r="G167" s="155">
        <v>211702</v>
      </c>
      <c r="H167" s="126">
        <v>1716</v>
      </c>
      <c r="I167" s="126">
        <v>17756</v>
      </c>
      <c r="J167" s="4">
        <f>J166+I167</f>
        <v>966926</v>
      </c>
      <c r="K167" s="611">
        <f t="shared" si="40"/>
        <v>1.9498443445174679E-2</v>
      </c>
      <c r="L167" s="7">
        <f t="shared" si="54"/>
        <v>542007.81200000003</v>
      </c>
      <c r="M167" s="4">
        <v>543094</v>
      </c>
      <c r="N167" s="202">
        <v>1151</v>
      </c>
      <c r="O167" s="4">
        <v>74109</v>
      </c>
      <c r="P167" s="4">
        <v>171954</v>
      </c>
      <c r="Q167" s="4">
        <f>289100-P167-O167-N167</f>
        <v>41886</v>
      </c>
      <c r="R167" s="96">
        <f t="shared" si="41"/>
        <v>71761</v>
      </c>
      <c r="S167" s="35">
        <f t="shared" si="50"/>
        <v>2.3912710246512731E-2</v>
      </c>
      <c r="T167" s="28">
        <f t="shared" si="51"/>
        <v>1.9498443445174679E-2</v>
      </c>
      <c r="U167" s="91">
        <f>SUM(B154:B167)/POBLA!$B$25*100000</f>
        <v>203.95917061642862</v>
      </c>
      <c r="V167" s="91">
        <f>B167/POBLA!$B$25*100000</f>
        <v>14.682627503238693</v>
      </c>
      <c r="W167" s="625">
        <f t="shared" si="48"/>
        <v>1.2518360225597469</v>
      </c>
      <c r="X167" s="28">
        <f t="shared" si="36"/>
        <v>2.3912710246512731E-2</v>
      </c>
      <c r="Y167" s="202">
        <f t="shared" si="39"/>
        <v>0.38855109854896225</v>
      </c>
      <c r="Z167" s="297">
        <f t="shared" si="44"/>
        <v>6755.5714285714284</v>
      </c>
      <c r="AA167" s="179">
        <f t="shared" si="45"/>
        <v>159.14285714285714</v>
      </c>
      <c r="AB167" s="357">
        <f t="shared" si="60"/>
        <v>99.868777533960213</v>
      </c>
      <c r="AC167" s="610">
        <f t="shared" si="56"/>
        <v>-59.274079608896926</v>
      </c>
      <c r="AD167" s="610">
        <f t="shared" si="57"/>
        <v>6611.2142857142853</v>
      </c>
      <c r="AE167" s="202">
        <f t="shared" si="55"/>
        <v>1.0446452239992929</v>
      </c>
      <c r="AF167" s="202">
        <f t="shared" si="53"/>
        <v>6.8205838133940766E-2</v>
      </c>
      <c r="AG167" s="4"/>
      <c r="AH167" s="202">
        <f t="shared" si="46"/>
        <v>1.2017259978425028</v>
      </c>
      <c r="AI167" s="179">
        <f>MAX($B$2:B167)</f>
        <v>7663</v>
      </c>
      <c r="AJ167" s="180">
        <f t="shared" si="43"/>
        <v>3.0402270618416025E-2</v>
      </c>
      <c r="AK167" s="180"/>
      <c r="AL167" s="180"/>
      <c r="AM167" s="180"/>
      <c r="AP167" s="644">
        <f t="shared" si="38"/>
        <v>1.2518360225597469</v>
      </c>
      <c r="AT167" s="180">
        <f t="shared" si="52"/>
        <v>2.0233253211103908E-2</v>
      </c>
    </row>
    <row r="168" spans="1:46" x14ac:dyDescent="0.25">
      <c r="A168" s="2">
        <v>44059</v>
      </c>
      <c r="B168" s="126">
        <v>5469</v>
      </c>
      <c r="C168" s="126">
        <f t="shared" si="59"/>
        <v>294569</v>
      </c>
      <c r="D168" s="126">
        <f>20+46</f>
        <v>66</v>
      </c>
      <c r="E168" s="126">
        <f t="shared" si="58"/>
        <v>5703</v>
      </c>
      <c r="F168" s="126">
        <f t="shared" si="42"/>
        <v>6148</v>
      </c>
      <c r="G168" s="155">
        <v>217850</v>
      </c>
      <c r="H168" s="126">
        <v>1708</v>
      </c>
      <c r="I168" s="126">
        <v>14533</v>
      </c>
      <c r="J168" s="222">
        <v>981459</v>
      </c>
      <c r="K168" s="611">
        <f t="shared" si="40"/>
        <v>1.9360489392977537E-2</v>
      </c>
      <c r="L168" s="7">
        <f t="shared" si="54"/>
        <v>549523.75</v>
      </c>
      <c r="M168" s="4">
        <v>550625</v>
      </c>
      <c r="N168" s="202">
        <v>1154</v>
      </c>
      <c r="O168" s="4">
        <v>75051</v>
      </c>
      <c r="P168" s="4">
        <v>175520</v>
      </c>
      <c r="Q168" s="4">
        <f>294569-P168-O168-N168</f>
        <v>42844</v>
      </c>
      <c r="R168" s="96">
        <f t="shared" si="41"/>
        <v>71016</v>
      </c>
      <c r="S168" s="35">
        <f t="shared" si="50"/>
        <v>2.4050918102962712E-2</v>
      </c>
      <c r="T168" s="28">
        <f t="shared" si="51"/>
        <v>1.9360489392977537E-2</v>
      </c>
      <c r="U168" s="91">
        <f>SUM(B155:B168)/POBLA!$B$25*100000</f>
        <v>204.16410598455124</v>
      </c>
      <c r="V168" s="91">
        <f>B168/POBLA!$B$25*100000</f>
        <v>12.051521809276965</v>
      </c>
      <c r="W168" s="625">
        <f t="shared" si="48"/>
        <v>1.233984177299486</v>
      </c>
      <c r="X168" s="28">
        <f t="shared" si="36"/>
        <v>2.4050918102962712E-2</v>
      </c>
      <c r="Y168" s="202">
        <f t="shared" si="39"/>
        <v>0.38332110618481069</v>
      </c>
      <c r="Z168" s="297">
        <f t="shared" si="44"/>
        <v>6867.1428571428569</v>
      </c>
      <c r="AA168" s="179">
        <f t="shared" si="45"/>
        <v>156.71428571428572</v>
      </c>
      <c r="AB168" s="357">
        <f t="shared" si="60"/>
        <v>101.64349565915045</v>
      </c>
      <c r="AC168" s="610">
        <f t="shared" si="56"/>
        <v>-55.070790055135276</v>
      </c>
      <c r="AD168" s="610">
        <f t="shared" si="57"/>
        <v>6617.8571428571431</v>
      </c>
      <c r="AE168" s="202">
        <f t="shared" si="55"/>
        <v>1.0782862270076268</v>
      </c>
      <c r="AF168" s="202">
        <f t="shared" si="53"/>
        <v>6.1223269923340151E-2</v>
      </c>
      <c r="AG168" s="4"/>
      <c r="AH168" s="202">
        <f t="shared" si="46"/>
        <v>1.1438998957247133</v>
      </c>
      <c r="AI168" s="179">
        <f>MAX($B$2:B168)</f>
        <v>7663</v>
      </c>
      <c r="AJ168" s="180">
        <f t="shared" si="43"/>
        <v>2.94599457528802E-2</v>
      </c>
      <c r="AK168" s="180"/>
      <c r="AL168" s="180"/>
      <c r="AM168" s="180"/>
      <c r="AP168" s="644">
        <f t="shared" si="38"/>
        <v>1.233984177299486</v>
      </c>
      <c r="AT168" s="180">
        <f t="shared" si="52"/>
        <v>2.0123468060341876E-2</v>
      </c>
    </row>
    <row r="169" spans="1:46" x14ac:dyDescent="0.25">
      <c r="A169" s="36">
        <v>44060</v>
      </c>
      <c r="B169" s="126">
        <v>4557</v>
      </c>
      <c r="C169" s="126">
        <f t="shared" si="59"/>
        <v>299126</v>
      </c>
      <c r="D169" s="126">
        <f>47+64</f>
        <v>111</v>
      </c>
      <c r="E169" s="126">
        <f t="shared" si="58"/>
        <v>5814</v>
      </c>
      <c r="F169" s="126">
        <f t="shared" si="42"/>
        <v>5681</v>
      </c>
      <c r="G169" s="155">
        <v>223531</v>
      </c>
      <c r="H169" s="126">
        <v>1749</v>
      </c>
      <c r="I169" s="126">
        <v>13483</v>
      </c>
      <c r="J169" s="4">
        <f>J168+I169</f>
        <v>994942</v>
      </c>
      <c r="K169" s="611">
        <f t="shared" si="40"/>
        <v>1.9436625368573778E-2</v>
      </c>
      <c r="L169" s="7">
        <f t="shared" si="54"/>
        <v>557198.37</v>
      </c>
      <c r="M169" s="4">
        <v>558315</v>
      </c>
      <c r="N169" s="202">
        <v>1157</v>
      </c>
      <c r="O169" s="4">
        <v>76226</v>
      </c>
      <c r="P169" s="4">
        <v>180483</v>
      </c>
      <c r="Q169" s="4">
        <f>299126-P169-O169-N169</f>
        <v>41260</v>
      </c>
      <c r="R169" s="96">
        <f t="shared" si="41"/>
        <v>69781</v>
      </c>
      <c r="S169" s="35">
        <f t="shared" si="50"/>
        <v>2.5064129204224645E-2</v>
      </c>
      <c r="T169" s="28">
        <f t="shared" si="51"/>
        <v>1.9436625368573778E-2</v>
      </c>
      <c r="U169" s="91">
        <f>SUM(B156:B169)/POBLA!$B$25*100000</f>
        <v>203.57574315348947</v>
      </c>
      <c r="V169" s="91">
        <f>B169/POBLA!$B$25*100000</f>
        <v>10.041833038009715</v>
      </c>
      <c r="W169" s="625">
        <f t="shared" si="48"/>
        <v>1.2160618146875699</v>
      </c>
      <c r="X169" s="28">
        <f t="shared" si="36"/>
        <v>2.5064129204224645E-2</v>
      </c>
      <c r="Y169" s="202">
        <f t="shared" si="39"/>
        <v>0.37006026214441656</v>
      </c>
      <c r="Z169" s="297">
        <f t="shared" si="44"/>
        <v>6465.4285714285716</v>
      </c>
      <c r="AA169" s="179">
        <f t="shared" si="45"/>
        <v>150</v>
      </c>
      <c r="AB169" s="357">
        <f t="shared" si="60"/>
        <v>103.56211542142384</v>
      </c>
      <c r="AC169" s="610">
        <f t="shared" si="56"/>
        <v>-46.43788457857616</v>
      </c>
      <c r="AD169" s="610">
        <f t="shared" si="57"/>
        <v>6598.7857142857147</v>
      </c>
      <c r="AE169" s="202">
        <f t="shared" si="55"/>
        <v>0.96038196286472155</v>
      </c>
      <c r="AF169" s="202">
        <f t="shared" si="53"/>
        <v>3.0647209996159885E-2</v>
      </c>
      <c r="AG169" s="4"/>
      <c r="AH169" s="202">
        <f t="shared" si="46"/>
        <v>1.1017838405036726</v>
      </c>
      <c r="AI169" s="179">
        <f>MAX($B$2:B169)</f>
        <v>7663</v>
      </c>
      <c r="AJ169" s="180">
        <f t="shared" si="43"/>
        <v>2.8304938537847747E-2</v>
      </c>
      <c r="AK169" s="180"/>
      <c r="AL169" s="180"/>
      <c r="AM169" s="180"/>
      <c r="AP169" s="644">
        <f t="shared" si="38"/>
        <v>1.2160618146875699</v>
      </c>
      <c r="AT169" s="180">
        <f t="shared" si="52"/>
        <v>2.0371629277135737E-2</v>
      </c>
    </row>
    <row r="170" spans="1:46" x14ac:dyDescent="0.25">
      <c r="A170" s="2">
        <v>44061</v>
      </c>
      <c r="B170" s="126">
        <v>6840</v>
      </c>
      <c r="C170" s="126">
        <f t="shared" si="59"/>
        <v>305966</v>
      </c>
      <c r="D170" s="126">
        <f>63+170</f>
        <v>233</v>
      </c>
      <c r="E170" s="126">
        <f t="shared" si="58"/>
        <v>6047</v>
      </c>
      <c r="F170" s="126">
        <f t="shared" si="42"/>
        <v>5194</v>
      </c>
      <c r="G170" s="155">
        <v>228725</v>
      </c>
      <c r="H170" s="126">
        <v>1799</v>
      </c>
      <c r="I170" s="126">
        <v>18037</v>
      </c>
      <c r="J170" s="4">
        <f t="shared" ref="J170:J233" si="61">J171-I171</f>
        <v>969683</v>
      </c>
      <c r="K170" s="611">
        <f t="shared" si="40"/>
        <v>1.9763633867815378E-2</v>
      </c>
      <c r="L170" s="7">
        <f t="shared" si="54"/>
        <v>567083.56000000006</v>
      </c>
      <c r="M170" s="4">
        <v>568220</v>
      </c>
      <c r="N170" s="202">
        <v>1161</v>
      </c>
      <c r="O170" s="4">
        <v>77895</v>
      </c>
      <c r="P170" s="4">
        <v>185880</v>
      </c>
      <c r="Q170" s="4">
        <f>305966-P170-O170-N170</f>
        <v>41030</v>
      </c>
      <c r="R170" s="96">
        <f t="shared" si="41"/>
        <v>71194</v>
      </c>
      <c r="S170" s="35">
        <f t="shared" si="50"/>
        <v>2.5268983341292805E-2</v>
      </c>
      <c r="T170" s="28">
        <f t="shared" si="51"/>
        <v>1.9763633867815378E-2</v>
      </c>
      <c r="U170" s="91">
        <f>SUM(B157:B170)/POBLA!$B$25*100000</f>
        <v>203.6815162467141</v>
      </c>
      <c r="V170" s="91">
        <f>B170/POBLA!$B$25*100000</f>
        <v>15.072665784504377</v>
      </c>
      <c r="W170" s="625">
        <f t="shared" si="48"/>
        <v>1.1939367322422723</v>
      </c>
      <c r="X170" s="28">
        <f t="shared" si="36"/>
        <v>2.5268983341292805E-2</v>
      </c>
      <c r="Y170" s="202">
        <f t="shared" si="39"/>
        <v>0.37185751308165926</v>
      </c>
      <c r="Z170" s="297">
        <f t="shared" si="44"/>
        <v>6436.4285714285716</v>
      </c>
      <c r="AA170" s="179">
        <f t="shared" si="45"/>
        <v>148.85714285714286</v>
      </c>
      <c r="AB170" s="357">
        <f t="shared" si="60"/>
        <v>106.95885920340926</v>
      </c>
      <c r="AC170" s="610">
        <f t="shared" si="56"/>
        <v>-41.8982836537336</v>
      </c>
      <c r="AD170" s="610">
        <f t="shared" si="57"/>
        <v>6602.2142857142853</v>
      </c>
      <c r="AE170" s="202">
        <f t="shared" si="55"/>
        <v>0.9510089496791625</v>
      </c>
      <c r="AF170" s="202">
        <f t="shared" si="53"/>
        <v>3.7465572767148014E-2</v>
      </c>
      <c r="AG170" s="4"/>
      <c r="AH170" s="202">
        <f t="shared" si="46"/>
        <v>1.0155945419103314</v>
      </c>
      <c r="AI170" s="179">
        <f>MAX($B$2:B170)</f>
        <v>7663</v>
      </c>
      <c r="AJ170" s="180">
        <f t="shared" si="43"/>
        <v>2.7901247790928081E-2</v>
      </c>
      <c r="AK170" s="180"/>
      <c r="AL170" s="180"/>
      <c r="AM170" s="180"/>
      <c r="AP170" s="644">
        <f t="shared" si="38"/>
        <v>1.1939367322422723</v>
      </c>
      <c r="AT170" s="180">
        <f t="shared" si="52"/>
        <v>2.1152353890213197E-2</v>
      </c>
    </row>
    <row r="171" spans="1:46" x14ac:dyDescent="0.25">
      <c r="A171" s="2">
        <v>44062</v>
      </c>
      <c r="B171" s="126">
        <v>6693</v>
      </c>
      <c r="C171" s="126">
        <f t="shared" si="59"/>
        <v>312659</v>
      </c>
      <c r="D171" s="126">
        <f>217+66</f>
        <v>283</v>
      </c>
      <c r="E171" s="126">
        <f t="shared" si="58"/>
        <v>6330</v>
      </c>
      <c r="F171" s="126">
        <f t="shared" si="42"/>
        <v>4926</v>
      </c>
      <c r="G171" s="155">
        <v>233651</v>
      </c>
      <c r="H171" s="126">
        <v>1795</v>
      </c>
      <c r="I171" s="126">
        <v>18013</v>
      </c>
      <c r="J171" s="4">
        <f t="shared" si="61"/>
        <v>987696</v>
      </c>
      <c r="K171" s="611">
        <f t="shared" si="40"/>
        <v>2.0245698988354724E-2</v>
      </c>
      <c r="L171" s="7">
        <f t="shared" si="54"/>
        <v>576886.91399999999</v>
      </c>
      <c r="M171" s="4">
        <v>578043</v>
      </c>
      <c r="N171" s="202">
        <v>1163</v>
      </c>
      <c r="O171" s="4">
        <v>79219</v>
      </c>
      <c r="P171" s="4">
        <v>191037</v>
      </c>
      <c r="Q171" s="7">
        <f t="shared" ref="Q171:Q202" si="62">C171-P171-O171-N171</f>
        <v>41240</v>
      </c>
      <c r="R171" s="96">
        <f t="shared" si="41"/>
        <v>72678</v>
      </c>
      <c r="S171" s="35">
        <f t="shared" si="50"/>
        <v>2.4697982883403507E-2</v>
      </c>
      <c r="T171" s="28">
        <f t="shared" si="51"/>
        <v>2.0245698988354724E-2</v>
      </c>
      <c r="U171" s="91">
        <f>SUM(B158:B171)/POBLA!$B$25*100000</f>
        <v>202.68107907329812</v>
      </c>
      <c r="V171" s="91">
        <f>B171/POBLA!$B$25*100000</f>
        <v>14.748735686504066</v>
      </c>
      <c r="W171" s="625">
        <f t="shared" si="48"/>
        <v>1.1674874971440177</v>
      </c>
      <c r="X171" s="28">
        <f t="shared" si="36"/>
        <v>2.4697982883403507E-2</v>
      </c>
      <c r="Y171" s="202">
        <f t="shared" si="39"/>
        <v>0.36923347515829674</v>
      </c>
      <c r="Z171" s="297">
        <f t="shared" si="44"/>
        <v>6297.8571428571431</v>
      </c>
      <c r="AA171" s="179">
        <f t="shared" si="45"/>
        <v>159.42857142857142</v>
      </c>
      <c r="AB171" s="357">
        <f t="shared" si="60"/>
        <v>110.8011372537342</v>
      </c>
      <c r="AC171" s="610">
        <f t="shared" si="56"/>
        <v>-48.627434174837219</v>
      </c>
      <c r="AD171" s="610">
        <f t="shared" si="57"/>
        <v>6569.7857142857147</v>
      </c>
      <c r="AE171" s="202">
        <f t="shared" si="55"/>
        <v>0.92050864445001257</v>
      </c>
      <c r="AF171" s="202">
        <f t="shared" si="53"/>
        <v>2.4701801878013629E-2</v>
      </c>
      <c r="AG171" s="4"/>
      <c r="AH171" s="202">
        <f t="shared" si="46"/>
        <v>1.0072202166064981</v>
      </c>
      <c r="AI171" s="179">
        <f>MAX($B$2:B171)</f>
        <v>7663</v>
      </c>
      <c r="AJ171" s="180">
        <f t="shared" si="43"/>
        <v>2.9537875178656501E-2</v>
      </c>
      <c r="AK171" s="180"/>
      <c r="AL171" s="180"/>
      <c r="AM171" s="180"/>
      <c r="AP171" s="644">
        <f t="shared" si="38"/>
        <v>1.1674874971440177</v>
      </c>
      <c r="AT171" s="180">
        <f t="shared" si="52"/>
        <v>2.1766500810951977E-2</v>
      </c>
    </row>
    <row r="172" spans="1:46" x14ac:dyDescent="0.25">
      <c r="A172" s="2">
        <v>44063</v>
      </c>
      <c r="B172" s="131">
        <v>8225</v>
      </c>
      <c r="C172" s="126">
        <f t="shared" si="59"/>
        <v>320884</v>
      </c>
      <c r="D172" s="126">
        <f>111+75</f>
        <v>186</v>
      </c>
      <c r="E172" s="126">
        <f t="shared" si="58"/>
        <v>6516</v>
      </c>
      <c r="F172" s="126">
        <f t="shared" si="42"/>
        <v>6155</v>
      </c>
      <c r="G172" s="155">
        <v>239806</v>
      </c>
      <c r="H172" s="126">
        <v>1832</v>
      </c>
      <c r="I172" s="126">
        <v>21695</v>
      </c>
      <c r="J172" s="4">
        <f t="shared" si="61"/>
        <v>1009391</v>
      </c>
      <c r="K172" s="611">
        <f t="shared" si="40"/>
        <v>2.0306403560165043E-2</v>
      </c>
      <c r="L172" s="7">
        <f t="shared" si="54"/>
        <v>588274.09400000004</v>
      </c>
      <c r="M172" s="4">
        <v>589453</v>
      </c>
      <c r="N172" s="202">
        <v>1172</v>
      </c>
      <c r="O172" s="4">
        <v>80662</v>
      </c>
      <c r="P172" s="4">
        <v>196370</v>
      </c>
      <c r="Q172" s="7">
        <f t="shared" si="62"/>
        <v>42680</v>
      </c>
      <c r="R172" s="96">
        <f t="shared" si="41"/>
        <v>74562</v>
      </c>
      <c r="S172" s="35">
        <f t="shared" si="50"/>
        <v>2.4570156379925431E-2</v>
      </c>
      <c r="T172" s="28">
        <f t="shared" si="51"/>
        <v>2.0306403560165043E-2</v>
      </c>
      <c r="U172" s="91">
        <f>SUM(B159:B172)/POBLA!$B$25*100000</f>
        <v>204.25004662279625</v>
      </c>
      <c r="V172" s="91">
        <f>B172/POBLA!$B$25*100000</f>
        <v>18.12466024525563</v>
      </c>
      <c r="W172" s="625">
        <f t="shared" si="48"/>
        <v>1.1561845125237002</v>
      </c>
      <c r="X172" s="28">
        <f t="shared" si="36"/>
        <v>2.4570156379925431E-2</v>
      </c>
      <c r="Y172" s="202">
        <f t="shared" si="39"/>
        <v>0.36554368219267475</v>
      </c>
      <c r="Z172" s="297">
        <f t="shared" si="44"/>
        <v>6401.7142857142853</v>
      </c>
      <c r="AA172" s="179">
        <f t="shared" si="45"/>
        <v>164.71428571428572</v>
      </c>
      <c r="AB172" s="357">
        <f t="shared" si="60"/>
        <v>113.96037975040144</v>
      </c>
      <c r="AC172" s="610">
        <f t="shared" si="56"/>
        <v>-50.753905963884279</v>
      </c>
      <c r="AD172" s="610">
        <f t="shared" si="57"/>
        <v>6620.6428571428569</v>
      </c>
      <c r="AE172" s="202">
        <f t="shared" si="55"/>
        <v>0.93598178666165377</v>
      </c>
      <c r="AF172" s="202">
        <f t="shared" si="53"/>
        <v>3.9858306370634811E-2</v>
      </c>
      <c r="AG172" s="4"/>
      <c r="AH172" s="202">
        <f t="shared" si="46"/>
        <v>1.0368705035971224</v>
      </c>
      <c r="AI172" s="179">
        <f>MAX($B$2:B172)</f>
        <v>8225</v>
      </c>
      <c r="AJ172" s="180">
        <f t="shared" si="43"/>
        <v>3.0176136512340024E-2</v>
      </c>
      <c r="AK172" s="180"/>
      <c r="AL172" s="180"/>
      <c r="AM172" s="180"/>
      <c r="AP172" s="644">
        <f t="shared" si="38"/>
        <v>1.1561845125237002</v>
      </c>
      <c r="AT172" s="180">
        <f t="shared" si="52"/>
        <v>2.180054771981858E-2</v>
      </c>
    </row>
    <row r="173" spans="1:46" x14ac:dyDescent="0.25">
      <c r="A173" s="2">
        <v>44064</v>
      </c>
      <c r="B173" s="126">
        <v>8159</v>
      </c>
      <c r="C173" s="126">
        <f t="shared" si="59"/>
        <v>329043</v>
      </c>
      <c r="D173" s="126">
        <f>50+164</f>
        <v>214</v>
      </c>
      <c r="E173" s="126">
        <f t="shared" si="58"/>
        <v>6730</v>
      </c>
      <c r="F173" s="126">
        <f t="shared" si="42"/>
        <v>5975</v>
      </c>
      <c r="G173" s="155">
        <v>245781</v>
      </c>
      <c r="H173" s="126">
        <v>1853</v>
      </c>
      <c r="I173" s="126">
        <v>21032</v>
      </c>
      <c r="J173" s="4">
        <f t="shared" si="61"/>
        <v>1030423</v>
      </c>
      <c r="K173" s="611">
        <f t="shared" si="40"/>
        <v>2.0453253830046529E-2</v>
      </c>
      <c r="L173" s="7">
        <f t="shared" si="54"/>
        <v>599304.98800000001</v>
      </c>
      <c r="M173" s="4">
        <v>600506</v>
      </c>
      <c r="N173" s="202">
        <v>1175</v>
      </c>
      <c r="O173" s="4">
        <v>82187</v>
      </c>
      <c r="P173" s="4">
        <v>201933</v>
      </c>
      <c r="Q173" s="7">
        <f t="shared" si="62"/>
        <v>43748</v>
      </c>
      <c r="R173" s="96">
        <f t="shared" si="41"/>
        <v>76532</v>
      </c>
      <c r="S173" s="35">
        <f t="shared" si="50"/>
        <v>2.4212094287356923E-2</v>
      </c>
      <c r="T173" s="28">
        <f t="shared" si="51"/>
        <v>2.0453253830046529E-2</v>
      </c>
      <c r="U173" s="91">
        <f>SUM(B160:B173)/POBLA!$B$25*100000</f>
        <v>205.74188795848477</v>
      </c>
      <c r="V173" s="91">
        <f>B173/POBLA!$B$25*100000</f>
        <v>17.979222242071817</v>
      </c>
      <c r="W173" s="625">
        <f t="shared" si="48"/>
        <v>1.1364339009457503</v>
      </c>
      <c r="X173" s="28">
        <f t="shared" si="36"/>
        <v>2.4212094287356923E-2</v>
      </c>
      <c r="Y173" s="202">
        <f t="shared" si="39"/>
        <v>0.37419810676922338</v>
      </c>
      <c r="Z173" s="297">
        <f t="shared" si="44"/>
        <v>6658</v>
      </c>
      <c r="AA173" s="179">
        <f t="shared" si="45"/>
        <v>171.71428571428572</v>
      </c>
      <c r="AB173" s="357">
        <f t="shared" si="60"/>
        <v>118.64793461268722</v>
      </c>
      <c r="AC173" s="610">
        <f t="shared" si="56"/>
        <v>-53.066351101598499</v>
      </c>
      <c r="AD173" s="610">
        <f t="shared" si="57"/>
        <v>6669</v>
      </c>
      <c r="AE173" s="202">
        <f t="shared" si="55"/>
        <v>0.99670658682634727</v>
      </c>
      <c r="AF173" s="202">
        <f t="shared" si="53"/>
        <v>7.4706510138740745E-2</v>
      </c>
      <c r="AG173" s="4"/>
      <c r="AH173" s="202">
        <f t="shared" si="46"/>
        <v>1.0760966875559534</v>
      </c>
      <c r="AI173" s="179">
        <f>MAX($B$2:B173)</f>
        <v>8225</v>
      </c>
      <c r="AJ173" s="180">
        <f t="shared" si="43"/>
        <v>3.051303531084203E-2</v>
      </c>
      <c r="AK173" s="180"/>
      <c r="AL173" s="180"/>
      <c r="AM173" s="180"/>
      <c r="AP173" s="644">
        <f t="shared" si="38"/>
        <v>1.1364339009457503</v>
      </c>
      <c r="AT173" s="180">
        <f t="shared" si="52"/>
        <v>2.2143494546950727E-2</v>
      </c>
    </row>
    <row r="174" spans="1:46" x14ac:dyDescent="0.25">
      <c r="A174" s="2">
        <v>44065</v>
      </c>
      <c r="B174" s="126">
        <v>7759</v>
      </c>
      <c r="C174" s="126">
        <f t="shared" si="59"/>
        <v>336802</v>
      </c>
      <c r="D174" s="126">
        <v>118</v>
      </c>
      <c r="E174" s="126">
        <f t="shared" si="58"/>
        <v>6848</v>
      </c>
      <c r="F174" s="126">
        <f t="shared" si="42"/>
        <v>5619</v>
      </c>
      <c r="G174" s="155">
        <v>251400</v>
      </c>
      <c r="H174" s="126">
        <v>1907</v>
      </c>
      <c r="I174" s="126">
        <v>18837</v>
      </c>
      <c r="J174" s="4">
        <f t="shared" si="61"/>
        <v>1049260</v>
      </c>
      <c r="K174" s="611">
        <f t="shared" si="40"/>
        <v>2.0332420828854936E-2</v>
      </c>
      <c r="L174" s="7">
        <f t="shared" si="54"/>
        <v>608940.67799999996</v>
      </c>
      <c r="M174" s="4">
        <v>610161</v>
      </c>
      <c r="N174" s="202">
        <v>1178</v>
      </c>
      <c r="O174" s="4">
        <v>83443</v>
      </c>
      <c r="P174" s="4">
        <v>205996</v>
      </c>
      <c r="Q174" s="7">
        <f t="shared" si="62"/>
        <v>46185</v>
      </c>
      <c r="R174" s="96">
        <f t="shared" si="41"/>
        <v>78554</v>
      </c>
      <c r="S174" s="35">
        <f t="shared" si="50"/>
        <v>2.4276294014308628E-2</v>
      </c>
      <c r="T174" s="28">
        <f t="shared" ref="T174:T196" si="63">E174/C174</f>
        <v>2.0332420828854936E-2</v>
      </c>
      <c r="U174" s="91">
        <f>SUM(B161:B174)/POBLA!$B$25*100000</f>
        <v>209.32274788535895</v>
      </c>
      <c r="V174" s="91">
        <f>B174/POBLA!$B$25*100000</f>
        <v>17.097779798533551</v>
      </c>
      <c r="W174" s="625">
        <f t="shared" si="48"/>
        <v>1.1379302083208549</v>
      </c>
      <c r="X174" s="28">
        <f t="shared" si="36"/>
        <v>2.4276294014308628E-2</v>
      </c>
      <c r="Y174" s="202">
        <f t="shared" si="39"/>
        <v>0.37970230040595399</v>
      </c>
      <c r="Z174" s="297">
        <f t="shared" si="44"/>
        <v>6814.5714285714284</v>
      </c>
      <c r="AA174" s="179">
        <f t="shared" si="45"/>
        <v>173</v>
      </c>
      <c r="AB174" s="357">
        <f t="shared" si="60"/>
        <v>120.96056365154134</v>
      </c>
      <c r="AC174" s="610">
        <f t="shared" si="56"/>
        <v>-52.039436348458665</v>
      </c>
      <c r="AD174" s="610">
        <f t="shared" si="57"/>
        <v>6785.0714285714284</v>
      </c>
      <c r="AE174" s="202">
        <f t="shared" si="55"/>
        <v>1.0087335321110618</v>
      </c>
      <c r="AF174" s="202">
        <f t="shared" si="53"/>
        <v>9.4661445632028496E-2</v>
      </c>
      <c r="AG174" s="4"/>
      <c r="AH174" s="202">
        <f t="shared" si="46"/>
        <v>1.0870736086175943</v>
      </c>
      <c r="AI174" s="179">
        <f>MAX($B$2:B174)</f>
        <v>8225</v>
      </c>
      <c r="AJ174" s="180">
        <f t="shared" si="43"/>
        <v>3.0793093803239507E-2</v>
      </c>
      <c r="AK174" s="180"/>
      <c r="AL174" s="180"/>
      <c r="AM174" s="180"/>
      <c r="AP174" s="644">
        <f t="shared" si="38"/>
        <v>1.1379302083208549</v>
      </c>
      <c r="AT174" s="180">
        <f t="shared" si="52"/>
        <v>2.1973248576347505E-2</v>
      </c>
    </row>
    <row r="175" spans="1:46" x14ac:dyDescent="0.25">
      <c r="A175" s="2">
        <v>44066</v>
      </c>
      <c r="B175" s="126">
        <v>5352</v>
      </c>
      <c r="C175" s="126">
        <f t="shared" si="59"/>
        <v>342154</v>
      </c>
      <c r="D175" s="126">
        <f>99+37</f>
        <v>136</v>
      </c>
      <c r="E175" s="126">
        <f t="shared" si="58"/>
        <v>6984</v>
      </c>
      <c r="F175" s="126">
        <f t="shared" si="42"/>
        <v>5389</v>
      </c>
      <c r="G175" s="155">
        <v>256789</v>
      </c>
      <c r="H175" s="126">
        <v>1922</v>
      </c>
      <c r="I175" s="126">
        <v>13322</v>
      </c>
      <c r="J175" s="4">
        <f t="shared" si="61"/>
        <v>1062582</v>
      </c>
      <c r="K175" s="611">
        <f t="shared" si="40"/>
        <v>2.041186132560192E-2</v>
      </c>
      <c r="L175" s="7">
        <f t="shared" si="54"/>
        <v>615967.59600000002</v>
      </c>
      <c r="M175" s="4">
        <v>617202</v>
      </c>
      <c r="N175" s="202">
        <v>1179</v>
      </c>
      <c r="O175" s="4">
        <v>84223</v>
      </c>
      <c r="P175" s="4">
        <v>209236</v>
      </c>
      <c r="Q175" s="7">
        <f t="shared" si="62"/>
        <v>47516</v>
      </c>
      <c r="R175" s="96">
        <f t="shared" si="41"/>
        <v>78381</v>
      </c>
      <c r="S175" s="35">
        <f t="shared" si="50"/>
        <v>2.4521248772023833E-2</v>
      </c>
      <c r="T175" s="28">
        <f t="shared" si="63"/>
        <v>2.041186132560192E-2</v>
      </c>
      <c r="U175" s="91">
        <f>SUM(B162:B175)/POBLA!$B$25*100000</f>
        <v>210.78594234163251</v>
      </c>
      <c r="V175" s="91">
        <f>B175/POBLA!$B$25*100000</f>
        <v>11.793699894542023</v>
      </c>
      <c r="W175" s="625">
        <f t="shared" si="48"/>
        <v>1.1391161444750098</v>
      </c>
      <c r="X175" s="28">
        <f t="shared" si="36"/>
        <v>2.4521248772023833E-2</v>
      </c>
      <c r="Y175" s="202">
        <f t="shared" si="39"/>
        <v>0.38245766321864022</v>
      </c>
      <c r="Z175" s="297">
        <f t="shared" si="44"/>
        <v>6797.8571428571431</v>
      </c>
      <c r="AA175" s="179">
        <f t="shared" si="45"/>
        <v>183</v>
      </c>
      <c r="AB175" s="357">
        <f t="shared" si="60"/>
        <v>119.00105071420167</v>
      </c>
      <c r="AC175" s="610">
        <f t="shared" si="56"/>
        <v>-63.998949285798332</v>
      </c>
      <c r="AD175" s="610">
        <f t="shared" si="57"/>
        <v>6832.5</v>
      </c>
      <c r="AE175" s="202">
        <f t="shared" si="55"/>
        <v>0.98991054711878523</v>
      </c>
      <c r="AF175" s="202">
        <f t="shared" si="53"/>
        <v>0.10370902331868881</v>
      </c>
      <c r="AG175" s="4"/>
      <c r="AH175" s="202">
        <f t="shared" si="46"/>
        <v>1.1677301731996352</v>
      </c>
      <c r="AI175" s="179">
        <f>MAX($B$2:B175)</f>
        <v>8225</v>
      </c>
      <c r="AJ175" s="180">
        <f t="shared" si="43"/>
        <v>3.1881533101045294E-2</v>
      </c>
      <c r="AK175" s="180"/>
      <c r="AL175" s="180"/>
      <c r="AM175" s="180"/>
      <c r="AP175" s="644">
        <f t="shared" si="38"/>
        <v>1.1391161444750098</v>
      </c>
      <c r="AT175" s="180">
        <f t="shared" si="52"/>
        <v>2.2154012532205222E-2</v>
      </c>
    </row>
    <row r="176" spans="1:46" x14ac:dyDescent="0.25">
      <c r="A176" s="36">
        <v>44067</v>
      </c>
      <c r="B176" s="126">
        <v>8713</v>
      </c>
      <c r="C176" s="126">
        <f t="shared" si="59"/>
        <v>350867</v>
      </c>
      <c r="D176" s="126">
        <f>95+286</f>
        <v>381</v>
      </c>
      <c r="E176" s="126">
        <f>D176+E175</f>
        <v>7365</v>
      </c>
      <c r="F176" s="126">
        <f t="shared" si="42"/>
        <v>6413</v>
      </c>
      <c r="G176" s="155">
        <v>263202</v>
      </c>
      <c r="H176" s="126">
        <v>1960</v>
      </c>
      <c r="I176" s="126">
        <v>21220</v>
      </c>
      <c r="J176" s="4">
        <f t="shared" si="61"/>
        <v>1083802</v>
      </c>
      <c r="K176" s="611">
        <f t="shared" si="40"/>
        <v>2.0990859784476738E-2</v>
      </c>
      <c r="L176" s="7">
        <f t="shared" si="54"/>
        <v>627136.21400000004</v>
      </c>
      <c r="M176" s="4">
        <v>628393</v>
      </c>
      <c r="N176" s="202">
        <v>1180</v>
      </c>
      <c r="O176" s="4">
        <v>85600</v>
      </c>
      <c r="P176" s="4">
        <v>213348</v>
      </c>
      <c r="Q176" s="7">
        <f t="shared" si="62"/>
        <v>50739</v>
      </c>
      <c r="R176" s="96">
        <f t="shared" si="41"/>
        <v>80300</v>
      </c>
      <c r="S176" s="35">
        <f t="shared" si="50"/>
        <v>2.4408468244084682E-2</v>
      </c>
      <c r="T176" s="28">
        <f t="shared" si="63"/>
        <v>2.0990859784476738E-2</v>
      </c>
      <c r="U176" s="91">
        <f>SUM(B163:B176)/POBLA!$B$25*100000</f>
        <v>213.74758895192107</v>
      </c>
      <c r="V176" s="91">
        <f>B176/POBLA!$B$25*100000</f>
        <v>19.200020026372318</v>
      </c>
      <c r="W176" s="625">
        <f t="shared" si="48"/>
        <v>1.1219983343358164</v>
      </c>
      <c r="X176" s="28">
        <f t="shared" ref="X176:X239" si="64">H176/R176</f>
        <v>2.4408468244084682E-2</v>
      </c>
      <c r="Y176" s="202">
        <f t="shared" si="39"/>
        <v>0.39151457368564424</v>
      </c>
      <c r="Z176" s="297">
        <f t="shared" si="44"/>
        <v>7391.5714285714284</v>
      </c>
      <c r="AA176" s="179">
        <f t="shared" si="45"/>
        <v>221.57142857142858</v>
      </c>
      <c r="AB176" s="357">
        <f t="shared" si="60"/>
        <v>126.33308873677885</v>
      </c>
      <c r="AC176" s="610">
        <f t="shared" si="56"/>
        <v>-95.238339834649736</v>
      </c>
      <c r="AD176" s="610">
        <f t="shared" si="57"/>
        <v>6928.5</v>
      </c>
      <c r="AE176" s="202">
        <f t="shared" si="55"/>
        <v>1.1432453930796764</v>
      </c>
      <c r="AF176" s="202">
        <f t="shared" si="53"/>
        <v>0.15074303893610019</v>
      </c>
      <c r="AG176" s="4"/>
      <c r="AH176" s="202">
        <f t="shared" si="46"/>
        <v>1.4771428571428573</v>
      </c>
      <c r="AI176" s="179">
        <f>MAX($B$2:B176)</f>
        <v>8713</v>
      </c>
      <c r="AJ176" s="180">
        <f t="shared" si="43"/>
        <v>3.7206736074461455E-2</v>
      </c>
      <c r="AK176" s="180"/>
      <c r="AL176" s="180"/>
      <c r="AM176" s="180"/>
      <c r="AP176" s="644">
        <f t="shared" si="38"/>
        <v>1.1219983343358164</v>
      </c>
      <c r="AT176" s="180">
        <f t="shared" si="52"/>
        <v>2.3237574857297192E-2</v>
      </c>
    </row>
    <row r="177" spans="1:46" s="32" customFormat="1" x14ac:dyDescent="0.25">
      <c r="A177" s="2">
        <v>44068</v>
      </c>
      <c r="B177" s="126">
        <v>8771</v>
      </c>
      <c r="C177" s="126">
        <f t="shared" si="59"/>
        <v>359638</v>
      </c>
      <c r="D177" s="126">
        <f>36+162</f>
        <v>198</v>
      </c>
      <c r="E177" s="126">
        <f t="shared" ref="E177:E240" si="65">E176+D177</f>
        <v>7563</v>
      </c>
      <c r="F177" s="126">
        <f t="shared" si="42"/>
        <v>5599</v>
      </c>
      <c r="G177" s="155">
        <v>268801</v>
      </c>
      <c r="H177" s="126">
        <v>1990</v>
      </c>
      <c r="I177" s="126">
        <v>21476</v>
      </c>
      <c r="J177" s="4">
        <f t="shared" si="61"/>
        <v>1105278</v>
      </c>
      <c r="K177" s="611">
        <f t="shared" si="40"/>
        <v>2.1029479643419217E-2</v>
      </c>
      <c r="L177" s="7">
        <f t="shared" si="54"/>
        <v>637823.79599999997</v>
      </c>
      <c r="M177" s="4">
        <v>639102</v>
      </c>
      <c r="N177" s="202">
        <v>1183</v>
      </c>
      <c r="O177" s="4">
        <v>87216</v>
      </c>
      <c r="P177" s="4">
        <v>219449</v>
      </c>
      <c r="Q177" s="4">
        <f t="shared" si="62"/>
        <v>51790</v>
      </c>
      <c r="R177" s="96">
        <f t="shared" si="41"/>
        <v>83274</v>
      </c>
      <c r="S177" s="35">
        <f t="shared" si="50"/>
        <v>2.3897014674448207E-2</v>
      </c>
      <c r="T177" s="28">
        <f t="shared" si="63"/>
        <v>2.1029479643419217E-2</v>
      </c>
      <c r="U177" s="91">
        <f>SUM(B164:B177)/POBLA!$B$25*100000</f>
        <v>217.5554203080064</v>
      </c>
      <c r="V177" s="91">
        <f>B177/POBLA!$B$25*100000</f>
        <v>19.327829180685367</v>
      </c>
      <c r="W177" s="625">
        <f t="shared" si="48"/>
        <v>1.1275869158024578</v>
      </c>
      <c r="X177" s="28">
        <f t="shared" si="64"/>
        <v>2.3897014674448207E-2</v>
      </c>
      <c r="Y177" s="202">
        <f t="shared" si="39"/>
        <v>0.39582580478631219</v>
      </c>
      <c r="Z177" s="297">
        <f t="shared" si="44"/>
        <v>7667.4285714285716</v>
      </c>
      <c r="AA177" s="179">
        <f t="shared" si="45"/>
        <v>216.57142857142858</v>
      </c>
      <c r="AB177" s="357">
        <f t="shared" si="60"/>
        <v>129.82909881147211</v>
      </c>
      <c r="AC177" s="610">
        <f t="shared" si="56"/>
        <v>-86.742329759956476</v>
      </c>
      <c r="AD177" s="610">
        <f t="shared" si="57"/>
        <v>7051.9285714285716</v>
      </c>
      <c r="AE177" s="202">
        <f t="shared" si="55"/>
        <v>1.1912551326156919</v>
      </c>
      <c r="AF177" s="202">
        <f t="shared" si="53"/>
        <v>0.1696772199904486</v>
      </c>
      <c r="AG177" s="4"/>
      <c r="AH177" s="202">
        <f t="shared" si="46"/>
        <v>1.45489443378119</v>
      </c>
      <c r="AI177" s="179">
        <f>MAX($B$2:B177)</f>
        <v>8771</v>
      </c>
      <c r="AJ177" s="180">
        <f t="shared" si="43"/>
        <v>3.540236327121573E-2</v>
      </c>
      <c r="AK177" s="180"/>
      <c r="AL177" s="180"/>
      <c r="AM177" s="180"/>
      <c r="AP177" s="644">
        <f t="shared" si="38"/>
        <v>1.1275869158024578</v>
      </c>
      <c r="AT177" s="180">
        <f t="shared" si="52"/>
        <v>2.3473964040748408E-2</v>
      </c>
    </row>
    <row r="178" spans="1:46" x14ac:dyDescent="0.25">
      <c r="A178" s="2">
        <v>44069</v>
      </c>
      <c r="B178" s="126">
        <v>10550</v>
      </c>
      <c r="C178" s="126">
        <f t="shared" si="59"/>
        <v>370188</v>
      </c>
      <c r="D178" s="126">
        <f>98+178</f>
        <v>276</v>
      </c>
      <c r="E178" s="126">
        <f t="shared" si="65"/>
        <v>7839</v>
      </c>
      <c r="F178" s="126">
        <f t="shared" si="42"/>
        <v>5657</v>
      </c>
      <c r="G178" s="155">
        <v>274458</v>
      </c>
      <c r="H178" s="126">
        <v>2022</v>
      </c>
      <c r="I178" s="126">
        <v>24237</v>
      </c>
      <c r="J178" s="4">
        <f t="shared" si="61"/>
        <v>1129515</v>
      </c>
      <c r="K178" s="611">
        <f t="shared" si="40"/>
        <v>2.1175726927939318E-2</v>
      </c>
      <c r="L178" s="7">
        <f t="shared" si="54"/>
        <v>649593.21</v>
      </c>
      <c r="M178" s="4">
        <v>650895</v>
      </c>
      <c r="N178" s="202">
        <v>1187</v>
      </c>
      <c r="O178" s="4">
        <v>88811</v>
      </c>
      <c r="P178" s="4">
        <v>226073</v>
      </c>
      <c r="Q178" s="4">
        <f t="shared" si="62"/>
        <v>54117</v>
      </c>
      <c r="R178" s="96">
        <f t="shared" si="41"/>
        <v>87891</v>
      </c>
      <c r="S178" s="35">
        <f t="shared" si="50"/>
        <v>2.300576850872103E-2</v>
      </c>
      <c r="T178" s="28">
        <f t="shared" si="63"/>
        <v>2.1175726927939318E-2</v>
      </c>
      <c r="U178" s="91">
        <f>SUM(B165:B178)/POBLA!$B$25*100000</f>
        <v>223.91723114424386</v>
      </c>
      <c r="V178" s="91">
        <f>B178/POBLA!$B$25*100000</f>
        <v>23.24804444832181</v>
      </c>
      <c r="W178" s="625">
        <f t="shared" si="48"/>
        <v>1.1343633481435174</v>
      </c>
      <c r="X178" s="28">
        <f t="shared" si="64"/>
        <v>2.300576850872103E-2</v>
      </c>
      <c r="Y178" s="202">
        <f t="shared" si="39"/>
        <v>0.40565086483475415</v>
      </c>
      <c r="Z178" s="297">
        <f t="shared" si="44"/>
        <v>8218.4285714285706</v>
      </c>
      <c r="AA178" s="179">
        <f t="shared" si="45"/>
        <v>215.57142857142858</v>
      </c>
      <c r="AB178" s="357">
        <f t="shared" si="60"/>
        <v>132.82260488995317</v>
      </c>
      <c r="AC178" s="610">
        <f t="shared" si="56"/>
        <v>-82.748823681475415</v>
      </c>
      <c r="AD178" s="610">
        <f t="shared" si="57"/>
        <v>7258.1428571428569</v>
      </c>
      <c r="AE178" s="202">
        <f t="shared" si="55"/>
        <v>1.3049563343540884</v>
      </c>
      <c r="AF178" s="202">
        <f t="shared" si="53"/>
        <v>0.20932056468257243</v>
      </c>
      <c r="AG178" s="4"/>
      <c r="AH178" s="202">
        <f t="shared" si="46"/>
        <v>1.3521505376344087</v>
      </c>
      <c r="AI178" s="179">
        <f>MAX($B$2:B178)</f>
        <v>10550</v>
      </c>
      <c r="AJ178" s="180">
        <f t="shared" si="43"/>
        <v>3.4005633802816904E-2</v>
      </c>
      <c r="AK178" s="180"/>
      <c r="AL178" s="180"/>
      <c r="AM178" s="180"/>
      <c r="AP178" s="644">
        <f t="shared" si="38"/>
        <v>1.1343633481435174</v>
      </c>
      <c r="AT178" s="180">
        <f t="shared" si="52"/>
        <v>2.3583137711321089E-2</v>
      </c>
    </row>
    <row r="179" spans="1:46" x14ac:dyDescent="0.25">
      <c r="A179" s="2">
        <v>44070</v>
      </c>
      <c r="B179" s="126">
        <v>10104</v>
      </c>
      <c r="C179" s="126">
        <f t="shared" si="59"/>
        <v>380292</v>
      </c>
      <c r="D179" s="126">
        <f>105+106</f>
        <v>211</v>
      </c>
      <c r="E179" s="126">
        <f t="shared" si="65"/>
        <v>8050</v>
      </c>
      <c r="F179" s="126">
        <f t="shared" si="42"/>
        <v>0</v>
      </c>
      <c r="G179" s="155">
        <v>274458</v>
      </c>
      <c r="H179" s="126">
        <v>2075</v>
      </c>
      <c r="I179" s="126">
        <v>24067</v>
      </c>
      <c r="J179" s="4">
        <f t="shared" si="61"/>
        <v>1153582</v>
      </c>
      <c r="K179" s="611">
        <f t="shared" si="40"/>
        <v>2.1167944632019604E-2</v>
      </c>
      <c r="L179" s="7">
        <f t="shared" ref="L179:L202" si="66">0.9984*M179</f>
        <v>662167.83360000001</v>
      </c>
      <c r="M179" s="4">
        <v>663229</v>
      </c>
      <c r="N179" s="202">
        <v>1187</v>
      </c>
      <c r="O179" s="4">
        <v>90269</v>
      </c>
      <c r="P179" s="4">
        <v>232379</v>
      </c>
      <c r="Q179" s="4">
        <f t="shared" si="62"/>
        <v>56457</v>
      </c>
      <c r="R179" s="96">
        <f t="shared" si="41"/>
        <v>97784</v>
      </c>
      <c r="S179" s="35">
        <f t="shared" si="50"/>
        <v>2.1220240530148083E-2</v>
      </c>
      <c r="T179" s="28">
        <f t="shared" si="63"/>
        <v>2.1167944632019604E-2</v>
      </c>
      <c r="U179" s="91">
        <f>SUM(B166:B179)/POBLA!$B$25*100000</f>
        <v>229.65982866389564</v>
      </c>
      <c r="V179" s="91">
        <f>B179/POBLA!$B$25*100000</f>
        <v>22.265236123776642</v>
      </c>
      <c r="W179" s="625">
        <f t="shared" si="48"/>
        <v>1.1490755135117257</v>
      </c>
      <c r="X179" s="28">
        <f t="shared" si="64"/>
        <v>2.1220240530148083E-2</v>
      </c>
      <c r="Y179" s="202">
        <f t="shared" si="39"/>
        <v>0.41200907130126013</v>
      </c>
      <c r="Z179" s="297">
        <f t="shared" si="44"/>
        <v>8486.8571428571431</v>
      </c>
      <c r="AA179" s="179">
        <f t="shared" si="45"/>
        <v>219.14285714285714</v>
      </c>
      <c r="AB179" s="357">
        <f t="shared" si="60"/>
        <v>132.86614206231914</v>
      </c>
      <c r="AC179" s="610">
        <f t="shared" si="56"/>
        <v>-86.276715080537997</v>
      </c>
      <c r="AD179" s="610">
        <f t="shared" si="57"/>
        <v>7444.2857142857147</v>
      </c>
      <c r="AE179" s="202">
        <f t="shared" si="55"/>
        <v>1.3257163259841116</v>
      </c>
      <c r="AF179" s="202">
        <f t="shared" si="53"/>
        <v>0.31144550843593244</v>
      </c>
      <c r="AG179" s="4"/>
      <c r="AH179" s="202">
        <f t="shared" si="46"/>
        <v>1.3304423243712054</v>
      </c>
      <c r="AI179" s="179">
        <f>MAX($B$2:B179)</f>
        <v>10550</v>
      </c>
      <c r="AJ179" s="180">
        <f t="shared" si="43"/>
        <v>3.3887072545727662E-2</v>
      </c>
      <c r="AK179" s="180"/>
      <c r="AL179" s="180"/>
      <c r="AM179" s="180"/>
      <c r="AP179" s="644">
        <f t="shared" si="38"/>
        <v>1.1490755135117257</v>
      </c>
      <c r="AT179" s="180">
        <f t="shared" si="52"/>
        <v>2.3548229654435891E-2</v>
      </c>
    </row>
    <row r="180" spans="1:46" x14ac:dyDescent="0.25">
      <c r="A180" s="2">
        <v>44071</v>
      </c>
      <c r="B180" s="134">
        <v>11717</v>
      </c>
      <c r="C180" s="126">
        <f t="shared" si="59"/>
        <v>392009</v>
      </c>
      <c r="D180" s="126">
        <f>80+142</f>
        <v>222</v>
      </c>
      <c r="E180" s="126">
        <f t="shared" si="65"/>
        <v>8272</v>
      </c>
      <c r="F180" s="126">
        <f t="shared" si="42"/>
        <v>12762</v>
      </c>
      <c r="G180" s="155">
        <v>287220</v>
      </c>
      <c r="H180" s="126">
        <v>2114</v>
      </c>
      <c r="I180" s="126">
        <v>25481</v>
      </c>
      <c r="J180" s="4">
        <f t="shared" si="61"/>
        <v>1179063</v>
      </c>
      <c r="K180" s="611">
        <f t="shared" si="40"/>
        <v>2.1101556341818681E-2</v>
      </c>
      <c r="L180" s="7">
        <f t="shared" si="66"/>
        <v>675065.16479999991</v>
      </c>
      <c r="M180" s="4">
        <v>676147</v>
      </c>
      <c r="N180" s="202">
        <v>1190</v>
      </c>
      <c r="O180" s="4">
        <v>92043</v>
      </c>
      <c r="P180" s="4">
        <v>239019</v>
      </c>
      <c r="Q180" s="4">
        <f t="shared" si="62"/>
        <v>59757</v>
      </c>
      <c r="R180" s="96">
        <f t="shared" si="41"/>
        <v>96517</v>
      </c>
      <c r="S180" s="35">
        <f t="shared" si="50"/>
        <v>2.1902877213340655E-2</v>
      </c>
      <c r="T180" s="28">
        <f t="shared" si="63"/>
        <v>2.1101556341818681E-2</v>
      </c>
      <c r="U180" s="91">
        <f>SUM(B167:B180)/POBLA!$B$25*100000</f>
        <v>241.45352855843765</v>
      </c>
      <c r="V180" s="91">
        <f>B180/POBLA!$B$25*100000</f>
        <v>25.819652777344711</v>
      </c>
      <c r="W180" s="625">
        <f t="shared" si="48"/>
        <v>1.2023042738794096</v>
      </c>
      <c r="X180" s="28">
        <f t="shared" si="64"/>
        <v>2.1902877213340655E-2</v>
      </c>
      <c r="Y180" s="202">
        <f t="shared" si="39"/>
        <v>0.42361410118406889</v>
      </c>
      <c r="Z180" s="297">
        <f t="shared" si="44"/>
        <v>8995.1428571428569</v>
      </c>
      <c r="AA180" s="179">
        <f t="shared" si="45"/>
        <v>220.28571428571428</v>
      </c>
      <c r="AB180" s="357">
        <f t="shared" si="60"/>
        <v>130.74434298622347</v>
      </c>
      <c r="AC180" s="610">
        <f t="shared" si="56"/>
        <v>-89.541371299490805</v>
      </c>
      <c r="AD180" s="610">
        <f t="shared" si="57"/>
        <v>7826.5714285714284</v>
      </c>
      <c r="AE180" s="202">
        <f t="shared" si="55"/>
        <v>1.3510277646654936</v>
      </c>
      <c r="AF180" s="202">
        <f t="shared" si="53"/>
        <v>0.26113259812888723</v>
      </c>
      <c r="AG180" s="4"/>
      <c r="AH180" s="202">
        <f t="shared" si="46"/>
        <v>1.2828618968386023</v>
      </c>
      <c r="AI180" s="179">
        <f>MAX($B$2:B180)</f>
        <v>11717</v>
      </c>
      <c r="AJ180" s="180">
        <f t="shared" si="43"/>
        <v>3.4589502018842533E-2</v>
      </c>
      <c r="AK180" s="180"/>
      <c r="AL180" s="180"/>
      <c r="AM180" s="180"/>
      <c r="AP180" s="644">
        <f t="shared" si="38"/>
        <v>1.2023042738794096</v>
      </c>
      <c r="AT180" s="180">
        <f t="shared" si="52"/>
        <v>2.340232755747302E-2</v>
      </c>
    </row>
    <row r="181" spans="1:46" x14ac:dyDescent="0.25">
      <c r="A181" s="2">
        <v>44072</v>
      </c>
      <c r="B181" s="126">
        <v>9230</v>
      </c>
      <c r="C181" s="126">
        <f t="shared" si="59"/>
        <v>401239</v>
      </c>
      <c r="D181" s="126">
        <f>34+47</f>
        <v>81</v>
      </c>
      <c r="E181" s="126">
        <f t="shared" si="65"/>
        <v>8353</v>
      </c>
      <c r="F181" s="126">
        <f t="shared" si="42"/>
        <v>6787</v>
      </c>
      <c r="G181" s="155">
        <v>294007</v>
      </c>
      <c r="H181" s="126">
        <v>2192</v>
      </c>
      <c r="I181" s="126">
        <v>19910</v>
      </c>
      <c r="J181" s="4">
        <f t="shared" si="61"/>
        <v>1198973</v>
      </c>
      <c r="K181" s="611">
        <f t="shared" si="40"/>
        <v>2.0818016194836492E-2</v>
      </c>
      <c r="L181" s="7">
        <f t="shared" si="66"/>
        <v>684751.64159999997</v>
      </c>
      <c r="M181" s="7">
        <v>685849</v>
      </c>
      <c r="N181" s="202">
        <v>1191</v>
      </c>
      <c r="O181" s="4">
        <v>93278</v>
      </c>
      <c r="P181" s="4">
        <v>244308</v>
      </c>
      <c r="Q181" s="4">
        <f t="shared" si="62"/>
        <v>62462</v>
      </c>
      <c r="R181" s="96">
        <f t="shared" si="41"/>
        <v>98879</v>
      </c>
      <c r="S181" s="35">
        <f t="shared" si="50"/>
        <v>2.2168508985730032E-2</v>
      </c>
      <c r="T181" s="28">
        <f t="shared" si="63"/>
        <v>2.0818016194836492E-2</v>
      </c>
      <c r="U181" s="91">
        <f>SUM(B168:B181)/POBLA!$B$25*100000</f>
        <v>247.11018543984451</v>
      </c>
      <c r="V181" s="91">
        <f>B181/POBLA!$B$25*100000</f>
        <v>20.339284384645527</v>
      </c>
      <c r="W181" s="625">
        <f t="shared" si="48"/>
        <v>1.2115669263264799</v>
      </c>
      <c r="X181" s="28">
        <f t="shared" si="64"/>
        <v>2.2168508985730032E-2</v>
      </c>
      <c r="Y181" s="202">
        <f t="shared" si="39"/>
        <v>0.43040350537361483</v>
      </c>
      <c r="Z181" s="297">
        <f t="shared" si="44"/>
        <v>9205.2857142857138</v>
      </c>
      <c r="AA181" s="179">
        <f t="shared" si="45"/>
        <v>215</v>
      </c>
      <c r="AB181" s="357">
        <f t="shared" si="60"/>
        <v>131.72312743983792</v>
      </c>
      <c r="AC181" s="610">
        <f t="shared" si="56"/>
        <v>-83.276872560162076</v>
      </c>
      <c r="AD181" s="610">
        <f t="shared" si="57"/>
        <v>8009.9285714285716</v>
      </c>
      <c r="AE181" s="202">
        <f t="shared" si="55"/>
        <v>1.3508238648274704</v>
      </c>
      <c r="AF181" s="202">
        <f t="shared" si="53"/>
        <v>0.25873921124322119</v>
      </c>
      <c r="AG181" s="4"/>
      <c r="AH181" s="202">
        <f t="shared" si="46"/>
        <v>1.2427745664739884</v>
      </c>
      <c r="AI181" s="179">
        <f>MAX($B$2:B181)</f>
        <v>11717</v>
      </c>
      <c r="AJ181" s="180">
        <f t="shared" si="43"/>
        <v>3.1936339522546417E-2</v>
      </c>
      <c r="AK181" s="180"/>
      <c r="AL181" s="180"/>
      <c r="AM181" s="180"/>
      <c r="AP181" s="644">
        <f t="shared" ref="AP181:AP244" si="67">SUM(B168:B181)/SUM(B154:B167)</f>
        <v>1.2115669263264799</v>
      </c>
      <c r="AT181" s="180">
        <f t="shared" si="52"/>
        <v>2.2754857179917171E-2</v>
      </c>
    </row>
    <row r="182" spans="1:46" x14ac:dyDescent="0.25">
      <c r="A182" s="2">
        <v>44073</v>
      </c>
      <c r="B182" s="126">
        <v>7187</v>
      </c>
      <c r="C182" s="126">
        <f t="shared" si="59"/>
        <v>408426</v>
      </c>
      <c r="D182" s="126">
        <f>48+55</f>
        <v>103</v>
      </c>
      <c r="E182" s="126">
        <f t="shared" si="65"/>
        <v>8456</v>
      </c>
      <c r="F182" s="126">
        <f t="shared" si="42"/>
        <v>6188</v>
      </c>
      <c r="G182" s="155">
        <v>300195</v>
      </c>
      <c r="H182" s="126">
        <v>2232</v>
      </c>
      <c r="I182" s="126">
        <v>15637</v>
      </c>
      <c r="J182" s="4">
        <f t="shared" si="61"/>
        <v>1214610</v>
      </c>
      <c r="K182" s="611">
        <f t="shared" si="40"/>
        <v>2.0703872917003326E-2</v>
      </c>
      <c r="L182" s="7">
        <f t="shared" si="66"/>
        <v>692041.9584</v>
      </c>
      <c r="M182" s="4">
        <v>693151</v>
      </c>
      <c r="N182" s="202">
        <v>1191</v>
      </c>
      <c r="O182" s="4">
        <v>94301</v>
      </c>
      <c r="P182" s="4">
        <v>247931</v>
      </c>
      <c r="Q182" s="4">
        <f t="shared" si="62"/>
        <v>65003</v>
      </c>
      <c r="R182" s="96">
        <f t="shared" si="41"/>
        <v>99775</v>
      </c>
      <c r="S182" s="35">
        <f t="shared" si="50"/>
        <v>2.2370333249812076E-2</v>
      </c>
      <c r="T182" s="28">
        <f t="shared" si="63"/>
        <v>2.0703872917003326E-2</v>
      </c>
      <c r="U182" s="91">
        <f>SUM(B169:B182)/POBLA!$B$25*100000</f>
        <v>250.89598073484137</v>
      </c>
      <c r="V182" s="91">
        <f>B182/POBLA!$B$25*100000</f>
        <v>15.837317104273826</v>
      </c>
      <c r="W182" s="625">
        <f t="shared" si="48"/>
        <v>1.2288936859147328</v>
      </c>
      <c r="X182" s="28">
        <f t="shared" si="64"/>
        <v>2.2370333249812076E-2</v>
      </c>
      <c r="Y182" s="202">
        <f t="shared" si="39"/>
        <v>0.4359196990028153</v>
      </c>
      <c r="Z182" s="297">
        <f t="shared" si="44"/>
        <v>9467.4285714285706</v>
      </c>
      <c r="AA182" s="179">
        <f t="shared" si="45"/>
        <v>210.28571428571428</v>
      </c>
      <c r="AB182" s="357">
        <f t="shared" si="60"/>
        <v>132.95124644577575</v>
      </c>
      <c r="AC182" s="610">
        <f t="shared" si="56"/>
        <v>-77.334467839938526</v>
      </c>
      <c r="AD182" s="610">
        <f t="shared" si="57"/>
        <v>8132.6428571428569</v>
      </c>
      <c r="AE182" s="202">
        <f t="shared" si="55"/>
        <v>1.3927077860670378</v>
      </c>
      <c r="AF182" s="202">
        <f t="shared" si="53"/>
        <v>0.27294880136767841</v>
      </c>
      <c r="AG182" s="4"/>
      <c r="AH182" s="202">
        <f t="shared" si="46"/>
        <v>1.1491022638563622</v>
      </c>
      <c r="AI182" s="179">
        <f>MAX($B$2:B182)</f>
        <v>11717</v>
      </c>
      <c r="AJ182" s="180">
        <f t="shared" si="43"/>
        <v>3.1070584262073622E-2</v>
      </c>
      <c r="AK182" s="180"/>
      <c r="AL182" s="180"/>
      <c r="AM182" s="180"/>
      <c r="AP182" s="644">
        <f t="shared" si="67"/>
        <v>1.2288936859147328</v>
      </c>
      <c r="AT182" s="180">
        <f t="shared" si="52"/>
        <v>2.2627622925148763E-2</v>
      </c>
    </row>
    <row r="183" spans="1:46" x14ac:dyDescent="0.25">
      <c r="A183" s="36">
        <v>44074</v>
      </c>
      <c r="B183" s="126">
        <v>9309</v>
      </c>
      <c r="C183" s="126">
        <f t="shared" si="59"/>
        <v>417735</v>
      </c>
      <c r="D183" s="126">
        <f>41+162</f>
        <v>203</v>
      </c>
      <c r="E183" s="126">
        <f t="shared" si="65"/>
        <v>8659</v>
      </c>
      <c r="F183" s="126">
        <f t="shared" si="42"/>
        <v>8181</v>
      </c>
      <c r="G183" s="155">
        <v>308376</v>
      </c>
      <c r="H183" s="126">
        <v>2273</v>
      </c>
      <c r="I183" s="126">
        <v>19845</v>
      </c>
      <c r="J183" s="4">
        <f t="shared" si="61"/>
        <v>1234455</v>
      </c>
      <c r="K183" s="611">
        <f t="shared" si="40"/>
        <v>2.0728452248435014E-2</v>
      </c>
      <c r="L183" s="7">
        <f t="shared" si="66"/>
        <v>702178.71360000002</v>
      </c>
      <c r="M183" s="4">
        <v>703304</v>
      </c>
      <c r="N183" s="202">
        <v>1197</v>
      </c>
      <c r="O183" s="4">
        <v>95857</v>
      </c>
      <c r="P183" s="4">
        <v>255688</v>
      </c>
      <c r="Q183" s="4">
        <f t="shared" si="62"/>
        <v>64993</v>
      </c>
      <c r="R183" s="96">
        <f t="shared" si="41"/>
        <v>100700</v>
      </c>
      <c r="S183" s="35">
        <f t="shared" si="50"/>
        <v>2.2571996027805363E-2</v>
      </c>
      <c r="T183" s="28">
        <f t="shared" si="63"/>
        <v>2.0728452248435014E-2</v>
      </c>
      <c r="U183" s="91">
        <f>SUM(B170:B183)/POBLA!$B$25*100000</f>
        <v>261.367516964076</v>
      </c>
      <c r="V183" s="91">
        <f>B183/POBLA!$B$25*100000</f>
        <v>20.513369267244336</v>
      </c>
      <c r="W183" s="625">
        <f t="shared" si="48"/>
        <v>1.2838833984607558</v>
      </c>
      <c r="X183" s="28">
        <f t="shared" si="64"/>
        <v>2.2571996027805363E-2</v>
      </c>
      <c r="Y183" s="202">
        <f t="shared" si="39"/>
        <v>0.44385442042309148</v>
      </c>
      <c r="Z183" s="297">
        <f t="shared" si="44"/>
        <v>9552.5714285714294</v>
      </c>
      <c r="AA183" s="179">
        <f t="shared" si="45"/>
        <v>184.85714285714286</v>
      </c>
      <c r="AB183" s="357">
        <f t="shared" si="60"/>
        <v>125.6661129901303</v>
      </c>
      <c r="AC183" s="610">
        <f t="shared" si="56"/>
        <v>-59.19102986701256</v>
      </c>
      <c r="AD183" s="610">
        <f t="shared" si="57"/>
        <v>8472.0714285714294</v>
      </c>
      <c r="AE183" s="202">
        <f t="shared" si="55"/>
        <v>1.2923600239655206</v>
      </c>
      <c r="AF183" s="202">
        <f t="shared" si="53"/>
        <v>0.25404732254047313</v>
      </c>
      <c r="AG183" s="4"/>
      <c r="AH183" s="202">
        <f t="shared" si="46"/>
        <v>0.83430045132172792</v>
      </c>
      <c r="AI183" s="179">
        <f>MAX($B$2:B183)</f>
        <v>11717</v>
      </c>
      <c r="AJ183" s="180">
        <f t="shared" si="43"/>
        <v>2.7019126367660573E-2</v>
      </c>
      <c r="AK183" s="180"/>
      <c r="AL183" s="180"/>
      <c r="AM183" s="180"/>
      <c r="AP183" s="644">
        <f t="shared" si="67"/>
        <v>1.2838833984607558</v>
      </c>
      <c r="AT183" s="180">
        <f t="shared" si="52"/>
        <v>2.2889616260985932E-2</v>
      </c>
    </row>
    <row r="184" spans="1:46" x14ac:dyDescent="0.25">
      <c r="A184" s="2">
        <v>44075</v>
      </c>
      <c r="B184" s="126">
        <v>10504</v>
      </c>
      <c r="C184" s="126">
        <f t="shared" si="59"/>
        <v>428239</v>
      </c>
      <c r="D184" s="126">
        <f>70+189</f>
        <v>259</v>
      </c>
      <c r="E184" s="126">
        <f t="shared" si="65"/>
        <v>8918</v>
      </c>
      <c r="F184" s="126">
        <f t="shared" si="42"/>
        <v>7154</v>
      </c>
      <c r="G184" s="155">
        <v>315530</v>
      </c>
      <c r="H184" s="126">
        <v>2314</v>
      </c>
      <c r="I184" s="126">
        <v>23115</v>
      </c>
      <c r="J184" s="4">
        <f t="shared" si="61"/>
        <v>1257570</v>
      </c>
      <c r="K184" s="611">
        <f t="shared" si="40"/>
        <v>2.0824819785213396E-2</v>
      </c>
      <c r="L184" s="7">
        <f t="shared" si="66"/>
        <v>716416.89599999995</v>
      </c>
      <c r="M184" s="4">
        <v>717565</v>
      </c>
      <c r="N184" s="202">
        <v>1200</v>
      </c>
      <c r="O184" s="4">
        <v>97726</v>
      </c>
      <c r="P184" s="4">
        <v>263555</v>
      </c>
      <c r="Q184" s="4">
        <f t="shared" si="62"/>
        <v>65758</v>
      </c>
      <c r="R184" s="96">
        <f t="shared" si="41"/>
        <v>103791</v>
      </c>
      <c r="S184" s="35">
        <f t="shared" si="50"/>
        <v>2.2294803981077357E-2</v>
      </c>
      <c r="T184" s="28">
        <f t="shared" si="63"/>
        <v>2.0824819785213396E-2</v>
      </c>
      <c r="U184" s="91">
        <f>SUM(B171:B184)/POBLA!$B$25*100000</f>
        <v>269.44152974688654</v>
      </c>
      <c r="V184" s="91">
        <f>B184/POBLA!$B$25*100000</f>
        <v>23.146678567314911</v>
      </c>
      <c r="W184" s="625">
        <f t="shared" si="48"/>
        <v>1.3228570501238761</v>
      </c>
      <c r="X184" s="28">
        <f t="shared" si="64"/>
        <v>2.2294803981077357E-2</v>
      </c>
      <c r="Y184" s="202">
        <f t="shared" si="39"/>
        <v>0.45045701678354738</v>
      </c>
      <c r="Z184" s="297">
        <f t="shared" si="44"/>
        <v>9800.1428571428569</v>
      </c>
      <c r="AA184" s="179">
        <f t="shared" si="45"/>
        <v>193.57142857142858</v>
      </c>
      <c r="AB184" s="357">
        <f t="shared" si="60"/>
        <v>127.20721770206026</v>
      </c>
      <c r="AC184" s="610">
        <f t="shared" si="56"/>
        <v>-66.364210869368321</v>
      </c>
      <c r="AD184" s="610">
        <f t="shared" si="57"/>
        <v>8733.7857142857138</v>
      </c>
      <c r="AE184" s="202">
        <f t="shared" si="55"/>
        <v>1.2781524817409449</v>
      </c>
      <c r="AF184" s="202">
        <f t="shared" si="53"/>
        <v>0.24637942214856978</v>
      </c>
      <c r="AG184" s="4"/>
      <c r="AH184" s="202">
        <f t="shared" si="46"/>
        <v>0.89379947229551449</v>
      </c>
      <c r="AI184" s="179">
        <f>MAX($B$2:B184)</f>
        <v>11717</v>
      </c>
      <c r="AJ184" s="180">
        <f t="shared" si="43"/>
        <v>2.830168974664244E-2</v>
      </c>
      <c r="AK184" s="180"/>
      <c r="AL184" s="180"/>
      <c r="AM184" s="180"/>
      <c r="AP184" s="644">
        <f t="shared" si="67"/>
        <v>1.3228570501238761</v>
      </c>
      <c r="AT184" s="180">
        <f t="shared" si="52"/>
        <v>2.3290031813361613E-2</v>
      </c>
    </row>
    <row r="185" spans="1:46" x14ac:dyDescent="0.25">
      <c r="A185" s="2">
        <v>44076</v>
      </c>
      <c r="B185" s="126">
        <v>10933</v>
      </c>
      <c r="C185" s="126">
        <f t="shared" si="59"/>
        <v>439172</v>
      </c>
      <c r="D185" s="126">
        <f>52+146</f>
        <v>198</v>
      </c>
      <c r="E185" s="126">
        <f t="shared" si="65"/>
        <v>9116</v>
      </c>
      <c r="F185" s="126">
        <f t="shared" si="42"/>
        <v>6931</v>
      </c>
      <c r="G185" s="155">
        <v>322461</v>
      </c>
      <c r="H185" s="126">
        <v>2359</v>
      </c>
      <c r="I185" s="126">
        <v>23821</v>
      </c>
      <c r="J185" s="4">
        <f t="shared" si="61"/>
        <v>1281391</v>
      </c>
      <c r="K185" s="611">
        <f t="shared" si="40"/>
        <v>2.075724317579445E-2</v>
      </c>
      <c r="L185" s="7">
        <f t="shared" si="66"/>
        <v>727965.38879999996</v>
      </c>
      <c r="M185" s="4">
        <v>729132</v>
      </c>
      <c r="N185" s="202">
        <v>1200</v>
      </c>
      <c r="O185" s="4">
        <v>99630</v>
      </c>
      <c r="P185" s="4">
        <v>272419</v>
      </c>
      <c r="Q185" s="4">
        <f t="shared" si="62"/>
        <v>65923</v>
      </c>
      <c r="R185" s="96">
        <f t="shared" si="41"/>
        <v>107595</v>
      </c>
      <c r="S185" s="35">
        <f t="shared" si="50"/>
        <v>2.1924810632464334E-2</v>
      </c>
      <c r="T185" s="28">
        <f t="shared" si="63"/>
        <v>2.075724317579445E-2</v>
      </c>
      <c r="U185" s="91">
        <f>SUM(B172:B185)/POBLA!$B$25*100000</f>
        <v>278.78481964839216</v>
      </c>
      <c r="V185" s="91">
        <f>B185/POBLA!$B$25*100000</f>
        <v>24.092025588009701</v>
      </c>
      <c r="W185" s="625">
        <f t="shared" si="48"/>
        <v>1.3754851756417366</v>
      </c>
      <c r="X185" s="28">
        <f t="shared" si="64"/>
        <v>2.1924810632464334E-2</v>
      </c>
      <c r="Y185" s="202">
        <f t="shared" si="39"/>
        <v>0.45421264715952486</v>
      </c>
      <c r="Z185" s="297">
        <f t="shared" si="44"/>
        <v>9854.8571428571431</v>
      </c>
      <c r="AA185" s="179">
        <f t="shared" si="45"/>
        <v>182.42857142857142</v>
      </c>
      <c r="AB185" s="357">
        <f t="shared" si="60"/>
        <v>127.50451998594544</v>
      </c>
      <c r="AC185" s="610">
        <f t="shared" si="56"/>
        <v>-54.924051442625981</v>
      </c>
      <c r="AD185" s="610">
        <f t="shared" si="57"/>
        <v>9036.6428571428569</v>
      </c>
      <c r="AE185" s="202">
        <f t="shared" si="55"/>
        <v>1.1991169670948567</v>
      </c>
      <c r="AF185" s="202">
        <f t="shared" si="53"/>
        <v>0.22418677680308563</v>
      </c>
      <c r="AG185" s="4"/>
      <c r="AH185" s="202">
        <f t="shared" si="46"/>
        <v>0.84625579854208077</v>
      </c>
      <c r="AI185" s="179">
        <f>MAX($B$2:B185)</f>
        <v>11717</v>
      </c>
      <c r="AJ185" s="180">
        <f t="shared" si="43"/>
        <v>2.7309666381522667E-2</v>
      </c>
      <c r="AK185" s="180"/>
      <c r="AL185" s="180"/>
      <c r="AM185" s="180"/>
      <c r="AP185" s="644">
        <f t="shared" si="67"/>
        <v>1.3754851756417366</v>
      </c>
      <c r="AT185" s="180">
        <f t="shared" si="52"/>
        <v>2.2824174263968783E-2</v>
      </c>
    </row>
    <row r="186" spans="1:46" x14ac:dyDescent="0.25">
      <c r="A186" s="2">
        <v>44077</v>
      </c>
      <c r="B186" s="134">
        <v>12026</v>
      </c>
      <c r="C186" s="126">
        <f t="shared" si="59"/>
        <v>451198</v>
      </c>
      <c r="D186" s="126">
        <f>38+206</f>
        <v>244</v>
      </c>
      <c r="E186" s="126">
        <f t="shared" si="65"/>
        <v>9360</v>
      </c>
      <c r="F186" s="126">
        <f t="shared" si="42"/>
        <v>9160</v>
      </c>
      <c r="G186" s="155">
        <v>331621</v>
      </c>
      <c r="H186" s="126">
        <v>2394</v>
      </c>
      <c r="I186" s="126">
        <v>25351</v>
      </c>
      <c r="J186" s="4">
        <f t="shared" si="61"/>
        <v>1306742</v>
      </c>
      <c r="K186" s="611">
        <f t="shared" si="40"/>
        <v>2.0744772804843992E-2</v>
      </c>
      <c r="L186" s="7">
        <f t="shared" si="66"/>
        <v>739980.13439999998</v>
      </c>
      <c r="M186" s="4">
        <v>741166</v>
      </c>
      <c r="N186" s="202">
        <v>1202</v>
      </c>
      <c r="O186" s="4">
        <v>101394</v>
      </c>
      <c r="P186" s="4">
        <v>280927</v>
      </c>
      <c r="Q186" s="4">
        <f t="shared" si="62"/>
        <v>67675</v>
      </c>
      <c r="R186" s="96">
        <f t="shared" si="41"/>
        <v>110217</v>
      </c>
      <c r="S186" s="35">
        <f t="shared" si="50"/>
        <v>2.1720787174392336E-2</v>
      </c>
      <c r="T186" s="28">
        <f t="shared" si="63"/>
        <v>2.0744772804843992E-2</v>
      </c>
      <c r="U186" s="91">
        <f>SUM(B173:B186)/POBLA!$B$25*100000</f>
        <v>287.16072646811455</v>
      </c>
      <c r="V186" s="91">
        <f>B186/POBLA!$B$25*100000</f>
        <v>26.500567064978018</v>
      </c>
      <c r="W186" s="625">
        <f t="shared" si="48"/>
        <v>1.4059273484447994</v>
      </c>
      <c r="X186" s="28">
        <f t="shared" si="64"/>
        <v>2.1720787174392336E-2</v>
      </c>
      <c r="Y186" s="202">
        <f t="shared" ref="Y186:Y249" si="68">SUM(B180:B186)/SUM(I180:I186)</f>
        <v>0.46295377383128755</v>
      </c>
      <c r="Z186" s="297">
        <f t="shared" si="44"/>
        <v>10129.428571428571</v>
      </c>
      <c r="AA186" s="179">
        <f t="shared" si="45"/>
        <v>187.14285714285714</v>
      </c>
      <c r="AB186" s="357">
        <f t="shared" si="60"/>
        <v>129.99579376258799</v>
      </c>
      <c r="AC186" s="610">
        <f t="shared" si="56"/>
        <v>-57.147063380269145</v>
      </c>
      <c r="AD186" s="610">
        <f t="shared" si="57"/>
        <v>9308.1428571428569</v>
      </c>
      <c r="AE186" s="202">
        <f t="shared" si="55"/>
        <v>1.1935429571774845</v>
      </c>
      <c r="AF186" s="202">
        <f t="shared" si="53"/>
        <v>0.12714759060787051</v>
      </c>
      <c r="AG186" s="4"/>
      <c r="AH186" s="202">
        <f t="shared" si="46"/>
        <v>0.85397653194263368</v>
      </c>
      <c r="AI186" s="179">
        <f>MAX($B$2:B186)</f>
        <v>12026</v>
      </c>
      <c r="AJ186" s="180">
        <f t="shared" si="43"/>
        <v>2.7702002579881157E-2</v>
      </c>
      <c r="AK186" s="180"/>
      <c r="AL186" s="180"/>
      <c r="AM186" s="180"/>
      <c r="AP186" s="644">
        <f t="shared" si="67"/>
        <v>1.4059273484447994</v>
      </c>
      <c r="AT186" s="180">
        <f t="shared" si="52"/>
        <v>2.264130302150524E-2</v>
      </c>
    </row>
    <row r="187" spans="1:46" x14ac:dyDescent="0.25">
      <c r="A187" s="2">
        <v>44078</v>
      </c>
      <c r="B187" s="126">
        <v>10684</v>
      </c>
      <c r="C187" s="126">
        <f t="shared" si="59"/>
        <v>461882</v>
      </c>
      <c r="D187" s="126">
        <f>107+155</f>
        <v>262</v>
      </c>
      <c r="E187" s="126">
        <f t="shared" si="65"/>
        <v>9622</v>
      </c>
      <c r="F187" s="126">
        <f t="shared" si="42"/>
        <v>8760</v>
      </c>
      <c r="G187" s="155">
        <v>340381</v>
      </c>
      <c r="H187" s="126">
        <v>2425</v>
      </c>
      <c r="I187" s="126">
        <v>24486</v>
      </c>
      <c r="J187" s="4">
        <f t="shared" si="61"/>
        <v>1331228</v>
      </c>
      <c r="K187" s="611">
        <f t="shared" si="40"/>
        <v>2.0832160595130357E-2</v>
      </c>
      <c r="L187" s="7">
        <f t="shared" si="66"/>
        <v>752440.16639999999</v>
      </c>
      <c r="M187" s="4">
        <v>753646</v>
      </c>
      <c r="N187" s="202">
        <v>1205</v>
      </c>
      <c r="O187" s="4">
        <v>103049</v>
      </c>
      <c r="P187" s="4">
        <v>289005</v>
      </c>
      <c r="Q187" s="4">
        <f t="shared" si="62"/>
        <v>68623</v>
      </c>
      <c r="R187" s="96">
        <f t="shared" si="41"/>
        <v>111879</v>
      </c>
      <c r="S187" s="35">
        <f t="shared" si="50"/>
        <v>2.167520267431779E-2</v>
      </c>
      <c r="T187" s="28">
        <f t="shared" si="63"/>
        <v>2.0832160595130357E-2</v>
      </c>
      <c r="U187" s="91">
        <f>SUM(B174:B187)/POBLA!$B$25*100000</f>
        <v>292.72483189294985</v>
      </c>
      <c r="V187" s="91">
        <f>B187/POBLA!$B$25*100000</f>
        <v>23.543327666907132</v>
      </c>
      <c r="W187" s="625">
        <f t="shared" si="48"/>
        <v>1.4227770280401859</v>
      </c>
      <c r="X187" s="28">
        <f t="shared" si="64"/>
        <v>2.167520267431779E-2</v>
      </c>
      <c r="Y187" s="202">
        <f t="shared" si="68"/>
        <v>0.45919232412184141</v>
      </c>
      <c r="Z187" s="297">
        <f t="shared" si="44"/>
        <v>9981.8571428571431</v>
      </c>
      <c r="AA187" s="179">
        <f t="shared" si="45"/>
        <v>192.85714285714286</v>
      </c>
      <c r="AB187" s="357">
        <f t="shared" si="60"/>
        <v>136.1777640004498</v>
      </c>
      <c r="AC187" s="610">
        <f t="shared" si="56"/>
        <v>-56.679378856693063</v>
      </c>
      <c r="AD187" s="610">
        <f t="shared" si="57"/>
        <v>9488.5</v>
      </c>
      <c r="AE187" s="202">
        <f t="shared" si="55"/>
        <v>1.1096941206365341</v>
      </c>
      <c r="AF187" s="202">
        <f t="shared" si="53"/>
        <v>0.15916367064869408</v>
      </c>
      <c r="AG187" s="4"/>
      <c r="AH187" s="202">
        <f t="shared" si="46"/>
        <v>0.8754863813229572</v>
      </c>
      <c r="AI187" s="179">
        <f>MAX($B$2:B187)</f>
        <v>12026</v>
      </c>
      <c r="AJ187" s="180">
        <f t="shared" si="43"/>
        <v>2.8084044102350741E-2</v>
      </c>
      <c r="AK187" s="180"/>
      <c r="AL187" s="180"/>
      <c r="AM187" s="180"/>
      <c r="AP187" s="644">
        <f t="shared" si="67"/>
        <v>1.4227770280401859</v>
      </c>
      <c r="AT187" s="180">
        <f t="shared" si="52"/>
        <v>2.2868988391376452E-2</v>
      </c>
    </row>
    <row r="188" spans="1:46" x14ac:dyDescent="0.25">
      <c r="A188" s="2">
        <v>44079</v>
      </c>
      <c r="B188" s="126">
        <v>9924</v>
      </c>
      <c r="C188" s="126">
        <f t="shared" si="59"/>
        <v>471806</v>
      </c>
      <c r="D188" s="126">
        <f>62+55</f>
        <v>117</v>
      </c>
      <c r="E188" s="126">
        <f t="shared" si="65"/>
        <v>9739</v>
      </c>
      <c r="F188" s="126">
        <f t="shared" si="42"/>
        <v>8751</v>
      </c>
      <c r="G188" s="155">
        <v>349132</v>
      </c>
      <c r="H188" s="126">
        <v>2456</v>
      </c>
      <c r="I188" s="126">
        <v>22363</v>
      </c>
      <c r="J188" s="4">
        <f t="shared" si="61"/>
        <v>1353591</v>
      </c>
      <c r="K188" s="611">
        <f t="shared" si="40"/>
        <v>2.0641958771189853E-2</v>
      </c>
      <c r="L188" s="7">
        <f t="shared" si="66"/>
        <v>763591.29599999997</v>
      </c>
      <c r="M188" s="7">
        <v>764815</v>
      </c>
      <c r="N188" s="202">
        <v>1207</v>
      </c>
      <c r="O188" s="4">
        <v>104581</v>
      </c>
      <c r="P188" s="4">
        <v>294844</v>
      </c>
      <c r="Q188" s="4">
        <f t="shared" si="62"/>
        <v>71174</v>
      </c>
      <c r="R188" s="96">
        <f t="shared" si="41"/>
        <v>112935</v>
      </c>
      <c r="S188" s="35">
        <f t="shared" si="50"/>
        <v>2.1747022623633063E-2</v>
      </c>
      <c r="T188" s="28">
        <f t="shared" si="63"/>
        <v>2.0641958771189853E-2</v>
      </c>
      <c r="U188" s="91">
        <f>SUM(B175:B188)/POBLA!$B$25*100000</f>
        <v>297.49563911860076</v>
      </c>
      <c r="V188" s="91">
        <f>B188/POBLA!$B$25*100000</f>
        <v>21.868587024184421</v>
      </c>
      <c r="W188" s="625">
        <f t="shared" si="48"/>
        <v>1.4212293796254383</v>
      </c>
      <c r="X188" s="28">
        <f t="shared" si="64"/>
        <v>2.1747022623633063E-2</v>
      </c>
      <c r="Y188" s="202">
        <f t="shared" si="68"/>
        <v>0.45639576245973951</v>
      </c>
      <c r="Z188" s="297">
        <f t="shared" si="44"/>
        <v>10081</v>
      </c>
      <c r="AA188" s="179">
        <f t="shared" si="45"/>
        <v>198</v>
      </c>
      <c r="AB188" s="357">
        <f t="shared" si="60"/>
        <v>138.55673405400546</v>
      </c>
      <c r="AC188" s="610">
        <f t="shared" si="56"/>
        <v>-59.44326594599454</v>
      </c>
      <c r="AD188" s="610">
        <f t="shared" si="57"/>
        <v>9643.1428571428569</v>
      </c>
      <c r="AE188" s="202">
        <f t="shared" si="55"/>
        <v>1.0951316790042989</v>
      </c>
      <c r="AF188" s="202">
        <f t="shared" si="53"/>
        <v>0.14215354119681622</v>
      </c>
      <c r="AG188" s="4"/>
      <c r="AH188" s="202">
        <f t="shared" si="46"/>
        <v>0.92093023255813955</v>
      </c>
      <c r="AI188" s="179">
        <f>MAX($B$2:B188)</f>
        <v>12026</v>
      </c>
      <c r="AJ188" s="180">
        <f t="shared" si="43"/>
        <v>3.0624419992045605E-2</v>
      </c>
      <c r="AK188" s="180"/>
      <c r="AL188" s="180"/>
      <c r="AM188" s="180"/>
      <c r="AP188" s="644">
        <f t="shared" si="67"/>
        <v>1.4212293796254383</v>
      </c>
      <c r="AT188" s="180">
        <f t="shared" si="52"/>
        <v>2.2527718370681127E-2</v>
      </c>
    </row>
    <row r="189" spans="1:46" x14ac:dyDescent="0.25">
      <c r="A189" s="2">
        <v>44080</v>
      </c>
      <c r="B189" s="126">
        <v>6986</v>
      </c>
      <c r="C189" s="126">
        <f t="shared" si="59"/>
        <v>478792</v>
      </c>
      <c r="D189" s="126">
        <f>67+51+1</f>
        <v>119</v>
      </c>
      <c r="E189" s="126">
        <f t="shared" si="65"/>
        <v>9858</v>
      </c>
      <c r="F189" s="126">
        <f t="shared" si="42"/>
        <v>8256</v>
      </c>
      <c r="G189" s="155">
        <v>357388</v>
      </c>
      <c r="H189" s="126">
        <v>2512</v>
      </c>
      <c r="I189" s="126">
        <v>15262</v>
      </c>
      <c r="J189" s="4">
        <f t="shared" si="61"/>
        <v>1368853</v>
      </c>
      <c r="K189" s="611">
        <f t="shared" si="40"/>
        <v>2.0589316446390081E-2</v>
      </c>
      <c r="L189" s="7">
        <f t="shared" si="66"/>
        <v>771258.00959999999</v>
      </c>
      <c r="M189" s="7">
        <v>772494</v>
      </c>
      <c r="N189" s="202">
        <v>1210</v>
      </c>
      <c r="O189" s="4">
        <v>105702</v>
      </c>
      <c r="P189" s="4">
        <v>299270</v>
      </c>
      <c r="Q189" s="4">
        <f t="shared" si="62"/>
        <v>72610</v>
      </c>
      <c r="R189" s="96">
        <f t="shared" si="41"/>
        <v>111546</v>
      </c>
      <c r="S189" s="35">
        <f t="shared" si="50"/>
        <v>2.2519857278611513E-2</v>
      </c>
      <c r="T189" s="28">
        <f t="shared" si="63"/>
        <v>2.0589316446390081E-2</v>
      </c>
      <c r="U189" s="91">
        <f>SUM(B176:B189)/POBLA!$B$25*100000</f>
        <v>301.09633150045454</v>
      </c>
      <c r="V189" s="91">
        <f>B189/POBLA!$B$25*100000</f>
        <v>15.394392276395845</v>
      </c>
      <c r="W189" s="625">
        <f t="shared" si="48"/>
        <v>1.4284459777324761</v>
      </c>
      <c r="X189" s="28">
        <f t="shared" si="64"/>
        <v>2.2519857278611513E-2</v>
      </c>
      <c r="Y189" s="202">
        <f t="shared" si="68"/>
        <v>0.45620222635711183</v>
      </c>
      <c r="Z189" s="297">
        <f t="shared" si="44"/>
        <v>10052.285714285714</v>
      </c>
      <c r="AA189" s="179">
        <f t="shared" si="45"/>
        <v>200.28571428571428</v>
      </c>
      <c r="AB189" s="357">
        <f t="shared" si="60"/>
        <v>138.75691731125249</v>
      </c>
      <c r="AC189" s="610">
        <f t="shared" si="56"/>
        <v>-61.528796974461784</v>
      </c>
      <c r="AD189" s="610">
        <f t="shared" si="57"/>
        <v>9759.8571428571431</v>
      </c>
      <c r="AE189" s="202">
        <f t="shared" si="55"/>
        <v>1.0617757122163207</v>
      </c>
      <c r="AF189" s="202">
        <f t="shared" si="53"/>
        <v>0.11797544475068911</v>
      </c>
      <c r="AG189" s="4"/>
      <c r="AH189" s="202">
        <f t="shared" si="46"/>
        <v>0.95244565217391308</v>
      </c>
      <c r="AI189" s="179">
        <f>MAX($B$2:B189)</f>
        <v>12026</v>
      </c>
      <c r="AJ189" s="180">
        <f t="shared" si="43"/>
        <v>3.1117523027410939E-2</v>
      </c>
      <c r="AK189" s="180"/>
      <c r="AL189" s="180"/>
      <c r="AM189" s="180"/>
      <c r="AP189" s="644">
        <f t="shared" si="67"/>
        <v>1.4284459777324761</v>
      </c>
      <c r="AT189" s="180">
        <f t="shared" si="52"/>
        <v>2.2405034654381671E-2</v>
      </c>
    </row>
    <row r="190" spans="1:46" x14ac:dyDescent="0.25">
      <c r="A190" s="2">
        <v>44081</v>
      </c>
      <c r="B190" s="126">
        <v>9215</v>
      </c>
      <c r="C190" s="126">
        <f t="shared" si="59"/>
        <v>488007</v>
      </c>
      <c r="D190" s="126">
        <f>53+215</f>
        <v>268</v>
      </c>
      <c r="E190" s="126">
        <f t="shared" si="65"/>
        <v>10126</v>
      </c>
      <c r="F190" s="126">
        <f t="shared" si="42"/>
        <v>9202</v>
      </c>
      <c r="G190" s="155">
        <v>366590</v>
      </c>
      <c r="H190" s="126">
        <v>2698</v>
      </c>
      <c r="I190" s="126">
        <v>20475</v>
      </c>
      <c r="J190" s="4">
        <f t="shared" si="61"/>
        <v>1389328</v>
      </c>
      <c r="K190" s="611">
        <f t="shared" si="40"/>
        <v>2.074970236082679E-2</v>
      </c>
      <c r="L190" s="7">
        <f t="shared" si="66"/>
        <v>781672.32</v>
      </c>
      <c r="M190" s="4">
        <v>782925</v>
      </c>
      <c r="N190" s="202">
        <v>1217</v>
      </c>
      <c r="O190" s="4">
        <v>107504</v>
      </c>
      <c r="P190" s="4">
        <v>307566</v>
      </c>
      <c r="Q190" s="4">
        <f t="shared" si="62"/>
        <v>71720</v>
      </c>
      <c r="R190" s="96">
        <f t="shared" si="41"/>
        <v>111291</v>
      </c>
      <c r="S190" s="35">
        <f t="shared" si="50"/>
        <v>2.4242750986153416E-2</v>
      </c>
      <c r="T190" s="28">
        <f t="shared" si="63"/>
        <v>2.074970236082679E-2</v>
      </c>
      <c r="U190" s="91">
        <f>SUM(B177:B190)/POBLA!$B$25*100000</f>
        <v>302.20254176709511</v>
      </c>
      <c r="V190" s="91">
        <f>B190/POBLA!$B$25*100000</f>
        <v>20.306230293012845</v>
      </c>
      <c r="W190" s="625">
        <f t="shared" si="48"/>
        <v>1.41382900854648</v>
      </c>
      <c r="X190" s="28">
        <f t="shared" si="64"/>
        <v>2.4242750986153416E-2</v>
      </c>
      <c r="Y190" s="202">
        <f t="shared" si="68"/>
        <v>0.45373951560310705</v>
      </c>
      <c r="Z190" s="297">
        <f t="shared" si="44"/>
        <v>10038.857142857143</v>
      </c>
      <c r="AA190" s="179">
        <f t="shared" si="45"/>
        <v>209.57142857142858</v>
      </c>
      <c r="AB190" s="357">
        <f t="shared" si="60"/>
        <v>155.15543944408728</v>
      </c>
      <c r="AC190" s="610">
        <f t="shared" si="56"/>
        <v>-54.415989127341305</v>
      </c>
      <c r="AD190" s="610">
        <f t="shared" si="57"/>
        <v>9795.7142857142862</v>
      </c>
      <c r="AE190" s="202">
        <f t="shared" si="55"/>
        <v>1.0509062630854817</v>
      </c>
      <c r="AF190" s="202">
        <f t="shared" si="53"/>
        <v>0.10517378351539231</v>
      </c>
      <c r="AG190" s="4"/>
      <c r="AH190" s="202">
        <f t="shared" si="46"/>
        <v>1.1336939721792891</v>
      </c>
      <c r="AI190" s="179">
        <f>MAX($B$2:B190)</f>
        <v>12026</v>
      </c>
      <c r="AJ190" s="180">
        <f t="shared" si="43"/>
        <v>3.327662470227969E-2</v>
      </c>
      <c r="AK190" s="180"/>
      <c r="AL190" s="180"/>
      <c r="AM190" s="180"/>
      <c r="AP190" s="644">
        <f t="shared" si="67"/>
        <v>1.41382900854648</v>
      </c>
      <c r="AT190" s="180">
        <f t="shared" si="52"/>
        <v>2.2758290142813043E-2</v>
      </c>
    </row>
    <row r="191" spans="1:46" x14ac:dyDescent="0.25">
      <c r="A191" s="2">
        <v>44082</v>
      </c>
      <c r="B191" s="126">
        <v>12027</v>
      </c>
      <c r="C191" s="126">
        <f t="shared" si="59"/>
        <v>500034</v>
      </c>
      <c r="D191" s="126">
        <f>50+227</f>
        <v>277</v>
      </c>
      <c r="E191" s="126">
        <f t="shared" si="65"/>
        <v>10403</v>
      </c>
      <c r="F191" s="126">
        <f t="shared" si="42"/>
        <v>15900</v>
      </c>
      <c r="G191" s="155">
        <v>382490</v>
      </c>
      <c r="H191" s="126">
        <v>2719</v>
      </c>
      <c r="I191" s="126">
        <v>25995</v>
      </c>
      <c r="J191" s="4">
        <f t="shared" si="61"/>
        <v>1415323</v>
      </c>
      <c r="K191" s="611">
        <f t="shared" si="40"/>
        <v>2.0804585288200401E-2</v>
      </c>
      <c r="L191" s="7">
        <f t="shared" si="66"/>
        <v>794674.48320000002</v>
      </c>
      <c r="M191" s="4">
        <v>795948</v>
      </c>
      <c r="N191" s="202">
        <v>1221</v>
      </c>
      <c r="O191" s="4">
        <v>109701</v>
      </c>
      <c r="P191" s="4">
        <v>316074</v>
      </c>
      <c r="Q191" s="4">
        <f t="shared" si="62"/>
        <v>73038</v>
      </c>
      <c r="R191" s="96">
        <f t="shared" si="41"/>
        <v>107141</v>
      </c>
      <c r="S191" s="35">
        <f t="shared" si="50"/>
        <v>2.5377773214735722E-2</v>
      </c>
      <c r="T191" s="28">
        <f t="shared" si="63"/>
        <v>2.0804585288200401E-2</v>
      </c>
      <c r="U191" s="91">
        <f>SUM(B178:B191)/POBLA!$B$25*100000</f>
        <v>309.37748325749664</v>
      </c>
      <c r="V191" s="91">
        <f>B191/POBLA!$B$25*100000</f>
        <v>26.502770671086868</v>
      </c>
      <c r="W191" s="625">
        <f t="shared" si="48"/>
        <v>1.4220628602104795</v>
      </c>
      <c r="X191" s="28">
        <f t="shared" si="64"/>
        <v>2.5377773214735722E-2</v>
      </c>
      <c r="Y191" s="202">
        <f t="shared" si="68"/>
        <v>0.45511020392639123</v>
      </c>
      <c r="Z191" s="297">
        <f t="shared" si="44"/>
        <v>10256.428571428571</v>
      </c>
      <c r="AA191" s="179">
        <f t="shared" si="45"/>
        <v>212.14285714285714</v>
      </c>
      <c r="AB191" s="357">
        <f t="shared" si="60"/>
        <v>161.24203306022804</v>
      </c>
      <c r="AC191" s="610">
        <f t="shared" si="56"/>
        <v>-50.9008240826291</v>
      </c>
      <c r="AD191" s="610">
        <f t="shared" si="57"/>
        <v>10028.285714285714</v>
      </c>
      <c r="AE191" s="202">
        <f t="shared" si="55"/>
        <v>1.0465590880599407</v>
      </c>
      <c r="AF191" s="202">
        <f t="shared" si="53"/>
        <v>3.2276401614783623E-2</v>
      </c>
      <c r="AG191" s="4"/>
      <c r="AH191" s="202">
        <f t="shared" si="46"/>
        <v>1.0959409594095939</v>
      </c>
      <c r="AI191" s="179">
        <f>MAX($B$2:B191)</f>
        <v>12027</v>
      </c>
      <c r="AJ191" s="180">
        <f t="shared" si="43"/>
        <v>3.3138445059359103E-2</v>
      </c>
      <c r="AK191" s="180"/>
      <c r="AL191" s="180"/>
      <c r="AM191" s="180"/>
      <c r="AP191" s="644">
        <f t="shared" si="67"/>
        <v>1.4220628602104795</v>
      </c>
      <c r="AT191" s="180">
        <f t="shared" si="52"/>
        <v>2.2864693237620054E-2</v>
      </c>
    </row>
    <row r="192" spans="1:46" x14ac:dyDescent="0.25">
      <c r="A192" s="2">
        <v>44083</v>
      </c>
      <c r="B192" s="126">
        <v>12259</v>
      </c>
      <c r="C192" s="126">
        <f t="shared" si="59"/>
        <v>512293</v>
      </c>
      <c r="D192" s="126">
        <f>52+202</f>
        <v>254</v>
      </c>
      <c r="E192" s="126">
        <f t="shared" si="65"/>
        <v>10657</v>
      </c>
      <c r="F192" s="126">
        <f t="shared" si="42"/>
        <v>7608</v>
      </c>
      <c r="G192" s="155">
        <v>390098</v>
      </c>
      <c r="H192" s="126">
        <v>2829</v>
      </c>
      <c r="I192" s="126">
        <v>27171</v>
      </c>
      <c r="J192" s="4">
        <f t="shared" si="61"/>
        <v>1442494</v>
      </c>
      <c r="K192" s="611">
        <f t="shared" si="40"/>
        <v>2.0802548541557272E-2</v>
      </c>
      <c r="L192" s="7">
        <f t="shared" si="66"/>
        <v>807283.27679999999</v>
      </c>
      <c r="M192" s="4">
        <v>808577</v>
      </c>
      <c r="N192" s="202">
        <v>1222</v>
      </c>
      <c r="O192" s="4">
        <v>112220</v>
      </c>
      <c r="P192" s="4">
        <v>324064</v>
      </c>
      <c r="Q192" s="4">
        <f t="shared" si="62"/>
        <v>74787</v>
      </c>
      <c r="R192" s="96">
        <f t="shared" si="41"/>
        <v>111538</v>
      </c>
      <c r="S192" s="35">
        <f t="shared" si="50"/>
        <v>2.5363553228496118E-2</v>
      </c>
      <c r="T192" s="28">
        <f t="shared" si="63"/>
        <v>2.0802548541557272E-2</v>
      </c>
      <c r="U192" s="91">
        <f>SUM(B179:B192)/POBLA!$B$25*100000</f>
        <v>313.14344609751384</v>
      </c>
      <c r="V192" s="91">
        <f>B192/POBLA!$B$25*100000</f>
        <v>27.014007288339062</v>
      </c>
      <c r="W192" s="625">
        <f t="shared" si="48"/>
        <v>1.3984785561044737</v>
      </c>
      <c r="X192" s="28">
        <f t="shared" si="64"/>
        <v>2.5363553228496118E-2</v>
      </c>
      <c r="Y192" s="202">
        <f t="shared" si="68"/>
        <v>0.45387733313470263</v>
      </c>
      <c r="Z192" s="297">
        <f t="shared" si="44"/>
        <v>10445.857142857143</v>
      </c>
      <c r="AA192" s="179">
        <f t="shared" si="45"/>
        <v>220.14285714285714</v>
      </c>
      <c r="AB192" s="357">
        <f t="shared" si="60"/>
        <v>174.03119920534584</v>
      </c>
      <c r="AC192" s="610">
        <f t="shared" si="56"/>
        <v>-46.111657937511296</v>
      </c>
      <c r="AD192" s="610">
        <f t="shared" si="57"/>
        <v>10150.357142857143</v>
      </c>
      <c r="AE192" s="202">
        <f t="shared" si="55"/>
        <v>1.0599704279253159</v>
      </c>
      <c r="AF192" s="202">
        <f t="shared" si="53"/>
        <v>3.6646684325479795E-2</v>
      </c>
      <c r="AG192" s="4"/>
      <c r="AH192" s="202">
        <f t="shared" si="46"/>
        <v>1.206734534064213</v>
      </c>
      <c r="AI192" s="179">
        <f>MAX($B$2:B192)</f>
        <v>12259</v>
      </c>
      <c r="AJ192" s="180">
        <f t="shared" si="43"/>
        <v>3.306441230742823E-2</v>
      </c>
      <c r="AK192" s="180"/>
      <c r="AL192" s="180"/>
      <c r="AM192" s="180"/>
      <c r="AP192" s="644">
        <f t="shared" si="67"/>
        <v>1.3984785561044737</v>
      </c>
      <c r="AT192" s="180">
        <f t="shared" si="52"/>
        <v>2.2803521331140563E-2</v>
      </c>
    </row>
    <row r="193" spans="1:46" x14ac:dyDescent="0.25">
      <c r="A193" s="2">
        <v>44084</v>
      </c>
      <c r="B193" s="126">
        <v>11905</v>
      </c>
      <c r="C193" s="126">
        <f t="shared" si="59"/>
        <v>524198</v>
      </c>
      <c r="D193" s="126">
        <f>55+195</f>
        <v>250</v>
      </c>
      <c r="E193" s="126">
        <f t="shared" si="65"/>
        <v>10907</v>
      </c>
      <c r="F193" s="126">
        <f t="shared" si="42"/>
        <v>10023</v>
      </c>
      <c r="G193" s="155">
        <v>400121</v>
      </c>
      <c r="H193" s="126">
        <v>2880</v>
      </c>
      <c r="I193" s="126">
        <v>28057</v>
      </c>
      <c r="J193" s="4">
        <f t="shared" si="61"/>
        <v>1470551</v>
      </c>
      <c r="K193" s="611">
        <f t="shared" si="40"/>
        <v>2.0807023300355974E-2</v>
      </c>
      <c r="L193" s="7">
        <f t="shared" si="66"/>
        <v>821027.25119999994</v>
      </c>
      <c r="M193" s="4">
        <v>822343</v>
      </c>
      <c r="N193" s="202">
        <v>1227</v>
      </c>
      <c r="O193" s="4">
        <v>114335</v>
      </c>
      <c r="P193" s="4">
        <v>332280</v>
      </c>
      <c r="Q193" s="4">
        <f t="shared" si="62"/>
        <v>76356</v>
      </c>
      <c r="R193" s="96">
        <f t="shared" si="41"/>
        <v>113170</v>
      </c>
      <c r="S193" s="35">
        <f t="shared" si="50"/>
        <v>2.5448440399399135E-2</v>
      </c>
      <c r="T193" s="28">
        <f t="shared" si="63"/>
        <v>2.0807023300355974E-2</v>
      </c>
      <c r="U193" s="91">
        <f>SUM(B180:B193)/POBLA!$B$25*100000</f>
        <v>317.11214069954491</v>
      </c>
      <c r="V193" s="91">
        <f>B193/POBLA!$B$25*100000</f>
        <v>26.233930725807696</v>
      </c>
      <c r="W193" s="625">
        <f t="shared" si="48"/>
        <v>1.3807906351947803</v>
      </c>
      <c r="X193" s="28">
        <f t="shared" si="64"/>
        <v>2.5448440399399135E-2</v>
      </c>
      <c r="Y193" s="202">
        <f t="shared" si="68"/>
        <v>0.44564095989841829</v>
      </c>
      <c r="Z193" s="297">
        <f t="shared" si="44"/>
        <v>10428.571428571429</v>
      </c>
      <c r="AA193" s="179">
        <f t="shared" si="45"/>
        <v>221</v>
      </c>
      <c r="AB193" s="357">
        <f t="shared" si="60"/>
        <v>179.64932209986009</v>
      </c>
      <c r="AC193" s="610">
        <f t="shared" si="56"/>
        <v>-41.350677900139914</v>
      </c>
      <c r="AD193" s="610">
        <f t="shared" si="57"/>
        <v>10279</v>
      </c>
      <c r="AE193" s="202">
        <f t="shared" si="55"/>
        <v>1.029532056525541</v>
      </c>
      <c r="AF193" s="202">
        <f t="shared" si="53"/>
        <v>2.6792600052623516E-2</v>
      </c>
      <c r="AG193" s="4"/>
      <c r="AH193" s="202">
        <f t="shared" si="46"/>
        <v>1.1809160305343511</v>
      </c>
      <c r="AI193" s="179">
        <f>MAX($B$2:B193)</f>
        <v>12259</v>
      </c>
      <c r="AJ193" s="180">
        <f t="shared" si="43"/>
        <v>3.243050605844619E-2</v>
      </c>
      <c r="AK193" s="180"/>
      <c r="AL193" s="180"/>
      <c r="AM193" s="180"/>
      <c r="AP193" s="644">
        <f t="shared" si="67"/>
        <v>1.3807906351947803</v>
      </c>
      <c r="AT193" s="180">
        <f t="shared" si="52"/>
        <v>2.2416602414855272E-2</v>
      </c>
    </row>
    <row r="194" spans="1:46" x14ac:dyDescent="0.25">
      <c r="A194" s="2">
        <v>44085</v>
      </c>
      <c r="B194" s="124">
        <v>11507</v>
      </c>
      <c r="C194" s="124">
        <f t="shared" si="59"/>
        <v>535705</v>
      </c>
      <c r="D194" s="124">
        <f>87+154</f>
        <v>241</v>
      </c>
      <c r="E194" s="124">
        <f t="shared" si="65"/>
        <v>11148</v>
      </c>
      <c r="F194" s="126">
        <f t="shared" si="42"/>
        <v>9650</v>
      </c>
      <c r="G194" s="155">
        <v>409771</v>
      </c>
      <c r="H194" s="124">
        <v>3093</v>
      </c>
      <c r="I194" s="126">
        <v>26254</v>
      </c>
      <c r="J194" s="4">
        <f t="shared" si="61"/>
        <v>1496805</v>
      </c>
      <c r="K194" s="611">
        <f t="shared" ref="K194:K257" si="69">E194/C194</f>
        <v>2.0809960705985571E-2</v>
      </c>
      <c r="L194" s="7">
        <f t="shared" si="66"/>
        <v>834922.98239999998</v>
      </c>
      <c r="M194" s="4">
        <v>836261</v>
      </c>
      <c r="N194" s="202">
        <v>1229</v>
      </c>
      <c r="O194" s="4">
        <v>116159</v>
      </c>
      <c r="P194" s="4">
        <v>340885</v>
      </c>
      <c r="Q194" s="4">
        <f t="shared" si="62"/>
        <v>77432</v>
      </c>
      <c r="R194" s="96">
        <f t="shared" ref="R194:R257" si="70">C194-E194-G194</f>
        <v>114786</v>
      </c>
      <c r="S194" s="35">
        <f t="shared" si="50"/>
        <v>2.6945794783335947E-2</v>
      </c>
      <c r="T194" s="28">
        <f t="shared" si="63"/>
        <v>2.0809960705985571E-2</v>
      </c>
      <c r="U194" s="91">
        <f>SUM(B181:B194)/POBLA!$B$25*100000</f>
        <v>316.64938341668727</v>
      </c>
      <c r="V194" s="91">
        <f>B194/POBLA!$B$25*100000</f>
        <v>25.356895494487119</v>
      </c>
      <c r="W194" s="625">
        <f t="shared" si="48"/>
        <v>1.3114299273537036</v>
      </c>
      <c r="X194" s="28">
        <f t="shared" si="64"/>
        <v>2.6945794783335947E-2</v>
      </c>
      <c r="Y194" s="202">
        <f t="shared" si="68"/>
        <v>0.44585298682788066</v>
      </c>
      <c r="Z194" s="297">
        <f t="shared" si="44"/>
        <v>10546.142857142857</v>
      </c>
      <c r="AA194" s="179">
        <f t="shared" si="45"/>
        <v>218</v>
      </c>
      <c r="AB194" s="357">
        <f t="shared" si="60"/>
        <v>189.81151380270788</v>
      </c>
      <c r="AC194" s="610">
        <f t="shared" si="56"/>
        <v>-28.188486197292121</v>
      </c>
      <c r="AD194" s="610">
        <f t="shared" si="57"/>
        <v>10264</v>
      </c>
      <c r="AE194" s="202">
        <f t="shared" si="55"/>
        <v>1.0565311350593218</v>
      </c>
      <c r="AF194" s="202">
        <f t="shared" si="53"/>
        <v>2.5983428525460539E-2</v>
      </c>
      <c r="AG194" s="4"/>
      <c r="AH194" s="202">
        <f t="shared" si="46"/>
        <v>1.1303703703703702</v>
      </c>
      <c r="AI194" s="179">
        <f>MAX($B$2:B194)</f>
        <v>12259</v>
      </c>
      <c r="AJ194" s="180">
        <f t="shared" si="43"/>
        <v>3.2068929284438372E-2</v>
      </c>
      <c r="AK194" s="180"/>
      <c r="AL194" s="180"/>
      <c r="AM194" s="180"/>
      <c r="AP194" s="644">
        <f t="shared" si="67"/>
        <v>1.3114299273537036</v>
      </c>
      <c r="AT194" s="180">
        <f t="shared" si="52"/>
        <v>2.2213820185601821E-2</v>
      </c>
    </row>
    <row r="195" spans="1:46" x14ac:dyDescent="0.25">
      <c r="A195" s="2">
        <v>44086</v>
      </c>
      <c r="B195" s="124">
        <v>10776</v>
      </c>
      <c r="C195" s="124">
        <f t="shared" si="59"/>
        <v>546481</v>
      </c>
      <c r="D195" s="124">
        <f>57+58</f>
        <v>115</v>
      </c>
      <c r="E195" s="124">
        <f t="shared" si="65"/>
        <v>11263</v>
      </c>
      <c r="F195" s="126">
        <f t="shared" ref="F195:F258" si="71">G195-G194</f>
        <v>9742</v>
      </c>
      <c r="G195" s="155">
        <v>419513</v>
      </c>
      <c r="H195" s="124">
        <v>2962</v>
      </c>
      <c r="I195" s="126">
        <v>23140</v>
      </c>
      <c r="J195" s="4">
        <f t="shared" si="61"/>
        <v>1519945</v>
      </c>
      <c r="K195" s="611">
        <f t="shared" si="69"/>
        <v>2.0610048656769402E-2</v>
      </c>
      <c r="L195" s="7">
        <f t="shared" si="66"/>
        <v>845888.40960000001</v>
      </c>
      <c r="M195" s="4">
        <v>847244</v>
      </c>
      <c r="N195" s="202">
        <v>1232</v>
      </c>
      <c r="O195" s="4">
        <v>117339</v>
      </c>
      <c r="P195" s="4">
        <v>347893</v>
      </c>
      <c r="Q195" s="4">
        <f t="shared" si="62"/>
        <v>80017</v>
      </c>
      <c r="R195" s="96">
        <f t="shared" si="70"/>
        <v>115705</v>
      </c>
      <c r="S195" s="35">
        <f t="shared" si="50"/>
        <v>2.5599585151894904E-2</v>
      </c>
      <c r="T195" s="28">
        <f t="shared" si="63"/>
        <v>2.0610048656769402E-2</v>
      </c>
      <c r="U195" s="91">
        <f>SUM(B182:B195)/POBLA!$B$25*100000</f>
        <v>320.05615846096271</v>
      </c>
      <c r="V195" s="91">
        <f>B195/POBLA!$B$25*100000</f>
        <v>23.746059428920933</v>
      </c>
      <c r="W195" s="625">
        <f t="shared" si="48"/>
        <v>1.2951961405041956</v>
      </c>
      <c r="X195" s="28">
        <f t="shared" si="64"/>
        <v>2.5599585151894904E-2</v>
      </c>
      <c r="Y195" s="202">
        <f t="shared" si="68"/>
        <v>0.4488921216201594</v>
      </c>
      <c r="Z195" s="297">
        <f t="shared" si="44"/>
        <v>10667.857142857143</v>
      </c>
      <c r="AA195" s="179">
        <f t="shared" si="45"/>
        <v>217.71428571428572</v>
      </c>
      <c r="AB195" s="357">
        <f t="shared" si="60"/>
        <v>191.635787078097</v>
      </c>
      <c r="AC195" s="610">
        <f t="shared" si="56"/>
        <v>-26.078498636188726</v>
      </c>
      <c r="AD195" s="610">
        <f t="shared" ref="AD195:AD258" si="72">AVERAGE(B182:B195)</f>
        <v>10374.428571428571</v>
      </c>
      <c r="AE195" s="202">
        <f t="shared" si="55"/>
        <v>1.0582141794323126</v>
      </c>
      <c r="AF195" s="202">
        <f t="shared" si="53"/>
        <v>2.4527383007924897E-2</v>
      </c>
      <c r="AG195" s="4"/>
      <c r="AH195" s="202">
        <f t="shared" si="46"/>
        <v>1.0995670995670996</v>
      </c>
      <c r="AI195" s="179">
        <f>MAX($B$2:B195)</f>
        <v>12259</v>
      </c>
      <c r="AJ195" s="180">
        <f t="shared" si="43"/>
        <v>2.9454397866295588E-2</v>
      </c>
      <c r="AK195" s="180"/>
      <c r="AL195" s="180"/>
      <c r="AM195" s="180"/>
      <c r="AP195" s="644">
        <f t="shared" si="67"/>
        <v>1.2951961405041956</v>
      </c>
      <c r="AT195" s="180">
        <f t="shared" si="52"/>
        <v>2.1818800409749674E-2</v>
      </c>
    </row>
    <row r="196" spans="1:46" ht="16.5" x14ac:dyDescent="0.25">
      <c r="A196" s="2">
        <v>44087</v>
      </c>
      <c r="B196" s="124">
        <v>9056</v>
      </c>
      <c r="C196" s="146">
        <f t="shared" si="59"/>
        <v>555537</v>
      </c>
      <c r="D196" s="124">
        <f>44+45</f>
        <v>89</v>
      </c>
      <c r="E196" s="124">
        <f t="shared" si="65"/>
        <v>11352</v>
      </c>
      <c r="F196" s="126">
        <f t="shared" si="71"/>
        <v>9440</v>
      </c>
      <c r="G196" s="155">
        <v>428953</v>
      </c>
      <c r="H196" s="124">
        <v>2984</v>
      </c>
      <c r="I196" s="126">
        <v>17955</v>
      </c>
      <c r="J196" s="4">
        <f t="shared" si="61"/>
        <v>1537900</v>
      </c>
      <c r="K196" s="611">
        <f t="shared" si="69"/>
        <v>2.0434282505035668E-2</v>
      </c>
      <c r="L196" s="7">
        <f t="shared" si="66"/>
        <v>853755.80160000001</v>
      </c>
      <c r="M196" s="4">
        <v>855124</v>
      </c>
      <c r="N196" s="202">
        <v>1235</v>
      </c>
      <c r="O196" s="4">
        <v>118561</v>
      </c>
      <c r="P196" s="4">
        <v>353007</v>
      </c>
      <c r="Q196" s="4">
        <f t="shared" si="62"/>
        <v>82734</v>
      </c>
      <c r="R196" s="96">
        <f t="shared" si="70"/>
        <v>115232</v>
      </c>
      <c r="S196" s="35">
        <f t="shared" si="50"/>
        <v>2.5895584559844486E-2</v>
      </c>
      <c r="T196" s="28">
        <f t="shared" si="63"/>
        <v>2.0434282505035668E-2</v>
      </c>
      <c r="U196" s="91">
        <f>SUM(B183:B196)/POBLA!$B$25*100000</f>
        <v>324.17469827839523</v>
      </c>
      <c r="V196" s="91">
        <f>B196/POBLA!$B$25*100000</f>
        <v>19.955856921706381</v>
      </c>
      <c r="W196" s="625">
        <f t="shared" si="48"/>
        <v>1.2920681205371651</v>
      </c>
      <c r="X196" s="28">
        <f t="shared" si="64"/>
        <v>2.5895584559844486E-2</v>
      </c>
      <c r="Y196" s="202">
        <f t="shared" si="68"/>
        <v>0.45398616952681797</v>
      </c>
      <c r="Z196" s="297">
        <f t="shared" si="44"/>
        <v>10963.571428571429</v>
      </c>
      <c r="AA196" s="179">
        <f t="shared" si="45"/>
        <v>213.42857142857142</v>
      </c>
      <c r="AB196" s="357">
        <f t="shared" si="60"/>
        <v>196.01243799366347</v>
      </c>
      <c r="AC196" s="610">
        <f t="shared" si="56"/>
        <v>-17.416133434907948</v>
      </c>
      <c r="AD196" s="610">
        <f t="shared" si="72"/>
        <v>10507.928571428571</v>
      </c>
      <c r="AE196" s="202">
        <f t="shared" si="55"/>
        <v>1.0906545774948129</v>
      </c>
      <c r="AF196" s="202">
        <f t="shared" si="53"/>
        <v>3.3044663188281032E-2</v>
      </c>
      <c r="AG196" s="4"/>
      <c r="AH196" s="202">
        <f t="shared" si="46"/>
        <v>1.0656205420827389</v>
      </c>
      <c r="AI196" s="179">
        <f>MAX($B$2:B196)</f>
        <v>12259</v>
      </c>
      <c r="AJ196" s="180">
        <f t="shared" si="43"/>
        <v>2.7835743031748395E-2</v>
      </c>
      <c r="AK196" s="180"/>
      <c r="AL196" s="180"/>
      <c r="AM196" s="180"/>
      <c r="AP196" s="644">
        <f t="shared" si="67"/>
        <v>1.2920681205371651</v>
      </c>
      <c r="AT196" s="180">
        <f t="shared" si="52"/>
        <v>2.132552178689125E-2</v>
      </c>
    </row>
    <row r="197" spans="1:46" ht="16.5" x14ac:dyDescent="0.25">
      <c r="A197" s="2">
        <v>44088</v>
      </c>
      <c r="B197" s="126">
        <v>9909</v>
      </c>
      <c r="C197" s="146">
        <f t="shared" si="59"/>
        <v>565446</v>
      </c>
      <c r="D197" s="126">
        <f>60+254</f>
        <v>314</v>
      </c>
      <c r="E197" s="126">
        <f t="shared" si="65"/>
        <v>11666</v>
      </c>
      <c r="F197" s="126">
        <f t="shared" si="71"/>
        <v>9930</v>
      </c>
      <c r="G197" s="155">
        <v>438883</v>
      </c>
      <c r="H197" s="126">
        <v>2992</v>
      </c>
      <c r="I197" s="126">
        <v>21207</v>
      </c>
      <c r="J197" s="4">
        <f t="shared" si="61"/>
        <v>1559107</v>
      </c>
      <c r="K197" s="611">
        <f t="shared" si="69"/>
        <v>2.0631501505006668E-2</v>
      </c>
      <c r="L197" s="7">
        <f t="shared" si="66"/>
        <v>864437.68319999997</v>
      </c>
      <c r="M197" s="4">
        <v>865823</v>
      </c>
      <c r="N197" s="202">
        <v>1236</v>
      </c>
      <c r="O197" s="4">
        <v>120192</v>
      </c>
      <c r="P197" s="4">
        <v>361677</v>
      </c>
      <c r="Q197" s="4">
        <f t="shared" si="62"/>
        <v>82341</v>
      </c>
      <c r="R197" s="96">
        <f t="shared" si="70"/>
        <v>114897</v>
      </c>
      <c r="S197" s="35">
        <f t="shared" si="50"/>
        <v>2.6040714727103405E-2</v>
      </c>
      <c r="T197" s="28">
        <f t="shared" ref="T197:T214" si="73">E197/C187</f>
        <v>2.525753330937339E-2</v>
      </c>
      <c r="U197" s="91">
        <f>SUM(B184:B197)/POBLA!$B$25*100000</f>
        <v>325.4968619437027</v>
      </c>
      <c r="V197" s="91">
        <f>B197/POBLA!$B$25*100000</f>
        <v>21.835532932551736</v>
      </c>
      <c r="W197" s="625">
        <f t="shared" si="48"/>
        <v>1.2453608073586322</v>
      </c>
      <c r="X197" s="28">
        <f t="shared" si="64"/>
        <v>2.6040714727103405E-2</v>
      </c>
      <c r="Y197" s="202">
        <f t="shared" si="68"/>
        <v>0.45611648083685263</v>
      </c>
      <c r="Z197" s="297">
        <f t="shared" si="44"/>
        <v>11062.714285714286</v>
      </c>
      <c r="AA197" s="179">
        <f t="shared" si="45"/>
        <v>220</v>
      </c>
      <c r="AB197" s="357">
        <f t="shared" si="60"/>
        <v>198.01002070690751</v>
      </c>
      <c r="AC197" s="610">
        <f t="shared" si="56"/>
        <v>-21.989979293092489</v>
      </c>
      <c r="AD197" s="610">
        <f t="shared" si="72"/>
        <v>10550.785714285714</v>
      </c>
      <c r="AE197" s="202">
        <f t="shared" si="55"/>
        <v>1.1019894125683061</v>
      </c>
      <c r="AF197" s="202">
        <f t="shared" si="53"/>
        <v>3.2401541903658071E-2</v>
      </c>
      <c r="AG197" s="4"/>
      <c r="AH197" s="202">
        <f t="shared" si="46"/>
        <v>1.0497614178595773</v>
      </c>
      <c r="AI197" s="179">
        <f>MAX($B$2:B197)</f>
        <v>12259</v>
      </c>
      <c r="AJ197" s="180">
        <f t="shared" si="43"/>
        <v>2.6769107754349982E-2</v>
      </c>
      <c r="AK197" s="180"/>
      <c r="AL197" s="180"/>
      <c r="AM197" s="180"/>
      <c r="AP197" s="644">
        <f t="shared" si="67"/>
        <v>1.2453608073586322</v>
      </c>
      <c r="AT197" s="180">
        <f t="shared" si="52"/>
        <v>2.1816852786000158E-2</v>
      </c>
    </row>
    <row r="198" spans="1:46" ht="16.5" x14ac:dyDescent="0.25">
      <c r="A198" s="2">
        <v>44089</v>
      </c>
      <c r="B198" s="126">
        <v>11892</v>
      </c>
      <c r="C198" s="146">
        <f t="shared" si="59"/>
        <v>577338</v>
      </c>
      <c r="D198" s="126">
        <f>43+142</f>
        <v>185</v>
      </c>
      <c r="E198" s="126">
        <f t="shared" si="65"/>
        <v>11851</v>
      </c>
      <c r="F198" s="126">
        <f t="shared" si="71"/>
        <v>9380</v>
      </c>
      <c r="G198" s="155">
        <v>448263</v>
      </c>
      <c r="H198" s="126">
        <v>3049</v>
      </c>
      <c r="I198" s="126">
        <v>25791</v>
      </c>
      <c r="J198" s="4">
        <f t="shared" si="61"/>
        <v>1584898</v>
      </c>
      <c r="K198" s="611">
        <f t="shared" si="69"/>
        <v>2.0526970336267488E-2</v>
      </c>
      <c r="L198" s="7">
        <f t="shared" si="66"/>
        <v>878182.65599999996</v>
      </c>
      <c r="M198" s="4">
        <v>879590</v>
      </c>
      <c r="N198" s="202">
        <v>1242</v>
      </c>
      <c r="O198" s="4">
        <v>125970</v>
      </c>
      <c r="P198" s="4">
        <v>371507</v>
      </c>
      <c r="Q198" s="4">
        <f t="shared" si="62"/>
        <v>78619</v>
      </c>
      <c r="R198" s="96">
        <f t="shared" si="70"/>
        <v>117224</v>
      </c>
      <c r="S198" s="35">
        <f t="shared" si="50"/>
        <v>2.6010032075342932E-2</v>
      </c>
      <c r="T198" s="28">
        <f t="shared" si="73"/>
        <v>2.5118374925287089E-2</v>
      </c>
      <c r="U198" s="91">
        <f>SUM(B185:B198)/POBLA!$B$25*100000</f>
        <v>328.55546722278046</v>
      </c>
      <c r="V198" s="91">
        <f>B198/POBLA!$B$25*100000</f>
        <v>26.2052838463927</v>
      </c>
      <c r="W198" s="625">
        <f t="shared" si="48"/>
        <v>1.2193943061837036</v>
      </c>
      <c r="X198" s="28">
        <f t="shared" si="64"/>
        <v>2.6010032075342932E-2</v>
      </c>
      <c r="Y198" s="202">
        <f t="shared" si="68"/>
        <v>0.45586908447589564</v>
      </c>
      <c r="Z198" s="297">
        <f t="shared" si="44"/>
        <v>11043.428571428571</v>
      </c>
      <c r="AA198" s="179">
        <f t="shared" si="45"/>
        <v>206.85714285714286</v>
      </c>
      <c r="AB198" s="357">
        <f t="shared" si="60"/>
        <v>204.08620886934631</v>
      </c>
      <c r="AC198" s="610">
        <f t="shared" si="56"/>
        <v>-2.7709339877965533</v>
      </c>
      <c r="AD198" s="610">
        <f t="shared" si="72"/>
        <v>10649.928571428571</v>
      </c>
      <c r="AE198" s="202">
        <f t="shared" si="55"/>
        <v>1.0767323629779233</v>
      </c>
      <c r="AF198" s="202">
        <f t="shared" si="53"/>
        <v>9.4109631233608049E-2</v>
      </c>
      <c r="AG198" s="4"/>
      <c r="AH198" s="202">
        <f t="shared" si="46"/>
        <v>0.97508417508417511</v>
      </c>
      <c r="AI198" s="179">
        <f>MAX($B$2:B198)</f>
        <v>12259</v>
      </c>
      <c r="AJ198" s="180">
        <f t="shared" si="43"/>
        <v>2.4373821707514138E-2</v>
      </c>
      <c r="AK198" s="180"/>
      <c r="AL198" s="180"/>
      <c r="AM198" s="180"/>
      <c r="AP198" s="644">
        <f t="shared" si="67"/>
        <v>1.2193943061837036</v>
      </c>
      <c r="AT198" s="180">
        <f t="shared" si="52"/>
        <v>2.1742128734055007E-2</v>
      </c>
    </row>
    <row r="199" spans="1:46" ht="16.5" x14ac:dyDescent="0.25">
      <c r="A199" s="2">
        <v>44090</v>
      </c>
      <c r="B199" s="126">
        <v>11674</v>
      </c>
      <c r="C199" s="146">
        <f t="shared" si="59"/>
        <v>589012</v>
      </c>
      <c r="D199" s="126">
        <f>58+206</f>
        <v>264</v>
      </c>
      <c r="E199" s="126">
        <f t="shared" si="65"/>
        <v>12115</v>
      </c>
      <c r="F199" s="126">
        <f t="shared" si="71"/>
        <v>8084</v>
      </c>
      <c r="G199" s="155">
        <v>456347</v>
      </c>
      <c r="H199" s="126">
        <v>3118</v>
      </c>
      <c r="I199" s="126">
        <v>25422</v>
      </c>
      <c r="J199" s="4">
        <f t="shared" si="61"/>
        <v>1610320</v>
      </c>
      <c r="K199" s="611">
        <f t="shared" si="69"/>
        <v>2.0568341561801796E-2</v>
      </c>
      <c r="L199" s="7">
        <f t="shared" si="66"/>
        <v>892009.4976</v>
      </c>
      <c r="M199" s="4">
        <v>893439</v>
      </c>
      <c r="N199" s="202">
        <v>1247</v>
      </c>
      <c r="O199" s="4">
        <v>128236</v>
      </c>
      <c r="P199" s="4">
        <v>380805</v>
      </c>
      <c r="Q199" s="7">
        <f t="shared" si="62"/>
        <v>78724</v>
      </c>
      <c r="R199" s="96">
        <f t="shared" si="70"/>
        <v>120550</v>
      </c>
      <c r="S199" s="35">
        <f t="shared" si="50"/>
        <v>2.5864786395686436E-2</v>
      </c>
      <c r="T199" s="28">
        <f t="shared" si="73"/>
        <v>2.530326321241792E-2</v>
      </c>
      <c r="U199" s="91">
        <f>SUM(B186:B199)/POBLA!$B$25*100000</f>
        <v>330.18833934943513</v>
      </c>
      <c r="V199" s="91">
        <f>B199/POBLA!$B$25*100000</f>
        <v>25.724897714664344</v>
      </c>
      <c r="W199" s="625">
        <f t="shared" si="48"/>
        <v>1.1843842134800375</v>
      </c>
      <c r="X199" s="28">
        <f t="shared" si="64"/>
        <v>2.5864786395686436E-2</v>
      </c>
      <c r="Y199" s="202">
        <f t="shared" si="68"/>
        <v>0.45713417468091955</v>
      </c>
      <c r="Z199" s="297">
        <f t="shared" si="44"/>
        <v>10959.857142857143</v>
      </c>
      <c r="AA199" s="179">
        <f t="shared" si="45"/>
        <v>208.28571428571428</v>
      </c>
      <c r="AB199" s="357">
        <f t="shared" si="60"/>
        <v>204.55966617700062</v>
      </c>
      <c r="AC199" s="610">
        <f t="shared" si="56"/>
        <v>-3.7260481087136554</v>
      </c>
      <c r="AD199" s="610">
        <f t="shared" si="72"/>
        <v>10702.857142857143</v>
      </c>
      <c r="AE199" s="202">
        <f t="shared" si="55"/>
        <v>1.0492061104197152</v>
      </c>
      <c r="AF199" s="202">
        <f t="shared" si="53"/>
        <v>8.0797575714106395E-2</v>
      </c>
      <c r="AG199" s="4"/>
      <c r="AH199" s="202">
        <f t="shared" si="46"/>
        <v>0.94613887086307591</v>
      </c>
      <c r="AI199" s="179">
        <f>MAX($B$2:B199)</f>
        <v>12259</v>
      </c>
      <c r="AJ199" s="180">
        <f t="shared" si="43"/>
        <v>2.315535368294E-2</v>
      </c>
      <c r="AK199" s="180"/>
      <c r="AL199" s="180"/>
      <c r="AM199" s="180"/>
      <c r="AP199" s="644">
        <f t="shared" si="67"/>
        <v>1.1843842134800375</v>
      </c>
      <c r="AT199" s="180">
        <f t="shared" si="52"/>
        <v>2.1736130754848457E-2</v>
      </c>
    </row>
    <row r="200" spans="1:46" ht="16.5" x14ac:dyDescent="0.25">
      <c r="A200" s="2">
        <v>44091</v>
      </c>
      <c r="B200" s="126">
        <v>12701</v>
      </c>
      <c r="C200" s="146">
        <f t="shared" si="59"/>
        <v>601713</v>
      </c>
      <c r="D200" s="126">
        <v>345</v>
      </c>
      <c r="E200" s="126">
        <f t="shared" si="65"/>
        <v>12460</v>
      </c>
      <c r="F200" s="126">
        <f t="shared" si="71"/>
        <v>10939</v>
      </c>
      <c r="G200" s="155">
        <v>467286</v>
      </c>
      <c r="H200" s="126">
        <v>3108</v>
      </c>
      <c r="I200" s="126">
        <v>28633</v>
      </c>
      <c r="J200" s="4">
        <f t="shared" si="61"/>
        <v>1638953</v>
      </c>
      <c r="K200" s="611">
        <f t="shared" si="69"/>
        <v>2.0707546621063531E-2</v>
      </c>
      <c r="L200" s="7">
        <f t="shared" si="66"/>
        <v>905987.09759999998</v>
      </c>
      <c r="M200" s="4">
        <v>907439</v>
      </c>
      <c r="N200" s="202">
        <v>1251</v>
      </c>
      <c r="O200" s="4">
        <v>130230</v>
      </c>
      <c r="P200" s="4">
        <v>390634</v>
      </c>
      <c r="Q200" s="4">
        <f t="shared" si="62"/>
        <v>79598</v>
      </c>
      <c r="R200" s="96">
        <f t="shared" si="70"/>
        <v>121967</v>
      </c>
      <c r="S200" s="35">
        <f t="shared" si="50"/>
        <v>2.5482302590044848E-2</v>
      </c>
      <c r="T200" s="28">
        <f t="shared" si="73"/>
        <v>2.5532420641507191E-2</v>
      </c>
      <c r="U200" s="91">
        <f>SUM(B187:B200)/POBLA!$B$25*100000</f>
        <v>331.67577347290592</v>
      </c>
      <c r="V200" s="91">
        <f>B200/POBLA!$B$25*100000</f>
        <v>27.988001188448845</v>
      </c>
      <c r="W200" s="625">
        <f t="shared" si="48"/>
        <v>1.1550178798901116</v>
      </c>
      <c r="X200" s="28">
        <f t="shared" si="64"/>
        <v>2.5482302590044848E-2</v>
      </c>
      <c r="Y200" s="202">
        <f t="shared" si="68"/>
        <v>0.46029738364152445</v>
      </c>
      <c r="Z200" s="297">
        <f t="shared" si="44"/>
        <v>11073.571428571429</v>
      </c>
      <c r="AA200" s="179">
        <f t="shared" si="45"/>
        <v>221.85714285714286</v>
      </c>
      <c r="AB200" s="357">
        <f t="shared" si="60"/>
        <v>210.13269435718115</v>
      </c>
      <c r="AC200" s="610">
        <f t="shared" si="56"/>
        <v>-11.72444849996171</v>
      </c>
      <c r="AD200" s="610">
        <f t="shared" si="72"/>
        <v>10751.071428571429</v>
      </c>
      <c r="AE200" s="202">
        <f t="shared" si="55"/>
        <v>1.0618493150684931</v>
      </c>
      <c r="AF200" s="202">
        <f t="shared" si="53"/>
        <v>7.7732614650525722E-2</v>
      </c>
      <c r="AG200" s="4"/>
      <c r="AH200" s="202">
        <f t="shared" si="46"/>
        <v>1.0038784744667097</v>
      </c>
      <c r="AI200" s="179">
        <f>MAX($B$2:B200)</f>
        <v>12701</v>
      </c>
      <c r="AJ200" s="180">
        <f t="shared" ref="AJ200:AJ263" si="74">AA200/Z181</f>
        <v>2.4101059950028713E-2</v>
      </c>
      <c r="AK200" s="180"/>
      <c r="AL200" s="180"/>
      <c r="AM200" s="180"/>
      <c r="AP200" s="644">
        <f t="shared" si="67"/>
        <v>1.1550178798901116</v>
      </c>
      <c r="AT200" s="180">
        <f t="shared" si="52"/>
        <v>2.168407456373184E-2</v>
      </c>
    </row>
    <row r="201" spans="1:46" ht="16.5" x14ac:dyDescent="0.25">
      <c r="A201" s="2">
        <v>44092</v>
      </c>
      <c r="B201" s="126">
        <v>11945</v>
      </c>
      <c r="C201" s="146">
        <f t="shared" si="59"/>
        <v>613658</v>
      </c>
      <c r="D201" s="126">
        <f>31+166</f>
        <v>197</v>
      </c>
      <c r="E201" s="126">
        <f t="shared" si="65"/>
        <v>12657</v>
      </c>
      <c r="F201" s="126">
        <f t="shared" si="71"/>
        <v>10791</v>
      </c>
      <c r="G201" s="155">
        <v>478077</v>
      </c>
      <c r="H201" s="126">
        <v>3225</v>
      </c>
      <c r="I201" s="126">
        <v>25698</v>
      </c>
      <c r="J201" s="4">
        <f t="shared" si="61"/>
        <v>1664651</v>
      </c>
      <c r="K201" s="611">
        <f t="shared" si="69"/>
        <v>2.0625494982547281E-2</v>
      </c>
      <c r="L201" s="7">
        <f t="shared" si="66"/>
        <v>919991.6544</v>
      </c>
      <c r="M201" s="4">
        <v>921466</v>
      </c>
      <c r="N201" s="202">
        <v>1254</v>
      </c>
      <c r="O201" s="4">
        <v>132427</v>
      </c>
      <c r="P201" s="4">
        <v>400216</v>
      </c>
      <c r="Q201" s="4">
        <f t="shared" si="62"/>
        <v>79761</v>
      </c>
      <c r="R201" s="96">
        <f t="shared" si="70"/>
        <v>122924</v>
      </c>
      <c r="S201" s="35">
        <f t="shared" si="50"/>
        <v>2.6235722885685465E-2</v>
      </c>
      <c r="T201" s="28">
        <f t="shared" si="73"/>
        <v>2.5312278765043977E-2</v>
      </c>
      <c r="U201" s="91">
        <f>SUM(B188:B201)/POBLA!$B$25*100000</f>
        <v>334.45452077616028</v>
      </c>
      <c r="V201" s="91">
        <f>B201/POBLA!$B$25*100000</f>
        <v>26.322074970161523</v>
      </c>
      <c r="W201" s="625">
        <f t="shared" si="48"/>
        <v>1.1425560264681307</v>
      </c>
      <c r="X201" s="28">
        <f t="shared" si="64"/>
        <v>2.6235722885685465E-2</v>
      </c>
      <c r="Y201" s="202">
        <f t="shared" si="68"/>
        <v>0.4644316814222561</v>
      </c>
      <c r="Z201" s="297">
        <f t="shared" ref="Z201:Z264" si="75">AVERAGE(B195:B201)</f>
        <v>11136.142857142857</v>
      </c>
      <c r="AA201" s="179">
        <f t="shared" ref="AA201:AA264" si="76">AVERAGE(D195:D201)</f>
        <v>215.57142857142858</v>
      </c>
      <c r="AB201" s="357">
        <f t="shared" si="60"/>
        <v>207.94365103764906</v>
      </c>
      <c r="AC201" s="610">
        <f t="shared" si="56"/>
        <v>-7.6277775337795219</v>
      </c>
      <c r="AD201" s="610">
        <f t="shared" si="72"/>
        <v>10841.142857142857</v>
      </c>
      <c r="AE201" s="202">
        <f t="shared" si="55"/>
        <v>1.0559446243040786</v>
      </c>
      <c r="AF201" s="202">
        <f t="shared" si="53"/>
        <v>7.0897147735786703E-2</v>
      </c>
      <c r="AG201" s="4"/>
      <c r="AH201" s="202">
        <f t="shared" si="46"/>
        <v>0.98885976408912191</v>
      </c>
      <c r="AI201" s="179">
        <f>MAX($B$2:B201)</f>
        <v>12701</v>
      </c>
      <c r="AJ201" s="180">
        <f t="shared" si="74"/>
        <v>2.2769797199420572E-2</v>
      </c>
      <c r="AK201" s="180"/>
      <c r="AL201" s="180"/>
      <c r="AM201" s="180"/>
      <c r="AP201" s="644">
        <f t="shared" si="67"/>
        <v>1.1425560264681307</v>
      </c>
      <c r="AT201" s="180">
        <f t="shared" si="52"/>
        <v>2.1020003388715576E-2</v>
      </c>
    </row>
    <row r="202" spans="1:46" x14ac:dyDescent="0.25">
      <c r="A202" s="2">
        <v>44093</v>
      </c>
      <c r="B202" s="126">
        <v>9276</v>
      </c>
      <c r="C202" s="126">
        <f t="shared" si="59"/>
        <v>622934</v>
      </c>
      <c r="D202" s="126">
        <f>49+94</f>
        <v>143</v>
      </c>
      <c r="E202" s="126">
        <f t="shared" si="65"/>
        <v>12800</v>
      </c>
      <c r="F202" s="126">
        <f t="shared" si="71"/>
        <v>10154</v>
      </c>
      <c r="G202" s="155">
        <v>488231</v>
      </c>
      <c r="H202" s="126">
        <v>3213</v>
      </c>
      <c r="I202" s="126">
        <v>21093</v>
      </c>
      <c r="J202" s="4">
        <f t="shared" si="61"/>
        <v>1685744</v>
      </c>
      <c r="K202" s="611">
        <f t="shared" si="69"/>
        <v>2.0547923214979436E-2</v>
      </c>
      <c r="L202" s="7">
        <f t="shared" si="66"/>
        <v>931028.96639999992</v>
      </c>
      <c r="M202" s="4">
        <v>932521</v>
      </c>
      <c r="N202" s="202">
        <v>1261</v>
      </c>
      <c r="O202" s="4">
        <v>133793</v>
      </c>
      <c r="P202" s="4">
        <v>406757</v>
      </c>
      <c r="Q202" s="4">
        <f t="shared" si="62"/>
        <v>81123</v>
      </c>
      <c r="R202" s="96">
        <f t="shared" si="70"/>
        <v>121903</v>
      </c>
      <c r="S202" s="35">
        <f t="shared" si="50"/>
        <v>2.6357021566327327E-2</v>
      </c>
      <c r="T202" s="28">
        <f t="shared" si="73"/>
        <v>2.4985701541891066E-2</v>
      </c>
      <c r="U202" s="91">
        <f>SUM(B189:B202)/POBLA!$B$25*100000</f>
        <v>333.02658401762835</v>
      </c>
      <c r="V202" s="91">
        <f>B202/POBLA!$B$25*100000</f>
        <v>20.44065026565243</v>
      </c>
      <c r="W202" s="625">
        <f t="shared" si="48"/>
        <v>1.119433498266718</v>
      </c>
      <c r="X202" s="28">
        <f t="shared" si="64"/>
        <v>2.6357021566327327E-2</v>
      </c>
      <c r="Y202" s="202">
        <f t="shared" si="68"/>
        <v>0.46111858334489353</v>
      </c>
      <c r="Z202" s="297">
        <f t="shared" si="75"/>
        <v>10921.857142857143</v>
      </c>
      <c r="AA202" s="179">
        <f t="shared" si="76"/>
        <v>219.57142857142858</v>
      </c>
      <c r="AB202" s="357">
        <f t="shared" si="60"/>
        <v>208.0915863723649</v>
      </c>
      <c r="AC202" s="610">
        <f t="shared" si="56"/>
        <v>-11.479842199063683</v>
      </c>
      <c r="AD202" s="610">
        <f t="shared" si="72"/>
        <v>10794.857142857143</v>
      </c>
      <c r="AE202" s="202">
        <f t="shared" si="55"/>
        <v>1.0238098426514899</v>
      </c>
      <c r="AF202" s="202">
        <f t="shared" si="53"/>
        <v>5.3567261570372837E-2</v>
      </c>
      <c r="AG202" s="4"/>
      <c r="AH202" s="202">
        <f t="shared" ref="AH202:AH265" si="77">AA202/AA195</f>
        <v>1.0085301837270342</v>
      </c>
      <c r="AI202" s="179">
        <f>MAX($B$2:B202)</f>
        <v>12701</v>
      </c>
      <c r="AJ202" s="180">
        <f t="shared" si="74"/>
        <v>2.2985583537716098E-2</v>
      </c>
      <c r="AK202" s="180"/>
      <c r="AL202" s="180"/>
      <c r="AM202" s="180"/>
      <c r="AP202" s="644">
        <f t="shared" si="67"/>
        <v>1.119433498266718</v>
      </c>
      <c r="AT202" s="180">
        <f t="shared" si="52"/>
        <v>2.0804502565800364E-2</v>
      </c>
    </row>
    <row r="203" spans="1:46" x14ac:dyDescent="0.25">
      <c r="A203" s="2">
        <v>44094</v>
      </c>
      <c r="B203" s="126">
        <v>8431</v>
      </c>
      <c r="C203" s="126">
        <f t="shared" si="59"/>
        <v>631365</v>
      </c>
      <c r="D203" s="126">
        <f>110+143</f>
        <v>253</v>
      </c>
      <c r="E203" s="126">
        <f t="shared" si="65"/>
        <v>13053</v>
      </c>
      <c r="F203" s="126">
        <f t="shared" si="71"/>
        <v>10148</v>
      </c>
      <c r="G203" s="155">
        <v>498379</v>
      </c>
      <c r="H203" s="126">
        <v>3261</v>
      </c>
      <c r="I203" s="126">
        <v>15454</v>
      </c>
      <c r="J203" s="4">
        <f t="shared" si="61"/>
        <v>1701198</v>
      </c>
      <c r="K203" s="611">
        <f t="shared" si="69"/>
        <v>2.0674253403340382E-2</v>
      </c>
      <c r="L203" s="7">
        <v>939868</v>
      </c>
      <c r="M203" s="7">
        <f t="shared" ref="M203:M225" si="78">L203+K203</f>
        <v>939868.02067425335</v>
      </c>
      <c r="N203" s="202">
        <v>1262</v>
      </c>
      <c r="O203" s="4">
        <v>134820</v>
      </c>
      <c r="P203" s="4">
        <v>412203</v>
      </c>
      <c r="Q203" s="4">
        <f t="shared" ref="Q203:Q231" si="79">C203-P203-O203-N203</f>
        <v>83080</v>
      </c>
      <c r="R203" s="96">
        <f t="shared" si="70"/>
        <v>119933</v>
      </c>
      <c r="S203" s="35">
        <f t="shared" si="50"/>
        <v>2.7190181184494677E-2</v>
      </c>
      <c r="T203" s="28">
        <f t="shared" si="73"/>
        <v>2.4900896226235127E-2</v>
      </c>
      <c r="U203" s="91">
        <f>SUM(B190:B203)/POBLA!$B$25*100000</f>
        <v>336.21079484491031</v>
      </c>
      <c r="V203" s="91">
        <f>B203/POBLA!$B$25*100000</f>
        <v>18.578603103677839</v>
      </c>
      <c r="W203" s="625">
        <f t="shared" si="48"/>
        <v>1.1166220231560766</v>
      </c>
      <c r="X203" s="28">
        <f t="shared" si="64"/>
        <v>2.7190181184494677E-2</v>
      </c>
      <c r="Y203" s="202">
        <f t="shared" si="68"/>
        <v>0.46435351320897988</v>
      </c>
      <c r="Z203" s="297">
        <f t="shared" si="75"/>
        <v>10832.571428571429</v>
      </c>
      <c r="AA203" s="179">
        <f t="shared" si="76"/>
        <v>243</v>
      </c>
      <c r="AB203" s="357">
        <f t="shared" si="60"/>
        <v>206.9696915809549</v>
      </c>
      <c r="AC203" s="610">
        <f t="shared" si="56"/>
        <v>-36.030308419045099</v>
      </c>
      <c r="AD203" s="610">
        <f t="shared" si="72"/>
        <v>10898.071428571429</v>
      </c>
      <c r="AE203" s="202">
        <f t="shared" si="55"/>
        <v>0.98805133884943641</v>
      </c>
      <c r="AF203" s="202">
        <f t="shared" si="53"/>
        <v>4.0795959455706798E-2</v>
      </c>
      <c r="AG203" s="4"/>
      <c r="AH203" s="202">
        <f t="shared" si="77"/>
        <v>1.13855421686747</v>
      </c>
      <c r="AI203" s="179">
        <f>MAX($B$2:B203)</f>
        <v>12701</v>
      </c>
      <c r="AJ203" s="180">
        <f t="shared" si="74"/>
        <v>2.4795556916079941E-2</v>
      </c>
      <c r="AK203" s="180"/>
      <c r="AL203" s="180"/>
      <c r="AM203" s="180"/>
      <c r="AP203" s="644">
        <f t="shared" si="67"/>
        <v>1.1166220231560766</v>
      </c>
      <c r="AT203" s="180">
        <f t="shared" si="52"/>
        <v>2.0914786221313698E-2</v>
      </c>
    </row>
    <row r="204" spans="1:46" x14ac:dyDescent="0.25">
      <c r="A204" s="2">
        <v>44095</v>
      </c>
      <c r="B204" s="126">
        <v>8782</v>
      </c>
      <c r="C204" s="126">
        <f t="shared" si="59"/>
        <v>640147</v>
      </c>
      <c r="D204" s="126">
        <v>427</v>
      </c>
      <c r="E204" s="126">
        <f t="shared" si="65"/>
        <v>13480</v>
      </c>
      <c r="F204" s="126">
        <f t="shared" si="71"/>
        <v>10184</v>
      </c>
      <c r="G204" s="155">
        <v>508563</v>
      </c>
      <c r="H204" s="126">
        <v>3387</v>
      </c>
      <c r="I204" s="126">
        <v>18575</v>
      </c>
      <c r="J204" s="4">
        <f t="shared" si="61"/>
        <v>1719773</v>
      </c>
      <c r="K204" s="611">
        <f t="shared" si="69"/>
        <v>2.1057663317956658E-2</v>
      </c>
      <c r="L204" s="7">
        <v>949102</v>
      </c>
      <c r="M204" s="7">
        <f t="shared" si="78"/>
        <v>949102.02105766337</v>
      </c>
      <c r="N204" s="643">
        <v>6401</v>
      </c>
      <c r="O204" s="298">
        <v>138272</v>
      </c>
      <c r="P204" s="99">
        <v>417376</v>
      </c>
      <c r="Q204" s="4">
        <f t="shared" si="79"/>
        <v>78098</v>
      </c>
      <c r="R204" s="96">
        <f t="shared" si="70"/>
        <v>118104</v>
      </c>
      <c r="S204" s="35">
        <f t="shared" si="50"/>
        <v>2.8678114204429995E-2</v>
      </c>
      <c r="T204" s="28">
        <f t="shared" si="73"/>
        <v>2.5163102827115671E-2</v>
      </c>
      <c r="U204" s="91">
        <f>SUM(B191:B204)/POBLA!$B$25*100000</f>
        <v>335.25663339978013</v>
      </c>
      <c r="V204" s="91">
        <f>B204/POBLA!$B$25*100000</f>
        <v>19.35206884788267</v>
      </c>
      <c r="W204" s="625">
        <f t="shared" si="48"/>
        <v>1.109377278693306</v>
      </c>
      <c r="X204" s="28">
        <f t="shared" si="64"/>
        <v>2.8678114204429995E-2</v>
      </c>
      <c r="Y204" s="202">
        <f t="shared" si="68"/>
        <v>0.46494591263864166</v>
      </c>
      <c r="Z204" s="297">
        <f t="shared" si="75"/>
        <v>10671.571428571429</v>
      </c>
      <c r="AA204" s="179">
        <f t="shared" si="76"/>
        <v>259.14285714285717</v>
      </c>
      <c r="AB204" s="357">
        <f t="shared" si="60"/>
        <v>208.30329775714574</v>
      </c>
      <c r="AC204" s="610">
        <f t="shared" si="56"/>
        <v>-50.839559385711425</v>
      </c>
      <c r="AD204" s="610">
        <f t="shared" si="72"/>
        <v>10867.142857142857</v>
      </c>
      <c r="AE204" s="202">
        <f t="shared" si="55"/>
        <v>0.96464313847027983</v>
      </c>
      <c r="AF204" s="202">
        <f t="shared" si="53"/>
        <v>2.7911955925742138E-2</v>
      </c>
      <c r="AG204" s="4"/>
      <c r="AH204" s="202">
        <f t="shared" si="77"/>
        <v>1.177922077922078</v>
      </c>
      <c r="AI204" s="179">
        <f>MAX($B$2:B204)</f>
        <v>12701</v>
      </c>
      <c r="AJ204" s="180">
        <f t="shared" si="74"/>
        <v>2.6295952684680508E-2</v>
      </c>
      <c r="AK204" s="180"/>
      <c r="AL204" s="180"/>
      <c r="AM204" s="180"/>
      <c r="AP204" s="644">
        <f t="shared" si="67"/>
        <v>1.109377278693306</v>
      </c>
      <c r="AT204" s="180">
        <f t="shared" si="52"/>
        <v>2.1862895383144603E-2</v>
      </c>
    </row>
    <row r="205" spans="1:46" x14ac:dyDescent="0.25">
      <c r="A205" s="2">
        <v>44096</v>
      </c>
      <c r="B205" s="126">
        <v>12027</v>
      </c>
      <c r="C205" s="126">
        <f t="shared" si="59"/>
        <v>652174</v>
      </c>
      <c r="D205" s="126">
        <v>469</v>
      </c>
      <c r="E205" s="126">
        <f t="shared" si="65"/>
        <v>13949</v>
      </c>
      <c r="F205" s="126">
        <f t="shared" si="71"/>
        <v>8665</v>
      </c>
      <c r="G205" s="155">
        <v>517228</v>
      </c>
      <c r="H205" s="126">
        <v>3362</v>
      </c>
      <c r="I205" s="126">
        <v>25766</v>
      </c>
      <c r="J205" s="4">
        <f t="shared" si="61"/>
        <v>1745539</v>
      </c>
      <c r="K205" s="611">
        <f t="shared" si="69"/>
        <v>2.138846381487149E-2</v>
      </c>
      <c r="L205" s="7">
        <v>961776</v>
      </c>
      <c r="M205" s="7">
        <f t="shared" si="78"/>
        <v>961776.02138846379</v>
      </c>
      <c r="N205" s="642">
        <v>6521</v>
      </c>
      <c r="O205" s="8">
        <v>140870</v>
      </c>
      <c r="P205" s="8">
        <v>425218</v>
      </c>
      <c r="Q205" s="4">
        <f t="shared" si="79"/>
        <v>79565</v>
      </c>
      <c r="R205" s="96">
        <f t="shared" si="70"/>
        <v>120997</v>
      </c>
      <c r="S205" s="35">
        <f t="shared" si="50"/>
        <v>2.7785812871393506E-2</v>
      </c>
      <c r="T205" s="28">
        <f t="shared" si="73"/>
        <v>2.5525132621262221E-2</v>
      </c>
      <c r="U205" s="91">
        <f>SUM(B192:B205)/POBLA!$B$25*100000</f>
        <v>335.25663339978013</v>
      </c>
      <c r="V205" s="91">
        <f>B205/POBLA!$B$25*100000</f>
        <v>26.502770671086868</v>
      </c>
      <c r="W205" s="625">
        <f t="shared" ref="W205:W268" si="80">SUM(B192:B205)/SUM(B178:B191)</f>
        <v>1.0836491068121599</v>
      </c>
      <c r="X205" s="28">
        <f t="shared" si="64"/>
        <v>2.7785812871393506E-2</v>
      </c>
      <c r="Y205" s="202">
        <f t="shared" si="68"/>
        <v>0.46585865376834057</v>
      </c>
      <c r="Z205" s="297">
        <f t="shared" si="75"/>
        <v>10690.857142857143</v>
      </c>
      <c r="AA205" s="179">
        <f t="shared" si="76"/>
        <v>299.71428571428572</v>
      </c>
      <c r="AB205" s="357">
        <f t="shared" si="60"/>
        <v>213.38074296662111</v>
      </c>
      <c r="AC205" s="610">
        <f t="shared" si="56"/>
        <v>-86.333542747664609</v>
      </c>
      <c r="AD205" s="610">
        <f t="shared" si="72"/>
        <v>10867.142857142857</v>
      </c>
      <c r="AE205" s="202">
        <f t="shared" si="55"/>
        <v>0.96807409707130299</v>
      </c>
      <c r="AF205" s="202">
        <f t="shared" si="53"/>
        <v>3.2186241725243869E-2</v>
      </c>
      <c r="AG205" s="4"/>
      <c r="AH205" s="202">
        <f t="shared" si="77"/>
        <v>1.4488950276243093</v>
      </c>
      <c r="AI205" s="179">
        <f>MAX($B$2:B205)</f>
        <v>12701</v>
      </c>
      <c r="AJ205" s="180">
        <f t="shared" si="74"/>
        <v>2.9588469240966916E-2</v>
      </c>
      <c r="AK205" s="180"/>
      <c r="AL205" s="180"/>
      <c r="AM205" s="180"/>
      <c r="AP205" s="644">
        <f t="shared" si="67"/>
        <v>1.0836491068121599</v>
      </c>
      <c r="AT205" s="180">
        <f t="shared" si="52"/>
        <v>2.246629249725824E-2</v>
      </c>
    </row>
    <row r="206" spans="1:46" x14ac:dyDescent="0.25">
      <c r="A206" s="2">
        <v>44097</v>
      </c>
      <c r="B206" s="126">
        <v>12625</v>
      </c>
      <c r="C206" s="126">
        <f t="shared" si="59"/>
        <v>664799</v>
      </c>
      <c r="D206" s="126">
        <v>423</v>
      </c>
      <c r="E206" s="126">
        <f t="shared" si="65"/>
        <v>14372</v>
      </c>
      <c r="F206" s="126">
        <f t="shared" si="71"/>
        <v>8258</v>
      </c>
      <c r="G206" s="155">
        <v>525486</v>
      </c>
      <c r="H206" s="126">
        <v>3511</v>
      </c>
      <c r="I206" s="126">
        <v>24903</v>
      </c>
      <c r="J206" s="4">
        <f t="shared" si="61"/>
        <v>1770442</v>
      </c>
      <c r="K206" s="611">
        <f t="shared" si="69"/>
        <v>2.1618564408189545E-2</v>
      </c>
      <c r="L206" s="7">
        <v>974788</v>
      </c>
      <c r="M206" s="7">
        <f t="shared" si="78"/>
        <v>974788.02161856438</v>
      </c>
      <c r="N206" s="642">
        <v>6647</v>
      </c>
      <c r="O206" s="8">
        <v>143597</v>
      </c>
      <c r="P206" s="8">
        <v>433450</v>
      </c>
      <c r="Q206" s="4">
        <f t="shared" si="79"/>
        <v>81105</v>
      </c>
      <c r="R206" s="96">
        <f t="shared" si="70"/>
        <v>124941</v>
      </c>
      <c r="S206" s="35">
        <f t="shared" ref="S206:S245" si="81">H206/(C206-E206-G206)</f>
        <v>2.8101263796511955E-2</v>
      </c>
      <c r="T206" s="28">
        <f t="shared" si="73"/>
        <v>2.5870464073500056E-2</v>
      </c>
      <c r="U206" s="91">
        <f>SUM(B193:B206)/POBLA!$B$25*100000</f>
        <v>336.06315323561768</v>
      </c>
      <c r="V206" s="91">
        <f>B206/POBLA!$B$25*100000</f>
        <v>27.820527124176575</v>
      </c>
      <c r="W206" s="625">
        <f t="shared" si="80"/>
        <v>1.0731923577636255</v>
      </c>
      <c r="X206" s="28">
        <f t="shared" si="64"/>
        <v>2.8101263796511955E-2</v>
      </c>
      <c r="Y206" s="202">
        <f t="shared" si="68"/>
        <v>0.47330785276226878</v>
      </c>
      <c r="Z206" s="297">
        <f t="shared" si="75"/>
        <v>10826.714285714286</v>
      </c>
      <c r="AA206" s="179">
        <f t="shared" si="76"/>
        <v>322.42857142857144</v>
      </c>
      <c r="AB206" s="357">
        <f t="shared" si="60"/>
        <v>217.30045027245848</v>
      </c>
      <c r="AC206" s="610">
        <f t="shared" si="56"/>
        <v>-105.12812115611297</v>
      </c>
      <c r="AD206" s="610">
        <f t="shared" si="72"/>
        <v>10893.285714285714</v>
      </c>
      <c r="AE206" s="202">
        <f t="shared" si="55"/>
        <v>0.98785177074779396</v>
      </c>
      <c r="AF206" s="202">
        <f t="shared" si="53"/>
        <v>3.6424720033181313E-2</v>
      </c>
      <c r="AG206" s="4"/>
      <c r="AH206" s="202">
        <f t="shared" si="77"/>
        <v>1.5480109739368999</v>
      </c>
      <c r="AI206" s="179">
        <f>MAX($B$2:B206)</f>
        <v>12701</v>
      </c>
      <c r="AJ206" s="180">
        <f t="shared" si="74"/>
        <v>3.2301461222503686E-2</v>
      </c>
      <c r="AK206" s="180"/>
      <c r="AL206" s="180"/>
      <c r="AM206" s="180"/>
      <c r="AP206" s="644">
        <f t="shared" si="67"/>
        <v>1.0731923577636255</v>
      </c>
      <c r="AT206" s="180">
        <f t="shared" si="52"/>
        <v>2.2320120280825147E-2</v>
      </c>
    </row>
    <row r="207" spans="1:46" x14ac:dyDescent="0.25">
      <c r="A207" s="2">
        <v>44098</v>
      </c>
      <c r="B207" s="135">
        <v>13467</v>
      </c>
      <c r="C207" s="136">
        <f t="shared" si="59"/>
        <v>678266</v>
      </c>
      <c r="D207" s="126">
        <v>391</v>
      </c>
      <c r="E207" s="126">
        <f t="shared" si="65"/>
        <v>14763</v>
      </c>
      <c r="F207" s="126">
        <f t="shared" si="71"/>
        <v>11103</v>
      </c>
      <c r="G207" s="155">
        <v>536589</v>
      </c>
      <c r="H207" s="126">
        <v>3527</v>
      </c>
      <c r="I207" s="126">
        <v>27253</v>
      </c>
      <c r="J207" s="4">
        <f t="shared" si="61"/>
        <v>1797695</v>
      </c>
      <c r="K207" s="611">
        <f t="shared" si="69"/>
        <v>2.17657968997414E-2</v>
      </c>
      <c r="L207" s="7">
        <v>988976</v>
      </c>
      <c r="M207" s="4">
        <f t="shared" si="78"/>
        <v>988976.02176579693</v>
      </c>
      <c r="N207" s="642">
        <v>6740</v>
      </c>
      <c r="O207" s="8">
        <v>143045</v>
      </c>
      <c r="P207" s="8">
        <v>449054</v>
      </c>
      <c r="Q207" s="4">
        <f t="shared" si="79"/>
        <v>79427</v>
      </c>
      <c r="R207" s="96">
        <f t="shared" si="70"/>
        <v>126914</v>
      </c>
      <c r="S207" s="35">
        <f t="shared" si="81"/>
        <v>2.7790472288321225E-2</v>
      </c>
      <c r="T207" s="28">
        <f t="shared" si="73"/>
        <v>2.6108593924088243E-2</v>
      </c>
      <c r="U207" s="91">
        <f>SUM(B194:B207)/POBLA!$B$25*100000</f>
        <v>339.50518597763454</v>
      </c>
      <c r="V207" s="91">
        <f>B207/POBLA!$B$25*100000</f>
        <v>29.675963467824626</v>
      </c>
      <c r="W207" s="625">
        <f t="shared" si="80"/>
        <v>1.0706155407001794</v>
      </c>
      <c r="X207" s="28">
        <f t="shared" si="64"/>
        <v>2.7790472288321225E-2</v>
      </c>
      <c r="Y207" s="202">
        <f t="shared" si="68"/>
        <v>0.48224792430484686</v>
      </c>
      <c r="Z207" s="297">
        <f t="shared" si="75"/>
        <v>10936.142857142857</v>
      </c>
      <c r="AA207" s="179">
        <f t="shared" si="76"/>
        <v>329</v>
      </c>
      <c r="AB207" s="357">
        <f t="shared" si="60"/>
        <v>216.98752870371231</v>
      </c>
      <c r="AC207" s="610">
        <f t="shared" si="56"/>
        <v>-112.01247129628769</v>
      </c>
      <c r="AD207" s="610">
        <f t="shared" si="72"/>
        <v>11004.857142857143</v>
      </c>
      <c r="AE207" s="202">
        <f t="shared" si="55"/>
        <v>0.98758949880668245</v>
      </c>
      <c r="AF207" s="202">
        <f t="shared" si="53"/>
        <v>4.0560151516393805E-2</v>
      </c>
      <c r="AG207" s="4"/>
      <c r="AH207" s="202">
        <f t="shared" si="77"/>
        <v>1.4829362524146812</v>
      </c>
      <c r="AI207" s="179">
        <f>MAX($B$2:B207)</f>
        <v>13467</v>
      </c>
      <c r="AJ207" s="180">
        <f t="shared" si="74"/>
        <v>3.2635651225076875E-2</v>
      </c>
      <c r="AK207" s="180"/>
      <c r="AL207" s="180"/>
      <c r="AM207" s="180"/>
      <c r="AP207" s="644">
        <f t="shared" si="67"/>
        <v>1.0706155407001794</v>
      </c>
      <c r="AT207" s="180">
        <f t="shared" si="52"/>
        <v>2.2596884140753479E-2</v>
      </c>
    </row>
    <row r="208" spans="1:46" x14ac:dyDescent="0.25">
      <c r="A208" s="2">
        <v>44099</v>
      </c>
      <c r="B208" s="126">
        <v>12969</v>
      </c>
      <c r="C208" s="126">
        <f t="shared" si="59"/>
        <v>691235</v>
      </c>
      <c r="D208" s="126">
        <v>442</v>
      </c>
      <c r="E208" s="126">
        <f t="shared" si="65"/>
        <v>15205</v>
      </c>
      <c r="F208" s="126">
        <f t="shared" si="71"/>
        <v>10335</v>
      </c>
      <c r="G208" s="155">
        <v>546924</v>
      </c>
      <c r="H208" s="126">
        <v>3595</v>
      </c>
      <c r="I208" s="126">
        <v>25098</v>
      </c>
      <c r="J208" s="4">
        <f t="shared" si="61"/>
        <v>1822793</v>
      </c>
      <c r="K208" s="611">
        <f t="shared" si="69"/>
        <v>2.1996860691371242E-2</v>
      </c>
      <c r="L208" s="7">
        <v>1001959</v>
      </c>
      <c r="M208" s="4">
        <f t="shared" si="78"/>
        <v>1001959.0219968607</v>
      </c>
      <c r="N208" s="642">
        <v>6798</v>
      </c>
      <c r="O208" s="8">
        <v>145075</v>
      </c>
      <c r="P208" s="8">
        <v>458440</v>
      </c>
      <c r="Q208" s="4">
        <f t="shared" si="79"/>
        <v>80922</v>
      </c>
      <c r="R208" s="96">
        <f t="shared" si="70"/>
        <v>129106</v>
      </c>
      <c r="S208" s="35">
        <f t="shared" si="81"/>
        <v>2.7845336390252971E-2</v>
      </c>
      <c r="T208" s="28">
        <f t="shared" si="73"/>
        <v>2.633639220006305E-2</v>
      </c>
      <c r="U208" s="91">
        <f>SUM(B195:B208)/POBLA!$B$25*100000</f>
        <v>342.72685810876698</v>
      </c>
      <c r="V208" s="91">
        <f>B208/POBLA!$B$25*100000</f>
        <v>28.578567625619485</v>
      </c>
      <c r="W208" s="625">
        <f t="shared" si="80"/>
        <v>1.082354414875849</v>
      </c>
      <c r="X208" s="28">
        <f t="shared" si="64"/>
        <v>2.7845336390252971E-2</v>
      </c>
      <c r="Y208" s="202">
        <f t="shared" si="68"/>
        <v>0.49055279432408849</v>
      </c>
      <c r="Z208" s="297">
        <f t="shared" si="75"/>
        <v>11082.428571428571</v>
      </c>
      <c r="AA208" s="179">
        <f t="shared" si="76"/>
        <v>364</v>
      </c>
      <c r="AB208" s="357">
        <f t="shared" si="60"/>
        <v>219.46481845685327</v>
      </c>
      <c r="AC208" s="610">
        <f t="shared" si="56"/>
        <v>-144.53518154314673</v>
      </c>
      <c r="AD208" s="610">
        <f t="shared" si="72"/>
        <v>11109.285714285714</v>
      </c>
      <c r="AE208" s="202">
        <f t="shared" si="55"/>
        <v>0.99517658076020166</v>
      </c>
      <c r="AF208" s="202">
        <f t="shared" si="53"/>
        <v>5.0291236861800703E-2</v>
      </c>
      <c r="AG208" s="4"/>
      <c r="AH208" s="202">
        <f t="shared" si="77"/>
        <v>1.6885354539430084</v>
      </c>
      <c r="AI208" s="179">
        <f>MAX($B$2:B208)</f>
        <v>13467</v>
      </c>
      <c r="AJ208" s="180">
        <f t="shared" si="74"/>
        <v>3.6210669925816445E-2</v>
      </c>
      <c r="AK208" s="180"/>
      <c r="AL208" s="180"/>
      <c r="AM208" s="180"/>
      <c r="AP208" s="644">
        <f t="shared" si="67"/>
        <v>1.082354414875849</v>
      </c>
      <c r="AT208" s="180">
        <f t="shared" ref="AT208:AT271" si="82">SUM(D179:D208)/SUM(B179:B208)</f>
        <v>2.2943681143259398E-2</v>
      </c>
    </row>
    <row r="209" spans="1:46" x14ac:dyDescent="0.25">
      <c r="A209" s="2">
        <v>44100</v>
      </c>
      <c r="B209" s="126">
        <v>11249</v>
      </c>
      <c r="C209" s="126">
        <f t="shared" si="59"/>
        <v>702484</v>
      </c>
      <c r="D209" s="126">
        <v>337</v>
      </c>
      <c r="E209" s="126">
        <f t="shared" si="65"/>
        <v>15542</v>
      </c>
      <c r="F209" s="126">
        <f t="shared" si="71"/>
        <v>9565</v>
      </c>
      <c r="G209" s="155">
        <v>556489</v>
      </c>
      <c r="H209" s="126">
        <v>3633</v>
      </c>
      <c r="I209" s="126">
        <v>22101</v>
      </c>
      <c r="J209" s="4">
        <f t="shared" si="61"/>
        <v>1844894</v>
      </c>
      <c r="K209" s="611">
        <f t="shared" si="69"/>
        <v>2.2124347316095454E-2</v>
      </c>
      <c r="L209" s="7">
        <v>1014163</v>
      </c>
      <c r="M209" s="4">
        <f t="shared" si="78"/>
        <v>1014163.0221243473</v>
      </c>
      <c r="N209" s="642">
        <v>6835</v>
      </c>
      <c r="O209" s="8">
        <v>146416</v>
      </c>
      <c r="P209" s="8">
        <v>464913</v>
      </c>
      <c r="Q209" s="4">
        <f t="shared" si="79"/>
        <v>84320</v>
      </c>
      <c r="R209" s="96">
        <f t="shared" si="70"/>
        <v>130453</v>
      </c>
      <c r="S209" s="35">
        <f t="shared" si="81"/>
        <v>2.7849110407579741E-2</v>
      </c>
      <c r="T209" s="28">
        <f t="shared" si="73"/>
        <v>2.6386559187249158E-2</v>
      </c>
      <c r="U209" s="91">
        <f>SUM(B196:B209)/POBLA!$B$25*100000</f>
        <v>343.76916379825093</v>
      </c>
      <c r="V209" s="91">
        <f>B209/POBLA!$B$25*100000</f>
        <v>24.788365118404936</v>
      </c>
      <c r="W209" s="625">
        <f t="shared" si="80"/>
        <v>1.0740901392159292</v>
      </c>
      <c r="X209" s="28">
        <f t="shared" si="64"/>
        <v>2.7849110407579741E-2</v>
      </c>
      <c r="Y209" s="202">
        <f t="shared" si="68"/>
        <v>0.49984291548853282</v>
      </c>
      <c r="Z209" s="297">
        <f t="shared" si="75"/>
        <v>11364.285714285714</v>
      </c>
      <c r="AA209" s="179">
        <f t="shared" si="76"/>
        <v>391.71428571428572</v>
      </c>
      <c r="AB209" s="357">
        <f t="shared" si="60"/>
        <v>219.86505477775074</v>
      </c>
      <c r="AC209" s="610">
        <f t="shared" si="56"/>
        <v>-171.84923093653498</v>
      </c>
      <c r="AD209" s="610">
        <f t="shared" si="72"/>
        <v>11143.071428571429</v>
      </c>
      <c r="AE209" s="202">
        <f t="shared" si="55"/>
        <v>1.0405085477352098</v>
      </c>
      <c r="AF209" s="202">
        <f t="shared" ref="AF209:AF272" si="83">R209/R202-1</f>
        <v>7.0137732459414348E-2</v>
      </c>
      <c r="AG209" s="4"/>
      <c r="AH209" s="202">
        <f t="shared" si="77"/>
        <v>1.7839947950553026</v>
      </c>
      <c r="AI209" s="179">
        <f>MAX($B$2:B209)</f>
        <v>13467</v>
      </c>
      <c r="AJ209" s="180">
        <f t="shared" si="74"/>
        <v>3.9019808743169397E-2</v>
      </c>
      <c r="AK209" s="180"/>
      <c r="AL209" s="180"/>
      <c r="AM209" s="180"/>
      <c r="AP209" s="644">
        <f t="shared" si="67"/>
        <v>1.0740901392159292</v>
      </c>
      <c r="AT209" s="180">
        <f t="shared" si="82"/>
        <v>2.3253215474003081E-2</v>
      </c>
    </row>
    <row r="210" spans="1:46" x14ac:dyDescent="0.25">
      <c r="A210" s="2">
        <v>44101</v>
      </c>
      <c r="B210" s="126">
        <v>8841</v>
      </c>
      <c r="C210" s="126">
        <f t="shared" si="59"/>
        <v>711325</v>
      </c>
      <c r="D210" s="126">
        <v>206</v>
      </c>
      <c r="E210" s="126">
        <f t="shared" si="65"/>
        <v>15748</v>
      </c>
      <c r="F210" s="126">
        <f t="shared" si="71"/>
        <v>9446</v>
      </c>
      <c r="G210" s="155">
        <v>565935</v>
      </c>
      <c r="H210" s="126">
        <v>3604</v>
      </c>
      <c r="I210" s="126">
        <v>15171</v>
      </c>
      <c r="J210" s="4">
        <f t="shared" si="61"/>
        <v>1860065</v>
      </c>
      <c r="K210" s="611">
        <f t="shared" si="69"/>
        <v>2.2138966014128562E-2</v>
      </c>
      <c r="L210" s="7">
        <v>1021244</v>
      </c>
      <c r="M210" s="4">
        <f t="shared" si="78"/>
        <v>1021244.022138966</v>
      </c>
      <c r="N210" s="642">
        <v>6874</v>
      </c>
      <c r="O210" s="8">
        <v>147538</v>
      </c>
      <c r="P210" s="8">
        <v>469799</v>
      </c>
      <c r="Q210" s="4">
        <f t="shared" si="79"/>
        <v>87114</v>
      </c>
      <c r="R210" s="96">
        <f t="shared" si="70"/>
        <v>129642</v>
      </c>
      <c r="S210" s="35">
        <f t="shared" si="81"/>
        <v>2.779963283503803E-2</v>
      </c>
      <c r="T210" s="28">
        <f t="shared" si="73"/>
        <v>2.6171945761517535E-2</v>
      </c>
      <c r="U210" s="91">
        <f>SUM(B197:B210)/POBLA!$B$25*100000</f>
        <v>343.29538848484913</v>
      </c>
      <c r="V210" s="91">
        <f>B210/POBLA!$B$25*100000</f>
        <v>19.482081608304561</v>
      </c>
      <c r="W210" s="625">
        <f t="shared" si="80"/>
        <v>1.0589826729476381</v>
      </c>
      <c r="X210" s="28">
        <f t="shared" si="64"/>
        <v>2.779963283503803E-2</v>
      </c>
      <c r="Y210" s="202">
        <f t="shared" si="68"/>
        <v>0.50331409292049323</v>
      </c>
      <c r="Z210" s="297">
        <f t="shared" si="75"/>
        <v>11422.857142857143</v>
      </c>
      <c r="AA210" s="179">
        <f t="shared" si="76"/>
        <v>385</v>
      </c>
      <c r="AB210" s="357">
        <f t="shared" si="60"/>
        <v>224.03271583556605</v>
      </c>
      <c r="AC210" s="610">
        <f t="shared" si="56"/>
        <v>-160.96728416443395</v>
      </c>
      <c r="AD210" s="610">
        <f t="shared" si="72"/>
        <v>11127.714285714286</v>
      </c>
      <c r="AE210" s="202">
        <f t="shared" si="55"/>
        <v>1.0544917444743367</v>
      </c>
      <c r="AF210" s="202">
        <f t="shared" si="83"/>
        <v>8.0953532388917226E-2</v>
      </c>
      <c r="AG210" s="4"/>
      <c r="AH210" s="202">
        <f t="shared" si="77"/>
        <v>1.5843621399176955</v>
      </c>
      <c r="AI210" s="179">
        <f>MAX($B$2:B210)</f>
        <v>13467</v>
      </c>
      <c r="AJ210" s="180">
        <f t="shared" si="74"/>
        <v>3.7537432968869702E-2</v>
      </c>
      <c r="AK210" s="180"/>
      <c r="AL210" s="180"/>
      <c r="AM210" s="180"/>
      <c r="AP210" s="644">
        <f t="shared" si="67"/>
        <v>1.0589826729476381</v>
      </c>
      <c r="AT210" s="180">
        <f t="shared" si="82"/>
        <v>2.3412544313470042E-2</v>
      </c>
    </row>
    <row r="211" spans="1:46" x14ac:dyDescent="0.25">
      <c r="A211" s="2">
        <v>44102</v>
      </c>
      <c r="B211" s="126">
        <v>11807</v>
      </c>
      <c r="C211" s="126">
        <f t="shared" si="59"/>
        <v>723132</v>
      </c>
      <c r="D211" s="126">
        <v>365</v>
      </c>
      <c r="E211" s="126">
        <f t="shared" si="65"/>
        <v>16113</v>
      </c>
      <c r="F211" s="126">
        <f t="shared" si="71"/>
        <v>10780</v>
      </c>
      <c r="G211" s="155">
        <v>576715</v>
      </c>
      <c r="H211" s="126">
        <v>3678</v>
      </c>
      <c r="I211" s="126">
        <v>21356</v>
      </c>
      <c r="J211" s="4">
        <f t="shared" si="61"/>
        <v>1881421</v>
      </c>
      <c r="K211" s="611">
        <f t="shared" si="69"/>
        <v>2.2282238927332769E-2</v>
      </c>
      <c r="L211" s="7">
        <v>1031143</v>
      </c>
      <c r="M211" s="4">
        <f t="shared" si="78"/>
        <v>1031143.0222822389</v>
      </c>
      <c r="N211" s="642">
        <v>6984</v>
      </c>
      <c r="O211" s="8">
        <v>149538</v>
      </c>
      <c r="P211" s="8">
        <v>478119</v>
      </c>
      <c r="Q211" s="4">
        <f t="shared" si="79"/>
        <v>88491</v>
      </c>
      <c r="R211" s="96">
        <f t="shared" si="70"/>
        <v>130304</v>
      </c>
      <c r="S211" s="35">
        <f t="shared" si="81"/>
        <v>2.8226301571709234E-2</v>
      </c>
      <c r="T211" s="28">
        <f t="shared" si="73"/>
        <v>2.6257296409400676E-2</v>
      </c>
      <c r="U211" s="91">
        <f>SUM(B198:B211)/POBLA!$B$25*100000</f>
        <v>347.47783287943821</v>
      </c>
      <c r="V211" s="91">
        <f>B211/POBLA!$B$25*100000</f>
        <v>26.017977327140819</v>
      </c>
      <c r="W211" s="625">
        <f t="shared" si="80"/>
        <v>1.0675305156691106</v>
      </c>
      <c r="X211" s="28">
        <f t="shared" si="64"/>
        <v>2.8226301571709234E-2</v>
      </c>
      <c r="Y211" s="202">
        <f t="shared" si="68"/>
        <v>0.51336855389488267</v>
      </c>
      <c r="Z211" s="297">
        <f t="shared" si="75"/>
        <v>11855</v>
      </c>
      <c r="AA211" s="179">
        <f t="shared" si="76"/>
        <v>376.14285714285717</v>
      </c>
      <c r="AB211" s="357">
        <f t="shared" si="60"/>
        <v>228.24040643517307</v>
      </c>
      <c r="AC211" s="610">
        <f t="shared" si="56"/>
        <v>-147.9024507076841</v>
      </c>
      <c r="AD211" s="610">
        <f t="shared" si="72"/>
        <v>11263.285714285714</v>
      </c>
      <c r="AE211" s="202">
        <f t="shared" si="55"/>
        <v>1.1108954364734072</v>
      </c>
      <c r="AF211" s="202">
        <f t="shared" si="83"/>
        <v>0.10329878750931387</v>
      </c>
      <c r="AG211" s="4"/>
      <c r="AH211" s="202">
        <f t="shared" si="77"/>
        <v>1.4514884233737595</v>
      </c>
      <c r="AI211" s="179">
        <f>MAX($B$2:B211)</f>
        <v>13467</v>
      </c>
      <c r="AJ211" s="180">
        <f t="shared" si="74"/>
        <v>3.6008807319374739E-2</v>
      </c>
      <c r="AK211" s="180"/>
      <c r="AL211" s="180"/>
      <c r="AM211" s="180"/>
      <c r="AP211" s="644">
        <f t="shared" si="67"/>
        <v>1.0675305156691106</v>
      </c>
      <c r="AT211" s="180">
        <f t="shared" si="82"/>
        <v>2.4107389722671818E-2</v>
      </c>
    </row>
    <row r="212" spans="1:46" x14ac:dyDescent="0.25">
      <c r="A212" s="2">
        <v>44103</v>
      </c>
      <c r="B212" s="126">
        <v>13477</v>
      </c>
      <c r="C212" s="126">
        <f t="shared" si="59"/>
        <v>736609</v>
      </c>
      <c r="D212" s="126">
        <v>405</v>
      </c>
      <c r="E212" s="126">
        <f t="shared" si="65"/>
        <v>16518</v>
      </c>
      <c r="F212" s="126">
        <f t="shared" si="71"/>
        <v>9142</v>
      </c>
      <c r="G212" s="155">
        <v>585857</v>
      </c>
      <c r="H212" s="126">
        <v>3768</v>
      </c>
      <c r="I212" s="126">
        <v>25072</v>
      </c>
      <c r="J212" s="4">
        <f t="shared" si="61"/>
        <v>1906493</v>
      </c>
      <c r="K212" s="611">
        <f t="shared" si="69"/>
        <v>2.2424379827018132E-2</v>
      </c>
      <c r="L212" s="7">
        <v>1043210</v>
      </c>
      <c r="M212" s="4">
        <f t="shared" si="78"/>
        <v>1043210.0224243798</v>
      </c>
      <c r="N212" s="642">
        <v>7083</v>
      </c>
      <c r="O212" s="8">
        <v>151787</v>
      </c>
      <c r="P212" s="8">
        <v>487971</v>
      </c>
      <c r="Q212" s="4">
        <f t="shared" si="79"/>
        <v>89768</v>
      </c>
      <c r="R212" s="96">
        <f t="shared" si="70"/>
        <v>134234</v>
      </c>
      <c r="S212" s="35">
        <f t="shared" si="81"/>
        <v>2.8070384552348882E-2</v>
      </c>
      <c r="T212" s="28">
        <f t="shared" si="73"/>
        <v>2.6516452786330493E-2</v>
      </c>
      <c r="U212" s="91">
        <f>SUM(B199:B212)/POBLA!$B$25*100000</f>
        <v>350.97054856195859</v>
      </c>
      <c r="V212" s="91">
        <f>B212/POBLA!$B$25*100000</f>
        <v>29.697999528913083</v>
      </c>
      <c r="W212" s="625">
        <f t="shared" si="80"/>
        <v>1.0682231269156734</v>
      </c>
      <c r="X212" s="28">
        <f t="shared" si="64"/>
        <v>2.8070384552348882E-2</v>
      </c>
      <c r="Y212" s="202">
        <f t="shared" si="68"/>
        <v>0.52459087689650463</v>
      </c>
      <c r="Z212" s="297">
        <f t="shared" si="75"/>
        <v>12062.142857142857</v>
      </c>
      <c r="AA212" s="179">
        <f t="shared" si="76"/>
        <v>367</v>
      </c>
      <c r="AB212" s="357">
        <f t="shared" si="60"/>
        <v>226.68813069640311</v>
      </c>
      <c r="AC212" s="610">
        <f t="shared" si="56"/>
        <v>-140.31186930359689</v>
      </c>
      <c r="AD212" s="610">
        <f t="shared" si="72"/>
        <v>11376.5</v>
      </c>
      <c r="AE212" s="202">
        <f t="shared" si="55"/>
        <v>1.1282671441552194</v>
      </c>
      <c r="AF212" s="202">
        <f t="shared" si="83"/>
        <v>0.10939940659685776</v>
      </c>
      <c r="AG212" s="4"/>
      <c r="AH212" s="202">
        <f t="shared" si="77"/>
        <v>1.2244995233555767</v>
      </c>
      <c r="AI212" s="179">
        <f>MAX($B$2:B212)</f>
        <v>13477</v>
      </c>
      <c r="AJ212" s="180">
        <f t="shared" si="74"/>
        <v>3.5191780821917804E-2</v>
      </c>
      <c r="AK212" s="180"/>
      <c r="AL212" s="180"/>
      <c r="AM212" s="180"/>
      <c r="AP212" s="644">
        <f t="shared" si="67"/>
        <v>1.0682231269156734</v>
      </c>
      <c r="AT212" s="180">
        <f t="shared" si="82"/>
        <v>2.4565562506284604E-2</v>
      </c>
    </row>
    <row r="213" spans="1:46" x14ac:dyDescent="0.25">
      <c r="A213" s="2">
        <v>44104</v>
      </c>
      <c r="B213" s="126">
        <v>14392</v>
      </c>
      <c r="C213" s="126">
        <f t="shared" si="59"/>
        <v>751001</v>
      </c>
      <c r="D213" s="126">
        <v>418</v>
      </c>
      <c r="E213" s="126">
        <f t="shared" si="65"/>
        <v>16936</v>
      </c>
      <c r="F213" s="126">
        <f t="shared" si="71"/>
        <v>8788</v>
      </c>
      <c r="G213" s="155">
        <v>594645</v>
      </c>
      <c r="H213" s="126">
        <v>3792</v>
      </c>
      <c r="I213" s="126">
        <v>26524</v>
      </c>
      <c r="J213" s="4">
        <f t="shared" si="61"/>
        <v>1933017</v>
      </c>
      <c r="K213" s="611">
        <f t="shared" si="69"/>
        <v>2.2551234951751063E-2</v>
      </c>
      <c r="L213" s="8">
        <v>1055774</v>
      </c>
      <c r="M213" s="4">
        <f t="shared" si="78"/>
        <v>1055774.022551235</v>
      </c>
      <c r="N213" s="642">
        <v>7162</v>
      </c>
      <c r="O213" s="8">
        <v>153949</v>
      </c>
      <c r="P213" s="8">
        <v>498519</v>
      </c>
      <c r="Q213" s="4">
        <f t="shared" si="79"/>
        <v>91371</v>
      </c>
      <c r="R213" s="96">
        <f t="shared" si="70"/>
        <v>139420</v>
      </c>
      <c r="S213" s="35">
        <f t="shared" si="81"/>
        <v>2.7198393343853107E-2</v>
      </c>
      <c r="T213" s="28">
        <f t="shared" si="73"/>
        <v>2.682442010564412E-2</v>
      </c>
      <c r="U213" s="91">
        <f>SUM(B200:B213)/POBLA!$B$25*100000</f>
        <v>356.95994996580112</v>
      </c>
      <c r="V213" s="91">
        <f>B213/POBLA!$B$25*100000</f>
        <v>31.714299118506872</v>
      </c>
      <c r="W213" s="625">
        <f t="shared" si="80"/>
        <v>1.0810798184730379</v>
      </c>
      <c r="X213" s="28">
        <f t="shared" si="64"/>
        <v>2.7198393343853107E-2</v>
      </c>
      <c r="Y213" s="202">
        <f t="shared" si="68"/>
        <v>0.53022912501922193</v>
      </c>
      <c r="Z213" s="297">
        <f t="shared" si="75"/>
        <v>12314.571428571429</v>
      </c>
      <c r="AA213" s="179">
        <f t="shared" si="76"/>
        <v>366.28571428571428</v>
      </c>
      <c r="AB213" s="357">
        <f t="shared" si="60"/>
        <v>225.42608518283888</v>
      </c>
      <c r="AC213" s="610">
        <f t="shared" si="56"/>
        <v>-140.8596291028754</v>
      </c>
      <c r="AD213" s="610">
        <f t="shared" si="72"/>
        <v>11570.642857142857</v>
      </c>
      <c r="AE213" s="202">
        <f t="shared" ref="AE213:AE276" si="84">Z213/Z206</f>
        <v>1.1374246242759312</v>
      </c>
      <c r="AF213" s="202">
        <f t="shared" si="83"/>
        <v>0.11588669852170219</v>
      </c>
      <c r="AG213" s="4"/>
      <c r="AH213" s="202">
        <f t="shared" si="77"/>
        <v>1.1360212671688081</v>
      </c>
      <c r="AI213" s="179">
        <f>MAX($B$2:B213)</f>
        <v>14392</v>
      </c>
      <c r="AJ213" s="180">
        <f t="shared" si="74"/>
        <v>3.4731723175704048E-2</v>
      </c>
      <c r="AK213" s="180"/>
      <c r="AL213" s="202">
        <f t="shared" ref="AL213:AL276" si="85">H213/H206</f>
        <v>1.0800341782967815</v>
      </c>
      <c r="AM213" s="202">
        <f t="shared" ref="AM213:AM276" si="86">AA213/AA206</f>
        <v>1.1360212671688081</v>
      </c>
      <c r="AP213" s="644">
        <f t="shared" si="67"/>
        <v>1.0810798184730379</v>
      </c>
      <c r="AT213" s="180">
        <f t="shared" si="82"/>
        <v>2.4836016875408831E-2</v>
      </c>
    </row>
    <row r="214" spans="1:46" x14ac:dyDescent="0.25">
      <c r="A214" s="2">
        <v>44105</v>
      </c>
      <c r="B214" s="126">
        <v>14001</v>
      </c>
      <c r="C214" s="126">
        <f t="shared" si="59"/>
        <v>765002</v>
      </c>
      <c r="D214" s="139">
        <v>3351</v>
      </c>
      <c r="E214" s="126">
        <f t="shared" si="65"/>
        <v>20287</v>
      </c>
      <c r="F214" s="126">
        <f t="shared" si="71"/>
        <v>8495</v>
      </c>
      <c r="G214" s="155">
        <v>603140</v>
      </c>
      <c r="H214" s="126">
        <v>3799</v>
      </c>
      <c r="I214" s="126">
        <v>26662</v>
      </c>
      <c r="J214" s="4">
        <f t="shared" si="61"/>
        <v>1959679</v>
      </c>
      <c r="K214" s="611">
        <f t="shared" si="69"/>
        <v>2.6518884917947926E-2</v>
      </c>
      <c r="L214" s="8">
        <v>1068705</v>
      </c>
      <c r="M214" s="4">
        <f t="shared" si="78"/>
        <v>1068705.0265188848</v>
      </c>
      <c r="N214" s="642">
        <v>7226</v>
      </c>
      <c r="O214" s="8">
        <v>155848</v>
      </c>
      <c r="P214" s="8">
        <v>508945</v>
      </c>
      <c r="Q214" s="4">
        <f t="shared" si="79"/>
        <v>92983</v>
      </c>
      <c r="R214" s="96">
        <f t="shared" si="70"/>
        <v>141575</v>
      </c>
      <c r="S214" s="35">
        <f t="shared" si="81"/>
        <v>2.6833833657072224E-2</v>
      </c>
      <c r="T214" s="28">
        <f t="shared" si="73"/>
        <v>3.1691158437046493E-2</v>
      </c>
      <c r="U214" s="91">
        <f>SUM(B201:B214)/POBLA!$B$25*100000</f>
        <v>359.82463790730048</v>
      </c>
      <c r="V214" s="91">
        <f>B214/POBLA!$B$25*100000</f>
        <v>30.852689129948217</v>
      </c>
      <c r="W214" s="625">
        <f t="shared" si="80"/>
        <v>1.0848686177457396</v>
      </c>
      <c r="X214" s="28">
        <f t="shared" si="64"/>
        <v>2.6833833657072224E-2</v>
      </c>
      <c r="Y214" s="202">
        <f t="shared" si="68"/>
        <v>0.5354602923745555</v>
      </c>
      <c r="Z214" s="297">
        <f t="shared" si="75"/>
        <v>12390.857142857143</v>
      </c>
      <c r="AA214" s="179">
        <f t="shared" si="76"/>
        <v>789.14285714285711</v>
      </c>
      <c r="AB214" s="357">
        <f t="shared" si="60"/>
        <v>229.30649661881995</v>
      </c>
      <c r="AC214" s="610">
        <f t="shared" ref="AC214:AC277" si="87">AB214-AA214</f>
        <v>-559.83636052403722</v>
      </c>
      <c r="AD214" s="610">
        <f t="shared" si="72"/>
        <v>11663.5</v>
      </c>
      <c r="AE214" s="202">
        <f t="shared" si="84"/>
        <v>1.1330189541886013</v>
      </c>
      <c r="AF214" s="202">
        <f t="shared" si="83"/>
        <v>0.11551917046188764</v>
      </c>
      <c r="AG214" s="4"/>
      <c r="AH214" s="202">
        <f t="shared" si="77"/>
        <v>2.3986105080330002</v>
      </c>
      <c r="AI214" s="179">
        <f>MAX($B$2:B214)</f>
        <v>14392</v>
      </c>
      <c r="AJ214" s="180">
        <f t="shared" si="74"/>
        <v>7.3973886842986267E-2</v>
      </c>
      <c r="AK214" s="180"/>
      <c r="AL214" s="202">
        <f t="shared" si="85"/>
        <v>1.0771193648993478</v>
      </c>
      <c r="AM214" s="202">
        <f t="shared" si="86"/>
        <v>2.3986105080330002</v>
      </c>
      <c r="AP214" s="644">
        <f t="shared" si="67"/>
        <v>1.0848686177457396</v>
      </c>
      <c r="AT214" s="180">
        <f t="shared" si="82"/>
        <v>3.3759646992098304E-2</v>
      </c>
    </row>
    <row r="215" spans="1:46" x14ac:dyDescent="0.25">
      <c r="A215" s="2">
        <v>44106</v>
      </c>
      <c r="B215" s="135">
        <v>14687</v>
      </c>
      <c r="C215" s="126">
        <f t="shared" si="59"/>
        <v>779689</v>
      </c>
      <c r="D215" s="126">
        <v>309</v>
      </c>
      <c r="E215" s="126">
        <f t="shared" si="65"/>
        <v>20596</v>
      </c>
      <c r="F215" s="126">
        <f t="shared" si="71"/>
        <v>11375</v>
      </c>
      <c r="G215" s="155">
        <v>614515</v>
      </c>
      <c r="H215" s="126">
        <v>3828</v>
      </c>
      <c r="I215" s="126">
        <v>27537</v>
      </c>
      <c r="J215" s="4">
        <f t="shared" si="61"/>
        <v>1987216</v>
      </c>
      <c r="K215" s="611">
        <f t="shared" si="69"/>
        <v>2.6415660603137919E-2</v>
      </c>
      <c r="L215" s="8">
        <v>1082729</v>
      </c>
      <c r="M215" s="4">
        <f t="shared" si="78"/>
        <v>1082729.0264156605</v>
      </c>
      <c r="N215" s="642">
        <v>7323</v>
      </c>
      <c r="O215" s="8">
        <v>158001</v>
      </c>
      <c r="P215" s="8">
        <v>520163</v>
      </c>
      <c r="Q215" s="4">
        <f t="shared" si="79"/>
        <v>94202</v>
      </c>
      <c r="R215" s="96">
        <f t="shared" si="70"/>
        <v>144578</v>
      </c>
      <c r="S215" s="35">
        <f t="shared" si="81"/>
        <v>2.6477057366957629E-2</v>
      </c>
      <c r="T215" s="28">
        <f t="shared" ref="T215:T245" si="88">E215/C195</f>
        <v>3.7688410027064072E-2</v>
      </c>
      <c r="U215" s="91">
        <f>SUM(B202:B215)/POBLA!$B$25*100000</f>
        <v>365.86692585775535</v>
      </c>
      <c r="V215" s="91">
        <f>B215/POBLA!$B$25*100000</f>
        <v>32.364362920616344</v>
      </c>
      <c r="W215" s="625">
        <f t="shared" si="80"/>
        <v>1.0939213050811722</v>
      </c>
      <c r="X215" s="28">
        <f t="shared" si="64"/>
        <v>2.6477057366957629E-2</v>
      </c>
      <c r="Y215" s="202">
        <f t="shared" si="68"/>
        <v>0.53796609963326303</v>
      </c>
      <c r="Z215" s="297">
        <f t="shared" si="75"/>
        <v>12636.285714285714</v>
      </c>
      <c r="AA215" s="179">
        <f t="shared" si="76"/>
        <v>770.14285714285711</v>
      </c>
      <c r="AB215" s="357">
        <f t="shared" si="60"/>
        <v>229.68845862492972</v>
      </c>
      <c r="AC215" s="610">
        <f t="shared" si="87"/>
        <v>-540.45439851792742</v>
      </c>
      <c r="AD215" s="610">
        <f t="shared" si="72"/>
        <v>11859.357142857143</v>
      </c>
      <c r="AE215" s="202">
        <f t="shared" si="84"/>
        <v>1.1402090825889117</v>
      </c>
      <c r="AF215" s="202">
        <f t="shared" si="83"/>
        <v>0.11983951171905249</v>
      </c>
      <c r="AG215" s="4"/>
      <c r="AH215" s="202">
        <f t="shared" si="77"/>
        <v>2.1157770800627942</v>
      </c>
      <c r="AI215" s="179">
        <f>MAX($B$2:B215)</f>
        <v>14687</v>
      </c>
      <c r="AJ215" s="180">
        <f t="shared" si="74"/>
        <v>7.0245618607075372E-2</v>
      </c>
      <c r="AK215" s="180"/>
      <c r="AL215" s="202">
        <f t="shared" si="85"/>
        <v>1.0648122392211405</v>
      </c>
      <c r="AM215" s="202">
        <f t="shared" si="86"/>
        <v>2.1157770800627942</v>
      </c>
      <c r="AP215" s="644">
        <f t="shared" si="67"/>
        <v>1.0939213050811722</v>
      </c>
      <c r="AT215" s="180">
        <f t="shared" si="82"/>
        <v>3.3713441619654817E-2</v>
      </c>
    </row>
    <row r="216" spans="1:46" x14ac:dyDescent="0.25">
      <c r="A216" s="2">
        <v>44107</v>
      </c>
      <c r="B216" s="126">
        <v>11129</v>
      </c>
      <c r="C216" s="126">
        <f t="shared" si="59"/>
        <v>790818</v>
      </c>
      <c r="D216" s="126">
        <v>195</v>
      </c>
      <c r="E216" s="126">
        <f t="shared" si="65"/>
        <v>20791</v>
      </c>
      <c r="F216" s="126">
        <f t="shared" si="71"/>
        <v>11599</v>
      </c>
      <c r="G216" s="155">
        <v>626114</v>
      </c>
      <c r="H216" s="126">
        <v>3820</v>
      </c>
      <c r="I216" s="126">
        <v>20525</v>
      </c>
      <c r="J216" s="4">
        <f t="shared" si="61"/>
        <v>2007741</v>
      </c>
      <c r="K216" s="611">
        <f t="shared" si="69"/>
        <v>2.6290499204621037E-2</v>
      </c>
      <c r="L216" s="7">
        <v>1095695</v>
      </c>
      <c r="M216" s="4">
        <f t="shared" si="78"/>
        <v>1095695.0262904991</v>
      </c>
      <c r="N216" s="642">
        <v>7387</v>
      </c>
      <c r="O216" s="8">
        <v>159347</v>
      </c>
      <c r="P216" s="8">
        <v>527803</v>
      </c>
      <c r="Q216" s="4">
        <f t="shared" si="79"/>
        <v>96281</v>
      </c>
      <c r="R216" s="96">
        <f t="shared" si="70"/>
        <v>143913</v>
      </c>
      <c r="S216" s="35">
        <f t="shared" si="81"/>
        <v>2.6543814665805035E-2</v>
      </c>
      <c r="T216" s="28">
        <f t="shared" si="88"/>
        <v>3.7425049996669887E-2</v>
      </c>
      <c r="U216" s="91">
        <f>SUM(B203:B216)/POBLA!$B$25*100000</f>
        <v>369.95020797744633</v>
      </c>
      <c r="V216" s="91">
        <f>B216/POBLA!$B$25*100000</f>
        <v>24.523932385343453</v>
      </c>
      <c r="W216" s="625">
        <f t="shared" si="80"/>
        <v>1.1108729024403154</v>
      </c>
      <c r="X216" s="28">
        <f t="shared" si="64"/>
        <v>2.6543814665805035E-2</v>
      </c>
      <c r="Y216" s="202">
        <f t="shared" si="68"/>
        <v>0.54243553765190644</v>
      </c>
      <c r="Z216" s="297">
        <f t="shared" si="75"/>
        <v>12619.142857142857</v>
      </c>
      <c r="AA216" s="179">
        <f t="shared" si="76"/>
        <v>749.85714285714289</v>
      </c>
      <c r="AB216" s="357">
        <f t="shared" si="60"/>
        <v>224.42148193640327</v>
      </c>
      <c r="AC216" s="610">
        <f t="shared" si="87"/>
        <v>-525.43566092073956</v>
      </c>
      <c r="AD216" s="610">
        <f t="shared" si="72"/>
        <v>11991.714285714286</v>
      </c>
      <c r="AE216" s="202">
        <f t="shared" si="84"/>
        <v>1.1104211187932118</v>
      </c>
      <c r="AF216" s="202">
        <f t="shared" si="83"/>
        <v>0.10317892267713269</v>
      </c>
      <c r="AG216" s="4"/>
      <c r="AH216" s="202">
        <f t="shared" si="77"/>
        <v>1.9142961342086069</v>
      </c>
      <c r="AI216" s="179">
        <f>MAX($B$2:B216)</f>
        <v>14687</v>
      </c>
      <c r="AJ216" s="180">
        <f t="shared" si="74"/>
        <v>6.7782383553506631E-2</v>
      </c>
      <c r="AK216" s="180"/>
      <c r="AL216" s="202">
        <f t="shared" si="85"/>
        <v>1.0514726121662539</v>
      </c>
      <c r="AM216" s="202">
        <f t="shared" si="86"/>
        <v>1.9142961342086069</v>
      </c>
      <c r="AP216" s="644">
        <f t="shared" si="67"/>
        <v>1.1108729024403154</v>
      </c>
      <c r="AT216" s="180">
        <f t="shared" si="82"/>
        <v>3.3658206230492906E-2</v>
      </c>
    </row>
    <row r="217" spans="1:46" x14ac:dyDescent="0.25">
      <c r="A217" s="2">
        <v>44108</v>
      </c>
      <c r="B217" s="126">
        <v>7668</v>
      </c>
      <c r="C217" s="126">
        <f t="shared" si="59"/>
        <v>798486</v>
      </c>
      <c r="D217" s="126">
        <v>222</v>
      </c>
      <c r="E217" s="126">
        <f t="shared" si="65"/>
        <v>21013</v>
      </c>
      <c r="F217" s="126">
        <f t="shared" si="71"/>
        <v>10558</v>
      </c>
      <c r="G217" s="155">
        <v>636672</v>
      </c>
      <c r="H217" s="126">
        <v>3950</v>
      </c>
      <c r="I217" s="126">
        <v>13213</v>
      </c>
      <c r="J217" s="4">
        <f t="shared" si="61"/>
        <v>2020954</v>
      </c>
      <c r="K217" s="611">
        <f t="shared" si="69"/>
        <v>2.6316053130549567E-2</v>
      </c>
      <c r="L217" s="7">
        <v>1103068</v>
      </c>
      <c r="M217" s="4">
        <f t="shared" si="78"/>
        <v>1103068.0263160532</v>
      </c>
      <c r="N217" s="642">
        <v>7425</v>
      </c>
      <c r="O217" s="8">
        <v>160401</v>
      </c>
      <c r="P217" s="8">
        <v>533573</v>
      </c>
      <c r="Q217" s="4">
        <f t="shared" si="79"/>
        <v>97087</v>
      </c>
      <c r="R217" s="96">
        <f t="shared" si="70"/>
        <v>140801</v>
      </c>
      <c r="S217" s="35">
        <f t="shared" si="81"/>
        <v>2.8053778027144694E-2</v>
      </c>
      <c r="T217" s="28">
        <f t="shared" si="88"/>
        <v>3.7161815628724934E-2</v>
      </c>
      <c r="U217" s="91">
        <f>SUM(B204:B217)/POBLA!$B$25*100000</f>
        <v>368.26885651639714</v>
      </c>
      <c r="V217" s="91">
        <f>B217/POBLA!$B$25*100000</f>
        <v>16.897251642628593</v>
      </c>
      <c r="W217" s="625">
        <f t="shared" si="80"/>
        <v>1.0953510778447038</v>
      </c>
      <c r="X217" s="28">
        <f t="shared" si="64"/>
        <v>2.8053778027144694E-2</v>
      </c>
      <c r="Y217" s="202">
        <f t="shared" si="68"/>
        <v>0.5417461728272287</v>
      </c>
      <c r="Z217" s="297">
        <f t="shared" si="75"/>
        <v>12451.571428571429</v>
      </c>
      <c r="AA217" s="179">
        <f t="shared" si="76"/>
        <v>752.14285714285711</v>
      </c>
      <c r="AB217" s="357">
        <f t="shared" si="60"/>
        <v>223.95532672407066</v>
      </c>
      <c r="AC217" s="610">
        <f t="shared" si="87"/>
        <v>-528.18753041878642</v>
      </c>
      <c r="AD217" s="610">
        <f t="shared" si="72"/>
        <v>11937.214285714286</v>
      </c>
      <c r="AE217" s="202">
        <f t="shared" si="84"/>
        <v>1.0900575287643823</v>
      </c>
      <c r="AF217" s="202">
        <f t="shared" si="83"/>
        <v>8.6075500223693036E-2</v>
      </c>
      <c r="AG217" s="4"/>
      <c r="AH217" s="202">
        <f t="shared" si="77"/>
        <v>1.9536178107606679</v>
      </c>
      <c r="AI217" s="179">
        <f>MAX($B$2:B217)</f>
        <v>14687</v>
      </c>
      <c r="AJ217" s="180">
        <f t="shared" si="74"/>
        <v>6.810773051847252E-2</v>
      </c>
      <c r="AK217" s="180"/>
      <c r="AL217" s="202">
        <f t="shared" si="85"/>
        <v>1.0960044395116537</v>
      </c>
      <c r="AM217" s="202">
        <f t="shared" si="86"/>
        <v>1.9536178107606679</v>
      </c>
      <c r="AP217" s="644">
        <f t="shared" si="67"/>
        <v>1.0953510778447038</v>
      </c>
      <c r="AT217" s="180">
        <f t="shared" si="82"/>
        <v>3.3840952573350284E-2</v>
      </c>
    </row>
    <row r="218" spans="1:46" x14ac:dyDescent="0.25">
      <c r="A218" s="2">
        <v>44109</v>
      </c>
      <c r="B218" s="136">
        <v>11242</v>
      </c>
      <c r="C218" s="126">
        <f t="shared" si="59"/>
        <v>809728</v>
      </c>
      <c r="D218" s="126">
        <v>450</v>
      </c>
      <c r="E218" s="126">
        <f t="shared" si="65"/>
        <v>21463</v>
      </c>
      <c r="F218" s="126">
        <f t="shared" si="71"/>
        <v>12345</v>
      </c>
      <c r="G218" s="155">
        <v>649017</v>
      </c>
      <c r="H218" s="126">
        <v>3978</v>
      </c>
      <c r="I218" s="126">
        <v>20263</v>
      </c>
      <c r="J218" s="4">
        <f t="shared" si="61"/>
        <v>2041217</v>
      </c>
      <c r="K218" s="611">
        <f t="shared" si="69"/>
        <v>2.6506431789440406E-2</v>
      </c>
      <c r="L218" s="7">
        <v>1113469</v>
      </c>
      <c r="M218" s="4">
        <f t="shared" si="78"/>
        <v>1113469.0265064319</v>
      </c>
      <c r="N218" s="642">
        <v>7503</v>
      </c>
      <c r="O218" s="8">
        <v>162682</v>
      </c>
      <c r="P218" s="8">
        <v>544916</v>
      </c>
      <c r="Q218" s="4">
        <f t="shared" si="79"/>
        <v>94627</v>
      </c>
      <c r="R218" s="96">
        <f t="shared" si="70"/>
        <v>139248</v>
      </c>
      <c r="S218" s="35">
        <f t="shared" si="81"/>
        <v>2.8567735263702172E-2</v>
      </c>
      <c r="T218" s="28">
        <f t="shared" si="88"/>
        <v>3.7175796500490181E-2</v>
      </c>
      <c r="U218" s="91">
        <f>SUM(B205:B218)/POBLA!$B$25*100000</f>
        <v>373.68972754415745</v>
      </c>
      <c r="V218" s="91">
        <f>B218/POBLA!$B$25*100000</f>
        <v>24.772939875643015</v>
      </c>
      <c r="W218" s="625">
        <f t="shared" si="80"/>
        <v>1.1146378335743394</v>
      </c>
      <c r="X218" s="28">
        <f t="shared" si="64"/>
        <v>2.8567735263702172E-2</v>
      </c>
      <c r="Y218" s="202">
        <f t="shared" si="68"/>
        <v>0.54191594282710454</v>
      </c>
      <c r="Z218" s="297">
        <f t="shared" si="75"/>
        <v>12370.857142857143</v>
      </c>
      <c r="AA218" s="179">
        <f t="shared" si="76"/>
        <v>764.28571428571433</v>
      </c>
      <c r="AB218" s="357">
        <f t="shared" si="60"/>
        <v>224.71835821638291</v>
      </c>
      <c r="AC218" s="610">
        <f t="shared" si="87"/>
        <v>-539.56735606933148</v>
      </c>
      <c r="AD218" s="610">
        <f t="shared" si="72"/>
        <v>12112.928571428571</v>
      </c>
      <c r="AE218" s="202">
        <f t="shared" si="84"/>
        <v>1.0435138880520576</v>
      </c>
      <c r="AF218" s="202">
        <f t="shared" si="83"/>
        <v>6.8639489194499026E-2</v>
      </c>
      <c r="AG218" s="4"/>
      <c r="AH218" s="202">
        <f t="shared" si="77"/>
        <v>2.0319027725028485</v>
      </c>
      <c r="AI218" s="179">
        <f>MAX($B$2:B218)</f>
        <v>14687</v>
      </c>
      <c r="AJ218" s="180">
        <f t="shared" si="74"/>
        <v>6.9735006973500699E-2</v>
      </c>
      <c r="AK218" s="180"/>
      <c r="AL218" s="202">
        <f t="shared" si="85"/>
        <v>1.0815660685154975</v>
      </c>
      <c r="AM218" s="202">
        <f t="shared" si="86"/>
        <v>2.0319027725028485</v>
      </c>
      <c r="AP218" s="644">
        <f t="shared" si="67"/>
        <v>1.1146378335743394</v>
      </c>
      <c r="AT218" s="180">
        <f t="shared" si="82"/>
        <v>3.469439693183634E-2</v>
      </c>
    </row>
    <row r="219" spans="1:46" x14ac:dyDescent="0.25">
      <c r="A219" s="2">
        <v>44110</v>
      </c>
      <c r="B219" s="136">
        <v>14740</v>
      </c>
      <c r="C219" s="126">
        <f t="shared" si="59"/>
        <v>824468</v>
      </c>
      <c r="D219" s="126">
        <v>359</v>
      </c>
      <c r="E219" s="126">
        <f t="shared" si="65"/>
        <v>21822</v>
      </c>
      <c r="F219" s="126">
        <f t="shared" si="71"/>
        <v>11255</v>
      </c>
      <c r="G219" s="155">
        <v>660272</v>
      </c>
      <c r="H219" s="126">
        <v>4007</v>
      </c>
      <c r="I219" s="126">
        <v>26481</v>
      </c>
      <c r="J219" s="4">
        <f t="shared" si="61"/>
        <v>2067698</v>
      </c>
      <c r="K219" s="611">
        <f t="shared" si="69"/>
        <v>2.6467976925726649E-2</v>
      </c>
      <c r="L219" s="7">
        <v>1127417</v>
      </c>
      <c r="M219" s="4">
        <f t="shared" si="78"/>
        <v>1127417.0264679769</v>
      </c>
      <c r="N219" s="642">
        <v>7581</v>
      </c>
      <c r="O219" s="8">
        <v>165737</v>
      </c>
      <c r="P219" s="8">
        <v>556132</v>
      </c>
      <c r="Q219" s="4">
        <f t="shared" si="79"/>
        <v>95018</v>
      </c>
      <c r="R219" s="96">
        <f t="shared" si="70"/>
        <v>142374</v>
      </c>
      <c r="S219" s="35">
        <f t="shared" si="81"/>
        <v>2.8144183629033391E-2</v>
      </c>
      <c r="T219" s="28">
        <f t="shared" si="88"/>
        <v>3.7048481185442739E-2</v>
      </c>
      <c r="U219" s="91">
        <f>SUM(B206:B219)/POBLA!$B$25*100000</f>
        <v>379.66811091745575</v>
      </c>
      <c r="V219" s="91">
        <f>B219/POBLA!$B$25*100000</f>
        <v>32.481154044385164</v>
      </c>
      <c r="W219" s="625">
        <f t="shared" si="80"/>
        <v>1.1324700933350862</v>
      </c>
      <c r="X219" s="28">
        <f t="shared" si="64"/>
        <v>2.8144183629033391E-2</v>
      </c>
      <c r="Y219" s="202">
        <f t="shared" si="68"/>
        <v>0.54501411246549425</v>
      </c>
      <c r="Z219" s="297">
        <f t="shared" si="75"/>
        <v>12551.285714285714</v>
      </c>
      <c r="AA219" s="179">
        <f t="shared" si="76"/>
        <v>757.71428571428567</v>
      </c>
      <c r="AB219" s="357">
        <f t="shared" si="60"/>
        <v>228.66101114996042</v>
      </c>
      <c r="AC219" s="610">
        <f t="shared" si="87"/>
        <v>-529.05327456432519</v>
      </c>
      <c r="AD219" s="610">
        <f t="shared" si="72"/>
        <v>12306.714285714286</v>
      </c>
      <c r="AE219" s="202">
        <f t="shared" si="84"/>
        <v>1.0405519038313495</v>
      </c>
      <c r="AF219" s="202">
        <f t="shared" si="83"/>
        <v>6.0640374271794029E-2</v>
      </c>
      <c r="AG219" s="4"/>
      <c r="AH219" s="202">
        <f t="shared" si="77"/>
        <v>2.064616582327754</v>
      </c>
      <c r="AI219" s="179">
        <f>MAX($B$2:B219)</f>
        <v>14740</v>
      </c>
      <c r="AJ219" s="180">
        <f t="shared" si="74"/>
        <v>6.8425466038831179E-2</v>
      </c>
      <c r="AK219" s="180"/>
      <c r="AL219" s="202">
        <f t="shared" si="85"/>
        <v>1.0634288747346072</v>
      </c>
      <c r="AM219" s="202">
        <f t="shared" si="86"/>
        <v>2.064616582327754</v>
      </c>
      <c r="AP219" s="644">
        <f t="shared" si="67"/>
        <v>1.1324700933350862</v>
      </c>
      <c r="AT219" s="180">
        <f t="shared" si="82"/>
        <v>3.4610444462444601E-2</v>
      </c>
    </row>
    <row r="220" spans="1:46" x14ac:dyDescent="0.25">
      <c r="A220" s="2">
        <v>44111</v>
      </c>
      <c r="B220" s="136">
        <v>16447</v>
      </c>
      <c r="C220" s="126">
        <f t="shared" si="59"/>
        <v>840915</v>
      </c>
      <c r="D220" s="126">
        <v>401</v>
      </c>
      <c r="E220" s="126">
        <f t="shared" si="65"/>
        <v>22223</v>
      </c>
      <c r="F220" s="126">
        <f t="shared" si="71"/>
        <v>10453</v>
      </c>
      <c r="G220" s="155">
        <v>670725</v>
      </c>
      <c r="H220" s="126">
        <v>3997</v>
      </c>
      <c r="I220" s="195">
        <v>29441</v>
      </c>
      <c r="J220" s="4">
        <f t="shared" si="61"/>
        <v>2097139</v>
      </c>
      <c r="K220" s="611">
        <f t="shared" si="69"/>
        <v>2.6427165646944101E-2</v>
      </c>
      <c r="L220" s="7">
        <v>1142661</v>
      </c>
      <c r="M220" s="4">
        <f t="shared" si="78"/>
        <v>1142661.0264271656</v>
      </c>
      <c r="N220" s="642">
        <v>7669</v>
      </c>
      <c r="O220" s="8">
        <v>168593</v>
      </c>
      <c r="P220" s="8">
        <v>568246</v>
      </c>
      <c r="Q220" s="4">
        <f t="shared" si="79"/>
        <v>96407</v>
      </c>
      <c r="R220" s="96">
        <f t="shared" si="70"/>
        <v>147967</v>
      </c>
      <c r="S220" s="35">
        <f t="shared" si="81"/>
        <v>2.7012779876594107E-2</v>
      </c>
      <c r="T220" s="28">
        <f t="shared" si="88"/>
        <v>3.6932889932575833E-2</v>
      </c>
      <c r="U220" s="91">
        <f>SUM(B207:B220)/POBLA!$B$25*100000</f>
        <v>388.0902934654639</v>
      </c>
      <c r="V220" s="91">
        <f>B220/POBLA!$B$25*100000</f>
        <v>36.242709672184724</v>
      </c>
      <c r="W220" s="625">
        <f t="shared" si="80"/>
        <v>1.1548135811050058</v>
      </c>
      <c r="X220" s="28">
        <f t="shared" si="64"/>
        <v>2.7012779876594107E-2</v>
      </c>
      <c r="Y220" s="202">
        <f t="shared" si="68"/>
        <v>0.54784855168715951</v>
      </c>
      <c r="Z220" s="297">
        <f t="shared" si="75"/>
        <v>12844.857142857143</v>
      </c>
      <c r="AA220" s="179">
        <f t="shared" si="76"/>
        <v>755.28571428571433</v>
      </c>
      <c r="AB220" s="357">
        <f t="shared" si="60"/>
        <v>234.05802011478016</v>
      </c>
      <c r="AC220" s="610">
        <f t="shared" si="87"/>
        <v>-521.22769417093423</v>
      </c>
      <c r="AD220" s="610">
        <f t="shared" si="72"/>
        <v>12579.714285714286</v>
      </c>
      <c r="AE220" s="202">
        <f t="shared" si="84"/>
        <v>1.0430616459014872</v>
      </c>
      <c r="AF220" s="202">
        <f t="shared" si="83"/>
        <v>6.1303973604934781E-2</v>
      </c>
      <c r="AG220" s="4"/>
      <c r="AH220" s="202">
        <f t="shared" si="77"/>
        <v>2.0620124804992201</v>
      </c>
      <c r="AI220" s="179">
        <f>MAX($B$2:B220)</f>
        <v>16447</v>
      </c>
      <c r="AJ220" s="180">
        <f t="shared" si="74"/>
        <v>6.7822918938334642E-2</v>
      </c>
      <c r="AK220" s="180"/>
      <c r="AL220" s="202">
        <f t="shared" si="85"/>
        <v>1.0540611814345993</v>
      </c>
      <c r="AM220" s="202">
        <f t="shared" si="86"/>
        <v>2.0620124804992201</v>
      </c>
      <c r="AP220" s="644">
        <f t="shared" si="67"/>
        <v>1.1548135811050058</v>
      </c>
      <c r="AT220" s="180">
        <f t="shared" si="82"/>
        <v>3.4278055470547568E-2</v>
      </c>
    </row>
    <row r="221" spans="1:46" x14ac:dyDescent="0.25">
      <c r="A221" s="2">
        <v>44112</v>
      </c>
      <c r="B221" s="126">
        <v>15454</v>
      </c>
      <c r="C221" s="126">
        <f t="shared" si="59"/>
        <v>856369</v>
      </c>
      <c r="D221" s="126">
        <v>484</v>
      </c>
      <c r="E221" s="126">
        <f t="shared" si="65"/>
        <v>22707</v>
      </c>
      <c r="F221" s="126">
        <f t="shared" si="71"/>
        <v>14119</v>
      </c>
      <c r="G221" s="155">
        <v>684844</v>
      </c>
      <c r="H221" s="126">
        <v>4043</v>
      </c>
      <c r="I221" s="126">
        <v>25841</v>
      </c>
      <c r="J221" s="4">
        <f t="shared" si="61"/>
        <v>2122980</v>
      </c>
      <c r="K221" s="611">
        <f t="shared" si="69"/>
        <v>2.6515439022197208E-2</v>
      </c>
      <c r="L221" s="7">
        <v>1155668</v>
      </c>
      <c r="M221" s="4">
        <f t="shared" si="78"/>
        <v>1155668.0265154389</v>
      </c>
      <c r="N221" s="642">
        <v>7761</v>
      </c>
      <c r="O221" s="8">
        <v>171322</v>
      </c>
      <c r="P221" s="8">
        <v>578517</v>
      </c>
      <c r="Q221" s="4">
        <f t="shared" si="79"/>
        <v>98769</v>
      </c>
      <c r="R221" s="96">
        <f t="shared" si="70"/>
        <v>148818</v>
      </c>
      <c r="S221" s="35">
        <f t="shared" si="81"/>
        <v>2.7167412544181483E-2</v>
      </c>
      <c r="T221" s="28">
        <f t="shared" si="88"/>
        <v>3.7002695312372692E-2</v>
      </c>
      <c r="U221" s="91">
        <f>SUM(B208:B221)/POBLA!$B$25*100000</f>
        <v>392.46885880374026</v>
      </c>
      <c r="V221" s="91">
        <f>B221/POBLA!$B$25*100000</f>
        <v>34.054528806100976</v>
      </c>
      <c r="W221" s="625">
        <f t="shared" si="80"/>
        <v>1.1560025443310746</v>
      </c>
      <c r="X221" s="28">
        <f t="shared" si="64"/>
        <v>2.7167412544181483E-2</v>
      </c>
      <c r="Y221" s="202">
        <f t="shared" si="68"/>
        <v>0.55950055419133993</v>
      </c>
      <c r="Z221" s="297">
        <f t="shared" si="75"/>
        <v>13052.428571428571</v>
      </c>
      <c r="AA221" s="179">
        <f t="shared" si="76"/>
        <v>345.71428571428572</v>
      </c>
      <c r="AB221" s="357">
        <f t="shared" si="60"/>
        <v>238.03386429512904</v>
      </c>
      <c r="AC221" s="610">
        <f t="shared" si="87"/>
        <v>-107.68042141915669</v>
      </c>
      <c r="AD221" s="610">
        <f t="shared" si="72"/>
        <v>12721.642857142857</v>
      </c>
      <c r="AE221" s="202">
        <f t="shared" si="84"/>
        <v>1.0533919018631248</v>
      </c>
      <c r="AF221" s="202">
        <f t="shared" si="83"/>
        <v>5.1160162458061098E-2</v>
      </c>
      <c r="AG221" s="4"/>
      <c r="AH221" s="202">
        <f t="shared" si="77"/>
        <v>0.43808834178131789</v>
      </c>
      <c r="AI221" s="179">
        <f>MAX($B$2:B221)</f>
        <v>16447</v>
      </c>
      <c r="AJ221" s="180">
        <f t="shared" si="74"/>
        <v>3.1653434136005125E-2</v>
      </c>
      <c r="AK221" s="180"/>
      <c r="AL221" s="202">
        <f t="shared" si="85"/>
        <v>1.0642274282705975</v>
      </c>
      <c r="AM221" s="202">
        <f t="shared" si="86"/>
        <v>0.43808834178131789</v>
      </c>
      <c r="AP221" s="644">
        <f t="shared" si="67"/>
        <v>1.1560025443310746</v>
      </c>
      <c r="AT221" s="180">
        <f t="shared" si="82"/>
        <v>3.4529305288562726E-2</v>
      </c>
    </row>
    <row r="222" spans="1:46" x14ac:dyDescent="0.25">
      <c r="A222" s="261">
        <v>44113</v>
      </c>
      <c r="B222" s="126">
        <v>15099</v>
      </c>
      <c r="C222" s="126">
        <f t="shared" si="59"/>
        <v>871468</v>
      </c>
      <c r="D222" s="139">
        <v>514</v>
      </c>
      <c r="E222" s="126">
        <f t="shared" si="65"/>
        <v>23221</v>
      </c>
      <c r="F222" s="126">
        <f t="shared" si="71"/>
        <v>12297</v>
      </c>
      <c r="G222" s="155">
        <v>697141</v>
      </c>
      <c r="H222" s="126">
        <v>4092</v>
      </c>
      <c r="I222" s="126">
        <v>25174</v>
      </c>
      <c r="J222" s="4">
        <f t="shared" si="61"/>
        <v>2148154</v>
      </c>
      <c r="K222" s="611">
        <f t="shared" si="69"/>
        <v>2.6645843565110825E-2</v>
      </c>
      <c r="L222" s="7">
        <v>1172099</v>
      </c>
      <c r="M222" s="4">
        <f t="shared" si="78"/>
        <v>1172099.0266458436</v>
      </c>
      <c r="N222" s="642">
        <v>7817</v>
      </c>
      <c r="O222" s="8">
        <v>174267</v>
      </c>
      <c r="P222" s="8">
        <v>588788</v>
      </c>
      <c r="Q222" s="4">
        <f t="shared" si="79"/>
        <v>100596</v>
      </c>
      <c r="R222" s="96">
        <f t="shared" si="70"/>
        <v>151106</v>
      </c>
      <c r="S222" s="35">
        <f t="shared" si="81"/>
        <v>2.7080327716966897E-2</v>
      </c>
      <c r="T222" s="28">
        <f t="shared" si="88"/>
        <v>3.7276822263674805E-2</v>
      </c>
      <c r="U222" s="91">
        <f>SUM(B209:B222)/POBLA!$B$25*100000</f>
        <v>397.16253981558151</v>
      </c>
      <c r="V222" s="91">
        <f>B222/POBLA!$B$25*100000</f>
        <v>33.272248637460763</v>
      </c>
      <c r="W222" s="625">
        <f t="shared" si="80"/>
        <v>1.158831093679676</v>
      </c>
      <c r="X222" s="28">
        <f t="shared" si="64"/>
        <v>2.7080327716966897E-2</v>
      </c>
      <c r="Y222" s="202">
        <f t="shared" si="68"/>
        <v>0.57027550982365882</v>
      </c>
      <c r="Z222" s="297">
        <f t="shared" si="75"/>
        <v>13111.285714285714</v>
      </c>
      <c r="AA222" s="179">
        <f t="shared" si="76"/>
        <v>375</v>
      </c>
      <c r="AB222" s="357">
        <f t="shared" si="60"/>
        <v>243.77863740778668</v>
      </c>
      <c r="AC222" s="610">
        <f t="shared" si="87"/>
        <v>-131.22136259221332</v>
      </c>
      <c r="AD222" s="610">
        <f t="shared" si="72"/>
        <v>12873.785714285714</v>
      </c>
      <c r="AE222" s="202">
        <f t="shared" si="84"/>
        <v>1.0375901598571009</v>
      </c>
      <c r="AF222" s="202">
        <f t="shared" si="83"/>
        <v>4.5152097829545212E-2</v>
      </c>
      <c r="AG222" s="4"/>
      <c r="AH222" s="202">
        <f t="shared" si="77"/>
        <v>0.48692264885920983</v>
      </c>
      <c r="AI222" s="179">
        <f>MAX($B$2:B222)</f>
        <v>16447</v>
      </c>
      <c r="AJ222" s="180">
        <f t="shared" si="74"/>
        <v>3.4617819275201772E-2</v>
      </c>
      <c r="AK222" s="180"/>
      <c r="AL222" s="202">
        <f t="shared" si="85"/>
        <v>1.0689655172413792</v>
      </c>
      <c r="AM222" s="202">
        <f t="shared" si="86"/>
        <v>0.48692264885920983</v>
      </c>
      <c r="AP222" s="644">
        <f t="shared" si="67"/>
        <v>1.158831093679676</v>
      </c>
      <c r="AT222" s="180">
        <f t="shared" si="82"/>
        <v>3.4980162873251203E-2</v>
      </c>
    </row>
    <row r="223" spans="1:46" x14ac:dyDescent="0.25">
      <c r="A223" s="261">
        <v>44114</v>
      </c>
      <c r="B223" s="126">
        <v>12414</v>
      </c>
      <c r="C223" s="126">
        <f t="shared" si="59"/>
        <v>883882</v>
      </c>
      <c r="D223" s="126">
        <v>357</v>
      </c>
      <c r="E223" s="126">
        <f t="shared" si="65"/>
        <v>23578</v>
      </c>
      <c r="F223" s="126">
        <f t="shared" si="71"/>
        <v>12323</v>
      </c>
      <c r="G223" s="155">
        <v>709464</v>
      </c>
      <c r="H223" s="126">
        <v>4200</v>
      </c>
      <c r="I223" s="126">
        <v>19871</v>
      </c>
      <c r="J223" s="4">
        <f t="shared" si="61"/>
        <v>2168025</v>
      </c>
      <c r="K223" s="611">
        <f t="shared" si="69"/>
        <v>2.6675506459006973E-2</v>
      </c>
      <c r="L223" s="7">
        <v>1182752</v>
      </c>
      <c r="M223" s="4">
        <f t="shared" si="78"/>
        <v>1182752.0266755065</v>
      </c>
      <c r="N223" s="642">
        <v>7886</v>
      </c>
      <c r="O223" s="8">
        <v>176230</v>
      </c>
      <c r="P223" s="8">
        <v>594738</v>
      </c>
      <c r="Q223" s="4">
        <f t="shared" si="79"/>
        <v>105028</v>
      </c>
      <c r="R223" s="96">
        <f t="shared" si="70"/>
        <v>150840</v>
      </c>
      <c r="S223" s="35">
        <f t="shared" si="81"/>
        <v>2.7844073190135241E-2</v>
      </c>
      <c r="T223" s="28">
        <f t="shared" si="88"/>
        <v>3.7344483777212861E-2</v>
      </c>
      <c r="U223" s="91">
        <f>SUM(B210:B223)/POBLA!$B$25*100000</f>
        <v>399.72974093238679</v>
      </c>
      <c r="V223" s="91">
        <f>B223/POBLA!$B$25*100000</f>
        <v>27.355566235210141</v>
      </c>
      <c r="W223" s="625">
        <f t="shared" si="80"/>
        <v>1.1627853310513259</v>
      </c>
      <c r="X223" s="28">
        <f t="shared" si="64"/>
        <v>2.7844073190135241E-2</v>
      </c>
      <c r="Y223" s="202">
        <f t="shared" si="68"/>
        <v>0.58061940056399886</v>
      </c>
      <c r="Z223" s="297">
        <f t="shared" si="75"/>
        <v>13294.857142857143</v>
      </c>
      <c r="AA223" s="179">
        <f t="shared" si="76"/>
        <v>398.14285714285717</v>
      </c>
      <c r="AB223" s="357">
        <f t="shared" si="60"/>
        <v>251.42740414219904</v>
      </c>
      <c r="AC223" s="610">
        <f t="shared" si="87"/>
        <v>-146.71545300065813</v>
      </c>
      <c r="AD223" s="610">
        <f t="shared" si="72"/>
        <v>12957</v>
      </c>
      <c r="AE223" s="202">
        <f t="shared" si="84"/>
        <v>1.0535467656847872</v>
      </c>
      <c r="AF223" s="202">
        <f t="shared" si="83"/>
        <v>4.8133247170165205E-2</v>
      </c>
      <c r="AG223" s="4"/>
      <c r="AH223" s="202">
        <f t="shared" si="77"/>
        <v>0.53095827776719373</v>
      </c>
      <c r="AI223" s="179">
        <f>MAX($B$2:B223)</f>
        <v>16447</v>
      </c>
      <c r="AJ223" s="180">
        <f t="shared" si="74"/>
        <v>3.7308737500167333E-2</v>
      </c>
      <c r="AK223" s="180"/>
      <c r="AL223" s="202">
        <f t="shared" si="85"/>
        <v>1.0994764397905759</v>
      </c>
      <c r="AM223" s="202">
        <f t="shared" si="86"/>
        <v>0.53095827776719373</v>
      </c>
      <c r="AP223" s="644">
        <f t="shared" si="67"/>
        <v>1.1627853310513259</v>
      </c>
      <c r="AT223" s="180">
        <f t="shared" si="82"/>
        <v>3.5228144704796432E-2</v>
      </c>
    </row>
    <row r="224" spans="1:46" x14ac:dyDescent="0.25">
      <c r="A224" s="261">
        <v>44115</v>
      </c>
      <c r="B224" s="126">
        <v>10324</v>
      </c>
      <c r="C224" s="126">
        <f t="shared" si="59"/>
        <v>894206</v>
      </c>
      <c r="D224" s="126">
        <v>283</v>
      </c>
      <c r="E224" s="126">
        <f t="shared" si="65"/>
        <v>23861</v>
      </c>
      <c r="F224" s="126">
        <f t="shared" si="71"/>
        <v>11916</v>
      </c>
      <c r="G224" s="155">
        <v>721380</v>
      </c>
      <c r="H224" s="126">
        <v>4237</v>
      </c>
      <c r="I224" s="126">
        <v>14237</v>
      </c>
      <c r="J224" s="4">
        <f t="shared" si="61"/>
        <v>2182262</v>
      </c>
      <c r="K224" s="611">
        <f t="shared" si="69"/>
        <v>2.6684007935531634E-2</v>
      </c>
      <c r="L224" s="7">
        <v>1189378</v>
      </c>
      <c r="M224" s="4">
        <f t="shared" si="78"/>
        <v>1189378.0266840078</v>
      </c>
      <c r="N224" s="642">
        <v>7932</v>
      </c>
      <c r="O224" s="8">
        <v>177557</v>
      </c>
      <c r="P224" s="8">
        <v>599352</v>
      </c>
      <c r="Q224" s="4">
        <f t="shared" si="79"/>
        <v>109365</v>
      </c>
      <c r="R224" s="96">
        <f t="shared" si="70"/>
        <v>148965</v>
      </c>
      <c r="S224" s="35">
        <f t="shared" si="81"/>
        <v>2.8442922834222804E-2</v>
      </c>
      <c r="T224" s="28">
        <f t="shared" si="88"/>
        <v>3.7274251070457252E-2</v>
      </c>
      <c r="U224" s="91">
        <f>SUM(B211:B224)/POBLA!$B$25*100000</f>
        <v>402.99768879180482</v>
      </c>
      <c r="V224" s="91">
        <f>B224/POBLA!$B$25*100000</f>
        <v>22.75002946772269</v>
      </c>
      <c r="W224" s="625">
        <f t="shared" si="80"/>
        <v>1.1739094153593346</v>
      </c>
      <c r="X224" s="28">
        <f t="shared" si="64"/>
        <v>2.8442922834222804E-2</v>
      </c>
      <c r="Y224" s="202">
        <f t="shared" si="68"/>
        <v>0.59339896347360332</v>
      </c>
      <c r="Z224" s="297">
        <f t="shared" si="75"/>
        <v>13674.285714285714</v>
      </c>
      <c r="AA224" s="179">
        <f t="shared" si="76"/>
        <v>406.85714285714283</v>
      </c>
      <c r="AB224" s="357">
        <f t="shared" si="60"/>
        <v>252.89024606995997</v>
      </c>
      <c r="AC224" s="610">
        <f t="shared" si="87"/>
        <v>-153.96689678718286</v>
      </c>
      <c r="AD224" s="610">
        <f t="shared" si="72"/>
        <v>13062.928571428571</v>
      </c>
      <c r="AE224" s="202">
        <f t="shared" si="84"/>
        <v>1.0981975883709456</v>
      </c>
      <c r="AF224" s="202">
        <f t="shared" si="83"/>
        <v>5.79825427376226E-2</v>
      </c>
      <c r="AG224" s="4"/>
      <c r="AH224" s="202">
        <f t="shared" si="77"/>
        <v>0.54093067426400754</v>
      </c>
      <c r="AI224" s="179">
        <f>MAX($B$2:B224)</f>
        <v>16447</v>
      </c>
      <c r="AJ224" s="180">
        <f t="shared" si="74"/>
        <v>3.8056550323373774E-2</v>
      </c>
      <c r="AK224" s="180"/>
      <c r="AL224" s="202">
        <f t="shared" si="85"/>
        <v>1.0726582278481012</v>
      </c>
      <c r="AM224" s="202">
        <f t="shared" si="86"/>
        <v>0.54093067426400754</v>
      </c>
      <c r="AP224" s="644">
        <f t="shared" si="67"/>
        <v>1.1739094153593346</v>
      </c>
      <c r="AT224" s="180">
        <f t="shared" si="82"/>
        <v>3.5461546829715959E-2</v>
      </c>
    </row>
    <row r="225" spans="1:46" x14ac:dyDescent="0.25">
      <c r="A225" s="261">
        <v>44116</v>
      </c>
      <c r="B225" s="126">
        <v>9524</v>
      </c>
      <c r="C225" s="126">
        <f t="shared" ref="C225:C288" si="89">C224+B225</f>
        <v>903730</v>
      </c>
      <c r="D225" s="126">
        <v>318</v>
      </c>
      <c r="E225" s="126">
        <f t="shared" si="65"/>
        <v>24179</v>
      </c>
      <c r="F225" s="126">
        <f t="shared" si="71"/>
        <v>11202</v>
      </c>
      <c r="G225" s="155">
        <v>732582</v>
      </c>
      <c r="H225" s="126">
        <v>4287</v>
      </c>
      <c r="I225" s="126">
        <v>13956</v>
      </c>
      <c r="J225" s="4">
        <f t="shared" si="61"/>
        <v>2196218</v>
      </c>
      <c r="K225" s="611">
        <f t="shared" si="69"/>
        <v>2.6754672302568245E-2</v>
      </c>
      <c r="L225" s="7">
        <v>1196534</v>
      </c>
      <c r="M225" s="4">
        <f t="shared" si="78"/>
        <v>1196534.0267546724</v>
      </c>
      <c r="N225" s="642">
        <v>7963</v>
      </c>
      <c r="O225" s="8">
        <v>179298</v>
      </c>
      <c r="P225" s="8">
        <v>608522</v>
      </c>
      <c r="Q225" s="4">
        <f t="shared" si="79"/>
        <v>107947</v>
      </c>
      <c r="R225" s="96">
        <f t="shared" si="70"/>
        <v>146969</v>
      </c>
      <c r="S225" s="35">
        <f t="shared" si="81"/>
        <v>2.9169416679707967E-2</v>
      </c>
      <c r="T225" s="28">
        <f t="shared" si="88"/>
        <v>3.7074461723405103E-2</v>
      </c>
      <c r="U225" s="91">
        <f>SUM(B212:B225)/POBLA!$B$25*100000</f>
        <v>397.96685604531018</v>
      </c>
      <c r="V225" s="91">
        <f>B225/POBLA!$B$25*100000</f>
        <v>20.987144580646156</v>
      </c>
      <c r="W225" s="625">
        <f t="shared" si="80"/>
        <v>1.14530142181297</v>
      </c>
      <c r="X225" s="28">
        <f t="shared" si="64"/>
        <v>2.9169416679707967E-2</v>
      </c>
      <c r="Y225" s="202">
        <f t="shared" si="68"/>
        <v>0.60646060347997754</v>
      </c>
      <c r="Z225" s="297">
        <f t="shared" si="75"/>
        <v>13428.857142857143</v>
      </c>
      <c r="AA225" s="179">
        <f t="shared" si="76"/>
        <v>388</v>
      </c>
      <c r="AB225" s="357">
        <f t="shared" si="60"/>
        <v>264.15594248353</v>
      </c>
      <c r="AC225" s="610">
        <f t="shared" si="87"/>
        <v>-123.84405751647</v>
      </c>
      <c r="AD225" s="610">
        <f t="shared" si="72"/>
        <v>12899.857142857143</v>
      </c>
      <c r="AE225" s="202">
        <f t="shared" si="84"/>
        <v>1.0855235807658552</v>
      </c>
      <c r="AF225" s="202">
        <f t="shared" si="83"/>
        <v>5.5447834080202263E-2</v>
      </c>
      <c r="AG225" s="4"/>
      <c r="AH225" s="202">
        <f t="shared" si="77"/>
        <v>0.50766355140186914</v>
      </c>
      <c r="AI225" s="179">
        <f>MAX($B$2:B225)</f>
        <v>16447</v>
      </c>
      <c r="AJ225" s="180">
        <f t="shared" si="74"/>
        <v>3.5837280800137226E-2</v>
      </c>
      <c r="AK225" s="180"/>
      <c r="AL225" s="202">
        <f t="shared" si="85"/>
        <v>1.0776772247360482</v>
      </c>
      <c r="AM225" s="202">
        <f t="shared" si="86"/>
        <v>0.50766355140186914</v>
      </c>
      <c r="AP225" s="644">
        <f t="shared" si="67"/>
        <v>1.14530142181297</v>
      </c>
      <c r="AT225" s="180">
        <f t="shared" si="82"/>
        <v>3.6154055014849584E-2</v>
      </c>
    </row>
    <row r="226" spans="1:46" x14ac:dyDescent="0.25">
      <c r="A226" s="261">
        <v>44117</v>
      </c>
      <c r="B226" s="126">
        <v>13305</v>
      </c>
      <c r="C226" s="126">
        <f t="shared" si="89"/>
        <v>917035</v>
      </c>
      <c r="D226" s="126">
        <v>384</v>
      </c>
      <c r="E226" s="126">
        <f t="shared" si="65"/>
        <v>24563</v>
      </c>
      <c r="F226" s="126">
        <f t="shared" si="71"/>
        <v>9653</v>
      </c>
      <c r="G226" s="155">
        <v>742235</v>
      </c>
      <c r="H226" s="126">
        <v>4294</v>
      </c>
      <c r="I226" s="126">
        <v>20544</v>
      </c>
      <c r="J226" s="4">
        <f t="shared" si="61"/>
        <v>2216762</v>
      </c>
      <c r="K226" s="611">
        <f t="shared" si="69"/>
        <v>2.6785237204686844E-2</v>
      </c>
      <c r="L226" s="7">
        <v>1207475</v>
      </c>
      <c r="M226" s="7">
        <f t="shared" ref="M226:M231" si="90">K226+L226</f>
        <v>1207475.0267852372</v>
      </c>
      <c r="N226" s="642">
        <v>8033</v>
      </c>
      <c r="O226" s="8">
        <v>182045</v>
      </c>
      <c r="P226" s="8">
        <v>619199</v>
      </c>
      <c r="Q226" s="4">
        <f t="shared" si="79"/>
        <v>107758</v>
      </c>
      <c r="R226" s="96">
        <f t="shared" si="70"/>
        <v>150237</v>
      </c>
      <c r="S226" s="35">
        <f t="shared" si="81"/>
        <v>2.8581507884209614E-2</v>
      </c>
      <c r="T226" s="28">
        <f t="shared" si="88"/>
        <v>3.6948009849593635E-2</v>
      </c>
      <c r="U226" s="91">
        <f>SUM(B213:B226)/POBLA!$B$25*100000</f>
        <v>397.58783579458878</v>
      </c>
      <c r="V226" s="91">
        <f>B226/POBLA!$B$25*100000</f>
        <v>29.31897927819163</v>
      </c>
      <c r="W226" s="625">
        <f t="shared" si="80"/>
        <v>1.1328239290266275</v>
      </c>
      <c r="X226" s="28">
        <f t="shared" si="64"/>
        <v>2.8581507884209614E-2</v>
      </c>
      <c r="Y226" s="202">
        <f t="shared" si="68"/>
        <v>0.62098830032737617</v>
      </c>
      <c r="Z226" s="297">
        <f t="shared" si="75"/>
        <v>13223.857142857143</v>
      </c>
      <c r="AA226" s="179">
        <f t="shared" si="76"/>
        <v>391.57142857142856</v>
      </c>
      <c r="AB226" s="357">
        <f t="shared" ref="AB226:AB289" si="91">Z212*K212</f>
        <v>270.48607295632513</v>
      </c>
      <c r="AC226" s="610">
        <f t="shared" si="87"/>
        <v>-121.08535561510342</v>
      </c>
      <c r="AD226" s="610">
        <f t="shared" si="72"/>
        <v>12887.571428571429</v>
      </c>
      <c r="AE226" s="202">
        <f t="shared" si="84"/>
        <v>1.0535858591607008</v>
      </c>
      <c r="AF226" s="202">
        <f t="shared" si="83"/>
        <v>5.5227780353154454E-2</v>
      </c>
      <c r="AG226" s="4"/>
      <c r="AH226" s="202">
        <f t="shared" si="77"/>
        <v>0.51677978883861242</v>
      </c>
      <c r="AI226" s="179">
        <f>MAX($B$2:B226)</f>
        <v>16447</v>
      </c>
      <c r="AJ226" s="180">
        <f t="shared" si="74"/>
        <v>3.58052591015375E-2</v>
      </c>
      <c r="AK226" s="180"/>
      <c r="AL226" s="202">
        <f t="shared" si="85"/>
        <v>1.0716246568505117</v>
      </c>
      <c r="AM226" s="202">
        <f t="shared" si="86"/>
        <v>0.51677978883861242</v>
      </c>
      <c r="AP226" s="644">
        <f t="shared" si="67"/>
        <v>1.1328239290266275</v>
      </c>
      <c r="AT226" s="180">
        <f t="shared" si="82"/>
        <v>3.6545153776784384E-2</v>
      </c>
    </row>
    <row r="227" spans="1:46" x14ac:dyDescent="0.25">
      <c r="A227" s="261">
        <v>44118</v>
      </c>
      <c r="B227" s="126">
        <v>14932</v>
      </c>
      <c r="C227" s="126">
        <f t="shared" si="89"/>
        <v>931967</v>
      </c>
      <c r="D227" s="126">
        <v>350</v>
      </c>
      <c r="E227" s="126">
        <f t="shared" si="65"/>
        <v>24913</v>
      </c>
      <c r="F227" s="126">
        <f t="shared" si="71"/>
        <v>8911</v>
      </c>
      <c r="G227" s="155">
        <v>751146</v>
      </c>
      <c r="H227" s="126">
        <v>4316</v>
      </c>
      <c r="I227" s="126">
        <v>23519</v>
      </c>
      <c r="J227" s="4">
        <f t="shared" si="61"/>
        <v>2240281</v>
      </c>
      <c r="K227" s="611">
        <f t="shared" si="69"/>
        <v>2.6731633201604779E-2</v>
      </c>
      <c r="L227" s="7">
        <v>1219715</v>
      </c>
      <c r="M227" s="7">
        <f t="shared" si="90"/>
        <v>1219715.0267316331</v>
      </c>
      <c r="N227" s="642">
        <v>8098</v>
      </c>
      <c r="O227" s="8">
        <v>184890</v>
      </c>
      <c r="P227" s="8">
        <v>629734</v>
      </c>
      <c r="Q227" s="4">
        <f t="shared" si="79"/>
        <v>109245</v>
      </c>
      <c r="R227" s="96">
        <f t="shared" si="70"/>
        <v>155908</v>
      </c>
      <c r="S227" s="35">
        <f t="shared" si="81"/>
        <v>2.7682992534058547E-2</v>
      </c>
      <c r="T227" s="28">
        <f t="shared" si="88"/>
        <v>3.673042729548584E-2</v>
      </c>
      <c r="U227" s="91">
        <f>SUM(B214:B227)/POBLA!$B$25*100000</f>
        <v>398.77778309336537</v>
      </c>
      <c r="V227" s="91">
        <f>B227/POBLA!$B$25*100000</f>
        <v>32.904246417283538</v>
      </c>
      <c r="W227" s="625">
        <f t="shared" si="80"/>
        <v>1.1171499299335139</v>
      </c>
      <c r="X227" s="28">
        <f t="shared" si="64"/>
        <v>2.7682992534058547E-2</v>
      </c>
      <c r="Y227" s="202">
        <f t="shared" si="68"/>
        <v>0.63609562532310571</v>
      </c>
      <c r="Z227" s="297">
        <f t="shared" si="75"/>
        <v>13007.428571428571</v>
      </c>
      <c r="AA227" s="179">
        <f t="shared" si="76"/>
        <v>384.28571428571428</v>
      </c>
      <c r="AB227" s="357">
        <f t="shared" si="91"/>
        <v>277.70879361583502</v>
      </c>
      <c r="AC227" s="610">
        <f t="shared" si="87"/>
        <v>-106.57692066987926</v>
      </c>
      <c r="AD227" s="610">
        <f t="shared" si="72"/>
        <v>12926.142857142857</v>
      </c>
      <c r="AE227" s="202">
        <f t="shared" si="84"/>
        <v>1.0126565384700936</v>
      </c>
      <c r="AF227" s="202">
        <f t="shared" si="83"/>
        <v>5.366737177884251E-2</v>
      </c>
      <c r="AG227" s="4"/>
      <c r="AH227" s="202">
        <f t="shared" si="77"/>
        <v>0.50879515793455643</v>
      </c>
      <c r="AI227" s="179">
        <f>MAX($B$2:B227)</f>
        <v>16447</v>
      </c>
      <c r="AJ227" s="180">
        <f t="shared" si="74"/>
        <v>3.4675225904585126E-2</v>
      </c>
      <c r="AK227" s="180"/>
      <c r="AL227" s="202">
        <f t="shared" si="85"/>
        <v>1.0798098573930448</v>
      </c>
      <c r="AM227" s="202">
        <f t="shared" si="86"/>
        <v>0.50879515793455643</v>
      </c>
      <c r="AP227" s="644">
        <f t="shared" si="67"/>
        <v>1.1171499299335139</v>
      </c>
      <c r="AT227" s="180">
        <f t="shared" si="82"/>
        <v>3.6142540263722954E-2</v>
      </c>
    </row>
    <row r="228" spans="1:46" x14ac:dyDescent="0.25">
      <c r="A228" s="261">
        <v>44119</v>
      </c>
      <c r="B228" s="139">
        <v>17096</v>
      </c>
      <c r="C228" s="126">
        <f t="shared" si="89"/>
        <v>949063</v>
      </c>
      <c r="D228" s="126">
        <v>421</v>
      </c>
      <c r="E228" s="126">
        <f t="shared" si="65"/>
        <v>25334</v>
      </c>
      <c r="F228" s="126">
        <f t="shared" si="71"/>
        <v>13713</v>
      </c>
      <c r="G228" s="155">
        <v>764859</v>
      </c>
      <c r="H228" s="126">
        <v>4278</v>
      </c>
      <c r="I228" s="126">
        <v>27662</v>
      </c>
      <c r="J228" s="4">
        <f t="shared" si="61"/>
        <v>2267943</v>
      </c>
      <c r="K228" s="611">
        <f t="shared" si="69"/>
        <v>2.6693696835721127E-2</v>
      </c>
      <c r="L228" s="7">
        <v>1234321</v>
      </c>
      <c r="M228" s="7">
        <f t="shared" si="90"/>
        <v>1234321.0266936969</v>
      </c>
      <c r="N228" s="642">
        <v>8172</v>
      </c>
      <c r="O228" s="8">
        <v>187747</v>
      </c>
      <c r="P228" s="8">
        <v>642465</v>
      </c>
      <c r="Q228" s="4">
        <f t="shared" si="79"/>
        <v>110679</v>
      </c>
      <c r="R228" s="96">
        <f t="shared" si="70"/>
        <v>158870</v>
      </c>
      <c r="S228" s="35">
        <f t="shared" si="81"/>
        <v>2.6927676716812489E-2</v>
      </c>
      <c r="T228" s="28">
        <f t="shared" si="88"/>
        <v>3.6650343226254455E-2</v>
      </c>
      <c r="U228" s="91">
        <f>SUM(B215:B228)/POBLA!$B$25*100000</f>
        <v>405.59794400024271</v>
      </c>
      <c r="V228" s="91">
        <f>B228/POBLA!$B$25*100000</f>
        <v>37.672850036825565</v>
      </c>
      <c r="W228" s="625">
        <f t="shared" si="80"/>
        <v>1.1272100386431418</v>
      </c>
      <c r="X228" s="28">
        <f t="shared" si="64"/>
        <v>2.6927676716812489E-2</v>
      </c>
      <c r="Y228" s="202">
        <f t="shared" si="68"/>
        <v>0.63943213095755469</v>
      </c>
      <c r="Z228" s="297">
        <f t="shared" si="75"/>
        <v>13242</v>
      </c>
      <c r="AA228" s="179">
        <f t="shared" si="76"/>
        <v>375.28571428571428</v>
      </c>
      <c r="AB228" s="357">
        <f t="shared" si="91"/>
        <v>328.59171460616164</v>
      </c>
      <c r="AC228" s="610">
        <f t="shared" si="87"/>
        <v>-46.693999679552633</v>
      </c>
      <c r="AD228" s="610">
        <f t="shared" si="72"/>
        <v>13147.214285714286</v>
      </c>
      <c r="AE228" s="202">
        <f t="shared" si="84"/>
        <v>1.0145238434007904</v>
      </c>
      <c r="AF228" s="202">
        <f t="shared" si="83"/>
        <v>6.7545592603045268E-2</v>
      </c>
      <c r="AG228" s="4"/>
      <c r="AH228" s="202">
        <f t="shared" si="77"/>
        <v>1.0855371900826445</v>
      </c>
      <c r="AI228" s="179">
        <f>MAX($B$2:B228)</f>
        <v>17096</v>
      </c>
      <c r="AJ228" s="180">
        <f t="shared" si="74"/>
        <v>3.3023255813953489E-2</v>
      </c>
      <c r="AK228" s="180"/>
      <c r="AL228" s="202">
        <f t="shared" si="85"/>
        <v>1.0581251545881771</v>
      </c>
      <c r="AM228" s="202">
        <f t="shared" si="86"/>
        <v>1.0855371900826445</v>
      </c>
      <c r="AP228" s="644">
        <f t="shared" si="67"/>
        <v>1.1272100386431418</v>
      </c>
      <c r="AT228" s="180">
        <f t="shared" si="82"/>
        <v>3.6271437218373795E-2</v>
      </c>
    </row>
    <row r="229" spans="1:46" x14ac:dyDescent="0.25">
      <c r="A229" s="261">
        <v>44120</v>
      </c>
      <c r="B229" s="126">
        <v>16546</v>
      </c>
      <c r="C229" s="126">
        <f t="shared" si="89"/>
        <v>965609</v>
      </c>
      <c r="D229" s="126">
        <v>379</v>
      </c>
      <c r="E229" s="126">
        <f t="shared" si="65"/>
        <v>25713</v>
      </c>
      <c r="F229" s="126">
        <f t="shared" si="71"/>
        <v>13642</v>
      </c>
      <c r="G229" s="155">
        <v>778501</v>
      </c>
      <c r="H229" s="126">
        <v>4346</v>
      </c>
      <c r="I229" s="126">
        <v>27412</v>
      </c>
      <c r="J229" s="4">
        <f t="shared" si="61"/>
        <v>2295355</v>
      </c>
      <c r="K229" s="611">
        <f t="shared" si="69"/>
        <v>2.6628790742422657E-2</v>
      </c>
      <c r="L229" s="7">
        <v>1248101</v>
      </c>
      <c r="M229" s="7">
        <f t="shared" si="90"/>
        <v>1248101.0266287907</v>
      </c>
      <c r="N229" s="642">
        <v>8249</v>
      </c>
      <c r="O229" s="8">
        <v>190484</v>
      </c>
      <c r="P229" s="8">
        <v>653179</v>
      </c>
      <c r="Q229" s="4">
        <f t="shared" si="79"/>
        <v>113697</v>
      </c>
      <c r="R229" s="96">
        <f t="shared" si="70"/>
        <v>161395</v>
      </c>
      <c r="S229" s="35">
        <f t="shared" si="81"/>
        <v>2.6927723907184238E-2</v>
      </c>
      <c r="T229" s="28">
        <f t="shared" si="88"/>
        <v>3.6602968893241696E-2</v>
      </c>
      <c r="U229" s="91">
        <f>SUM(B216:B229)/POBLA!$B$25*100000</f>
        <v>409.6944477565869</v>
      </c>
      <c r="V229" s="91">
        <f>B229/POBLA!$B$25*100000</f>
        <v>36.46086667696045</v>
      </c>
      <c r="W229" s="625">
        <f t="shared" si="80"/>
        <v>1.1197908824255711</v>
      </c>
      <c r="X229" s="28">
        <f t="shared" si="64"/>
        <v>2.6927723907184238E-2</v>
      </c>
      <c r="Y229" s="202">
        <f t="shared" si="68"/>
        <v>0.63954049225209064</v>
      </c>
      <c r="Z229" s="297">
        <f t="shared" si="75"/>
        <v>13448.714285714286</v>
      </c>
      <c r="AA229" s="179">
        <f t="shared" si="76"/>
        <v>356</v>
      </c>
      <c r="AB229" s="357">
        <f t="shared" si="91"/>
        <v>333.79583471285162</v>
      </c>
      <c r="AC229" s="610">
        <f t="shared" si="87"/>
        <v>-22.204165287148385</v>
      </c>
      <c r="AD229" s="610">
        <f t="shared" si="72"/>
        <v>13280</v>
      </c>
      <c r="AE229" s="202">
        <f t="shared" si="84"/>
        <v>1.0257357347541378</v>
      </c>
      <c r="AF229" s="202">
        <f t="shared" si="83"/>
        <v>6.8091273675433106E-2</v>
      </c>
      <c r="AG229" s="4"/>
      <c r="AH229" s="202">
        <f t="shared" si="77"/>
        <v>0.94933333333333336</v>
      </c>
      <c r="AI229" s="179">
        <f>MAX($B$2:B229)</f>
        <v>17096</v>
      </c>
      <c r="AJ229" s="180">
        <f t="shared" si="74"/>
        <v>3.1165582791395696E-2</v>
      </c>
      <c r="AK229" s="180"/>
      <c r="AL229" s="202">
        <f t="shared" si="85"/>
        <v>1.0620723362658846</v>
      </c>
      <c r="AM229" s="202">
        <f t="shared" si="86"/>
        <v>0.94933333333333336</v>
      </c>
      <c r="AP229" s="644">
        <f t="shared" si="67"/>
        <v>1.1197908824255711</v>
      </c>
      <c r="AT229" s="180">
        <f t="shared" si="82"/>
        <v>3.6107563257275016E-2</v>
      </c>
    </row>
    <row r="230" spans="1:46" x14ac:dyDescent="0.25">
      <c r="A230" s="261">
        <v>44121</v>
      </c>
      <c r="B230" s="126">
        <v>13510</v>
      </c>
      <c r="C230" s="126">
        <f t="shared" si="89"/>
        <v>979119</v>
      </c>
      <c r="D230" s="126">
        <v>383</v>
      </c>
      <c r="E230" s="126">
        <f t="shared" si="65"/>
        <v>26096</v>
      </c>
      <c r="F230" s="126">
        <f t="shared" si="71"/>
        <v>12673</v>
      </c>
      <c r="G230" s="155">
        <v>791174</v>
      </c>
      <c r="H230" s="126">
        <v>4386</v>
      </c>
      <c r="I230" s="126">
        <v>20955</v>
      </c>
      <c r="J230" s="4">
        <f t="shared" si="61"/>
        <v>2316310</v>
      </c>
      <c r="K230" s="611">
        <f t="shared" si="69"/>
        <v>2.6652531510470128E-2</v>
      </c>
      <c r="L230" s="7">
        <v>1260920</v>
      </c>
      <c r="M230" s="7">
        <f t="shared" si="90"/>
        <v>1260920.0266525315</v>
      </c>
      <c r="N230" s="642">
        <v>8311</v>
      </c>
      <c r="O230" s="8">
        <v>192192</v>
      </c>
      <c r="P230" s="8">
        <v>661955</v>
      </c>
      <c r="Q230" s="4">
        <f t="shared" si="79"/>
        <v>116661</v>
      </c>
      <c r="R230" s="96">
        <f t="shared" si="70"/>
        <v>161849</v>
      </c>
      <c r="S230" s="35">
        <f t="shared" si="81"/>
        <v>2.7099333329214267E-2</v>
      </c>
      <c r="T230" s="28">
        <f t="shared" si="88"/>
        <v>3.6686465399079181E-2</v>
      </c>
      <c r="U230" s="91">
        <f>SUM(B217:B230)/POBLA!$B$25*100000</f>
        <v>414.94123390174843</v>
      </c>
      <c r="V230" s="91">
        <f>B230/POBLA!$B$25*100000</f>
        <v>29.770718530504993</v>
      </c>
      <c r="W230" s="625">
        <f t="shared" si="80"/>
        <v>1.1216137332920351</v>
      </c>
      <c r="X230" s="28">
        <f t="shared" si="64"/>
        <v>2.7099333329214267E-2</v>
      </c>
      <c r="Y230" s="202">
        <f t="shared" si="68"/>
        <v>0.64225646558991134</v>
      </c>
      <c r="Z230" s="297">
        <f t="shared" si="75"/>
        <v>13605.285714285714</v>
      </c>
      <c r="AA230" s="179">
        <f t="shared" si="76"/>
        <v>359.71428571428572</v>
      </c>
      <c r="AB230" s="357">
        <f t="shared" si="91"/>
        <v>331.76356524871352</v>
      </c>
      <c r="AC230" s="610">
        <f t="shared" si="87"/>
        <v>-27.950720465572203</v>
      </c>
      <c r="AD230" s="610">
        <f t="shared" si="72"/>
        <v>13450.071428571429</v>
      </c>
      <c r="AE230" s="202">
        <f t="shared" si="84"/>
        <v>1.0233495229089657</v>
      </c>
      <c r="AF230" s="202">
        <f t="shared" si="83"/>
        <v>7.29846194643331E-2</v>
      </c>
      <c r="AG230" s="4"/>
      <c r="AH230" s="202">
        <f t="shared" si="77"/>
        <v>0.90348044492285606</v>
      </c>
      <c r="AI230" s="179">
        <f>MAX($B$2:B230)</f>
        <v>17096</v>
      </c>
      <c r="AJ230" s="180">
        <f t="shared" si="74"/>
        <v>3.0342833042116046E-2</v>
      </c>
      <c r="AK230" s="180"/>
      <c r="AL230" s="202">
        <f t="shared" si="85"/>
        <v>1.0442857142857143</v>
      </c>
      <c r="AM230" s="202">
        <f t="shared" si="86"/>
        <v>0.90348044492285606</v>
      </c>
      <c r="AP230" s="644">
        <f t="shared" si="67"/>
        <v>1.1216137332920351</v>
      </c>
      <c r="AT230" s="180">
        <f t="shared" si="82"/>
        <v>3.6130851125843258E-2</v>
      </c>
    </row>
    <row r="231" spans="1:46" x14ac:dyDescent="0.25">
      <c r="A231" s="261">
        <v>44122</v>
      </c>
      <c r="B231" s="126">
        <v>10561</v>
      </c>
      <c r="C231" s="126">
        <f t="shared" si="89"/>
        <v>989680</v>
      </c>
      <c r="D231" s="126">
        <v>159</v>
      </c>
      <c r="E231" s="126">
        <f t="shared" si="65"/>
        <v>26255</v>
      </c>
      <c r="F231" s="126">
        <f t="shared" si="71"/>
        <v>12791</v>
      </c>
      <c r="G231" s="155">
        <v>803965</v>
      </c>
      <c r="H231" s="126">
        <v>4387</v>
      </c>
      <c r="I231" s="126">
        <v>13890</v>
      </c>
      <c r="J231" s="4">
        <f t="shared" si="61"/>
        <v>2330200</v>
      </c>
      <c r="K231" s="611">
        <f t="shared" si="69"/>
        <v>2.6528776978417268E-2</v>
      </c>
      <c r="L231" s="7">
        <v>1269203</v>
      </c>
      <c r="M231" s="4">
        <f t="shared" si="90"/>
        <v>1269203.0265287771</v>
      </c>
      <c r="N231" s="642">
        <v>8370</v>
      </c>
      <c r="O231" s="8">
        <v>193297</v>
      </c>
      <c r="P231" s="8">
        <v>669231</v>
      </c>
      <c r="Q231" s="4">
        <f t="shared" si="79"/>
        <v>118782</v>
      </c>
      <c r="R231" s="96">
        <f t="shared" si="70"/>
        <v>159460</v>
      </c>
      <c r="S231" s="35">
        <f t="shared" si="81"/>
        <v>2.7511601655587609E-2</v>
      </c>
      <c r="T231" s="28">
        <f t="shared" si="88"/>
        <v>3.6307340845101586E-2</v>
      </c>
      <c r="U231" s="91">
        <f>SUM(B218:B231)/POBLA!$B$25*100000</f>
        <v>421.31626637463887</v>
      </c>
      <c r="V231" s="91">
        <f>B231/POBLA!$B$25*100000</f>
        <v>23.272284115519113</v>
      </c>
      <c r="W231" s="625">
        <f t="shared" si="80"/>
        <v>1.1440453324238127</v>
      </c>
      <c r="X231" s="28">
        <f t="shared" si="64"/>
        <v>2.7511601655587609E-2</v>
      </c>
      <c r="Y231" s="299">
        <f t="shared" si="68"/>
        <v>0.64536495018183293</v>
      </c>
      <c r="Z231" s="297">
        <f t="shared" si="75"/>
        <v>13639.142857142857</v>
      </c>
      <c r="AA231" s="179">
        <f t="shared" si="76"/>
        <v>342</v>
      </c>
      <c r="AB231" s="357">
        <f t="shared" si="91"/>
        <v>327.67621527311871</v>
      </c>
      <c r="AC231" s="610">
        <f t="shared" si="87"/>
        <v>-14.323784726881286</v>
      </c>
      <c r="AD231" s="610">
        <f t="shared" si="72"/>
        <v>13656.714285714286</v>
      </c>
      <c r="AE231" s="202">
        <f t="shared" si="84"/>
        <v>0.99743000417885497</v>
      </c>
      <c r="AF231" s="202">
        <f t="shared" si="83"/>
        <v>7.0452790924042663E-2</v>
      </c>
      <c r="AG231" s="4"/>
      <c r="AH231" s="202">
        <f t="shared" si="77"/>
        <v>0.84058988764044951</v>
      </c>
      <c r="AI231" s="179">
        <f>MAX($B$2:B231)</f>
        <v>17096</v>
      </c>
      <c r="AJ231" s="180">
        <f t="shared" si="74"/>
        <v>2.8353171078344289E-2</v>
      </c>
      <c r="AK231" s="180"/>
      <c r="AL231" s="202">
        <f t="shared" si="85"/>
        <v>1.0354024073637007</v>
      </c>
      <c r="AM231" s="202">
        <f t="shared" si="86"/>
        <v>0.84058988764044951</v>
      </c>
      <c r="AP231" s="644">
        <f t="shared" si="67"/>
        <v>1.1440453324238127</v>
      </c>
      <c r="AT231" s="180">
        <f t="shared" si="82"/>
        <v>3.6162777709814853E-2</v>
      </c>
    </row>
    <row r="232" spans="1:46" x14ac:dyDescent="0.25">
      <c r="A232" s="261">
        <v>44123</v>
      </c>
      <c r="B232" s="126">
        <v>12982</v>
      </c>
      <c r="C232" s="126">
        <f t="shared" si="89"/>
        <v>1002662</v>
      </c>
      <c r="D232" s="126">
        <v>448</v>
      </c>
      <c r="E232" s="126">
        <f t="shared" si="65"/>
        <v>26703</v>
      </c>
      <c r="F232" s="126">
        <f t="shared" si="71"/>
        <v>12282</v>
      </c>
      <c r="G232" s="155">
        <v>816247</v>
      </c>
      <c r="H232" s="126">
        <v>4392</v>
      </c>
      <c r="I232" s="126">
        <v>28395</v>
      </c>
      <c r="J232" s="4">
        <f t="shared" si="61"/>
        <v>2358595</v>
      </c>
      <c r="K232" s="611">
        <f t="shared" si="69"/>
        <v>2.663210533559664E-2</v>
      </c>
      <c r="L232" s="7">
        <v>1281757</v>
      </c>
      <c r="M232" s="4">
        <v>1283413</v>
      </c>
      <c r="N232" s="202">
        <v>8406</v>
      </c>
      <c r="O232" s="4">
        <v>195959</v>
      </c>
      <c r="P232" s="4">
        <v>676839</v>
      </c>
      <c r="Q232" s="4">
        <v>121458</v>
      </c>
      <c r="R232" s="96">
        <f t="shared" si="70"/>
        <v>159712</v>
      </c>
      <c r="S232" s="35">
        <f t="shared" si="81"/>
        <v>2.7499499098377077E-2</v>
      </c>
      <c r="T232" s="28">
        <f t="shared" si="88"/>
        <v>3.6251254057444317E-2</v>
      </c>
      <c r="U232" s="91">
        <f>SUM(B219:B232)/POBLA!$B$25*100000</f>
        <v>425.1505410040304</v>
      </c>
      <c r="V232" s="91">
        <f>B232/POBLA!$B$25*100000</f>
        <v>28.607214505034477</v>
      </c>
      <c r="W232" s="625">
        <f t="shared" si="80"/>
        <v>1.1377100028894747</v>
      </c>
      <c r="X232" s="28">
        <f t="shared" si="64"/>
        <v>2.7499499098377077E-2</v>
      </c>
      <c r="Y232" s="202">
        <f t="shared" si="68"/>
        <v>0.60927348085012045</v>
      </c>
      <c r="Z232" s="297">
        <f t="shared" si="75"/>
        <v>14133.142857142857</v>
      </c>
      <c r="AA232" s="179">
        <f t="shared" si="76"/>
        <v>360.57142857142856</v>
      </c>
      <c r="AB232" s="357">
        <f t="shared" si="91"/>
        <v>327.90728103405451</v>
      </c>
      <c r="AC232" s="610">
        <f t="shared" si="87"/>
        <v>-32.664147537374049</v>
      </c>
      <c r="AD232" s="610">
        <f t="shared" si="72"/>
        <v>13781</v>
      </c>
      <c r="AE232" s="202">
        <f t="shared" si="84"/>
        <v>1.0524456926448373</v>
      </c>
      <c r="AF232" s="202">
        <f t="shared" si="83"/>
        <v>8.6705359633664214E-2</v>
      </c>
      <c r="AG232" s="4"/>
      <c r="AH232" s="202">
        <f t="shared" si="77"/>
        <v>0.92930780559646531</v>
      </c>
      <c r="AI232" s="179">
        <f>MAX($B$2:B232)</f>
        <v>17096</v>
      </c>
      <c r="AJ232" s="180">
        <f t="shared" si="74"/>
        <v>2.9280063107584509E-2</v>
      </c>
      <c r="AK232" s="180"/>
      <c r="AL232" s="202">
        <f t="shared" si="85"/>
        <v>1.0244926522043387</v>
      </c>
      <c r="AM232" s="202">
        <f t="shared" si="86"/>
        <v>0.92930780559646531</v>
      </c>
      <c r="AP232" s="644">
        <f t="shared" si="67"/>
        <v>1.1377100028894747</v>
      </c>
      <c r="AT232" s="180">
        <f t="shared" si="82"/>
        <v>3.6613049340580628E-2</v>
      </c>
    </row>
    <row r="233" spans="1:46" x14ac:dyDescent="0.25">
      <c r="A233" s="261">
        <v>44124</v>
      </c>
      <c r="B233" s="126">
        <v>16337</v>
      </c>
      <c r="C233" s="126">
        <f t="shared" si="89"/>
        <v>1018999</v>
      </c>
      <c r="D233" s="126">
        <v>381</v>
      </c>
      <c r="E233" s="126">
        <f t="shared" si="65"/>
        <v>27084</v>
      </c>
      <c r="F233" s="126">
        <f t="shared" si="71"/>
        <v>13400</v>
      </c>
      <c r="G233" s="155">
        <v>829647</v>
      </c>
      <c r="H233" s="126">
        <v>4451</v>
      </c>
      <c r="I233" s="126">
        <v>37474</v>
      </c>
      <c r="J233" s="4">
        <f t="shared" si="61"/>
        <v>2396069</v>
      </c>
      <c r="K233" s="611">
        <f t="shared" si="69"/>
        <v>2.6579025102085478E-2</v>
      </c>
      <c r="L233" s="7">
        <v>1298433</v>
      </c>
      <c r="M233" s="4">
        <v>1283413</v>
      </c>
      <c r="N233" s="202">
        <v>8482</v>
      </c>
      <c r="O233" s="4">
        <v>199382</v>
      </c>
      <c r="P233" s="4">
        <v>689632</v>
      </c>
      <c r="Q233" s="12">
        <f t="shared" ref="Q233:Q264" si="92">C233-N233-O233-P233</f>
        <v>121503</v>
      </c>
      <c r="R233" s="96">
        <f t="shared" si="70"/>
        <v>162268</v>
      </c>
      <c r="S233" s="35">
        <f t="shared" si="81"/>
        <v>2.7429930731875662E-2</v>
      </c>
      <c r="T233" s="28">
        <f t="shared" si="88"/>
        <v>3.6063866759165432E-2</v>
      </c>
      <c r="U233" s="91">
        <f>SUM(B220:B233)/POBLA!$B$25*100000</f>
        <v>428.66969995985693</v>
      </c>
      <c r="V233" s="91">
        <f>B233/POBLA!$B$25*100000</f>
        <v>36.000313000211698</v>
      </c>
      <c r="W233" s="625">
        <f t="shared" si="80"/>
        <v>1.1290642738574761</v>
      </c>
      <c r="X233" s="28">
        <f t="shared" si="64"/>
        <v>2.7429930731875662E-2</v>
      </c>
      <c r="Y233" s="202">
        <f t="shared" si="68"/>
        <v>0.56865599223677832</v>
      </c>
      <c r="Z233" s="297">
        <f t="shared" si="75"/>
        <v>14566.285714285714</v>
      </c>
      <c r="AA233" s="179">
        <f t="shared" si="76"/>
        <v>360.14285714285717</v>
      </c>
      <c r="AB233" s="357">
        <f t="shared" si="91"/>
        <v>332.2071406739168</v>
      </c>
      <c r="AC233" s="610">
        <f t="shared" si="87"/>
        <v>-27.93571646894037</v>
      </c>
      <c r="AD233" s="610">
        <f t="shared" si="72"/>
        <v>13895.071428571429</v>
      </c>
      <c r="AE233" s="202">
        <f t="shared" si="84"/>
        <v>1.1015156589281276</v>
      </c>
      <c r="AF233" s="202">
        <f t="shared" si="83"/>
        <v>8.0080140045394987E-2</v>
      </c>
      <c r="AG233" s="4"/>
      <c r="AH233" s="202">
        <f t="shared" si="77"/>
        <v>0.91973732214520254</v>
      </c>
      <c r="AI233" s="179">
        <f>MAX($B$2:B233)</f>
        <v>17096</v>
      </c>
      <c r="AJ233" s="180">
        <f t="shared" si="74"/>
        <v>2.9065209370964767E-2</v>
      </c>
      <c r="AK233" s="180"/>
      <c r="AL233" s="202">
        <f t="shared" si="85"/>
        <v>1.036562645551933</v>
      </c>
      <c r="AM233" s="202">
        <f t="shared" si="86"/>
        <v>0.91973732214520254</v>
      </c>
      <c r="AP233" s="644">
        <f t="shared" si="67"/>
        <v>1.1290642738574761</v>
      </c>
      <c r="AT233" s="180">
        <f t="shared" si="82"/>
        <v>3.6196515269558395E-2</v>
      </c>
    </row>
    <row r="234" spans="1:46" x14ac:dyDescent="0.25">
      <c r="A234" s="261">
        <v>44125</v>
      </c>
      <c r="B234" s="139">
        <v>18326</v>
      </c>
      <c r="C234" s="126">
        <f t="shared" si="89"/>
        <v>1037325</v>
      </c>
      <c r="D234" s="126">
        <v>421</v>
      </c>
      <c r="E234" s="126">
        <f t="shared" si="65"/>
        <v>27505</v>
      </c>
      <c r="F234" s="126">
        <f t="shared" si="71"/>
        <v>10873</v>
      </c>
      <c r="G234" s="155">
        <v>840520</v>
      </c>
      <c r="H234" s="126">
        <v>4573</v>
      </c>
      <c r="I234" s="126">
        <v>38340</v>
      </c>
      <c r="J234" s="4">
        <f t="shared" ref="J234:J297" si="93">J235-I235</f>
        <v>2434409</v>
      </c>
      <c r="K234" s="611">
        <f t="shared" si="69"/>
        <v>2.651531583640614E-2</v>
      </c>
      <c r="L234" s="7">
        <v>1314443</v>
      </c>
      <c r="M234" s="7">
        <f>K234+L234</f>
        <v>1314443.0265153158</v>
      </c>
      <c r="N234" s="202">
        <v>8552</v>
      </c>
      <c r="O234" s="4">
        <v>202216</v>
      </c>
      <c r="P234" s="4">
        <v>702103</v>
      </c>
      <c r="Q234" s="12">
        <f t="shared" si="92"/>
        <v>124454</v>
      </c>
      <c r="R234" s="96">
        <f t="shared" si="70"/>
        <v>169300</v>
      </c>
      <c r="S234" s="35">
        <f t="shared" si="81"/>
        <v>2.7011222681630243E-2</v>
      </c>
      <c r="T234" s="28">
        <f t="shared" si="88"/>
        <v>3.5954154368223877E-2</v>
      </c>
      <c r="U234" s="91">
        <f>SUM(B221:B234)/POBLA!$B$25*100000</f>
        <v>432.81027583837789</v>
      </c>
      <c r="V234" s="91">
        <f>B234/POBLA!$B$25*100000</f>
        <v>40.383285550705736</v>
      </c>
      <c r="W234" s="625">
        <f t="shared" si="80"/>
        <v>1.1152308705625837</v>
      </c>
      <c r="X234" s="28">
        <f t="shared" si="64"/>
        <v>2.7011222681630243E-2</v>
      </c>
      <c r="Y234" s="202">
        <f t="shared" si="68"/>
        <v>0.54272438803263823</v>
      </c>
      <c r="Z234" s="297">
        <f t="shared" si="75"/>
        <v>15051.142857142857</v>
      </c>
      <c r="AA234" s="179">
        <f t="shared" si="76"/>
        <v>370.28571428571428</v>
      </c>
      <c r="AB234" s="357">
        <f t="shared" si="91"/>
        <v>339.45316742561886</v>
      </c>
      <c r="AC234" s="610">
        <f t="shared" si="87"/>
        <v>-30.83254686009542</v>
      </c>
      <c r="AD234" s="610">
        <f t="shared" si="72"/>
        <v>14029.285714285714</v>
      </c>
      <c r="AE234" s="202">
        <f t="shared" si="84"/>
        <v>1.157119008917981</v>
      </c>
      <c r="AF234" s="202">
        <f t="shared" si="83"/>
        <v>8.5896810939785073E-2</v>
      </c>
      <c r="AG234" s="4"/>
      <c r="AH234" s="202">
        <f t="shared" si="77"/>
        <v>0.96356877323420076</v>
      </c>
      <c r="AI234" s="179">
        <f>MAX($B$2:B234)</f>
        <v>18326</v>
      </c>
      <c r="AJ234" s="180">
        <f t="shared" si="74"/>
        <v>2.9303366721685847E-2</v>
      </c>
      <c r="AK234" s="180"/>
      <c r="AL234" s="202">
        <f t="shared" si="85"/>
        <v>1.059545875810936</v>
      </c>
      <c r="AM234" s="202">
        <f t="shared" si="86"/>
        <v>0.96356877323420076</v>
      </c>
      <c r="AP234" s="644">
        <f t="shared" si="67"/>
        <v>1.1152308705625837</v>
      </c>
      <c r="AT234" s="180">
        <f t="shared" si="82"/>
        <v>3.5311623503819445E-2</v>
      </c>
    </row>
    <row r="235" spans="1:46" x14ac:dyDescent="0.25">
      <c r="A235" s="261">
        <v>44126</v>
      </c>
      <c r="B235" s="126">
        <v>16325</v>
      </c>
      <c r="C235" s="126">
        <f t="shared" si="89"/>
        <v>1053650</v>
      </c>
      <c r="D235" s="124">
        <v>437</v>
      </c>
      <c r="E235" s="124">
        <f t="shared" si="65"/>
        <v>27942</v>
      </c>
      <c r="F235" s="126">
        <f t="shared" si="71"/>
        <v>11334</v>
      </c>
      <c r="G235" s="149">
        <v>851854</v>
      </c>
      <c r="H235" s="124">
        <v>4611</v>
      </c>
      <c r="I235" s="124">
        <v>39196</v>
      </c>
      <c r="J235" s="4">
        <f t="shared" si="93"/>
        <v>2473605</v>
      </c>
      <c r="K235" s="611">
        <f t="shared" si="69"/>
        <v>2.651924263275281E-2</v>
      </c>
      <c r="L235" s="95">
        <v>1332741</v>
      </c>
      <c r="M235" s="95">
        <f>L235+K235</f>
        <v>1332741.0265192427</v>
      </c>
      <c r="N235" s="316">
        <v>8614</v>
      </c>
      <c r="O235" s="95">
        <v>205085</v>
      </c>
      <c r="P235" s="95">
        <v>714929</v>
      </c>
      <c r="Q235" s="95">
        <f t="shared" si="92"/>
        <v>125022</v>
      </c>
      <c r="R235" s="96">
        <f t="shared" si="70"/>
        <v>173854</v>
      </c>
      <c r="S235" s="35">
        <f t="shared" si="81"/>
        <v>2.6522254305336661E-2</v>
      </c>
      <c r="T235" s="28">
        <f t="shared" si="88"/>
        <v>3.5837365924105635E-2</v>
      </c>
      <c r="U235" s="91">
        <f>SUM(B222:B235)/POBLA!$B$25*100000</f>
        <v>434.72961675918248</v>
      </c>
      <c r="V235" s="91">
        <f>B235/POBLA!$B$25*100000</f>
        <v>35.973869726905548</v>
      </c>
      <c r="W235" s="625">
        <f t="shared" si="80"/>
        <v>1.1076792642459701</v>
      </c>
      <c r="X235" s="28">
        <f t="shared" si="64"/>
        <v>2.6522254305336661E-2</v>
      </c>
      <c r="Y235" s="202">
        <f t="shared" si="68"/>
        <v>0.50853828125759737</v>
      </c>
      <c r="Z235" s="297">
        <f t="shared" si="75"/>
        <v>14941</v>
      </c>
      <c r="AA235" s="179">
        <f t="shared" si="76"/>
        <v>372.57142857142856</v>
      </c>
      <c r="AB235" s="357">
        <f t="shared" si="91"/>
        <v>346.09087387729886</v>
      </c>
      <c r="AC235" s="610">
        <f t="shared" si="87"/>
        <v>-26.480554694129694</v>
      </c>
      <c r="AD235" s="610">
        <f t="shared" si="72"/>
        <v>14091.5</v>
      </c>
      <c r="AE235" s="202">
        <f t="shared" si="84"/>
        <v>1.128303881588884</v>
      </c>
      <c r="AF235" s="202">
        <f t="shared" si="83"/>
        <v>9.431610750928443E-2</v>
      </c>
      <c r="AG235" s="4"/>
      <c r="AH235" s="202">
        <f t="shared" si="77"/>
        <v>0.99276741530262658</v>
      </c>
      <c r="AI235" s="179">
        <f>MAX($B$2:B235)</f>
        <v>18326</v>
      </c>
      <c r="AJ235" s="180">
        <f t="shared" si="74"/>
        <v>2.9524305476939797E-2</v>
      </c>
      <c r="AK235" s="180"/>
      <c r="AL235" s="202">
        <f t="shared" si="85"/>
        <v>1.0778401122019636</v>
      </c>
      <c r="AM235" s="202">
        <f t="shared" si="86"/>
        <v>0.99276741530262658</v>
      </c>
      <c r="AP235" s="644">
        <f t="shared" si="67"/>
        <v>1.1076792642459701</v>
      </c>
      <c r="AT235" s="180">
        <f t="shared" si="82"/>
        <v>3.4853889149040043E-2</v>
      </c>
    </row>
    <row r="236" spans="1:46" x14ac:dyDescent="0.25">
      <c r="A236" s="261">
        <v>44127</v>
      </c>
      <c r="B236" s="126">
        <v>15718</v>
      </c>
      <c r="C236" s="126">
        <f t="shared" si="89"/>
        <v>1069368</v>
      </c>
      <c r="D236" s="124">
        <v>380</v>
      </c>
      <c r="E236" s="124">
        <f t="shared" si="65"/>
        <v>28322</v>
      </c>
      <c r="F236" s="126">
        <f t="shared" si="71"/>
        <v>14841</v>
      </c>
      <c r="G236" s="149">
        <v>866695</v>
      </c>
      <c r="H236" s="124">
        <v>4696</v>
      </c>
      <c r="I236" s="124">
        <v>35671</v>
      </c>
      <c r="J236" s="4">
        <f t="shared" si="93"/>
        <v>2509276</v>
      </c>
      <c r="K236" s="611">
        <f t="shared" si="69"/>
        <v>2.6484802238331426E-2</v>
      </c>
      <c r="L236" s="95">
        <v>1348372</v>
      </c>
      <c r="M236" s="95">
        <f t="shared" ref="M236:M299" si="94">L236+K236</f>
        <v>1348372.0264848021</v>
      </c>
      <c r="N236" s="316">
        <v>8671</v>
      </c>
      <c r="O236" s="97">
        <v>208116</v>
      </c>
      <c r="P236" s="97">
        <v>727467</v>
      </c>
      <c r="Q236" s="95">
        <f t="shared" si="92"/>
        <v>125114</v>
      </c>
      <c r="R236" s="96">
        <f t="shared" si="70"/>
        <v>174351</v>
      </c>
      <c r="S236" s="35">
        <f t="shared" si="81"/>
        <v>2.6934173018795419E-2</v>
      </c>
      <c r="T236" s="28">
        <f t="shared" si="88"/>
        <v>3.5813550020358666E-2</v>
      </c>
      <c r="U236" s="91">
        <f>SUM(B223:B236)/POBLA!$B$25*100000</f>
        <v>436.09364894055796</v>
      </c>
      <c r="V236" s="91">
        <f>B236/POBLA!$B$25*100000</f>
        <v>34.636280818836234</v>
      </c>
      <c r="W236" s="625">
        <f t="shared" si="80"/>
        <v>1.0980231145239774</v>
      </c>
      <c r="X236" s="28">
        <f t="shared" si="64"/>
        <v>2.6934173018795419E-2</v>
      </c>
      <c r="Y236" s="202">
        <f t="shared" si="68"/>
        <v>0.48503419486632915</v>
      </c>
      <c r="Z236" s="297">
        <f t="shared" si="75"/>
        <v>14822.714285714286</v>
      </c>
      <c r="AA236" s="179">
        <f t="shared" si="76"/>
        <v>372.71428571428572</v>
      </c>
      <c r="AB236" s="357">
        <f t="shared" si="91"/>
        <v>349.36126808032947</v>
      </c>
      <c r="AC236" s="610">
        <f t="shared" si="87"/>
        <v>-23.353017633956256</v>
      </c>
      <c r="AD236" s="610">
        <f t="shared" si="72"/>
        <v>14135.714285714286</v>
      </c>
      <c r="AE236" s="202">
        <f t="shared" si="84"/>
        <v>1.1021659000860411</v>
      </c>
      <c r="AF236" s="202">
        <f t="shared" si="83"/>
        <v>8.0275101459152953E-2</v>
      </c>
      <c r="AG236" s="4"/>
      <c r="AH236" s="202">
        <f t="shared" si="77"/>
        <v>1.0469502407704656</v>
      </c>
      <c r="AI236" s="179">
        <f>MAX($B$2:B236)</f>
        <v>18326</v>
      </c>
      <c r="AJ236" s="180">
        <f t="shared" si="74"/>
        <v>2.9933112286458393E-2</v>
      </c>
      <c r="AK236" s="180"/>
      <c r="AL236" s="202">
        <f t="shared" si="85"/>
        <v>1.0805338242061666</v>
      </c>
      <c r="AM236" s="202">
        <f t="shared" si="86"/>
        <v>1.0469502407704656</v>
      </c>
      <c r="AP236" s="644">
        <f t="shared" si="67"/>
        <v>1.0980231145239774</v>
      </c>
      <c r="AT236" s="180">
        <f t="shared" si="82"/>
        <v>3.4481139187629302E-2</v>
      </c>
    </row>
    <row r="237" spans="1:46" x14ac:dyDescent="0.25">
      <c r="A237" s="261">
        <v>44128</v>
      </c>
      <c r="B237" s="126">
        <v>11968</v>
      </c>
      <c r="C237" s="126">
        <f t="shared" si="89"/>
        <v>1081336</v>
      </c>
      <c r="D237" s="124">
        <v>273</v>
      </c>
      <c r="E237" s="124">
        <f t="shared" si="65"/>
        <v>28595</v>
      </c>
      <c r="F237" s="126">
        <f t="shared" si="71"/>
        <v>14418</v>
      </c>
      <c r="G237" s="149">
        <v>881113</v>
      </c>
      <c r="H237" s="124">
        <v>4850</v>
      </c>
      <c r="I237" s="124">
        <v>27027</v>
      </c>
      <c r="J237" s="4">
        <f t="shared" si="93"/>
        <v>2536303</v>
      </c>
      <c r="K237" s="611">
        <f t="shared" si="69"/>
        <v>2.6444139471912521E-2</v>
      </c>
      <c r="L237" s="95">
        <v>1359984</v>
      </c>
      <c r="M237" s="95">
        <f t="shared" si="94"/>
        <v>1359984.0264441394</v>
      </c>
      <c r="N237" s="316">
        <v>8708</v>
      </c>
      <c r="O237" s="97">
        <v>210053</v>
      </c>
      <c r="P237" s="97">
        <v>735763</v>
      </c>
      <c r="Q237" s="95">
        <f t="shared" si="92"/>
        <v>126812</v>
      </c>
      <c r="R237" s="96">
        <f t="shared" si="70"/>
        <v>171628</v>
      </c>
      <c r="S237" s="35">
        <f t="shared" si="81"/>
        <v>2.8258792271657306E-2</v>
      </c>
      <c r="T237" s="28">
        <f t="shared" si="88"/>
        <v>3.5811523307860124E-2</v>
      </c>
      <c r="U237" s="91">
        <f>SUM(B224:B237)/POBLA!$B$25*100000</f>
        <v>435.11084061601281</v>
      </c>
      <c r="V237" s="91">
        <f>B237/POBLA!$B$25*100000</f>
        <v>26.372757910664969</v>
      </c>
      <c r="W237" s="625">
        <f t="shared" si="80"/>
        <v>1.0885125525088479</v>
      </c>
      <c r="X237" s="28">
        <f t="shared" si="64"/>
        <v>2.8258792271657306E-2</v>
      </c>
      <c r="Y237" s="202">
        <f t="shared" si="68"/>
        <v>0.46463751119353797</v>
      </c>
      <c r="Z237" s="297">
        <f t="shared" si="75"/>
        <v>14602.428571428571</v>
      </c>
      <c r="AA237" s="179">
        <f t="shared" si="76"/>
        <v>357</v>
      </c>
      <c r="AB237" s="357">
        <f t="shared" si="91"/>
        <v>354.64704758586072</v>
      </c>
      <c r="AC237" s="610">
        <f t="shared" si="87"/>
        <v>-2.3529524141392812</v>
      </c>
      <c r="AD237" s="610">
        <f t="shared" si="72"/>
        <v>14103.857142857143</v>
      </c>
      <c r="AE237" s="202">
        <f t="shared" si="84"/>
        <v>1.0732908428446928</v>
      </c>
      <c r="AF237" s="202">
        <f t="shared" si="83"/>
        <v>6.0420515418692755E-2</v>
      </c>
      <c r="AG237" s="4"/>
      <c r="AH237" s="202">
        <f t="shared" si="77"/>
        <v>0.9924543288324067</v>
      </c>
      <c r="AI237" s="179">
        <f>MAX($B$2:B237)</f>
        <v>18326</v>
      </c>
      <c r="AJ237" s="180">
        <f t="shared" si="74"/>
        <v>2.8858145872788579E-2</v>
      </c>
      <c r="AK237" s="180"/>
      <c r="AL237" s="202">
        <f t="shared" si="85"/>
        <v>1.1057911536707707</v>
      </c>
      <c r="AM237" s="202">
        <f t="shared" si="86"/>
        <v>0.9924543288324067</v>
      </c>
      <c r="AP237" s="644">
        <f t="shared" si="67"/>
        <v>1.0885125525088479</v>
      </c>
      <c r="AT237" s="180">
        <f t="shared" si="82"/>
        <v>3.431661994194557E-2</v>
      </c>
    </row>
    <row r="238" spans="1:46" x14ac:dyDescent="0.25">
      <c r="A238" s="261">
        <v>44129</v>
      </c>
      <c r="B238" s="126">
        <v>9253</v>
      </c>
      <c r="C238" s="126">
        <f t="shared" si="89"/>
        <v>1090589</v>
      </c>
      <c r="D238" s="124">
        <v>282</v>
      </c>
      <c r="E238" s="124">
        <f t="shared" si="65"/>
        <v>28877</v>
      </c>
      <c r="F238" s="126">
        <f t="shared" si="71"/>
        <v>13706</v>
      </c>
      <c r="G238" s="149">
        <v>894819</v>
      </c>
      <c r="H238" s="124">
        <v>4863</v>
      </c>
      <c r="I238" s="124">
        <v>20303</v>
      </c>
      <c r="J238" s="4">
        <f t="shared" si="93"/>
        <v>2556606</v>
      </c>
      <c r="K238" s="611">
        <f t="shared" si="69"/>
        <v>2.6478352523269535E-2</v>
      </c>
      <c r="L238" s="95">
        <v>1367953</v>
      </c>
      <c r="M238" s="95">
        <f t="shared" si="94"/>
        <v>1367953.0264783525</v>
      </c>
      <c r="N238" s="316">
        <v>8749</v>
      </c>
      <c r="O238" s="95">
        <v>211123</v>
      </c>
      <c r="P238" s="95">
        <v>741313</v>
      </c>
      <c r="Q238" s="95">
        <f t="shared" si="92"/>
        <v>129404</v>
      </c>
      <c r="R238" s="96">
        <f t="shared" si="70"/>
        <v>166893</v>
      </c>
      <c r="S238" s="35">
        <f t="shared" si="81"/>
        <v>2.9138430012043644E-2</v>
      </c>
      <c r="T238" s="28">
        <f t="shared" si="88"/>
        <v>3.5662592870692379E-2</v>
      </c>
      <c r="U238" s="91">
        <f>SUM(B225:B238)/POBLA!$B$25*100000</f>
        <v>432.75077847343908</v>
      </c>
      <c r="V238" s="91">
        <f>B238/POBLA!$B$25*100000</f>
        <v>20.389967325148977</v>
      </c>
      <c r="W238" s="625">
        <f t="shared" si="80"/>
        <v>1.0738294300665461</v>
      </c>
      <c r="X238" s="28">
        <f t="shared" si="64"/>
        <v>2.9138430012043644E-2</v>
      </c>
      <c r="Y238" s="202">
        <f t="shared" si="68"/>
        <v>0.44569931892264342</v>
      </c>
      <c r="Z238" s="297">
        <f t="shared" si="75"/>
        <v>14415.571428571429</v>
      </c>
      <c r="AA238" s="179">
        <f t="shared" si="76"/>
        <v>374.57142857142856</v>
      </c>
      <c r="AB238" s="357">
        <f t="shared" si="91"/>
        <v>364.88474851272684</v>
      </c>
      <c r="AC238" s="610">
        <f t="shared" si="87"/>
        <v>-9.686680058701711</v>
      </c>
      <c r="AD238" s="610">
        <f t="shared" si="72"/>
        <v>14027.357142857143</v>
      </c>
      <c r="AE238" s="202">
        <f t="shared" si="84"/>
        <v>1.0569264930766493</v>
      </c>
      <c r="AF238" s="202">
        <f t="shared" si="83"/>
        <v>4.6613570801455007E-2</v>
      </c>
      <c r="AG238" s="4"/>
      <c r="AH238" s="202">
        <f t="shared" si="77"/>
        <v>1.0952380952380951</v>
      </c>
      <c r="AI238" s="179">
        <f>MAX($B$2:B238)</f>
        <v>18326</v>
      </c>
      <c r="AJ238" s="180">
        <f t="shared" si="74"/>
        <v>2.9843271605640858E-2</v>
      </c>
      <c r="AK238" s="180"/>
      <c r="AL238" s="202">
        <f t="shared" si="85"/>
        <v>1.1085023934351492</v>
      </c>
      <c r="AM238" s="202">
        <f t="shared" si="86"/>
        <v>1.0952380952380951</v>
      </c>
      <c r="AP238" s="644">
        <f t="shared" si="67"/>
        <v>1.0738294300665461</v>
      </c>
      <c r="AT238" s="180">
        <f t="shared" si="82"/>
        <v>3.4235289993339246E-2</v>
      </c>
    </row>
    <row r="239" spans="1:46" x14ac:dyDescent="0.25">
      <c r="A239" s="261">
        <v>44130</v>
      </c>
      <c r="B239" s="126">
        <v>11712</v>
      </c>
      <c r="C239" s="126">
        <f t="shared" si="89"/>
        <v>1102301</v>
      </c>
      <c r="D239" s="124">
        <v>405</v>
      </c>
      <c r="E239" s="124">
        <f t="shared" si="65"/>
        <v>29282</v>
      </c>
      <c r="F239" s="126">
        <f t="shared" si="71"/>
        <v>14767</v>
      </c>
      <c r="G239" s="149">
        <v>909586</v>
      </c>
      <c r="H239" s="124">
        <v>5038</v>
      </c>
      <c r="I239" s="124">
        <v>26448</v>
      </c>
      <c r="J239" s="4">
        <f t="shared" si="93"/>
        <v>2583054</v>
      </c>
      <c r="K239" s="611">
        <f t="shared" si="69"/>
        <v>2.6564432038073085E-2</v>
      </c>
      <c r="L239" s="95">
        <v>1378916</v>
      </c>
      <c r="M239" s="95">
        <f t="shared" si="94"/>
        <v>1378916.0265644321</v>
      </c>
      <c r="N239" s="641">
        <v>8816</v>
      </c>
      <c r="O239" s="97">
        <v>213578</v>
      </c>
      <c r="P239" s="97">
        <v>753406</v>
      </c>
      <c r="Q239" s="95">
        <f t="shared" si="92"/>
        <v>126501</v>
      </c>
      <c r="R239" s="96">
        <f t="shared" si="70"/>
        <v>163433</v>
      </c>
      <c r="S239" s="35">
        <f t="shared" si="81"/>
        <v>3.0826087754615043E-2</v>
      </c>
      <c r="T239" s="28">
        <f t="shared" si="88"/>
        <v>3.5516235924256609E-2</v>
      </c>
      <c r="U239" s="91">
        <f>SUM(B226:B239)/POBLA!$B$25*100000</f>
        <v>437.5722686395934</v>
      </c>
      <c r="V239" s="91">
        <f>B239/POBLA!$B$25*100000</f>
        <v>25.808634746800482</v>
      </c>
      <c r="W239" s="625">
        <f t="shared" si="80"/>
        <v>1.0995193745224199</v>
      </c>
      <c r="X239" s="28">
        <f t="shared" si="64"/>
        <v>3.0826087754615043E-2</v>
      </c>
      <c r="Y239" s="202">
        <f t="shared" si="68"/>
        <v>0.44390735056290903</v>
      </c>
      <c r="Z239" s="297">
        <f t="shared" si="75"/>
        <v>14234.142857142857</v>
      </c>
      <c r="AA239" s="179">
        <f t="shared" si="76"/>
        <v>368.42857142857144</v>
      </c>
      <c r="AB239" s="357">
        <f t="shared" si="91"/>
        <v>359.28467225514572</v>
      </c>
      <c r="AC239" s="610">
        <f t="shared" si="87"/>
        <v>-9.1438991734257229</v>
      </c>
      <c r="AD239" s="610">
        <f t="shared" si="72"/>
        <v>14183.642857142857</v>
      </c>
      <c r="AE239" s="202">
        <f t="shared" si="84"/>
        <v>1.0071463227267214</v>
      </c>
      <c r="AF239" s="202">
        <f t="shared" si="83"/>
        <v>2.3298186736125048E-2</v>
      </c>
      <c r="AG239" s="4"/>
      <c r="AH239" s="202">
        <f t="shared" si="77"/>
        <v>1.0217908082408875</v>
      </c>
      <c r="AI239" s="179">
        <f>MAX($B$2:B239)</f>
        <v>18326</v>
      </c>
      <c r="AJ239" s="180">
        <f t="shared" si="74"/>
        <v>2.8682963720888851E-2</v>
      </c>
      <c r="AK239" s="180"/>
      <c r="AL239" s="202">
        <f t="shared" si="85"/>
        <v>1.1470856102003644</v>
      </c>
      <c r="AM239" s="202">
        <f t="shared" si="86"/>
        <v>1.0217908082408875</v>
      </c>
      <c r="AP239" s="644">
        <f t="shared" si="67"/>
        <v>1.0995193745224199</v>
      </c>
      <c r="AT239" s="180">
        <f t="shared" si="82"/>
        <v>3.4365722317960465E-2</v>
      </c>
    </row>
    <row r="240" spans="1:46" x14ac:dyDescent="0.25">
      <c r="A240" s="261">
        <v>44131</v>
      </c>
      <c r="B240" s="126">
        <v>14308</v>
      </c>
      <c r="C240" s="126">
        <f t="shared" si="89"/>
        <v>1116609</v>
      </c>
      <c r="D240" s="124">
        <v>425</v>
      </c>
      <c r="E240" s="124">
        <f t="shared" si="65"/>
        <v>29707</v>
      </c>
      <c r="F240" s="126">
        <f t="shared" si="71"/>
        <v>11758</v>
      </c>
      <c r="G240" s="149">
        <v>921344</v>
      </c>
      <c r="H240" s="124">
        <v>4952</v>
      </c>
      <c r="I240" s="124">
        <v>32847</v>
      </c>
      <c r="J240" s="4">
        <f t="shared" si="93"/>
        <v>2615901</v>
      </c>
      <c r="K240" s="611">
        <f t="shared" si="69"/>
        <v>2.6604657494252688E-2</v>
      </c>
      <c r="L240" s="95">
        <v>1392805</v>
      </c>
      <c r="M240" s="95">
        <f t="shared" si="94"/>
        <v>1392805.0266046575</v>
      </c>
      <c r="N240" s="316">
        <v>8868</v>
      </c>
      <c r="O240" s="95">
        <v>216480</v>
      </c>
      <c r="P240" s="95">
        <v>765831</v>
      </c>
      <c r="Q240" s="95">
        <f t="shared" si="92"/>
        <v>125430</v>
      </c>
      <c r="R240" s="96">
        <f t="shared" si="70"/>
        <v>165558</v>
      </c>
      <c r="S240" s="35">
        <f t="shared" si="81"/>
        <v>2.9910967757523044E-2</v>
      </c>
      <c r="T240" s="28">
        <f t="shared" si="88"/>
        <v>3.5326994999494599E-2</v>
      </c>
      <c r="U240" s="91">
        <f>SUM(B227:B240)/POBLA!$B$25*100000</f>
        <v>439.78248556676562</v>
      </c>
      <c r="V240" s="91">
        <f>B240/POBLA!$B$25*100000</f>
        <v>31.529196205363835</v>
      </c>
      <c r="W240" s="625">
        <f t="shared" si="80"/>
        <v>1.1061266114639796</v>
      </c>
      <c r="X240" s="28">
        <f t="shared" ref="X240:X303" si="95">H240/R240</f>
        <v>2.9910967757523044E-2</v>
      </c>
      <c r="Y240" s="202">
        <f t="shared" si="68"/>
        <v>0.44402088867862732</v>
      </c>
      <c r="Z240" s="297">
        <f t="shared" si="75"/>
        <v>13944.285714285714</v>
      </c>
      <c r="AA240" s="179">
        <f t="shared" si="76"/>
        <v>374.71428571428572</v>
      </c>
      <c r="AB240" s="357">
        <f t="shared" si="91"/>
        <v>354.20415033232103</v>
      </c>
      <c r="AC240" s="610">
        <f t="shared" si="87"/>
        <v>-20.510135381964687</v>
      </c>
      <c r="AD240" s="610">
        <f t="shared" si="72"/>
        <v>14255.285714285714</v>
      </c>
      <c r="AE240" s="202">
        <f t="shared" si="84"/>
        <v>0.95729865442705264</v>
      </c>
      <c r="AF240" s="202">
        <f t="shared" si="83"/>
        <v>2.0275100451105477E-2</v>
      </c>
      <c r="AG240" s="4"/>
      <c r="AH240" s="202">
        <f t="shared" si="77"/>
        <v>1.0404601348671161</v>
      </c>
      <c r="AI240" s="179">
        <f>MAX($B$2:B240)</f>
        <v>18326</v>
      </c>
      <c r="AJ240" s="180">
        <f t="shared" si="74"/>
        <v>2.8708395810303503E-2</v>
      </c>
      <c r="AK240" s="180"/>
      <c r="AL240" s="202">
        <f t="shared" si="85"/>
        <v>1.1125589755111212</v>
      </c>
      <c r="AM240" s="202">
        <f t="shared" si="86"/>
        <v>1.0404601348671161</v>
      </c>
      <c r="AP240" s="644">
        <f t="shared" si="67"/>
        <v>1.1061266114639796</v>
      </c>
      <c r="AT240" s="180">
        <f t="shared" si="82"/>
        <v>3.444251438497449E-2</v>
      </c>
    </row>
    <row r="241" spans="1:46" x14ac:dyDescent="0.25">
      <c r="A241" s="261">
        <v>44132</v>
      </c>
      <c r="B241" s="126">
        <v>13924</v>
      </c>
      <c r="C241" s="126">
        <f t="shared" si="89"/>
        <v>1130533</v>
      </c>
      <c r="D241" s="124">
        <v>345</v>
      </c>
      <c r="E241" s="124">
        <f t="shared" ref="E241:E304" si="96">E240+D241</f>
        <v>30052</v>
      </c>
      <c r="F241" s="126">
        <f t="shared" si="71"/>
        <v>9803</v>
      </c>
      <c r="G241" s="149">
        <v>931147</v>
      </c>
      <c r="H241" s="124">
        <v>5037</v>
      </c>
      <c r="I241" s="124">
        <v>32827</v>
      </c>
      <c r="J241" s="4">
        <f t="shared" si="93"/>
        <v>2648728</v>
      </c>
      <c r="K241" s="611">
        <f t="shared" si="69"/>
        <v>2.6582151958412535E-2</v>
      </c>
      <c r="L241" s="95">
        <v>1406416</v>
      </c>
      <c r="M241" s="95">
        <f t="shared" si="94"/>
        <v>1406416.0265821519</v>
      </c>
      <c r="N241" s="641">
        <v>8959</v>
      </c>
      <c r="O241" s="97">
        <v>219233</v>
      </c>
      <c r="P241" s="97">
        <v>777424</v>
      </c>
      <c r="Q241" s="95">
        <f t="shared" si="92"/>
        <v>124917</v>
      </c>
      <c r="R241" s="96">
        <f t="shared" si="70"/>
        <v>169334</v>
      </c>
      <c r="S241" s="35">
        <f t="shared" si="81"/>
        <v>2.9745945882102828E-2</v>
      </c>
      <c r="T241" s="28">
        <f t="shared" si="88"/>
        <v>3.5092349209277778E-2</v>
      </c>
      <c r="U241" s="91">
        <f>SUM(B228:B241)/POBLA!$B$25*100000</f>
        <v>437.56125060904918</v>
      </c>
      <c r="V241" s="91">
        <f>B241/POBLA!$B$25*100000</f>
        <v>30.683011459567101</v>
      </c>
      <c r="W241" s="625">
        <f t="shared" si="80"/>
        <v>1.0972558381132367</v>
      </c>
      <c r="X241" s="28">
        <f t="shared" si="95"/>
        <v>2.9745945882102828E-2</v>
      </c>
      <c r="Y241" s="202">
        <f t="shared" si="68"/>
        <v>0.4349031117166467</v>
      </c>
      <c r="Z241" s="297">
        <f t="shared" si="75"/>
        <v>13315.428571428571</v>
      </c>
      <c r="AA241" s="179">
        <f t="shared" si="76"/>
        <v>363.85714285714283</v>
      </c>
      <c r="AB241" s="357">
        <f t="shared" si="91"/>
        <v>347.70980946750262</v>
      </c>
      <c r="AC241" s="610">
        <f t="shared" si="87"/>
        <v>-16.14733338964021</v>
      </c>
      <c r="AD241" s="610">
        <f t="shared" si="72"/>
        <v>14183.285714285714</v>
      </c>
      <c r="AE241" s="202">
        <f t="shared" si="84"/>
        <v>0.88467890430721918</v>
      </c>
      <c r="AF241" s="202">
        <f t="shared" si="83"/>
        <v>2.0082693443601585E-4</v>
      </c>
      <c r="AG241" s="4"/>
      <c r="AH241" s="202">
        <f t="shared" si="77"/>
        <v>0.98263888888888884</v>
      </c>
      <c r="AI241" s="179">
        <f>MAX($B$2:B241)</f>
        <v>18326</v>
      </c>
      <c r="AJ241" s="180">
        <f t="shared" si="74"/>
        <v>2.7751446409309318E-2</v>
      </c>
      <c r="AK241" s="180"/>
      <c r="AL241" s="202">
        <f t="shared" si="85"/>
        <v>1.101465121364531</v>
      </c>
      <c r="AM241" s="202">
        <f t="shared" si="86"/>
        <v>0.98263888888888884</v>
      </c>
      <c r="AP241" s="644">
        <f t="shared" si="67"/>
        <v>1.0972558381132367</v>
      </c>
      <c r="AT241" s="180">
        <f t="shared" si="82"/>
        <v>3.4214447190851274E-2</v>
      </c>
    </row>
    <row r="242" spans="1:46" x14ac:dyDescent="0.25">
      <c r="A242" s="261">
        <v>44133</v>
      </c>
      <c r="B242" s="126">
        <v>13267</v>
      </c>
      <c r="C242" s="126">
        <f t="shared" si="89"/>
        <v>1143800</v>
      </c>
      <c r="D242" s="124">
        <v>370</v>
      </c>
      <c r="E242" s="124">
        <f t="shared" si="96"/>
        <v>30422</v>
      </c>
      <c r="F242" s="126">
        <f t="shared" si="71"/>
        <v>14987</v>
      </c>
      <c r="G242" s="149">
        <v>946134</v>
      </c>
      <c r="H242" s="124">
        <v>4981</v>
      </c>
      <c r="I242" s="124">
        <v>31568</v>
      </c>
      <c r="J242" s="4">
        <f t="shared" si="93"/>
        <v>2680296</v>
      </c>
      <c r="K242" s="611">
        <f t="shared" si="69"/>
        <v>2.6597307221542226E-2</v>
      </c>
      <c r="L242" s="95">
        <v>1420288</v>
      </c>
      <c r="M242" s="95">
        <f t="shared" si="94"/>
        <v>1420288.0265973073</v>
      </c>
      <c r="N242" s="316">
        <v>9010</v>
      </c>
      <c r="O242" s="95">
        <v>221851</v>
      </c>
      <c r="P242" s="95">
        <v>788337</v>
      </c>
      <c r="Q242" s="95">
        <f t="shared" si="92"/>
        <v>124602</v>
      </c>
      <c r="R242" s="96">
        <f t="shared" si="70"/>
        <v>167244</v>
      </c>
      <c r="S242" s="35">
        <f t="shared" si="81"/>
        <v>2.9782832269020114E-2</v>
      </c>
      <c r="T242" s="28">
        <f t="shared" si="88"/>
        <v>3.4908912318065609E-2</v>
      </c>
      <c r="U242" s="91">
        <f>SUM(B229:B242)/POBLA!$B$25*100000</f>
        <v>429.12364281827905</v>
      </c>
      <c r="V242" s="91">
        <f>B242/POBLA!$B$25*100000</f>
        <v>29.235242246055495</v>
      </c>
      <c r="W242" s="625">
        <f t="shared" si="80"/>
        <v>1.0580025100374333</v>
      </c>
      <c r="X242" s="28">
        <f t="shared" si="95"/>
        <v>2.9782832269020114E-2</v>
      </c>
      <c r="Y242" s="202">
        <f t="shared" si="68"/>
        <v>0.4361583232941928</v>
      </c>
      <c r="Z242" s="297">
        <f t="shared" si="75"/>
        <v>12878.571428571429</v>
      </c>
      <c r="AA242" s="179">
        <f t="shared" si="76"/>
        <v>354.28571428571428</v>
      </c>
      <c r="AB242" s="357">
        <f t="shared" si="91"/>
        <v>353.47793349861917</v>
      </c>
      <c r="AC242" s="610">
        <f t="shared" si="87"/>
        <v>-0.80778078709511192</v>
      </c>
      <c r="AD242" s="610">
        <f t="shared" si="72"/>
        <v>13909.785714285714</v>
      </c>
      <c r="AE242" s="202">
        <f t="shared" si="84"/>
        <v>0.86196181169743857</v>
      </c>
      <c r="AF242" s="202">
        <f t="shared" si="83"/>
        <v>-3.8020407928491706E-2</v>
      </c>
      <c r="AG242" s="4"/>
      <c r="AH242" s="202">
        <f t="shared" si="77"/>
        <v>0.95092024539877307</v>
      </c>
      <c r="AI242" s="179">
        <f>MAX($B$2:B242)</f>
        <v>18326</v>
      </c>
      <c r="AJ242" s="180">
        <f t="shared" si="74"/>
        <v>2.6648328032321842E-2</v>
      </c>
      <c r="AK242" s="180"/>
      <c r="AL242" s="202">
        <f t="shared" si="85"/>
        <v>1.0802428974192149</v>
      </c>
      <c r="AM242" s="202">
        <f t="shared" si="86"/>
        <v>0.95092024539877307</v>
      </c>
      <c r="AP242" s="644">
        <f t="shared" si="67"/>
        <v>1.0580025100374333</v>
      </c>
      <c r="AT242" s="180">
        <f t="shared" si="82"/>
        <v>3.4146137807564508E-2</v>
      </c>
    </row>
    <row r="243" spans="1:46" x14ac:dyDescent="0.25">
      <c r="A243" s="261">
        <v>44134</v>
      </c>
      <c r="B243" s="126">
        <v>13379</v>
      </c>
      <c r="C243" s="126">
        <f t="shared" si="89"/>
        <v>1157179</v>
      </c>
      <c r="D243" s="124">
        <v>349</v>
      </c>
      <c r="E243" s="124">
        <f t="shared" si="96"/>
        <v>30771</v>
      </c>
      <c r="F243" s="126">
        <f t="shared" si="71"/>
        <v>14967</v>
      </c>
      <c r="G243" s="149">
        <v>961101</v>
      </c>
      <c r="H243" s="124">
        <v>4981</v>
      </c>
      <c r="I243" s="124">
        <v>32761</v>
      </c>
      <c r="J243" s="4">
        <f t="shared" si="93"/>
        <v>2713057</v>
      </c>
      <c r="K243" s="611">
        <f t="shared" si="69"/>
        <v>2.6591391651594094E-2</v>
      </c>
      <c r="L243" s="95">
        <v>1435121</v>
      </c>
      <c r="M243" s="95">
        <f t="shared" si="94"/>
        <v>1435121.0265913915</v>
      </c>
      <c r="N243" s="316">
        <v>9073</v>
      </c>
      <c r="O243" s="95">
        <v>224367</v>
      </c>
      <c r="P243" s="95">
        <v>799735</v>
      </c>
      <c r="Q243" s="95">
        <f t="shared" si="92"/>
        <v>124004</v>
      </c>
      <c r="R243" s="96">
        <f t="shared" si="70"/>
        <v>165307</v>
      </c>
      <c r="S243" s="35">
        <f t="shared" si="81"/>
        <v>3.0131815349622219E-2</v>
      </c>
      <c r="T243" s="28">
        <f t="shared" si="88"/>
        <v>3.4813470576389158E-2</v>
      </c>
      <c r="U243" s="91">
        <f>SUM(B230:B243)/POBLA!$B$25*100000</f>
        <v>422.14482227156492</v>
      </c>
      <c r="V243" s="91">
        <f>B243/POBLA!$B$25*100000</f>
        <v>29.482046130246211</v>
      </c>
      <c r="W243" s="625">
        <f t="shared" si="80"/>
        <v>1.0303894148020654</v>
      </c>
      <c r="X243" s="28">
        <f t="shared" si="95"/>
        <v>3.0131815349622219E-2</v>
      </c>
      <c r="Y243" s="202">
        <f t="shared" si="68"/>
        <v>0.43090867156408103</v>
      </c>
      <c r="Z243" s="297">
        <f t="shared" si="75"/>
        <v>12544.428571428571</v>
      </c>
      <c r="AA243" s="179">
        <f t="shared" si="76"/>
        <v>349.85714285714283</v>
      </c>
      <c r="AB243" s="357">
        <f t="shared" si="91"/>
        <v>358.12299846891591</v>
      </c>
      <c r="AC243" s="610">
        <f t="shared" si="87"/>
        <v>8.2658556117730768</v>
      </c>
      <c r="AD243" s="610">
        <f t="shared" si="72"/>
        <v>13683.571428571429</v>
      </c>
      <c r="AE243" s="202">
        <f t="shared" si="84"/>
        <v>0.84629767056351735</v>
      </c>
      <c r="AF243" s="202">
        <f t="shared" si="83"/>
        <v>-5.1872372398208189E-2</v>
      </c>
      <c r="AG243" s="4"/>
      <c r="AH243" s="202">
        <f t="shared" si="77"/>
        <v>0.93867382138750466</v>
      </c>
      <c r="AI243" s="179">
        <f>MAX($B$2:B243)</f>
        <v>18326</v>
      </c>
      <c r="AJ243" s="180">
        <f t="shared" si="74"/>
        <v>2.5585039699122441E-2</v>
      </c>
      <c r="AK243" s="180"/>
      <c r="AL243" s="202">
        <f t="shared" si="85"/>
        <v>1.0606899488926746</v>
      </c>
      <c r="AM243" s="202">
        <f t="shared" si="86"/>
        <v>0.93867382138750466</v>
      </c>
      <c r="AP243" s="644">
        <f t="shared" si="67"/>
        <v>1.0303894148020654</v>
      </c>
      <c r="AT243" s="180">
        <f t="shared" si="82"/>
        <v>3.4061421347291086E-2</v>
      </c>
    </row>
    <row r="244" spans="1:46" x14ac:dyDescent="0.25">
      <c r="A244" s="105">
        <v>44135</v>
      </c>
      <c r="B244" s="126">
        <v>9745</v>
      </c>
      <c r="C244" s="126">
        <f t="shared" si="89"/>
        <v>1166924</v>
      </c>
      <c r="D244" s="124">
        <v>210</v>
      </c>
      <c r="E244" s="124">
        <f t="shared" si="96"/>
        <v>30981</v>
      </c>
      <c r="F244" s="126">
        <f t="shared" si="71"/>
        <v>12838</v>
      </c>
      <c r="G244" s="149">
        <v>973939</v>
      </c>
      <c r="H244" s="124">
        <v>4969</v>
      </c>
      <c r="I244" s="124">
        <v>26699</v>
      </c>
      <c r="J244" s="4">
        <f t="shared" si="93"/>
        <v>2739756</v>
      </c>
      <c r="K244" s="611">
        <f t="shared" si="69"/>
        <v>2.6549286843016339E-2</v>
      </c>
      <c r="L244" s="97">
        <v>1447945</v>
      </c>
      <c r="M244" s="95">
        <f t="shared" si="94"/>
        <v>1447945.0265492869</v>
      </c>
      <c r="N244" s="641">
        <v>9103</v>
      </c>
      <c r="O244" s="97">
        <v>225845</v>
      </c>
      <c r="P244" s="97">
        <v>808139</v>
      </c>
      <c r="Q244" s="95">
        <f t="shared" si="92"/>
        <v>123837</v>
      </c>
      <c r="R244" s="96">
        <f t="shared" si="70"/>
        <v>162004</v>
      </c>
      <c r="S244" s="35">
        <f t="shared" si="81"/>
        <v>3.0672082170810598E-2</v>
      </c>
      <c r="T244" s="28">
        <f t="shared" si="88"/>
        <v>3.4646379022283458E-2</v>
      </c>
      <c r="U244" s="91">
        <f>SUM(B231:B244)/POBLA!$B$25*100000</f>
        <v>413.84824527176096</v>
      </c>
      <c r="V244" s="91">
        <f>B244/POBLA!$B$25*100000</f>
        <v>21.474141530701047</v>
      </c>
      <c r="W244" s="625">
        <f t="shared" si="80"/>
        <v>0.99736591945873898</v>
      </c>
      <c r="X244" s="28">
        <f t="shared" si="95"/>
        <v>3.0672082170810598E-2</v>
      </c>
      <c r="Y244" s="202">
        <f t="shared" si="68"/>
        <v>0.4206770113982099</v>
      </c>
      <c r="Z244" s="297">
        <f t="shared" si="75"/>
        <v>12226.857142857143</v>
      </c>
      <c r="AA244" s="179">
        <f t="shared" si="76"/>
        <v>340.85714285714283</v>
      </c>
      <c r="AB244" s="357">
        <f t="shared" si="91"/>
        <v>362.61530620894905</v>
      </c>
      <c r="AC244" s="610">
        <f t="shared" si="87"/>
        <v>21.758163351806218</v>
      </c>
      <c r="AD244" s="610">
        <f t="shared" si="72"/>
        <v>13414.642857142857</v>
      </c>
      <c r="AE244" s="202">
        <f t="shared" si="84"/>
        <v>0.83731668900476441</v>
      </c>
      <c r="AF244" s="202">
        <f t="shared" si="83"/>
        <v>-5.6074766355140193E-2</v>
      </c>
      <c r="AG244" s="4"/>
      <c r="AH244" s="202">
        <f t="shared" si="77"/>
        <v>0.95478191276510593</v>
      </c>
      <c r="AI244" s="179">
        <f>MAX($B$2:B244)</f>
        <v>18326</v>
      </c>
      <c r="AJ244" s="180">
        <f t="shared" si="74"/>
        <v>2.5382438671517626E-2</v>
      </c>
      <c r="AK244" s="180"/>
      <c r="AL244" s="202">
        <f t="shared" si="85"/>
        <v>1.0245360824742269</v>
      </c>
      <c r="AM244" s="202">
        <f t="shared" si="86"/>
        <v>0.95478191276510593</v>
      </c>
      <c r="AP244" s="644">
        <f t="shared" si="67"/>
        <v>0.99736591945873898</v>
      </c>
      <c r="AT244" s="180">
        <f t="shared" si="82"/>
        <v>2.6607152631605138E-2</v>
      </c>
    </row>
    <row r="245" spans="1:46" x14ac:dyDescent="0.25">
      <c r="A245" s="105">
        <v>44136</v>
      </c>
      <c r="B245" s="126">
        <v>6609</v>
      </c>
      <c r="C245" s="126">
        <f t="shared" si="89"/>
        <v>1173533</v>
      </c>
      <c r="D245" s="124">
        <v>135</v>
      </c>
      <c r="E245" s="124">
        <f t="shared" si="96"/>
        <v>31116</v>
      </c>
      <c r="F245" s="126">
        <f t="shared" si="71"/>
        <v>11377</v>
      </c>
      <c r="G245" s="149">
        <v>985316</v>
      </c>
      <c r="H245" s="124">
        <v>5119</v>
      </c>
      <c r="I245" s="124">
        <v>15645</v>
      </c>
      <c r="J245" s="4">
        <f t="shared" si="93"/>
        <v>2755401</v>
      </c>
      <c r="K245" s="611">
        <f t="shared" si="69"/>
        <v>2.6514806145204267E-2</v>
      </c>
      <c r="L245" s="97">
        <v>1455146</v>
      </c>
      <c r="M245" s="95">
        <f t="shared" si="94"/>
        <v>1455146.0265148061</v>
      </c>
      <c r="N245" s="641">
        <v>9123</v>
      </c>
      <c r="O245" s="97">
        <v>226864</v>
      </c>
      <c r="P245" s="97">
        <v>813376</v>
      </c>
      <c r="Q245" s="95">
        <f t="shared" si="92"/>
        <v>124170</v>
      </c>
      <c r="R245" s="96">
        <f t="shared" si="70"/>
        <v>157101</v>
      </c>
      <c r="S245" s="35">
        <f t="shared" si="81"/>
        <v>3.2584133773814299E-2</v>
      </c>
      <c r="T245" s="28">
        <f t="shared" si="88"/>
        <v>3.443063746915561E-2</v>
      </c>
      <c r="U245" s="91">
        <f>SUM(B232:B245)/POBLA!$B$25*100000</f>
        <v>405.13959392960282</v>
      </c>
      <c r="V245" s="91">
        <f>B245/POBLA!$B$25*100000</f>
        <v>14.563632773361029</v>
      </c>
      <c r="W245" s="625">
        <f t="shared" si="80"/>
        <v>0.96160444365408959</v>
      </c>
      <c r="X245" s="28">
        <f t="shared" si="95"/>
        <v>3.2584133773814299E-2</v>
      </c>
      <c r="Y245" s="202">
        <f t="shared" si="68"/>
        <v>0.41723383384893986</v>
      </c>
      <c r="Z245" s="297">
        <f t="shared" si="75"/>
        <v>11849.142857142857</v>
      </c>
      <c r="AA245" s="179">
        <f t="shared" si="76"/>
        <v>319.85714285714283</v>
      </c>
      <c r="AB245" s="357">
        <f t="shared" si="91"/>
        <v>361.82977903391571</v>
      </c>
      <c r="AC245" s="610">
        <f t="shared" si="87"/>
        <v>41.97263617677288</v>
      </c>
      <c r="AD245" s="610">
        <f t="shared" si="72"/>
        <v>13132.357142857143</v>
      </c>
      <c r="AE245" s="202">
        <f t="shared" si="84"/>
        <v>0.82196830807955679</v>
      </c>
      <c r="AF245" s="202">
        <f t="shared" si="83"/>
        <v>-5.8672322985385827E-2</v>
      </c>
      <c r="AG245" s="4"/>
      <c r="AH245" s="202">
        <f t="shared" si="77"/>
        <v>0.85392829900839051</v>
      </c>
      <c r="AI245" s="179">
        <f>MAX($B$2:B245)</f>
        <v>18326</v>
      </c>
      <c r="AJ245" s="180">
        <f t="shared" si="74"/>
        <v>2.418788553156092E-2</v>
      </c>
      <c r="AK245" s="180"/>
      <c r="AL245" s="202">
        <f t="shared" si="85"/>
        <v>1.0526424018095826</v>
      </c>
      <c r="AM245" s="202">
        <f t="shared" si="86"/>
        <v>0.85392829900839051</v>
      </c>
      <c r="AP245" s="644">
        <f t="shared" ref="AP245:AP308" si="97">SUM(B232:B245)/SUM(B218:B231)</f>
        <v>0.96160444365408959</v>
      </c>
      <c r="AT245" s="180">
        <f t="shared" si="82"/>
        <v>2.6711083576238307E-2</v>
      </c>
    </row>
    <row r="246" spans="1:46" x14ac:dyDescent="0.25">
      <c r="A246" s="261">
        <v>44137</v>
      </c>
      <c r="B246" s="126">
        <v>9598</v>
      </c>
      <c r="C246" s="126">
        <f t="shared" si="89"/>
        <v>1183131</v>
      </c>
      <c r="D246" s="124">
        <v>479</v>
      </c>
      <c r="E246" s="124">
        <f t="shared" si="96"/>
        <v>31595</v>
      </c>
      <c r="F246" s="126">
        <f t="shared" si="71"/>
        <v>12700</v>
      </c>
      <c r="G246" s="149">
        <v>998016</v>
      </c>
      <c r="H246" s="124">
        <v>4992</v>
      </c>
      <c r="I246" s="124">
        <v>249864</v>
      </c>
      <c r="J246" s="4">
        <f t="shared" si="93"/>
        <v>3005265</v>
      </c>
      <c r="K246" s="611">
        <f t="shared" si="69"/>
        <v>2.6704566104683251E-2</v>
      </c>
      <c r="L246" s="97">
        <v>1467420</v>
      </c>
      <c r="M246" s="95">
        <f t="shared" si="94"/>
        <v>1467420.0267045661</v>
      </c>
      <c r="N246" s="641">
        <v>9159</v>
      </c>
      <c r="O246" s="97">
        <v>229301</v>
      </c>
      <c r="P246" s="97">
        <v>822808</v>
      </c>
      <c r="Q246" s="95">
        <f t="shared" si="92"/>
        <v>121863</v>
      </c>
      <c r="R246" s="96">
        <f t="shared" si="70"/>
        <v>153520</v>
      </c>
      <c r="S246" s="8">
        <f t="shared" ref="S246:S277" si="98">H246-H245</f>
        <v>-127</v>
      </c>
      <c r="T246" s="4"/>
      <c r="U246" s="91">
        <f>SUM(B233:B246)/POBLA!$B$25*100000</f>
        <v>397.68259085726908</v>
      </c>
      <c r="V246" s="91">
        <f>B246/POBLA!$B$25*100000</f>
        <v>21.150211432700736</v>
      </c>
      <c r="W246" s="625">
        <f t="shared" si="80"/>
        <v>0.93539241398612993</v>
      </c>
      <c r="X246" s="28">
        <f t="shared" si="95"/>
        <v>3.251693590411673E-2</v>
      </c>
      <c r="Y246" s="202">
        <f t="shared" si="68"/>
        <v>0.19144456207915</v>
      </c>
      <c r="Z246" s="297">
        <f t="shared" si="75"/>
        <v>11547.142857142857</v>
      </c>
      <c r="AA246" s="179">
        <f t="shared" si="76"/>
        <v>330.42857142857144</v>
      </c>
      <c r="AB246" s="357">
        <f t="shared" si="91"/>
        <v>376.39534929446381</v>
      </c>
      <c r="AC246" s="610">
        <f t="shared" si="87"/>
        <v>45.966777865892368</v>
      </c>
      <c r="AD246" s="610">
        <f t="shared" si="72"/>
        <v>12890.642857142857</v>
      </c>
      <c r="AE246" s="202">
        <f t="shared" si="84"/>
        <v>0.81122853501139114</v>
      </c>
      <c r="AF246" s="202">
        <f t="shared" si="83"/>
        <v>-6.0654824912961258E-2</v>
      </c>
      <c r="AG246" s="4"/>
      <c r="AH246" s="202">
        <f t="shared" si="77"/>
        <v>0.89685924777045367</v>
      </c>
      <c r="AI246" s="179">
        <f>MAX($B$2:B246)</f>
        <v>18326</v>
      </c>
      <c r="AJ246" s="180">
        <f t="shared" si="74"/>
        <v>2.5403066379651191E-2</v>
      </c>
      <c r="AK246" s="180"/>
      <c r="AL246" s="202">
        <f t="shared" si="85"/>
        <v>0.99086939261611751</v>
      </c>
      <c r="AM246" s="202">
        <f t="shared" si="86"/>
        <v>0.89685924777045367</v>
      </c>
      <c r="AP246" s="644">
        <f t="shared" si="97"/>
        <v>0.93539241398612993</v>
      </c>
      <c r="AT246" s="180">
        <f t="shared" si="82"/>
        <v>2.7539235253483826E-2</v>
      </c>
    </row>
    <row r="247" spans="1:46" x14ac:dyDescent="0.25">
      <c r="A247" s="261">
        <v>44138</v>
      </c>
      <c r="B247" s="126">
        <v>12145</v>
      </c>
      <c r="C247" s="126">
        <f t="shared" si="89"/>
        <v>1195276</v>
      </c>
      <c r="D247" s="124">
        <v>429</v>
      </c>
      <c r="E247" s="124">
        <f t="shared" si="96"/>
        <v>32024</v>
      </c>
      <c r="F247" s="126">
        <f t="shared" si="71"/>
        <v>11262</v>
      </c>
      <c r="G247" s="149">
        <v>1009278</v>
      </c>
      <c r="H247" s="124">
        <v>4854</v>
      </c>
      <c r="I247" s="124">
        <v>30999</v>
      </c>
      <c r="J247" s="4">
        <f t="shared" si="93"/>
        <v>3036264</v>
      </c>
      <c r="K247" s="611">
        <f t="shared" si="69"/>
        <v>2.679213838477473E-2</v>
      </c>
      <c r="L247" s="97">
        <v>1482833</v>
      </c>
      <c r="M247" s="95">
        <f t="shared" si="94"/>
        <v>1482833.0267921383</v>
      </c>
      <c r="N247" s="641">
        <v>9211</v>
      </c>
      <c r="O247" s="97">
        <v>232229</v>
      </c>
      <c r="P247" s="97">
        <v>832741</v>
      </c>
      <c r="Q247" s="95">
        <f t="shared" si="92"/>
        <v>121095</v>
      </c>
      <c r="R247" s="96">
        <f t="shared" si="70"/>
        <v>153974</v>
      </c>
      <c r="S247" s="8">
        <f t="shared" si="98"/>
        <v>-138</v>
      </c>
      <c r="T247" s="4"/>
      <c r="U247" s="91">
        <f>SUM(B234:B247)/POBLA!$B$25*100000</f>
        <v>388.44507404898803</v>
      </c>
      <c r="V247" s="91">
        <f>B247/POBLA!$B$25*100000</f>
        <v>26.762796191930658</v>
      </c>
      <c r="W247" s="625">
        <f t="shared" si="80"/>
        <v>0.90616405611444961</v>
      </c>
      <c r="X247" s="28">
        <f t="shared" si="95"/>
        <v>3.1524802888799407E-2</v>
      </c>
      <c r="Y247" s="202">
        <f t="shared" si="68"/>
        <v>0.18714063797241909</v>
      </c>
      <c r="Z247" s="297">
        <f t="shared" si="75"/>
        <v>11238.142857142857</v>
      </c>
      <c r="AA247" s="179">
        <f t="shared" si="76"/>
        <v>331</v>
      </c>
      <c r="AB247" s="357">
        <f t="shared" si="91"/>
        <v>387.1576736441491</v>
      </c>
      <c r="AC247" s="610">
        <f t="shared" si="87"/>
        <v>56.157673644149099</v>
      </c>
      <c r="AD247" s="610">
        <f t="shared" si="72"/>
        <v>12591.214285714286</v>
      </c>
      <c r="AE247" s="202">
        <f t="shared" si="84"/>
        <v>0.8059317692859338</v>
      </c>
      <c r="AF247" s="202">
        <f t="shared" si="83"/>
        <v>-6.9969436692881026E-2</v>
      </c>
      <c r="AG247" s="4"/>
      <c r="AH247" s="202">
        <f t="shared" si="77"/>
        <v>0.88333968738086155</v>
      </c>
      <c r="AI247" s="179">
        <f>MAX($B$2:B247)</f>
        <v>18326</v>
      </c>
      <c r="AJ247" s="180">
        <f t="shared" si="74"/>
        <v>2.499622413532699E-2</v>
      </c>
      <c r="AK247" s="180"/>
      <c r="AL247" s="202">
        <f t="shared" si="85"/>
        <v>0.98021001615508885</v>
      </c>
      <c r="AM247" s="202">
        <f t="shared" si="86"/>
        <v>0.88333968738086155</v>
      </c>
      <c r="AP247" s="644">
        <f t="shared" si="97"/>
        <v>0.90616405611444961</v>
      </c>
      <c r="AT247" s="180">
        <f t="shared" si="82"/>
        <v>2.7750195317422312E-2</v>
      </c>
    </row>
    <row r="248" spans="1:46" x14ac:dyDescent="0.25">
      <c r="A248" s="261">
        <v>44139</v>
      </c>
      <c r="B248" s="126">
        <v>10652</v>
      </c>
      <c r="C248" s="126">
        <f t="shared" si="89"/>
        <v>1205928</v>
      </c>
      <c r="D248" s="124">
        <v>464</v>
      </c>
      <c r="E248" s="124">
        <f t="shared" si="96"/>
        <v>32488</v>
      </c>
      <c r="F248" s="126">
        <f t="shared" si="71"/>
        <v>8369</v>
      </c>
      <c r="G248" s="149">
        <v>1017647</v>
      </c>
      <c r="H248" s="124">
        <v>4816</v>
      </c>
      <c r="I248" s="124">
        <v>36435</v>
      </c>
      <c r="J248" s="4">
        <f t="shared" si="93"/>
        <v>3072699</v>
      </c>
      <c r="K248" s="611">
        <f t="shared" si="69"/>
        <v>2.6940248505715102E-2</v>
      </c>
      <c r="L248" s="97">
        <v>1503103</v>
      </c>
      <c r="M248" s="95">
        <f t="shared" si="94"/>
        <v>1503103.0269402484</v>
      </c>
      <c r="N248" s="641">
        <v>9251</v>
      </c>
      <c r="O248" s="97">
        <v>234718</v>
      </c>
      <c r="P248" s="97">
        <v>842950</v>
      </c>
      <c r="Q248" s="95">
        <f t="shared" si="92"/>
        <v>119009</v>
      </c>
      <c r="R248" s="96">
        <f t="shared" si="70"/>
        <v>155793</v>
      </c>
      <c r="S248" s="39">
        <f t="shared" si="98"/>
        <v>-38</v>
      </c>
      <c r="T248" s="4"/>
      <c r="U248" s="91">
        <f>SUM(B235:B248)/POBLA!$B$25*100000</f>
        <v>371.5346007697064</v>
      </c>
      <c r="V248" s="91">
        <f>B248/POBLA!$B$25*100000</f>
        <v>23.472812271424068</v>
      </c>
      <c r="W248" s="625">
        <f t="shared" si="80"/>
        <v>0.85842370551397584</v>
      </c>
      <c r="X248" s="28">
        <f t="shared" si="95"/>
        <v>3.0912813797795792E-2</v>
      </c>
      <c r="Y248" s="202">
        <f t="shared" si="68"/>
        <v>0.17783055916560331</v>
      </c>
      <c r="Z248" s="297">
        <f t="shared" si="75"/>
        <v>10770.714285714286</v>
      </c>
      <c r="AA248" s="179">
        <f t="shared" si="76"/>
        <v>348</v>
      </c>
      <c r="AB248" s="357">
        <f t="shared" si="91"/>
        <v>399.08580655601116</v>
      </c>
      <c r="AC248" s="610">
        <f t="shared" si="87"/>
        <v>51.085806556011164</v>
      </c>
      <c r="AD248" s="610">
        <f t="shared" si="72"/>
        <v>12043.071428571429</v>
      </c>
      <c r="AE248" s="202">
        <f t="shared" si="84"/>
        <v>0.80888979486739343</v>
      </c>
      <c r="AF248" s="202">
        <f t="shared" si="83"/>
        <v>-7.9966220605430682E-2</v>
      </c>
      <c r="AG248" s="4"/>
      <c r="AH248" s="202">
        <f t="shared" si="77"/>
        <v>0.95641931684334514</v>
      </c>
      <c r="AI248" s="179">
        <f>MAX($B$2:B248)</f>
        <v>18326</v>
      </c>
      <c r="AJ248" s="180">
        <f t="shared" si="74"/>
        <v>2.5876079497774613E-2</v>
      </c>
      <c r="AK248" s="180"/>
      <c r="AL248" s="202">
        <f t="shared" si="85"/>
        <v>0.95612467738733375</v>
      </c>
      <c r="AM248" s="202">
        <f t="shared" si="86"/>
        <v>0.95641931684334514</v>
      </c>
      <c r="AP248" s="644">
        <f t="shared" si="97"/>
        <v>0.85842370551397584</v>
      </c>
      <c r="AT248" s="180">
        <f t="shared" si="82"/>
        <v>2.7826855123674912E-2</v>
      </c>
    </row>
    <row r="249" spans="1:46" x14ac:dyDescent="0.25">
      <c r="A249" s="261">
        <v>44140</v>
      </c>
      <c r="B249" s="126">
        <v>11100</v>
      </c>
      <c r="C249" s="126">
        <f t="shared" si="89"/>
        <v>1217028</v>
      </c>
      <c r="D249" s="124">
        <v>246</v>
      </c>
      <c r="E249" s="124">
        <f t="shared" si="96"/>
        <v>32734</v>
      </c>
      <c r="F249" s="126">
        <f t="shared" si="71"/>
        <v>12490</v>
      </c>
      <c r="G249" s="149">
        <v>1030137</v>
      </c>
      <c r="H249" s="124">
        <v>4713</v>
      </c>
      <c r="I249" s="124">
        <v>28900</v>
      </c>
      <c r="J249" s="4">
        <f t="shared" si="93"/>
        <v>3101599</v>
      </c>
      <c r="K249" s="611">
        <f t="shared" si="69"/>
        <v>2.6896669591825333E-2</v>
      </c>
      <c r="L249" s="97">
        <v>1516132</v>
      </c>
      <c r="M249" s="95">
        <f t="shared" si="94"/>
        <v>1516132.0268966695</v>
      </c>
      <c r="N249" s="641">
        <v>9294</v>
      </c>
      <c r="O249" s="97">
        <v>237018</v>
      </c>
      <c r="P249" s="97">
        <v>851916</v>
      </c>
      <c r="Q249" s="95">
        <f t="shared" si="92"/>
        <v>118800</v>
      </c>
      <c r="R249" s="96">
        <f t="shared" si="70"/>
        <v>154157</v>
      </c>
      <c r="S249" s="39">
        <f t="shared" si="98"/>
        <v>-103</v>
      </c>
      <c r="T249" s="4"/>
      <c r="U249" s="91">
        <f>SUM(B236:B249)/POBLA!$B$25*100000</f>
        <v>360.02075885098776</v>
      </c>
      <c r="V249" s="91">
        <f>B249/POBLA!$B$25*100000</f>
        <v>24.460027808186929</v>
      </c>
      <c r="W249" s="625">
        <f t="shared" si="80"/>
        <v>0.82814868132258046</v>
      </c>
      <c r="X249" s="28">
        <f t="shared" si="95"/>
        <v>3.0572727803473084E-2</v>
      </c>
      <c r="Y249" s="202">
        <f t="shared" si="68"/>
        <v>0.17381314635784698</v>
      </c>
      <c r="Z249" s="297">
        <f t="shared" si="75"/>
        <v>10461.142857142857</v>
      </c>
      <c r="AA249" s="179">
        <f t="shared" si="76"/>
        <v>330.28571428571428</v>
      </c>
      <c r="AB249" s="357">
        <f t="shared" si="91"/>
        <v>396.22400417595975</v>
      </c>
      <c r="AC249" s="610">
        <f t="shared" si="87"/>
        <v>65.938289890245471</v>
      </c>
      <c r="AD249" s="610">
        <f t="shared" si="72"/>
        <v>11669.857142857143</v>
      </c>
      <c r="AE249" s="202">
        <f t="shared" si="84"/>
        <v>0.81229062673322239</v>
      </c>
      <c r="AF249" s="202">
        <f t="shared" si="83"/>
        <v>-7.8250938748176346E-2</v>
      </c>
      <c r="AG249" s="4"/>
      <c r="AH249" s="202">
        <f t="shared" si="77"/>
        <v>0.93225806451612903</v>
      </c>
      <c r="AI249" s="179">
        <f>MAX($B$2:B249)</f>
        <v>18326</v>
      </c>
      <c r="AJ249" s="180">
        <f t="shared" si="74"/>
        <v>2.4276279177210539E-2</v>
      </c>
      <c r="AK249" s="180"/>
      <c r="AL249" s="202">
        <f t="shared" si="85"/>
        <v>0.94619554306364184</v>
      </c>
      <c r="AM249" s="202">
        <f t="shared" si="86"/>
        <v>0.93225806451612903</v>
      </c>
      <c r="AP249" s="644">
        <f t="shared" si="97"/>
        <v>0.82814868132258046</v>
      </c>
      <c r="AT249" s="180">
        <f t="shared" si="82"/>
        <v>2.7797024658650908E-2</v>
      </c>
    </row>
    <row r="250" spans="1:46" x14ac:dyDescent="0.25">
      <c r="A250" s="261">
        <v>44141</v>
      </c>
      <c r="B250" s="126">
        <v>11786</v>
      </c>
      <c r="C250" s="126">
        <f t="shared" si="89"/>
        <v>1228814</v>
      </c>
      <c r="D250" s="124">
        <v>369</v>
      </c>
      <c r="E250" s="124">
        <f t="shared" si="96"/>
        <v>33103</v>
      </c>
      <c r="F250" s="126">
        <f t="shared" si="71"/>
        <v>12100</v>
      </c>
      <c r="G250" s="149">
        <v>1042237</v>
      </c>
      <c r="H250" s="124">
        <v>4666</v>
      </c>
      <c r="I250" s="124">
        <v>34727</v>
      </c>
      <c r="J250" s="4">
        <f t="shared" si="93"/>
        <v>3136326</v>
      </c>
      <c r="K250" s="611">
        <f t="shared" si="69"/>
        <v>2.6938983442571455E-2</v>
      </c>
      <c r="L250" s="97">
        <v>1534460</v>
      </c>
      <c r="M250" s="95">
        <f t="shared" si="94"/>
        <v>1534460.0269389835</v>
      </c>
      <c r="N250" s="641">
        <v>9349</v>
      </c>
      <c r="O250" s="97">
        <v>239488</v>
      </c>
      <c r="P250" s="97">
        <v>861070</v>
      </c>
      <c r="Q250" s="95">
        <f t="shared" si="92"/>
        <v>118907</v>
      </c>
      <c r="R250" s="96">
        <f t="shared" si="70"/>
        <v>153474</v>
      </c>
      <c r="S250" s="39">
        <f t="shared" si="98"/>
        <v>-47</v>
      </c>
      <c r="T250" s="4"/>
      <c r="U250" s="91">
        <f>SUM(B237:B250)/POBLA!$B$25*100000</f>
        <v>351.35617963100663</v>
      </c>
      <c r="V250" s="91">
        <f>B250/POBLA!$B$25*100000</f>
        <v>25.971701598855056</v>
      </c>
      <c r="W250" s="625">
        <f t="shared" si="80"/>
        <v>0.80568974229408796</v>
      </c>
      <c r="X250" s="28">
        <f t="shared" si="95"/>
        <v>3.0402543753339329E-2</v>
      </c>
      <c r="Y250" s="202">
        <f t="shared" ref="Y250:Y313" si="99">SUM(B244:B250)/SUM(I244:I250)</f>
        <v>0.1692422549253548</v>
      </c>
      <c r="Z250" s="297">
        <f t="shared" si="75"/>
        <v>10233.571428571429</v>
      </c>
      <c r="AA250" s="179">
        <f t="shared" si="76"/>
        <v>333.14285714285717</v>
      </c>
      <c r="AB250" s="357">
        <f t="shared" si="91"/>
        <v>392.5766564924329</v>
      </c>
      <c r="AC250" s="610">
        <f t="shared" si="87"/>
        <v>59.433799349575736</v>
      </c>
      <c r="AD250" s="610">
        <f t="shared" si="72"/>
        <v>11389</v>
      </c>
      <c r="AE250" s="202">
        <f t="shared" si="84"/>
        <v>0.815786177130428</v>
      </c>
      <c r="AF250" s="202">
        <f t="shared" si="83"/>
        <v>-7.1581965675984738E-2</v>
      </c>
      <c r="AG250" s="4"/>
      <c r="AH250" s="202">
        <f t="shared" si="77"/>
        <v>0.9522253981216825</v>
      </c>
      <c r="AI250" s="179">
        <f>MAX($B$2:B250)</f>
        <v>18326</v>
      </c>
      <c r="AJ250" s="180">
        <f t="shared" si="74"/>
        <v>2.4425498041351575E-2</v>
      </c>
      <c r="AK250" s="180"/>
      <c r="AL250" s="202">
        <f t="shared" si="85"/>
        <v>0.93675968680987753</v>
      </c>
      <c r="AM250" s="202">
        <f t="shared" si="86"/>
        <v>0.9522253981216825</v>
      </c>
      <c r="AP250" s="644">
        <f t="shared" si="97"/>
        <v>0.80568974229408796</v>
      </c>
      <c r="AT250" s="180">
        <f t="shared" si="82"/>
        <v>2.8048538408193886E-2</v>
      </c>
    </row>
    <row r="251" spans="1:46" x14ac:dyDescent="0.25">
      <c r="A251" s="105">
        <v>44142</v>
      </c>
      <c r="B251" s="126">
        <v>8037</v>
      </c>
      <c r="C251" s="126">
        <f t="shared" si="89"/>
        <v>1236851</v>
      </c>
      <c r="D251" s="124">
        <v>212</v>
      </c>
      <c r="E251" s="124">
        <f t="shared" si="96"/>
        <v>33315</v>
      </c>
      <c r="F251" s="126">
        <f t="shared" si="71"/>
        <v>11076</v>
      </c>
      <c r="G251" s="149">
        <v>1053313</v>
      </c>
      <c r="H251" s="124">
        <v>4593</v>
      </c>
      <c r="I251" s="124">
        <v>37062</v>
      </c>
      <c r="J251" s="4">
        <f t="shared" si="93"/>
        <v>3173388</v>
      </c>
      <c r="K251" s="611">
        <f t="shared" si="69"/>
        <v>2.6935338209695427E-2</v>
      </c>
      <c r="L251" s="97">
        <v>1559126</v>
      </c>
      <c r="M251" s="95">
        <f t="shared" si="94"/>
        <v>1559126.0269353383</v>
      </c>
      <c r="N251" s="641">
        <v>9387</v>
      </c>
      <c r="O251" s="97">
        <v>240865</v>
      </c>
      <c r="P251" s="97">
        <v>866690</v>
      </c>
      <c r="Q251" s="95">
        <f t="shared" si="92"/>
        <v>119909</v>
      </c>
      <c r="R251" s="96">
        <f t="shared" si="70"/>
        <v>150223</v>
      </c>
      <c r="S251" s="39">
        <f t="shared" si="98"/>
        <v>-73</v>
      </c>
      <c r="T251" s="4"/>
      <c r="U251" s="91">
        <f>SUM(B238:B251)/POBLA!$B$25*100000</f>
        <v>342.69380401713431</v>
      </c>
      <c r="V251" s="91">
        <f>B251/POBLA!$B$25*100000</f>
        <v>17.710382296792645</v>
      </c>
      <c r="W251" s="625">
        <f t="shared" si="80"/>
        <v>0.7876011628024755</v>
      </c>
      <c r="X251" s="28">
        <f t="shared" si="95"/>
        <v>3.0574545841848454E-2</v>
      </c>
      <c r="Y251" s="202">
        <f t="shared" si="99"/>
        <v>0.16125885543502325</v>
      </c>
      <c r="Z251" s="297">
        <f t="shared" si="75"/>
        <v>9989.5714285714294</v>
      </c>
      <c r="AA251" s="179">
        <f t="shared" si="76"/>
        <v>333.42857142857144</v>
      </c>
      <c r="AB251" s="357">
        <f t="shared" si="91"/>
        <v>386.14865777149743</v>
      </c>
      <c r="AC251" s="610">
        <f t="shared" si="87"/>
        <v>52.720086342925981</v>
      </c>
      <c r="AD251" s="610">
        <f t="shared" si="72"/>
        <v>11108.214285714286</v>
      </c>
      <c r="AE251" s="202">
        <f t="shared" si="84"/>
        <v>0.81701874094499238</v>
      </c>
      <c r="AF251" s="202">
        <f t="shared" si="83"/>
        <v>-7.2720426656131987E-2</v>
      </c>
      <c r="AG251" s="4"/>
      <c r="AH251" s="202">
        <f t="shared" si="77"/>
        <v>0.97820620284995818</v>
      </c>
      <c r="AI251" s="179">
        <f>MAX($B$2:B251)</f>
        <v>18326</v>
      </c>
      <c r="AJ251" s="180">
        <f t="shared" si="74"/>
        <v>2.3591962155824205E-2</v>
      </c>
      <c r="AK251" s="180"/>
      <c r="AL251" s="202">
        <f t="shared" si="85"/>
        <v>0.92433085127792314</v>
      </c>
      <c r="AM251" s="202">
        <f t="shared" si="86"/>
        <v>0.97820620284995818</v>
      </c>
      <c r="AP251" s="644">
        <f t="shared" si="97"/>
        <v>0.7876011628024755</v>
      </c>
      <c r="AT251" s="180">
        <f t="shared" si="82"/>
        <v>2.7880425355207343E-2</v>
      </c>
    </row>
    <row r="252" spans="1:46" x14ac:dyDescent="0.25">
      <c r="A252" s="105">
        <v>44143</v>
      </c>
      <c r="B252" s="126">
        <v>5331</v>
      </c>
      <c r="C252" s="126">
        <f t="shared" si="89"/>
        <v>1242182</v>
      </c>
      <c r="D252" s="124">
        <v>211</v>
      </c>
      <c r="E252" s="124">
        <f t="shared" si="96"/>
        <v>33526</v>
      </c>
      <c r="F252" s="126">
        <f t="shared" si="71"/>
        <v>9598</v>
      </c>
      <c r="G252" s="149">
        <v>1062911</v>
      </c>
      <c r="H252" s="124">
        <v>4608</v>
      </c>
      <c r="I252" s="124">
        <v>14025</v>
      </c>
      <c r="J252" s="4">
        <f t="shared" si="93"/>
        <v>3187413</v>
      </c>
      <c r="K252" s="611">
        <f t="shared" si="69"/>
        <v>2.6989603777868298E-2</v>
      </c>
      <c r="L252" s="97">
        <v>1566231</v>
      </c>
      <c r="M252" s="95">
        <f t="shared" si="94"/>
        <v>1566231.0269896039</v>
      </c>
      <c r="N252" s="641">
        <v>9403</v>
      </c>
      <c r="O252" s="97">
        <v>241673</v>
      </c>
      <c r="P252" s="97">
        <v>871132</v>
      </c>
      <c r="Q252" s="95">
        <f t="shared" si="92"/>
        <v>119974</v>
      </c>
      <c r="R252" s="96">
        <f t="shared" si="70"/>
        <v>145745</v>
      </c>
      <c r="S252" s="39">
        <f t="shared" si="98"/>
        <v>15</v>
      </c>
      <c r="T252" s="4"/>
      <c r="U252" s="91">
        <f>SUM(B239:B252)/POBLA!$B$25*100000</f>
        <v>334.05126085824156</v>
      </c>
      <c r="V252" s="91">
        <f>B252/POBLA!$B$25*100000</f>
        <v>11.747424166256264</v>
      </c>
      <c r="W252" s="625">
        <f t="shared" si="80"/>
        <v>0.77192526848046927</v>
      </c>
      <c r="X252" s="28">
        <f t="shared" si="95"/>
        <v>3.1616865072558238E-2</v>
      </c>
      <c r="Y252" s="202">
        <f t="shared" si="99"/>
        <v>0.15890530818588372</v>
      </c>
      <c r="Z252" s="297">
        <f t="shared" si="75"/>
        <v>9807</v>
      </c>
      <c r="AA252" s="179">
        <f t="shared" si="76"/>
        <v>344.28571428571428</v>
      </c>
      <c r="AB252" s="357">
        <f t="shared" si="91"/>
        <v>381.70058211008654</v>
      </c>
      <c r="AC252" s="610">
        <f t="shared" si="87"/>
        <v>37.414867824372266</v>
      </c>
      <c r="AD252" s="610">
        <f t="shared" si="72"/>
        <v>10828.071428571429</v>
      </c>
      <c r="AE252" s="202">
        <f t="shared" si="84"/>
        <v>0.82765480324074081</v>
      </c>
      <c r="AF252" s="202">
        <f t="shared" si="83"/>
        <v>-7.2284708563280953E-2</v>
      </c>
      <c r="AG252" s="4"/>
      <c r="AH252" s="202">
        <f t="shared" si="77"/>
        <v>1.0763733809736491</v>
      </c>
      <c r="AI252" s="179">
        <f>MAX($B$2:B252)</f>
        <v>18326</v>
      </c>
      <c r="AJ252" s="180">
        <f t="shared" si="74"/>
        <v>2.3635793024989211E-2</v>
      </c>
      <c r="AK252" s="180"/>
      <c r="AL252" s="202">
        <f t="shared" si="85"/>
        <v>0.90017581558898219</v>
      </c>
      <c r="AM252" s="202">
        <f t="shared" si="86"/>
        <v>1.0763733809736491</v>
      </c>
      <c r="AP252" s="644">
        <f t="shared" si="97"/>
        <v>0.77192526848046927</v>
      </c>
      <c r="AT252" s="180">
        <f t="shared" si="82"/>
        <v>2.7797709285325076E-2</v>
      </c>
    </row>
    <row r="253" spans="1:46" x14ac:dyDescent="0.25">
      <c r="A253" s="261">
        <v>44144</v>
      </c>
      <c r="B253" s="126">
        <v>8317</v>
      </c>
      <c r="C253" s="126">
        <f t="shared" si="89"/>
        <v>1250499</v>
      </c>
      <c r="D253" s="124">
        <v>348</v>
      </c>
      <c r="E253" s="124">
        <f t="shared" si="96"/>
        <v>33874</v>
      </c>
      <c r="F253" s="126">
        <f t="shared" si="71"/>
        <v>10666</v>
      </c>
      <c r="G253" s="149">
        <v>1073577</v>
      </c>
      <c r="H253" s="124">
        <v>4577</v>
      </c>
      <c r="I253" s="124">
        <v>29570</v>
      </c>
      <c r="J253" s="4">
        <f t="shared" si="93"/>
        <v>3216983</v>
      </c>
      <c r="K253" s="611">
        <f t="shared" si="69"/>
        <v>2.7088386316182579E-2</v>
      </c>
      <c r="L253" s="97">
        <v>1581460</v>
      </c>
      <c r="M253" s="95">
        <f t="shared" si="94"/>
        <v>1581460.0270883862</v>
      </c>
      <c r="N253" s="641">
        <v>9444</v>
      </c>
      <c r="O253" s="97">
        <v>243982</v>
      </c>
      <c r="P253" s="97">
        <v>878724</v>
      </c>
      <c r="Q253" s="95">
        <f t="shared" si="92"/>
        <v>118349</v>
      </c>
      <c r="R253" s="96">
        <f t="shared" si="70"/>
        <v>143048</v>
      </c>
      <c r="S253" s="39">
        <f t="shared" si="98"/>
        <v>-31</v>
      </c>
      <c r="T253" s="4"/>
      <c r="U253" s="91">
        <f>SUM(B240:B253)/POBLA!$B$25*100000</f>
        <v>326.57001811871049</v>
      </c>
      <c r="V253" s="91">
        <f>B253/POBLA!$B$25*100000</f>
        <v>18.327392007269431</v>
      </c>
      <c r="W253" s="625">
        <f t="shared" si="80"/>
        <v>0.74632247407728214</v>
      </c>
      <c r="X253" s="28">
        <f t="shared" si="95"/>
        <v>3.1996253005984007E-2</v>
      </c>
      <c r="Y253" s="202">
        <f t="shared" si="99"/>
        <v>0.31819684674897741</v>
      </c>
      <c r="Z253" s="297">
        <f t="shared" si="75"/>
        <v>9624</v>
      </c>
      <c r="AA253" s="179">
        <f t="shared" si="76"/>
        <v>325.57142857142856</v>
      </c>
      <c r="AB253" s="357">
        <f t="shared" si="91"/>
        <v>378.12192054879489</v>
      </c>
      <c r="AC253" s="610">
        <f t="shared" si="87"/>
        <v>52.550491977366335</v>
      </c>
      <c r="AD253" s="610">
        <f t="shared" si="72"/>
        <v>10585.571428571429</v>
      </c>
      <c r="AE253" s="202">
        <f t="shared" si="84"/>
        <v>0.83345292589385134</v>
      </c>
      <c r="AF253" s="202">
        <f t="shared" si="83"/>
        <v>-6.8212610734757706E-2</v>
      </c>
      <c r="AG253" s="4"/>
      <c r="AH253" s="202">
        <f t="shared" si="77"/>
        <v>0.98530047557284905</v>
      </c>
      <c r="AI253" s="179">
        <f>MAX($B$2:B253)</f>
        <v>18326</v>
      </c>
      <c r="AJ253" s="180">
        <f t="shared" si="74"/>
        <v>2.1631010459575922E-2</v>
      </c>
      <c r="AK253" s="180"/>
      <c r="AL253" s="202">
        <f t="shared" si="85"/>
        <v>0.91686698717948723</v>
      </c>
      <c r="AM253" s="202">
        <f t="shared" si="86"/>
        <v>0.98530047557284905</v>
      </c>
      <c r="AP253" s="644">
        <f t="shared" si="97"/>
        <v>0.74632247407728214</v>
      </c>
      <c r="AT253" s="180">
        <f t="shared" si="82"/>
        <v>2.8083804078916145E-2</v>
      </c>
    </row>
    <row r="254" spans="1:46" x14ac:dyDescent="0.25">
      <c r="A254" s="261">
        <v>44145</v>
      </c>
      <c r="B254" s="126">
        <v>11977</v>
      </c>
      <c r="C254" s="126">
        <f t="shared" si="89"/>
        <v>1262476</v>
      </c>
      <c r="D254" s="126">
        <v>279</v>
      </c>
      <c r="E254" s="124">
        <f t="shared" si="96"/>
        <v>34153</v>
      </c>
      <c r="F254" s="126">
        <f t="shared" si="71"/>
        <v>8320</v>
      </c>
      <c r="G254" s="149">
        <v>1081897</v>
      </c>
      <c r="H254" s="126">
        <v>4494</v>
      </c>
      <c r="I254" s="126">
        <v>31535</v>
      </c>
      <c r="J254" s="4">
        <f t="shared" si="93"/>
        <v>3248518</v>
      </c>
      <c r="K254" s="611">
        <f t="shared" si="69"/>
        <v>2.705239545147789E-2</v>
      </c>
      <c r="L254" s="7">
        <v>1599337</v>
      </c>
      <c r="M254" s="95">
        <f t="shared" si="94"/>
        <v>1599337.0270523955</v>
      </c>
      <c r="N254" s="202">
        <v>9481</v>
      </c>
      <c r="O254" s="4">
        <v>246898</v>
      </c>
      <c r="P254" s="4">
        <v>885833</v>
      </c>
      <c r="Q254" s="95">
        <f t="shared" si="92"/>
        <v>120264</v>
      </c>
      <c r="R254" s="96">
        <f t="shared" si="70"/>
        <v>146426</v>
      </c>
      <c r="S254" s="39">
        <f t="shared" si="98"/>
        <v>-83</v>
      </c>
      <c r="T254" s="4"/>
      <c r="U254" s="91">
        <f>SUM(B241:B254)/POBLA!$B$25*100000</f>
        <v>321.43341227899123</v>
      </c>
      <c r="V254" s="91">
        <f>B254/POBLA!$B$25*100000</f>
        <v>26.392590365644583</v>
      </c>
      <c r="W254" s="625">
        <f t="shared" si="80"/>
        <v>0.73089179953300532</v>
      </c>
      <c r="X254" s="28">
        <f t="shared" si="95"/>
        <v>3.0691270675972847E-2</v>
      </c>
      <c r="Y254" s="202">
        <f t="shared" si="99"/>
        <v>0.31660180726864984</v>
      </c>
      <c r="Z254" s="297">
        <f t="shared" si="75"/>
        <v>9600</v>
      </c>
      <c r="AA254" s="179">
        <f t="shared" si="76"/>
        <v>304.14285714285717</v>
      </c>
      <c r="AB254" s="357">
        <f t="shared" si="91"/>
        <v>370.9829454305721</v>
      </c>
      <c r="AC254" s="610">
        <f t="shared" si="87"/>
        <v>66.840088287714934</v>
      </c>
      <c r="AD254" s="610">
        <f t="shared" si="72"/>
        <v>10419.071428571429</v>
      </c>
      <c r="AE254" s="202">
        <f t="shared" si="84"/>
        <v>0.8542336685014047</v>
      </c>
      <c r="AF254" s="202">
        <f t="shared" si="83"/>
        <v>-4.9021263330172649E-2</v>
      </c>
      <c r="AG254" s="4"/>
      <c r="AH254" s="202">
        <f t="shared" si="77"/>
        <v>0.91886059559775579</v>
      </c>
      <c r="AI254" s="179">
        <f>MAX($B$2:B254)</f>
        <v>18326</v>
      </c>
      <c r="AJ254" s="180">
        <f t="shared" si="74"/>
        <v>2.0356258425999408E-2</v>
      </c>
      <c r="AK254" s="180"/>
      <c r="AL254" s="202">
        <f t="shared" si="85"/>
        <v>0.92583436341161929</v>
      </c>
      <c r="AM254" s="202">
        <f t="shared" si="86"/>
        <v>0.91886059559775579</v>
      </c>
      <c r="AP254" s="644">
        <f t="shared" si="97"/>
        <v>0.73089179953300532</v>
      </c>
      <c r="AT254" s="180">
        <f t="shared" si="82"/>
        <v>2.7946886795014527E-2</v>
      </c>
    </row>
    <row r="255" spans="1:46" x14ac:dyDescent="0.25">
      <c r="A255" s="261">
        <v>44146</v>
      </c>
      <c r="B255" s="126">
        <v>10880</v>
      </c>
      <c r="C255" s="126">
        <f t="shared" si="89"/>
        <v>1273356</v>
      </c>
      <c r="D255" s="126">
        <v>348</v>
      </c>
      <c r="E255" s="124">
        <f t="shared" si="96"/>
        <v>34501</v>
      </c>
      <c r="F255" s="126">
        <f t="shared" si="71"/>
        <v>7632</v>
      </c>
      <c r="G255" s="155">
        <v>1089529</v>
      </c>
      <c r="H255" s="126">
        <v>4418</v>
      </c>
      <c r="I255" s="126">
        <v>56473</v>
      </c>
      <c r="J255" s="4">
        <f t="shared" si="93"/>
        <v>3304991</v>
      </c>
      <c r="K255" s="611">
        <f t="shared" si="69"/>
        <v>2.7094543866758393E-2</v>
      </c>
      <c r="L255" s="7">
        <v>1635003</v>
      </c>
      <c r="M255" s="95">
        <f t="shared" si="94"/>
        <v>1635003.0270945439</v>
      </c>
      <c r="N255" s="202">
        <v>9521</v>
      </c>
      <c r="O255" s="4">
        <v>249148</v>
      </c>
      <c r="P255" s="4">
        <v>892532</v>
      </c>
      <c r="Q255" s="95">
        <f t="shared" si="92"/>
        <v>122155</v>
      </c>
      <c r="R255" s="96">
        <f t="shared" si="70"/>
        <v>149326</v>
      </c>
      <c r="S255" s="39">
        <f t="shared" si="98"/>
        <v>-76</v>
      </c>
      <c r="T255" s="4"/>
      <c r="U255" s="91">
        <f>SUM(B242:B255)/POBLA!$B$25*100000</f>
        <v>314.72563528366504</v>
      </c>
      <c r="V255" s="91">
        <f>B255/POBLA!$B$25*100000</f>
        <v>23.975234464240884</v>
      </c>
      <c r="W255" s="625">
        <f t="shared" si="80"/>
        <v>0.71927218154165362</v>
      </c>
      <c r="X255" s="28">
        <f t="shared" si="95"/>
        <v>2.9586274325971364E-2</v>
      </c>
      <c r="Y255" s="202">
        <f t="shared" si="99"/>
        <v>0.29027258794964955</v>
      </c>
      <c r="Z255" s="297">
        <f t="shared" si="75"/>
        <v>9632.5714285714294</v>
      </c>
      <c r="AA255" s="179">
        <f t="shared" si="76"/>
        <v>287.57142857142856</v>
      </c>
      <c r="AB255" s="357">
        <f t="shared" si="91"/>
        <v>353.9527456771022</v>
      </c>
      <c r="AC255" s="610">
        <f t="shared" si="87"/>
        <v>66.381317105673645</v>
      </c>
      <c r="AD255" s="610">
        <f t="shared" si="72"/>
        <v>10201.642857142857</v>
      </c>
      <c r="AE255" s="202">
        <f t="shared" si="84"/>
        <v>0.89432986272299231</v>
      </c>
      <c r="AF255" s="202">
        <f t="shared" si="83"/>
        <v>-4.1510209059457126E-2</v>
      </c>
      <c r="AG255" s="4"/>
      <c r="AH255" s="202">
        <f t="shared" si="77"/>
        <v>0.82635467980295563</v>
      </c>
      <c r="AI255" s="179">
        <f>MAX($B$2:B255)</f>
        <v>18326</v>
      </c>
      <c r="AJ255" s="180">
        <f t="shared" si="74"/>
        <v>1.9400726683950306E-2</v>
      </c>
      <c r="AK255" s="180"/>
      <c r="AL255" s="202">
        <f t="shared" si="85"/>
        <v>0.91735880398671099</v>
      </c>
      <c r="AM255" s="202">
        <f t="shared" si="86"/>
        <v>0.82635467980295563</v>
      </c>
      <c r="AP255" s="644">
        <f t="shared" si="97"/>
        <v>0.71927218154165362</v>
      </c>
      <c r="AT255" s="180">
        <f t="shared" si="82"/>
        <v>2.7925524719581415E-2</v>
      </c>
    </row>
    <row r="256" spans="1:46" x14ac:dyDescent="0.25">
      <c r="A256" s="261">
        <v>44147</v>
      </c>
      <c r="B256" s="126">
        <v>11163</v>
      </c>
      <c r="C256" s="126">
        <f t="shared" si="89"/>
        <v>1284519</v>
      </c>
      <c r="D256" s="126">
        <v>249</v>
      </c>
      <c r="E256" s="124">
        <f t="shared" si="96"/>
        <v>34750</v>
      </c>
      <c r="F256" s="126">
        <f t="shared" si="71"/>
        <v>10651</v>
      </c>
      <c r="G256" s="155">
        <v>1100180</v>
      </c>
      <c r="H256" s="126">
        <v>4397</v>
      </c>
      <c r="I256" s="126">
        <v>31520</v>
      </c>
      <c r="J256" s="4">
        <f t="shared" si="93"/>
        <v>3336511</v>
      </c>
      <c r="K256" s="611">
        <f t="shared" si="69"/>
        <v>2.7052927983159454E-2</v>
      </c>
      <c r="L256" s="7">
        <v>1655824</v>
      </c>
      <c r="M256" s="95">
        <f t="shared" si="94"/>
        <v>1655824.027052928</v>
      </c>
      <c r="N256" s="202">
        <v>9553</v>
      </c>
      <c r="O256" s="4">
        <v>251515</v>
      </c>
      <c r="P256" s="4">
        <v>901700</v>
      </c>
      <c r="Q256" s="95">
        <f t="shared" si="92"/>
        <v>121751</v>
      </c>
      <c r="R256" s="96">
        <f t="shared" si="70"/>
        <v>149589</v>
      </c>
      <c r="S256" s="39">
        <f t="shared" si="98"/>
        <v>-21</v>
      </c>
      <c r="T256" s="4"/>
      <c r="U256" s="91">
        <f>SUM(B243:B256)/POBLA!$B$25*100000</f>
        <v>310.08924803065378</v>
      </c>
      <c r="V256" s="91">
        <f>B256/POBLA!$B$25*100000</f>
        <v>24.598854993044206</v>
      </c>
      <c r="W256" s="625">
        <f t="shared" si="80"/>
        <v>0.72261049518067955</v>
      </c>
      <c r="X256" s="28">
        <f t="shared" si="95"/>
        <v>2.939387254410418E-2</v>
      </c>
      <c r="Y256" s="202">
        <f t="shared" si="99"/>
        <v>0.28730333060890889</v>
      </c>
      <c r="Z256" s="297">
        <f t="shared" si="75"/>
        <v>9641.5714285714294</v>
      </c>
      <c r="AA256" s="179">
        <f t="shared" si="76"/>
        <v>288</v>
      </c>
      <c r="AB256" s="357">
        <f t="shared" si="91"/>
        <v>342.53532086029026</v>
      </c>
      <c r="AC256" s="610">
        <f t="shared" si="87"/>
        <v>54.535320860290255</v>
      </c>
      <c r="AD256" s="610">
        <f t="shared" si="72"/>
        <v>10051.357142857143</v>
      </c>
      <c r="AE256" s="202">
        <f t="shared" si="84"/>
        <v>0.92165565084393952</v>
      </c>
      <c r="AF256" s="202">
        <f t="shared" si="83"/>
        <v>-2.9632128284800552E-2</v>
      </c>
      <c r="AG256" s="4"/>
      <c r="AH256" s="202">
        <f t="shared" si="77"/>
        <v>0.87197231833910038</v>
      </c>
      <c r="AI256" s="179">
        <f>MAX($B$2:B256)</f>
        <v>18326</v>
      </c>
      <c r="AJ256" s="180">
        <f t="shared" si="74"/>
        <v>1.9722746705538217E-2</v>
      </c>
      <c r="AK256" s="180"/>
      <c r="AL256" s="202">
        <f t="shared" si="85"/>
        <v>0.93295141099087631</v>
      </c>
      <c r="AM256" s="202">
        <f t="shared" si="86"/>
        <v>0.87197231833910038</v>
      </c>
      <c r="AP256" s="644">
        <f t="shared" si="97"/>
        <v>0.72261049518067955</v>
      </c>
      <c r="AT256" s="180">
        <f t="shared" si="82"/>
        <v>2.7720934788997616E-2</v>
      </c>
    </row>
    <row r="257" spans="1:46" x14ac:dyDescent="0.25">
      <c r="A257" s="261">
        <v>44148</v>
      </c>
      <c r="B257" s="126">
        <v>11859</v>
      </c>
      <c r="C257" s="126">
        <f t="shared" si="89"/>
        <v>1296378</v>
      </c>
      <c r="D257" s="126">
        <v>264</v>
      </c>
      <c r="E257" s="126">
        <f t="shared" si="96"/>
        <v>35014</v>
      </c>
      <c r="F257" s="126">
        <f t="shared" si="71"/>
        <v>10297</v>
      </c>
      <c r="G257" s="155">
        <v>1110477</v>
      </c>
      <c r="H257" s="126">
        <v>4381</v>
      </c>
      <c r="I257" s="126">
        <v>31738</v>
      </c>
      <c r="J257" s="4">
        <f t="shared" si="93"/>
        <v>3368249</v>
      </c>
      <c r="K257" s="611">
        <f t="shared" si="69"/>
        <v>2.7009097655159221E-2</v>
      </c>
      <c r="L257" s="99">
        <v>1671421</v>
      </c>
      <c r="M257" s="95">
        <f t="shared" si="94"/>
        <v>1671421.0270090976</v>
      </c>
      <c r="N257" s="642">
        <v>9613</v>
      </c>
      <c r="O257" s="8">
        <v>253981</v>
      </c>
      <c r="P257" s="8">
        <v>910204</v>
      </c>
      <c r="Q257" s="95">
        <f t="shared" si="92"/>
        <v>122580</v>
      </c>
      <c r="R257" s="96">
        <f t="shared" si="70"/>
        <v>150887</v>
      </c>
      <c r="S257" s="39">
        <f t="shared" si="98"/>
        <v>-16</v>
      </c>
      <c r="T257" s="4"/>
      <c r="U257" s="91">
        <f>SUM(B244:B257)/POBLA!$B$25*100000</f>
        <v>306.73976674520833</v>
      </c>
      <c r="V257" s="91">
        <f>B257/POBLA!$B$25*100000</f>
        <v>26.132564844800793</v>
      </c>
      <c r="W257" s="625">
        <f t="shared" si="80"/>
        <v>0.72662212246176328</v>
      </c>
      <c r="X257" s="28">
        <f t="shared" si="95"/>
        <v>2.9034973191858809E-2</v>
      </c>
      <c r="Y257" s="202">
        <f t="shared" si="99"/>
        <v>0.2913208263087318</v>
      </c>
      <c r="Z257" s="297">
        <f t="shared" si="75"/>
        <v>9652</v>
      </c>
      <c r="AA257" s="179">
        <f t="shared" si="76"/>
        <v>273</v>
      </c>
      <c r="AB257" s="357">
        <f t="shared" si="91"/>
        <v>333.57381318830414</v>
      </c>
      <c r="AC257" s="610">
        <f t="shared" si="87"/>
        <v>60.573813188304143</v>
      </c>
      <c r="AD257" s="610">
        <f t="shared" si="72"/>
        <v>9942.7857142857138</v>
      </c>
      <c r="AE257" s="202">
        <f t="shared" si="84"/>
        <v>0.94317023801214483</v>
      </c>
      <c r="AF257" s="202">
        <f t="shared" si="83"/>
        <v>-1.6856275330023318E-2</v>
      </c>
      <c r="AG257" s="4"/>
      <c r="AH257" s="202">
        <f t="shared" si="77"/>
        <v>0.81946826758147506</v>
      </c>
      <c r="AI257" s="179">
        <f>MAX($B$2:B257)</f>
        <v>18326</v>
      </c>
      <c r="AJ257" s="180">
        <f t="shared" si="74"/>
        <v>1.8937854898968376E-2</v>
      </c>
      <c r="AK257" s="180"/>
      <c r="AL257" s="202">
        <f t="shared" si="85"/>
        <v>0.93891984569224174</v>
      </c>
      <c r="AM257" s="202">
        <f t="shared" si="86"/>
        <v>0.81946826758147506</v>
      </c>
      <c r="AP257" s="644">
        <f t="shared" si="97"/>
        <v>0.72662212246176328</v>
      </c>
      <c r="AT257" s="180">
        <f t="shared" si="82"/>
        <v>2.7718702234564817E-2</v>
      </c>
    </row>
    <row r="258" spans="1:46" x14ac:dyDescent="0.25">
      <c r="A258" s="105">
        <v>44149</v>
      </c>
      <c r="B258" s="126">
        <v>8468</v>
      </c>
      <c r="C258" s="126">
        <f t="shared" si="89"/>
        <v>1304846</v>
      </c>
      <c r="D258" s="126">
        <v>262</v>
      </c>
      <c r="E258" s="126">
        <f t="shared" si="96"/>
        <v>35276</v>
      </c>
      <c r="F258" s="126">
        <f t="shared" si="71"/>
        <v>8889</v>
      </c>
      <c r="G258" s="155">
        <v>1119366</v>
      </c>
      <c r="H258" s="126">
        <v>4346</v>
      </c>
      <c r="I258" s="126">
        <v>25314</v>
      </c>
      <c r="J258" s="4">
        <f t="shared" si="93"/>
        <v>3393563</v>
      </c>
      <c r="K258" s="611">
        <f t="shared" ref="K258:K321" si="100">E258/C258</f>
        <v>2.7034607915416838E-2</v>
      </c>
      <c r="L258" s="8">
        <v>1683861</v>
      </c>
      <c r="M258" s="95">
        <f t="shared" si="94"/>
        <v>1683861.0270346079</v>
      </c>
      <c r="N258" s="642">
        <v>9646</v>
      </c>
      <c r="O258" s="8">
        <v>255493</v>
      </c>
      <c r="P258" s="8">
        <v>915339</v>
      </c>
      <c r="Q258" s="95">
        <f t="shared" si="92"/>
        <v>124368</v>
      </c>
      <c r="R258" s="96">
        <f t="shared" ref="R258:R321" si="101">C258-E258-G258</f>
        <v>150204</v>
      </c>
      <c r="S258" s="39">
        <f t="shared" si="98"/>
        <v>-35</v>
      </c>
      <c r="T258" s="4"/>
      <c r="U258" s="91">
        <f>SUM(B245:B258)/POBLA!$B$25*100000</f>
        <v>303.92576174421242</v>
      </c>
      <c r="V258" s="91">
        <f>B258/POBLA!$B$25*100000</f>
        <v>18.660136529705127</v>
      </c>
      <c r="W258" s="625">
        <f t="shared" si="80"/>
        <v>0.73438939325364072</v>
      </c>
      <c r="X258" s="28">
        <f t="shared" si="95"/>
        <v>2.8933983116295171E-2</v>
      </c>
      <c r="Y258" s="202">
        <f t="shared" si="99"/>
        <v>0.3088225275349154</v>
      </c>
      <c r="Z258" s="297">
        <f t="shared" si="75"/>
        <v>9713.5714285714294</v>
      </c>
      <c r="AA258" s="179">
        <f t="shared" si="76"/>
        <v>280.14285714285717</v>
      </c>
      <c r="AB258" s="357">
        <f t="shared" si="91"/>
        <v>324.61433747429749</v>
      </c>
      <c r="AC258" s="610">
        <f t="shared" si="87"/>
        <v>44.471480331440318</v>
      </c>
      <c r="AD258" s="610">
        <f t="shared" si="72"/>
        <v>9851.5714285714294</v>
      </c>
      <c r="AE258" s="202">
        <f t="shared" si="84"/>
        <v>0.9723711870951135</v>
      </c>
      <c r="AF258" s="202">
        <f t="shared" si="83"/>
        <v>-1.2647863509585022E-4</v>
      </c>
      <c r="AG258" s="4"/>
      <c r="AH258" s="202">
        <f t="shared" si="77"/>
        <v>0.84018851756640966</v>
      </c>
      <c r="AI258" s="179">
        <f>MAX($B$2:B258)</f>
        <v>18326</v>
      </c>
      <c r="AJ258" s="180">
        <f t="shared" si="74"/>
        <v>1.9681048585393272E-2</v>
      </c>
      <c r="AK258" s="180"/>
      <c r="AL258" s="202">
        <f t="shared" si="85"/>
        <v>0.94622251251905076</v>
      </c>
      <c r="AM258" s="202">
        <f t="shared" si="86"/>
        <v>0.84018851756640966</v>
      </c>
      <c r="AP258" s="644">
        <f t="shared" si="97"/>
        <v>0.73438939325364072</v>
      </c>
      <c r="AT258" s="180">
        <f t="shared" si="82"/>
        <v>2.7943999572773291E-2</v>
      </c>
    </row>
    <row r="259" spans="1:46" x14ac:dyDescent="0.25">
      <c r="A259" s="105">
        <v>44150</v>
      </c>
      <c r="B259" s="126">
        <v>5645</v>
      </c>
      <c r="C259" s="126">
        <f t="shared" si="89"/>
        <v>1310491</v>
      </c>
      <c r="D259" s="126">
        <v>128</v>
      </c>
      <c r="E259" s="126">
        <f t="shared" si="96"/>
        <v>35404</v>
      </c>
      <c r="F259" s="126">
        <f t="shared" ref="F259:F322" si="102">G259-G258</f>
        <v>9736</v>
      </c>
      <c r="G259" s="155">
        <v>1129102</v>
      </c>
      <c r="H259" s="126">
        <v>4365</v>
      </c>
      <c r="I259" s="126">
        <v>17718</v>
      </c>
      <c r="J259" s="4">
        <f t="shared" si="93"/>
        <v>3411281</v>
      </c>
      <c r="K259" s="611">
        <f t="shared" si="100"/>
        <v>2.7015828418508789E-2</v>
      </c>
      <c r="L259" s="8">
        <v>1693448</v>
      </c>
      <c r="M259" s="95">
        <f t="shared" si="94"/>
        <v>1693448.0270158285</v>
      </c>
      <c r="N259" s="642">
        <v>9672</v>
      </c>
      <c r="O259" s="8">
        <v>256696</v>
      </c>
      <c r="P259" s="8">
        <v>918729</v>
      </c>
      <c r="Q259" s="95">
        <f t="shared" si="92"/>
        <v>125394</v>
      </c>
      <c r="R259" s="96">
        <f t="shared" si="101"/>
        <v>145985</v>
      </c>
      <c r="S259" s="39">
        <f t="shared" si="98"/>
        <v>19</v>
      </c>
      <c r="T259" s="4"/>
      <c r="U259" s="91">
        <f>SUM(B246:B259)/POBLA!$B$25*100000</f>
        <v>301.80148545528522</v>
      </c>
      <c r="V259" s="91">
        <f>B259/POBLA!$B$25*100000</f>
        <v>12.439356484433803</v>
      </c>
      <c r="W259" s="625">
        <f t="shared" si="80"/>
        <v>0.74493209248693248</v>
      </c>
      <c r="X259" s="28">
        <f t="shared" si="95"/>
        <v>2.9900332225913623E-2</v>
      </c>
      <c r="Y259" s="202">
        <f t="shared" si="99"/>
        <v>0.3051307020208337</v>
      </c>
      <c r="Z259" s="297">
        <f t="shared" si="75"/>
        <v>9758.4285714285706</v>
      </c>
      <c r="AA259" s="179">
        <f t="shared" si="76"/>
        <v>268.28571428571428</v>
      </c>
      <c r="AB259" s="357">
        <f t="shared" si="91"/>
        <v>314.17772584397466</v>
      </c>
      <c r="AC259" s="610">
        <f t="shared" si="87"/>
        <v>45.892011558260378</v>
      </c>
      <c r="AD259" s="610">
        <f t="shared" ref="AD259:AD322" si="103">AVERAGE(B246:B259)</f>
        <v>9782.7142857142862</v>
      </c>
      <c r="AE259" s="202">
        <f t="shared" si="84"/>
        <v>0.99504726944310906</v>
      </c>
      <c r="AF259" s="202">
        <f t="shared" si="83"/>
        <v>1.6467117225291705E-3</v>
      </c>
      <c r="AG259" s="4"/>
      <c r="AH259" s="202">
        <f t="shared" si="77"/>
        <v>0.77925311203319503</v>
      </c>
      <c r="AI259" s="179">
        <f>MAX($B$2:B259)</f>
        <v>18326</v>
      </c>
      <c r="AJ259" s="180">
        <f t="shared" si="74"/>
        <v>1.9239831984427826E-2</v>
      </c>
      <c r="AK259" s="180"/>
      <c r="AL259" s="202">
        <f t="shared" si="85"/>
        <v>0.947265625</v>
      </c>
      <c r="AM259" s="202">
        <f t="shared" si="86"/>
        <v>0.77925311203319503</v>
      </c>
      <c r="AP259" s="644">
        <f t="shared" si="97"/>
        <v>0.74493209248693248</v>
      </c>
      <c r="AT259" s="180">
        <f t="shared" si="82"/>
        <v>2.8099465904280304E-2</v>
      </c>
    </row>
    <row r="260" spans="1:46" x14ac:dyDescent="0.25">
      <c r="A260" s="261">
        <v>44151</v>
      </c>
      <c r="B260" s="126">
        <v>7893</v>
      </c>
      <c r="C260" s="126">
        <f t="shared" si="89"/>
        <v>1318384</v>
      </c>
      <c r="D260" s="126">
        <v>292</v>
      </c>
      <c r="E260" s="126">
        <f t="shared" si="96"/>
        <v>35696</v>
      </c>
      <c r="F260" s="126">
        <f t="shared" si="102"/>
        <v>11094</v>
      </c>
      <c r="G260" s="155">
        <v>1140196</v>
      </c>
      <c r="H260" s="126">
        <v>4322</v>
      </c>
      <c r="I260" s="126">
        <v>21572</v>
      </c>
      <c r="J260" s="4">
        <f t="shared" si="93"/>
        <v>3432853</v>
      </c>
      <c r="K260" s="611">
        <f t="shared" si="100"/>
        <v>2.7075571305477008E-2</v>
      </c>
      <c r="L260" s="7">
        <v>1704129</v>
      </c>
      <c r="M260" s="95">
        <f t="shared" si="94"/>
        <v>1704129.0270755712</v>
      </c>
      <c r="N260" s="202">
        <v>9692</v>
      </c>
      <c r="O260" s="4">
        <v>258870</v>
      </c>
      <c r="P260" s="4">
        <v>926820</v>
      </c>
      <c r="Q260" s="95">
        <f t="shared" si="92"/>
        <v>123002</v>
      </c>
      <c r="R260" s="96">
        <f t="shared" si="101"/>
        <v>142492</v>
      </c>
      <c r="S260" s="39">
        <f t="shared" si="98"/>
        <v>-43</v>
      </c>
      <c r="T260" s="4"/>
      <c r="U260" s="91">
        <f>SUM(B247:B260)/POBLA!$B$25*100000</f>
        <v>298.04433703970329</v>
      </c>
      <c r="V260" s="91">
        <f>B260/POBLA!$B$25*100000</f>
        <v>17.39306301711887</v>
      </c>
      <c r="W260" s="625">
        <f t="shared" si="80"/>
        <v>0.74945281461081958</v>
      </c>
      <c r="X260" s="28">
        <f t="shared" si="95"/>
        <v>3.0331527383993487E-2</v>
      </c>
      <c r="Y260" s="202">
        <f t="shared" si="99"/>
        <v>0.31447167276601656</v>
      </c>
      <c r="Z260" s="297">
        <f t="shared" si="75"/>
        <v>9697.8571428571431</v>
      </c>
      <c r="AA260" s="179">
        <f t="shared" si="76"/>
        <v>260.28571428571428</v>
      </c>
      <c r="AB260" s="357">
        <f t="shared" si="91"/>
        <v>308.36143974879246</v>
      </c>
      <c r="AC260" s="610">
        <f t="shared" si="87"/>
        <v>48.075725463078186</v>
      </c>
      <c r="AD260" s="610">
        <f t="shared" si="103"/>
        <v>9660.9285714285706</v>
      </c>
      <c r="AE260" s="202">
        <f t="shared" si="84"/>
        <v>1.0076742667141669</v>
      </c>
      <c r="AF260" s="202">
        <f t="shared" si="83"/>
        <v>-3.8868072255466846E-3</v>
      </c>
      <c r="AG260" s="4"/>
      <c r="AH260" s="202">
        <f t="shared" si="77"/>
        <v>0.79947345326897767</v>
      </c>
      <c r="AI260" s="179">
        <f>MAX($B$2:B260)</f>
        <v>18326</v>
      </c>
      <c r="AJ260" s="180">
        <f t="shared" si="74"/>
        <v>1.9547678310874603E-2</v>
      </c>
      <c r="AK260" s="180"/>
      <c r="AL260" s="202">
        <f t="shared" si="85"/>
        <v>0.94428665064452699</v>
      </c>
      <c r="AM260" s="202">
        <f t="shared" si="86"/>
        <v>0.79947345326897767</v>
      </c>
      <c r="AP260" s="644">
        <f t="shared" si="97"/>
        <v>0.74945281461081958</v>
      </c>
      <c r="AT260" s="180">
        <f t="shared" si="82"/>
        <v>2.8296464415722224E-2</v>
      </c>
    </row>
    <row r="261" spans="1:46" x14ac:dyDescent="0.25">
      <c r="A261" s="261">
        <v>44152</v>
      </c>
      <c r="B261" s="126">
        <v>10621</v>
      </c>
      <c r="C261" s="126">
        <f t="shared" si="89"/>
        <v>1329005</v>
      </c>
      <c r="D261" s="126">
        <v>378</v>
      </c>
      <c r="E261" s="126">
        <f t="shared" si="96"/>
        <v>36074</v>
      </c>
      <c r="F261" s="126">
        <f t="shared" si="102"/>
        <v>8637</v>
      </c>
      <c r="G261" s="155">
        <v>1148833</v>
      </c>
      <c r="H261" s="126">
        <v>4379</v>
      </c>
      <c r="I261" s="126">
        <v>34573</v>
      </c>
      <c r="J261" s="4">
        <f t="shared" si="93"/>
        <v>3467426</v>
      </c>
      <c r="K261" s="611">
        <f t="shared" si="100"/>
        <v>2.7143614960064108E-2</v>
      </c>
      <c r="L261" s="7">
        <v>1716729</v>
      </c>
      <c r="M261" s="95">
        <f t="shared" si="94"/>
        <v>1716729.0271436151</v>
      </c>
      <c r="N261" s="202">
        <v>9722</v>
      </c>
      <c r="O261" s="4">
        <v>261348</v>
      </c>
      <c r="P261" s="4">
        <v>934997</v>
      </c>
      <c r="Q261" s="95">
        <f t="shared" si="92"/>
        <v>122938</v>
      </c>
      <c r="R261" s="96">
        <f t="shared" si="101"/>
        <v>144098</v>
      </c>
      <c r="S261" s="39">
        <f t="shared" si="98"/>
        <v>57</v>
      </c>
      <c r="T261" s="4"/>
      <c r="U261" s="91">
        <f>SUM(B248:B261)/POBLA!$B$25*100000</f>
        <v>294.6860413298225</v>
      </c>
      <c r="V261" s="91">
        <f>B261/POBLA!$B$25*100000</f>
        <v>23.404500482049855</v>
      </c>
      <c r="W261" s="625">
        <f t="shared" si="80"/>
        <v>0.75862988364902961</v>
      </c>
      <c r="X261" s="28">
        <f t="shared" si="95"/>
        <v>3.0389040791683437E-2</v>
      </c>
      <c r="Y261" s="202">
        <f t="shared" si="99"/>
        <v>0.30391305936740548</v>
      </c>
      <c r="Z261" s="297">
        <f t="shared" si="75"/>
        <v>9504.1428571428569</v>
      </c>
      <c r="AA261" s="179">
        <f t="shared" si="76"/>
        <v>274.42857142857144</v>
      </c>
      <c r="AB261" s="357">
        <f t="shared" si="91"/>
        <v>301.0938786164391</v>
      </c>
      <c r="AC261" s="610">
        <f t="shared" si="87"/>
        <v>26.665307187867654</v>
      </c>
      <c r="AD261" s="610">
        <f t="shared" si="103"/>
        <v>9552.0714285714294</v>
      </c>
      <c r="AE261" s="202">
        <f t="shared" si="84"/>
        <v>0.99001488095238088</v>
      </c>
      <c r="AF261" s="202">
        <f t="shared" si="83"/>
        <v>-1.5898815784082032E-2</v>
      </c>
      <c r="AG261" s="4"/>
      <c r="AH261" s="202">
        <f t="shared" si="77"/>
        <v>0.90230155002348522</v>
      </c>
      <c r="AI261" s="179">
        <f>MAX($B$2:B261)</f>
        <v>18326</v>
      </c>
      <c r="AJ261" s="180">
        <f t="shared" si="74"/>
        <v>2.1308929561841376E-2</v>
      </c>
      <c r="AK261" s="180"/>
      <c r="AL261" s="202">
        <f t="shared" si="85"/>
        <v>0.97441032487761459</v>
      </c>
      <c r="AM261" s="202">
        <f t="shared" si="86"/>
        <v>0.90230155002348522</v>
      </c>
      <c r="AP261" s="644">
        <f t="shared" si="97"/>
        <v>0.75862988364902961</v>
      </c>
      <c r="AT261" s="180">
        <f t="shared" si="82"/>
        <v>2.8936859942532971E-2</v>
      </c>
    </row>
    <row r="262" spans="1:46" x14ac:dyDescent="0.25">
      <c r="A262" s="261">
        <v>44153</v>
      </c>
      <c r="B262" s="126">
        <v>10332</v>
      </c>
      <c r="C262" s="126">
        <f t="shared" si="89"/>
        <v>1339337</v>
      </c>
      <c r="D262" s="126">
        <v>240</v>
      </c>
      <c r="E262" s="126">
        <f t="shared" si="96"/>
        <v>36314</v>
      </c>
      <c r="F262" s="126">
        <f t="shared" si="102"/>
        <v>7641</v>
      </c>
      <c r="G262" s="155">
        <v>1156474</v>
      </c>
      <c r="H262" s="126">
        <v>4267</v>
      </c>
      <c r="I262" s="126">
        <v>34573</v>
      </c>
      <c r="J262" s="4">
        <f t="shared" si="93"/>
        <v>3501999</v>
      </c>
      <c r="K262" s="611">
        <f t="shared" si="100"/>
        <v>2.7113415070292243E-2</v>
      </c>
      <c r="L262" s="7">
        <v>1734731</v>
      </c>
      <c r="M262" s="95">
        <f t="shared" si="94"/>
        <v>1734731.0271134151</v>
      </c>
      <c r="N262" s="202">
        <v>9766</v>
      </c>
      <c r="O262" s="4">
        <v>264014</v>
      </c>
      <c r="P262" s="4">
        <v>943339</v>
      </c>
      <c r="Q262" s="95">
        <f t="shared" si="92"/>
        <v>122218</v>
      </c>
      <c r="R262" s="96">
        <f t="shared" si="101"/>
        <v>146549</v>
      </c>
      <c r="S262" s="39">
        <f t="shared" si="98"/>
        <v>-112</v>
      </c>
      <c r="T262" s="4"/>
      <c r="U262" s="91">
        <f>SUM(B249:B262)/POBLA!$B$25*100000</f>
        <v>293.98088737499194</v>
      </c>
      <c r="V262" s="91">
        <f>B262/POBLA!$B$25*100000</f>
        <v>22.767658316593455</v>
      </c>
      <c r="W262" s="625">
        <f t="shared" si="80"/>
        <v>0.791261128212428</v>
      </c>
      <c r="X262" s="28">
        <f t="shared" si="95"/>
        <v>2.9116541225119242E-2</v>
      </c>
      <c r="Y262" s="202">
        <f t="shared" si="99"/>
        <v>0.33491533338747664</v>
      </c>
      <c r="Z262" s="297">
        <f t="shared" si="75"/>
        <v>9425.8571428571431</v>
      </c>
      <c r="AA262" s="179">
        <f t="shared" si="76"/>
        <v>259</v>
      </c>
      <c r="AB262" s="357">
        <f t="shared" si="91"/>
        <v>290.16571944119858</v>
      </c>
      <c r="AC262" s="610">
        <f t="shared" si="87"/>
        <v>31.165719441198576</v>
      </c>
      <c r="AD262" s="610">
        <f t="shared" si="103"/>
        <v>9529.2142857142862</v>
      </c>
      <c r="AE262" s="202">
        <f t="shared" si="84"/>
        <v>0.97854007237349461</v>
      </c>
      <c r="AF262" s="202">
        <f t="shared" si="83"/>
        <v>-1.8596895383255374E-2</v>
      </c>
      <c r="AG262" s="4"/>
      <c r="AH262" s="202">
        <f t="shared" si="77"/>
        <v>0.90064580228514657</v>
      </c>
      <c r="AI262" s="179">
        <f>MAX($B$2:B262)</f>
        <v>18326</v>
      </c>
      <c r="AJ262" s="180">
        <f t="shared" si="74"/>
        <v>2.0646616027604744E-2</v>
      </c>
      <c r="AK262" s="180"/>
      <c r="AL262" s="202">
        <f t="shared" si="85"/>
        <v>0.96582163875056581</v>
      </c>
      <c r="AM262" s="202">
        <f t="shared" si="86"/>
        <v>0.90064580228514657</v>
      </c>
      <c r="AP262" s="644">
        <f t="shared" si="97"/>
        <v>0.791261128212428</v>
      </c>
      <c r="AT262" s="180">
        <f t="shared" si="82"/>
        <v>2.8546818148065641E-2</v>
      </c>
    </row>
    <row r="263" spans="1:46" x14ac:dyDescent="0.25">
      <c r="A263" s="261">
        <v>44154</v>
      </c>
      <c r="B263" s="126">
        <v>10097</v>
      </c>
      <c r="C263" s="126">
        <f t="shared" si="89"/>
        <v>1349434</v>
      </c>
      <c r="D263" s="126">
        <v>184</v>
      </c>
      <c r="E263" s="126">
        <f t="shared" si="96"/>
        <v>36498</v>
      </c>
      <c r="F263" s="126">
        <f t="shared" si="102"/>
        <v>11040</v>
      </c>
      <c r="G263" s="155">
        <v>1167514</v>
      </c>
      <c r="H263" s="126">
        <v>4292</v>
      </c>
      <c r="I263" s="126">
        <v>48691</v>
      </c>
      <c r="J263" s="4">
        <f t="shared" si="93"/>
        <v>3550690</v>
      </c>
      <c r="K263" s="611">
        <f t="shared" si="100"/>
        <v>2.7046895216809419E-2</v>
      </c>
      <c r="L263" s="7">
        <v>1767560</v>
      </c>
      <c r="M263" s="95">
        <f t="shared" si="94"/>
        <v>1767560.0270468951</v>
      </c>
      <c r="N263" s="202">
        <v>9802</v>
      </c>
      <c r="O263" s="4">
        <v>266642</v>
      </c>
      <c r="P263" s="4">
        <v>951081</v>
      </c>
      <c r="Q263" s="95">
        <f t="shared" si="92"/>
        <v>121909</v>
      </c>
      <c r="R263" s="96">
        <f t="shared" si="101"/>
        <v>145422</v>
      </c>
      <c r="S263" s="39">
        <f t="shared" si="98"/>
        <v>25</v>
      </c>
      <c r="T263" s="4"/>
      <c r="U263" s="91">
        <f>SUM(B250:B263)/POBLA!$B$25*100000</f>
        <v>291.77067044781973</v>
      </c>
      <c r="V263" s="91">
        <f>B263/POBLA!$B$25*100000</f>
        <v>22.249810881014724</v>
      </c>
      <c r="W263" s="625">
        <f t="shared" si="80"/>
        <v>0.81042735251992315</v>
      </c>
      <c r="X263" s="28">
        <f t="shared" si="95"/>
        <v>2.9514103780720936E-2</v>
      </c>
      <c r="Y263" s="202">
        <f t="shared" si="99"/>
        <v>0.30308760429360487</v>
      </c>
      <c r="Z263" s="297">
        <f t="shared" si="75"/>
        <v>9273.5714285714294</v>
      </c>
      <c r="AA263" s="179">
        <f t="shared" si="76"/>
        <v>249.71428571428572</v>
      </c>
      <c r="AB263" s="357">
        <f t="shared" si="91"/>
        <v>281.36990298145508</v>
      </c>
      <c r="AC263" s="610">
        <f t="shared" si="87"/>
        <v>31.655617267169362</v>
      </c>
      <c r="AD263" s="610">
        <f t="shared" si="103"/>
        <v>9457.5714285714294</v>
      </c>
      <c r="AE263" s="202">
        <f t="shared" si="84"/>
        <v>0.96183194796343219</v>
      </c>
      <c r="AF263" s="202">
        <f t="shared" si="83"/>
        <v>-2.7856326334155579E-2</v>
      </c>
      <c r="AG263" s="4"/>
      <c r="AH263" s="202">
        <f t="shared" si="77"/>
        <v>0.86706349206349209</v>
      </c>
      <c r="AI263" s="179">
        <f>MAX($B$2:B263)</f>
        <v>18326</v>
      </c>
      <c r="AJ263" s="180">
        <f t="shared" si="74"/>
        <v>2.0423423844464179E-2</v>
      </c>
      <c r="AK263" s="180"/>
      <c r="AL263" s="202">
        <f t="shared" si="85"/>
        <v>0.97612008187400501</v>
      </c>
      <c r="AM263" s="202">
        <f t="shared" si="86"/>
        <v>0.86706349206349209</v>
      </c>
      <c r="AP263" s="644">
        <f t="shared" si="97"/>
        <v>0.81042735251992315</v>
      </c>
      <c r="AT263" s="180">
        <f t="shared" si="82"/>
        <v>2.848971809886967E-2</v>
      </c>
    </row>
    <row r="264" spans="1:46" x14ac:dyDescent="0.25">
      <c r="A264" s="261">
        <v>44155</v>
      </c>
      <c r="B264" s="126">
        <v>9608</v>
      </c>
      <c r="C264" s="126">
        <f t="shared" si="89"/>
        <v>1359042</v>
      </c>
      <c r="D264" s="126">
        <v>261</v>
      </c>
      <c r="E264" s="126">
        <f t="shared" si="96"/>
        <v>36759</v>
      </c>
      <c r="F264" s="126">
        <f t="shared" si="102"/>
        <v>10305</v>
      </c>
      <c r="G264" s="155">
        <v>1177819</v>
      </c>
      <c r="H264" s="126">
        <v>4187</v>
      </c>
      <c r="I264" s="126">
        <v>37816</v>
      </c>
      <c r="J264" s="4">
        <f t="shared" si="93"/>
        <v>3588506</v>
      </c>
      <c r="K264" s="611">
        <f t="shared" si="100"/>
        <v>2.704772920925181E-2</v>
      </c>
      <c r="L264" s="7">
        <v>1789964</v>
      </c>
      <c r="M264" s="95">
        <f t="shared" si="94"/>
        <v>1789964.0270477291</v>
      </c>
      <c r="N264" s="202">
        <v>9840</v>
      </c>
      <c r="O264" s="4">
        <v>268940</v>
      </c>
      <c r="P264" s="4">
        <v>957937</v>
      </c>
      <c r="Q264" s="95">
        <f t="shared" si="92"/>
        <v>122325</v>
      </c>
      <c r="R264" s="96">
        <f t="shared" si="101"/>
        <v>144464</v>
      </c>
      <c r="S264" s="39">
        <f t="shared" si="98"/>
        <v>-105</v>
      </c>
      <c r="T264" s="4"/>
      <c r="U264" s="91">
        <f>SUM(B251:B264)/POBLA!$B$25*100000</f>
        <v>286.97121634275385</v>
      </c>
      <c r="V264" s="91">
        <f>B264/POBLA!$B$25*100000</f>
        <v>21.17224749378919</v>
      </c>
      <c r="W264" s="625">
        <f t="shared" si="80"/>
        <v>0.81675300728773381</v>
      </c>
      <c r="X264" s="28">
        <f t="shared" si="95"/>
        <v>2.8982999224720345E-2</v>
      </c>
      <c r="Y264" s="202">
        <f t="shared" si="99"/>
        <v>0.28450401122325286</v>
      </c>
      <c r="Z264" s="297">
        <f t="shared" si="75"/>
        <v>8952</v>
      </c>
      <c r="AA264" s="179">
        <f t="shared" si="76"/>
        <v>249.28571428571428</v>
      </c>
      <c r="AB264" s="357">
        <f t="shared" si="91"/>
        <v>275.68201127265803</v>
      </c>
      <c r="AC264" s="610">
        <f t="shared" si="87"/>
        <v>26.396296986943753</v>
      </c>
      <c r="AD264" s="610">
        <f t="shared" si="103"/>
        <v>9302</v>
      </c>
      <c r="AE264" s="202">
        <f t="shared" si="84"/>
        <v>0.92747617074181521</v>
      </c>
      <c r="AF264" s="202">
        <f t="shared" si="83"/>
        <v>-4.2568279573455658E-2</v>
      </c>
      <c r="AG264" s="4"/>
      <c r="AH264" s="202">
        <f t="shared" si="77"/>
        <v>0.91313448456305601</v>
      </c>
      <c r="AI264" s="179">
        <f>MAX($B$2:B264)</f>
        <v>18326</v>
      </c>
      <c r="AJ264" s="180">
        <f t="shared" ref="AJ264:AJ327" si="104">AA264/Z245</f>
        <v>2.1038290895061727E-2</v>
      </c>
      <c r="AK264" s="180"/>
      <c r="AL264" s="202">
        <f t="shared" si="85"/>
        <v>0.95571787263181918</v>
      </c>
      <c r="AM264" s="202">
        <f t="shared" si="86"/>
        <v>0.91313448456305601</v>
      </c>
      <c r="AP264" s="644">
        <f t="shared" si="97"/>
        <v>0.81675300728773381</v>
      </c>
      <c r="AT264" s="180">
        <f t="shared" si="82"/>
        <v>2.87644109574564E-2</v>
      </c>
    </row>
    <row r="265" spans="1:46" x14ac:dyDescent="0.25">
      <c r="A265" s="105">
        <v>44156</v>
      </c>
      <c r="B265" s="126">
        <v>7140</v>
      </c>
      <c r="C265" s="126">
        <f t="shared" si="89"/>
        <v>1366182</v>
      </c>
      <c r="D265" s="126">
        <v>112</v>
      </c>
      <c r="E265" s="126">
        <f t="shared" si="96"/>
        <v>36871</v>
      </c>
      <c r="F265" s="126">
        <f t="shared" si="102"/>
        <v>9234</v>
      </c>
      <c r="G265" s="155">
        <v>1187053</v>
      </c>
      <c r="H265" s="126">
        <v>4132</v>
      </c>
      <c r="I265" s="126">
        <v>39055</v>
      </c>
      <c r="J265" s="4">
        <f t="shared" si="93"/>
        <v>3627561</v>
      </c>
      <c r="K265" s="611">
        <f t="shared" si="100"/>
        <v>2.6988351478792721E-2</v>
      </c>
      <c r="L265" s="7">
        <v>1815364</v>
      </c>
      <c r="M265" s="95">
        <f t="shared" si="94"/>
        <v>1815364.0269883515</v>
      </c>
      <c r="N265" s="202">
        <v>9862</v>
      </c>
      <c r="O265" s="4">
        <v>270149</v>
      </c>
      <c r="P265" s="4">
        <v>962192</v>
      </c>
      <c r="Q265" s="95">
        <f t="shared" ref="Q265:Q296" si="105">C265-N265-O265-P265</f>
        <v>123979</v>
      </c>
      <c r="R265" s="96">
        <f t="shared" si="101"/>
        <v>142258</v>
      </c>
      <c r="S265" s="39">
        <f t="shared" si="98"/>
        <v>-55</v>
      </c>
      <c r="T265" s="4"/>
      <c r="U265" s="91">
        <f>SUM(B252:B265)/POBLA!$B$25*100000</f>
        <v>284.99458166311928</v>
      </c>
      <c r="V265" s="91">
        <f>B265/POBLA!$B$25*100000</f>
        <v>15.73374761715808</v>
      </c>
      <c r="W265" s="625">
        <f t="shared" si="80"/>
        <v>0.83163038935150946</v>
      </c>
      <c r="X265" s="28">
        <f t="shared" si="95"/>
        <v>2.904581816136878E-2</v>
      </c>
      <c r="Y265" s="202">
        <f t="shared" si="99"/>
        <v>0.26212189847776479</v>
      </c>
      <c r="Z265" s="297">
        <f t="shared" ref="Z265:Z328" si="106">AVERAGE(B259:B265)</f>
        <v>8762.2857142857138</v>
      </c>
      <c r="AA265" s="179">
        <f t="shared" ref="AA265:AA328" si="107">AVERAGE(D259:D265)</f>
        <v>227.85714285714286</v>
      </c>
      <c r="AB265" s="357">
        <f t="shared" si="91"/>
        <v>269.07248499848174</v>
      </c>
      <c r="AC265" s="610">
        <f t="shared" si="87"/>
        <v>41.21534214133888</v>
      </c>
      <c r="AD265" s="610">
        <f t="shared" si="103"/>
        <v>9237.9285714285706</v>
      </c>
      <c r="AE265" s="202">
        <f t="shared" si="84"/>
        <v>0.90206632840650036</v>
      </c>
      <c r="AF265" s="202">
        <f t="shared" si="83"/>
        <v>-5.2901387446406267E-2</v>
      </c>
      <c r="AG265" s="4"/>
      <c r="AH265" s="202">
        <f t="shared" si="77"/>
        <v>0.81336053034166234</v>
      </c>
      <c r="AI265" s="179">
        <f>MAX($B$2:B265)</f>
        <v>18326</v>
      </c>
      <c r="AJ265" s="180">
        <f t="shared" si="104"/>
        <v>1.9732772485463318E-2</v>
      </c>
      <c r="AK265" s="180"/>
      <c r="AL265" s="202">
        <f t="shared" si="85"/>
        <v>0.95075931891394383</v>
      </c>
      <c r="AM265" s="202">
        <f t="shared" si="86"/>
        <v>0.81336053034166234</v>
      </c>
      <c r="AP265" s="644">
        <f t="shared" si="97"/>
        <v>0.83163038935150946</v>
      </c>
      <c r="AT265" s="180">
        <f t="shared" si="82"/>
        <v>2.8569874444856848E-2</v>
      </c>
    </row>
    <row r="266" spans="1:46" x14ac:dyDescent="0.25">
      <c r="A266" s="105">
        <v>44157</v>
      </c>
      <c r="B266" s="126">
        <v>4184</v>
      </c>
      <c r="C266" s="126">
        <f t="shared" si="89"/>
        <v>1370366</v>
      </c>
      <c r="D266" s="126">
        <v>100</v>
      </c>
      <c r="E266" s="126">
        <f t="shared" si="96"/>
        <v>36971</v>
      </c>
      <c r="F266" s="126">
        <f t="shared" si="102"/>
        <v>8439</v>
      </c>
      <c r="G266" s="155">
        <v>1195492</v>
      </c>
      <c r="H266" s="126">
        <v>4245</v>
      </c>
      <c r="I266" s="126">
        <v>15740</v>
      </c>
      <c r="J266" s="4">
        <f t="shared" si="93"/>
        <v>3643301</v>
      </c>
      <c r="K266" s="611">
        <f t="shared" si="100"/>
        <v>2.6978923878730209E-2</v>
      </c>
      <c r="L266" s="7">
        <v>1823849</v>
      </c>
      <c r="M266" s="95">
        <f t="shared" si="94"/>
        <v>1823849.0269789239</v>
      </c>
      <c r="N266" s="202">
        <v>9876</v>
      </c>
      <c r="O266" s="4">
        <v>270893</v>
      </c>
      <c r="P266" s="4">
        <v>965274</v>
      </c>
      <c r="Q266" s="95">
        <f t="shared" si="105"/>
        <v>124323</v>
      </c>
      <c r="R266" s="96">
        <f t="shared" si="101"/>
        <v>137903</v>
      </c>
      <c r="S266" s="39">
        <f t="shared" si="98"/>
        <v>113</v>
      </c>
      <c r="T266" s="4"/>
      <c r="U266" s="91">
        <f>SUM(B253:B266)/POBLA!$B$25*100000</f>
        <v>282.4670454562733</v>
      </c>
      <c r="V266" s="91">
        <f>B266/POBLA!$B$25*100000</f>
        <v>9.2198879594102809</v>
      </c>
      <c r="W266" s="625">
        <f t="shared" si="80"/>
        <v>0.84557994102630074</v>
      </c>
      <c r="X266" s="28">
        <f t="shared" si="95"/>
        <v>3.0782506544455159E-2</v>
      </c>
      <c r="Y266" s="202">
        <f t="shared" si="99"/>
        <v>0.25805965003016984</v>
      </c>
      <c r="Z266" s="297">
        <f t="shared" si="106"/>
        <v>8553.5714285714294</v>
      </c>
      <c r="AA266" s="179">
        <f t="shared" si="107"/>
        <v>223.85714285714286</v>
      </c>
      <c r="AB266" s="357">
        <f t="shared" si="91"/>
        <v>264.68704424955439</v>
      </c>
      <c r="AC266" s="610">
        <f t="shared" si="87"/>
        <v>40.829901392411529</v>
      </c>
      <c r="AD266" s="610">
        <f t="shared" si="103"/>
        <v>9156</v>
      </c>
      <c r="AE266" s="202">
        <f t="shared" si="84"/>
        <v>0.8765316429753035</v>
      </c>
      <c r="AF266" s="202">
        <f t="shared" si="83"/>
        <v>-5.5361852245093712E-2</v>
      </c>
      <c r="AG266" s="4"/>
      <c r="AH266" s="202">
        <f t="shared" ref="AH266:AH329" si="108">AA266/AA259</f>
        <v>0.834398296059638</v>
      </c>
      <c r="AI266" s="179">
        <f>MAX($B$2:B266)</f>
        <v>18326</v>
      </c>
      <c r="AJ266" s="180">
        <f t="shared" si="104"/>
        <v>1.9919407121156266E-2</v>
      </c>
      <c r="AK266" s="180"/>
      <c r="AL266" s="202">
        <f t="shared" si="85"/>
        <v>0.97250859106529208</v>
      </c>
      <c r="AM266" s="202">
        <f t="shared" si="86"/>
        <v>0.834398296059638</v>
      </c>
      <c r="AP266" s="644">
        <f t="shared" si="97"/>
        <v>0.84557994102630074</v>
      </c>
      <c r="AT266" s="180">
        <f t="shared" si="82"/>
        <v>2.8734410195416581E-2</v>
      </c>
    </row>
    <row r="267" spans="1:46" x14ac:dyDescent="0.25">
      <c r="A267" s="261">
        <v>44158</v>
      </c>
      <c r="B267" s="126">
        <v>4265</v>
      </c>
      <c r="C267" s="126">
        <f t="shared" si="89"/>
        <v>1374631</v>
      </c>
      <c r="D267" s="126">
        <v>119</v>
      </c>
      <c r="E267" s="126">
        <f t="shared" si="96"/>
        <v>37090</v>
      </c>
      <c r="F267" s="126">
        <f t="shared" si="102"/>
        <v>8308</v>
      </c>
      <c r="G267" s="155">
        <v>1203800</v>
      </c>
      <c r="H267" s="126">
        <v>4165</v>
      </c>
      <c r="I267" s="126">
        <v>13149</v>
      </c>
      <c r="J267" s="4">
        <f t="shared" si="93"/>
        <v>3656450</v>
      </c>
      <c r="K267" s="611">
        <f t="shared" si="100"/>
        <v>2.698178638485528E-2</v>
      </c>
      <c r="L267" s="7">
        <v>1830584</v>
      </c>
      <c r="M267" s="95">
        <f t="shared" si="94"/>
        <v>1830584.0269817864</v>
      </c>
      <c r="N267" s="202">
        <v>9894</v>
      </c>
      <c r="O267" s="4">
        <v>272054</v>
      </c>
      <c r="P267" s="4">
        <v>972396</v>
      </c>
      <c r="Q267" s="95">
        <f t="shared" si="105"/>
        <v>120287</v>
      </c>
      <c r="R267" s="96">
        <f t="shared" si="101"/>
        <v>133741</v>
      </c>
      <c r="S267" s="39">
        <f t="shared" si="98"/>
        <v>-80</v>
      </c>
      <c r="T267" s="4"/>
      <c r="U267" s="91">
        <f>SUM(B254:B267)/POBLA!$B$25*100000</f>
        <v>273.53803350323068</v>
      </c>
      <c r="V267" s="91">
        <f>B267/POBLA!$B$25*100000</f>
        <v>9.398380054226779</v>
      </c>
      <c r="W267" s="625">
        <f t="shared" si="80"/>
        <v>0.83760914452286805</v>
      </c>
      <c r="X267" s="28">
        <f t="shared" si="95"/>
        <v>3.1142282471343867E-2</v>
      </c>
      <c r="Y267" s="202">
        <f t="shared" si="99"/>
        <v>0.25155525342468815</v>
      </c>
      <c r="Z267" s="297">
        <f t="shared" si="106"/>
        <v>8035.2857142857147</v>
      </c>
      <c r="AA267" s="179">
        <f t="shared" si="107"/>
        <v>199.14285714285714</v>
      </c>
      <c r="AB267" s="357">
        <f t="shared" si="91"/>
        <v>260.69862990694116</v>
      </c>
      <c r="AC267" s="610">
        <f t="shared" si="87"/>
        <v>61.555772764084026</v>
      </c>
      <c r="AD267" s="610">
        <f t="shared" si="103"/>
        <v>8866.5714285714294</v>
      </c>
      <c r="AE267" s="202">
        <f t="shared" si="84"/>
        <v>0.82856301097444207</v>
      </c>
      <c r="AF267" s="202">
        <f t="shared" si="83"/>
        <v>-6.1413974117845216E-2</v>
      </c>
      <c r="AG267" s="4"/>
      <c r="AH267" s="202">
        <f t="shared" si="108"/>
        <v>0.76509330406147091</v>
      </c>
      <c r="AI267" s="179">
        <f>MAX($B$2:B267)</f>
        <v>18326</v>
      </c>
      <c r="AJ267" s="180">
        <f t="shared" si="104"/>
        <v>1.8489289740698984E-2</v>
      </c>
      <c r="AK267" s="180"/>
      <c r="AL267" s="202">
        <f t="shared" si="85"/>
        <v>0.9636742248958815</v>
      </c>
      <c r="AM267" s="202">
        <f t="shared" si="86"/>
        <v>0.76509330406147091</v>
      </c>
      <c r="AP267" s="644">
        <f t="shared" si="97"/>
        <v>0.83760914452286805</v>
      </c>
      <c r="AT267" s="180">
        <f t="shared" si="82"/>
        <v>2.8964012342522036E-2</v>
      </c>
    </row>
    <row r="268" spans="1:46" x14ac:dyDescent="0.25">
      <c r="A268" s="261">
        <v>44159</v>
      </c>
      <c r="B268" s="126">
        <v>7164</v>
      </c>
      <c r="C268" s="126">
        <f t="shared" si="89"/>
        <v>1381795</v>
      </c>
      <c r="D268" s="126">
        <v>311</v>
      </c>
      <c r="E268" s="126">
        <f t="shared" si="96"/>
        <v>37401</v>
      </c>
      <c r="F268" s="126">
        <f t="shared" si="102"/>
        <v>6834</v>
      </c>
      <c r="G268" s="155">
        <v>1210634</v>
      </c>
      <c r="H268" s="126">
        <v>4148</v>
      </c>
      <c r="I268" s="126">
        <v>22043</v>
      </c>
      <c r="J268" s="4">
        <f t="shared" si="93"/>
        <v>3678493</v>
      </c>
      <c r="K268" s="611">
        <f t="shared" si="100"/>
        <v>2.7066967241884649E-2</v>
      </c>
      <c r="L268" s="8">
        <v>1842058</v>
      </c>
      <c r="M268" s="95">
        <f t="shared" si="94"/>
        <v>1842058.0270669672</v>
      </c>
      <c r="N268" s="202">
        <v>9912</v>
      </c>
      <c r="O268" s="4">
        <v>273939</v>
      </c>
      <c r="P268" s="4">
        <v>979797</v>
      </c>
      <c r="Q268" s="95">
        <f t="shared" si="105"/>
        <v>118147</v>
      </c>
      <c r="R268" s="96">
        <f t="shared" si="101"/>
        <v>133760</v>
      </c>
      <c r="S268" s="39">
        <f t="shared" si="98"/>
        <v>-17</v>
      </c>
      <c r="T268" s="4"/>
      <c r="U268" s="91">
        <f>SUM(B255:B268)/POBLA!$B$25*100000</f>
        <v>262.9320773013564</v>
      </c>
      <c r="V268" s="91">
        <f>B268/POBLA!$B$25*100000</f>
        <v>15.786634163770374</v>
      </c>
      <c r="W268" s="625">
        <f t="shared" si="80"/>
        <v>0.81799858775459833</v>
      </c>
      <c r="X268" s="28">
        <f t="shared" si="95"/>
        <v>3.1010765550239235E-2</v>
      </c>
      <c r="Y268" s="202">
        <f t="shared" si="99"/>
        <v>0.25011015459546021</v>
      </c>
      <c r="Z268" s="297">
        <f t="shared" si="106"/>
        <v>7541.4285714285716</v>
      </c>
      <c r="AA268" s="179">
        <f t="shared" si="107"/>
        <v>189.57142857142858</v>
      </c>
      <c r="AB268" s="357">
        <f t="shared" si="91"/>
        <v>259.70299633418773</v>
      </c>
      <c r="AC268" s="610">
        <f t="shared" si="87"/>
        <v>70.131567762759147</v>
      </c>
      <c r="AD268" s="610">
        <f t="shared" si="103"/>
        <v>8522.7857142857138</v>
      </c>
      <c r="AE268" s="202">
        <f t="shared" si="84"/>
        <v>0.79348855386372863</v>
      </c>
      <c r="AF268" s="202">
        <f t="shared" si="83"/>
        <v>-7.1742841677191915E-2</v>
      </c>
      <c r="AG268" s="4"/>
      <c r="AH268" s="202">
        <f t="shared" si="108"/>
        <v>0.69078604893284745</v>
      </c>
      <c r="AI268" s="179">
        <f>MAX($B$2:B268)</f>
        <v>18326</v>
      </c>
      <c r="AJ268" s="180">
        <f t="shared" si="104"/>
        <v>1.8121483585513739E-2</v>
      </c>
      <c r="AK268" s="180"/>
      <c r="AL268" s="202">
        <f t="shared" si="85"/>
        <v>0.94724823018954096</v>
      </c>
      <c r="AM268" s="202">
        <f t="shared" si="86"/>
        <v>0.69078604893284745</v>
      </c>
      <c r="AP268" s="644">
        <f t="shared" si="97"/>
        <v>0.81799858775459833</v>
      </c>
      <c r="AT268" s="180">
        <f t="shared" si="82"/>
        <v>2.9271374902989637E-2</v>
      </c>
    </row>
    <row r="269" spans="1:46" x14ac:dyDescent="0.25">
      <c r="A269" s="261">
        <v>44160</v>
      </c>
      <c r="B269" s="126">
        <v>8593</v>
      </c>
      <c r="C269" s="126">
        <f t="shared" si="89"/>
        <v>1390388</v>
      </c>
      <c r="D269" s="126">
        <v>280</v>
      </c>
      <c r="E269" s="126">
        <f t="shared" si="96"/>
        <v>37681</v>
      </c>
      <c r="F269" s="126">
        <f t="shared" si="102"/>
        <v>6650</v>
      </c>
      <c r="G269" s="155">
        <v>1217284</v>
      </c>
      <c r="H269" s="126">
        <v>4039</v>
      </c>
      <c r="I269" s="126">
        <v>29437</v>
      </c>
      <c r="J269" s="4">
        <f t="shared" si="93"/>
        <v>3707930</v>
      </c>
      <c r="K269" s="611">
        <f t="shared" si="100"/>
        <v>2.710106819103732E-2</v>
      </c>
      <c r="L269" s="8">
        <v>1855809</v>
      </c>
      <c r="M269" s="95">
        <f t="shared" si="94"/>
        <v>1855809.0271010683</v>
      </c>
      <c r="N269" s="202">
        <v>9949</v>
      </c>
      <c r="O269" s="4">
        <v>275968</v>
      </c>
      <c r="P269" s="4">
        <v>986401</v>
      </c>
      <c r="Q269" s="95">
        <f t="shared" si="105"/>
        <v>118070</v>
      </c>
      <c r="R269" s="96">
        <f t="shared" si="101"/>
        <v>135423</v>
      </c>
      <c r="S269" s="39">
        <f t="shared" si="98"/>
        <v>-109</v>
      </c>
      <c r="T269" s="4"/>
      <c r="U269" s="91">
        <f>SUM(B256:B269)/POBLA!$B$25*100000</f>
        <v>257.89243013042636</v>
      </c>
      <c r="V269" s="91">
        <f>B269/POBLA!$B$25*100000</f>
        <v>18.935587293310835</v>
      </c>
      <c r="W269" s="625">
        <f t="shared" ref="W269:W332" si="109">SUM(B256:B269)/SUM(B242:B255)</f>
        <v>0.81941984134208079</v>
      </c>
      <c r="X269" s="28">
        <f t="shared" si="95"/>
        <v>2.9825066643037003E-2</v>
      </c>
      <c r="Y269" s="202">
        <f t="shared" si="99"/>
        <v>0.24790342396239518</v>
      </c>
      <c r="Z269" s="297">
        <f t="shared" si="106"/>
        <v>7293</v>
      </c>
      <c r="AA269" s="179">
        <f t="shared" si="107"/>
        <v>195.28571428571428</v>
      </c>
      <c r="AB269" s="357">
        <f t="shared" si="91"/>
        <v>260.99012912111215</v>
      </c>
      <c r="AC269" s="610">
        <f t="shared" si="87"/>
        <v>65.70441483539787</v>
      </c>
      <c r="AD269" s="610">
        <f t="shared" si="103"/>
        <v>8359.4285714285706</v>
      </c>
      <c r="AE269" s="202">
        <f t="shared" si="84"/>
        <v>0.77372273836407446</v>
      </c>
      <c r="AF269" s="202">
        <f t="shared" si="83"/>
        <v>-7.5919999454107545E-2</v>
      </c>
      <c r="AG269" s="4"/>
      <c r="AH269" s="202">
        <f t="shared" si="108"/>
        <v>0.75399889685603971</v>
      </c>
      <c r="AI269" s="179">
        <f>MAX($B$2:B269)</f>
        <v>18326</v>
      </c>
      <c r="AJ269" s="180">
        <f t="shared" si="104"/>
        <v>1.9082850561876176E-2</v>
      </c>
      <c r="AK269" s="180"/>
      <c r="AL269" s="202">
        <f t="shared" si="85"/>
        <v>0.94656667447855636</v>
      </c>
      <c r="AM269" s="202">
        <f t="shared" si="86"/>
        <v>0.75399889685603971</v>
      </c>
      <c r="AP269" s="644">
        <f t="shared" si="97"/>
        <v>0.81941984134208079</v>
      </c>
      <c r="AT269" s="180">
        <f t="shared" si="82"/>
        <v>2.9154387389920405E-2</v>
      </c>
    </row>
    <row r="270" spans="1:46" x14ac:dyDescent="0.25">
      <c r="A270" s="261">
        <v>44161</v>
      </c>
      <c r="B270" s="126">
        <v>9043</v>
      </c>
      <c r="C270" s="126">
        <f t="shared" si="89"/>
        <v>1399431</v>
      </c>
      <c r="D270" s="126">
        <v>229</v>
      </c>
      <c r="E270" s="126">
        <f t="shared" si="96"/>
        <v>37910</v>
      </c>
      <c r="F270" s="126">
        <f t="shared" si="102"/>
        <v>9378</v>
      </c>
      <c r="G270" s="155">
        <v>1226662</v>
      </c>
      <c r="H270" s="126">
        <v>3960</v>
      </c>
      <c r="I270" s="126">
        <v>32781</v>
      </c>
      <c r="J270" s="4">
        <f t="shared" si="93"/>
        <v>3740711</v>
      </c>
      <c r="K270" s="611">
        <f t="shared" si="100"/>
        <v>2.708958140844386E-2</v>
      </c>
      <c r="L270" s="8">
        <v>1871509</v>
      </c>
      <c r="M270" s="95">
        <f t="shared" si="94"/>
        <v>1871509.0270895814</v>
      </c>
      <c r="N270" s="202">
        <v>9979</v>
      </c>
      <c r="O270" s="4">
        <v>278371</v>
      </c>
      <c r="P270" s="4">
        <v>992925</v>
      </c>
      <c r="Q270" s="95">
        <f t="shared" si="105"/>
        <v>118156</v>
      </c>
      <c r="R270" s="96">
        <f t="shared" si="101"/>
        <v>134859</v>
      </c>
      <c r="S270" s="39">
        <f t="shared" si="98"/>
        <v>-79</v>
      </c>
      <c r="T270" s="4"/>
      <c r="U270" s="91">
        <f>SUM(B257:B270)/POBLA!$B$25*100000</f>
        <v>253.22078517967356</v>
      </c>
      <c r="V270" s="91">
        <f>B270/POBLA!$B$25*100000</f>
        <v>19.927210042291389</v>
      </c>
      <c r="W270" s="625">
        <f t="shared" si="109"/>
        <v>0.81660614415963728</v>
      </c>
      <c r="X270" s="28">
        <f t="shared" si="95"/>
        <v>2.9364002402509286E-2</v>
      </c>
      <c r="Y270" s="202">
        <f t="shared" si="99"/>
        <v>0.26311302434994027</v>
      </c>
      <c r="Z270" s="297">
        <f t="shared" si="106"/>
        <v>7142.4285714285716</v>
      </c>
      <c r="AA270" s="179">
        <f t="shared" si="107"/>
        <v>201.71428571428572</v>
      </c>
      <c r="AB270" s="357">
        <f t="shared" si="91"/>
        <v>260.83273750163067</v>
      </c>
      <c r="AC270" s="610">
        <f t="shared" si="87"/>
        <v>59.118451787344952</v>
      </c>
      <c r="AD270" s="610">
        <f t="shared" si="103"/>
        <v>8208</v>
      </c>
      <c r="AE270" s="202">
        <f t="shared" si="84"/>
        <v>0.77019178926288223</v>
      </c>
      <c r="AF270" s="202">
        <f t="shared" si="83"/>
        <v>-7.2636877501340957E-2</v>
      </c>
      <c r="AG270" s="4"/>
      <c r="AH270" s="202">
        <f t="shared" si="108"/>
        <v>0.80778032036613268</v>
      </c>
      <c r="AI270" s="179">
        <f>MAX($B$2:B270)</f>
        <v>18326</v>
      </c>
      <c r="AJ270" s="180">
        <f t="shared" si="104"/>
        <v>2.0192486450155162E-2</v>
      </c>
      <c r="AK270" s="180"/>
      <c r="AL270" s="202">
        <f t="shared" si="85"/>
        <v>0.92264678471575023</v>
      </c>
      <c r="AM270" s="202">
        <f t="shared" si="86"/>
        <v>0.80778032036613268</v>
      </c>
      <c r="AP270" s="644">
        <f t="shared" si="97"/>
        <v>0.81660614415963728</v>
      </c>
      <c r="AT270" s="180">
        <f t="shared" si="82"/>
        <v>2.900410859126942E-2</v>
      </c>
    </row>
    <row r="271" spans="1:46" x14ac:dyDescent="0.25">
      <c r="A271" s="261">
        <v>44162</v>
      </c>
      <c r="B271" s="126">
        <v>7846</v>
      </c>
      <c r="C271" s="126">
        <f t="shared" si="89"/>
        <v>1407277</v>
      </c>
      <c r="D271" s="126">
        <v>275</v>
      </c>
      <c r="E271" s="126">
        <f t="shared" si="96"/>
        <v>38185</v>
      </c>
      <c r="F271" s="126">
        <f t="shared" si="102"/>
        <v>8595</v>
      </c>
      <c r="G271" s="155">
        <v>1235257</v>
      </c>
      <c r="H271" s="126">
        <v>4120</v>
      </c>
      <c r="I271" s="126">
        <v>55323</v>
      </c>
      <c r="J271" s="4">
        <f t="shared" si="93"/>
        <v>3796034</v>
      </c>
      <c r="K271" s="611">
        <f t="shared" si="100"/>
        <v>2.7133961544173607E-2</v>
      </c>
      <c r="L271" s="8">
        <v>1912056</v>
      </c>
      <c r="M271" s="95">
        <f t="shared" si="94"/>
        <v>1912056.0271339614</v>
      </c>
      <c r="N271" s="202">
        <v>10016</v>
      </c>
      <c r="O271" s="4">
        <v>280344</v>
      </c>
      <c r="P271" s="4">
        <v>999456</v>
      </c>
      <c r="Q271" s="95">
        <f t="shared" si="105"/>
        <v>117461</v>
      </c>
      <c r="R271" s="96">
        <f t="shared" si="101"/>
        <v>133835</v>
      </c>
      <c r="S271" s="39">
        <f t="shared" si="98"/>
        <v>160</v>
      </c>
      <c r="T271" s="4"/>
      <c r="U271" s="91">
        <f>SUM(B258:B271)/POBLA!$B$25*100000</f>
        <v>244.37771386487589</v>
      </c>
      <c r="V271" s="91">
        <f>B271/POBLA!$B$25*100000</f>
        <v>17.289493530003121</v>
      </c>
      <c r="W271" s="625">
        <f t="shared" si="109"/>
        <v>0.79669394176682307</v>
      </c>
      <c r="X271" s="28">
        <f t="shared" si="95"/>
        <v>3.0784174543280907E-2</v>
      </c>
      <c r="Y271" s="202">
        <f t="shared" si="99"/>
        <v>0.23242646775374889</v>
      </c>
      <c r="Z271" s="297">
        <f t="shared" si="106"/>
        <v>6890.7142857142853</v>
      </c>
      <c r="AA271" s="179">
        <f t="shared" si="107"/>
        <v>203.71428571428572</v>
      </c>
      <c r="AB271" s="357">
        <f t="shared" si="91"/>
        <v>260.6918105675968</v>
      </c>
      <c r="AC271" s="610">
        <f t="shared" si="87"/>
        <v>56.977524853311081</v>
      </c>
      <c r="AD271" s="610">
        <f t="shared" si="103"/>
        <v>7921.3571428571431</v>
      </c>
      <c r="AE271" s="202">
        <f t="shared" si="84"/>
        <v>0.769740201710711</v>
      </c>
      <c r="AF271" s="202">
        <f t="shared" si="83"/>
        <v>-7.3575423634954062E-2</v>
      </c>
      <c r="AG271" s="4"/>
      <c r="AH271" s="202">
        <f t="shared" si="108"/>
        <v>0.81719197707736391</v>
      </c>
      <c r="AI271" s="179">
        <f>MAX($B$2:B271)</f>
        <v>18326</v>
      </c>
      <c r="AJ271" s="180">
        <f t="shared" si="104"/>
        <v>2.0772334629783392E-2</v>
      </c>
      <c r="AK271" s="180"/>
      <c r="AL271" s="202">
        <f t="shared" si="85"/>
        <v>0.98399808932409838</v>
      </c>
      <c r="AM271" s="202">
        <f t="shared" si="86"/>
        <v>0.81719197707736391</v>
      </c>
      <c r="AP271" s="644">
        <f t="shared" si="97"/>
        <v>0.79669394176682307</v>
      </c>
      <c r="AT271" s="180">
        <f t="shared" si="82"/>
        <v>2.9388171017257828E-2</v>
      </c>
    </row>
    <row r="272" spans="1:46" x14ac:dyDescent="0.25">
      <c r="A272" s="105">
        <v>44163</v>
      </c>
      <c r="B272" s="126">
        <v>6098</v>
      </c>
      <c r="C272" s="126">
        <f t="shared" si="89"/>
        <v>1413375</v>
      </c>
      <c r="D272" s="126">
        <v>106</v>
      </c>
      <c r="E272" s="126">
        <f t="shared" si="96"/>
        <v>38291</v>
      </c>
      <c r="F272" s="126">
        <f t="shared" si="102"/>
        <v>7620</v>
      </c>
      <c r="G272" s="155">
        <v>1242877</v>
      </c>
      <c r="H272" s="126">
        <v>4021</v>
      </c>
      <c r="I272" s="126">
        <v>25472</v>
      </c>
      <c r="J272" s="4">
        <f t="shared" si="93"/>
        <v>3821506</v>
      </c>
      <c r="K272" s="611">
        <f t="shared" si="100"/>
        <v>2.7091889979658619E-2</v>
      </c>
      <c r="L272" s="8">
        <v>1926130</v>
      </c>
      <c r="M272" s="95">
        <f t="shared" si="94"/>
        <v>1926130.0270918899</v>
      </c>
      <c r="N272" s="202">
        <v>10046</v>
      </c>
      <c r="O272" s="4">
        <v>281257</v>
      </c>
      <c r="P272" s="4">
        <v>1003512</v>
      </c>
      <c r="Q272" s="95">
        <f t="shared" si="105"/>
        <v>118560</v>
      </c>
      <c r="R272" s="96">
        <f t="shared" si="101"/>
        <v>132207</v>
      </c>
      <c r="S272" s="39">
        <f t="shared" si="98"/>
        <v>-99</v>
      </c>
      <c r="T272" s="4"/>
      <c r="U272" s="91">
        <f>SUM(B259:B272)/POBLA!$B$25*100000</f>
        <v>239.15516738691164</v>
      </c>
      <c r="V272" s="91">
        <f>B272/POBLA!$B$25*100000</f>
        <v>13.437590051740891</v>
      </c>
      <c r="W272" s="625">
        <f t="shared" si="109"/>
        <v>0.78688679108481607</v>
      </c>
      <c r="X272" s="28">
        <f t="shared" si="95"/>
        <v>3.0414425862473244E-2</v>
      </c>
      <c r="Y272" s="202">
        <f t="shared" si="99"/>
        <v>0.24333187243806234</v>
      </c>
      <c r="Z272" s="297">
        <f t="shared" si="106"/>
        <v>6741.8571428571431</v>
      </c>
      <c r="AA272" s="179">
        <f t="shared" si="107"/>
        <v>202.85714285714286</v>
      </c>
      <c r="AB272" s="357">
        <f t="shared" si="91"/>
        <v>262.60259502982399</v>
      </c>
      <c r="AC272" s="610">
        <f t="shared" si="87"/>
        <v>59.745452172681127</v>
      </c>
      <c r="AD272" s="610">
        <f t="shared" si="103"/>
        <v>7752.0714285714284</v>
      </c>
      <c r="AE272" s="202">
        <f t="shared" si="84"/>
        <v>0.76941763401591245</v>
      </c>
      <c r="AF272" s="202">
        <f t="shared" si="83"/>
        <v>-7.0653320024181454E-2</v>
      </c>
      <c r="AG272" s="4"/>
      <c r="AH272" s="202">
        <f t="shared" si="108"/>
        <v>0.89028213166144199</v>
      </c>
      <c r="AI272" s="179">
        <f>MAX($B$2:B272)</f>
        <v>18326</v>
      </c>
      <c r="AJ272" s="180">
        <f t="shared" si="104"/>
        <v>2.1078256739104621E-2</v>
      </c>
      <c r="AK272" s="180"/>
      <c r="AL272" s="202">
        <f t="shared" si="85"/>
        <v>0.97313649564375604</v>
      </c>
      <c r="AM272" s="202">
        <f t="shared" si="86"/>
        <v>0.89028213166144199</v>
      </c>
      <c r="AP272" s="644">
        <f t="shared" si="97"/>
        <v>0.78688679108481607</v>
      </c>
      <c r="AT272" s="180">
        <f t="shared" ref="AT272:AT335" si="110">SUM(D243:D272)/SUM(B243:B272)</f>
        <v>2.919039228415098E-2</v>
      </c>
    </row>
    <row r="273" spans="1:46" x14ac:dyDescent="0.25">
      <c r="A273" s="105">
        <v>44164</v>
      </c>
      <c r="B273" s="126">
        <v>5432</v>
      </c>
      <c r="C273" s="126">
        <f t="shared" si="89"/>
        <v>1418807</v>
      </c>
      <c r="D273" s="126">
        <v>151</v>
      </c>
      <c r="E273" s="126">
        <f t="shared" si="96"/>
        <v>38442</v>
      </c>
      <c r="F273" s="126">
        <f t="shared" si="102"/>
        <v>6966</v>
      </c>
      <c r="G273" s="155">
        <v>1249843</v>
      </c>
      <c r="H273" s="126">
        <v>4013</v>
      </c>
      <c r="I273" s="126">
        <v>17338</v>
      </c>
      <c r="J273" s="4">
        <f t="shared" si="93"/>
        <v>3838844</v>
      </c>
      <c r="K273" s="611">
        <f t="shared" si="100"/>
        <v>2.7094594261234967E-2</v>
      </c>
      <c r="L273" s="7">
        <v>1935553</v>
      </c>
      <c r="M273" s="95">
        <f t="shared" si="94"/>
        <v>1935553.0270945942</v>
      </c>
      <c r="N273" s="202">
        <v>10067</v>
      </c>
      <c r="O273" s="4">
        <v>281995</v>
      </c>
      <c r="P273" s="4">
        <v>1006055</v>
      </c>
      <c r="Q273" s="95">
        <f t="shared" si="105"/>
        <v>120690</v>
      </c>
      <c r="R273" s="96">
        <f t="shared" si="101"/>
        <v>130522</v>
      </c>
      <c r="S273" s="39">
        <f t="shared" si="98"/>
        <v>-8</v>
      </c>
      <c r="T273" s="4"/>
      <c r="U273" s="91">
        <f>SUM(B260:B273)/POBLA!$B$25*100000</f>
        <v>238.68579928572751</v>
      </c>
      <c r="V273" s="91">
        <f>B273/POBLA!$B$25*100000</f>
        <v>11.969988383249676</v>
      </c>
      <c r="W273" s="625">
        <f t="shared" si="109"/>
        <v>0.79087019378203538</v>
      </c>
      <c r="X273" s="28">
        <f t="shared" si="95"/>
        <v>3.074577465867823E-2</v>
      </c>
      <c r="Y273" s="202">
        <f t="shared" si="99"/>
        <v>0.24772556419815592</v>
      </c>
      <c r="Z273" s="297">
        <f t="shared" si="106"/>
        <v>6920.1428571428569</v>
      </c>
      <c r="AA273" s="179">
        <f t="shared" si="107"/>
        <v>210.14285714285714</v>
      </c>
      <c r="AB273" s="357">
        <f t="shared" si="91"/>
        <v>263.63203191998809</v>
      </c>
      <c r="AC273" s="610">
        <f t="shared" si="87"/>
        <v>53.489174777130955</v>
      </c>
      <c r="AD273" s="610">
        <f t="shared" si="103"/>
        <v>7736.8571428571431</v>
      </c>
      <c r="AE273" s="202">
        <f t="shared" si="84"/>
        <v>0.8090354906054279</v>
      </c>
      <c r="AF273" s="202">
        <f t="shared" ref="AF273:AF336" si="111">R273/R266-1</f>
        <v>-5.3523128575883039E-2</v>
      </c>
      <c r="AG273" s="4"/>
      <c r="AH273" s="202">
        <f t="shared" si="108"/>
        <v>0.93873643905552007</v>
      </c>
      <c r="AI273" s="179">
        <f>MAX($B$2:B273)</f>
        <v>18326</v>
      </c>
      <c r="AJ273" s="180">
        <f t="shared" si="104"/>
        <v>2.1889880952380952E-2</v>
      </c>
      <c r="AK273" s="180"/>
      <c r="AL273" s="202">
        <f t="shared" si="85"/>
        <v>0.94534746760895172</v>
      </c>
      <c r="AM273" s="202">
        <f t="shared" si="86"/>
        <v>0.93873643905552007</v>
      </c>
      <c r="AP273" s="644">
        <f t="shared" si="97"/>
        <v>0.79087019378203538</v>
      </c>
      <c r="AT273" s="180">
        <f t="shared" si="110"/>
        <v>2.932025624168667E-2</v>
      </c>
    </row>
    <row r="274" spans="1:46" x14ac:dyDescent="0.25">
      <c r="A274" s="261">
        <v>44165</v>
      </c>
      <c r="B274" s="126">
        <v>5726</v>
      </c>
      <c r="C274" s="126">
        <f t="shared" si="89"/>
        <v>1424533</v>
      </c>
      <c r="D274" s="126">
        <v>257</v>
      </c>
      <c r="E274" s="126">
        <f t="shared" si="96"/>
        <v>38699</v>
      </c>
      <c r="F274" s="126">
        <f t="shared" si="102"/>
        <v>7384</v>
      </c>
      <c r="G274" s="155">
        <v>1257227</v>
      </c>
      <c r="H274" s="126">
        <v>4062</v>
      </c>
      <c r="I274" s="126">
        <v>19291</v>
      </c>
      <c r="J274" s="4">
        <f t="shared" si="93"/>
        <v>3858135</v>
      </c>
      <c r="K274" s="611">
        <f t="shared" si="100"/>
        <v>2.7166095836319692E-2</v>
      </c>
      <c r="L274" s="7">
        <v>1945524</v>
      </c>
      <c r="M274" s="95">
        <f t="shared" si="94"/>
        <v>1945524.0271660958</v>
      </c>
      <c r="N274" s="202">
        <v>10089</v>
      </c>
      <c r="O274" s="4">
        <v>283567</v>
      </c>
      <c r="P274" s="4">
        <v>1009382</v>
      </c>
      <c r="Q274" s="95">
        <f t="shared" si="105"/>
        <v>121495</v>
      </c>
      <c r="R274" s="96">
        <f t="shared" si="101"/>
        <v>128607</v>
      </c>
      <c r="S274" s="39">
        <f t="shared" si="98"/>
        <v>49</v>
      </c>
      <c r="T274" s="4"/>
      <c r="U274" s="91">
        <f>SUM(B261:B274)/POBLA!$B$25*100000</f>
        <v>233.91058484785896</v>
      </c>
      <c r="V274" s="91">
        <f>B274/POBLA!$B$25*100000</f>
        <v>12.617848579250301</v>
      </c>
      <c r="W274" s="625">
        <f t="shared" si="109"/>
        <v>0.78481808166916811</v>
      </c>
      <c r="X274" s="28">
        <f t="shared" si="95"/>
        <v>3.158459492873638E-2</v>
      </c>
      <c r="Y274" s="202">
        <f t="shared" si="99"/>
        <v>0.24742544066241912</v>
      </c>
      <c r="Z274" s="297">
        <f t="shared" si="106"/>
        <v>7128.8571428571431</v>
      </c>
      <c r="AA274" s="179">
        <f t="shared" si="107"/>
        <v>229.85714285714286</v>
      </c>
      <c r="AB274" s="357">
        <f t="shared" si="91"/>
        <v>262.57502258175811</v>
      </c>
      <c r="AC274" s="610">
        <f t="shared" si="87"/>
        <v>32.717879724615244</v>
      </c>
      <c r="AD274" s="610">
        <f t="shared" si="103"/>
        <v>7582.0714285714284</v>
      </c>
      <c r="AE274" s="202">
        <f t="shared" si="84"/>
        <v>0.88719398367912949</v>
      </c>
      <c r="AF274" s="202">
        <f t="shared" si="111"/>
        <v>-3.8387629821819758E-2</v>
      </c>
      <c r="AG274" s="4"/>
      <c r="AH274" s="202">
        <f t="shared" si="108"/>
        <v>1.154232424677188</v>
      </c>
      <c r="AI274" s="179">
        <f>MAX($B$2:B274)</f>
        <v>18326</v>
      </c>
      <c r="AJ274" s="180">
        <f t="shared" si="104"/>
        <v>2.3862490360087796E-2</v>
      </c>
      <c r="AK274" s="180"/>
      <c r="AL274" s="202">
        <f t="shared" si="85"/>
        <v>0.97527010804321723</v>
      </c>
      <c r="AM274" s="202">
        <f t="shared" si="86"/>
        <v>1.154232424677188</v>
      </c>
      <c r="AP274" s="644">
        <f t="shared" si="97"/>
        <v>0.78481808166916811</v>
      </c>
      <c r="AT274" s="180">
        <f t="shared" si="110"/>
        <v>2.9960133380433136E-2</v>
      </c>
    </row>
    <row r="275" spans="1:46" x14ac:dyDescent="0.25">
      <c r="A275" s="261">
        <v>44166</v>
      </c>
      <c r="B275" s="126">
        <v>8037</v>
      </c>
      <c r="C275" s="126">
        <f t="shared" si="89"/>
        <v>1432570</v>
      </c>
      <c r="D275" s="126">
        <v>198</v>
      </c>
      <c r="E275" s="126">
        <f t="shared" si="96"/>
        <v>38897</v>
      </c>
      <c r="F275" s="126">
        <f t="shared" si="102"/>
        <v>6024</v>
      </c>
      <c r="G275" s="155">
        <v>1263251</v>
      </c>
      <c r="H275" s="126">
        <v>3946</v>
      </c>
      <c r="I275" s="126">
        <v>33764</v>
      </c>
      <c r="J275" s="4">
        <f t="shared" si="93"/>
        <v>3891899</v>
      </c>
      <c r="K275" s="611">
        <f t="shared" si="100"/>
        <v>2.7151901826786822E-2</v>
      </c>
      <c r="L275" s="7">
        <v>1964346</v>
      </c>
      <c r="M275" s="95">
        <f t="shared" si="94"/>
        <v>1964346.0271519017</v>
      </c>
      <c r="N275" s="202">
        <v>10120</v>
      </c>
      <c r="O275" s="4">
        <v>285518</v>
      </c>
      <c r="P275" s="4">
        <v>1015923</v>
      </c>
      <c r="Q275" s="95">
        <f t="shared" si="105"/>
        <v>121009</v>
      </c>
      <c r="R275" s="96">
        <f t="shared" si="101"/>
        <v>130422</v>
      </c>
      <c r="S275" s="39">
        <f t="shared" si="98"/>
        <v>-116</v>
      </c>
      <c r="T275" s="4"/>
      <c r="U275" s="91">
        <f>SUM(B262:B275)/POBLA!$B$25*100000</f>
        <v>228.21646666260176</v>
      </c>
      <c r="V275" s="91">
        <f>B275/POBLA!$B$25*100000</f>
        <v>17.710382296792645</v>
      </c>
      <c r="W275" s="625">
        <f t="shared" si="109"/>
        <v>0.7744393512252391</v>
      </c>
      <c r="X275" s="28">
        <f t="shared" si="95"/>
        <v>3.0255631718575086E-2</v>
      </c>
      <c r="Y275" s="202">
        <f t="shared" si="99"/>
        <v>0.23792676869441345</v>
      </c>
      <c r="Z275" s="297">
        <f t="shared" si="106"/>
        <v>7253.5714285714284</v>
      </c>
      <c r="AA275" s="179">
        <f t="shared" si="107"/>
        <v>213.71428571428572</v>
      </c>
      <c r="AB275" s="357">
        <f t="shared" si="91"/>
        <v>257.97679423972926</v>
      </c>
      <c r="AC275" s="610">
        <f t="shared" si="87"/>
        <v>44.262508525443536</v>
      </c>
      <c r="AD275" s="610">
        <f t="shared" si="103"/>
        <v>7397.5</v>
      </c>
      <c r="AE275" s="202">
        <f t="shared" si="84"/>
        <v>0.96182989202500468</v>
      </c>
      <c r="AF275" s="202">
        <f t="shared" si="111"/>
        <v>-2.4955143540669855E-2</v>
      </c>
      <c r="AG275" s="4"/>
      <c r="AH275" s="202">
        <f t="shared" si="108"/>
        <v>1.1273549359457422</v>
      </c>
      <c r="AI275" s="179">
        <f>MAX($B$2:B275)</f>
        <v>18326</v>
      </c>
      <c r="AJ275" s="180">
        <f t="shared" si="104"/>
        <v>2.216591841875213E-2</v>
      </c>
      <c r="AK275" s="180"/>
      <c r="AL275" s="202">
        <f t="shared" si="85"/>
        <v>0.95130183220829312</v>
      </c>
      <c r="AM275" s="202">
        <f t="shared" si="86"/>
        <v>1.1273549359457422</v>
      </c>
      <c r="AP275" s="644">
        <f t="shared" si="97"/>
        <v>0.7744393512252391</v>
      </c>
      <c r="AT275" s="180">
        <f t="shared" si="110"/>
        <v>3.0038179873917624E-2</v>
      </c>
    </row>
    <row r="276" spans="1:46" x14ac:dyDescent="0.25">
      <c r="A276" s="261">
        <v>44167</v>
      </c>
      <c r="B276" s="126">
        <v>7533</v>
      </c>
      <c r="C276" s="126">
        <f t="shared" si="89"/>
        <v>1440103</v>
      </c>
      <c r="D276" s="126">
        <v>228</v>
      </c>
      <c r="E276" s="126">
        <f t="shared" si="96"/>
        <v>39125</v>
      </c>
      <c r="F276" s="126">
        <f t="shared" si="102"/>
        <v>5107</v>
      </c>
      <c r="G276" s="155">
        <v>1268358</v>
      </c>
      <c r="H276" s="126">
        <v>3983</v>
      </c>
      <c r="I276" s="126">
        <v>49474</v>
      </c>
      <c r="J276" s="4">
        <f t="shared" si="93"/>
        <v>3941373</v>
      </c>
      <c r="K276" s="611">
        <f t="shared" si="100"/>
        <v>2.7168195608230802E-2</v>
      </c>
      <c r="L276" s="7">
        <v>2000098</v>
      </c>
      <c r="M276" s="103">
        <f t="shared" si="94"/>
        <v>2000098.0271681957</v>
      </c>
      <c r="N276" s="202">
        <v>10155</v>
      </c>
      <c r="O276" s="4">
        <v>287233</v>
      </c>
      <c r="P276" s="4">
        <v>1022204</v>
      </c>
      <c r="Q276" s="103">
        <f t="shared" si="105"/>
        <v>120511</v>
      </c>
      <c r="R276" s="96">
        <f t="shared" si="101"/>
        <v>132620</v>
      </c>
      <c r="S276" s="1">
        <f t="shared" si="98"/>
        <v>37</v>
      </c>
      <c r="T276" s="4"/>
      <c r="U276" s="91">
        <f>SUM(B263:B276)/POBLA!$B$25*100000</f>
        <v>222.04857316394273</v>
      </c>
      <c r="V276" s="91">
        <f>B276/POBLA!$B$25*100000</f>
        <v>16.599764817934428</v>
      </c>
      <c r="W276" s="625">
        <f t="shared" si="109"/>
        <v>0.75531635796685381</v>
      </c>
      <c r="X276" s="28">
        <f t="shared" si="95"/>
        <v>3.0033177499622983E-2</v>
      </c>
      <c r="Y276" s="202">
        <f t="shared" si="99"/>
        <v>0.21296419254379012</v>
      </c>
      <c r="Z276" s="297">
        <f t="shared" si="106"/>
        <v>7102.1428571428569</v>
      </c>
      <c r="AA276" s="179">
        <f t="shared" si="107"/>
        <v>206.28571428571428</v>
      </c>
      <c r="AB276" s="357">
        <f t="shared" si="91"/>
        <v>255.56717710756465</v>
      </c>
      <c r="AC276" s="610">
        <f t="shared" si="87"/>
        <v>49.281462821850369</v>
      </c>
      <c r="AD276" s="610">
        <f t="shared" si="103"/>
        <v>7197.5714285714284</v>
      </c>
      <c r="AE276" s="202">
        <f t="shared" si="84"/>
        <v>0.97383009147715027</v>
      </c>
      <c r="AF276" s="202">
        <f t="shared" si="111"/>
        <v>-2.069810888844581E-2</v>
      </c>
      <c r="AG276" s="4"/>
      <c r="AH276" s="202">
        <f t="shared" si="108"/>
        <v>1.0563277249451353</v>
      </c>
      <c r="AI276" s="179">
        <f>MAX($B$2:B276)</f>
        <v>18326</v>
      </c>
      <c r="AJ276" s="180">
        <f t="shared" si="104"/>
        <v>2.137232845894263E-2</v>
      </c>
      <c r="AK276" s="180"/>
      <c r="AL276" s="202">
        <f t="shared" si="85"/>
        <v>0.98613518197573657</v>
      </c>
      <c r="AM276" s="202">
        <f t="shared" si="86"/>
        <v>1.0563277249451353</v>
      </c>
      <c r="AP276" s="644">
        <f t="shared" si="97"/>
        <v>0.75531635796685381</v>
      </c>
      <c r="AT276" s="180">
        <f t="shared" si="110"/>
        <v>2.930280341827125E-2</v>
      </c>
    </row>
    <row r="277" spans="1:46" x14ac:dyDescent="0.25">
      <c r="A277" s="261">
        <v>44168</v>
      </c>
      <c r="B277" s="126">
        <v>7629</v>
      </c>
      <c r="C277" s="126">
        <f t="shared" si="89"/>
        <v>1447732</v>
      </c>
      <c r="D277" s="126">
        <v>148</v>
      </c>
      <c r="E277" s="126">
        <f t="shared" si="96"/>
        <v>39273</v>
      </c>
      <c r="F277" s="126">
        <f t="shared" si="102"/>
        <v>6317</v>
      </c>
      <c r="G277" s="155">
        <v>1274675</v>
      </c>
      <c r="H277" s="126">
        <v>3916</v>
      </c>
      <c r="I277" s="126">
        <v>47112</v>
      </c>
      <c r="J277" s="4">
        <f t="shared" si="93"/>
        <v>3988485</v>
      </c>
      <c r="K277" s="611">
        <f t="shared" si="100"/>
        <v>2.7127258359972702E-2</v>
      </c>
      <c r="L277" s="7">
        <v>2033435</v>
      </c>
      <c r="M277" s="103">
        <f t="shared" si="94"/>
        <v>2033435.0271272582</v>
      </c>
      <c r="N277" s="202">
        <v>10186</v>
      </c>
      <c r="O277" s="4">
        <v>288999</v>
      </c>
      <c r="P277" s="4">
        <v>1028077</v>
      </c>
      <c r="Q277" s="103">
        <f t="shared" si="105"/>
        <v>120470</v>
      </c>
      <c r="R277" s="96">
        <f t="shared" si="101"/>
        <v>133784</v>
      </c>
      <c r="S277" s="1">
        <f t="shared" si="98"/>
        <v>-67</v>
      </c>
      <c r="T277" s="4"/>
      <c r="U277" s="91">
        <f>SUM(B264:B277)/POBLA!$B$25*100000</f>
        <v>216.61007328731162</v>
      </c>
      <c r="V277" s="91">
        <f>B277/POBLA!$B$25*100000</f>
        <v>16.811311004383612</v>
      </c>
      <c r="W277" s="625">
        <f t="shared" si="109"/>
        <v>0.74239838073803299</v>
      </c>
      <c r="X277" s="28">
        <f t="shared" si="95"/>
        <v>2.9271063804341326E-2</v>
      </c>
      <c r="Y277" s="202">
        <f t="shared" si="99"/>
        <v>0.1949397434759095</v>
      </c>
      <c r="Z277" s="297">
        <f t="shared" si="106"/>
        <v>6900.1428571428569</v>
      </c>
      <c r="AA277" s="179">
        <f t="shared" si="107"/>
        <v>194.71428571428572</v>
      </c>
      <c r="AB277" s="357">
        <f t="shared" si="91"/>
        <v>250.82131471416909</v>
      </c>
      <c r="AC277" s="610">
        <f t="shared" si="87"/>
        <v>56.107028999883369</v>
      </c>
      <c r="AD277" s="610">
        <f t="shared" si="103"/>
        <v>7021.2857142857147</v>
      </c>
      <c r="AE277" s="202">
        <f t="shared" ref="AE277:AE340" si="112">Z277/Z270</f>
        <v>0.96607796467788065</v>
      </c>
      <c r="AF277" s="202">
        <f t="shared" si="111"/>
        <v>-7.9712885309841663E-3</v>
      </c>
      <c r="AG277" s="4"/>
      <c r="AH277" s="202">
        <f t="shared" si="108"/>
        <v>0.9652974504249292</v>
      </c>
      <c r="AI277" s="179">
        <f>MAX($B$2:B277)</f>
        <v>18326</v>
      </c>
      <c r="AJ277" s="180">
        <f t="shared" si="104"/>
        <v>2.0045591587616735E-2</v>
      </c>
      <c r="AK277" s="180"/>
      <c r="AL277" s="202">
        <f t="shared" ref="AL277:AL340" si="113">H277/H270</f>
        <v>0.98888888888888893</v>
      </c>
      <c r="AM277" s="202">
        <f t="shared" ref="AM277:AM340" si="114">AA277/AA270</f>
        <v>0.9652974504249292</v>
      </c>
      <c r="AP277" s="644">
        <f t="shared" si="97"/>
        <v>0.74239838073803299</v>
      </c>
      <c r="AT277" s="180">
        <f t="shared" si="110"/>
        <v>2.8713914503913553E-2</v>
      </c>
    </row>
    <row r="278" spans="1:46" x14ac:dyDescent="0.25">
      <c r="A278" s="261">
        <v>44169</v>
      </c>
      <c r="B278" s="126">
        <v>6899</v>
      </c>
      <c r="C278" s="126">
        <f t="shared" si="89"/>
        <v>1454631</v>
      </c>
      <c r="D278" s="144">
        <v>207</v>
      </c>
      <c r="E278" s="126">
        <f t="shared" si="96"/>
        <v>39480</v>
      </c>
      <c r="F278" s="126">
        <f t="shared" si="102"/>
        <v>7280</v>
      </c>
      <c r="G278" s="155">
        <v>1281955</v>
      </c>
      <c r="H278" s="126">
        <v>3929</v>
      </c>
      <c r="I278" s="126">
        <v>32923</v>
      </c>
      <c r="J278" s="4">
        <f t="shared" si="93"/>
        <v>4021408</v>
      </c>
      <c r="K278" s="611">
        <f t="shared" si="100"/>
        <v>2.7140903775596699E-2</v>
      </c>
      <c r="L278" s="7">
        <v>2054205</v>
      </c>
      <c r="M278" s="103">
        <f t="shared" si="94"/>
        <v>2054205.0271409038</v>
      </c>
      <c r="N278" s="202">
        <v>10211</v>
      </c>
      <c r="O278" s="4">
        <v>290538</v>
      </c>
      <c r="P278" s="4">
        <v>1033772</v>
      </c>
      <c r="Q278" s="103">
        <f t="shared" si="105"/>
        <v>120110</v>
      </c>
      <c r="R278" s="96">
        <f t="shared" si="101"/>
        <v>133196</v>
      </c>
      <c r="S278" s="1">
        <f t="shared" ref="S278:S299" si="115">H278-H277</f>
        <v>13</v>
      </c>
      <c r="T278" s="12">
        <f t="shared" ref="T278:T309" si="116">(C278-G278-E278)-(C277-E277-G277)</f>
        <v>-588</v>
      </c>
      <c r="U278" s="91">
        <f>SUM(B265:B278)/POBLA!$B$25*100000</f>
        <v>210.64050433844869</v>
      </c>
      <c r="V278" s="91">
        <f>B278/POBLA!$B$25*100000</f>
        <v>15.202678544926274</v>
      </c>
      <c r="W278" s="625">
        <f t="shared" si="109"/>
        <v>0.73401265472862975</v>
      </c>
      <c r="X278" s="28">
        <f t="shared" si="95"/>
        <v>2.9497882819303885E-2</v>
      </c>
      <c r="Y278" s="202">
        <f t="shared" si="99"/>
        <v>0.21011296777800456</v>
      </c>
      <c r="Z278" s="297">
        <f t="shared" si="106"/>
        <v>6764.8571428571431</v>
      </c>
      <c r="AA278" s="179">
        <f t="shared" si="107"/>
        <v>185</v>
      </c>
      <c r="AB278" s="357">
        <f t="shared" si="91"/>
        <v>242.1312718812222</v>
      </c>
      <c r="AC278" s="610">
        <f t="shared" ref="AC278:AC341" si="117">AB278-AA278</f>
        <v>57.131271881222204</v>
      </c>
      <c r="AD278" s="610">
        <f t="shared" si="103"/>
        <v>6827.7857142857147</v>
      </c>
      <c r="AE278" s="202">
        <f t="shared" si="112"/>
        <v>0.98173525448325916</v>
      </c>
      <c r="AF278" s="202">
        <f t="shared" si="111"/>
        <v>-4.774535809018543E-3</v>
      </c>
      <c r="AG278" s="4"/>
      <c r="AH278" s="202">
        <f t="shared" si="108"/>
        <v>0.9081346423562412</v>
      </c>
      <c r="AI278" s="179">
        <f>MAX($B$2:B278)</f>
        <v>18326</v>
      </c>
      <c r="AJ278" s="180">
        <f t="shared" si="104"/>
        <v>1.8957970399215332E-2</v>
      </c>
      <c r="AK278" s="180"/>
      <c r="AL278" s="202">
        <f t="shared" si="113"/>
        <v>0.95364077669902914</v>
      </c>
      <c r="AM278" s="202">
        <f t="shared" si="114"/>
        <v>0.9081346423562412</v>
      </c>
      <c r="AP278" s="644">
        <f t="shared" si="97"/>
        <v>0.73401265472862975</v>
      </c>
      <c r="AT278" s="180">
        <f t="shared" si="110"/>
        <v>2.8113854678069827E-2</v>
      </c>
    </row>
    <row r="279" spans="1:46" x14ac:dyDescent="0.25">
      <c r="A279" s="105">
        <v>44170</v>
      </c>
      <c r="B279" s="126">
        <v>5201</v>
      </c>
      <c r="C279" s="126">
        <f t="shared" si="89"/>
        <v>1459832</v>
      </c>
      <c r="D279" s="126">
        <v>121</v>
      </c>
      <c r="E279" s="126">
        <f t="shared" si="96"/>
        <v>39601</v>
      </c>
      <c r="F279" s="126">
        <f t="shared" si="102"/>
        <v>6830</v>
      </c>
      <c r="G279" s="155">
        <v>1288785</v>
      </c>
      <c r="H279" s="126">
        <v>3757</v>
      </c>
      <c r="I279" s="126">
        <v>28567</v>
      </c>
      <c r="J279" s="4">
        <f t="shared" si="93"/>
        <v>4049975</v>
      </c>
      <c r="K279" s="611">
        <f t="shared" si="100"/>
        <v>2.7127094076578675E-2</v>
      </c>
      <c r="L279" s="7">
        <v>2072109</v>
      </c>
      <c r="M279" s="103">
        <f t="shared" si="94"/>
        <v>2072109.0271270941</v>
      </c>
      <c r="N279" s="202">
        <v>10228</v>
      </c>
      <c r="O279" s="4">
        <v>291315</v>
      </c>
      <c r="P279" s="4">
        <v>1037782</v>
      </c>
      <c r="Q279" s="103">
        <f t="shared" si="105"/>
        <v>120507</v>
      </c>
      <c r="R279" s="96">
        <f t="shared" si="101"/>
        <v>131446</v>
      </c>
      <c r="S279" s="1">
        <f t="shared" si="115"/>
        <v>-172</v>
      </c>
      <c r="T279" s="12">
        <f t="shared" si="116"/>
        <v>-1750</v>
      </c>
      <c r="U279" s="91">
        <f>SUM(B266:B279)/POBLA!$B$25*100000</f>
        <v>206.36771209339693</v>
      </c>
      <c r="V279" s="91">
        <f>B279/POBLA!$B$25*100000</f>
        <v>11.460955372106326</v>
      </c>
      <c r="W279" s="625">
        <f t="shared" si="109"/>
        <v>0.72411100200261347</v>
      </c>
      <c r="X279" s="28">
        <f t="shared" si="95"/>
        <v>2.8582079332958022E-2</v>
      </c>
      <c r="Y279" s="202">
        <f t="shared" si="99"/>
        <v>0.20334049696020029</v>
      </c>
      <c r="Z279" s="297">
        <f t="shared" si="106"/>
        <v>6636.7142857142853</v>
      </c>
      <c r="AA279" s="179">
        <f t="shared" si="107"/>
        <v>187.14285714285714</v>
      </c>
      <c r="AB279" s="357">
        <f t="shared" si="91"/>
        <v>236.47964661474717</v>
      </c>
      <c r="AC279" s="610">
        <f t="shared" si="117"/>
        <v>49.336789471890029</v>
      </c>
      <c r="AD279" s="610">
        <f t="shared" si="103"/>
        <v>6689.2857142857147</v>
      </c>
      <c r="AE279" s="202">
        <f t="shared" si="112"/>
        <v>0.98440446676413862</v>
      </c>
      <c r="AF279" s="202">
        <f t="shared" si="111"/>
        <v>-5.7561248647953756E-3</v>
      </c>
      <c r="AG279" s="4"/>
      <c r="AH279" s="202">
        <f t="shared" si="108"/>
        <v>0.92253521126760563</v>
      </c>
      <c r="AI279" s="179">
        <f>MAX($B$2:B279)</f>
        <v>18326</v>
      </c>
      <c r="AJ279" s="180">
        <f t="shared" si="104"/>
        <v>1.9297341091551887E-2</v>
      </c>
      <c r="AK279" s="180"/>
      <c r="AL279" s="202">
        <f t="shared" si="113"/>
        <v>0.93434469037552847</v>
      </c>
      <c r="AM279" s="202">
        <f t="shared" si="114"/>
        <v>0.92253521126760563</v>
      </c>
      <c r="AP279" s="644">
        <f t="shared" si="97"/>
        <v>0.72411100200261347</v>
      </c>
      <c r="AT279" s="180">
        <f t="shared" si="110"/>
        <v>2.8282071135566137E-2</v>
      </c>
    </row>
    <row r="280" spans="1:46" x14ac:dyDescent="0.25">
      <c r="A280" s="105">
        <v>44171</v>
      </c>
      <c r="B280" s="126">
        <v>3278</v>
      </c>
      <c r="C280" s="126">
        <f t="shared" si="89"/>
        <v>1463110</v>
      </c>
      <c r="D280" s="126">
        <v>138</v>
      </c>
      <c r="E280" s="126">
        <f t="shared" si="96"/>
        <v>39739</v>
      </c>
      <c r="F280" s="126">
        <f t="shared" si="102"/>
        <v>5907</v>
      </c>
      <c r="G280" s="155">
        <v>1294692</v>
      </c>
      <c r="H280" s="126">
        <v>3735</v>
      </c>
      <c r="I280" s="126">
        <v>16826</v>
      </c>
      <c r="J280" s="4">
        <f t="shared" si="93"/>
        <v>4066801</v>
      </c>
      <c r="K280" s="611">
        <f t="shared" si="100"/>
        <v>2.7160637272658925E-2</v>
      </c>
      <c r="L280" s="7">
        <v>2083087</v>
      </c>
      <c r="M280" s="103">
        <f t="shared" si="94"/>
        <v>2083087.0271606373</v>
      </c>
      <c r="N280" s="202">
        <v>10245</v>
      </c>
      <c r="O280" s="4">
        <v>291769</v>
      </c>
      <c r="P280" s="4">
        <v>1041718</v>
      </c>
      <c r="Q280" s="103">
        <f t="shared" si="105"/>
        <v>119378</v>
      </c>
      <c r="R280" s="96">
        <f t="shared" si="101"/>
        <v>128679</v>
      </c>
      <c r="S280" s="1">
        <f t="shared" si="115"/>
        <v>-22</v>
      </c>
      <c r="T280" s="12">
        <f t="shared" si="116"/>
        <v>-2767</v>
      </c>
      <c r="U280" s="91">
        <f>SUM(B267:B280)/POBLA!$B$25*100000</f>
        <v>204.37124495878274</v>
      </c>
      <c r="V280" s="91">
        <f>B280/POBLA!$B$25*100000</f>
        <v>7.2234208247961043</v>
      </c>
      <c r="W280" s="625">
        <f t="shared" si="109"/>
        <v>0.72352243649753478</v>
      </c>
      <c r="X280" s="28">
        <f t="shared" si="95"/>
        <v>2.9025715151656448E-2</v>
      </c>
      <c r="Y280" s="202">
        <f t="shared" si="99"/>
        <v>0.19434805687037468</v>
      </c>
      <c r="Z280" s="297">
        <f t="shared" si="106"/>
        <v>6329</v>
      </c>
      <c r="AA280" s="179">
        <f t="shared" si="107"/>
        <v>185.28571428571428</v>
      </c>
      <c r="AB280" s="357">
        <f t="shared" si="91"/>
        <v>230.76615246271021</v>
      </c>
      <c r="AC280" s="610">
        <f t="shared" si="117"/>
        <v>45.480438176995932</v>
      </c>
      <c r="AD280" s="610">
        <f t="shared" si="103"/>
        <v>6624.5714285714284</v>
      </c>
      <c r="AE280" s="202">
        <f t="shared" si="112"/>
        <v>0.91457649511777217</v>
      </c>
      <c r="AF280" s="202">
        <f t="shared" si="111"/>
        <v>-1.4120224942921533E-2</v>
      </c>
      <c r="AG280" s="4"/>
      <c r="AH280" s="202">
        <f t="shared" si="108"/>
        <v>0.88171312032630866</v>
      </c>
      <c r="AI280" s="179">
        <f>MAX($B$2:B280)</f>
        <v>18326</v>
      </c>
      <c r="AJ280" s="180">
        <f t="shared" si="104"/>
        <v>1.9495257707165297E-2</v>
      </c>
      <c r="AK280" s="180"/>
      <c r="AL280" s="202">
        <f t="shared" si="113"/>
        <v>0.93072514328432598</v>
      </c>
      <c r="AM280" s="202">
        <f t="shared" si="114"/>
        <v>0.88171312032630866</v>
      </c>
      <c r="AP280" s="644">
        <f t="shared" si="97"/>
        <v>0.72352243649753478</v>
      </c>
      <c r="AT280" s="180">
        <f t="shared" si="110"/>
        <v>2.8323146788677572E-2</v>
      </c>
    </row>
    <row r="281" spans="1:46" x14ac:dyDescent="0.25">
      <c r="A281" s="105">
        <v>44172</v>
      </c>
      <c r="B281" s="126">
        <v>3199</v>
      </c>
      <c r="C281" s="148">
        <f t="shared" si="89"/>
        <v>1466309</v>
      </c>
      <c r="D281" s="126">
        <v>118</v>
      </c>
      <c r="E281" s="126">
        <f t="shared" si="96"/>
        <v>39857</v>
      </c>
      <c r="F281" s="126">
        <f t="shared" si="102"/>
        <v>6004</v>
      </c>
      <c r="G281" s="155">
        <v>1300696</v>
      </c>
      <c r="H281" s="126">
        <v>3723</v>
      </c>
      <c r="I281" s="126">
        <v>9951</v>
      </c>
      <c r="J281" s="4">
        <f t="shared" si="93"/>
        <v>4076752</v>
      </c>
      <c r="K281" s="611">
        <f t="shared" si="100"/>
        <v>2.7181855938959661E-2</v>
      </c>
      <c r="L281" s="7">
        <v>2088287</v>
      </c>
      <c r="M281" s="103">
        <f t="shared" si="94"/>
        <v>2088287.0271818559</v>
      </c>
      <c r="N281" s="202">
        <v>10262</v>
      </c>
      <c r="O281" s="4">
        <v>292290</v>
      </c>
      <c r="P281" s="4">
        <v>1047405</v>
      </c>
      <c r="Q281" s="103">
        <f t="shared" si="105"/>
        <v>116352</v>
      </c>
      <c r="R281" s="96">
        <f t="shared" si="101"/>
        <v>125756</v>
      </c>
      <c r="S281" s="1">
        <f t="shared" si="115"/>
        <v>-12</v>
      </c>
      <c r="T281" s="12">
        <f t="shared" si="116"/>
        <v>-2923</v>
      </c>
      <c r="U281" s="91">
        <f>SUM(B268:B281)/POBLA!$B$25*100000</f>
        <v>202.02220084675326</v>
      </c>
      <c r="V281" s="91">
        <f>B281/POBLA!$B$25*100000</f>
        <v>7.0493359421972972</v>
      </c>
      <c r="W281" s="625">
        <f t="shared" si="109"/>
        <v>0.73855250861985633</v>
      </c>
      <c r="X281" s="28">
        <f t="shared" si="95"/>
        <v>2.9604949266834185E-2</v>
      </c>
      <c r="Y281" s="202">
        <f t="shared" si="99"/>
        <v>0.19109218404790113</v>
      </c>
      <c r="Z281" s="297">
        <f t="shared" si="106"/>
        <v>5968</v>
      </c>
      <c r="AA281" s="179">
        <f t="shared" si="107"/>
        <v>165.42857142857142</v>
      </c>
      <c r="AB281" s="357">
        <f t="shared" si="91"/>
        <v>216.80636268413645</v>
      </c>
      <c r="AC281" s="610">
        <f t="shared" si="117"/>
        <v>51.377791255565029</v>
      </c>
      <c r="AD281" s="610">
        <f t="shared" si="103"/>
        <v>6548.4285714285716</v>
      </c>
      <c r="AE281" s="202">
        <f t="shared" si="112"/>
        <v>0.83716083523706464</v>
      </c>
      <c r="AF281" s="202">
        <f t="shared" si="111"/>
        <v>-2.216831121167584E-2</v>
      </c>
      <c r="AG281" s="4"/>
      <c r="AH281" s="202">
        <f t="shared" si="108"/>
        <v>0.71970167806090735</v>
      </c>
      <c r="AI281" s="179">
        <f>MAX($B$2:B281)</f>
        <v>18326</v>
      </c>
      <c r="AJ281" s="180">
        <f t="shared" si="104"/>
        <v>1.7550506964126033E-2</v>
      </c>
      <c r="AK281" s="180"/>
      <c r="AL281" s="202">
        <f t="shared" si="113"/>
        <v>0.91654357459379621</v>
      </c>
      <c r="AM281" s="202">
        <f t="shared" si="114"/>
        <v>0.71970167806090735</v>
      </c>
      <c r="AP281" s="644">
        <f t="shared" si="97"/>
        <v>0.73855250861985633</v>
      </c>
      <c r="AT281" s="180">
        <f t="shared" si="110"/>
        <v>2.8510664260997656E-2</v>
      </c>
    </row>
    <row r="282" spans="1:46" x14ac:dyDescent="0.25">
      <c r="A282" s="105">
        <v>44173</v>
      </c>
      <c r="B282" s="126">
        <v>3610</v>
      </c>
      <c r="C282" s="126">
        <f t="shared" si="89"/>
        <v>1469919</v>
      </c>
      <c r="D282" s="126">
        <v>120</v>
      </c>
      <c r="E282" s="126">
        <f t="shared" si="96"/>
        <v>39977</v>
      </c>
      <c r="F282" s="126">
        <f t="shared" si="102"/>
        <v>4891</v>
      </c>
      <c r="G282" s="155">
        <v>1305587</v>
      </c>
      <c r="H282" s="126">
        <v>3715</v>
      </c>
      <c r="I282" s="126">
        <v>13302</v>
      </c>
      <c r="J282" s="4">
        <f t="shared" si="93"/>
        <v>4090054</v>
      </c>
      <c r="K282" s="611">
        <f t="shared" si="100"/>
        <v>2.719673669093331E-2</v>
      </c>
      <c r="L282" s="7">
        <v>2095475</v>
      </c>
      <c r="M282" s="103">
        <f t="shared" si="94"/>
        <v>2095475.0271967368</v>
      </c>
      <c r="N282" s="202">
        <v>10276</v>
      </c>
      <c r="O282" s="4">
        <v>292866</v>
      </c>
      <c r="P282" s="4">
        <v>1053314</v>
      </c>
      <c r="Q282" s="103">
        <f t="shared" si="105"/>
        <v>113463</v>
      </c>
      <c r="R282" s="96">
        <f t="shared" si="101"/>
        <v>124355</v>
      </c>
      <c r="S282" s="1">
        <f t="shared" si="115"/>
        <v>-8</v>
      </c>
      <c r="T282" s="12">
        <f t="shared" si="116"/>
        <v>-1401</v>
      </c>
      <c r="U282" s="91">
        <f>SUM(B269:B282)/POBLA!$B$25*100000</f>
        <v>194.19058473591576</v>
      </c>
      <c r="V282" s="91">
        <f>B282/POBLA!$B$25*100000</f>
        <v>7.955018052932866</v>
      </c>
      <c r="W282" s="625">
        <f t="shared" si="109"/>
        <v>0.73855798322144839</v>
      </c>
      <c r="X282" s="28">
        <f t="shared" si="95"/>
        <v>2.9874150617184674E-2</v>
      </c>
      <c r="Y282" s="202">
        <f t="shared" si="99"/>
        <v>0.18848376271100906</v>
      </c>
      <c r="Z282" s="297">
        <f t="shared" si="106"/>
        <v>5335.5714285714284</v>
      </c>
      <c r="AA282" s="179">
        <f t="shared" si="107"/>
        <v>154.28571428571428</v>
      </c>
      <c r="AB282" s="357">
        <f t="shared" si="91"/>
        <v>204.12360009987009</v>
      </c>
      <c r="AC282" s="610">
        <f t="shared" si="117"/>
        <v>49.837885814155811</v>
      </c>
      <c r="AD282" s="610">
        <f t="shared" si="103"/>
        <v>6294.5714285714284</v>
      </c>
      <c r="AE282" s="202">
        <f t="shared" si="112"/>
        <v>0.73557853274249141</v>
      </c>
      <c r="AF282" s="202">
        <f t="shared" si="111"/>
        <v>-4.6518225452761075E-2</v>
      </c>
      <c r="AG282" s="4"/>
      <c r="AH282" s="202">
        <f t="shared" si="108"/>
        <v>0.72192513368983946</v>
      </c>
      <c r="AI282" s="179">
        <f>MAX($B$2:B282)</f>
        <v>18326</v>
      </c>
      <c r="AJ282" s="180">
        <f t="shared" si="104"/>
        <v>1.6637140876530846E-2</v>
      </c>
      <c r="AK282" s="180"/>
      <c r="AL282" s="202">
        <f t="shared" si="113"/>
        <v>0.94145970603142426</v>
      </c>
      <c r="AM282" s="202">
        <f t="shared" si="114"/>
        <v>0.72192513368983946</v>
      </c>
      <c r="AP282" s="644">
        <f t="shared" si="97"/>
        <v>0.73855798322144839</v>
      </c>
      <c r="AT282" s="180">
        <f t="shared" si="110"/>
        <v>2.8326534555210614E-2</v>
      </c>
    </row>
    <row r="283" spans="1:46" x14ac:dyDescent="0.25">
      <c r="A283" s="261">
        <v>44174</v>
      </c>
      <c r="B283" s="126">
        <v>5303</v>
      </c>
      <c r="C283" s="126">
        <f t="shared" si="89"/>
        <v>1475222</v>
      </c>
      <c r="D283" s="126">
        <v>212</v>
      </c>
      <c r="E283" s="126">
        <f t="shared" si="96"/>
        <v>40189</v>
      </c>
      <c r="F283" s="126">
        <f t="shared" si="102"/>
        <v>5901</v>
      </c>
      <c r="G283" s="155">
        <v>1311488</v>
      </c>
      <c r="H283" s="126">
        <v>3688</v>
      </c>
      <c r="I283" s="126">
        <v>20785</v>
      </c>
      <c r="J283" s="4">
        <f t="shared" si="93"/>
        <v>4110839</v>
      </c>
      <c r="K283" s="611">
        <f t="shared" si="100"/>
        <v>2.7242679406896047E-2</v>
      </c>
      <c r="L283" s="7">
        <v>2108441</v>
      </c>
      <c r="M283" s="103">
        <f t="shared" si="94"/>
        <v>2108441.0272426796</v>
      </c>
      <c r="N283" s="202">
        <v>10316</v>
      </c>
      <c r="O283" s="4">
        <v>294068</v>
      </c>
      <c r="P283" s="4">
        <v>1058646</v>
      </c>
      <c r="Q283" s="103">
        <f t="shared" si="105"/>
        <v>112192</v>
      </c>
      <c r="R283" s="96">
        <f t="shared" si="101"/>
        <v>123545</v>
      </c>
      <c r="S283" s="1">
        <f t="shared" si="115"/>
        <v>-27</v>
      </c>
      <c r="T283" s="12">
        <f t="shared" si="116"/>
        <v>-810</v>
      </c>
      <c r="U283" s="91">
        <f>SUM(B270:B283)/POBLA!$B$25*100000</f>
        <v>186.94072063781351</v>
      </c>
      <c r="V283" s="91">
        <f>B283/POBLA!$B$25*100000</f>
        <v>11.685723195208585</v>
      </c>
      <c r="W283" s="625">
        <f t="shared" si="109"/>
        <v>0.72487866566409187</v>
      </c>
      <c r="X283" s="28">
        <f t="shared" si="95"/>
        <v>2.9851471123881985E-2</v>
      </c>
      <c r="Y283" s="202">
        <f t="shared" si="99"/>
        <v>0.20723330933638606</v>
      </c>
      <c r="Z283" s="297">
        <f t="shared" si="106"/>
        <v>5017</v>
      </c>
      <c r="AA283" s="179">
        <f t="shared" si="107"/>
        <v>152</v>
      </c>
      <c r="AB283" s="357">
        <f t="shared" si="91"/>
        <v>197.64809031723519</v>
      </c>
      <c r="AC283" s="610">
        <f t="shared" si="117"/>
        <v>45.648090317235187</v>
      </c>
      <c r="AD283" s="610">
        <f t="shared" si="103"/>
        <v>6059.5714285714284</v>
      </c>
      <c r="AE283" s="202">
        <f t="shared" si="112"/>
        <v>0.70640651714774216</v>
      </c>
      <c r="AF283" s="202">
        <f t="shared" si="111"/>
        <v>-6.8428592972402336E-2</v>
      </c>
      <c r="AG283" s="4"/>
      <c r="AH283" s="202">
        <f t="shared" si="108"/>
        <v>0.73684210526315796</v>
      </c>
      <c r="AI283" s="179">
        <f>MAX($B$2:B283)</f>
        <v>18326</v>
      </c>
      <c r="AJ283" s="180">
        <f t="shared" si="104"/>
        <v>1.6979445933869526E-2</v>
      </c>
      <c r="AK283" s="180"/>
      <c r="AL283" s="202">
        <f t="shared" si="113"/>
        <v>0.92593522470499623</v>
      </c>
      <c r="AM283" s="202">
        <f t="shared" si="114"/>
        <v>0.73684210526315796</v>
      </c>
      <c r="AP283" s="644">
        <f t="shared" si="97"/>
        <v>0.72487866566409187</v>
      </c>
      <c r="AT283" s="180">
        <f t="shared" si="110"/>
        <v>2.8101262443096613E-2</v>
      </c>
    </row>
    <row r="284" spans="1:46" x14ac:dyDescent="0.25">
      <c r="A284" s="261">
        <v>44175</v>
      </c>
      <c r="B284" s="126">
        <v>6994</v>
      </c>
      <c r="C284" s="126">
        <f t="shared" si="89"/>
        <v>1482216</v>
      </c>
      <c r="D284" s="126">
        <v>209</v>
      </c>
      <c r="E284" s="126">
        <f t="shared" si="96"/>
        <v>40398</v>
      </c>
      <c r="F284" s="126">
        <f t="shared" si="102"/>
        <v>6699</v>
      </c>
      <c r="G284" s="155">
        <v>1318187</v>
      </c>
      <c r="H284" s="126">
        <v>3665</v>
      </c>
      <c r="I284" s="126">
        <v>28166</v>
      </c>
      <c r="J284" s="4">
        <f t="shared" si="93"/>
        <v>4139005</v>
      </c>
      <c r="K284" s="611">
        <f t="shared" si="100"/>
        <v>2.7255136903123433E-2</v>
      </c>
      <c r="L284" s="7">
        <v>2124880</v>
      </c>
      <c r="M284" s="103">
        <f t="shared" si="94"/>
        <v>2124880.027255137</v>
      </c>
      <c r="N284" s="202">
        <v>10335</v>
      </c>
      <c r="O284" s="4">
        <v>295491</v>
      </c>
      <c r="P284" s="4">
        <v>1064115</v>
      </c>
      <c r="Q284" s="103">
        <f t="shared" si="105"/>
        <v>112275</v>
      </c>
      <c r="R284" s="96">
        <f t="shared" si="101"/>
        <v>123631</v>
      </c>
      <c r="S284" s="1">
        <f t="shared" si="115"/>
        <v>-23</v>
      </c>
      <c r="T284" s="12">
        <f t="shared" si="116"/>
        <v>86</v>
      </c>
      <c r="U284" s="91">
        <f>SUM(B271:B284)/POBLA!$B$25*100000</f>
        <v>182.42553172078874</v>
      </c>
      <c r="V284" s="91">
        <f>B284/POBLA!$B$25*100000</f>
        <v>15.412021125266612</v>
      </c>
      <c r="W284" s="625">
        <f t="shared" si="109"/>
        <v>0.72042084377610693</v>
      </c>
      <c r="X284" s="28">
        <f t="shared" si="95"/>
        <v>2.9644668408408893E-2</v>
      </c>
      <c r="Y284" s="202">
        <f t="shared" si="99"/>
        <v>0.22909912304012756</v>
      </c>
      <c r="Z284" s="297">
        <f t="shared" si="106"/>
        <v>4926.2857142857147</v>
      </c>
      <c r="AA284" s="179">
        <f t="shared" si="107"/>
        <v>160.71428571428572</v>
      </c>
      <c r="AB284" s="357">
        <f t="shared" si="91"/>
        <v>193.48540023970966</v>
      </c>
      <c r="AC284" s="610">
        <f t="shared" si="117"/>
        <v>32.77111452542394</v>
      </c>
      <c r="AD284" s="610">
        <f t="shared" si="103"/>
        <v>5913.2142857142853</v>
      </c>
      <c r="AE284" s="202">
        <f t="shared" si="112"/>
        <v>0.71393966998612879</v>
      </c>
      <c r="AF284" s="202">
        <f t="shared" si="111"/>
        <v>-7.5890988459008546E-2</v>
      </c>
      <c r="AG284" s="4"/>
      <c r="AH284" s="202">
        <f t="shared" si="108"/>
        <v>0.82538517975055026</v>
      </c>
      <c r="AI284" s="179">
        <f>MAX($B$2:B284)</f>
        <v>18326</v>
      </c>
      <c r="AJ284" s="180">
        <f t="shared" si="104"/>
        <v>1.8341593843745927E-2</v>
      </c>
      <c r="AK284" s="180"/>
      <c r="AL284" s="202">
        <f t="shared" si="113"/>
        <v>0.93590398365679262</v>
      </c>
      <c r="AM284" s="202">
        <f t="shared" si="114"/>
        <v>0.82538517975055026</v>
      </c>
      <c r="AP284" s="644">
        <f t="shared" si="97"/>
        <v>0.72042084377610693</v>
      </c>
      <c r="AT284" s="180">
        <f t="shared" si="110"/>
        <v>2.8419950851005734E-2</v>
      </c>
    </row>
    <row r="285" spans="1:46" x14ac:dyDescent="0.25">
      <c r="A285" s="261">
        <v>44176</v>
      </c>
      <c r="B285" s="126">
        <v>7112</v>
      </c>
      <c r="C285" s="126">
        <f t="shared" si="89"/>
        <v>1489328</v>
      </c>
      <c r="D285" s="126">
        <v>177</v>
      </c>
      <c r="E285" s="126">
        <f t="shared" si="96"/>
        <v>40575</v>
      </c>
      <c r="F285" s="126">
        <f t="shared" si="102"/>
        <v>6605</v>
      </c>
      <c r="G285" s="155">
        <v>1324792</v>
      </c>
      <c r="H285" s="126">
        <v>3620</v>
      </c>
      <c r="I285" s="126">
        <v>36805</v>
      </c>
      <c r="J285" s="4">
        <f t="shared" si="93"/>
        <v>4175810</v>
      </c>
      <c r="K285" s="611">
        <f t="shared" si="100"/>
        <v>2.7243830774684959E-2</v>
      </c>
      <c r="L285" s="7">
        <v>2147972</v>
      </c>
      <c r="M285" s="103">
        <f t="shared" si="94"/>
        <v>2147972.0272438307</v>
      </c>
      <c r="N285" s="202">
        <v>10375</v>
      </c>
      <c r="O285" s="4">
        <v>296884</v>
      </c>
      <c r="P285" s="4">
        <v>1068414</v>
      </c>
      <c r="Q285" s="103">
        <f t="shared" si="105"/>
        <v>113655</v>
      </c>
      <c r="R285" s="96">
        <f t="shared" si="101"/>
        <v>123961</v>
      </c>
      <c r="S285" s="1">
        <f t="shared" si="115"/>
        <v>-45</v>
      </c>
      <c r="T285" s="12">
        <f t="shared" si="116"/>
        <v>330</v>
      </c>
      <c r="U285" s="91">
        <f>SUM(B272:B285)/POBLA!$B$25*100000</f>
        <v>180.80808483689603</v>
      </c>
      <c r="V285" s="91">
        <f>B285/POBLA!$B$25*100000</f>
        <v>15.672046646110401</v>
      </c>
      <c r="W285" s="625">
        <f t="shared" si="109"/>
        <v>0.73987141453033844</v>
      </c>
      <c r="X285" s="28">
        <f t="shared" si="95"/>
        <v>2.9202733117674108E-2</v>
      </c>
      <c r="Y285" s="202">
        <f t="shared" si="99"/>
        <v>0.22471859172808642</v>
      </c>
      <c r="Z285" s="297">
        <f t="shared" si="106"/>
        <v>4956.7142857142853</v>
      </c>
      <c r="AA285" s="179">
        <f t="shared" si="107"/>
        <v>156.42857142857142</v>
      </c>
      <c r="AB285" s="357">
        <f t="shared" si="91"/>
        <v>186.97237644045913</v>
      </c>
      <c r="AC285" s="610">
        <f t="shared" si="117"/>
        <v>30.543805011887713</v>
      </c>
      <c r="AD285" s="610">
        <f t="shared" si="103"/>
        <v>5860.7857142857147</v>
      </c>
      <c r="AE285" s="202">
        <f t="shared" si="112"/>
        <v>0.73271529332263374</v>
      </c>
      <c r="AF285" s="202">
        <f t="shared" si="111"/>
        <v>-6.9333913931349245E-2</v>
      </c>
      <c r="AG285" s="4"/>
      <c r="AH285" s="202">
        <f t="shared" si="108"/>
        <v>0.84555984555984554</v>
      </c>
      <c r="AI285" s="179">
        <f>MAX($B$2:B285)</f>
        <v>18326</v>
      </c>
      <c r="AJ285" s="180">
        <f t="shared" si="104"/>
        <v>1.8288100208768265E-2</v>
      </c>
      <c r="AK285" s="180"/>
      <c r="AL285" s="202">
        <f t="shared" si="113"/>
        <v>0.92135403410537031</v>
      </c>
      <c r="AM285" s="202">
        <f t="shared" si="114"/>
        <v>0.84555984555984554</v>
      </c>
      <c r="AP285" s="644">
        <f t="shared" si="97"/>
        <v>0.73987141453033844</v>
      </c>
      <c r="AT285" s="180">
        <f t="shared" si="110"/>
        <v>2.8124016076158019E-2</v>
      </c>
    </row>
    <row r="286" spans="1:46" x14ac:dyDescent="0.25">
      <c r="A286" s="106">
        <v>44177</v>
      </c>
      <c r="B286" s="126">
        <v>5274</v>
      </c>
      <c r="C286" s="126">
        <f t="shared" si="89"/>
        <v>1494602</v>
      </c>
      <c r="D286" s="126">
        <v>62</v>
      </c>
      <c r="E286" s="126">
        <f t="shared" si="96"/>
        <v>40637</v>
      </c>
      <c r="F286" s="126">
        <f t="shared" si="102"/>
        <v>5368</v>
      </c>
      <c r="G286" s="155">
        <v>1330160</v>
      </c>
      <c r="H286" s="126">
        <v>3594</v>
      </c>
      <c r="I286" s="126">
        <v>27204</v>
      </c>
      <c r="J286" s="4">
        <f t="shared" si="93"/>
        <v>4203014</v>
      </c>
      <c r="K286" s="611">
        <f t="shared" si="100"/>
        <v>2.7189178122336247E-2</v>
      </c>
      <c r="L286" s="7">
        <v>2164993</v>
      </c>
      <c r="M286" s="103">
        <f t="shared" si="94"/>
        <v>2164993.0271891779</v>
      </c>
      <c r="N286" s="202">
        <v>10396</v>
      </c>
      <c r="O286" s="4">
        <v>297737</v>
      </c>
      <c r="P286" s="4">
        <v>1071431</v>
      </c>
      <c r="Q286" s="103">
        <f t="shared" si="105"/>
        <v>115038</v>
      </c>
      <c r="R286" s="96">
        <f t="shared" si="101"/>
        <v>123805</v>
      </c>
      <c r="S286" s="1">
        <f t="shared" si="115"/>
        <v>-26</v>
      </c>
      <c r="T286" s="12">
        <f t="shared" si="116"/>
        <v>-156</v>
      </c>
      <c r="U286" s="91">
        <f>SUM(B273:B286)/POBLA!$B$25*100000</f>
        <v>178.99231340320719</v>
      </c>
      <c r="V286" s="91">
        <f>B286/POBLA!$B$25*100000</f>
        <v>11.62181861805206</v>
      </c>
      <c r="W286" s="625">
        <f t="shared" si="109"/>
        <v>0.74843590192483112</v>
      </c>
      <c r="X286" s="28">
        <f t="shared" si="95"/>
        <v>2.9029522232543112E-2</v>
      </c>
      <c r="Y286" s="202">
        <f t="shared" si="99"/>
        <v>0.22719698900280322</v>
      </c>
      <c r="Z286" s="297">
        <f t="shared" si="106"/>
        <v>4967.1428571428569</v>
      </c>
      <c r="AA286" s="179">
        <f t="shared" si="107"/>
        <v>148</v>
      </c>
      <c r="AB286" s="357">
        <f t="shared" si="91"/>
        <v>182.64965197286134</v>
      </c>
      <c r="AC286" s="610">
        <f t="shared" si="117"/>
        <v>34.649651972861335</v>
      </c>
      <c r="AD286" s="610">
        <f t="shared" si="103"/>
        <v>5801.9285714285716</v>
      </c>
      <c r="AE286" s="202">
        <f t="shared" si="112"/>
        <v>0.74843403577501777</v>
      </c>
      <c r="AF286" s="202">
        <f t="shared" si="111"/>
        <v>-5.8130334890373225E-2</v>
      </c>
      <c r="AG286" s="4"/>
      <c r="AH286" s="202">
        <f t="shared" si="108"/>
        <v>0.79083969465648851</v>
      </c>
      <c r="AI286" s="179">
        <f>MAX($B$2:B286)</f>
        <v>18326</v>
      </c>
      <c r="AJ286" s="180">
        <f t="shared" si="104"/>
        <v>1.8418760111650397E-2</v>
      </c>
      <c r="AK286" s="180"/>
      <c r="AL286" s="202">
        <f t="shared" si="113"/>
        <v>0.95661431993611923</v>
      </c>
      <c r="AM286" s="202">
        <f t="shared" si="114"/>
        <v>0.79083969465648851</v>
      </c>
      <c r="AP286" s="644">
        <f t="shared" si="97"/>
        <v>0.74843590192483112</v>
      </c>
      <c r="AT286" s="180">
        <f t="shared" si="110"/>
        <v>2.8022257869508717E-2</v>
      </c>
    </row>
    <row r="287" spans="1:46" x14ac:dyDescent="0.25">
      <c r="A287" s="106">
        <v>44178</v>
      </c>
      <c r="B287" s="126">
        <v>3558</v>
      </c>
      <c r="C287" s="126">
        <f t="shared" si="89"/>
        <v>1498160</v>
      </c>
      <c r="D287" s="126">
        <v>98</v>
      </c>
      <c r="E287" s="126">
        <f t="shared" si="96"/>
        <v>40735</v>
      </c>
      <c r="F287" s="126">
        <f t="shared" si="102"/>
        <v>5157</v>
      </c>
      <c r="G287" s="155">
        <v>1335317</v>
      </c>
      <c r="H287" s="126">
        <v>3537</v>
      </c>
      <c r="I287" s="126">
        <v>21793</v>
      </c>
      <c r="J287" s="4">
        <f t="shared" si="93"/>
        <v>4224807</v>
      </c>
      <c r="K287" s="611">
        <f t="shared" si="100"/>
        <v>2.7190019757569284E-2</v>
      </c>
      <c r="L287" s="7">
        <v>2180522</v>
      </c>
      <c r="M287" s="103">
        <f t="shared" si="94"/>
        <v>2180522.0271900198</v>
      </c>
      <c r="N287" s="202">
        <v>10424</v>
      </c>
      <c r="O287" s="4">
        <v>298310</v>
      </c>
      <c r="P287" s="4">
        <v>1073462</v>
      </c>
      <c r="Q287" s="103">
        <f t="shared" si="105"/>
        <v>115964</v>
      </c>
      <c r="R287" s="96">
        <f t="shared" si="101"/>
        <v>122108</v>
      </c>
      <c r="S287" s="1">
        <f t="shared" si="115"/>
        <v>-57</v>
      </c>
      <c r="T287" s="12">
        <f t="shared" si="116"/>
        <v>-1697</v>
      </c>
      <c r="U287" s="91">
        <f>SUM(B274:B287)/POBLA!$B$25*100000</f>
        <v>174.86275555523039</v>
      </c>
      <c r="V287" s="91">
        <f>B287/POBLA!$B$25*100000</f>
        <v>7.8404305352728922</v>
      </c>
      <c r="W287" s="625">
        <f t="shared" si="109"/>
        <v>0.73260644780087891</v>
      </c>
      <c r="X287" s="28">
        <f t="shared" si="95"/>
        <v>2.8966161103285617E-2</v>
      </c>
      <c r="Y287" s="202">
        <f t="shared" si="99"/>
        <v>0.22182701922711795</v>
      </c>
      <c r="Z287" s="297">
        <f t="shared" si="106"/>
        <v>5007.1428571428569</v>
      </c>
      <c r="AA287" s="179">
        <f t="shared" si="107"/>
        <v>142.28571428571428</v>
      </c>
      <c r="AB287" s="357">
        <f t="shared" si="91"/>
        <v>187.49846294406899</v>
      </c>
      <c r="AC287" s="610">
        <f t="shared" si="117"/>
        <v>45.212748658354712</v>
      </c>
      <c r="AD287" s="610">
        <f t="shared" si="103"/>
        <v>5668.0714285714284</v>
      </c>
      <c r="AE287" s="202">
        <f t="shared" si="112"/>
        <v>0.79114281199918735</v>
      </c>
      <c r="AF287" s="202">
        <f t="shared" si="111"/>
        <v>-5.1065053349808487E-2</v>
      </c>
      <c r="AG287" s="4"/>
      <c r="AH287" s="202">
        <f t="shared" si="108"/>
        <v>0.76792598303777948</v>
      </c>
      <c r="AI287" s="179">
        <f>MAX($B$2:B287)</f>
        <v>18326</v>
      </c>
      <c r="AJ287" s="180">
        <f t="shared" si="104"/>
        <v>1.8867209698806592E-2</v>
      </c>
      <c r="AK287" s="180"/>
      <c r="AL287" s="202">
        <f t="shared" si="113"/>
        <v>0.94698795180722894</v>
      </c>
      <c r="AM287" s="202">
        <f t="shared" si="114"/>
        <v>0.76792598303777948</v>
      </c>
      <c r="AP287" s="644">
        <f t="shared" si="97"/>
        <v>0.73260644780087891</v>
      </c>
      <c r="AT287" s="180">
        <f t="shared" si="110"/>
        <v>2.8352380291601829E-2</v>
      </c>
    </row>
    <row r="288" spans="1:46" x14ac:dyDescent="0.25">
      <c r="A288" s="107">
        <v>44179</v>
      </c>
      <c r="B288" s="126">
        <v>5062</v>
      </c>
      <c r="C288" s="126">
        <f t="shared" si="89"/>
        <v>1503222</v>
      </c>
      <c r="D288" s="126">
        <v>274</v>
      </c>
      <c r="E288" s="126">
        <f t="shared" si="96"/>
        <v>41009</v>
      </c>
      <c r="F288" s="126">
        <f t="shared" si="102"/>
        <v>4803</v>
      </c>
      <c r="G288" s="155">
        <v>1340120</v>
      </c>
      <c r="H288" s="126">
        <v>3478</v>
      </c>
      <c r="I288" s="126">
        <v>43000</v>
      </c>
      <c r="J288" s="4">
        <f t="shared" si="93"/>
        <v>4267807</v>
      </c>
      <c r="K288" s="611">
        <f t="shared" si="100"/>
        <v>2.7280734316022518E-2</v>
      </c>
      <c r="L288" s="7">
        <v>2215097</v>
      </c>
      <c r="M288" s="103">
        <f t="shared" si="94"/>
        <v>2215097.0272807344</v>
      </c>
      <c r="N288" s="202">
        <v>10451</v>
      </c>
      <c r="O288" s="4">
        <v>299430</v>
      </c>
      <c r="P288" s="4">
        <v>1076117</v>
      </c>
      <c r="Q288" s="103">
        <f t="shared" si="105"/>
        <v>117224</v>
      </c>
      <c r="R288" s="96">
        <f t="shared" si="101"/>
        <v>122093</v>
      </c>
      <c r="S288" s="1">
        <f t="shared" si="115"/>
        <v>-59</v>
      </c>
      <c r="T288" s="12">
        <f t="shared" si="116"/>
        <v>-15</v>
      </c>
      <c r="U288" s="91">
        <f>SUM(B275:B288)/POBLA!$B$25*100000</f>
        <v>173.39956109895687</v>
      </c>
      <c r="V288" s="91">
        <f>B288/POBLA!$B$25*100000</f>
        <v>11.154654122976778</v>
      </c>
      <c r="W288" s="625">
        <f t="shared" si="109"/>
        <v>0.74130703068328485</v>
      </c>
      <c r="X288" s="28">
        <f t="shared" si="95"/>
        <v>2.848648161647269E-2</v>
      </c>
      <c r="Y288" s="202">
        <f t="shared" si="99"/>
        <v>0.19320614482740572</v>
      </c>
      <c r="Z288" s="297">
        <f t="shared" si="106"/>
        <v>5273.2857142857147</v>
      </c>
      <c r="AA288" s="179">
        <f t="shared" si="107"/>
        <v>164.57142857142858</v>
      </c>
      <c r="AB288" s="357">
        <f t="shared" si="91"/>
        <v>193.66321634628932</v>
      </c>
      <c r="AC288" s="610">
        <f t="shared" si="117"/>
        <v>29.091787774860734</v>
      </c>
      <c r="AD288" s="610">
        <f t="shared" si="103"/>
        <v>5620.6428571428569</v>
      </c>
      <c r="AE288" s="202">
        <f t="shared" si="112"/>
        <v>0.88359345078513984</v>
      </c>
      <c r="AF288" s="202">
        <f t="shared" si="111"/>
        <v>-2.9127834854798196E-2</v>
      </c>
      <c r="AG288" s="4"/>
      <c r="AH288" s="202">
        <f t="shared" si="108"/>
        <v>0.99481865284974103</v>
      </c>
      <c r="AI288" s="179">
        <f>MAX($B$2:B288)</f>
        <v>18326</v>
      </c>
      <c r="AJ288" s="180">
        <f t="shared" si="104"/>
        <v>2.2565669624493155E-2</v>
      </c>
      <c r="AK288" s="180"/>
      <c r="AL288" s="202">
        <f t="shared" si="113"/>
        <v>0.93419285522428153</v>
      </c>
      <c r="AM288" s="202">
        <f t="shared" si="114"/>
        <v>0.99481865284974103</v>
      </c>
      <c r="AP288" s="644">
        <f t="shared" si="97"/>
        <v>0.74130703068328485</v>
      </c>
      <c r="AT288" s="180">
        <f t="shared" si="110"/>
        <v>2.8899665282090575E-2</v>
      </c>
    </row>
    <row r="289" spans="1:46" x14ac:dyDescent="0.25">
      <c r="A289" s="107">
        <v>44180</v>
      </c>
      <c r="B289" s="126">
        <v>6981</v>
      </c>
      <c r="C289" s="126">
        <f t="shared" ref="C289:C352" si="118">C288+B289</f>
        <v>1510203</v>
      </c>
      <c r="D289" s="126">
        <v>165</v>
      </c>
      <c r="E289" s="126">
        <f t="shared" si="96"/>
        <v>41174</v>
      </c>
      <c r="F289" s="126">
        <f t="shared" si="102"/>
        <v>4180</v>
      </c>
      <c r="G289" s="155">
        <v>1344300</v>
      </c>
      <c r="H289" s="126">
        <v>3475</v>
      </c>
      <c r="I289" s="126">
        <v>36591</v>
      </c>
      <c r="J289" s="4">
        <f t="shared" si="93"/>
        <v>4304398</v>
      </c>
      <c r="K289" s="611">
        <f t="shared" si="100"/>
        <v>2.7263884391700983E-2</v>
      </c>
      <c r="L289" s="7">
        <v>2238751</v>
      </c>
      <c r="M289" s="103">
        <f t="shared" si="94"/>
        <v>2238751.0272638844</v>
      </c>
      <c r="N289" s="202">
        <v>10483</v>
      </c>
      <c r="O289" s="4">
        <v>301009</v>
      </c>
      <c r="P289" s="4">
        <v>1078240</v>
      </c>
      <c r="Q289" s="103">
        <f t="shared" si="105"/>
        <v>120471</v>
      </c>
      <c r="R289" s="96">
        <f t="shared" si="101"/>
        <v>124729</v>
      </c>
      <c r="S289" s="1">
        <f t="shared" si="115"/>
        <v>-3</v>
      </c>
      <c r="T289" s="12">
        <f t="shared" si="116"/>
        <v>2636</v>
      </c>
      <c r="U289" s="91">
        <f>SUM(B276:B289)/POBLA!$B$25*100000</f>
        <v>171.07255304801583</v>
      </c>
      <c r="V289" s="91">
        <f>B289/POBLA!$B$25*100000</f>
        <v>15.383374245851616</v>
      </c>
      <c r="W289" s="625">
        <f t="shared" si="109"/>
        <v>0.74960652730169464</v>
      </c>
      <c r="X289" s="28">
        <f t="shared" si="95"/>
        <v>2.7860401350127077E-2</v>
      </c>
      <c r="Y289" s="202">
        <f t="shared" si="99"/>
        <v>0.18794088008061807</v>
      </c>
      <c r="Z289" s="297">
        <f t="shared" si="106"/>
        <v>5754.8571428571431</v>
      </c>
      <c r="AA289" s="179">
        <f t="shared" si="107"/>
        <v>171</v>
      </c>
      <c r="AB289" s="357">
        <f t="shared" si="91"/>
        <v>196.94825932215727</v>
      </c>
      <c r="AC289" s="610">
        <f t="shared" si="117"/>
        <v>25.94825932215727</v>
      </c>
      <c r="AD289" s="610">
        <f t="shared" si="103"/>
        <v>5545.2142857142853</v>
      </c>
      <c r="AE289" s="202">
        <f t="shared" si="112"/>
        <v>1.078583094594233</v>
      </c>
      <c r="AF289" s="202">
        <f t="shared" si="111"/>
        <v>3.0075187969924588E-3</v>
      </c>
      <c r="AG289" s="4"/>
      <c r="AH289" s="202">
        <f t="shared" si="108"/>
        <v>1.1083333333333334</v>
      </c>
      <c r="AI289" s="179">
        <f>MAX($B$2:B289)</f>
        <v>18326</v>
      </c>
      <c r="AJ289" s="180">
        <f t="shared" si="104"/>
        <v>2.3941436486189172E-2</v>
      </c>
      <c r="AK289" s="180"/>
      <c r="AL289" s="202">
        <f t="shared" si="113"/>
        <v>0.93539703903095561</v>
      </c>
      <c r="AM289" s="202">
        <f t="shared" si="114"/>
        <v>1.1083333333333334</v>
      </c>
      <c r="AP289" s="644">
        <f t="shared" si="97"/>
        <v>0.74960652730169464</v>
      </c>
      <c r="AT289" s="180">
        <f t="shared" si="110"/>
        <v>2.8891603909629866E-2</v>
      </c>
    </row>
    <row r="290" spans="1:46" x14ac:dyDescent="0.25">
      <c r="A290" s="107">
        <v>44181</v>
      </c>
      <c r="B290" s="126">
        <v>6843</v>
      </c>
      <c r="C290" s="126">
        <f t="shared" si="118"/>
        <v>1517046</v>
      </c>
      <c r="D290" s="126">
        <v>162</v>
      </c>
      <c r="E290" s="126">
        <f t="shared" si="96"/>
        <v>41336</v>
      </c>
      <c r="F290" s="126">
        <f t="shared" si="102"/>
        <v>3614</v>
      </c>
      <c r="G290" s="155">
        <v>1347914</v>
      </c>
      <c r="H290" s="126">
        <v>3443</v>
      </c>
      <c r="I290" s="126">
        <v>34599</v>
      </c>
      <c r="J290" s="4">
        <f t="shared" si="93"/>
        <v>4338997</v>
      </c>
      <c r="K290" s="611">
        <f t="shared" si="100"/>
        <v>2.7247690577609382E-2</v>
      </c>
      <c r="L290" s="7">
        <v>2259690</v>
      </c>
      <c r="M290" s="103">
        <f t="shared" si="94"/>
        <v>2259690.0272476906</v>
      </c>
      <c r="N290" s="202">
        <v>10548</v>
      </c>
      <c r="O290" s="4">
        <v>302498</v>
      </c>
      <c r="P290" s="4">
        <v>1083034</v>
      </c>
      <c r="Q290" s="103">
        <f t="shared" si="105"/>
        <v>120966</v>
      </c>
      <c r="R290" s="96">
        <f t="shared" si="101"/>
        <v>127796</v>
      </c>
      <c r="S290" s="1">
        <f t="shared" si="115"/>
        <v>-32</v>
      </c>
      <c r="T290" s="12">
        <f t="shared" si="116"/>
        <v>3067</v>
      </c>
      <c r="U290" s="91">
        <f>SUM(B277:B290)/POBLA!$B$25*100000</f>
        <v>169.55206483291232</v>
      </c>
      <c r="V290" s="91">
        <f>B290/POBLA!$B$25*100000</f>
        <v>15.079276602830916</v>
      </c>
      <c r="W290" s="625">
        <f t="shared" si="109"/>
        <v>0.76358096977154988</v>
      </c>
      <c r="X290" s="28">
        <f t="shared" si="95"/>
        <v>2.6941375316911327E-2</v>
      </c>
      <c r="Y290" s="202">
        <f t="shared" si="99"/>
        <v>0.18331156479281902</v>
      </c>
      <c r="Z290" s="297">
        <f t="shared" si="106"/>
        <v>5974.8571428571431</v>
      </c>
      <c r="AA290" s="179">
        <f t="shared" si="107"/>
        <v>163.85714285714286</v>
      </c>
      <c r="AB290" s="357">
        <f t="shared" ref="AB290:AB353" si="119">Z276*K276</f>
        <v>192.95240638045632</v>
      </c>
      <c r="AC290" s="610">
        <f t="shared" si="117"/>
        <v>29.095263523313463</v>
      </c>
      <c r="AD290" s="610">
        <f t="shared" si="103"/>
        <v>5495.9285714285716</v>
      </c>
      <c r="AE290" s="300">
        <f t="shared" si="112"/>
        <v>1.1909222927759902</v>
      </c>
      <c r="AF290" s="202">
        <f t="shared" si="111"/>
        <v>3.4408515115949667E-2</v>
      </c>
      <c r="AG290" s="4"/>
      <c r="AH290" s="202">
        <f t="shared" si="108"/>
        <v>1.0780075187969924</v>
      </c>
      <c r="AI290" s="179">
        <f>MAX($B$2:B290)</f>
        <v>18326</v>
      </c>
      <c r="AJ290" s="180">
        <f t="shared" si="104"/>
        <v>2.3779413289105423E-2</v>
      </c>
      <c r="AK290" s="180"/>
      <c r="AL290" s="202">
        <f t="shared" si="113"/>
        <v>0.9335683297180043</v>
      </c>
      <c r="AM290" s="202">
        <f t="shared" si="114"/>
        <v>1.0780075187969924</v>
      </c>
      <c r="AP290" s="644">
        <f t="shared" si="97"/>
        <v>0.76358096977154988</v>
      </c>
      <c r="AT290" s="180">
        <f t="shared" si="110"/>
        <v>2.838992862248442E-2</v>
      </c>
    </row>
    <row r="291" spans="1:46" x14ac:dyDescent="0.25">
      <c r="A291" s="107">
        <v>44182</v>
      </c>
      <c r="B291" s="126">
        <v>7326</v>
      </c>
      <c r="C291" s="126">
        <f t="shared" si="118"/>
        <v>1524372</v>
      </c>
      <c r="D291" s="126">
        <v>169</v>
      </c>
      <c r="E291" s="126">
        <f t="shared" si="96"/>
        <v>41505</v>
      </c>
      <c r="F291" s="126">
        <f t="shared" si="102"/>
        <v>4642</v>
      </c>
      <c r="G291" s="155">
        <v>1352556</v>
      </c>
      <c r="H291" s="126">
        <v>3471</v>
      </c>
      <c r="I291" s="126">
        <v>31936</v>
      </c>
      <c r="J291" s="4">
        <f t="shared" si="93"/>
        <v>4370933</v>
      </c>
      <c r="K291" s="611">
        <f t="shared" si="100"/>
        <v>2.7227605859986931E-2</v>
      </c>
      <c r="L291" s="7">
        <v>2279140</v>
      </c>
      <c r="M291" s="103">
        <f t="shared" si="94"/>
        <v>2279140.0272276057</v>
      </c>
      <c r="N291" s="202">
        <v>10614</v>
      </c>
      <c r="O291" s="4">
        <v>304151</v>
      </c>
      <c r="P291" s="4">
        <v>1088190</v>
      </c>
      <c r="Q291" s="103">
        <f t="shared" si="105"/>
        <v>121417</v>
      </c>
      <c r="R291" s="96">
        <f t="shared" si="101"/>
        <v>130311</v>
      </c>
      <c r="S291" s="1">
        <f t="shared" si="115"/>
        <v>28</v>
      </c>
      <c r="T291" s="12">
        <f t="shared" si="116"/>
        <v>2515</v>
      </c>
      <c r="U291" s="91">
        <f>SUM(B278:B291)/POBLA!$B$25*100000</f>
        <v>168.88437218193212</v>
      </c>
      <c r="V291" s="91">
        <f>B291/POBLA!$B$25*100000</f>
        <v>16.143618353403376</v>
      </c>
      <c r="W291" s="625">
        <f t="shared" si="109"/>
        <v>0.77966998311257607</v>
      </c>
      <c r="X291" s="28">
        <f t="shared" si="95"/>
        <v>2.6636277827658449E-2</v>
      </c>
      <c r="Y291" s="202">
        <f t="shared" si="99"/>
        <v>0.18176330585354075</v>
      </c>
      <c r="Z291" s="297">
        <f t="shared" si="106"/>
        <v>6022.2857142857147</v>
      </c>
      <c r="AA291" s="179">
        <f t="shared" si="107"/>
        <v>158.14285714285714</v>
      </c>
      <c r="AB291" s="357">
        <f t="shared" si="119"/>
        <v>187.18195800643448</v>
      </c>
      <c r="AC291" s="610">
        <f t="shared" si="117"/>
        <v>29.039100863577346</v>
      </c>
      <c r="AD291" s="610">
        <f t="shared" si="103"/>
        <v>5474.2857142857147</v>
      </c>
      <c r="AE291" s="300">
        <f t="shared" si="112"/>
        <v>1.2224799907203341</v>
      </c>
      <c r="AF291" s="202">
        <f t="shared" si="111"/>
        <v>5.4031755789405667E-2</v>
      </c>
      <c r="AG291" s="4"/>
      <c r="AH291" s="202">
        <f t="shared" si="108"/>
        <v>0.98399999999999987</v>
      </c>
      <c r="AI291" s="179">
        <f>MAX($B$2:B291)</f>
        <v>18326</v>
      </c>
      <c r="AJ291" s="180">
        <f t="shared" si="104"/>
        <v>2.3456868603394569E-2</v>
      </c>
      <c r="AK291" s="180"/>
      <c r="AL291" s="202">
        <f t="shared" si="113"/>
        <v>0.94706684856753065</v>
      </c>
      <c r="AM291" s="202">
        <f t="shared" si="114"/>
        <v>0.98399999999999987</v>
      </c>
      <c r="AP291" s="644">
        <f t="shared" si="97"/>
        <v>0.77966998311257607</v>
      </c>
      <c r="AT291" s="180">
        <f t="shared" si="110"/>
        <v>2.7798962977370795E-2</v>
      </c>
    </row>
    <row r="292" spans="1:46" x14ac:dyDescent="0.25">
      <c r="A292" s="107">
        <v>44183</v>
      </c>
      <c r="B292" s="126">
        <v>7002</v>
      </c>
      <c r="C292" s="126">
        <f t="shared" si="118"/>
        <v>1531374</v>
      </c>
      <c r="D292" s="126">
        <v>138</v>
      </c>
      <c r="E292" s="126">
        <f t="shared" si="96"/>
        <v>41643</v>
      </c>
      <c r="F292" s="126">
        <f t="shared" si="102"/>
        <v>4199</v>
      </c>
      <c r="G292" s="155">
        <v>1356755</v>
      </c>
      <c r="H292" s="126">
        <v>3434</v>
      </c>
      <c r="I292" s="126">
        <v>32002</v>
      </c>
      <c r="J292" s="4">
        <f t="shared" si="93"/>
        <v>4402935</v>
      </c>
      <c r="K292" s="611">
        <f t="shared" si="100"/>
        <v>2.7193226475047898E-2</v>
      </c>
      <c r="L292" s="7">
        <v>2298394</v>
      </c>
      <c r="M292" s="103">
        <f t="shared" si="94"/>
        <v>2298394.0271932264</v>
      </c>
      <c r="N292" s="202">
        <v>10658</v>
      </c>
      <c r="O292" s="4">
        <v>305458</v>
      </c>
      <c r="P292" s="4">
        <v>1093180</v>
      </c>
      <c r="Q292" s="103">
        <f t="shared" si="105"/>
        <v>122078</v>
      </c>
      <c r="R292" s="96">
        <f t="shared" si="101"/>
        <v>132976</v>
      </c>
      <c r="S292" s="1">
        <f t="shared" si="115"/>
        <v>-37</v>
      </c>
      <c r="T292" s="12">
        <f t="shared" si="116"/>
        <v>2665</v>
      </c>
      <c r="U292" s="91">
        <f>SUM(B279:B292)/POBLA!$B$25*100000</f>
        <v>169.11134361114321</v>
      </c>
      <c r="V292" s="91">
        <f>B292/POBLA!$B$25*100000</f>
        <v>15.429649974137376</v>
      </c>
      <c r="W292" s="625">
        <f t="shared" si="109"/>
        <v>0.80284342340645887</v>
      </c>
      <c r="X292" s="28">
        <f t="shared" si="95"/>
        <v>2.5824208879797857E-2</v>
      </c>
      <c r="Y292" s="202">
        <f t="shared" si="99"/>
        <v>0.18512272977435332</v>
      </c>
      <c r="Z292" s="297">
        <f t="shared" si="106"/>
        <v>6006.5714285714284</v>
      </c>
      <c r="AA292" s="179">
        <f t="shared" si="107"/>
        <v>152.57142857142858</v>
      </c>
      <c r="AB292" s="357">
        <f t="shared" si="119"/>
        <v>183.60433676994373</v>
      </c>
      <c r="AC292" s="610">
        <f t="shared" si="117"/>
        <v>31.032908198515145</v>
      </c>
      <c r="AD292" s="610">
        <f t="shared" si="103"/>
        <v>5481.6428571428569</v>
      </c>
      <c r="AE292" s="300">
        <f t="shared" si="112"/>
        <v>1.2118050551920916</v>
      </c>
      <c r="AF292" s="202">
        <f t="shared" si="111"/>
        <v>7.2724485927025517E-2</v>
      </c>
      <c r="AG292" s="4"/>
      <c r="AH292" s="202">
        <f t="shared" si="108"/>
        <v>0.97534246575342476</v>
      </c>
      <c r="AI292" s="179">
        <f>MAX($B$2:B292)</f>
        <v>18326</v>
      </c>
      <c r="AJ292" s="180">
        <f t="shared" si="104"/>
        <v>2.2047439152783802E-2</v>
      </c>
      <c r="AK292" s="180"/>
      <c r="AL292" s="202">
        <f t="shared" si="113"/>
        <v>0.94861878453038673</v>
      </c>
      <c r="AM292" s="202">
        <f t="shared" si="114"/>
        <v>0.97534246575342476</v>
      </c>
      <c r="AP292" s="644">
        <f t="shared" si="97"/>
        <v>0.80284342340645887</v>
      </c>
      <c r="AT292" s="180">
        <f t="shared" si="110"/>
        <v>2.7749860703926849E-2</v>
      </c>
    </row>
    <row r="293" spans="1:46" x14ac:dyDescent="0.25">
      <c r="A293" s="105">
        <v>44184</v>
      </c>
      <c r="B293" s="126">
        <v>5795</v>
      </c>
      <c r="C293" s="126">
        <f t="shared" si="118"/>
        <v>1537169</v>
      </c>
      <c r="D293" s="126">
        <v>91</v>
      </c>
      <c r="E293" s="126">
        <f t="shared" si="96"/>
        <v>41734</v>
      </c>
      <c r="F293" s="126">
        <f t="shared" si="102"/>
        <v>5862</v>
      </c>
      <c r="G293" s="155">
        <v>1362617</v>
      </c>
      <c r="H293" s="126">
        <v>3452</v>
      </c>
      <c r="I293" s="126">
        <v>27403</v>
      </c>
      <c r="J293" s="4">
        <f t="shared" si="93"/>
        <v>4430338</v>
      </c>
      <c r="K293" s="611">
        <f t="shared" si="100"/>
        <v>2.7149909996883881E-2</v>
      </c>
      <c r="L293" s="7">
        <v>2314565</v>
      </c>
      <c r="M293" s="103">
        <f t="shared" si="94"/>
        <v>2314565.0271499101</v>
      </c>
      <c r="N293" s="202">
        <v>10688</v>
      </c>
      <c r="O293" s="4">
        <v>306243</v>
      </c>
      <c r="P293" s="4">
        <v>1096091</v>
      </c>
      <c r="Q293" s="103">
        <f t="shared" si="105"/>
        <v>124147</v>
      </c>
      <c r="R293" s="96">
        <f t="shared" si="101"/>
        <v>132818</v>
      </c>
      <c r="S293" s="1">
        <f t="shared" si="115"/>
        <v>18</v>
      </c>
      <c r="T293" s="12">
        <f t="shared" si="116"/>
        <v>-158</v>
      </c>
      <c r="U293" s="91">
        <f>SUM(B280:B293)/POBLA!$B$25*100000</f>
        <v>170.42028563979753</v>
      </c>
      <c r="V293" s="91">
        <f>B293/POBLA!$B$25*100000</f>
        <v>12.769897400760653</v>
      </c>
      <c r="W293" s="625">
        <f t="shared" si="109"/>
        <v>0.82580886278697274</v>
      </c>
      <c r="X293" s="28">
        <f t="shared" si="95"/>
        <v>2.599045310123628E-2</v>
      </c>
      <c r="Y293" s="202">
        <f t="shared" si="99"/>
        <v>0.18725255582340625</v>
      </c>
      <c r="Z293" s="297">
        <f t="shared" si="106"/>
        <v>6081</v>
      </c>
      <c r="AA293" s="179">
        <f t="shared" si="107"/>
        <v>156.71428571428572</v>
      </c>
      <c r="AB293" s="357">
        <f t="shared" si="119"/>
        <v>180.03477278794506</v>
      </c>
      <c r="AC293" s="610">
        <f t="shared" si="117"/>
        <v>23.320487073659336</v>
      </c>
      <c r="AD293" s="610">
        <f t="shared" si="103"/>
        <v>5524.0714285714284</v>
      </c>
      <c r="AE293" s="300">
        <f t="shared" si="112"/>
        <v>1.2242450388265746</v>
      </c>
      <c r="AF293" s="202">
        <f t="shared" si="111"/>
        <v>7.2799967691127065E-2</v>
      </c>
      <c r="AG293" s="4"/>
      <c r="AH293" s="202">
        <f t="shared" si="108"/>
        <v>1.0588803088803089</v>
      </c>
      <c r="AI293" s="179">
        <f>MAX($B$2:B293)</f>
        <v>18326</v>
      </c>
      <c r="AJ293" s="180">
        <f t="shared" si="104"/>
        <v>2.1983086850226444E-2</v>
      </c>
      <c r="AK293" s="180"/>
      <c r="AL293" s="202">
        <f t="shared" si="113"/>
        <v>0.96048970506399556</v>
      </c>
      <c r="AM293" s="202">
        <f t="shared" si="114"/>
        <v>1.0588803088803089</v>
      </c>
      <c r="AP293" s="644">
        <f t="shared" si="97"/>
        <v>0.82580886278697274</v>
      </c>
      <c r="AT293" s="180">
        <f t="shared" si="110"/>
        <v>2.7890377393666604E-2</v>
      </c>
    </row>
    <row r="294" spans="1:46" x14ac:dyDescent="0.25">
      <c r="A294" s="105">
        <v>44185</v>
      </c>
      <c r="B294" s="126">
        <v>4116</v>
      </c>
      <c r="C294" s="126">
        <f t="shared" si="118"/>
        <v>1541285</v>
      </c>
      <c r="D294" s="126">
        <v>50</v>
      </c>
      <c r="E294" s="126">
        <f t="shared" si="96"/>
        <v>41784</v>
      </c>
      <c r="F294" s="126">
        <f t="shared" si="102"/>
        <v>5729</v>
      </c>
      <c r="G294" s="155">
        <v>1368346</v>
      </c>
      <c r="H294" s="126">
        <v>3462</v>
      </c>
      <c r="I294" s="126">
        <v>32148</v>
      </c>
      <c r="J294" s="4">
        <f t="shared" si="93"/>
        <v>4462486</v>
      </c>
      <c r="K294" s="611">
        <f t="shared" si="100"/>
        <v>2.7109846653928377E-2</v>
      </c>
      <c r="L294" s="7">
        <v>2338847</v>
      </c>
      <c r="M294" s="103">
        <f t="shared" si="94"/>
        <v>2338847.0271098465</v>
      </c>
      <c r="N294" s="202">
        <v>10715</v>
      </c>
      <c r="O294" s="4">
        <v>306830</v>
      </c>
      <c r="P294" s="4">
        <v>1098359</v>
      </c>
      <c r="Q294" s="103">
        <f t="shared" si="105"/>
        <v>125381</v>
      </c>
      <c r="R294" s="96">
        <f t="shared" si="101"/>
        <v>131155</v>
      </c>
      <c r="S294" s="1">
        <f t="shared" si="115"/>
        <v>10</v>
      </c>
      <c r="T294" s="12">
        <f t="shared" si="116"/>
        <v>-1663</v>
      </c>
      <c r="U294" s="91">
        <f>SUM(B281:B294)/POBLA!$B$25*100000</f>
        <v>172.26690755901021</v>
      </c>
      <c r="V294" s="91">
        <f>B294/POBLA!$B$25*100000</f>
        <v>9.0700427440087754</v>
      </c>
      <c r="W294" s="625">
        <f t="shared" si="109"/>
        <v>0.84291167083584917</v>
      </c>
      <c r="X294" s="28">
        <f t="shared" si="95"/>
        <v>2.6396248713354428E-2</v>
      </c>
      <c r="Y294" s="202">
        <f t="shared" si="99"/>
        <v>0.18144219724923111</v>
      </c>
      <c r="Z294" s="297">
        <f t="shared" si="106"/>
        <v>6160.7142857142853</v>
      </c>
      <c r="AA294" s="179">
        <f t="shared" si="107"/>
        <v>149.85714285714286</v>
      </c>
      <c r="AB294" s="357">
        <f t="shared" si="119"/>
        <v>171.89967329865834</v>
      </c>
      <c r="AC294" s="610">
        <f t="shared" si="117"/>
        <v>22.042530441515481</v>
      </c>
      <c r="AD294" s="610">
        <f t="shared" si="103"/>
        <v>5583.9285714285716</v>
      </c>
      <c r="AE294" s="300">
        <f t="shared" si="112"/>
        <v>1.2303851640513552</v>
      </c>
      <c r="AF294" s="202">
        <f t="shared" si="111"/>
        <v>7.4090149703541108E-2</v>
      </c>
      <c r="AG294" s="4"/>
      <c r="AH294" s="202">
        <f t="shared" si="108"/>
        <v>1.0532128514056225</v>
      </c>
      <c r="AI294" s="179">
        <f>MAX($B$2:B294)</f>
        <v>18326</v>
      </c>
      <c r="AJ294" s="180">
        <f t="shared" si="104"/>
        <v>2.065977351058592E-2</v>
      </c>
      <c r="AK294" s="180"/>
      <c r="AL294" s="202">
        <f t="shared" si="113"/>
        <v>0.97879558948261236</v>
      </c>
      <c r="AM294" s="202">
        <f t="shared" si="114"/>
        <v>1.0532128514056225</v>
      </c>
      <c r="AP294" s="644">
        <f t="shared" si="97"/>
        <v>0.84291167083584917</v>
      </c>
      <c r="AT294" s="180">
        <f t="shared" si="110"/>
        <v>2.757307550907305E-2</v>
      </c>
    </row>
    <row r="295" spans="1:46" x14ac:dyDescent="0.25">
      <c r="A295" s="107">
        <v>44186</v>
      </c>
      <c r="B295" s="126">
        <v>5853</v>
      </c>
      <c r="C295" s="126">
        <f t="shared" si="118"/>
        <v>1547138</v>
      </c>
      <c r="D295" s="126">
        <v>184</v>
      </c>
      <c r="E295" s="126">
        <f t="shared" si="96"/>
        <v>41968</v>
      </c>
      <c r="F295" s="126">
        <f t="shared" si="102"/>
        <v>6055</v>
      </c>
      <c r="G295" s="155">
        <v>1374401</v>
      </c>
      <c r="H295" s="126">
        <v>3367</v>
      </c>
      <c r="I295" s="126">
        <v>24076</v>
      </c>
      <c r="J295" s="4">
        <f t="shared" si="93"/>
        <v>4486562</v>
      </c>
      <c r="K295" s="611">
        <f t="shared" si="100"/>
        <v>2.7126216278056645E-2</v>
      </c>
      <c r="L295" s="7">
        <v>2353622</v>
      </c>
      <c r="M295" s="103">
        <f t="shared" si="94"/>
        <v>2353622.0271262163</v>
      </c>
      <c r="N295" s="202">
        <v>10750</v>
      </c>
      <c r="O295" s="4">
        <v>308256</v>
      </c>
      <c r="P295" s="4">
        <v>1103443</v>
      </c>
      <c r="Q295" s="103">
        <f t="shared" si="105"/>
        <v>124689</v>
      </c>
      <c r="R295" s="96">
        <f t="shared" si="101"/>
        <v>130769</v>
      </c>
      <c r="S295" s="1">
        <f t="shared" si="115"/>
        <v>-95</v>
      </c>
      <c r="T295" s="12">
        <f t="shared" si="116"/>
        <v>-386</v>
      </c>
      <c r="U295" s="91">
        <f>SUM(B282:B295)/POBLA!$B$25*100000</f>
        <v>178.11527817188662</v>
      </c>
      <c r="V295" s="91">
        <f>B295/POBLA!$B$25*100000</f>
        <v>12.897706555073702</v>
      </c>
      <c r="W295" s="625">
        <f t="shared" si="109"/>
        <v>0.88166190361918895</v>
      </c>
      <c r="X295" s="28">
        <f t="shared" si="95"/>
        <v>2.5747692495927933E-2</v>
      </c>
      <c r="Y295" s="202">
        <f t="shared" si="99"/>
        <v>0.20075426847386346</v>
      </c>
      <c r="Z295" s="297">
        <f t="shared" si="106"/>
        <v>6273.7142857142853</v>
      </c>
      <c r="AA295" s="179">
        <f t="shared" si="107"/>
        <v>137</v>
      </c>
      <c r="AB295" s="357">
        <f t="shared" si="119"/>
        <v>162.22131624371127</v>
      </c>
      <c r="AC295" s="610">
        <f t="shared" si="117"/>
        <v>25.221316243711271</v>
      </c>
      <c r="AD295" s="610">
        <f t="shared" si="103"/>
        <v>5773.5</v>
      </c>
      <c r="AE295" s="300">
        <f t="shared" si="112"/>
        <v>1.189716360089941</v>
      </c>
      <c r="AF295" s="202">
        <f t="shared" si="111"/>
        <v>7.1060584963920981E-2</v>
      </c>
      <c r="AG295" s="4"/>
      <c r="AH295" s="202">
        <f t="shared" si="108"/>
        <v>0.83246527777777768</v>
      </c>
      <c r="AI295" s="179">
        <f>MAX($B$2:B295)</f>
        <v>18326</v>
      </c>
      <c r="AJ295" s="180">
        <f t="shared" si="104"/>
        <v>1.9289952730564216E-2</v>
      </c>
      <c r="AK295" s="180"/>
      <c r="AL295" s="202">
        <f t="shared" si="113"/>
        <v>0.96808510638297873</v>
      </c>
      <c r="AM295" s="202">
        <f t="shared" si="114"/>
        <v>0.83246527777777768</v>
      </c>
      <c r="AP295" s="644">
        <f t="shared" si="97"/>
        <v>0.88166190361918895</v>
      </c>
      <c r="AT295" s="180">
        <f t="shared" si="110"/>
        <v>2.8167068237582617E-2</v>
      </c>
    </row>
    <row r="296" spans="1:46" x14ac:dyDescent="0.25">
      <c r="A296" s="107">
        <v>44187</v>
      </c>
      <c r="B296" s="126">
        <v>8141</v>
      </c>
      <c r="C296" s="126">
        <f t="shared" si="118"/>
        <v>1555279</v>
      </c>
      <c r="D296" s="126">
        <v>255</v>
      </c>
      <c r="E296" s="126">
        <f t="shared" si="96"/>
        <v>42223</v>
      </c>
      <c r="F296" s="126">
        <f t="shared" si="102"/>
        <v>5325</v>
      </c>
      <c r="G296" s="155">
        <v>1379726</v>
      </c>
      <c r="H296" s="126">
        <v>3399</v>
      </c>
      <c r="I296" s="126">
        <v>37688</v>
      </c>
      <c r="J296" s="4">
        <f t="shared" si="93"/>
        <v>4524250</v>
      </c>
      <c r="K296" s="611">
        <f t="shared" si="100"/>
        <v>2.7148183702088179E-2</v>
      </c>
      <c r="L296" s="7">
        <v>2390200</v>
      </c>
      <c r="M296" s="103">
        <f t="shared" si="94"/>
        <v>2390200.0271481839</v>
      </c>
      <c r="N296" s="202">
        <v>10808</v>
      </c>
      <c r="O296" s="4">
        <v>309842</v>
      </c>
      <c r="P296" s="4">
        <v>1109025</v>
      </c>
      <c r="Q296" s="103">
        <f t="shared" si="105"/>
        <v>125604</v>
      </c>
      <c r="R296" s="96">
        <f t="shared" si="101"/>
        <v>133330</v>
      </c>
      <c r="S296" s="39">
        <f t="shared" si="115"/>
        <v>32</v>
      </c>
      <c r="T296" s="91">
        <f t="shared" si="116"/>
        <v>2561</v>
      </c>
      <c r="U296" s="91">
        <f>SUM(B283:B296)/POBLA!$B$25*100000</f>
        <v>188.09981745106634</v>
      </c>
      <c r="V296" s="91">
        <f>B296/POBLA!$B$25*100000</f>
        <v>17.939557332112596</v>
      </c>
      <c r="W296" s="625">
        <f t="shared" si="109"/>
        <v>0.96863510507920658</v>
      </c>
      <c r="X296" s="28">
        <f t="shared" si="95"/>
        <v>2.549313732843321E-2</v>
      </c>
      <c r="Y296" s="202">
        <f t="shared" si="99"/>
        <v>0.20502883758164583</v>
      </c>
      <c r="Z296" s="297">
        <f t="shared" si="106"/>
        <v>6439.4285714285716</v>
      </c>
      <c r="AA296" s="179">
        <f t="shared" si="107"/>
        <v>149.85714285714286</v>
      </c>
      <c r="AB296" s="357">
        <f t="shared" si="119"/>
        <v>145.11013123852402</v>
      </c>
      <c r="AC296" s="610">
        <f t="shared" si="117"/>
        <v>-4.747011618618842</v>
      </c>
      <c r="AD296" s="610">
        <f t="shared" si="103"/>
        <v>6097.1428571428569</v>
      </c>
      <c r="AE296" s="300">
        <f t="shared" si="112"/>
        <v>1.1189554165425479</v>
      </c>
      <c r="AF296" s="202">
        <f t="shared" si="111"/>
        <v>6.8957499859695792E-2</v>
      </c>
      <c r="AG296" s="4"/>
      <c r="AH296" s="202">
        <f t="shared" si="108"/>
        <v>0.87635756056808689</v>
      </c>
      <c r="AI296" s="179">
        <f>MAX($B$2:B296)</f>
        <v>18326</v>
      </c>
      <c r="AJ296" s="180">
        <f t="shared" si="104"/>
        <v>2.1717976853481296E-2</v>
      </c>
      <c r="AK296" s="180"/>
      <c r="AL296" s="202">
        <f t="shared" si="113"/>
        <v>0.97812949640287772</v>
      </c>
      <c r="AM296" s="202">
        <f t="shared" si="114"/>
        <v>0.87635756056808689</v>
      </c>
      <c r="AP296" s="644">
        <f t="shared" si="97"/>
        <v>0.96863510507920658</v>
      </c>
      <c r="AT296" s="180">
        <f t="shared" si="110"/>
        <v>2.8402546062202223E-2</v>
      </c>
    </row>
    <row r="297" spans="1:46" x14ac:dyDescent="0.25">
      <c r="A297" s="107">
        <v>44188</v>
      </c>
      <c r="B297" s="126">
        <v>8586</v>
      </c>
      <c r="C297" s="126">
        <f t="shared" si="118"/>
        <v>1563865</v>
      </c>
      <c r="D297" s="126">
        <v>60</v>
      </c>
      <c r="E297" s="126">
        <f t="shared" si="96"/>
        <v>42283</v>
      </c>
      <c r="F297" s="126">
        <f t="shared" si="102"/>
        <v>4551</v>
      </c>
      <c r="G297" s="155">
        <v>1384277</v>
      </c>
      <c r="H297" s="126">
        <v>3390</v>
      </c>
      <c r="I297" s="126">
        <v>39323</v>
      </c>
      <c r="J297" s="4">
        <f t="shared" si="93"/>
        <v>4563573</v>
      </c>
      <c r="K297" s="611">
        <f t="shared" si="100"/>
        <v>2.7037500039965086E-2</v>
      </c>
      <c r="L297" s="7">
        <v>2402139</v>
      </c>
      <c r="M297" s="103">
        <f t="shared" si="94"/>
        <v>2402139.0270374999</v>
      </c>
      <c r="N297" s="202">
        <v>10873</v>
      </c>
      <c r="O297" s="4">
        <v>311072</v>
      </c>
      <c r="P297" s="4">
        <v>1114236</v>
      </c>
      <c r="Q297" s="103">
        <f t="shared" ref="Q297:Q324" si="120">C297-N297-O297-P297</f>
        <v>127684</v>
      </c>
      <c r="R297" s="96">
        <f t="shared" si="101"/>
        <v>137305</v>
      </c>
      <c r="S297" s="39">
        <f t="shared" si="115"/>
        <v>-9</v>
      </c>
      <c r="T297" s="91">
        <f t="shared" si="116"/>
        <v>3975</v>
      </c>
      <c r="U297" s="91">
        <f>SUM(B284:B297)/POBLA!$B$25*100000</f>
        <v>195.33425630640664</v>
      </c>
      <c r="V297" s="91">
        <f>B297/POBLA!$B$25*100000</f>
        <v>18.920162050548917</v>
      </c>
      <c r="W297" s="625">
        <f t="shared" si="109"/>
        <v>1.0448994506919396</v>
      </c>
      <c r="X297" s="28">
        <f t="shared" si="95"/>
        <v>2.4689559739266596E-2</v>
      </c>
      <c r="Y297" s="202">
        <f t="shared" si="99"/>
        <v>0.20847730834995726</v>
      </c>
      <c r="Z297" s="297">
        <f t="shared" si="106"/>
        <v>6688.4285714285716</v>
      </c>
      <c r="AA297" s="179">
        <f t="shared" si="107"/>
        <v>135.28571428571428</v>
      </c>
      <c r="AB297" s="357">
        <f t="shared" si="119"/>
        <v>136.67652258439747</v>
      </c>
      <c r="AC297" s="610">
        <f t="shared" si="117"/>
        <v>1.3908082986831971</v>
      </c>
      <c r="AD297" s="610">
        <f t="shared" si="103"/>
        <v>6331.6428571428569</v>
      </c>
      <c r="AE297" s="202">
        <f t="shared" si="112"/>
        <v>1.1194290359602141</v>
      </c>
      <c r="AF297" s="202">
        <f t="shared" si="111"/>
        <v>7.4407649691696109E-2</v>
      </c>
      <c r="AG297" s="4"/>
      <c r="AH297" s="202">
        <f t="shared" si="108"/>
        <v>0.82563208369659979</v>
      </c>
      <c r="AI297" s="179">
        <f>MAX($B$2:B297)</f>
        <v>18326</v>
      </c>
      <c r="AJ297" s="180">
        <f t="shared" si="104"/>
        <v>1.9998310596781685E-2</v>
      </c>
      <c r="AK297" s="180"/>
      <c r="AL297" s="202">
        <f t="shared" si="113"/>
        <v>0.98460644786523377</v>
      </c>
      <c r="AM297" s="202">
        <f t="shared" si="114"/>
        <v>0.82563208369659979</v>
      </c>
      <c r="AP297" s="644">
        <f t="shared" si="97"/>
        <v>1.0448994506919396</v>
      </c>
      <c r="AT297" s="180">
        <f t="shared" si="110"/>
        <v>2.7442214401217541E-2</v>
      </c>
    </row>
    <row r="298" spans="1:46" x14ac:dyDescent="0.25">
      <c r="A298" s="107">
        <v>44189</v>
      </c>
      <c r="B298" s="126">
        <v>7815</v>
      </c>
      <c r="C298" s="126">
        <f t="shared" si="118"/>
        <v>1571680</v>
      </c>
      <c r="D298" s="126">
        <v>78</v>
      </c>
      <c r="E298" s="126">
        <f t="shared" si="96"/>
        <v>42361</v>
      </c>
      <c r="F298" s="126">
        <f t="shared" si="102"/>
        <v>6439</v>
      </c>
      <c r="G298" s="155">
        <v>1390716</v>
      </c>
      <c r="H298" s="126">
        <v>3390</v>
      </c>
      <c r="I298" s="126">
        <v>24457</v>
      </c>
      <c r="J298" s="4">
        <f t="shared" ref="J298:J361" si="121">J299-I299</f>
        <v>4588030</v>
      </c>
      <c r="K298" s="611">
        <f t="shared" si="100"/>
        <v>2.6952687569988802E-2</v>
      </c>
      <c r="L298" s="7">
        <v>2423214</v>
      </c>
      <c r="M298" s="103">
        <f t="shared" si="94"/>
        <v>2423214.0269526877</v>
      </c>
      <c r="N298" s="202">
        <v>10910</v>
      </c>
      <c r="O298" s="4">
        <v>311984</v>
      </c>
      <c r="P298" s="4">
        <v>1119801</v>
      </c>
      <c r="Q298" s="103">
        <f t="shared" si="120"/>
        <v>128985</v>
      </c>
      <c r="R298" s="96">
        <f t="shared" si="101"/>
        <v>138603</v>
      </c>
      <c r="S298" s="39">
        <f t="shared" si="115"/>
        <v>0</v>
      </c>
      <c r="T298" s="91">
        <f t="shared" si="116"/>
        <v>1298</v>
      </c>
      <c r="U298" s="91">
        <f>SUM(B285:B298)/POBLA!$B$25*100000</f>
        <v>197.14341692176896</v>
      </c>
      <c r="V298" s="91">
        <f>B298/POBLA!$B$25*100000</f>
        <v>17.221181740628904</v>
      </c>
      <c r="W298" s="625">
        <f t="shared" si="109"/>
        <v>1.0806788669444947</v>
      </c>
      <c r="X298" s="28">
        <f t="shared" si="95"/>
        <v>2.4458345057466288E-2</v>
      </c>
      <c r="Y298" s="202">
        <f t="shared" si="99"/>
        <v>0.21791180900703372</v>
      </c>
      <c r="Z298" s="297">
        <f t="shared" si="106"/>
        <v>6758.2857142857147</v>
      </c>
      <c r="AA298" s="179">
        <f t="shared" si="107"/>
        <v>122.28571428571429</v>
      </c>
      <c r="AB298" s="357">
        <f t="shared" si="119"/>
        <v>134.26659156675836</v>
      </c>
      <c r="AC298" s="610">
        <f t="shared" si="117"/>
        <v>11.980877281044073</v>
      </c>
      <c r="AD298" s="610">
        <f t="shared" si="103"/>
        <v>6390.2857142857147</v>
      </c>
      <c r="AE298" s="202">
        <f t="shared" si="112"/>
        <v>1.1222127336559446</v>
      </c>
      <c r="AF298" s="202">
        <f t="shared" si="111"/>
        <v>6.3632387135391433E-2</v>
      </c>
      <c r="AG298" s="4"/>
      <c r="AH298" s="202">
        <f t="shared" si="108"/>
        <v>0.7732610659439928</v>
      </c>
      <c r="AI298" s="179">
        <f>MAX($B$2:B298)</f>
        <v>18326</v>
      </c>
      <c r="AJ298" s="180">
        <f t="shared" si="104"/>
        <v>1.8425640915254969E-2</v>
      </c>
      <c r="AK298" s="180"/>
      <c r="AL298" s="202">
        <f t="shared" si="113"/>
        <v>0.97666378565254974</v>
      </c>
      <c r="AM298" s="202">
        <f t="shared" si="114"/>
        <v>0.7732610659439928</v>
      </c>
      <c r="AP298" s="644">
        <f t="shared" si="97"/>
        <v>1.0806788669444947</v>
      </c>
      <c r="AT298" s="180">
        <f t="shared" si="110"/>
        <v>2.6121073281196512E-2</v>
      </c>
    </row>
    <row r="299" spans="1:46" x14ac:dyDescent="0.25">
      <c r="A299" s="107">
        <v>44190</v>
      </c>
      <c r="B299" s="126">
        <v>2874</v>
      </c>
      <c r="C299" s="126">
        <f t="shared" si="118"/>
        <v>1574554</v>
      </c>
      <c r="D299" s="126">
        <v>30</v>
      </c>
      <c r="E299" s="126">
        <f t="shared" si="96"/>
        <v>42391</v>
      </c>
      <c r="F299" s="126">
        <f t="shared" si="102"/>
        <v>5946</v>
      </c>
      <c r="G299" s="155">
        <v>1396662</v>
      </c>
      <c r="H299" s="126">
        <v>3390</v>
      </c>
      <c r="I299" s="126">
        <v>24454</v>
      </c>
      <c r="J299" s="4">
        <f t="shared" si="121"/>
        <v>4612484</v>
      </c>
      <c r="K299" s="611">
        <f t="shared" si="100"/>
        <v>2.6922544415752016E-2</v>
      </c>
      <c r="L299" s="7">
        <v>2430506</v>
      </c>
      <c r="M299" s="103">
        <f t="shared" si="94"/>
        <v>2430506.0269225445</v>
      </c>
      <c r="N299" s="202">
        <v>10934</v>
      </c>
      <c r="O299" s="4">
        <v>312308</v>
      </c>
      <c r="P299" s="4">
        <v>1125100</v>
      </c>
      <c r="Q299" s="103">
        <f t="shared" si="120"/>
        <v>126212</v>
      </c>
      <c r="R299" s="96">
        <f t="shared" si="101"/>
        <v>135501</v>
      </c>
      <c r="S299" s="39">
        <f t="shared" si="115"/>
        <v>0</v>
      </c>
      <c r="T299" s="91">
        <f t="shared" si="116"/>
        <v>-3102</v>
      </c>
      <c r="U299" s="91">
        <f>SUM(B286:B299)/POBLA!$B$25*100000</f>
        <v>187.80453423248102</v>
      </c>
      <c r="V299" s="91">
        <f>B299/POBLA!$B$25*100000</f>
        <v>6.3331639568224531</v>
      </c>
      <c r="W299" s="625">
        <f t="shared" si="109"/>
        <v>1.0386954455155939</v>
      </c>
      <c r="X299" s="28">
        <f t="shared" si="95"/>
        <v>2.5018265547855734E-2</v>
      </c>
      <c r="Y299" s="202">
        <f t="shared" si="99"/>
        <v>0.20606158941345462</v>
      </c>
      <c r="Z299" s="297">
        <f t="shared" si="106"/>
        <v>6168.5714285714284</v>
      </c>
      <c r="AA299" s="179">
        <f t="shared" si="107"/>
        <v>106.85714285714286</v>
      </c>
      <c r="AB299" s="357">
        <f t="shared" si="119"/>
        <v>135.03988519846342</v>
      </c>
      <c r="AC299" s="610">
        <f t="shared" si="117"/>
        <v>28.182742341320562</v>
      </c>
      <c r="AD299" s="610">
        <f t="shared" si="103"/>
        <v>6087.5714285714284</v>
      </c>
      <c r="AE299" s="202">
        <f t="shared" si="112"/>
        <v>1.0269704609237502</v>
      </c>
      <c r="AF299" s="202">
        <f t="shared" si="111"/>
        <v>1.8988388882204221E-2</v>
      </c>
      <c r="AG299" s="4"/>
      <c r="AH299" s="202">
        <f t="shared" si="108"/>
        <v>0.70037453183520593</v>
      </c>
      <c r="AI299" s="179">
        <f>MAX($B$2:B299)</f>
        <v>18326</v>
      </c>
      <c r="AJ299" s="180">
        <f t="shared" si="104"/>
        <v>1.6883732478613186E-2</v>
      </c>
      <c r="AK299" s="180"/>
      <c r="AL299" s="202">
        <f t="shared" si="113"/>
        <v>0.98718695398951661</v>
      </c>
      <c r="AM299" s="202">
        <f t="shared" si="114"/>
        <v>0.70037453183520593</v>
      </c>
      <c r="AP299" s="644">
        <f t="shared" si="97"/>
        <v>1.0386954455155939</v>
      </c>
      <c r="AT299" s="180">
        <f t="shared" si="110"/>
        <v>2.5574753211776331E-2</v>
      </c>
    </row>
    <row r="300" spans="1:46" x14ac:dyDescent="0.25">
      <c r="A300" s="107">
        <v>44191</v>
      </c>
      <c r="B300" s="126">
        <v>3713</v>
      </c>
      <c r="C300" s="126">
        <f t="shared" si="118"/>
        <v>1578267</v>
      </c>
      <c r="D300" s="126">
        <v>79</v>
      </c>
      <c r="E300" s="126">
        <f t="shared" si="96"/>
        <v>42470</v>
      </c>
      <c r="F300" s="126">
        <f t="shared" si="102"/>
        <v>5565</v>
      </c>
      <c r="G300" s="155">
        <v>1402227</v>
      </c>
      <c r="H300" s="126">
        <v>3262</v>
      </c>
      <c r="I300" s="126">
        <v>14984</v>
      </c>
      <c r="J300" s="4">
        <f t="shared" si="121"/>
        <v>4627468</v>
      </c>
      <c r="K300" s="611">
        <f t="shared" si="100"/>
        <v>2.6909261867605418E-2</v>
      </c>
      <c r="L300" s="7">
        <v>2439459</v>
      </c>
      <c r="M300" s="103">
        <f>L300+K300</f>
        <v>2439459.0269092619</v>
      </c>
      <c r="N300" s="202">
        <v>10957</v>
      </c>
      <c r="O300" s="4">
        <v>312971</v>
      </c>
      <c r="P300" s="4">
        <v>1128587</v>
      </c>
      <c r="Q300" s="103">
        <f t="shared" si="120"/>
        <v>125752</v>
      </c>
      <c r="R300" s="96">
        <f t="shared" si="101"/>
        <v>133570</v>
      </c>
      <c r="S300" s="39">
        <f>H300-H297</f>
        <v>-128</v>
      </c>
      <c r="T300" s="91">
        <f t="shared" si="116"/>
        <v>-1931</v>
      </c>
      <c r="U300" s="91">
        <f>SUM(B287:B300)/POBLA!$B$25*100000</f>
        <v>184.36470509657295</v>
      </c>
      <c r="V300" s="91">
        <f>B300/POBLA!$B$25*100000</f>
        <v>8.1819894821439707</v>
      </c>
      <c r="W300" s="625">
        <f t="shared" si="109"/>
        <v>1.0300146503010084</v>
      </c>
      <c r="X300" s="28">
        <f t="shared" si="95"/>
        <v>2.4421651568465971E-2</v>
      </c>
      <c r="Y300" s="202">
        <f t="shared" si="99"/>
        <v>0.20848171257545781</v>
      </c>
      <c r="Z300" s="297">
        <f t="shared" si="106"/>
        <v>5871.1428571428569</v>
      </c>
      <c r="AA300" s="179">
        <f t="shared" si="107"/>
        <v>105.14285714285714</v>
      </c>
      <c r="AB300" s="357">
        <f t="shared" si="119"/>
        <v>135.05253190194733</v>
      </c>
      <c r="AC300" s="610">
        <f t="shared" si="117"/>
        <v>29.909674759090194</v>
      </c>
      <c r="AD300" s="610">
        <f t="shared" si="103"/>
        <v>5976.0714285714284</v>
      </c>
      <c r="AE300" s="202">
        <f t="shared" si="112"/>
        <v>0.96548969859280664</v>
      </c>
      <c r="AF300" s="202">
        <f t="shared" si="111"/>
        <v>5.6618831784849277E-3</v>
      </c>
      <c r="AG300" s="4"/>
      <c r="AH300" s="202">
        <f t="shared" si="108"/>
        <v>0.67092069279854138</v>
      </c>
      <c r="AI300" s="179">
        <f>MAX($B$2:B300)</f>
        <v>18326</v>
      </c>
      <c r="AJ300" s="180">
        <f t="shared" si="104"/>
        <v>1.7617770968977403E-2</v>
      </c>
      <c r="AK300" s="180"/>
      <c r="AL300" s="202">
        <f t="shared" si="113"/>
        <v>0.9449594438006953</v>
      </c>
      <c r="AM300" s="202">
        <f t="shared" si="114"/>
        <v>0.67092069279854138</v>
      </c>
      <c r="AP300" s="644">
        <f t="shared" si="97"/>
        <v>1.0300146503010084</v>
      </c>
      <c r="AT300" s="180">
        <f t="shared" si="110"/>
        <v>2.549822183452996E-2</v>
      </c>
    </row>
    <row r="301" spans="1:46" x14ac:dyDescent="0.25">
      <c r="A301" s="107">
        <v>44192</v>
      </c>
      <c r="B301" s="126">
        <v>5030</v>
      </c>
      <c r="C301" s="126">
        <f t="shared" si="118"/>
        <v>1583297</v>
      </c>
      <c r="D301" s="126">
        <v>149</v>
      </c>
      <c r="E301" s="126">
        <f t="shared" si="96"/>
        <v>42619</v>
      </c>
      <c r="F301" s="126">
        <f t="shared" si="102"/>
        <v>5699</v>
      </c>
      <c r="G301" s="155">
        <v>1407926</v>
      </c>
      <c r="H301" s="126">
        <v>3313</v>
      </c>
      <c r="I301" s="126">
        <v>21455</v>
      </c>
      <c r="J301" s="4">
        <f t="shared" si="121"/>
        <v>4648923</v>
      </c>
      <c r="K301" s="611">
        <f t="shared" si="100"/>
        <v>2.6917880852423772E-2</v>
      </c>
      <c r="L301" s="7">
        <v>2453195</v>
      </c>
      <c r="M301" s="103">
        <f>L301+K301</f>
        <v>2453195.0269178809</v>
      </c>
      <c r="N301" s="202">
        <v>10979</v>
      </c>
      <c r="O301" s="4">
        <v>313631</v>
      </c>
      <c r="P301" s="4">
        <v>1131589</v>
      </c>
      <c r="Q301" s="103">
        <f t="shared" si="120"/>
        <v>127098</v>
      </c>
      <c r="R301" s="96">
        <f t="shared" si="101"/>
        <v>132752</v>
      </c>
      <c r="S301" s="39">
        <f t="shared" ref="S301:S332" si="122">H301-H300</f>
        <v>51</v>
      </c>
      <c r="T301" s="91">
        <f t="shared" si="116"/>
        <v>-818</v>
      </c>
      <c r="U301" s="91">
        <f>SUM(B288:B301)/POBLA!$B$25*100000</f>
        <v>187.60841328879374</v>
      </c>
      <c r="V301" s="91">
        <f>B301/POBLA!$B$25*100000</f>
        <v>11.084138727493716</v>
      </c>
      <c r="W301" s="625">
        <f t="shared" si="109"/>
        <v>1.0728894937809534</v>
      </c>
      <c r="X301" s="28">
        <f t="shared" si="95"/>
        <v>2.495630950946125E-2</v>
      </c>
      <c r="Y301" s="202">
        <f t="shared" si="99"/>
        <v>0.22534153628303394</v>
      </c>
      <c r="Z301" s="297">
        <f t="shared" si="106"/>
        <v>6001.7142857142853</v>
      </c>
      <c r="AA301" s="179">
        <f t="shared" si="107"/>
        <v>119.28571428571429</v>
      </c>
      <c r="AB301" s="357">
        <f t="shared" si="119"/>
        <v>136.14431321468621</v>
      </c>
      <c r="AC301" s="610">
        <f t="shared" si="117"/>
        <v>16.858598928971915</v>
      </c>
      <c r="AD301" s="610">
        <f t="shared" si="103"/>
        <v>6081.2142857142853</v>
      </c>
      <c r="AE301" s="202">
        <f t="shared" si="112"/>
        <v>0.97419130434782608</v>
      </c>
      <c r="AF301" s="202">
        <f t="shared" si="111"/>
        <v>1.2176432465403453E-2</v>
      </c>
      <c r="AG301" s="4"/>
      <c r="AH301" s="202">
        <f t="shared" si="108"/>
        <v>0.79599618684461393</v>
      </c>
      <c r="AI301" s="179">
        <f>MAX($B$2:B301)</f>
        <v>18326</v>
      </c>
      <c r="AJ301" s="180">
        <f t="shared" si="104"/>
        <v>2.2356689603469974E-2</v>
      </c>
      <c r="AK301" s="180"/>
      <c r="AL301" s="202">
        <f t="shared" si="113"/>
        <v>0.95696129404968222</v>
      </c>
      <c r="AM301" s="202">
        <f t="shared" si="114"/>
        <v>0.79599618684461393</v>
      </c>
      <c r="AP301" s="644">
        <f t="shared" si="97"/>
        <v>1.0728894937809534</v>
      </c>
      <c r="AT301" s="180">
        <f t="shared" si="110"/>
        <v>2.5190319281899784E-2</v>
      </c>
    </row>
    <row r="302" spans="1:46" x14ac:dyDescent="0.25">
      <c r="A302" s="107">
        <v>44193</v>
      </c>
      <c r="B302" s="126">
        <v>7216</v>
      </c>
      <c r="C302" s="126">
        <f t="shared" si="118"/>
        <v>1590513</v>
      </c>
      <c r="D302" s="126">
        <v>218</v>
      </c>
      <c r="E302" s="126">
        <f t="shared" si="96"/>
        <v>42837</v>
      </c>
      <c r="F302" s="126">
        <f t="shared" si="102"/>
        <v>6754</v>
      </c>
      <c r="G302" s="155">
        <v>1414680</v>
      </c>
      <c r="H302" s="126">
        <v>3319</v>
      </c>
      <c r="I302" s="126">
        <v>28978</v>
      </c>
      <c r="J302" s="4">
        <f t="shared" si="121"/>
        <v>4677901</v>
      </c>
      <c r="K302" s="611">
        <f t="shared" si="100"/>
        <v>2.6932819788332445E-2</v>
      </c>
      <c r="L302" s="7">
        <v>2470756</v>
      </c>
      <c r="M302" s="103">
        <f>L302+K302</f>
        <v>2470756.0269328197</v>
      </c>
      <c r="N302" s="202">
        <v>11048</v>
      </c>
      <c r="O302" s="4">
        <v>315189</v>
      </c>
      <c r="P302" s="4">
        <v>1138116</v>
      </c>
      <c r="Q302" s="103">
        <f t="shared" si="120"/>
        <v>126160</v>
      </c>
      <c r="R302" s="96">
        <f t="shared" si="101"/>
        <v>132996</v>
      </c>
      <c r="S302" s="39">
        <f t="shared" si="122"/>
        <v>6</v>
      </c>
      <c r="T302" s="91">
        <f t="shared" si="116"/>
        <v>244</v>
      </c>
      <c r="U302" s="91">
        <f>SUM(B289:B302)/POBLA!$B$25*100000</f>
        <v>192.35498084724733</v>
      </c>
      <c r="V302" s="91">
        <f>B302/POBLA!$B$25*100000</f>
        <v>15.90122168143035</v>
      </c>
      <c r="W302" s="625">
        <f t="shared" si="109"/>
        <v>1.109316422879945</v>
      </c>
      <c r="X302" s="28">
        <f t="shared" si="95"/>
        <v>2.495563776354176E-2</v>
      </c>
      <c r="Y302" s="202">
        <f t="shared" si="99"/>
        <v>0.2266918924003993</v>
      </c>
      <c r="Z302" s="297">
        <f t="shared" si="106"/>
        <v>6196.4285714285716</v>
      </c>
      <c r="AA302" s="179">
        <f t="shared" si="107"/>
        <v>124.14285714285714</v>
      </c>
      <c r="AB302" s="357">
        <f t="shared" si="119"/>
        <v>143.85910654390563</v>
      </c>
      <c r="AC302" s="610">
        <f t="shared" si="117"/>
        <v>19.716249401048486</v>
      </c>
      <c r="AD302" s="610">
        <f t="shared" si="103"/>
        <v>6235.0714285714284</v>
      </c>
      <c r="AE302" s="202">
        <f t="shared" si="112"/>
        <v>0.98768102741597608</v>
      </c>
      <c r="AF302" s="202">
        <f t="shared" si="111"/>
        <v>1.7030030052994194E-2</v>
      </c>
      <c r="AG302" s="4"/>
      <c r="AH302" s="202">
        <f t="shared" si="108"/>
        <v>0.90615224191866528</v>
      </c>
      <c r="AI302" s="179">
        <f>MAX($B$2:B302)</f>
        <v>18326</v>
      </c>
      <c r="AJ302" s="180">
        <f t="shared" si="104"/>
        <v>2.4744440331444517E-2</v>
      </c>
      <c r="AK302" s="180"/>
      <c r="AL302" s="202">
        <f t="shared" si="113"/>
        <v>0.9857439857439857</v>
      </c>
      <c r="AM302" s="202">
        <f t="shared" si="114"/>
        <v>0.90615224191866528</v>
      </c>
      <c r="AP302" s="644">
        <f t="shared" si="97"/>
        <v>1.109316422879945</v>
      </c>
      <c r="AT302" s="180">
        <f t="shared" si="110"/>
        <v>2.566360690535063E-2</v>
      </c>
    </row>
    <row r="303" spans="1:46" x14ac:dyDescent="0.25">
      <c r="A303" s="107">
        <v>44194</v>
      </c>
      <c r="B303" s="126">
        <v>11650</v>
      </c>
      <c r="C303" s="126">
        <f t="shared" si="118"/>
        <v>1602163</v>
      </c>
      <c r="D303" s="126">
        <v>151</v>
      </c>
      <c r="E303" s="126">
        <f t="shared" si="96"/>
        <v>42988</v>
      </c>
      <c r="F303" s="126">
        <f t="shared" si="102"/>
        <v>6205</v>
      </c>
      <c r="G303" s="155">
        <v>1420885</v>
      </c>
      <c r="H303" s="126">
        <v>3345</v>
      </c>
      <c r="I303" s="126">
        <v>45084</v>
      </c>
      <c r="J303" s="4">
        <f t="shared" si="121"/>
        <v>4722985</v>
      </c>
      <c r="K303" s="611">
        <f t="shared" si="100"/>
        <v>2.6831227534277097E-2</v>
      </c>
      <c r="L303" s="7">
        <v>2494970</v>
      </c>
      <c r="M303" s="103">
        <f>L303+K303</f>
        <v>2494970.0268312274</v>
      </c>
      <c r="N303" s="202">
        <v>11121</v>
      </c>
      <c r="O303" s="4">
        <v>316933</v>
      </c>
      <c r="P303" s="4">
        <v>1144766</v>
      </c>
      <c r="Q303" s="103">
        <f t="shared" si="120"/>
        <v>129343</v>
      </c>
      <c r="R303" s="96">
        <f t="shared" si="101"/>
        <v>138290</v>
      </c>
      <c r="S303" s="39">
        <f t="shared" si="122"/>
        <v>26</v>
      </c>
      <c r="T303" s="91">
        <f t="shared" si="116"/>
        <v>5294</v>
      </c>
      <c r="U303" s="91">
        <f>SUM(B290:B303)/POBLA!$B$25*100000</f>
        <v>202.64361776944776</v>
      </c>
      <c r="V303" s="91">
        <f>B303/POBLA!$B$25*100000</f>
        <v>25.672011168052045</v>
      </c>
      <c r="W303" s="625">
        <f t="shared" si="109"/>
        <v>1.1845478082774079</v>
      </c>
      <c r="X303" s="28">
        <f t="shared" si="95"/>
        <v>2.4188299949381733E-2</v>
      </c>
      <c r="Y303" s="202">
        <f t="shared" si="99"/>
        <v>0.23591214431277832</v>
      </c>
      <c r="Z303" s="297">
        <f t="shared" si="106"/>
        <v>6697.7142857142853</v>
      </c>
      <c r="AA303" s="179">
        <f t="shared" si="107"/>
        <v>109.28571428571429</v>
      </c>
      <c r="AB303" s="357">
        <f t="shared" si="119"/>
        <v>156.89975983361177</v>
      </c>
      <c r="AC303" s="610">
        <f t="shared" si="117"/>
        <v>47.614045547897476</v>
      </c>
      <c r="AD303" s="610">
        <f t="shared" si="103"/>
        <v>6568.5714285714284</v>
      </c>
      <c r="AE303" s="202">
        <f t="shared" si="112"/>
        <v>1.0401100363829976</v>
      </c>
      <c r="AF303" s="202">
        <f t="shared" si="111"/>
        <v>3.7200930023250534E-2</v>
      </c>
      <c r="AG303" s="4"/>
      <c r="AH303" s="202">
        <f t="shared" si="108"/>
        <v>0.72926596758817919</v>
      </c>
      <c r="AI303" s="179">
        <f>MAX($B$2:B303)</f>
        <v>18326</v>
      </c>
      <c r="AJ303" s="180">
        <f t="shared" si="104"/>
        <v>2.2184201368750725E-2</v>
      </c>
      <c r="AK303" s="180"/>
      <c r="AL303" s="202">
        <f t="shared" si="113"/>
        <v>0.98411297440423651</v>
      </c>
      <c r="AM303" s="202">
        <f t="shared" si="114"/>
        <v>0.72926596758817919</v>
      </c>
      <c r="AP303" s="644">
        <f t="shared" si="97"/>
        <v>1.1845478082774079</v>
      </c>
      <c r="AT303" s="180">
        <f t="shared" si="110"/>
        <v>2.4793298283121358E-2</v>
      </c>
    </row>
    <row r="304" spans="1:46" x14ac:dyDescent="0.25">
      <c r="A304" s="107">
        <v>44195</v>
      </c>
      <c r="B304" s="126">
        <v>11765</v>
      </c>
      <c r="C304" s="126">
        <f t="shared" si="118"/>
        <v>1613928</v>
      </c>
      <c r="D304" s="126">
        <v>145</v>
      </c>
      <c r="E304" s="126">
        <f t="shared" si="96"/>
        <v>43133</v>
      </c>
      <c r="F304" s="126">
        <f t="shared" si="102"/>
        <v>5791</v>
      </c>
      <c r="G304" s="155">
        <v>1426676</v>
      </c>
      <c r="H304" s="126">
        <v>3440</v>
      </c>
      <c r="I304" s="126">
        <v>54126</v>
      </c>
      <c r="J304" s="4">
        <f t="shared" si="121"/>
        <v>4777111</v>
      </c>
      <c r="K304" s="611">
        <f t="shared" si="100"/>
        <v>2.6725479699218305E-2</v>
      </c>
      <c r="L304" s="7">
        <v>2530000</v>
      </c>
      <c r="M304" s="4">
        <f>L304+K304</f>
        <v>2530000.0267254799</v>
      </c>
      <c r="N304" s="202">
        <v>11167</v>
      </c>
      <c r="O304" s="4">
        <v>318837</v>
      </c>
      <c r="P304" s="4">
        <v>1151278</v>
      </c>
      <c r="Q304" s="103">
        <f t="shared" si="120"/>
        <v>132646</v>
      </c>
      <c r="R304" s="96">
        <f t="shared" si="101"/>
        <v>144119</v>
      </c>
      <c r="S304" s="39">
        <f t="shared" si="122"/>
        <v>95</v>
      </c>
      <c r="T304" s="91">
        <f t="shared" si="116"/>
        <v>5829</v>
      </c>
      <c r="U304" s="91">
        <f>SUM(B291:B304)/POBLA!$B$25*100000</f>
        <v>213.48976703718614</v>
      </c>
      <c r="V304" s="91">
        <f>B304/POBLA!$B$25*100000</f>
        <v>25.925425870569299</v>
      </c>
      <c r="W304" s="625">
        <f t="shared" si="109"/>
        <v>1.2591398827703624</v>
      </c>
      <c r="X304" s="28">
        <f t="shared" ref="X304:X367" si="123">H304/R304</f>
        <v>2.3869163677238948E-2</v>
      </c>
      <c r="Y304" s="202">
        <f t="shared" si="99"/>
        <v>0.23444539145257517</v>
      </c>
      <c r="Z304" s="297">
        <f t="shared" si="106"/>
        <v>7151.8571428571431</v>
      </c>
      <c r="AA304" s="179">
        <f t="shared" si="107"/>
        <v>121.42857142857143</v>
      </c>
      <c r="AB304" s="357">
        <f t="shared" si="119"/>
        <v>162.8010586739907</v>
      </c>
      <c r="AC304" s="610">
        <f t="shared" si="117"/>
        <v>41.372487245419265</v>
      </c>
      <c r="AD304" s="610">
        <f t="shared" si="103"/>
        <v>6920.1428571428569</v>
      </c>
      <c r="AE304" s="202">
        <f t="shared" si="112"/>
        <v>1.069288109528183</v>
      </c>
      <c r="AF304" s="202">
        <f t="shared" si="111"/>
        <v>4.9626743381522953E-2</v>
      </c>
      <c r="AG304" s="4"/>
      <c r="AH304" s="202">
        <f t="shared" si="108"/>
        <v>0.89757127771911305</v>
      </c>
      <c r="AI304" s="179">
        <f>MAX($B$2:B304)</f>
        <v>18326</v>
      </c>
      <c r="AJ304" s="180">
        <f t="shared" si="104"/>
        <v>2.4497795198432145E-2</v>
      </c>
      <c r="AK304" s="180"/>
      <c r="AL304" s="202">
        <f t="shared" si="113"/>
        <v>1.0147492625368733</v>
      </c>
      <c r="AM304" s="202">
        <f t="shared" si="114"/>
        <v>0.89757127771911305</v>
      </c>
      <c r="AP304" s="644">
        <f t="shared" si="97"/>
        <v>1.2591398827703624</v>
      </c>
      <c r="AT304" s="180">
        <f t="shared" si="110"/>
        <v>2.3411388896222182E-2</v>
      </c>
    </row>
    <row r="305" spans="1:46" x14ac:dyDescent="0.25">
      <c r="A305" s="107">
        <v>44196</v>
      </c>
      <c r="B305" s="126">
        <v>11587</v>
      </c>
      <c r="C305" s="126">
        <f t="shared" si="118"/>
        <v>1625515</v>
      </c>
      <c r="D305" s="126">
        <v>83</v>
      </c>
      <c r="E305" s="126">
        <f t="shared" ref="E305:E368" si="124">E304+D305</f>
        <v>43216</v>
      </c>
      <c r="F305" s="126">
        <f t="shared" si="102"/>
        <v>7240</v>
      </c>
      <c r="G305" s="155">
        <v>1433916</v>
      </c>
      <c r="H305" s="126">
        <v>3440</v>
      </c>
      <c r="I305" s="197">
        <v>42835</v>
      </c>
      <c r="J305" s="4">
        <f t="shared" si="121"/>
        <v>4819946</v>
      </c>
      <c r="K305" s="611">
        <f t="shared" si="100"/>
        <v>2.6586035810189385E-2</v>
      </c>
      <c r="L305" s="7">
        <v>2558714</v>
      </c>
      <c r="M305" s="4">
        <f t="shared" ref="M305:M329" si="125">L305+K305</f>
        <v>2558714.0265860357</v>
      </c>
      <c r="N305" s="202">
        <v>11236</v>
      </c>
      <c r="O305" s="4">
        <v>320315</v>
      </c>
      <c r="P305" s="4">
        <v>1155875</v>
      </c>
      <c r="Q305" s="103">
        <f t="shared" si="120"/>
        <v>138089</v>
      </c>
      <c r="R305" s="96">
        <f t="shared" si="101"/>
        <v>148383</v>
      </c>
      <c r="S305" s="39">
        <f t="shared" si="122"/>
        <v>0</v>
      </c>
      <c r="T305" s="91">
        <f t="shared" si="116"/>
        <v>4264</v>
      </c>
      <c r="U305" s="91">
        <f>SUM(B292:B305)/POBLA!$B$25*100000</f>
        <v>222.87933266697752</v>
      </c>
      <c r="V305" s="91">
        <f>B305/POBLA!$B$25*100000</f>
        <v>25.533183983194771</v>
      </c>
      <c r="W305" s="625">
        <f t="shared" si="109"/>
        <v>1.3197155532359082</v>
      </c>
      <c r="X305" s="28">
        <f t="shared" si="123"/>
        <v>2.3183248754911276E-2</v>
      </c>
      <c r="Y305" s="202">
        <f t="shared" si="99"/>
        <v>0.23213146139119337</v>
      </c>
      <c r="Z305" s="297">
        <f t="shared" si="106"/>
        <v>7690.7142857142853</v>
      </c>
      <c r="AA305" s="179">
        <f t="shared" si="107"/>
        <v>122.14285714285714</v>
      </c>
      <c r="AB305" s="357">
        <f t="shared" si="119"/>
        <v>163.97242180480131</v>
      </c>
      <c r="AC305" s="610">
        <f t="shared" si="117"/>
        <v>41.829564661944175</v>
      </c>
      <c r="AD305" s="610">
        <f t="shared" si="103"/>
        <v>7224.5</v>
      </c>
      <c r="AE305" s="202">
        <f t="shared" si="112"/>
        <v>1.1379682083368563</v>
      </c>
      <c r="AF305" s="202">
        <f t="shared" si="111"/>
        <v>7.0561243263132845E-2</v>
      </c>
      <c r="AG305" s="4"/>
      <c r="AH305" s="202">
        <f t="shared" si="108"/>
        <v>0.99883177570093451</v>
      </c>
      <c r="AI305" s="179">
        <f>MAX($B$2:B305)</f>
        <v>18326</v>
      </c>
      <c r="AJ305" s="180">
        <f t="shared" si="104"/>
        <v>2.4590163934426229E-2</v>
      </c>
      <c r="AK305" s="180"/>
      <c r="AL305" s="202">
        <f t="shared" si="113"/>
        <v>1.0147492625368733</v>
      </c>
      <c r="AM305" s="202">
        <f t="shared" si="114"/>
        <v>0.99883177570093451</v>
      </c>
      <c r="AP305" s="644">
        <f t="shared" si="97"/>
        <v>1.3197155532359082</v>
      </c>
      <c r="AT305" s="180">
        <f t="shared" si="110"/>
        <v>2.2384617378009276E-2</v>
      </c>
    </row>
    <row r="306" spans="1:46" x14ac:dyDescent="0.25">
      <c r="A306" s="107">
        <v>44197</v>
      </c>
      <c r="B306" s="126">
        <v>4079</v>
      </c>
      <c r="C306" s="126">
        <f t="shared" si="118"/>
        <v>1629594</v>
      </c>
      <c r="D306" s="126">
        <v>73</v>
      </c>
      <c r="E306" s="126">
        <f t="shared" si="124"/>
        <v>43289</v>
      </c>
      <c r="F306" s="126">
        <f t="shared" si="102"/>
        <v>6235</v>
      </c>
      <c r="G306" s="155">
        <v>1440151</v>
      </c>
      <c r="H306" s="126">
        <v>3440</v>
      </c>
      <c r="I306" s="197">
        <v>42835</v>
      </c>
      <c r="J306" s="4">
        <f t="shared" si="121"/>
        <v>4862781</v>
      </c>
      <c r="K306" s="611">
        <f t="shared" si="100"/>
        <v>2.6564285337329421E-2</v>
      </c>
      <c r="L306" s="7">
        <v>2565699</v>
      </c>
      <c r="M306" s="4">
        <f t="shared" si="125"/>
        <v>2565699.0265642852</v>
      </c>
      <c r="N306" s="202">
        <v>11273</v>
      </c>
      <c r="O306" s="4">
        <v>320768</v>
      </c>
      <c r="P306" s="4">
        <v>1157648</v>
      </c>
      <c r="Q306" s="103">
        <f t="shared" si="120"/>
        <v>139905</v>
      </c>
      <c r="R306" s="96">
        <f t="shared" si="101"/>
        <v>146154</v>
      </c>
      <c r="S306" s="39">
        <f t="shared" si="122"/>
        <v>0</v>
      </c>
      <c r="T306" s="91">
        <f t="shared" si="116"/>
        <v>-2229</v>
      </c>
      <c r="U306" s="91">
        <f>SUM(B293:B306)/POBLA!$B$25*100000</f>
        <v>216.43819201082167</v>
      </c>
      <c r="V306" s="91">
        <f>B306/POBLA!$B$25*100000</f>
        <v>8.9885093179814852</v>
      </c>
      <c r="W306" s="625">
        <f t="shared" si="109"/>
        <v>1.2798561432313045</v>
      </c>
      <c r="X306" s="28">
        <f t="shared" si="123"/>
        <v>2.353681732966597E-2</v>
      </c>
      <c r="Y306" s="202">
        <f t="shared" si="99"/>
        <v>0.21989876027279592</v>
      </c>
      <c r="Z306" s="297">
        <f t="shared" si="106"/>
        <v>7862.8571428571431</v>
      </c>
      <c r="AA306" s="179">
        <f t="shared" si="107"/>
        <v>128.28571428571428</v>
      </c>
      <c r="AB306" s="357">
        <f t="shared" si="119"/>
        <v>163.33805719569483</v>
      </c>
      <c r="AC306" s="610">
        <f t="shared" si="117"/>
        <v>35.052342909980553</v>
      </c>
      <c r="AD306" s="610">
        <f t="shared" si="103"/>
        <v>7015.7142857142853</v>
      </c>
      <c r="AE306" s="301">
        <f t="shared" si="112"/>
        <v>1.2746641963872163</v>
      </c>
      <c r="AF306" s="202">
        <f t="shared" si="111"/>
        <v>7.8619345982686495E-2</v>
      </c>
      <c r="AG306" s="4"/>
      <c r="AH306" s="202">
        <f t="shared" si="108"/>
        <v>1.2005347593582887</v>
      </c>
      <c r="AI306" s="179">
        <f>MAX($B$2:B306)</f>
        <v>18326</v>
      </c>
      <c r="AJ306" s="180">
        <f t="shared" si="104"/>
        <v>2.5620542082738944E-2</v>
      </c>
      <c r="AK306" s="180"/>
      <c r="AL306" s="202">
        <f t="shared" si="113"/>
        <v>1.0147492625368733</v>
      </c>
      <c r="AM306" s="202">
        <f t="shared" si="114"/>
        <v>1.2005347593582887</v>
      </c>
      <c r="AP306" s="644">
        <f t="shared" si="97"/>
        <v>1.2798561432313045</v>
      </c>
      <c r="AT306" s="180">
        <f t="shared" si="110"/>
        <v>2.1974658427049307E-2</v>
      </c>
    </row>
    <row r="307" spans="1:46" x14ac:dyDescent="0.25">
      <c r="A307" s="107">
        <v>44198</v>
      </c>
      <c r="B307" s="126">
        <v>5240</v>
      </c>
      <c r="C307" s="126">
        <f t="shared" si="118"/>
        <v>1634834</v>
      </c>
      <c r="D307" s="126">
        <v>56</v>
      </c>
      <c r="E307" s="126">
        <f t="shared" si="124"/>
        <v>43345</v>
      </c>
      <c r="F307" s="126">
        <f t="shared" si="102"/>
        <v>6941</v>
      </c>
      <c r="G307" s="155">
        <v>1447092</v>
      </c>
      <c r="H307" s="126">
        <v>3438</v>
      </c>
      <c r="I307" s="126">
        <v>17270</v>
      </c>
      <c r="J307" s="4">
        <f t="shared" si="121"/>
        <v>4880051</v>
      </c>
      <c r="K307" s="611">
        <f t="shared" si="100"/>
        <v>2.6513395243798452E-2</v>
      </c>
      <c r="L307" s="7"/>
      <c r="M307" s="4"/>
      <c r="N307" s="202">
        <v>11297</v>
      </c>
      <c r="O307" s="4">
        <v>321585</v>
      </c>
      <c r="P307" s="4">
        <v>1162294</v>
      </c>
      <c r="Q307" s="103">
        <f t="shared" si="120"/>
        <v>139658</v>
      </c>
      <c r="R307" s="96">
        <f t="shared" si="101"/>
        <v>144397</v>
      </c>
      <c r="S307" s="39">
        <f t="shared" si="122"/>
        <v>-2</v>
      </c>
      <c r="T307" s="91">
        <f t="shared" si="116"/>
        <v>-1757</v>
      </c>
      <c r="U307" s="91">
        <f>SUM(B294:B307)/POBLA!$B$25*100000</f>
        <v>215.21519062041233</v>
      </c>
      <c r="V307" s="91">
        <f>B307/POBLA!$B$25*100000</f>
        <v>11.546896010351308</v>
      </c>
      <c r="W307" s="625">
        <f t="shared" si="109"/>
        <v>1.2628496062686683</v>
      </c>
      <c r="X307" s="28">
        <f t="shared" si="123"/>
        <v>2.3809358920199173E-2</v>
      </c>
      <c r="Y307" s="202">
        <f t="shared" si="99"/>
        <v>0.22395410617499989</v>
      </c>
      <c r="Z307" s="297">
        <f t="shared" si="106"/>
        <v>8081</v>
      </c>
      <c r="AA307" s="179">
        <f t="shared" si="107"/>
        <v>125</v>
      </c>
      <c r="AB307" s="357">
        <f t="shared" si="119"/>
        <v>165.09860269105087</v>
      </c>
      <c r="AC307" s="610">
        <f t="shared" si="117"/>
        <v>40.098602691050871</v>
      </c>
      <c r="AD307" s="610">
        <f t="shared" si="103"/>
        <v>6976.0714285714284</v>
      </c>
      <c r="AE307" s="301">
        <f t="shared" si="112"/>
        <v>1.3763930118253931</v>
      </c>
      <c r="AF307" s="202">
        <f t="shared" si="111"/>
        <v>8.1058620947817683E-2</v>
      </c>
      <c r="AG307" s="4"/>
      <c r="AH307" s="202">
        <f t="shared" si="108"/>
        <v>1.1888586956521741</v>
      </c>
      <c r="AI307" s="179">
        <f>MAX($B$2:B307)</f>
        <v>18326</v>
      </c>
      <c r="AJ307" s="180">
        <f t="shared" si="104"/>
        <v>2.3704385988676073E-2</v>
      </c>
      <c r="AK307" s="180"/>
      <c r="AL307" s="202">
        <f t="shared" si="113"/>
        <v>1.0539546290619253</v>
      </c>
      <c r="AM307" s="202">
        <f t="shared" si="114"/>
        <v>1.1888586956521741</v>
      </c>
      <c r="AP307" s="644">
        <f t="shared" si="97"/>
        <v>1.2628496062686683</v>
      </c>
      <c r="AT307" s="180">
        <f t="shared" si="110"/>
        <v>2.1763530053126104E-2</v>
      </c>
    </row>
    <row r="308" spans="1:46" x14ac:dyDescent="0.25">
      <c r="A308" s="107">
        <v>44199</v>
      </c>
      <c r="B308" s="126">
        <v>5884</v>
      </c>
      <c r="C308" s="126">
        <f t="shared" si="118"/>
        <v>1640718</v>
      </c>
      <c r="D308" s="126">
        <v>107</v>
      </c>
      <c r="E308" s="126">
        <f t="shared" si="124"/>
        <v>43452</v>
      </c>
      <c r="F308" s="126">
        <f t="shared" si="102"/>
        <v>5868</v>
      </c>
      <c r="G308" s="155">
        <v>1452960</v>
      </c>
      <c r="H308" s="126">
        <v>3433</v>
      </c>
      <c r="I308" s="126">
        <v>22180</v>
      </c>
      <c r="J308" s="4">
        <f t="shared" si="121"/>
        <v>4902231</v>
      </c>
      <c r="K308" s="611">
        <f t="shared" si="100"/>
        <v>2.6483527333764852E-2</v>
      </c>
      <c r="L308" s="7"/>
      <c r="M308" s="4"/>
      <c r="N308" s="202">
        <v>11322</v>
      </c>
      <c r="O308" s="4">
        <v>322365</v>
      </c>
      <c r="P308" s="4">
        <v>1165866</v>
      </c>
      <c r="Q308" s="103">
        <f t="shared" si="120"/>
        <v>141165</v>
      </c>
      <c r="R308" s="96">
        <f t="shared" si="101"/>
        <v>144306</v>
      </c>
      <c r="S308" s="39">
        <f t="shared" si="122"/>
        <v>-5</v>
      </c>
      <c r="T308" s="91">
        <f t="shared" si="116"/>
        <v>-91</v>
      </c>
      <c r="U308" s="91">
        <f>SUM(B295:B308)/POBLA!$B$25*100000</f>
        <v>219.11116622085146</v>
      </c>
      <c r="V308" s="91">
        <f>B308/POBLA!$B$25*100000</f>
        <v>12.966018344447917</v>
      </c>
      <c r="W308" s="625">
        <f t="shared" si="109"/>
        <v>1.2719283658458587</v>
      </c>
      <c r="X308" s="28">
        <f t="shared" si="123"/>
        <v>2.3789724612975207E-2</v>
      </c>
      <c r="Y308" s="202">
        <f t="shared" si="99"/>
        <v>0.2266845105563188</v>
      </c>
      <c r="Z308" s="297">
        <f t="shared" si="106"/>
        <v>8203</v>
      </c>
      <c r="AA308" s="179">
        <f t="shared" si="107"/>
        <v>119</v>
      </c>
      <c r="AB308" s="357">
        <f t="shared" si="119"/>
        <v>167.01601956438017</v>
      </c>
      <c r="AC308" s="610">
        <f t="shared" si="117"/>
        <v>48.016019564380173</v>
      </c>
      <c r="AD308" s="610">
        <f t="shared" si="103"/>
        <v>7102.3571428571431</v>
      </c>
      <c r="AE308" s="301">
        <f t="shared" si="112"/>
        <v>1.3667761591926118</v>
      </c>
      <c r="AF308" s="202">
        <f t="shared" si="111"/>
        <v>8.7034470290466404E-2</v>
      </c>
      <c r="AG308" s="4"/>
      <c r="AH308" s="202">
        <f t="shared" si="108"/>
        <v>0.99760479041916161</v>
      </c>
      <c r="AI308" s="179">
        <f>MAX($B$2:B308)</f>
        <v>18326</v>
      </c>
      <c r="AJ308" s="180">
        <f t="shared" si="104"/>
        <v>2.067818488730017E-2</v>
      </c>
      <c r="AK308" s="180"/>
      <c r="AL308" s="202">
        <f t="shared" si="113"/>
        <v>1.036220947781467</v>
      </c>
      <c r="AM308" s="202">
        <f t="shared" si="114"/>
        <v>0.99760479041916161</v>
      </c>
      <c r="AP308" s="644">
        <f t="shared" si="97"/>
        <v>1.2719283658458587</v>
      </c>
      <c r="AT308" s="180">
        <f t="shared" si="110"/>
        <v>2.1344854825968498E-2</v>
      </c>
    </row>
    <row r="309" spans="1:46" x14ac:dyDescent="0.25">
      <c r="A309" s="107">
        <v>44200</v>
      </c>
      <c r="B309" s="126">
        <v>8222</v>
      </c>
      <c r="C309" s="126">
        <f t="shared" si="118"/>
        <v>1648940</v>
      </c>
      <c r="D309" s="126">
        <v>152</v>
      </c>
      <c r="E309" s="126">
        <f t="shared" si="124"/>
        <v>43604</v>
      </c>
      <c r="F309" s="126">
        <f t="shared" si="102"/>
        <v>5123</v>
      </c>
      <c r="G309" s="155">
        <v>1458083</v>
      </c>
      <c r="H309" s="126">
        <v>3502</v>
      </c>
      <c r="I309" s="126">
        <v>31819</v>
      </c>
      <c r="J309" s="4">
        <f t="shared" si="121"/>
        <v>4934050</v>
      </c>
      <c r="K309" s="611">
        <f t="shared" si="100"/>
        <v>2.6443654711511638E-2</v>
      </c>
      <c r="L309" s="7">
        <v>2612496</v>
      </c>
      <c r="M309" s="7">
        <f>L309+K309</f>
        <v>2612496.0264436547</v>
      </c>
      <c r="N309" s="202">
        <v>11385</v>
      </c>
      <c r="O309" s="4">
        <v>323665</v>
      </c>
      <c r="P309" s="4">
        <v>1174600</v>
      </c>
      <c r="Q309" s="103">
        <f t="shared" si="120"/>
        <v>139290</v>
      </c>
      <c r="R309" s="96">
        <f t="shared" si="101"/>
        <v>147253</v>
      </c>
      <c r="S309" s="39">
        <f t="shared" si="122"/>
        <v>69</v>
      </c>
      <c r="T309" s="91">
        <f t="shared" si="116"/>
        <v>2947</v>
      </c>
      <c r="U309" s="91">
        <f>SUM(B296:B309)/POBLA!$B$25*100000</f>
        <v>224.33150909270685</v>
      </c>
      <c r="V309" s="91">
        <f>B309/POBLA!$B$25*100000</f>
        <v>18.118049426929094</v>
      </c>
      <c r="W309" s="625">
        <f t="shared" si="109"/>
        <v>1.2594737037449431</v>
      </c>
      <c r="X309" s="28">
        <f t="shared" si="123"/>
        <v>2.3782197985779577E-2</v>
      </c>
      <c r="Y309" s="202">
        <f t="shared" si="99"/>
        <v>0.22809770875545093</v>
      </c>
      <c r="Z309" s="297">
        <f t="shared" si="106"/>
        <v>8346.7142857142862</v>
      </c>
      <c r="AA309" s="179">
        <f t="shared" si="107"/>
        <v>109.57142857142857</v>
      </c>
      <c r="AB309" s="357">
        <f t="shared" si="119"/>
        <v>170.18213058101938</v>
      </c>
      <c r="AC309" s="610">
        <f t="shared" si="117"/>
        <v>60.61070200959081</v>
      </c>
      <c r="AD309" s="610">
        <f t="shared" si="103"/>
        <v>7271.5714285714284</v>
      </c>
      <c r="AE309" s="301">
        <f t="shared" si="112"/>
        <v>1.3470201729106628</v>
      </c>
      <c r="AF309" s="202">
        <f t="shared" si="111"/>
        <v>0.10719871274324033</v>
      </c>
      <c r="AG309" s="4"/>
      <c r="AH309" s="202">
        <f t="shared" si="108"/>
        <v>0.88262370540851554</v>
      </c>
      <c r="AI309" s="179">
        <f>MAX($B$2:B309)</f>
        <v>18326</v>
      </c>
      <c r="AJ309" s="180">
        <f t="shared" si="104"/>
        <v>1.8338752869166027E-2</v>
      </c>
      <c r="AK309" s="180"/>
      <c r="AL309" s="202">
        <f t="shared" si="113"/>
        <v>1.0551370894847845</v>
      </c>
      <c r="AM309" s="202">
        <f t="shared" si="114"/>
        <v>0.88262370540851554</v>
      </c>
      <c r="AP309" s="644">
        <f t="shared" ref="AP309:AP372" si="126">SUM(B296:B309)/SUM(B282:B295)</f>
        <v>1.2594737037449431</v>
      </c>
      <c r="AT309" s="180">
        <f t="shared" si="110"/>
        <v>2.116779829515409E-2</v>
      </c>
    </row>
    <row r="310" spans="1:46" x14ac:dyDescent="0.25">
      <c r="A310" s="107">
        <v>44201</v>
      </c>
      <c r="B310" s="126">
        <v>13790</v>
      </c>
      <c r="C310" s="126">
        <f t="shared" si="118"/>
        <v>1662730</v>
      </c>
      <c r="D310" s="126">
        <v>151</v>
      </c>
      <c r="E310" s="126">
        <f t="shared" si="124"/>
        <v>43755</v>
      </c>
      <c r="F310" s="126">
        <f t="shared" si="102"/>
        <v>8533</v>
      </c>
      <c r="G310" s="155">
        <v>1466616</v>
      </c>
      <c r="H310" s="126">
        <v>3460</v>
      </c>
      <c r="I310" s="126">
        <v>50068</v>
      </c>
      <c r="J310" s="4">
        <f t="shared" si="121"/>
        <v>4984118</v>
      </c>
      <c r="K310" s="611">
        <f t="shared" si="100"/>
        <v>2.631515639941542E-2</v>
      </c>
      <c r="L310" s="7">
        <v>2640401</v>
      </c>
      <c r="M310" s="4">
        <f t="shared" si="125"/>
        <v>2640401.0263151564</v>
      </c>
      <c r="N310" s="202">
        <v>11472</v>
      </c>
      <c r="O310" s="4">
        <v>325591</v>
      </c>
      <c r="P310" s="4">
        <v>1184842</v>
      </c>
      <c r="Q310" s="103">
        <f t="shared" si="120"/>
        <v>140825</v>
      </c>
      <c r="R310" s="96">
        <f t="shared" si="101"/>
        <v>152359</v>
      </c>
      <c r="S310" s="39">
        <f t="shared" si="122"/>
        <v>-42</v>
      </c>
      <c r="T310" s="91">
        <f t="shared" ref="T310:T341" si="127">(C310-G310-E310)-(C309-E309-G309)</f>
        <v>5106</v>
      </c>
      <c r="U310" s="91">
        <f>SUM(B297:B310)/POBLA!$B$25*100000</f>
        <v>236.77968000157603</v>
      </c>
      <c r="V310" s="91">
        <f>B310/POBLA!$B$25*100000</f>
        <v>30.387728240981779</v>
      </c>
      <c r="W310" s="625">
        <f t="shared" si="109"/>
        <v>1.2587980318650422</v>
      </c>
      <c r="X310" s="28">
        <f t="shared" si="123"/>
        <v>2.2709521590454126E-2</v>
      </c>
      <c r="Y310" s="202">
        <f t="shared" si="99"/>
        <v>0.23193927998376307</v>
      </c>
      <c r="Z310" s="297">
        <f t="shared" si="106"/>
        <v>8652.4285714285706</v>
      </c>
      <c r="AA310" s="179">
        <f t="shared" si="107"/>
        <v>109.57142857142857</v>
      </c>
      <c r="AB310" s="357">
        <f t="shared" si="119"/>
        <v>174.81878979361812</v>
      </c>
      <c r="AC310" s="610">
        <f t="shared" si="117"/>
        <v>65.247361222189554</v>
      </c>
      <c r="AD310" s="610">
        <f t="shared" si="103"/>
        <v>7675.0714285714284</v>
      </c>
      <c r="AE310" s="301">
        <f t="shared" si="112"/>
        <v>1.2918479651906833</v>
      </c>
      <c r="AF310" s="202">
        <f t="shared" si="111"/>
        <v>0.10173548340443994</v>
      </c>
      <c r="AG310" s="4"/>
      <c r="AH310" s="202">
        <f t="shared" si="108"/>
        <v>1.0026143790849673</v>
      </c>
      <c r="AI310" s="179">
        <f>MAX($B$2:B310)</f>
        <v>18326</v>
      </c>
      <c r="AJ310" s="180">
        <f t="shared" si="104"/>
        <v>1.8194325837365972E-2</v>
      </c>
      <c r="AK310" s="180"/>
      <c r="AL310" s="202">
        <f t="shared" si="113"/>
        <v>1.0343796711509716</v>
      </c>
      <c r="AM310" s="202">
        <f t="shared" si="114"/>
        <v>1.0026143790849673</v>
      </c>
      <c r="AP310" s="644">
        <f t="shared" si="126"/>
        <v>1.2587980318650422</v>
      </c>
      <c r="AT310" s="180">
        <f t="shared" si="110"/>
        <v>2.0118224626790904E-2</v>
      </c>
    </row>
    <row r="311" spans="1:46" x14ac:dyDescent="0.25">
      <c r="A311" s="107">
        <v>44202</v>
      </c>
      <c r="B311" s="126">
        <v>13441</v>
      </c>
      <c r="C311" s="126">
        <f t="shared" si="118"/>
        <v>1676171</v>
      </c>
      <c r="D311" s="126">
        <v>191</v>
      </c>
      <c r="E311" s="126">
        <f t="shared" si="124"/>
        <v>43946</v>
      </c>
      <c r="F311" s="126">
        <f t="shared" si="102"/>
        <v>7432</v>
      </c>
      <c r="G311" s="155">
        <v>1474048</v>
      </c>
      <c r="H311" s="126">
        <v>3521</v>
      </c>
      <c r="I311" s="126">
        <v>49116</v>
      </c>
      <c r="J311" s="4">
        <f t="shared" si="121"/>
        <v>5033234</v>
      </c>
      <c r="K311" s="611">
        <f t="shared" si="100"/>
        <v>2.6218088727224132E-2</v>
      </c>
      <c r="L311" s="7">
        <v>2668047</v>
      </c>
      <c r="M311" s="4">
        <f t="shared" si="125"/>
        <v>2668047.0262180888</v>
      </c>
      <c r="N311" s="202">
        <v>11560</v>
      </c>
      <c r="O311" s="4">
        <v>327631</v>
      </c>
      <c r="P311" s="4">
        <v>1194273</v>
      </c>
      <c r="Q311" s="103">
        <f t="shared" si="120"/>
        <v>142707</v>
      </c>
      <c r="R311" s="96">
        <f t="shared" si="101"/>
        <v>158177</v>
      </c>
      <c r="S311" s="39">
        <f t="shared" si="122"/>
        <v>61</v>
      </c>
      <c r="T311" s="91">
        <f t="shared" si="127"/>
        <v>5818</v>
      </c>
      <c r="U311" s="91">
        <f>SUM(B298:B311)/POBLA!$B$25*100000</f>
        <v>247.47818766002175</v>
      </c>
      <c r="V311" s="91">
        <f>B311/POBLA!$B$25*100000</f>
        <v>29.618669708994641</v>
      </c>
      <c r="W311" s="625">
        <f t="shared" si="109"/>
        <v>1.2669471926717282</v>
      </c>
      <c r="X311" s="28">
        <f t="shared" si="123"/>
        <v>2.2259873432926406E-2</v>
      </c>
      <c r="Y311" s="202">
        <f t="shared" si="99"/>
        <v>0.24301995525587317</v>
      </c>
      <c r="Z311" s="297">
        <f t="shared" si="106"/>
        <v>8891.8571428571431</v>
      </c>
      <c r="AA311" s="179">
        <f t="shared" si="107"/>
        <v>116.14285714285714</v>
      </c>
      <c r="AB311" s="357">
        <f t="shared" si="119"/>
        <v>180.83838776730363</v>
      </c>
      <c r="AC311" s="610">
        <f t="shared" si="117"/>
        <v>64.695530624446491</v>
      </c>
      <c r="AD311" s="610">
        <f t="shared" si="103"/>
        <v>8021.8571428571431</v>
      </c>
      <c r="AE311" s="301">
        <f t="shared" si="112"/>
        <v>1.2432934502526816</v>
      </c>
      <c r="AF311" s="202">
        <f t="shared" si="111"/>
        <v>9.7544390399600278E-2</v>
      </c>
      <c r="AG311" s="4"/>
      <c r="AH311" s="202">
        <f t="shared" si="108"/>
        <v>0.95647058823529407</v>
      </c>
      <c r="AI311" s="179">
        <f>MAX($B$2:B311)</f>
        <v>18326</v>
      </c>
      <c r="AJ311" s="180">
        <f t="shared" si="104"/>
        <v>1.9335965371260047E-2</v>
      </c>
      <c r="AK311" s="180"/>
      <c r="AL311" s="202">
        <f t="shared" si="113"/>
        <v>1.023546511627907</v>
      </c>
      <c r="AM311" s="202">
        <f t="shared" si="114"/>
        <v>0.95647058823529407</v>
      </c>
      <c r="AP311" s="644">
        <f t="shared" si="126"/>
        <v>1.2669471926717282</v>
      </c>
      <c r="AT311" s="180">
        <f t="shared" si="110"/>
        <v>1.9484232495639991E-2</v>
      </c>
    </row>
    <row r="312" spans="1:46" x14ac:dyDescent="0.25">
      <c r="A312" s="107">
        <v>44203</v>
      </c>
      <c r="B312" s="126">
        <v>13835</v>
      </c>
      <c r="C312" s="126">
        <f t="shared" si="118"/>
        <v>1690006</v>
      </c>
      <c r="D312" s="126">
        <v>146</v>
      </c>
      <c r="E312" s="126">
        <f t="shared" si="124"/>
        <v>44092</v>
      </c>
      <c r="F312" s="126">
        <f t="shared" si="102"/>
        <v>10746</v>
      </c>
      <c r="G312" s="155">
        <v>1484794</v>
      </c>
      <c r="H312" s="126">
        <v>3559</v>
      </c>
      <c r="I312" s="126">
        <v>49166</v>
      </c>
      <c r="J312" s="4">
        <f t="shared" si="121"/>
        <v>5082400</v>
      </c>
      <c r="K312" s="611">
        <f t="shared" si="100"/>
        <v>2.608984820172236E-2</v>
      </c>
      <c r="L312" s="7">
        <v>2696083</v>
      </c>
      <c r="M312" s="4">
        <f t="shared" si="125"/>
        <v>2696083.026089848</v>
      </c>
      <c r="N312" s="202">
        <v>11682</v>
      </c>
      <c r="O312" s="4">
        <v>329806</v>
      </c>
      <c r="P312" s="4">
        <v>1200435</v>
      </c>
      <c r="Q312" s="103">
        <f t="shared" si="120"/>
        <v>148083</v>
      </c>
      <c r="R312" s="96">
        <f t="shared" si="101"/>
        <v>161120</v>
      </c>
      <c r="S312" s="39">
        <f t="shared" si="122"/>
        <v>38</v>
      </c>
      <c r="T312" s="91">
        <f t="shared" si="127"/>
        <v>2943</v>
      </c>
      <c r="U312" s="91">
        <f>SUM(B299:B312)/POBLA!$B$25*100000</f>
        <v>260.74389643527269</v>
      </c>
      <c r="V312" s="91">
        <f>B312/POBLA!$B$25*100000</f>
        <v>30.486890515879836</v>
      </c>
      <c r="W312" s="625">
        <f t="shared" si="109"/>
        <v>1.3226102119288206</v>
      </c>
      <c r="X312" s="28">
        <f t="shared" si="123"/>
        <v>2.2089126117179742E-2</v>
      </c>
      <c r="Y312" s="202">
        <f t="shared" si="99"/>
        <v>0.24572306004099767</v>
      </c>
      <c r="Z312" s="297">
        <f t="shared" si="106"/>
        <v>9213</v>
      </c>
      <c r="AA312" s="179">
        <f t="shared" si="107"/>
        <v>125.14285714285714</v>
      </c>
      <c r="AB312" s="357">
        <f t="shared" si="119"/>
        <v>182.15396336586147</v>
      </c>
      <c r="AC312" s="610">
        <f t="shared" si="117"/>
        <v>57.011106223004333</v>
      </c>
      <c r="AD312" s="610">
        <f t="shared" si="103"/>
        <v>8451.8571428571431</v>
      </c>
      <c r="AE312" s="301">
        <f t="shared" si="112"/>
        <v>1.1979381443298969</v>
      </c>
      <c r="AF312" s="202">
        <f t="shared" si="111"/>
        <v>8.5838674241658364E-2</v>
      </c>
      <c r="AG312" s="4"/>
      <c r="AH312" s="202">
        <f t="shared" si="108"/>
        <v>1.024561403508772</v>
      </c>
      <c r="AI312" s="179">
        <f>MAX($B$2:B312)</f>
        <v>18326</v>
      </c>
      <c r="AJ312" s="180">
        <f t="shared" si="104"/>
        <v>2.0579322010007752E-2</v>
      </c>
      <c r="AK312" s="180"/>
      <c r="AL312" s="202">
        <f t="shared" si="113"/>
        <v>1.034593023255814</v>
      </c>
      <c r="AM312" s="202">
        <f t="shared" si="114"/>
        <v>1.024561403508772</v>
      </c>
      <c r="AP312" s="644">
        <f t="shared" si="126"/>
        <v>1.3226102119288206</v>
      </c>
      <c r="AT312" s="180">
        <f t="shared" si="110"/>
        <v>1.8697151580965708E-2</v>
      </c>
    </row>
    <row r="313" spans="1:46" x14ac:dyDescent="0.25">
      <c r="A313" s="107">
        <v>44204</v>
      </c>
      <c r="B313" s="126">
        <v>13346</v>
      </c>
      <c r="C313" s="126">
        <f t="shared" si="118"/>
        <v>1703352</v>
      </c>
      <c r="D313" s="126">
        <v>151</v>
      </c>
      <c r="E313" s="126">
        <f t="shared" si="124"/>
        <v>44243</v>
      </c>
      <c r="F313" s="126">
        <f t="shared" si="102"/>
        <v>10102</v>
      </c>
      <c r="G313" s="155">
        <v>1494896</v>
      </c>
      <c r="H313" s="126">
        <v>3602</v>
      </c>
      <c r="I313" s="126">
        <v>58329</v>
      </c>
      <c r="J313" s="4">
        <f t="shared" si="121"/>
        <v>5140729</v>
      </c>
      <c r="K313" s="611">
        <f t="shared" si="100"/>
        <v>2.5974079344727338E-2</v>
      </c>
      <c r="L313" s="7">
        <v>2723301</v>
      </c>
      <c r="M313" s="4">
        <f t="shared" si="125"/>
        <v>2723301.0259740795</v>
      </c>
      <c r="N313" s="202">
        <v>11779</v>
      </c>
      <c r="O313" s="4">
        <v>332037</v>
      </c>
      <c r="P313" s="4">
        <v>1203533</v>
      </c>
      <c r="Q313" s="103">
        <f t="shared" si="120"/>
        <v>156003</v>
      </c>
      <c r="R313" s="96">
        <f t="shared" si="101"/>
        <v>164213</v>
      </c>
      <c r="S313" s="39">
        <f t="shared" si="122"/>
        <v>43</v>
      </c>
      <c r="T313" s="91">
        <f t="shared" si="127"/>
        <v>3093</v>
      </c>
      <c r="U313" s="91">
        <f>SUM(B300:B313)/POBLA!$B$25*100000</f>
        <v>283.82005960710455</v>
      </c>
      <c r="V313" s="91">
        <f>B313/POBLA!$B$25*100000</f>
        <v>29.409327128654304</v>
      </c>
      <c r="W313" s="625">
        <f t="shared" si="109"/>
        <v>1.5112524347030249</v>
      </c>
      <c r="X313" s="28">
        <f t="shared" si="123"/>
        <v>2.1934925980281707E-2</v>
      </c>
      <c r="Y313" s="202">
        <f t="shared" si="99"/>
        <v>0.26536618360268827</v>
      </c>
      <c r="Z313" s="297">
        <f t="shared" si="106"/>
        <v>10536.857142857143</v>
      </c>
      <c r="AA313" s="179">
        <f t="shared" si="107"/>
        <v>136.28571428571428</v>
      </c>
      <c r="AB313" s="357">
        <f t="shared" si="119"/>
        <v>166.07363826745313</v>
      </c>
      <c r="AC313" s="610">
        <f t="shared" si="117"/>
        <v>29.787923981738857</v>
      </c>
      <c r="AD313" s="610">
        <f t="shared" si="103"/>
        <v>9199.8571428571431</v>
      </c>
      <c r="AE313" s="301">
        <f t="shared" si="112"/>
        <v>1.3400799418604652</v>
      </c>
      <c r="AF313" s="202">
        <f t="shared" si="111"/>
        <v>0.12356144888268528</v>
      </c>
      <c r="AG313" s="4"/>
      <c r="AH313" s="202">
        <f t="shared" si="108"/>
        <v>1.0623608017817372</v>
      </c>
      <c r="AI313" s="179">
        <f>MAX($B$2:B313)</f>
        <v>18326</v>
      </c>
      <c r="AJ313" s="180">
        <f t="shared" si="104"/>
        <v>2.2121739130434782E-2</v>
      </c>
      <c r="AK313" s="180"/>
      <c r="AL313" s="202">
        <f t="shared" si="113"/>
        <v>1.047093023255814</v>
      </c>
      <c r="AM313" s="202">
        <f t="shared" si="114"/>
        <v>1.0623608017817372</v>
      </c>
      <c r="AP313" s="644">
        <f t="shared" si="126"/>
        <v>1.5112524347030249</v>
      </c>
      <c r="AT313" s="180">
        <f t="shared" si="110"/>
        <v>1.7770569412177268E-2</v>
      </c>
    </row>
    <row r="314" spans="1:46" x14ac:dyDescent="0.25">
      <c r="A314" s="107">
        <v>44205</v>
      </c>
      <c r="B314" s="126">
        <v>11057</v>
      </c>
      <c r="C314" s="126">
        <f t="shared" si="118"/>
        <v>1714409</v>
      </c>
      <c r="D314" s="126">
        <v>144</v>
      </c>
      <c r="E314" s="126">
        <f t="shared" si="124"/>
        <v>44387</v>
      </c>
      <c r="F314" s="126">
        <f t="shared" si="102"/>
        <v>9434</v>
      </c>
      <c r="G314" s="155">
        <v>1504330</v>
      </c>
      <c r="H314" s="126">
        <v>3597</v>
      </c>
      <c r="I314" s="126">
        <v>31990</v>
      </c>
      <c r="J314" s="4">
        <f t="shared" si="121"/>
        <v>5172719</v>
      </c>
      <c r="K314" s="611">
        <f t="shared" si="100"/>
        <v>2.5890554704274184E-2</v>
      </c>
      <c r="L314" s="7">
        <v>2743144</v>
      </c>
      <c r="M314" s="4">
        <f t="shared" si="125"/>
        <v>2743144.0258905548</v>
      </c>
      <c r="N314" s="202">
        <v>11857</v>
      </c>
      <c r="O314" s="4">
        <v>333247</v>
      </c>
      <c r="P314" s="4">
        <v>1209389</v>
      </c>
      <c r="Q314" s="103">
        <f t="shared" si="120"/>
        <v>159916</v>
      </c>
      <c r="R314" s="96">
        <f t="shared" si="101"/>
        <v>165692</v>
      </c>
      <c r="S314" s="39">
        <f t="shared" si="122"/>
        <v>-5</v>
      </c>
      <c r="T314" s="91">
        <f t="shared" si="127"/>
        <v>1479</v>
      </c>
      <c r="U314" s="91">
        <f>SUM(B301:B314)/POBLA!$B$25*100000</f>
        <v>300.00334287046712</v>
      </c>
      <c r="V314" s="91">
        <f>B314/POBLA!$B$25*100000</f>
        <v>24.365272745506566</v>
      </c>
      <c r="W314" s="625">
        <f t="shared" si="109"/>
        <v>1.6272276340166139</v>
      </c>
      <c r="X314" s="28">
        <f t="shared" si="123"/>
        <v>2.1708953962774304E-2</v>
      </c>
      <c r="Y314" s="202">
        <f t="shared" ref="Y314:Y377" si="128">SUM(B308:B314)/SUM(I308:I314)</f>
        <v>0.27189511665094918</v>
      </c>
      <c r="Z314" s="297">
        <f t="shared" si="106"/>
        <v>11367.857142857143</v>
      </c>
      <c r="AA314" s="179">
        <f t="shared" si="107"/>
        <v>148.85714285714286</v>
      </c>
      <c r="AB314" s="357">
        <f t="shared" si="119"/>
        <v>157.98812060497821</v>
      </c>
      <c r="AC314" s="610">
        <f t="shared" si="117"/>
        <v>9.1309777478353453</v>
      </c>
      <c r="AD314" s="610">
        <f t="shared" si="103"/>
        <v>9724.4285714285706</v>
      </c>
      <c r="AE314" s="301">
        <f t="shared" si="112"/>
        <v>1.4067389113794262</v>
      </c>
      <c r="AF314" s="202">
        <f t="shared" si="111"/>
        <v>0.14747536306155951</v>
      </c>
      <c r="AG314" s="4"/>
      <c r="AH314" s="202">
        <f t="shared" si="108"/>
        <v>1.1908571428571428</v>
      </c>
      <c r="AI314" s="179">
        <f>MAX($B$2:B314)</f>
        <v>18326</v>
      </c>
      <c r="AJ314" s="180">
        <f t="shared" si="104"/>
        <v>2.3727115402131342E-2</v>
      </c>
      <c r="AK314" s="180"/>
      <c r="AL314" s="202">
        <f t="shared" si="113"/>
        <v>1.0462478184991273</v>
      </c>
      <c r="AM314" s="202">
        <f t="shared" si="114"/>
        <v>1.1908571428571428</v>
      </c>
      <c r="AP314" s="644">
        <f t="shared" si="126"/>
        <v>1.6272276340166139</v>
      </c>
      <c r="AT314" s="180">
        <f t="shared" si="110"/>
        <v>1.7179673805842552E-2</v>
      </c>
    </row>
    <row r="315" spans="1:46" x14ac:dyDescent="0.25">
      <c r="A315" s="107">
        <v>44206</v>
      </c>
      <c r="B315" s="126">
        <v>7808</v>
      </c>
      <c r="C315" s="126">
        <f t="shared" si="118"/>
        <v>1722217</v>
      </c>
      <c r="D315" s="126">
        <v>78</v>
      </c>
      <c r="E315" s="126">
        <f t="shared" si="124"/>
        <v>44465</v>
      </c>
      <c r="F315" s="126">
        <f t="shared" si="102"/>
        <v>7420</v>
      </c>
      <c r="G315" s="155">
        <v>1511750</v>
      </c>
      <c r="H315" s="126">
        <v>3612</v>
      </c>
      <c r="I315" s="126">
        <v>38365</v>
      </c>
      <c r="J315" s="4">
        <f t="shared" si="121"/>
        <v>5211084</v>
      </c>
      <c r="K315" s="611">
        <f t="shared" si="100"/>
        <v>2.581846538502407E-2</v>
      </c>
      <c r="L315" s="7">
        <v>2767568</v>
      </c>
      <c r="M315" s="4">
        <f t="shared" si="125"/>
        <v>2767568.0258184653</v>
      </c>
      <c r="N315" s="202">
        <v>11922</v>
      </c>
      <c r="O315" s="4">
        <v>334269</v>
      </c>
      <c r="P315" s="4">
        <v>1213524</v>
      </c>
      <c r="Q315" s="103">
        <f t="shared" si="120"/>
        <v>162502</v>
      </c>
      <c r="R315" s="96">
        <f t="shared" si="101"/>
        <v>166002</v>
      </c>
      <c r="S315" s="39">
        <f t="shared" si="122"/>
        <v>15</v>
      </c>
      <c r="T315" s="91">
        <f t="shared" si="127"/>
        <v>310</v>
      </c>
      <c r="U315" s="91">
        <f>SUM(B302:B315)/POBLA!$B$25*100000</f>
        <v>306.12496064084036</v>
      </c>
      <c r="V315" s="91">
        <f>B315/POBLA!$B$25*100000</f>
        <v>17.205756497866986</v>
      </c>
      <c r="W315" s="625">
        <f t="shared" si="109"/>
        <v>1.6317229876551911</v>
      </c>
      <c r="X315" s="28">
        <f t="shared" si="123"/>
        <v>2.1758773990674812E-2</v>
      </c>
      <c r="Y315" s="202">
        <f t="shared" si="128"/>
        <v>0.26387634246712838</v>
      </c>
      <c r="Z315" s="297">
        <f t="shared" si="106"/>
        <v>11642.714285714286</v>
      </c>
      <c r="AA315" s="179">
        <f t="shared" si="107"/>
        <v>144.71428571428572</v>
      </c>
      <c r="AB315" s="357">
        <f t="shared" si="119"/>
        <v>161.55343005314677</v>
      </c>
      <c r="AC315" s="610">
        <f t="shared" si="117"/>
        <v>16.839144338861047</v>
      </c>
      <c r="AD315" s="610">
        <f t="shared" si="103"/>
        <v>9922.8571428571431</v>
      </c>
      <c r="AE315" s="301">
        <f t="shared" si="112"/>
        <v>1.4193239407185525</v>
      </c>
      <c r="AF315" s="202">
        <f t="shared" si="111"/>
        <v>0.15034717891147986</v>
      </c>
      <c r="AG315" s="4"/>
      <c r="AH315" s="202">
        <f t="shared" si="108"/>
        <v>1.2160864345738296</v>
      </c>
      <c r="AI315" s="179">
        <f>MAX($B$2:B315)</f>
        <v>18326</v>
      </c>
      <c r="AJ315" s="180">
        <f t="shared" si="104"/>
        <v>2.24731564468897E-2</v>
      </c>
      <c r="AK315" s="180"/>
      <c r="AL315" s="202">
        <f t="shared" si="113"/>
        <v>1.0521409845616079</v>
      </c>
      <c r="AM315" s="202">
        <f t="shared" si="114"/>
        <v>1.2160864345738296</v>
      </c>
      <c r="AP315" s="644">
        <f t="shared" si="126"/>
        <v>1.6317229876551911</v>
      </c>
      <c r="AT315" s="180">
        <f t="shared" si="110"/>
        <v>1.6703236305707869E-2</v>
      </c>
    </row>
    <row r="316" spans="1:46" x14ac:dyDescent="0.25">
      <c r="A316" s="107">
        <v>44207</v>
      </c>
      <c r="B316" s="126">
        <v>8704</v>
      </c>
      <c r="C316" s="126">
        <f t="shared" si="118"/>
        <v>1730921</v>
      </c>
      <c r="D316" s="126">
        <v>160</v>
      </c>
      <c r="E316" s="126">
        <f t="shared" si="124"/>
        <v>44625</v>
      </c>
      <c r="F316" s="126">
        <f t="shared" si="102"/>
        <v>6965</v>
      </c>
      <c r="G316" s="155">
        <v>1518715</v>
      </c>
      <c r="H316" s="126">
        <v>3606</v>
      </c>
      <c r="I316" s="126">
        <v>32363</v>
      </c>
      <c r="J316" s="4">
        <f t="shared" si="121"/>
        <v>5243447</v>
      </c>
      <c r="K316" s="611">
        <f t="shared" si="100"/>
        <v>2.5781072619720947E-2</v>
      </c>
      <c r="L316" s="7">
        <v>2785278</v>
      </c>
      <c r="M316" s="4">
        <f t="shared" si="125"/>
        <v>2785278.0257810727</v>
      </c>
      <c r="N316" s="202">
        <v>11973</v>
      </c>
      <c r="O316" s="4">
        <v>335669</v>
      </c>
      <c r="P316" s="4">
        <v>1223533</v>
      </c>
      <c r="Q316" s="103">
        <f t="shared" si="120"/>
        <v>159746</v>
      </c>
      <c r="R316" s="96">
        <f t="shared" si="101"/>
        <v>167581</v>
      </c>
      <c r="S316" s="39">
        <f t="shared" si="122"/>
        <v>-6</v>
      </c>
      <c r="T316" s="91">
        <f t="shared" si="127"/>
        <v>1579</v>
      </c>
      <c r="U316" s="91">
        <f>SUM(B303:B316)/POBLA!$B$25*100000</f>
        <v>309.40392653080278</v>
      </c>
      <c r="V316" s="91">
        <f>B316/POBLA!$B$25*100000</f>
        <v>19.180187571392707</v>
      </c>
      <c r="W316" s="625">
        <f t="shared" si="109"/>
        <v>1.6085048859561697</v>
      </c>
      <c r="X316" s="28">
        <f t="shared" si="123"/>
        <v>2.1517952512516335E-2</v>
      </c>
      <c r="Y316" s="202">
        <f t="shared" si="128"/>
        <v>0.26497024858030299</v>
      </c>
      <c r="Z316" s="297">
        <f t="shared" si="106"/>
        <v>11711.571428571429</v>
      </c>
      <c r="AA316" s="179">
        <f t="shared" si="107"/>
        <v>145.85714285714286</v>
      </c>
      <c r="AB316" s="357">
        <f t="shared" si="119"/>
        <v>166.88729404555997</v>
      </c>
      <c r="AC316" s="610">
        <f t="shared" si="117"/>
        <v>21.030151188417108</v>
      </c>
      <c r="AD316" s="610">
        <f t="shared" si="103"/>
        <v>10029.142857142857</v>
      </c>
      <c r="AE316" s="301">
        <f t="shared" si="112"/>
        <v>1.4031355366525751</v>
      </c>
      <c r="AF316" s="202">
        <f t="shared" si="111"/>
        <v>0.13804812126068744</v>
      </c>
      <c r="AG316" s="4"/>
      <c r="AH316" s="202">
        <f t="shared" si="108"/>
        <v>1.3311603650586703</v>
      </c>
      <c r="AI316" s="179">
        <f>MAX($B$2:B316)</f>
        <v>18326</v>
      </c>
      <c r="AJ316" s="180">
        <f t="shared" si="104"/>
        <v>2.1807385890343665E-2</v>
      </c>
      <c r="AK316" s="180"/>
      <c r="AL316" s="202">
        <f t="shared" si="113"/>
        <v>1.0296973158195317</v>
      </c>
      <c r="AM316" s="202">
        <f t="shared" si="114"/>
        <v>1.3311603650586703</v>
      </c>
      <c r="AP316" s="644">
        <f t="shared" si="126"/>
        <v>1.6085048859561697</v>
      </c>
      <c r="AT316" s="180">
        <f t="shared" si="110"/>
        <v>1.687549456455046E-2</v>
      </c>
    </row>
    <row r="317" spans="1:46" x14ac:dyDescent="0.25">
      <c r="A317" s="107">
        <v>44208</v>
      </c>
      <c r="B317" s="126">
        <v>13783</v>
      </c>
      <c r="C317" s="126">
        <f t="shared" si="118"/>
        <v>1744704</v>
      </c>
      <c r="D317" s="126">
        <v>192</v>
      </c>
      <c r="E317" s="126">
        <f t="shared" si="124"/>
        <v>44817</v>
      </c>
      <c r="F317" s="126">
        <f t="shared" si="102"/>
        <v>9146</v>
      </c>
      <c r="G317" s="155">
        <v>1527861</v>
      </c>
      <c r="H317" s="126">
        <v>3619</v>
      </c>
      <c r="I317" s="126">
        <v>54031</v>
      </c>
      <c r="J317" s="4">
        <f t="shared" si="121"/>
        <v>5297478</v>
      </c>
      <c r="K317" s="611">
        <f t="shared" si="100"/>
        <v>2.5687451854297348E-2</v>
      </c>
      <c r="L317" s="7">
        <v>2816031</v>
      </c>
      <c r="M317" s="4">
        <f t="shared" si="125"/>
        <v>2816031.0256874519</v>
      </c>
      <c r="N317" s="202">
        <v>12085</v>
      </c>
      <c r="O317" s="4">
        <v>337864</v>
      </c>
      <c r="P317" s="4">
        <v>1234734</v>
      </c>
      <c r="Q317" s="103">
        <f t="shared" si="120"/>
        <v>160021</v>
      </c>
      <c r="R317" s="96">
        <f t="shared" si="101"/>
        <v>172026</v>
      </c>
      <c r="S317" s="39">
        <f t="shared" si="122"/>
        <v>13</v>
      </c>
      <c r="T317" s="91">
        <f t="shared" si="127"/>
        <v>4445</v>
      </c>
      <c r="U317" s="91">
        <f>SUM(B304:B317)/POBLA!$B$25*100000</f>
        <v>314.10421836097055</v>
      </c>
      <c r="V317" s="91">
        <f>B317/POBLA!$B$25*100000</f>
        <v>30.372302998219862</v>
      </c>
      <c r="W317" s="625">
        <f t="shared" si="109"/>
        <v>1.5500326228795129</v>
      </c>
      <c r="X317" s="28">
        <f t="shared" si="123"/>
        <v>2.1037517584551173E-2</v>
      </c>
      <c r="Y317" s="202">
        <f t="shared" si="128"/>
        <v>0.26159688537145775</v>
      </c>
      <c r="Z317" s="297">
        <f t="shared" si="106"/>
        <v>11710.571428571429</v>
      </c>
      <c r="AA317" s="179">
        <f t="shared" si="107"/>
        <v>151.71428571428572</v>
      </c>
      <c r="AB317" s="357">
        <f t="shared" si="119"/>
        <v>179.7078959595782</v>
      </c>
      <c r="AC317" s="610">
        <f t="shared" si="117"/>
        <v>27.993610245292473</v>
      </c>
      <c r="AD317" s="610">
        <f t="shared" si="103"/>
        <v>10181.5</v>
      </c>
      <c r="AE317" s="301">
        <f t="shared" si="112"/>
        <v>1.353443294203114</v>
      </c>
      <c r="AF317" s="202">
        <f t="shared" si="111"/>
        <v>0.129083283560538</v>
      </c>
      <c r="AG317" s="4"/>
      <c r="AH317" s="202">
        <f t="shared" si="108"/>
        <v>1.3846153846153848</v>
      </c>
      <c r="AI317" s="179">
        <f>MAX($B$2:B317)</f>
        <v>18326</v>
      </c>
      <c r="AJ317" s="180">
        <f t="shared" si="104"/>
        <v>2.2448634480426142E-2</v>
      </c>
      <c r="AK317" s="180"/>
      <c r="AL317" s="202">
        <f t="shared" si="113"/>
        <v>1.0459537572254336</v>
      </c>
      <c r="AM317" s="202">
        <f t="shared" si="114"/>
        <v>1.3846153846153848</v>
      </c>
      <c r="AP317" s="644">
        <f t="shared" si="126"/>
        <v>1.5500326228795129</v>
      </c>
      <c r="AT317" s="180">
        <f t="shared" si="110"/>
        <v>1.6556882341488742E-2</v>
      </c>
    </row>
    <row r="318" spans="1:46" x14ac:dyDescent="0.25">
      <c r="A318" s="107">
        <v>44209</v>
      </c>
      <c r="B318" s="126">
        <v>12725</v>
      </c>
      <c r="C318" s="126">
        <f t="shared" si="118"/>
        <v>1757429</v>
      </c>
      <c r="D318" s="126">
        <v>134</v>
      </c>
      <c r="E318" s="126">
        <f t="shared" si="124"/>
        <v>44951</v>
      </c>
      <c r="F318" s="126">
        <f t="shared" si="102"/>
        <v>8562</v>
      </c>
      <c r="G318" s="155">
        <v>1536423</v>
      </c>
      <c r="H318" s="126">
        <v>3636</v>
      </c>
      <c r="I318" s="126">
        <v>50648</v>
      </c>
      <c r="J318" s="4">
        <f t="shared" si="121"/>
        <v>5348126</v>
      </c>
      <c r="K318" s="611">
        <f t="shared" si="100"/>
        <v>2.5577704703860015E-2</v>
      </c>
      <c r="L318" s="7">
        <v>2845101</v>
      </c>
      <c r="M318" s="4">
        <f t="shared" si="125"/>
        <v>2845101.0255777049</v>
      </c>
      <c r="N318" s="202">
        <v>12177</v>
      </c>
      <c r="O318" s="4">
        <v>339755</v>
      </c>
      <c r="P318" s="4">
        <v>1245296</v>
      </c>
      <c r="Q318" s="103">
        <f t="shared" si="120"/>
        <v>160201</v>
      </c>
      <c r="R318" s="96">
        <f t="shared" si="101"/>
        <v>176055</v>
      </c>
      <c r="S318" s="39">
        <f t="shared" si="122"/>
        <v>17</v>
      </c>
      <c r="T318" s="91">
        <f t="shared" si="127"/>
        <v>4029</v>
      </c>
      <c r="U318" s="91">
        <f>SUM(B305:B318)/POBLA!$B$25*100000</f>
        <v>316.21968022546241</v>
      </c>
      <c r="V318" s="91">
        <f>B318/POBLA!$B$25*100000</f>
        <v>28.040887735061144</v>
      </c>
      <c r="W318" s="625">
        <f t="shared" si="109"/>
        <v>1.4811936169773539</v>
      </c>
      <c r="X318" s="28">
        <f t="shared" si="123"/>
        <v>2.0652636960040896E-2</v>
      </c>
      <c r="Y318" s="202">
        <f t="shared" si="128"/>
        <v>0.2580503791776228</v>
      </c>
      <c r="Z318" s="297">
        <f t="shared" si="106"/>
        <v>11608.285714285714</v>
      </c>
      <c r="AA318" s="179">
        <f t="shared" si="107"/>
        <v>143.57142857142858</v>
      </c>
      <c r="AB318" s="357">
        <f t="shared" si="119"/>
        <v>191.13681288313799</v>
      </c>
      <c r="AC318" s="610">
        <f t="shared" si="117"/>
        <v>47.565384311709408</v>
      </c>
      <c r="AD318" s="610">
        <f t="shared" si="103"/>
        <v>10250.071428571429</v>
      </c>
      <c r="AE318" s="301">
        <f t="shared" si="112"/>
        <v>1.3054962003759458</v>
      </c>
      <c r="AF318" s="202">
        <f t="shared" si="111"/>
        <v>0.11302528180456073</v>
      </c>
      <c r="AG318" s="4"/>
      <c r="AH318" s="202">
        <f t="shared" si="108"/>
        <v>1.2361623616236164</v>
      </c>
      <c r="AI318" s="179">
        <f>MAX($B$2:B318)</f>
        <v>18326</v>
      </c>
      <c r="AJ318" s="180">
        <f t="shared" si="104"/>
        <v>2.3274664196387219E-2</v>
      </c>
      <c r="AK318" s="180"/>
      <c r="AL318" s="202">
        <f t="shared" si="113"/>
        <v>1.032661175802329</v>
      </c>
      <c r="AM318" s="202">
        <f t="shared" si="114"/>
        <v>1.2361623616236164</v>
      </c>
      <c r="AP318" s="644">
        <f t="shared" si="126"/>
        <v>1.4811936169773539</v>
      </c>
      <c r="AT318" s="180">
        <f t="shared" si="110"/>
        <v>1.5507047406247663E-2</v>
      </c>
    </row>
    <row r="319" spans="1:46" x14ac:dyDescent="0.25">
      <c r="A319" s="107">
        <v>44210</v>
      </c>
      <c r="B319" s="126">
        <v>13286</v>
      </c>
      <c r="C319" s="126">
        <f t="shared" si="118"/>
        <v>1770715</v>
      </c>
      <c r="D319" s="174">
        <v>142</v>
      </c>
      <c r="E319" s="126">
        <f t="shared" si="124"/>
        <v>45093</v>
      </c>
      <c r="F319" s="126">
        <f t="shared" si="102"/>
        <v>13067</v>
      </c>
      <c r="G319" s="155">
        <v>1549490</v>
      </c>
      <c r="H319" s="126">
        <v>3634</v>
      </c>
      <c r="I319" s="126">
        <v>50729</v>
      </c>
      <c r="J319" s="4">
        <f t="shared" si="121"/>
        <v>5398855</v>
      </c>
      <c r="K319" s="611">
        <f t="shared" si="100"/>
        <v>2.5465984079877338E-2</v>
      </c>
      <c r="L319" s="7">
        <v>2874691</v>
      </c>
      <c r="M319" s="4">
        <f t="shared" si="125"/>
        <v>2874691.0254659839</v>
      </c>
      <c r="N319" s="202">
        <v>12303</v>
      </c>
      <c r="O319" s="4">
        <v>342210</v>
      </c>
      <c r="P319" s="4">
        <v>1255146</v>
      </c>
      <c r="Q319" s="103">
        <f t="shared" si="120"/>
        <v>161056</v>
      </c>
      <c r="R319" s="96">
        <f t="shared" si="101"/>
        <v>176132</v>
      </c>
      <c r="S319" s="39">
        <f t="shared" si="122"/>
        <v>-2</v>
      </c>
      <c r="T319" s="91">
        <f t="shared" si="127"/>
        <v>77</v>
      </c>
      <c r="U319" s="91">
        <f>SUM(B306:B319)/POBLA!$B$25*100000</f>
        <v>319.96360700439124</v>
      </c>
      <c r="V319" s="91">
        <f>B319/POBLA!$B$25*100000</f>
        <v>29.277110762123563</v>
      </c>
      <c r="W319" s="625">
        <f t="shared" si="109"/>
        <v>1.4355911926678069</v>
      </c>
      <c r="X319" s="28">
        <f t="shared" si="123"/>
        <v>2.0632253082915088E-2</v>
      </c>
      <c r="Y319" s="202">
        <f t="shared" si="128"/>
        <v>0.25504100109020239</v>
      </c>
      <c r="Z319" s="297">
        <f t="shared" si="106"/>
        <v>11529.857142857143</v>
      </c>
      <c r="AA319" s="179">
        <f t="shared" si="107"/>
        <v>143</v>
      </c>
      <c r="AB319" s="357">
        <f t="shared" si="119"/>
        <v>204.46560540593507</v>
      </c>
      <c r="AC319" s="610">
        <f t="shared" si="117"/>
        <v>61.465605405935065</v>
      </c>
      <c r="AD319" s="610">
        <f t="shared" si="103"/>
        <v>10371.428571428571</v>
      </c>
      <c r="AE319" s="301">
        <f t="shared" si="112"/>
        <v>1.251476950272131</v>
      </c>
      <c r="AF319" s="202">
        <f t="shared" si="111"/>
        <v>9.3172790466732769E-2</v>
      </c>
      <c r="AG319" s="4"/>
      <c r="AH319" s="202">
        <f t="shared" si="108"/>
        <v>1.1426940639269407</v>
      </c>
      <c r="AI319" s="179">
        <f>MAX($B$2:B319)</f>
        <v>18326</v>
      </c>
      <c r="AJ319" s="180">
        <f t="shared" si="104"/>
        <v>2.435641637062631E-2</v>
      </c>
      <c r="AK319" s="180"/>
      <c r="AL319" s="202">
        <f t="shared" si="113"/>
        <v>1.0210733352065187</v>
      </c>
      <c r="AM319" s="202">
        <f t="shared" si="114"/>
        <v>1.1426940639269407</v>
      </c>
      <c r="AP319" s="644">
        <f t="shared" si="126"/>
        <v>1.4355911926678069</v>
      </c>
      <c r="AT319" s="180">
        <f t="shared" si="110"/>
        <v>1.5043452892765017E-2</v>
      </c>
    </row>
    <row r="320" spans="1:46" x14ac:dyDescent="0.25">
      <c r="A320" s="107">
        <v>44211</v>
      </c>
      <c r="B320" s="126">
        <v>12332</v>
      </c>
      <c r="C320" s="126">
        <f t="shared" si="118"/>
        <v>1783047</v>
      </c>
      <c r="D320" s="126">
        <v>103</v>
      </c>
      <c r="E320" s="126">
        <f t="shared" si="124"/>
        <v>45196</v>
      </c>
      <c r="F320" s="126">
        <f t="shared" si="102"/>
        <v>12473</v>
      </c>
      <c r="G320" s="155">
        <v>1561963</v>
      </c>
      <c r="H320" s="126">
        <v>3578</v>
      </c>
      <c r="I320" s="126">
        <v>52120</v>
      </c>
      <c r="J320" s="4">
        <f t="shared" si="121"/>
        <v>5450975</v>
      </c>
      <c r="K320" s="611">
        <f t="shared" si="100"/>
        <v>2.5347621234886125E-2</v>
      </c>
      <c r="L320" s="7">
        <v>2906590</v>
      </c>
      <c r="M320" s="4">
        <f t="shared" si="125"/>
        <v>2906590.0253476212</v>
      </c>
      <c r="N320" s="202">
        <v>12408</v>
      </c>
      <c r="O320" s="4">
        <v>344202</v>
      </c>
      <c r="P320" s="4">
        <v>1264935</v>
      </c>
      <c r="Q320" s="103">
        <f t="shared" si="120"/>
        <v>161502</v>
      </c>
      <c r="R320" s="96">
        <f t="shared" si="101"/>
        <v>175888</v>
      </c>
      <c r="S320" s="39">
        <f t="shared" si="122"/>
        <v>-56</v>
      </c>
      <c r="T320" s="91">
        <f t="shared" si="127"/>
        <v>-244</v>
      </c>
      <c r="U320" s="91">
        <f>SUM(B307:B320)/POBLA!$B$25*100000</f>
        <v>338.14996822069452</v>
      </c>
      <c r="V320" s="91">
        <f>B320/POBLA!$B$25*100000</f>
        <v>27.174870534284796</v>
      </c>
      <c r="W320" s="625">
        <f t="shared" si="109"/>
        <v>1.5623396456933414</v>
      </c>
      <c r="X320" s="28">
        <f t="shared" si="123"/>
        <v>2.0342490675884655E-2</v>
      </c>
      <c r="Y320" s="202">
        <f t="shared" si="128"/>
        <v>0.25687680099018201</v>
      </c>
      <c r="Z320" s="297">
        <f t="shared" si="106"/>
        <v>11385</v>
      </c>
      <c r="AA320" s="179">
        <f t="shared" si="107"/>
        <v>136.14285714285714</v>
      </c>
      <c r="AB320" s="357">
        <f t="shared" si="119"/>
        <v>208.87118070951593</v>
      </c>
      <c r="AC320" s="610">
        <f t="shared" si="117"/>
        <v>72.728323566658787</v>
      </c>
      <c r="AD320" s="610">
        <f t="shared" si="103"/>
        <v>10960.928571428571</v>
      </c>
      <c r="AE320" s="202">
        <f t="shared" si="112"/>
        <v>1.0804929634751483</v>
      </c>
      <c r="AF320" s="202">
        <f t="shared" si="111"/>
        <v>7.1096685402495474E-2</v>
      </c>
      <c r="AG320" s="4"/>
      <c r="AH320" s="202">
        <f t="shared" si="108"/>
        <v>0.99895178197064993</v>
      </c>
      <c r="AI320" s="179">
        <f>MAX($B$2:B320)</f>
        <v>18326</v>
      </c>
      <c r="AJ320" s="180">
        <f t="shared" si="104"/>
        <v>2.2683995049033609E-2</v>
      </c>
      <c r="AK320" s="180"/>
      <c r="AL320" s="202">
        <f t="shared" si="113"/>
        <v>0.99333703498056636</v>
      </c>
      <c r="AM320" s="202">
        <f t="shared" si="114"/>
        <v>0.99895178197064993</v>
      </c>
      <c r="AP320" s="644">
        <f t="shared" si="126"/>
        <v>1.5623396456933414</v>
      </c>
      <c r="AT320" s="180">
        <f t="shared" si="110"/>
        <v>1.4511223642016383E-2</v>
      </c>
    </row>
    <row r="321" spans="1:46" x14ac:dyDescent="0.25">
      <c r="A321" s="107">
        <v>44212</v>
      </c>
      <c r="B321" s="126">
        <v>8932</v>
      </c>
      <c r="C321" s="126">
        <f t="shared" si="118"/>
        <v>1791979</v>
      </c>
      <c r="D321" s="126">
        <v>68</v>
      </c>
      <c r="E321" s="126">
        <f t="shared" si="124"/>
        <v>45264</v>
      </c>
      <c r="F321" s="126">
        <f t="shared" si="102"/>
        <v>11141</v>
      </c>
      <c r="G321" s="155">
        <v>1573104</v>
      </c>
      <c r="H321" s="126">
        <v>3578</v>
      </c>
      <c r="I321" s="126">
        <v>43513</v>
      </c>
      <c r="J321" s="4">
        <f t="shared" si="121"/>
        <v>5494488</v>
      </c>
      <c r="K321" s="611">
        <f t="shared" si="100"/>
        <v>2.5259224577966595E-2</v>
      </c>
      <c r="L321" s="7">
        <v>2934432</v>
      </c>
      <c r="M321" s="4">
        <f t="shared" si="125"/>
        <v>2934432.0252592247</v>
      </c>
      <c r="N321" s="202">
        <v>12474</v>
      </c>
      <c r="O321" s="4">
        <v>345365</v>
      </c>
      <c r="P321" s="4">
        <v>1271065</v>
      </c>
      <c r="Q321" s="103">
        <f t="shared" si="120"/>
        <v>163075</v>
      </c>
      <c r="R321" s="96">
        <f t="shared" si="101"/>
        <v>173611</v>
      </c>
      <c r="S321" s="39">
        <f t="shared" si="122"/>
        <v>0</v>
      </c>
      <c r="T321" s="91">
        <f t="shared" si="127"/>
        <v>-2277</v>
      </c>
      <c r="U321" s="91">
        <f>SUM(B308:B321)/POBLA!$B$25*100000</f>
        <v>346.28568197455269</v>
      </c>
      <c r="V321" s="91">
        <f>B321/POBLA!$B$25*100000</f>
        <v>19.68260976420952</v>
      </c>
      <c r="W321" s="625">
        <f t="shared" si="109"/>
        <v>1.6090206317513951</v>
      </c>
      <c r="X321" s="28">
        <f t="shared" si="123"/>
        <v>2.0609293189947642E-2</v>
      </c>
      <c r="Y321" s="202">
        <f t="shared" si="128"/>
        <v>0.24107356519739317</v>
      </c>
      <c r="Z321" s="297">
        <f t="shared" si="106"/>
        <v>11081.428571428571</v>
      </c>
      <c r="AA321" s="179">
        <f t="shared" si="107"/>
        <v>125.28571428571429</v>
      </c>
      <c r="AB321" s="357">
        <f t="shared" si="119"/>
        <v>214.2547469651353</v>
      </c>
      <c r="AC321" s="610">
        <f t="shared" si="117"/>
        <v>88.969032679421005</v>
      </c>
      <c r="AD321" s="610">
        <f t="shared" si="103"/>
        <v>11224.642857142857</v>
      </c>
      <c r="AE321" s="202">
        <f t="shared" si="112"/>
        <v>0.97480364436066591</v>
      </c>
      <c r="AF321" s="202">
        <f t="shared" si="111"/>
        <v>4.7793496366752786E-2</v>
      </c>
      <c r="AG321" s="4"/>
      <c r="AH321" s="202">
        <f t="shared" si="108"/>
        <v>0.84165067178502884</v>
      </c>
      <c r="AI321" s="179">
        <f>MAX($B$2:B321)</f>
        <v>18326</v>
      </c>
      <c r="AJ321" s="180">
        <f t="shared" si="104"/>
        <v>2.0219020172910662E-2</v>
      </c>
      <c r="AK321" s="180"/>
      <c r="AL321" s="202">
        <f t="shared" si="113"/>
        <v>0.99471782040589385</v>
      </c>
      <c r="AM321" s="202">
        <f t="shared" si="114"/>
        <v>0.84165067178502884</v>
      </c>
      <c r="AP321" s="644">
        <f t="shared" si="126"/>
        <v>1.6090206317513951</v>
      </c>
      <c r="AT321" s="180">
        <f t="shared" si="110"/>
        <v>1.4046717761493533E-2</v>
      </c>
    </row>
    <row r="322" spans="1:46" x14ac:dyDescent="0.25">
      <c r="A322" s="107">
        <v>44213</v>
      </c>
      <c r="B322" s="126">
        <v>7264</v>
      </c>
      <c r="C322" s="126">
        <f t="shared" si="118"/>
        <v>1799243</v>
      </c>
      <c r="D322" s="126">
        <v>112</v>
      </c>
      <c r="E322" s="126">
        <f t="shared" si="124"/>
        <v>45376</v>
      </c>
      <c r="F322" s="126">
        <f t="shared" si="102"/>
        <v>10361</v>
      </c>
      <c r="G322" s="155">
        <v>1583465</v>
      </c>
      <c r="H322" s="126">
        <v>3547</v>
      </c>
      <c r="I322" s="126">
        <v>39591</v>
      </c>
      <c r="J322" s="4">
        <f t="shared" si="121"/>
        <v>5534079</v>
      </c>
      <c r="K322" s="611">
        <f t="shared" ref="K322:K385" si="129">E322/C322</f>
        <v>2.5219495087656307E-2</v>
      </c>
      <c r="L322" s="7">
        <v>2961095</v>
      </c>
      <c r="M322" s="4">
        <f t="shared" si="125"/>
        <v>2961095.0252194949</v>
      </c>
      <c r="N322" s="202">
        <v>12530</v>
      </c>
      <c r="O322" s="4">
        <v>346241</v>
      </c>
      <c r="P322" s="4">
        <v>1275780</v>
      </c>
      <c r="Q322" s="103">
        <f t="shared" si="120"/>
        <v>164692</v>
      </c>
      <c r="R322" s="96">
        <f t="shared" ref="R322:R385" si="130">C322-E322-G322</f>
        <v>170402</v>
      </c>
      <c r="S322" s="39">
        <f t="shared" si="122"/>
        <v>-31</v>
      </c>
      <c r="T322" s="91">
        <f t="shared" si="127"/>
        <v>-3209</v>
      </c>
      <c r="U322" s="91">
        <f>SUM(B309:B322)/POBLA!$B$25*100000</f>
        <v>349.32665840475971</v>
      </c>
      <c r="V322" s="91">
        <f>B322/POBLA!$B$25*100000</f>
        <v>16.006994774654942</v>
      </c>
      <c r="W322" s="625">
        <f t="shared" si="109"/>
        <v>1.5942896221576337</v>
      </c>
      <c r="X322" s="28">
        <f t="shared" si="123"/>
        <v>2.0815483386345229E-2</v>
      </c>
      <c r="Y322" s="202">
        <f t="shared" si="128"/>
        <v>0.23847427978761282</v>
      </c>
      <c r="Z322" s="297">
        <f t="shared" si="106"/>
        <v>11003.714285714286</v>
      </c>
      <c r="AA322" s="179">
        <f t="shared" si="107"/>
        <v>130.14285714285714</v>
      </c>
      <c r="AB322" s="357">
        <f t="shared" si="119"/>
        <v>217.24437471887308</v>
      </c>
      <c r="AC322" s="610">
        <f t="shared" si="117"/>
        <v>87.101517576015937</v>
      </c>
      <c r="AD322" s="610">
        <f t="shared" si="103"/>
        <v>11323.214285714286</v>
      </c>
      <c r="AE322" s="202">
        <f t="shared" si="112"/>
        <v>0.94511589099252746</v>
      </c>
      <c r="AF322" s="202">
        <f t="shared" si="111"/>
        <v>2.6505704750545256E-2</v>
      </c>
      <c r="AG322" s="4"/>
      <c r="AH322" s="202">
        <f t="shared" si="108"/>
        <v>0.89930898321816377</v>
      </c>
      <c r="AI322" s="179">
        <f>MAX($B$2:B322)</f>
        <v>18326</v>
      </c>
      <c r="AJ322" s="180">
        <f t="shared" si="104"/>
        <v>1.9430935926968689E-2</v>
      </c>
      <c r="AK322" s="180"/>
      <c r="AL322" s="202">
        <f t="shared" si="113"/>
        <v>0.98200442967884827</v>
      </c>
      <c r="AM322" s="202">
        <f t="shared" si="114"/>
        <v>0.89930898321816377</v>
      </c>
      <c r="AP322" s="644">
        <f t="shared" si="126"/>
        <v>1.5942896221576337</v>
      </c>
      <c r="AT322" s="180">
        <f t="shared" si="110"/>
        <v>1.3935916436765733E-2</v>
      </c>
    </row>
    <row r="323" spans="1:46" x14ac:dyDescent="0.25">
      <c r="A323" s="107">
        <v>44214</v>
      </c>
      <c r="B323" s="126">
        <v>8185</v>
      </c>
      <c r="C323" s="126">
        <f t="shared" si="118"/>
        <v>1807428</v>
      </c>
      <c r="D323" s="126">
        <v>424</v>
      </c>
      <c r="E323" s="126">
        <f t="shared" si="124"/>
        <v>45800</v>
      </c>
      <c r="F323" s="126">
        <f t="shared" ref="F323:F386" si="131">G323-G322</f>
        <v>11303</v>
      </c>
      <c r="G323" s="155">
        <v>1594768</v>
      </c>
      <c r="H323" s="126">
        <v>3564</v>
      </c>
      <c r="I323" s="126">
        <v>41451</v>
      </c>
      <c r="J323" s="4">
        <f t="shared" si="121"/>
        <v>5575530</v>
      </c>
      <c r="K323" s="611">
        <f t="shared" si="129"/>
        <v>2.533987522601177E-2</v>
      </c>
      <c r="L323" s="7">
        <v>2987077</v>
      </c>
      <c r="M323" s="4">
        <f t="shared" si="125"/>
        <v>2987077.0253398754</v>
      </c>
      <c r="N323" s="202">
        <v>12585</v>
      </c>
      <c r="O323" s="4">
        <v>347936</v>
      </c>
      <c r="P323" s="4">
        <v>1285430</v>
      </c>
      <c r="Q323" s="103">
        <f t="shared" si="120"/>
        <v>161477</v>
      </c>
      <c r="R323" s="96">
        <f t="shared" si="130"/>
        <v>166860</v>
      </c>
      <c r="S323" s="39">
        <f t="shared" si="122"/>
        <v>17</v>
      </c>
      <c r="T323" s="91">
        <f t="shared" si="127"/>
        <v>-3542</v>
      </c>
      <c r="U323" s="91">
        <f>SUM(B310:B323)/POBLA!$B$25*100000</f>
        <v>349.24512497873246</v>
      </c>
      <c r="V323" s="91">
        <f>B323/POBLA!$B$25*100000</f>
        <v>18.036516000901806</v>
      </c>
      <c r="W323" s="625">
        <f t="shared" si="109"/>
        <v>1.5568259955600086</v>
      </c>
      <c r="X323" s="28">
        <f t="shared" si="123"/>
        <v>2.1359223300970873E-2</v>
      </c>
      <c r="Y323" s="202">
        <f t="shared" si="128"/>
        <v>0.23038517479063969</v>
      </c>
      <c r="Z323" s="297">
        <f t="shared" si="106"/>
        <v>10929.571428571429</v>
      </c>
      <c r="AA323" s="179">
        <f t="shared" si="107"/>
        <v>167.85714285714286</v>
      </c>
      <c r="AB323" s="357">
        <f t="shared" si="119"/>
        <v>220.71763054707009</v>
      </c>
      <c r="AC323" s="610">
        <f t="shared" si="117"/>
        <v>52.860487689927226</v>
      </c>
      <c r="AD323" s="610">
        <f t="shared" ref="AD323:AD386" si="132">AVERAGE(B310:B323)</f>
        <v>11320.571428571429</v>
      </c>
      <c r="AE323" s="202">
        <f t="shared" si="112"/>
        <v>0.93322843097790953</v>
      </c>
      <c r="AF323" s="202">
        <f t="shared" si="111"/>
        <v>-4.3023970497848563E-3</v>
      </c>
      <c r="AG323" s="4"/>
      <c r="AH323" s="202">
        <f t="shared" si="108"/>
        <v>1.1508325171400589</v>
      </c>
      <c r="AI323" s="179">
        <f>MAX($B$2:B323)</f>
        <v>18326</v>
      </c>
      <c r="AJ323" s="180">
        <f t="shared" si="104"/>
        <v>2.3470427261650322E-2</v>
      </c>
      <c r="AK323" s="180"/>
      <c r="AL323" s="202">
        <f t="shared" si="113"/>
        <v>0.98835274542429286</v>
      </c>
      <c r="AM323" s="202">
        <f t="shared" si="114"/>
        <v>1.1508325171400589</v>
      </c>
      <c r="AP323" s="644">
        <f t="shared" si="126"/>
        <v>1.5568259955600086</v>
      </c>
      <c r="AT323" s="180">
        <f t="shared" si="110"/>
        <v>1.50448273693013E-2</v>
      </c>
    </row>
    <row r="324" spans="1:46" x14ac:dyDescent="0.25">
      <c r="A324" s="107">
        <v>44215</v>
      </c>
      <c r="B324" s="126">
        <v>12141</v>
      </c>
      <c r="C324" s="126">
        <f t="shared" si="118"/>
        <v>1819569</v>
      </c>
      <c r="D324" s="126">
        <v>235</v>
      </c>
      <c r="E324" s="126">
        <f t="shared" si="124"/>
        <v>46035</v>
      </c>
      <c r="F324" s="126">
        <f t="shared" si="131"/>
        <v>9605</v>
      </c>
      <c r="G324" s="155">
        <v>1604373</v>
      </c>
      <c r="H324" s="126">
        <v>3562</v>
      </c>
      <c r="I324" s="126">
        <v>49566</v>
      </c>
      <c r="J324" s="4">
        <f t="shared" si="121"/>
        <v>5625096</v>
      </c>
      <c r="K324" s="611">
        <f t="shared" si="129"/>
        <v>2.5299947405127258E-2</v>
      </c>
      <c r="L324" s="7">
        <v>3016503</v>
      </c>
      <c r="M324" s="4">
        <f t="shared" si="125"/>
        <v>3016503.0252999472</v>
      </c>
      <c r="N324" s="202">
        <v>12688</v>
      </c>
      <c r="O324" s="4">
        <v>349683</v>
      </c>
      <c r="P324" s="4">
        <v>1295213</v>
      </c>
      <c r="Q324" s="103">
        <f t="shared" si="120"/>
        <v>161985</v>
      </c>
      <c r="R324" s="96">
        <f t="shared" si="130"/>
        <v>169161</v>
      </c>
      <c r="S324" s="39">
        <f t="shared" si="122"/>
        <v>-2</v>
      </c>
      <c r="T324" s="91">
        <f t="shared" si="127"/>
        <v>2301</v>
      </c>
      <c r="U324" s="91">
        <f>SUM(B311:B324)/POBLA!$B$25*100000</f>
        <v>345.61137850524597</v>
      </c>
      <c r="V324" s="91">
        <f>B324/POBLA!$B$25*100000</f>
        <v>26.753981767495272</v>
      </c>
      <c r="W324" s="625">
        <f t="shared" si="109"/>
        <v>1.4596327628407366</v>
      </c>
      <c r="X324" s="28">
        <f t="shared" si="123"/>
        <v>2.1056862988513902E-2</v>
      </c>
      <c r="Y324" s="202">
        <f t="shared" si="128"/>
        <v>0.22851308536161016</v>
      </c>
      <c r="Z324" s="297">
        <f t="shared" si="106"/>
        <v>10695</v>
      </c>
      <c r="AA324" s="179">
        <f t="shared" si="107"/>
        <v>174</v>
      </c>
      <c r="AB324" s="357">
        <f t="shared" si="119"/>
        <v>227.69001109191336</v>
      </c>
      <c r="AC324" s="610">
        <f t="shared" si="117"/>
        <v>53.690011091913362</v>
      </c>
      <c r="AD324" s="610">
        <f t="shared" si="132"/>
        <v>11202.785714285714</v>
      </c>
      <c r="AE324" s="202">
        <f t="shared" si="112"/>
        <v>0.91327738063288355</v>
      </c>
      <c r="AF324" s="202">
        <f t="shared" si="111"/>
        <v>-1.665445920965436E-2</v>
      </c>
      <c r="AG324" s="4"/>
      <c r="AH324" s="202">
        <f t="shared" si="108"/>
        <v>1.1468926553672316</v>
      </c>
      <c r="AI324" s="179">
        <f>MAX($B$2:B324)</f>
        <v>18326</v>
      </c>
      <c r="AJ324" s="180">
        <f t="shared" si="104"/>
        <v>2.2624686542212318E-2</v>
      </c>
      <c r="AK324" s="180"/>
      <c r="AL324" s="202">
        <f t="shared" si="113"/>
        <v>0.98424979276043101</v>
      </c>
      <c r="AM324" s="202">
        <f t="shared" si="114"/>
        <v>1.1468926553672316</v>
      </c>
      <c r="AP324" s="644">
        <f t="shared" si="126"/>
        <v>1.4596327628407366</v>
      </c>
      <c r="AT324" s="180">
        <f t="shared" si="110"/>
        <v>1.5275761452329275E-2</v>
      </c>
    </row>
    <row r="325" spans="1:46" x14ac:dyDescent="0.25">
      <c r="A325" s="182">
        <v>44216</v>
      </c>
      <c r="B325" s="183">
        <v>12112</v>
      </c>
      <c r="C325" s="126">
        <f t="shared" si="118"/>
        <v>1831681</v>
      </c>
      <c r="D325" s="155">
        <v>149</v>
      </c>
      <c r="E325" s="126">
        <f t="shared" si="124"/>
        <v>46184</v>
      </c>
      <c r="F325" s="126">
        <f t="shared" si="131"/>
        <v>9400</v>
      </c>
      <c r="G325" s="155">
        <v>1613773</v>
      </c>
      <c r="H325" s="126">
        <v>3605</v>
      </c>
      <c r="I325" s="126">
        <v>54998</v>
      </c>
      <c r="J325" s="4">
        <f t="shared" si="121"/>
        <v>5680094</v>
      </c>
      <c r="K325" s="611">
        <f t="shared" si="129"/>
        <v>2.5213997415488833E-2</v>
      </c>
      <c r="L325" s="7">
        <v>3071885</v>
      </c>
      <c r="M325" s="4">
        <f t="shared" si="125"/>
        <v>3071885.0252139973</v>
      </c>
      <c r="N325" s="202"/>
      <c r="O325" s="4"/>
      <c r="P325" s="4"/>
      <c r="Q325" s="4"/>
      <c r="R325" s="179">
        <f t="shared" si="130"/>
        <v>171724</v>
      </c>
      <c r="S325" s="39">
        <f t="shared" si="122"/>
        <v>43</v>
      </c>
      <c r="T325" s="91">
        <f t="shared" si="127"/>
        <v>2563</v>
      </c>
      <c r="U325" s="91">
        <f>SUM(B312:B325)/POBLA!$B$25*100000</f>
        <v>342.68278598659003</v>
      </c>
      <c r="V325" s="91">
        <f>B325/POBLA!$B$25*100000</f>
        <v>26.690077190338748</v>
      </c>
      <c r="W325" s="625">
        <f t="shared" si="109"/>
        <v>1.3846989475183873</v>
      </c>
      <c r="X325" s="28">
        <f t="shared" si="123"/>
        <v>2.0992988749388555E-2</v>
      </c>
      <c r="Y325" s="202">
        <f t="shared" si="128"/>
        <v>0.22367216117216118</v>
      </c>
      <c r="Z325" s="297">
        <f t="shared" si="106"/>
        <v>10607.428571428571</v>
      </c>
      <c r="AA325" s="179">
        <f t="shared" si="107"/>
        <v>176.14285714285714</v>
      </c>
      <c r="AB325" s="357">
        <f t="shared" si="119"/>
        <v>233.12749952123025</v>
      </c>
      <c r="AC325" s="610">
        <f t="shared" si="117"/>
        <v>56.98464237837311</v>
      </c>
      <c r="AD325" s="610">
        <f t="shared" si="132"/>
        <v>11107.857142857143</v>
      </c>
      <c r="AE325" s="202">
        <f t="shared" si="112"/>
        <v>0.91378079696768311</v>
      </c>
      <c r="AF325" s="202">
        <f t="shared" si="111"/>
        <v>-2.4600266962028883E-2</v>
      </c>
      <c r="AG325" s="4"/>
      <c r="AH325" s="202">
        <f t="shared" si="108"/>
        <v>1.2268656716417909</v>
      </c>
      <c r="AI325" s="179">
        <f>MAX($B$2:B325)</f>
        <v>18326</v>
      </c>
      <c r="AJ325" s="180">
        <f t="shared" si="104"/>
        <v>2.2401889534883718E-2</v>
      </c>
      <c r="AK325" s="180"/>
      <c r="AL325" s="202">
        <f t="shared" si="113"/>
        <v>0.99147414741474149</v>
      </c>
      <c r="AM325" s="202">
        <f t="shared" si="114"/>
        <v>1.2268656716417909</v>
      </c>
      <c r="AP325" s="644">
        <f t="shared" si="126"/>
        <v>1.3846989475183873</v>
      </c>
      <c r="AT325" s="180">
        <f t="shared" si="110"/>
        <v>1.4816741230675152E-2</v>
      </c>
    </row>
    <row r="326" spans="1:46" x14ac:dyDescent="0.25">
      <c r="A326" s="107">
        <v>44217</v>
      </c>
      <c r="B326" s="148">
        <v>11396</v>
      </c>
      <c r="C326" s="126">
        <f t="shared" si="118"/>
        <v>1843077</v>
      </c>
      <c r="D326" s="126">
        <v>142</v>
      </c>
      <c r="E326" s="126">
        <f t="shared" si="124"/>
        <v>46326</v>
      </c>
      <c r="F326" s="126">
        <f t="shared" si="131"/>
        <v>11982</v>
      </c>
      <c r="G326" s="155">
        <v>1625755</v>
      </c>
      <c r="H326" s="126">
        <v>3616</v>
      </c>
      <c r="I326" s="126">
        <v>53963</v>
      </c>
      <c r="J326" s="4">
        <f t="shared" si="121"/>
        <v>5734057</v>
      </c>
      <c r="K326" s="611">
        <f t="shared" si="129"/>
        <v>2.5135140854126006E-2</v>
      </c>
      <c r="L326" s="7">
        <v>3085519</v>
      </c>
      <c r="M326" s="4">
        <f t="shared" si="125"/>
        <v>3085519.0251351409</v>
      </c>
      <c r="N326" s="202"/>
      <c r="O326" s="4"/>
      <c r="P326" s="4"/>
      <c r="Q326" s="4"/>
      <c r="R326" s="179">
        <f t="shared" si="130"/>
        <v>170996</v>
      </c>
      <c r="S326" s="39">
        <f t="shared" si="122"/>
        <v>11</v>
      </c>
      <c r="T326" s="91">
        <f t="shared" si="127"/>
        <v>-728</v>
      </c>
      <c r="U326" s="91">
        <f>SUM(B313:B326)/POBLA!$B$25*100000</f>
        <v>337.30819068711543</v>
      </c>
      <c r="V326" s="91">
        <f>B326/POBLA!$B$25*100000</f>
        <v>25.112295216405247</v>
      </c>
      <c r="W326" s="625">
        <f t="shared" si="109"/>
        <v>1.2936379155891351</v>
      </c>
      <c r="X326" s="28">
        <f t="shared" si="123"/>
        <v>2.1146693489906197E-2</v>
      </c>
      <c r="Y326" s="202">
        <f t="shared" si="128"/>
        <v>0.21587580026372158</v>
      </c>
      <c r="Z326" s="297">
        <f t="shared" si="106"/>
        <v>10337.428571428571</v>
      </c>
      <c r="AA326" s="179">
        <f t="shared" si="107"/>
        <v>176.14285714285714</v>
      </c>
      <c r="AB326" s="357">
        <f t="shared" si="119"/>
        <v>240.36577148246809</v>
      </c>
      <c r="AC326" s="610">
        <f t="shared" si="117"/>
        <v>64.222914339610952</v>
      </c>
      <c r="AD326" s="610">
        <f t="shared" si="132"/>
        <v>10933.642857142857</v>
      </c>
      <c r="AE326" s="202">
        <f t="shared" si="112"/>
        <v>0.89657906800976339</v>
      </c>
      <c r="AF326" s="202">
        <f t="shared" si="111"/>
        <v>-2.9159948220652709E-2</v>
      </c>
      <c r="AG326" s="4"/>
      <c r="AH326" s="202">
        <f t="shared" si="108"/>
        <v>1.2317682317682317</v>
      </c>
      <c r="AI326" s="179">
        <f>MAX($B$2:B326)</f>
        <v>18326</v>
      </c>
      <c r="AJ326" s="180">
        <f t="shared" si="104"/>
        <v>2.1797160888857459E-2</v>
      </c>
      <c r="AK326" s="180"/>
      <c r="AL326" s="202">
        <f t="shared" si="113"/>
        <v>0.99504678040726469</v>
      </c>
      <c r="AM326" s="202">
        <f t="shared" si="114"/>
        <v>1.2317682317682317</v>
      </c>
      <c r="AP326" s="644">
        <f t="shared" si="126"/>
        <v>1.2936379155891351</v>
      </c>
      <c r="AT326" s="180">
        <f t="shared" si="110"/>
        <v>1.4256527147513187E-2</v>
      </c>
    </row>
    <row r="327" spans="1:46" x14ac:dyDescent="0.25">
      <c r="A327" s="107">
        <v>44218</v>
      </c>
      <c r="B327" s="126">
        <v>10753</v>
      </c>
      <c r="C327" s="126">
        <f t="shared" si="118"/>
        <v>1853830</v>
      </c>
      <c r="D327" s="126">
        <v>220</v>
      </c>
      <c r="E327" s="126">
        <f t="shared" si="124"/>
        <v>46546</v>
      </c>
      <c r="F327" s="126">
        <f t="shared" si="131"/>
        <v>11071</v>
      </c>
      <c r="G327" s="155">
        <v>1636826</v>
      </c>
      <c r="H327" s="126">
        <v>3631</v>
      </c>
      <c r="I327" s="126">
        <v>55439</v>
      </c>
      <c r="J327" s="4">
        <f t="shared" si="121"/>
        <v>5789496</v>
      </c>
      <c r="K327" s="611">
        <f t="shared" si="129"/>
        <v>2.5108019613448915E-2</v>
      </c>
      <c r="L327" s="7">
        <v>3122500</v>
      </c>
      <c r="M327" s="4">
        <f t="shared" si="125"/>
        <v>3122500.0251080198</v>
      </c>
      <c r="N327" s="202"/>
      <c r="O327" s="4"/>
      <c r="P327" s="4"/>
      <c r="Q327" s="4"/>
      <c r="R327" s="179">
        <f t="shared" si="130"/>
        <v>170458</v>
      </c>
      <c r="S327" s="39">
        <f t="shared" si="122"/>
        <v>15</v>
      </c>
      <c r="T327" s="91">
        <f t="shared" si="127"/>
        <v>-538</v>
      </c>
      <c r="U327" s="91">
        <f>SUM(B314:B327)/POBLA!$B$25*100000</f>
        <v>331.59424004687861</v>
      </c>
      <c r="V327" s="91">
        <f>B327/POBLA!$B$25*100000</f>
        <v>23.695376488417484</v>
      </c>
      <c r="W327" s="625">
        <f t="shared" si="109"/>
        <v>1.1683255951179365</v>
      </c>
      <c r="X327" s="28">
        <f t="shared" si="123"/>
        <v>2.130143495758486E-2</v>
      </c>
      <c r="Y327" s="202">
        <f t="shared" si="128"/>
        <v>0.20909485674448558</v>
      </c>
      <c r="Z327" s="297">
        <f t="shared" si="106"/>
        <v>10111.857142857143</v>
      </c>
      <c r="AA327" s="179">
        <f t="shared" si="107"/>
        <v>192.85714285714286</v>
      </c>
      <c r="AB327" s="357">
        <f t="shared" si="119"/>
        <v>273.6851634726284</v>
      </c>
      <c r="AC327" s="610">
        <f t="shared" si="117"/>
        <v>80.828020615485542</v>
      </c>
      <c r="AD327" s="610">
        <f t="shared" si="132"/>
        <v>10748.428571428571</v>
      </c>
      <c r="AE327" s="202">
        <f t="shared" si="112"/>
        <v>0.88817366208670556</v>
      </c>
      <c r="AF327" s="202">
        <f t="shared" si="111"/>
        <v>-3.0871918493586836E-2</v>
      </c>
      <c r="AG327" s="4"/>
      <c r="AH327" s="202">
        <f t="shared" si="108"/>
        <v>1.4165792235047221</v>
      </c>
      <c r="AI327" s="179">
        <f>MAX($B$2:B327)</f>
        <v>18326</v>
      </c>
      <c r="AJ327" s="180">
        <f t="shared" si="104"/>
        <v>2.3510562337820659E-2</v>
      </c>
      <c r="AK327" s="180"/>
      <c r="AL327" s="202">
        <f t="shared" si="113"/>
        <v>1.0148127445500279</v>
      </c>
      <c r="AM327" s="202">
        <f t="shared" si="114"/>
        <v>1.4165792235047221</v>
      </c>
      <c r="AP327" s="644">
        <f t="shared" si="126"/>
        <v>1.1683255951179365</v>
      </c>
      <c r="AT327" s="180">
        <f t="shared" si="110"/>
        <v>1.4701774352076974E-2</v>
      </c>
    </row>
    <row r="328" spans="1:46" x14ac:dyDescent="0.25">
      <c r="A328" s="107">
        <v>44219</v>
      </c>
      <c r="B328" s="126">
        <v>8362</v>
      </c>
      <c r="C328" s="126">
        <f t="shared" si="118"/>
        <v>1862192</v>
      </c>
      <c r="D328" s="126">
        <v>162</v>
      </c>
      <c r="E328" s="126">
        <f t="shared" si="124"/>
        <v>46708</v>
      </c>
      <c r="F328" s="126">
        <f t="shared" si="131"/>
        <v>9842</v>
      </c>
      <c r="G328" s="155">
        <v>1646668</v>
      </c>
      <c r="H328" s="126">
        <v>3618</v>
      </c>
      <c r="I328" s="126">
        <v>46643</v>
      </c>
      <c r="J328" s="4">
        <f t="shared" si="121"/>
        <v>5836139</v>
      </c>
      <c r="K328" s="611">
        <f t="shared" si="129"/>
        <v>2.5082268638249975E-2</v>
      </c>
      <c r="L328" s="7">
        <v>3152824</v>
      </c>
      <c r="M328" s="4">
        <f t="shared" si="125"/>
        <v>3152824.0250822688</v>
      </c>
      <c r="N328" s="202"/>
      <c r="O328" s="4"/>
      <c r="P328" s="4"/>
      <c r="Q328" s="4"/>
      <c r="R328" s="179">
        <f t="shared" si="130"/>
        <v>168816</v>
      </c>
      <c r="S328" s="39">
        <f t="shared" si="122"/>
        <v>-13</v>
      </c>
      <c r="T328" s="91">
        <f t="shared" si="127"/>
        <v>-1642</v>
      </c>
      <c r="U328" s="91">
        <f>SUM(B315:B328)/POBLA!$B$25*100000</f>
        <v>325.65552158353955</v>
      </c>
      <c r="V328" s="91">
        <f>B328/POBLA!$B$25*100000</f>
        <v>18.426554282167487</v>
      </c>
      <c r="W328" s="625">
        <f t="shared" si="109"/>
        <v>1.0855063095885178</v>
      </c>
      <c r="X328" s="28">
        <f t="shared" si="123"/>
        <v>2.1431617856127381E-2</v>
      </c>
      <c r="Y328" s="202">
        <f t="shared" si="128"/>
        <v>0.2055108868406649</v>
      </c>
      <c r="Z328" s="297">
        <f t="shared" si="106"/>
        <v>10030.428571428571</v>
      </c>
      <c r="AA328" s="179">
        <f t="shared" si="107"/>
        <v>206.28571428571428</v>
      </c>
      <c r="AB328" s="357">
        <f t="shared" si="119"/>
        <v>294.32012722751688</v>
      </c>
      <c r="AC328" s="610">
        <f t="shared" si="117"/>
        <v>88.0344129418026</v>
      </c>
      <c r="AD328" s="610">
        <f t="shared" si="132"/>
        <v>10555.928571428571</v>
      </c>
      <c r="AE328" s="202">
        <f t="shared" si="112"/>
        <v>0.90515663271883462</v>
      </c>
      <c r="AF328" s="202">
        <f t="shared" si="111"/>
        <v>-2.7619217676299268E-2</v>
      </c>
      <c r="AG328" s="4"/>
      <c r="AH328" s="202">
        <f t="shared" si="108"/>
        <v>1.6465222348916759</v>
      </c>
      <c r="AI328" s="179">
        <f>MAX($B$2:B328)</f>
        <v>18326</v>
      </c>
      <c r="AJ328" s="180">
        <f t="shared" ref="AJ328:AJ391" si="133">AA328/Z309</f>
        <v>2.4714601126191657E-2</v>
      </c>
      <c r="AK328" s="180"/>
      <c r="AL328" s="202">
        <f t="shared" si="113"/>
        <v>1.0111794298490777</v>
      </c>
      <c r="AM328" s="202">
        <f t="shared" si="114"/>
        <v>1.6465222348916759</v>
      </c>
      <c r="AP328" s="644">
        <f t="shared" si="126"/>
        <v>1.0855063095885178</v>
      </c>
      <c r="AT328" s="180">
        <f t="shared" si="110"/>
        <v>1.4963237318940354E-2</v>
      </c>
    </row>
    <row r="329" spans="1:46" x14ac:dyDescent="0.25">
      <c r="A329" s="107">
        <v>44220</v>
      </c>
      <c r="B329" s="126">
        <v>5031</v>
      </c>
      <c r="C329" s="126">
        <f t="shared" si="118"/>
        <v>1867223</v>
      </c>
      <c r="D329" s="126">
        <v>90</v>
      </c>
      <c r="E329" s="126">
        <f t="shared" si="124"/>
        <v>46798</v>
      </c>
      <c r="F329" s="126">
        <f t="shared" si="131"/>
        <v>9481</v>
      </c>
      <c r="G329" s="155">
        <v>1656149</v>
      </c>
      <c r="H329" s="126">
        <v>3619</v>
      </c>
      <c r="I329" s="126">
        <v>29659</v>
      </c>
      <c r="J329" s="4">
        <f t="shared" si="121"/>
        <v>5865798</v>
      </c>
      <c r="K329" s="611">
        <f t="shared" si="129"/>
        <v>2.5062887507276848E-2</v>
      </c>
      <c r="L329" s="7">
        <v>3173796</v>
      </c>
      <c r="M329" s="4">
        <f t="shared" si="125"/>
        <v>3173796.0250628875</v>
      </c>
      <c r="N329" s="202"/>
      <c r="O329" s="4"/>
      <c r="P329" s="4"/>
      <c r="Q329" s="4"/>
      <c r="R329" s="179">
        <f t="shared" si="130"/>
        <v>164276</v>
      </c>
      <c r="S329" s="39">
        <f t="shared" si="122"/>
        <v>1</v>
      </c>
      <c r="T329" s="91">
        <f t="shared" si="127"/>
        <v>-4540</v>
      </c>
      <c r="U329" s="91">
        <f>SUM(B316:B329)/POBLA!$B$25*100000</f>
        <v>319.53610741927514</v>
      </c>
      <c r="V329" s="91">
        <f>B329/POBLA!$B$25*100000</f>
        <v>11.086342333602563</v>
      </c>
      <c r="W329" s="625">
        <f t="shared" si="109"/>
        <v>1.0438093866973799</v>
      </c>
      <c r="X329" s="28">
        <f t="shared" si="123"/>
        <v>2.2029998295551387E-2</v>
      </c>
      <c r="Y329" s="202">
        <f t="shared" si="128"/>
        <v>0.20493248803957567</v>
      </c>
      <c r="Z329" s="297">
        <f t="shared" ref="Z329:Z392" si="134">AVERAGE(B323:B329)</f>
        <v>9711.4285714285706</v>
      </c>
      <c r="AA329" s="179">
        <f t="shared" ref="AA329:AA392" si="135">AVERAGE(D323:D329)</f>
        <v>203.14285714285714</v>
      </c>
      <c r="AB329" s="357">
        <f t="shared" si="119"/>
        <v>300.59701577343952</v>
      </c>
      <c r="AC329" s="610">
        <f t="shared" si="117"/>
        <v>97.454158630582384</v>
      </c>
      <c r="AD329" s="610">
        <f t="shared" si="132"/>
        <v>10357.571428571429</v>
      </c>
      <c r="AE329" s="202">
        <f t="shared" si="112"/>
        <v>0.8825591358761975</v>
      </c>
      <c r="AF329" s="202">
        <f t="shared" si="111"/>
        <v>-3.5950282273682244E-2</v>
      </c>
      <c r="AG329" s="4"/>
      <c r="AH329" s="202">
        <f t="shared" si="108"/>
        <v>1.5609220636663008</v>
      </c>
      <c r="AI329" s="179">
        <f>MAX($B$2:B329)</f>
        <v>18326</v>
      </c>
      <c r="AJ329" s="180">
        <f t="shared" si="133"/>
        <v>2.3478131655852198E-2</v>
      </c>
      <c r="AK329" s="180"/>
      <c r="AL329" s="202">
        <f t="shared" si="113"/>
        <v>1.0202988440936003</v>
      </c>
      <c r="AM329" s="202">
        <f t="shared" si="114"/>
        <v>1.5609220636663008</v>
      </c>
      <c r="AP329" s="644">
        <f t="shared" si="126"/>
        <v>1.0438093866973799</v>
      </c>
      <c r="AT329" s="180">
        <f t="shared" si="110"/>
        <v>1.5057966508239684E-2</v>
      </c>
    </row>
    <row r="330" spans="1:46" x14ac:dyDescent="0.25">
      <c r="A330" s="107">
        <v>44221</v>
      </c>
      <c r="B330" s="126">
        <v>7578</v>
      </c>
      <c r="C330" s="126">
        <f t="shared" si="118"/>
        <v>1874801</v>
      </c>
      <c r="D330" s="126">
        <v>208</v>
      </c>
      <c r="E330" s="126">
        <f t="shared" si="124"/>
        <v>47006</v>
      </c>
      <c r="F330" s="126">
        <f t="shared" si="131"/>
        <v>10378</v>
      </c>
      <c r="G330" s="155">
        <v>1666527</v>
      </c>
      <c r="H330" s="126">
        <v>3598</v>
      </c>
      <c r="I330" s="126">
        <v>36906</v>
      </c>
      <c r="J330" s="4">
        <f t="shared" si="121"/>
        <v>5902704</v>
      </c>
      <c r="K330" s="611">
        <f t="shared" si="129"/>
        <v>2.5072527697606307E-2</v>
      </c>
      <c r="L330" s="7">
        <v>3197613</v>
      </c>
      <c r="M330" s="7">
        <f>L330+K330</f>
        <v>3197613.0250725276</v>
      </c>
      <c r="N330" s="202"/>
      <c r="O330" s="4"/>
      <c r="P330" s="4"/>
      <c r="Q330" s="4"/>
      <c r="R330" s="179">
        <f t="shared" si="130"/>
        <v>161268</v>
      </c>
      <c r="S330" s="39">
        <f t="shared" si="122"/>
        <v>-21</v>
      </c>
      <c r="T330" s="91">
        <f t="shared" si="127"/>
        <v>-3008</v>
      </c>
      <c r="U330" s="91">
        <f>SUM(B317:B330)/POBLA!$B$25*100000</f>
        <v>317.05484694071492</v>
      </c>
      <c r="V330" s="91">
        <f>B330/POBLA!$B$25*100000</f>
        <v>16.698927092832481</v>
      </c>
      <c r="W330" s="625">
        <f t="shared" si="109"/>
        <v>1.0247279357301577</v>
      </c>
      <c r="X330" s="28">
        <f t="shared" si="123"/>
        <v>2.2310687799191407E-2</v>
      </c>
      <c r="Y330" s="202">
        <f t="shared" si="128"/>
        <v>0.20592406487068043</v>
      </c>
      <c r="Z330" s="297">
        <f t="shared" si="134"/>
        <v>9624.7142857142862</v>
      </c>
      <c r="AA330" s="179">
        <f t="shared" si="135"/>
        <v>172.28571428571428</v>
      </c>
      <c r="AB330" s="357">
        <f t="shared" si="119"/>
        <v>301.93687349104903</v>
      </c>
      <c r="AC330" s="610">
        <f t="shared" si="117"/>
        <v>129.65115920533475</v>
      </c>
      <c r="AD330" s="610">
        <f t="shared" si="132"/>
        <v>10277.142857142857</v>
      </c>
      <c r="AE330" s="202">
        <f t="shared" si="112"/>
        <v>0.88061223156051083</v>
      </c>
      <c r="AF330" s="202">
        <f t="shared" si="111"/>
        <v>-3.3513124775260694E-2</v>
      </c>
      <c r="AG330" s="4"/>
      <c r="AH330" s="202">
        <f t="shared" ref="AH330:AH393" si="136">AA330/AA323</f>
        <v>1.0263829787234042</v>
      </c>
      <c r="AI330" s="179">
        <f>MAX($B$2:B330)</f>
        <v>18326</v>
      </c>
      <c r="AJ330" s="180">
        <f t="shared" si="133"/>
        <v>1.9375672766415501E-2</v>
      </c>
      <c r="AK330" s="180"/>
      <c r="AL330" s="202">
        <f t="shared" si="113"/>
        <v>1.0095398428731761</v>
      </c>
      <c r="AM330" s="202">
        <f t="shared" si="114"/>
        <v>1.0263829787234042</v>
      </c>
      <c r="AP330" s="644">
        <f t="shared" si="126"/>
        <v>1.0247279357301577</v>
      </c>
      <c r="AT330" s="180">
        <f t="shared" si="110"/>
        <v>1.5296728199801709E-2</v>
      </c>
    </row>
    <row r="331" spans="1:46" x14ac:dyDescent="0.25">
      <c r="A331" s="107">
        <v>44222</v>
      </c>
      <c r="B331" s="126">
        <v>10409</v>
      </c>
      <c r="C331" s="126">
        <f t="shared" si="118"/>
        <v>1885210</v>
      </c>
      <c r="D331" s="126">
        <v>219</v>
      </c>
      <c r="E331" s="126">
        <f t="shared" si="124"/>
        <v>47225</v>
      </c>
      <c r="F331" s="126">
        <f t="shared" si="131"/>
        <v>8028</v>
      </c>
      <c r="G331" s="155">
        <v>1674555</v>
      </c>
      <c r="H331" s="126">
        <v>3614</v>
      </c>
      <c r="I331" s="126">
        <v>55123</v>
      </c>
      <c r="J331" s="4">
        <f t="shared" si="121"/>
        <v>5957827</v>
      </c>
      <c r="K331" s="611">
        <f t="shared" si="129"/>
        <v>2.505025965277078E-2</v>
      </c>
      <c r="L331" s="7">
        <v>3232986</v>
      </c>
      <c r="M331" s="7">
        <f t="shared" ref="M331:M395" si="137">L331+K331</f>
        <v>3232986.0250502597</v>
      </c>
      <c r="N331" s="202"/>
      <c r="O331" s="4"/>
      <c r="P331" s="4"/>
      <c r="Q331" s="4"/>
      <c r="R331" s="20">
        <f t="shared" si="130"/>
        <v>163430</v>
      </c>
      <c r="S331" s="39">
        <f t="shared" si="122"/>
        <v>16</v>
      </c>
      <c r="T331" s="91">
        <f t="shared" si="127"/>
        <v>2162</v>
      </c>
      <c r="U331" s="91">
        <f>SUM(B318:B331)/POBLA!$B$25*100000</f>
        <v>309.61987992946962</v>
      </c>
      <c r="V331" s="91">
        <f>B331/POBLA!$B$25*100000</f>
        <v>22.937335986974571</v>
      </c>
      <c r="W331" s="625">
        <f t="shared" si="109"/>
        <v>0.9857234058972506</v>
      </c>
      <c r="X331" s="28">
        <f t="shared" si="123"/>
        <v>2.2113443064308878E-2</v>
      </c>
      <c r="Y331" s="202">
        <f t="shared" si="128"/>
        <v>0.19727948402763795</v>
      </c>
      <c r="Z331" s="297">
        <f t="shared" si="134"/>
        <v>9377.2857142857138</v>
      </c>
      <c r="AA331" s="179">
        <f t="shared" si="135"/>
        <v>170</v>
      </c>
      <c r="AB331" s="357">
        <f t="shared" si="119"/>
        <v>300.81473975773872</v>
      </c>
      <c r="AC331" s="610">
        <f t="shared" si="117"/>
        <v>130.81473975773872</v>
      </c>
      <c r="AD331" s="610">
        <f t="shared" si="132"/>
        <v>10036.142857142857</v>
      </c>
      <c r="AE331" s="202">
        <f t="shared" si="112"/>
        <v>0.8767915581379816</v>
      </c>
      <c r="AF331" s="202">
        <f t="shared" si="111"/>
        <v>-3.3878967374276536E-2</v>
      </c>
      <c r="AG331" s="4"/>
      <c r="AH331" s="202">
        <f t="shared" si="136"/>
        <v>0.97701149425287359</v>
      </c>
      <c r="AI331" s="179">
        <f>MAX($B$2:B331)</f>
        <v>18326</v>
      </c>
      <c r="AJ331" s="180">
        <f t="shared" si="133"/>
        <v>1.8452187126885924E-2</v>
      </c>
      <c r="AK331" s="180"/>
      <c r="AL331" s="202">
        <f t="shared" si="113"/>
        <v>1.0145985401459854</v>
      </c>
      <c r="AM331" s="202">
        <f t="shared" si="114"/>
        <v>0.97701149425287359</v>
      </c>
      <c r="AP331" s="644">
        <f t="shared" si="126"/>
        <v>0.9857234058972506</v>
      </c>
      <c r="AT331" s="180">
        <f t="shared" si="110"/>
        <v>1.5256050584108668E-2</v>
      </c>
    </row>
    <row r="332" spans="1:46" x14ac:dyDescent="0.25">
      <c r="A332" s="107">
        <v>44223</v>
      </c>
      <c r="B332" s="126">
        <v>10843</v>
      </c>
      <c r="C332" s="126">
        <f t="shared" si="118"/>
        <v>1896053</v>
      </c>
      <c r="D332" s="126">
        <v>182</v>
      </c>
      <c r="E332" s="126">
        <f t="shared" si="124"/>
        <v>47407</v>
      </c>
      <c r="F332" s="126">
        <f t="shared" si="131"/>
        <v>8008</v>
      </c>
      <c r="G332" s="155">
        <v>1682563</v>
      </c>
      <c r="H332" s="126">
        <v>3627</v>
      </c>
      <c r="I332" s="126">
        <v>49154</v>
      </c>
      <c r="J332" s="4">
        <f t="shared" si="121"/>
        <v>6006981</v>
      </c>
      <c r="K332" s="611">
        <f t="shared" si="129"/>
        <v>2.5002993059793161E-2</v>
      </c>
      <c r="L332" s="7">
        <v>3261828</v>
      </c>
      <c r="M332" s="7">
        <f t="shared" si="137"/>
        <v>3261828.0250029932</v>
      </c>
      <c r="N332" s="202"/>
      <c r="O332" s="4"/>
      <c r="P332" s="4"/>
      <c r="Q332" s="4"/>
      <c r="R332" s="20">
        <f t="shared" si="130"/>
        <v>166083</v>
      </c>
      <c r="S332" s="39">
        <f t="shared" si="122"/>
        <v>13</v>
      </c>
      <c r="T332" s="91">
        <f t="shared" si="127"/>
        <v>2653</v>
      </c>
      <c r="U332" s="91">
        <f>SUM(B319:B332)/POBLA!$B$25*100000</f>
        <v>305.47269323262208</v>
      </c>
      <c r="V332" s="91">
        <f>B332/POBLA!$B$25*100000</f>
        <v>23.893701038213592</v>
      </c>
      <c r="W332" s="625">
        <f t="shared" si="109"/>
        <v>0.96601417411725354</v>
      </c>
      <c r="X332" s="28">
        <f t="shared" si="123"/>
        <v>2.1838478351185853E-2</v>
      </c>
      <c r="Y332" s="202">
        <f t="shared" si="128"/>
        <v>0.19692431941313054</v>
      </c>
      <c r="Z332" s="297">
        <f t="shared" si="134"/>
        <v>9196</v>
      </c>
      <c r="AA332" s="179">
        <f t="shared" si="135"/>
        <v>174.71428571428572</v>
      </c>
      <c r="AB332" s="357">
        <f t="shared" si="119"/>
        <v>296.91330411803671</v>
      </c>
      <c r="AC332" s="610">
        <f t="shared" si="117"/>
        <v>122.19901840375098</v>
      </c>
      <c r="AD332" s="610">
        <f t="shared" si="132"/>
        <v>9901.7142857142862</v>
      </c>
      <c r="AE332" s="202">
        <f t="shared" si="112"/>
        <v>0.86693961105424777</v>
      </c>
      <c r="AF332" s="202">
        <f t="shared" si="111"/>
        <v>-3.2849223172066844E-2</v>
      </c>
      <c r="AG332" s="4"/>
      <c r="AH332" s="202">
        <f t="shared" si="136"/>
        <v>0.99188969991889708</v>
      </c>
      <c r="AI332" s="179">
        <f>MAX($B$2:B332)</f>
        <v>18326</v>
      </c>
      <c r="AJ332" s="180">
        <f t="shared" si="133"/>
        <v>1.6581252203150845E-2</v>
      </c>
      <c r="AK332" s="180"/>
      <c r="AL332" s="202">
        <f t="shared" si="113"/>
        <v>1.0061026352288489</v>
      </c>
      <c r="AM332" s="202">
        <f t="shared" si="114"/>
        <v>0.99188969991889708</v>
      </c>
      <c r="AP332" s="644">
        <f t="shared" si="126"/>
        <v>0.96601417411725354</v>
      </c>
      <c r="AT332" s="180">
        <f t="shared" si="110"/>
        <v>1.4957125090004582E-2</v>
      </c>
    </row>
    <row r="333" spans="1:46" x14ac:dyDescent="0.25">
      <c r="A333" s="107">
        <v>44224</v>
      </c>
      <c r="B333" s="184">
        <v>9471</v>
      </c>
      <c r="C333" s="126">
        <f t="shared" si="118"/>
        <v>1905524</v>
      </c>
      <c r="D333" s="126">
        <v>166</v>
      </c>
      <c r="E333" s="126">
        <f t="shared" si="124"/>
        <v>47573</v>
      </c>
      <c r="F333" s="126">
        <f t="shared" si="131"/>
        <v>10583</v>
      </c>
      <c r="G333" s="155">
        <v>1693146</v>
      </c>
      <c r="H333" s="126">
        <v>3607</v>
      </c>
      <c r="I333" s="126">
        <v>46742</v>
      </c>
      <c r="J333" s="4">
        <f t="shared" si="121"/>
        <v>6053723</v>
      </c>
      <c r="K333" s="611">
        <f t="shared" si="129"/>
        <v>2.4965836168948805E-2</v>
      </c>
      <c r="L333" s="7">
        <v>3289093</v>
      </c>
      <c r="M333" s="7">
        <f t="shared" si="137"/>
        <v>3289093.0249658362</v>
      </c>
      <c r="N333" s="202"/>
      <c r="O333" s="4"/>
      <c r="P333" s="4"/>
      <c r="Q333" s="4"/>
      <c r="R333" s="20">
        <f t="shared" si="130"/>
        <v>164805</v>
      </c>
      <c r="S333" s="39">
        <f t="shared" ref="S333:S364" si="138">H333-H332</f>
        <v>-20</v>
      </c>
      <c r="T333" s="91">
        <f t="shared" si="127"/>
        <v>-1278</v>
      </c>
      <c r="U333" s="91">
        <f>SUM(B320:B333)/POBLA!$B$25*100000</f>
        <v>297.06593592737585</v>
      </c>
      <c r="V333" s="91">
        <f>B333/POBLA!$B$25*100000</f>
        <v>20.870353456877336</v>
      </c>
      <c r="W333" s="625">
        <f t="shared" ref="W333:W396" si="139">SUM(B320:B333)/SUM(B306:B319)</f>
        <v>0.92843663911845731</v>
      </c>
      <c r="X333" s="28">
        <f t="shared" si="123"/>
        <v>2.1886471891022725E-2</v>
      </c>
      <c r="Y333" s="202">
        <f t="shared" si="128"/>
        <v>0.19535077236865978</v>
      </c>
      <c r="Z333" s="297">
        <f t="shared" si="134"/>
        <v>8921</v>
      </c>
      <c r="AA333" s="179">
        <f t="shared" si="135"/>
        <v>178.14285714285714</v>
      </c>
      <c r="AB333" s="357">
        <f t="shared" si="119"/>
        <v>293.61915844326001</v>
      </c>
      <c r="AC333" s="610">
        <f t="shared" si="117"/>
        <v>115.47630130040287</v>
      </c>
      <c r="AD333" s="610">
        <f t="shared" si="132"/>
        <v>9629.2142857142862</v>
      </c>
      <c r="AE333" s="202">
        <f t="shared" si="112"/>
        <v>0.86298056991238503</v>
      </c>
      <c r="AF333" s="202">
        <f t="shared" si="111"/>
        <v>-3.6205525275445072E-2</v>
      </c>
      <c r="AG333" s="4"/>
      <c r="AH333" s="202">
        <f t="shared" si="136"/>
        <v>1.0113544201135443</v>
      </c>
      <c r="AI333" s="179">
        <f>MAX($B$2:B333)</f>
        <v>18326</v>
      </c>
      <c r="AJ333" s="180">
        <f t="shared" si="133"/>
        <v>1.5670750863964814E-2</v>
      </c>
      <c r="AK333" s="180"/>
      <c r="AL333" s="202">
        <f t="shared" si="113"/>
        <v>0.99751106194690264</v>
      </c>
      <c r="AM333" s="202">
        <f t="shared" si="114"/>
        <v>1.0113544201135443</v>
      </c>
      <c r="AP333" s="644">
        <f t="shared" si="126"/>
        <v>0.92843663911845731</v>
      </c>
      <c r="AT333" s="180">
        <f t="shared" si="110"/>
        <v>1.5114006085159266E-2</v>
      </c>
    </row>
    <row r="334" spans="1:46" x14ac:dyDescent="0.25">
      <c r="A334" s="107">
        <v>44225</v>
      </c>
      <c r="B334" s="126">
        <v>9838</v>
      </c>
      <c r="C334" s="126">
        <f t="shared" si="118"/>
        <v>1915362</v>
      </c>
      <c r="D334" s="126">
        <v>174</v>
      </c>
      <c r="E334" s="126">
        <f t="shared" si="124"/>
        <v>47747</v>
      </c>
      <c r="F334" s="126">
        <f t="shared" si="131"/>
        <v>10313</v>
      </c>
      <c r="G334" s="155">
        <v>1703459</v>
      </c>
      <c r="H334" s="126">
        <v>3628</v>
      </c>
      <c r="I334" s="126">
        <v>45809</v>
      </c>
      <c r="J334" s="4">
        <f t="shared" si="121"/>
        <v>6099532</v>
      </c>
      <c r="K334" s="611">
        <f t="shared" si="129"/>
        <v>2.4928446946321375E-2</v>
      </c>
      <c r="L334" s="7">
        <v>3315527</v>
      </c>
      <c r="M334" s="7">
        <f t="shared" si="137"/>
        <v>3315527.0249284469</v>
      </c>
      <c r="N334" s="202"/>
      <c r="O334" s="4"/>
      <c r="P334" s="4"/>
      <c r="Q334" s="4"/>
      <c r="R334" s="4">
        <f t="shared" si="130"/>
        <v>164156</v>
      </c>
      <c r="S334" s="39">
        <f t="shared" si="138"/>
        <v>21</v>
      </c>
      <c r="T334" s="91">
        <f t="shared" si="127"/>
        <v>-649</v>
      </c>
      <c r="U334" s="91">
        <f>SUM(B321:B334)/POBLA!$B$25*100000</f>
        <v>291.57014229191475</v>
      </c>
      <c r="V334" s="91">
        <f>B334/POBLA!$B$25*100000</f>
        <v>21.679076898823695</v>
      </c>
      <c r="W334" s="625">
        <f t="shared" si="139"/>
        <v>0.86225098238548614</v>
      </c>
      <c r="X334" s="28">
        <f t="shared" si="123"/>
        <v>2.210092838519457E-2</v>
      </c>
      <c r="Y334" s="202">
        <f t="shared" si="128"/>
        <v>0.19846727476809145</v>
      </c>
      <c r="Z334" s="297">
        <f t="shared" si="134"/>
        <v>8790.2857142857138</v>
      </c>
      <c r="AA334" s="179">
        <f t="shared" si="135"/>
        <v>171.57142857142858</v>
      </c>
      <c r="AB334" s="357">
        <f t="shared" si="119"/>
        <v>288.58266775917855</v>
      </c>
      <c r="AC334" s="610">
        <f t="shared" si="117"/>
        <v>117.01123918774996</v>
      </c>
      <c r="AD334" s="610">
        <f t="shared" si="132"/>
        <v>9451.0714285714294</v>
      </c>
      <c r="AE334" s="202">
        <f t="shared" si="112"/>
        <v>0.86930477657064542</v>
      </c>
      <c r="AF334" s="202">
        <f t="shared" si="111"/>
        <v>-3.697098405472321E-2</v>
      </c>
      <c r="AG334" s="4"/>
      <c r="AH334" s="202">
        <f t="shared" si="136"/>
        <v>0.88962962962962966</v>
      </c>
      <c r="AI334" s="179">
        <f>MAX($B$2:B334)</f>
        <v>18326</v>
      </c>
      <c r="AJ334" s="180">
        <f t="shared" si="133"/>
        <v>1.4736377133461761E-2</v>
      </c>
      <c r="AK334" s="180"/>
      <c r="AL334" s="202">
        <f t="shared" si="113"/>
        <v>0.99917378132745804</v>
      </c>
      <c r="AM334" s="202">
        <f t="shared" si="114"/>
        <v>0.88962962962962966</v>
      </c>
      <c r="AP334" s="644">
        <f t="shared" si="126"/>
        <v>0.86225098238548614</v>
      </c>
      <c r="AT334" s="180">
        <f t="shared" si="110"/>
        <v>1.5306833336650809E-2</v>
      </c>
    </row>
    <row r="335" spans="1:46" x14ac:dyDescent="0.25">
      <c r="A335" s="107">
        <v>44226</v>
      </c>
      <c r="B335" s="126">
        <v>6902</v>
      </c>
      <c r="C335" s="126">
        <f t="shared" si="118"/>
        <v>1922264</v>
      </c>
      <c r="D335" s="126">
        <v>156</v>
      </c>
      <c r="E335" s="126">
        <f t="shared" si="124"/>
        <v>47903</v>
      </c>
      <c r="F335" s="126">
        <f t="shared" si="131"/>
        <v>9409</v>
      </c>
      <c r="G335" s="155">
        <v>1712868</v>
      </c>
      <c r="H335" s="126">
        <v>3624</v>
      </c>
      <c r="I335" s="126">
        <v>40578</v>
      </c>
      <c r="J335" s="4">
        <f t="shared" si="121"/>
        <v>6140110</v>
      </c>
      <c r="K335" s="611">
        <f t="shared" si="129"/>
        <v>2.492009422222962E-2</v>
      </c>
      <c r="L335" s="7">
        <v>3342833</v>
      </c>
      <c r="M335" s="7">
        <f t="shared" si="137"/>
        <v>3342833.0249200943</v>
      </c>
      <c r="N335" s="202"/>
      <c r="O335" s="4"/>
      <c r="P335" s="4"/>
      <c r="Q335" s="4"/>
      <c r="R335" s="4">
        <f t="shared" si="130"/>
        <v>161493</v>
      </c>
      <c r="S335" s="39">
        <f t="shared" si="138"/>
        <v>-4</v>
      </c>
      <c r="T335" s="91">
        <f t="shared" si="127"/>
        <v>-2663</v>
      </c>
      <c r="U335" s="91">
        <f>SUM(B322:B335)/POBLA!$B$25*100000</f>
        <v>287.09682189095804</v>
      </c>
      <c r="V335" s="91">
        <f>B335/POBLA!$B$25*100000</f>
        <v>15.209289363252811</v>
      </c>
      <c r="W335" s="625">
        <f t="shared" si="139"/>
        <v>0.82907505806739001</v>
      </c>
      <c r="X335" s="28">
        <f t="shared" si="123"/>
        <v>2.2440601140606715E-2</v>
      </c>
      <c r="Y335" s="202">
        <f t="shared" si="128"/>
        <v>0.19762411545838254</v>
      </c>
      <c r="Z335" s="297">
        <f t="shared" si="134"/>
        <v>8581.7142857142862</v>
      </c>
      <c r="AA335" s="179">
        <f t="shared" si="135"/>
        <v>170.71428571428572</v>
      </c>
      <c r="AB335" s="357">
        <f t="shared" si="119"/>
        <v>279.9082929304098</v>
      </c>
      <c r="AC335" s="610">
        <f t="shared" si="117"/>
        <v>109.19400721612408</v>
      </c>
      <c r="AD335" s="610">
        <f t="shared" si="132"/>
        <v>9306.0714285714294</v>
      </c>
      <c r="AE335" s="202">
        <f t="shared" si="112"/>
        <v>0.85556805719738527</v>
      </c>
      <c r="AF335" s="202">
        <f t="shared" si="111"/>
        <v>-4.3378589707136817E-2</v>
      </c>
      <c r="AG335" s="4"/>
      <c r="AH335" s="202">
        <f t="shared" si="136"/>
        <v>0.82756232686980613</v>
      </c>
      <c r="AI335" s="179">
        <f>MAX($B$2:B335)</f>
        <v>18326</v>
      </c>
      <c r="AJ335" s="180">
        <f t="shared" si="133"/>
        <v>1.4576548224588624E-2</v>
      </c>
      <c r="AK335" s="180"/>
      <c r="AL335" s="202">
        <f t="shared" si="113"/>
        <v>1.0016583747927033</v>
      </c>
      <c r="AM335" s="202">
        <f t="shared" si="114"/>
        <v>0.82756232686980613</v>
      </c>
      <c r="AP335" s="644">
        <f t="shared" si="126"/>
        <v>0.82907505806739001</v>
      </c>
      <c r="AT335" s="180">
        <f t="shared" si="110"/>
        <v>1.5794492989024394E-2</v>
      </c>
    </row>
    <row r="336" spans="1:46" x14ac:dyDescent="0.25">
      <c r="A336" s="107">
        <v>44227</v>
      </c>
      <c r="B336" s="126">
        <v>4975</v>
      </c>
      <c r="C336" s="126">
        <f t="shared" si="118"/>
        <v>1927239</v>
      </c>
      <c r="D336" s="126">
        <v>43</v>
      </c>
      <c r="E336" s="126">
        <f t="shared" si="124"/>
        <v>47946</v>
      </c>
      <c r="F336" s="126">
        <f t="shared" si="131"/>
        <v>8782</v>
      </c>
      <c r="G336" s="155">
        <v>1721650</v>
      </c>
      <c r="H336" s="126">
        <v>3617</v>
      </c>
      <c r="I336" s="126">
        <v>34412</v>
      </c>
      <c r="J336" s="4">
        <f t="shared" si="121"/>
        <v>6174522</v>
      </c>
      <c r="K336" s="611">
        <f t="shared" si="129"/>
        <v>2.4878076875779288E-2</v>
      </c>
      <c r="L336" s="7">
        <v>3366882</v>
      </c>
      <c r="M336" s="7">
        <f t="shared" si="137"/>
        <v>3366882.0248780767</v>
      </c>
      <c r="N336" s="202"/>
      <c r="O336" s="4"/>
      <c r="P336" s="4"/>
      <c r="Q336" s="4"/>
      <c r="R336" s="4">
        <f t="shared" si="130"/>
        <v>157643</v>
      </c>
      <c r="S336" s="39">
        <f t="shared" si="138"/>
        <v>-7</v>
      </c>
      <c r="T336" s="91">
        <f t="shared" si="127"/>
        <v>-3850</v>
      </c>
      <c r="U336" s="91">
        <f>SUM(B323:B336)/POBLA!$B$25*100000</f>
        <v>282.0527675078103</v>
      </c>
      <c r="V336" s="91">
        <f>B336/POBLA!$B$25*100000</f>
        <v>10.962940391507205</v>
      </c>
      <c r="W336" s="625">
        <f t="shared" si="139"/>
        <v>0.80741838826683487</v>
      </c>
      <c r="X336" s="28">
        <f t="shared" si="123"/>
        <v>2.2944247445176761E-2</v>
      </c>
      <c r="Y336" s="202">
        <f t="shared" si="128"/>
        <v>0.19440017620917066</v>
      </c>
      <c r="Z336" s="297">
        <f t="shared" si="134"/>
        <v>8573.7142857142862</v>
      </c>
      <c r="AA336" s="179">
        <f t="shared" si="135"/>
        <v>164</v>
      </c>
      <c r="AB336" s="357">
        <f t="shared" si="119"/>
        <v>277.50811837454495</v>
      </c>
      <c r="AC336" s="610">
        <f t="shared" si="117"/>
        <v>113.50811837454495</v>
      </c>
      <c r="AD336" s="610">
        <f t="shared" si="132"/>
        <v>9142.5714285714294</v>
      </c>
      <c r="AE336" s="202">
        <f t="shared" si="112"/>
        <v>0.88284789644012962</v>
      </c>
      <c r="AF336" s="202">
        <f t="shared" si="111"/>
        <v>-4.037717012832065E-2</v>
      </c>
      <c r="AG336" s="4"/>
      <c r="AH336" s="202">
        <f t="shared" si="136"/>
        <v>0.80731364275668072</v>
      </c>
      <c r="AI336" s="179">
        <f>MAX($B$2:B336)</f>
        <v>18326</v>
      </c>
      <c r="AJ336" s="180">
        <f t="shared" si="133"/>
        <v>1.4004440432332201E-2</v>
      </c>
      <c r="AK336" s="180"/>
      <c r="AL336" s="202">
        <f t="shared" si="113"/>
        <v>0.99944736114948884</v>
      </c>
      <c r="AM336" s="202">
        <f t="shared" si="114"/>
        <v>0.80731364275668072</v>
      </c>
      <c r="AP336" s="644">
        <f t="shared" si="126"/>
        <v>0.80741838826683487</v>
      </c>
      <c r="AT336" s="180">
        <f t="shared" ref="AT336:AT399" si="140">SUM(D307:D336)/SUM(B307:B336)</f>
        <v>1.5646155655226864E-2</v>
      </c>
    </row>
    <row r="337" spans="1:46" x14ac:dyDescent="0.25">
      <c r="A337" s="107">
        <v>44228</v>
      </c>
      <c r="B337" s="126">
        <v>6614</v>
      </c>
      <c r="C337" s="126">
        <f t="shared" si="118"/>
        <v>1933853</v>
      </c>
      <c r="D337" s="126">
        <v>275</v>
      </c>
      <c r="E337" s="126">
        <f t="shared" si="124"/>
        <v>48221</v>
      </c>
      <c r="F337" s="126">
        <f t="shared" si="131"/>
        <v>8349</v>
      </c>
      <c r="G337" s="155">
        <v>1729999</v>
      </c>
      <c r="H337" s="126">
        <v>3554</v>
      </c>
      <c r="I337" s="126">
        <v>34947</v>
      </c>
      <c r="J337" s="4">
        <f t="shared" si="121"/>
        <v>6209469</v>
      </c>
      <c r="K337" s="611">
        <f t="shared" si="129"/>
        <v>2.4935194143505219E-2</v>
      </c>
      <c r="L337" s="7">
        <v>3389599</v>
      </c>
      <c r="M337" s="4">
        <f t="shared" si="137"/>
        <v>3389599.0249351943</v>
      </c>
      <c r="N337" s="202"/>
      <c r="O337" s="4"/>
      <c r="P337" s="4"/>
      <c r="Q337" s="4"/>
      <c r="R337" s="4">
        <f t="shared" si="130"/>
        <v>155633</v>
      </c>
      <c r="S337" s="39">
        <f t="shared" si="138"/>
        <v>-63</v>
      </c>
      <c r="T337" s="91">
        <f t="shared" si="127"/>
        <v>-2010</v>
      </c>
      <c r="U337" s="91">
        <f>SUM(B324:B337)/POBLA!$B$25*100000</f>
        <v>278.59090231081376</v>
      </c>
      <c r="V337" s="91">
        <f>B337/POBLA!$B$25*100000</f>
        <v>14.574650803905257</v>
      </c>
      <c r="W337" s="625">
        <f t="shared" si="139"/>
        <v>0.79769446267225275</v>
      </c>
      <c r="X337" s="28">
        <f t="shared" si="123"/>
        <v>2.2835773903992083E-2</v>
      </c>
      <c r="Y337" s="202">
        <f t="shared" si="128"/>
        <v>0.19249914429612244</v>
      </c>
      <c r="Z337" s="297">
        <f t="shared" si="134"/>
        <v>8436</v>
      </c>
      <c r="AA337" s="179">
        <f t="shared" si="135"/>
        <v>173.57142857142858</v>
      </c>
      <c r="AB337" s="357">
        <f t="shared" si="119"/>
        <v>276.95397627378321</v>
      </c>
      <c r="AC337" s="610">
        <f t="shared" si="117"/>
        <v>103.38254770235463</v>
      </c>
      <c r="AD337" s="610">
        <f t="shared" si="132"/>
        <v>9030.3571428571431</v>
      </c>
      <c r="AE337" s="202">
        <f t="shared" si="112"/>
        <v>0.87649355082896707</v>
      </c>
      <c r="AF337" s="202">
        <f t="shared" ref="AF337:AF400" si="141">R337/R330-1</f>
        <v>-3.4941835950095479E-2</v>
      </c>
      <c r="AG337" s="4"/>
      <c r="AH337" s="202">
        <f t="shared" si="136"/>
        <v>1.0074626865671643</v>
      </c>
      <c r="AI337" s="179">
        <f>MAX($B$2:B337)</f>
        <v>18326</v>
      </c>
      <c r="AJ337" s="180">
        <f t="shared" si="133"/>
        <v>1.4952373920106329E-2</v>
      </c>
      <c r="AK337" s="180"/>
      <c r="AL337" s="202">
        <f t="shared" si="113"/>
        <v>0.98777098387993334</v>
      </c>
      <c r="AM337" s="202">
        <f t="shared" si="114"/>
        <v>1.0074626865671643</v>
      </c>
      <c r="AP337" s="644">
        <f t="shared" si="126"/>
        <v>0.79769446267225275</v>
      </c>
      <c r="AT337" s="180">
        <f t="shared" si="140"/>
        <v>1.6306656098776334E-2</v>
      </c>
    </row>
    <row r="338" spans="1:46" x14ac:dyDescent="0.25">
      <c r="A338" s="107">
        <v>44229</v>
      </c>
      <c r="B338" s="126">
        <v>9695</v>
      </c>
      <c r="C338" s="126">
        <f t="shared" si="118"/>
        <v>1943548</v>
      </c>
      <c r="D338" s="126">
        <v>176</v>
      </c>
      <c r="E338" s="126">
        <f t="shared" si="124"/>
        <v>48397</v>
      </c>
      <c r="F338" s="126">
        <f t="shared" si="131"/>
        <v>8769</v>
      </c>
      <c r="G338" s="155">
        <v>1738768</v>
      </c>
      <c r="H338" s="126">
        <v>3586</v>
      </c>
      <c r="I338" s="126">
        <v>66202</v>
      </c>
      <c r="J338" s="4">
        <f t="shared" si="121"/>
        <v>6275671</v>
      </c>
      <c r="K338" s="611">
        <f t="shared" si="129"/>
        <v>2.490136595545878E-2</v>
      </c>
      <c r="L338" s="7">
        <v>3427133</v>
      </c>
      <c r="M338" s="4">
        <f t="shared" si="137"/>
        <v>3427133.0249013659</v>
      </c>
      <c r="N338" s="202"/>
      <c r="O338" s="4"/>
      <c r="P338" s="4"/>
      <c r="Q338" s="4"/>
      <c r="R338" s="4">
        <f t="shared" si="130"/>
        <v>156383</v>
      </c>
      <c r="S338" s="39">
        <f t="shared" si="138"/>
        <v>32</v>
      </c>
      <c r="T338" s="91">
        <f t="shared" si="127"/>
        <v>750</v>
      </c>
      <c r="U338" s="91">
        <f>SUM(B325:B338)/POBLA!$B$25*100000</f>
        <v>273.20088176857723</v>
      </c>
      <c r="V338" s="91">
        <f>B338/POBLA!$B$25*100000</f>
        <v>21.363961225258763</v>
      </c>
      <c r="W338" s="625">
        <f t="shared" si="139"/>
        <v>0.79048578478567189</v>
      </c>
      <c r="X338" s="28">
        <f t="shared" si="123"/>
        <v>2.293088123389371E-2</v>
      </c>
      <c r="Y338" s="202">
        <f t="shared" si="128"/>
        <v>0.1835428700872126</v>
      </c>
      <c r="Z338" s="297">
        <f t="shared" si="134"/>
        <v>8334</v>
      </c>
      <c r="AA338" s="179">
        <f t="shared" si="135"/>
        <v>167.42857142857142</v>
      </c>
      <c r="AB338" s="357">
        <f t="shared" si="119"/>
        <v>270.58293749783604</v>
      </c>
      <c r="AC338" s="610">
        <f t="shared" si="117"/>
        <v>103.15436606926463</v>
      </c>
      <c r="AD338" s="610">
        <f t="shared" si="132"/>
        <v>8855.6428571428569</v>
      </c>
      <c r="AE338" s="202">
        <f t="shared" si="112"/>
        <v>0.88874331591535782</v>
      </c>
      <c r="AF338" s="202">
        <f t="shared" si="141"/>
        <v>-4.3119378327112545E-2</v>
      </c>
      <c r="AG338" s="4"/>
      <c r="AH338" s="202">
        <f t="shared" si="136"/>
        <v>0.98487394957983188</v>
      </c>
      <c r="AI338" s="179">
        <f>MAX($B$2:B338)</f>
        <v>18326</v>
      </c>
      <c r="AJ338" s="180">
        <f t="shared" si="133"/>
        <v>1.4521304935013442E-2</v>
      </c>
      <c r="AK338" s="180"/>
      <c r="AL338" s="202">
        <f t="shared" si="113"/>
        <v>0.99225235196458217</v>
      </c>
      <c r="AM338" s="202">
        <f t="shared" si="114"/>
        <v>0.98487394957983188</v>
      </c>
      <c r="AP338" s="644">
        <f t="shared" si="126"/>
        <v>0.79048578478567189</v>
      </c>
      <c r="AT338" s="180">
        <f t="shared" si="140"/>
        <v>1.6329293663111318E-2</v>
      </c>
    </row>
    <row r="339" spans="1:46" x14ac:dyDescent="0.25">
      <c r="A339" s="107">
        <v>44230</v>
      </c>
      <c r="B339" s="126">
        <v>9196</v>
      </c>
      <c r="C339" s="126">
        <f t="shared" si="118"/>
        <v>1952744</v>
      </c>
      <c r="D339" s="126">
        <v>113</v>
      </c>
      <c r="E339" s="126">
        <f t="shared" si="124"/>
        <v>48510</v>
      </c>
      <c r="F339" s="126">
        <f t="shared" si="131"/>
        <v>6440</v>
      </c>
      <c r="G339" s="155">
        <v>1745208</v>
      </c>
      <c r="H339" s="126">
        <v>3571</v>
      </c>
      <c r="I339" s="126">
        <v>48160</v>
      </c>
      <c r="J339" s="4">
        <f t="shared" si="121"/>
        <v>6323831</v>
      </c>
      <c r="K339" s="611">
        <f t="shared" si="129"/>
        <v>2.4841965971986086E-2</v>
      </c>
      <c r="L339" s="7">
        <v>3462532</v>
      </c>
      <c r="M339" s="4">
        <f t="shared" si="137"/>
        <v>3462532.0248419661</v>
      </c>
      <c r="N339" s="202"/>
      <c r="O339" s="4"/>
      <c r="P339" s="4"/>
      <c r="Q339" s="4"/>
      <c r="R339" s="4">
        <f t="shared" si="130"/>
        <v>159026</v>
      </c>
      <c r="S339" s="39">
        <f t="shared" si="138"/>
        <v>-15</v>
      </c>
      <c r="T339" s="91">
        <f t="shared" si="127"/>
        <v>2643</v>
      </c>
      <c r="U339" s="91">
        <f>SUM(B326:B339)/POBLA!$B$25*100000</f>
        <v>266.77516635518327</v>
      </c>
      <c r="V339" s="91">
        <f>B339/POBLA!$B$25*100000</f>
        <v>20.264361776944774</v>
      </c>
      <c r="W339" s="625">
        <f t="shared" si="139"/>
        <v>0.77849012925213812</v>
      </c>
      <c r="X339" s="28">
        <f t="shared" si="123"/>
        <v>2.2455447536880762E-2</v>
      </c>
      <c r="Y339" s="202">
        <f t="shared" si="128"/>
        <v>0.17892062490137289</v>
      </c>
      <c r="Z339" s="297">
        <f t="shared" si="134"/>
        <v>8098.7142857142853</v>
      </c>
      <c r="AA339" s="179">
        <f t="shared" si="135"/>
        <v>157.57142857142858</v>
      </c>
      <c r="AB339" s="357">
        <f t="shared" si="119"/>
        <v>267.45567658498237</v>
      </c>
      <c r="AC339" s="610">
        <f t="shared" si="117"/>
        <v>109.88424801355379</v>
      </c>
      <c r="AD339" s="610">
        <f t="shared" si="132"/>
        <v>8647.3571428571431</v>
      </c>
      <c r="AE339" s="202">
        <f t="shared" si="112"/>
        <v>0.88067793450568566</v>
      </c>
      <c r="AF339" s="202">
        <f t="shared" si="141"/>
        <v>-4.2490802791375404E-2</v>
      </c>
      <c r="AG339" s="4"/>
      <c r="AH339" s="202">
        <f t="shared" si="136"/>
        <v>0.90188062142273107</v>
      </c>
      <c r="AI339" s="179">
        <f>MAX($B$2:B339)</f>
        <v>18326</v>
      </c>
      <c r="AJ339" s="180">
        <f t="shared" si="133"/>
        <v>1.3840266014179059E-2</v>
      </c>
      <c r="AK339" s="180"/>
      <c r="AL339" s="202">
        <f t="shared" si="113"/>
        <v>0.98456024262475872</v>
      </c>
      <c r="AM339" s="202">
        <f t="shared" si="114"/>
        <v>0.90188062142273107</v>
      </c>
      <c r="AP339" s="644">
        <f t="shared" si="126"/>
        <v>0.77849012925213812</v>
      </c>
      <c r="AT339" s="180">
        <f t="shared" si="140"/>
        <v>1.6148569472423008E-2</v>
      </c>
    </row>
    <row r="340" spans="1:46" x14ac:dyDescent="0.25">
      <c r="A340" s="107">
        <v>44231</v>
      </c>
      <c r="B340" s="184">
        <v>8891</v>
      </c>
      <c r="C340" s="126">
        <f t="shared" si="118"/>
        <v>1961635</v>
      </c>
      <c r="D340" s="126">
        <v>162</v>
      </c>
      <c r="E340" s="126">
        <f t="shared" si="124"/>
        <v>48672</v>
      </c>
      <c r="F340" s="126">
        <f t="shared" si="131"/>
        <v>9497</v>
      </c>
      <c r="G340" s="155">
        <v>1754705</v>
      </c>
      <c r="H340" s="126">
        <v>3570</v>
      </c>
      <c r="I340" s="126">
        <v>52557</v>
      </c>
      <c r="J340" s="4">
        <f t="shared" si="121"/>
        <v>6376388</v>
      </c>
      <c r="K340" s="611">
        <f t="shared" si="129"/>
        <v>2.48119553331787E-2</v>
      </c>
      <c r="L340" s="7">
        <v>3486103</v>
      </c>
      <c r="M340" s="4">
        <f t="shared" si="137"/>
        <v>3486103.0248119552</v>
      </c>
      <c r="N340" s="202"/>
      <c r="O340" s="4"/>
      <c r="P340" s="4"/>
      <c r="Q340" s="4"/>
      <c r="R340" s="4">
        <f t="shared" si="130"/>
        <v>158258</v>
      </c>
      <c r="S340" s="39">
        <f t="shared" si="138"/>
        <v>-1</v>
      </c>
      <c r="T340" s="91">
        <f t="shared" si="127"/>
        <v>-768</v>
      </c>
      <c r="U340" s="91">
        <f>SUM(B327:B340)/POBLA!$B$25*100000</f>
        <v>261.25513305252485</v>
      </c>
      <c r="V340" s="91">
        <f>B340/POBLA!$B$25*100000</f>
        <v>19.592261913746846</v>
      </c>
      <c r="W340" s="625">
        <f t="shared" si="139"/>
        <v>0.77452946671805889</v>
      </c>
      <c r="X340" s="28">
        <f t="shared" si="123"/>
        <v>2.2558101328210897E-2</v>
      </c>
      <c r="Y340" s="202">
        <f t="shared" si="128"/>
        <v>0.17389862550942928</v>
      </c>
      <c r="Z340" s="297">
        <f t="shared" si="134"/>
        <v>8015.8571428571431</v>
      </c>
      <c r="AA340" s="179">
        <f t="shared" si="135"/>
        <v>157</v>
      </c>
      <c r="AB340" s="357">
        <f t="shared" si="119"/>
        <v>259.83272321232369</v>
      </c>
      <c r="AC340" s="610">
        <f t="shared" si="117"/>
        <v>102.83272321232369</v>
      </c>
      <c r="AD340" s="610">
        <f t="shared" si="132"/>
        <v>8468.4285714285706</v>
      </c>
      <c r="AE340" s="202">
        <f t="shared" si="112"/>
        <v>0.89853796019024135</v>
      </c>
      <c r="AF340" s="202">
        <f t="shared" si="141"/>
        <v>-3.9725736476441842E-2</v>
      </c>
      <c r="AG340" s="4"/>
      <c r="AH340" s="202">
        <f t="shared" si="136"/>
        <v>0.88131515637530078</v>
      </c>
      <c r="AI340" s="179">
        <f>MAX($B$2:B340)</f>
        <v>18326</v>
      </c>
      <c r="AJ340" s="180">
        <f t="shared" si="133"/>
        <v>1.4167848394998067E-2</v>
      </c>
      <c r="AK340" s="180"/>
      <c r="AL340" s="202">
        <f t="shared" si="113"/>
        <v>0.98974216800665371</v>
      </c>
      <c r="AM340" s="202">
        <f t="shared" si="114"/>
        <v>0.88131515637530078</v>
      </c>
      <c r="AP340" s="644">
        <f t="shared" si="126"/>
        <v>0.77452946671805889</v>
      </c>
      <c r="AT340" s="180">
        <f t="shared" si="140"/>
        <v>1.6450042655693279E-2</v>
      </c>
    </row>
    <row r="341" spans="1:46" x14ac:dyDescent="0.25">
      <c r="A341" s="107">
        <v>44232</v>
      </c>
      <c r="B341" s="126">
        <v>8374</v>
      </c>
      <c r="C341" s="126">
        <f t="shared" si="118"/>
        <v>1970009</v>
      </c>
      <c r="D341" s="126">
        <v>285</v>
      </c>
      <c r="E341" s="126">
        <f t="shared" si="124"/>
        <v>48957</v>
      </c>
      <c r="F341" s="126">
        <f t="shared" si="131"/>
        <v>9057</v>
      </c>
      <c r="G341" s="155">
        <v>1763762</v>
      </c>
      <c r="H341" s="126">
        <v>3550</v>
      </c>
      <c r="I341" s="126">
        <v>47745</v>
      </c>
      <c r="J341" s="4">
        <f t="shared" si="121"/>
        <v>6424133</v>
      </c>
      <c r="K341" s="611">
        <f t="shared" si="129"/>
        <v>2.4851155502335267E-2</v>
      </c>
      <c r="L341" s="7">
        <v>3524708</v>
      </c>
      <c r="M341" s="4">
        <f t="shared" si="137"/>
        <v>3524708.0248511555</v>
      </c>
      <c r="N341" s="202"/>
      <c r="O341" s="4"/>
      <c r="P341" s="4"/>
      <c r="Q341" s="4"/>
      <c r="R341" s="4">
        <f t="shared" si="130"/>
        <v>157290</v>
      </c>
      <c r="S341" s="39">
        <f t="shared" si="138"/>
        <v>-20</v>
      </c>
      <c r="T341" s="91">
        <f t="shared" si="127"/>
        <v>-968</v>
      </c>
      <c r="U341" s="91">
        <f>SUM(B328:B341)/POBLA!$B$25*100000</f>
        <v>256.01275411958102</v>
      </c>
      <c r="V341" s="91">
        <f>B341/POBLA!$B$25*100000</f>
        <v>18.452997555473633</v>
      </c>
      <c r="W341" s="625">
        <f t="shared" si="139"/>
        <v>0.77206634856922607</v>
      </c>
      <c r="X341" s="28">
        <f t="shared" si="123"/>
        <v>2.2569775573780915E-2</v>
      </c>
      <c r="Y341" s="202">
        <f t="shared" si="128"/>
        <v>0.16835129897936235</v>
      </c>
      <c r="Z341" s="297">
        <f t="shared" si="134"/>
        <v>7806.7142857142853</v>
      </c>
      <c r="AA341" s="179">
        <f t="shared" si="135"/>
        <v>172.85714285714286</v>
      </c>
      <c r="AB341" s="357">
        <f t="shared" si="119"/>
        <v>253.88870747125065</v>
      </c>
      <c r="AC341" s="610">
        <f t="shared" si="117"/>
        <v>81.031564614107793</v>
      </c>
      <c r="AD341" s="610">
        <f t="shared" si="132"/>
        <v>8298.5</v>
      </c>
      <c r="AE341" s="202">
        <f t="shared" ref="AE341:AE404" si="142">Z341/Z334</f>
        <v>0.88810700123512964</v>
      </c>
      <c r="AF341" s="202">
        <f t="shared" si="141"/>
        <v>-4.1826067886644447E-2</v>
      </c>
      <c r="AG341" s="4"/>
      <c r="AH341" s="202">
        <f t="shared" si="136"/>
        <v>1.0074937552039966</v>
      </c>
      <c r="AI341" s="179">
        <f>MAX($B$2:B341)</f>
        <v>18326</v>
      </c>
      <c r="AJ341" s="180">
        <f t="shared" si="133"/>
        <v>1.5708981382909666E-2</v>
      </c>
      <c r="AK341" s="180"/>
      <c r="AL341" s="202">
        <f t="shared" ref="AL341:AL404" si="143">H341/H334</f>
        <v>0.97850055126791624</v>
      </c>
      <c r="AM341" s="202">
        <f t="shared" ref="AM341:AM404" si="144">AA341/AA334</f>
        <v>1.0074937552039966</v>
      </c>
      <c r="AP341" s="644">
        <f t="shared" si="126"/>
        <v>0.77206634856922607</v>
      </c>
      <c r="AT341" s="180">
        <f t="shared" si="140"/>
        <v>1.7053614576739564E-2</v>
      </c>
    </row>
    <row r="342" spans="1:46" x14ac:dyDescent="0.25">
      <c r="A342" s="107">
        <v>44233</v>
      </c>
      <c r="B342" s="126">
        <v>6680</v>
      </c>
      <c r="C342" s="126">
        <f t="shared" si="118"/>
        <v>1976689</v>
      </c>
      <c r="D342" s="126">
        <v>125</v>
      </c>
      <c r="E342" s="126">
        <f t="shared" si="124"/>
        <v>49082</v>
      </c>
      <c r="F342" s="126">
        <f t="shared" si="131"/>
        <v>8297</v>
      </c>
      <c r="G342" s="155">
        <v>1772059</v>
      </c>
      <c r="H342" s="126">
        <v>3550</v>
      </c>
      <c r="I342" s="126">
        <v>42244</v>
      </c>
      <c r="J342" s="4">
        <f t="shared" si="121"/>
        <v>6466377</v>
      </c>
      <c r="K342" s="611">
        <f t="shared" si="129"/>
        <v>2.4830410853705364E-2</v>
      </c>
      <c r="L342" s="7">
        <v>3551197</v>
      </c>
      <c r="M342" s="4">
        <f t="shared" si="137"/>
        <v>3551197.0248304107</v>
      </c>
      <c r="N342" s="202"/>
      <c r="O342" s="4"/>
      <c r="P342" s="4"/>
      <c r="Q342" s="4"/>
      <c r="R342" s="4">
        <f t="shared" si="130"/>
        <v>155548</v>
      </c>
      <c r="S342" s="39">
        <f t="shared" si="138"/>
        <v>0</v>
      </c>
      <c r="T342" s="91">
        <f t="shared" ref="T342:T373" si="145">(C342-G342-E342)-(C341-E341-G341)</f>
        <v>-1742</v>
      </c>
      <c r="U342" s="91">
        <f>SUM(B329:B342)/POBLA!$B$25*100000</f>
        <v>252.30628864450259</v>
      </c>
      <c r="V342" s="91">
        <f>B342/POBLA!$B$25*100000</f>
        <v>14.720088807089072</v>
      </c>
      <c r="W342" s="625">
        <f t="shared" si="139"/>
        <v>0.77476435043272907</v>
      </c>
      <c r="X342" s="28">
        <f t="shared" si="123"/>
        <v>2.2822537094658882E-2</v>
      </c>
      <c r="Y342" s="202">
        <f t="shared" si="128"/>
        <v>0.16681123129216255</v>
      </c>
      <c r="Z342" s="297">
        <f t="shared" si="134"/>
        <v>7775</v>
      </c>
      <c r="AA342" s="179">
        <f t="shared" si="135"/>
        <v>168.42857142857142</v>
      </c>
      <c r="AB342" s="357">
        <f t="shared" si="119"/>
        <v>251.58590398534935</v>
      </c>
      <c r="AC342" s="610">
        <f t="shared" ref="AC342:AC405" si="146">AB342-AA342</f>
        <v>83.157332556777931</v>
      </c>
      <c r="AD342" s="610">
        <f t="shared" si="132"/>
        <v>8178.3571428571431</v>
      </c>
      <c r="AE342" s="202">
        <f t="shared" si="142"/>
        <v>0.9059961379677719</v>
      </c>
      <c r="AF342" s="202">
        <f t="shared" si="141"/>
        <v>-3.6812741109521818E-2</v>
      </c>
      <c r="AG342" s="4"/>
      <c r="AH342" s="202">
        <f t="shared" si="136"/>
        <v>0.98661087866108776</v>
      </c>
      <c r="AI342" s="179">
        <f>MAX($B$2:B342)</f>
        <v>18326</v>
      </c>
      <c r="AJ342" s="180">
        <f t="shared" si="133"/>
        <v>1.5410354608075076E-2</v>
      </c>
      <c r="AK342" s="28">
        <f t="shared" ref="AK342:AK373" si="147">H342/R335</f>
        <v>2.1982376945130749E-2</v>
      </c>
      <c r="AL342" s="202">
        <f t="shared" si="143"/>
        <v>0.97958057395143483</v>
      </c>
      <c r="AM342" s="202">
        <f t="shared" si="144"/>
        <v>0.98661087866108776</v>
      </c>
      <c r="AP342" s="644">
        <f t="shared" si="126"/>
        <v>0.77476435043272907</v>
      </c>
      <c r="AT342" s="180">
        <f t="shared" si="140"/>
        <v>1.740598500783095E-2</v>
      </c>
    </row>
    <row r="343" spans="1:46" x14ac:dyDescent="0.25">
      <c r="A343" s="107">
        <v>44234</v>
      </c>
      <c r="B343" s="126">
        <v>3658</v>
      </c>
      <c r="C343" s="126">
        <f t="shared" si="118"/>
        <v>1980347</v>
      </c>
      <c r="D343" s="126">
        <v>61</v>
      </c>
      <c r="E343" s="126">
        <f t="shared" si="124"/>
        <v>49143</v>
      </c>
      <c r="F343" s="126">
        <f t="shared" si="131"/>
        <v>6906</v>
      </c>
      <c r="G343" s="155">
        <v>1778965</v>
      </c>
      <c r="H343" s="126">
        <v>3550</v>
      </c>
      <c r="I343" s="126">
        <v>24721</v>
      </c>
      <c r="J343" s="4">
        <f t="shared" si="121"/>
        <v>6491098</v>
      </c>
      <c r="K343" s="611">
        <f t="shared" si="129"/>
        <v>2.4815348017291919E-2</v>
      </c>
      <c r="L343" s="7">
        <v>3568763</v>
      </c>
      <c r="M343" s="4">
        <f t="shared" si="137"/>
        <v>3568763.024815348</v>
      </c>
      <c r="N343" s="202"/>
      <c r="O343" s="4"/>
      <c r="P343" s="4"/>
      <c r="Q343" s="4"/>
      <c r="R343" s="4">
        <f t="shared" si="130"/>
        <v>152239</v>
      </c>
      <c r="S343" s="39">
        <f t="shared" si="138"/>
        <v>0</v>
      </c>
      <c r="T343" s="91">
        <f t="shared" si="145"/>
        <v>-3309</v>
      </c>
      <c r="U343" s="91">
        <f>SUM(B330:B343)/POBLA!$B$25*100000</f>
        <v>249.28073745705751</v>
      </c>
      <c r="V343" s="91">
        <f>B343/POBLA!$B$25*100000</f>
        <v>8.0607911461574595</v>
      </c>
      <c r="W343" s="625">
        <f t="shared" si="139"/>
        <v>0.78013323586610206</v>
      </c>
      <c r="X343" s="28">
        <f t="shared" si="123"/>
        <v>2.3318597731198969E-2</v>
      </c>
      <c r="Y343" s="202">
        <f t="shared" si="128"/>
        <v>0.16775750530678257</v>
      </c>
      <c r="Z343" s="297">
        <f t="shared" si="134"/>
        <v>7586.8571428571431</v>
      </c>
      <c r="AA343" s="179">
        <f t="shared" si="135"/>
        <v>171</v>
      </c>
      <c r="AB343" s="357">
        <f t="shared" si="119"/>
        <v>243.39644182066857</v>
      </c>
      <c r="AC343" s="610">
        <f t="shared" si="146"/>
        <v>72.396441820668571</v>
      </c>
      <c r="AD343" s="610">
        <f t="shared" si="132"/>
        <v>8080.2857142857147</v>
      </c>
      <c r="AE343" s="202">
        <f t="shared" si="142"/>
        <v>0.88489736070381231</v>
      </c>
      <c r="AF343" s="202">
        <f t="shared" si="141"/>
        <v>-3.42799870593683E-2</v>
      </c>
      <c r="AG343" s="4"/>
      <c r="AH343" s="202">
        <f t="shared" si="136"/>
        <v>1.0426829268292683</v>
      </c>
      <c r="AI343" s="179">
        <f>MAX($B$2:B343)</f>
        <v>18326</v>
      </c>
      <c r="AJ343" s="180">
        <f t="shared" si="133"/>
        <v>1.5988779803646564E-2</v>
      </c>
      <c r="AK343" s="28">
        <f t="shared" si="147"/>
        <v>2.2519236502730855E-2</v>
      </c>
      <c r="AL343" s="202">
        <f t="shared" si="143"/>
        <v>0.98147636162565666</v>
      </c>
      <c r="AM343" s="202">
        <f t="shared" si="144"/>
        <v>1.0426829268292683</v>
      </c>
      <c r="AP343" s="644">
        <f t="shared" si="126"/>
        <v>0.78013323586610206</v>
      </c>
      <c r="AT343" s="180">
        <f t="shared" si="140"/>
        <v>1.7689849997292371E-2</v>
      </c>
    </row>
    <row r="344" spans="1:46" x14ac:dyDescent="0.25">
      <c r="A344" s="107">
        <v>44235</v>
      </c>
      <c r="B344" s="126">
        <v>5154</v>
      </c>
      <c r="C344" s="126">
        <f t="shared" si="118"/>
        <v>1985501</v>
      </c>
      <c r="D344" s="126">
        <v>227</v>
      </c>
      <c r="E344" s="126">
        <f t="shared" si="124"/>
        <v>49370</v>
      </c>
      <c r="F344" s="126">
        <f t="shared" si="131"/>
        <v>7213</v>
      </c>
      <c r="G344" s="155">
        <v>1786178</v>
      </c>
      <c r="H344" s="126">
        <v>3526</v>
      </c>
      <c r="I344" s="126">
        <v>30651</v>
      </c>
      <c r="J344" s="4">
        <f t="shared" si="121"/>
        <v>6521749</v>
      </c>
      <c r="K344" s="611">
        <f t="shared" si="129"/>
        <v>2.4865260707499014E-2</v>
      </c>
      <c r="L344" s="7">
        <v>3587360</v>
      </c>
      <c r="M344" s="4">
        <f t="shared" si="137"/>
        <v>3587360.0248652608</v>
      </c>
      <c r="N344" s="202"/>
      <c r="O344" s="4"/>
      <c r="P344" s="4"/>
      <c r="Q344" s="4"/>
      <c r="R344" s="4">
        <f t="shared" si="130"/>
        <v>149953</v>
      </c>
      <c r="S344" s="39">
        <f t="shared" si="138"/>
        <v>-24</v>
      </c>
      <c r="T344" s="91">
        <f t="shared" si="145"/>
        <v>-2286</v>
      </c>
      <c r="U344" s="91">
        <f>SUM(B331:B344)/POBLA!$B$25*100000</f>
        <v>243.93919624921557</v>
      </c>
      <c r="V344" s="91">
        <f>B344/POBLA!$B$25*100000</f>
        <v>11.357385884990581</v>
      </c>
      <c r="W344" s="625">
        <f t="shared" si="139"/>
        <v>0.76939115929941615</v>
      </c>
      <c r="X344" s="28">
        <f t="shared" si="123"/>
        <v>2.3514034397444532E-2</v>
      </c>
      <c r="Y344" s="202">
        <f t="shared" si="128"/>
        <v>0.16539003458434737</v>
      </c>
      <c r="Z344" s="297">
        <f t="shared" si="134"/>
        <v>7378.2857142857147</v>
      </c>
      <c r="AA344" s="179">
        <f t="shared" si="135"/>
        <v>164.14285714285714</v>
      </c>
      <c r="AB344" s="357">
        <f t="shared" si="119"/>
        <v>241.31591551011854</v>
      </c>
      <c r="AC344" s="610">
        <f t="shared" si="146"/>
        <v>77.173058367261405</v>
      </c>
      <c r="AD344" s="610">
        <f t="shared" si="132"/>
        <v>7907.1428571428569</v>
      </c>
      <c r="AE344" s="202">
        <f t="shared" si="142"/>
        <v>0.87461897988213777</v>
      </c>
      <c r="AF344" s="202">
        <f t="shared" si="141"/>
        <v>-3.6496115862317158E-2</v>
      </c>
      <c r="AG344" s="4"/>
      <c r="AH344" s="202">
        <f t="shared" si="136"/>
        <v>0.94567901234567897</v>
      </c>
      <c r="AI344" s="179">
        <f>MAX($B$2:B344)</f>
        <v>18326</v>
      </c>
      <c r="AJ344" s="180">
        <f t="shared" si="133"/>
        <v>1.5474330657760061E-2</v>
      </c>
      <c r="AK344" s="28">
        <f t="shared" si="147"/>
        <v>2.2655863473684888E-2</v>
      </c>
      <c r="AL344" s="202">
        <f t="shared" si="143"/>
        <v>0.992121553179516</v>
      </c>
      <c r="AM344" s="202">
        <f t="shared" si="144"/>
        <v>0.94567901234567897</v>
      </c>
      <c r="AP344" s="644">
        <f t="shared" si="126"/>
        <v>0.76939115929941615</v>
      </c>
      <c r="AT344" s="180">
        <f t="shared" si="140"/>
        <v>1.8381213757691115E-2</v>
      </c>
    </row>
    <row r="345" spans="1:46" x14ac:dyDescent="0.25">
      <c r="A345" s="107">
        <v>44236</v>
      </c>
      <c r="B345" s="126">
        <v>7794</v>
      </c>
      <c r="C345" s="126">
        <f t="shared" si="118"/>
        <v>1993295</v>
      </c>
      <c r="D345" s="126">
        <v>168</v>
      </c>
      <c r="E345" s="126">
        <f t="shared" si="124"/>
        <v>49538</v>
      </c>
      <c r="F345" s="126">
        <f t="shared" si="131"/>
        <v>6143</v>
      </c>
      <c r="G345" s="155">
        <v>1792321</v>
      </c>
      <c r="H345" s="126">
        <v>3553</v>
      </c>
      <c r="I345" s="126">
        <v>49781</v>
      </c>
      <c r="J345" s="4">
        <f t="shared" si="121"/>
        <v>6571530</v>
      </c>
      <c r="K345" s="611">
        <f t="shared" si="129"/>
        <v>2.4852317394063596E-2</v>
      </c>
      <c r="L345" s="7">
        <v>3619021</v>
      </c>
      <c r="M345" s="4">
        <f t="shared" si="137"/>
        <v>3619021.0248523173</v>
      </c>
      <c r="N345" s="202"/>
      <c r="O345" s="4"/>
      <c r="P345" s="4"/>
      <c r="Q345" s="4"/>
      <c r="R345" s="4">
        <f t="shared" si="130"/>
        <v>151436</v>
      </c>
      <c r="S345" s="39">
        <f t="shared" si="138"/>
        <v>27</v>
      </c>
      <c r="T345" s="91">
        <f t="shared" si="145"/>
        <v>1483</v>
      </c>
      <c r="U345" s="91">
        <f>SUM(B332:B345)/POBLA!$B$25*100000</f>
        <v>238.17676627458417</v>
      </c>
      <c r="V345" s="91">
        <f>B345/POBLA!$B$25*100000</f>
        <v>17.174906012343147</v>
      </c>
      <c r="W345" s="625">
        <f t="shared" si="139"/>
        <v>0.76925540546311189</v>
      </c>
      <c r="X345" s="28">
        <f t="shared" si="123"/>
        <v>2.3462056578356535E-2</v>
      </c>
      <c r="Y345" s="202">
        <f t="shared" si="128"/>
        <v>0.16814428494654549</v>
      </c>
      <c r="Z345" s="297">
        <f t="shared" si="134"/>
        <v>7106.7142857142853</v>
      </c>
      <c r="AA345" s="179">
        <f t="shared" si="135"/>
        <v>163</v>
      </c>
      <c r="AB345" s="357">
        <f t="shared" si="119"/>
        <v>234.90344198107525</v>
      </c>
      <c r="AC345" s="610">
        <f t="shared" si="146"/>
        <v>71.903441981075247</v>
      </c>
      <c r="AD345" s="610">
        <f t="shared" si="132"/>
        <v>7720.3571428571431</v>
      </c>
      <c r="AE345" s="202">
        <f t="shared" si="142"/>
        <v>0.85273749528609133</v>
      </c>
      <c r="AF345" s="202">
        <f t="shared" si="141"/>
        <v>-3.1633873247092104E-2</v>
      </c>
      <c r="AG345" s="4"/>
      <c r="AH345" s="202">
        <f t="shared" si="136"/>
        <v>0.97354948805460761</v>
      </c>
      <c r="AI345" s="179">
        <f>MAX($B$2:B345)</f>
        <v>18326</v>
      </c>
      <c r="AJ345" s="180">
        <f t="shared" si="133"/>
        <v>1.5767944501257566E-2</v>
      </c>
      <c r="AK345" s="28">
        <f t="shared" si="147"/>
        <v>2.27198608544407E-2</v>
      </c>
      <c r="AL345" s="202">
        <f t="shared" si="143"/>
        <v>0.99079754601226999</v>
      </c>
      <c r="AM345" s="202">
        <f t="shared" si="144"/>
        <v>0.97354948805460761</v>
      </c>
      <c r="AP345" s="644">
        <f t="shared" si="126"/>
        <v>0.76925540546311189</v>
      </c>
      <c r="AT345" s="180">
        <f t="shared" si="140"/>
        <v>1.8714170829060271E-2</v>
      </c>
    </row>
    <row r="346" spans="1:46" x14ac:dyDescent="0.25">
      <c r="A346" s="107">
        <v>44237</v>
      </c>
      <c r="B346" s="126">
        <v>7739</v>
      </c>
      <c r="C346" s="126">
        <f t="shared" si="118"/>
        <v>2001034</v>
      </c>
      <c r="D346" s="126">
        <v>109</v>
      </c>
      <c r="E346" s="126">
        <f t="shared" si="124"/>
        <v>49647</v>
      </c>
      <c r="F346" s="126">
        <f t="shared" si="131"/>
        <v>5799</v>
      </c>
      <c r="G346" s="155">
        <v>1798120</v>
      </c>
      <c r="H346" s="126">
        <v>3561</v>
      </c>
      <c r="I346" s="126">
        <v>50352</v>
      </c>
      <c r="J346" s="4">
        <f t="shared" si="121"/>
        <v>6621882</v>
      </c>
      <c r="K346" s="611">
        <f t="shared" si="129"/>
        <v>2.4810672882119945E-2</v>
      </c>
      <c r="L346" s="7">
        <v>3639228</v>
      </c>
      <c r="M346" s="4">
        <f t="shared" si="137"/>
        <v>3639228.0248106727</v>
      </c>
      <c r="N346" s="202"/>
      <c r="O346" s="4"/>
      <c r="P346" s="4"/>
      <c r="Q346" s="4"/>
      <c r="R346" s="4">
        <f t="shared" si="130"/>
        <v>153267</v>
      </c>
      <c r="S346" s="39">
        <f t="shared" si="138"/>
        <v>8</v>
      </c>
      <c r="T346" s="91">
        <f t="shared" si="145"/>
        <v>1831</v>
      </c>
      <c r="U346" s="91">
        <f>SUM(B333:B346)/POBLA!$B$25*100000</f>
        <v>231.33677291272721</v>
      </c>
      <c r="V346" s="91">
        <f>B346/POBLA!$B$25*100000</f>
        <v>17.053707676356634</v>
      </c>
      <c r="W346" s="625">
        <f t="shared" si="139"/>
        <v>0.75730753693444142</v>
      </c>
      <c r="X346" s="28">
        <f t="shared" si="123"/>
        <v>2.3233964258450937E-2</v>
      </c>
      <c r="Y346" s="202">
        <f t="shared" si="128"/>
        <v>0.16201925173879639</v>
      </c>
      <c r="Z346" s="297">
        <f t="shared" si="134"/>
        <v>6898.5714285714284</v>
      </c>
      <c r="AA346" s="179">
        <f t="shared" si="135"/>
        <v>162.42857142857142</v>
      </c>
      <c r="AB346" s="357">
        <f t="shared" si="119"/>
        <v>229.92752417785792</v>
      </c>
      <c r="AC346" s="610">
        <f t="shared" si="146"/>
        <v>67.498952749286502</v>
      </c>
      <c r="AD346" s="610">
        <f t="shared" si="132"/>
        <v>7498.6428571428569</v>
      </c>
      <c r="AE346" s="202">
        <f t="shared" si="142"/>
        <v>0.85181069305533508</v>
      </c>
      <c r="AF346" s="202">
        <f t="shared" si="141"/>
        <v>-3.6214203966646985E-2</v>
      </c>
      <c r="AG346" s="4"/>
      <c r="AH346" s="202">
        <f t="shared" si="136"/>
        <v>1.0308250226654576</v>
      </c>
      <c r="AI346" s="179">
        <f>MAX($B$2:B346)</f>
        <v>18326</v>
      </c>
      <c r="AJ346" s="180">
        <f t="shared" si="133"/>
        <v>1.6063179011909637E-2</v>
      </c>
      <c r="AK346" s="28">
        <f t="shared" si="147"/>
        <v>2.2392564737841611E-2</v>
      </c>
      <c r="AL346" s="202">
        <f t="shared" si="143"/>
        <v>0.99719966395967519</v>
      </c>
      <c r="AM346" s="202">
        <f t="shared" si="144"/>
        <v>1.0308250226654576</v>
      </c>
      <c r="AP346" s="644">
        <f t="shared" si="126"/>
        <v>0.75730753693444142</v>
      </c>
      <c r="AT346" s="180">
        <f t="shared" si="140"/>
        <v>1.8592218812126776E-2</v>
      </c>
    </row>
    <row r="347" spans="1:46" x14ac:dyDescent="0.25">
      <c r="A347" s="107">
        <v>44238</v>
      </c>
      <c r="B347" s="148">
        <v>7311</v>
      </c>
      <c r="C347" s="126">
        <f t="shared" si="118"/>
        <v>2008345</v>
      </c>
      <c r="D347" s="148">
        <v>195</v>
      </c>
      <c r="E347" s="126">
        <f t="shared" si="124"/>
        <v>49842</v>
      </c>
      <c r="F347" s="126">
        <f t="shared" si="131"/>
        <v>8140</v>
      </c>
      <c r="G347" s="155">
        <v>1806260</v>
      </c>
      <c r="H347" s="126">
        <v>3541</v>
      </c>
      <c r="I347" s="126">
        <v>51007</v>
      </c>
      <c r="J347" s="4">
        <f t="shared" si="121"/>
        <v>6672889</v>
      </c>
      <c r="K347" s="611">
        <f t="shared" si="129"/>
        <v>2.4817449193241203E-2</v>
      </c>
      <c r="L347" s="7">
        <v>3684608</v>
      </c>
      <c r="M347" s="4">
        <f t="shared" si="137"/>
        <v>3684608.024817449</v>
      </c>
      <c r="N347" s="202"/>
      <c r="O347" s="4"/>
      <c r="P347" s="4"/>
      <c r="Q347" s="4"/>
      <c r="R347" s="4">
        <f t="shared" si="130"/>
        <v>152243</v>
      </c>
      <c r="S347" s="39">
        <f t="shared" si="138"/>
        <v>-20</v>
      </c>
      <c r="T347" s="91">
        <f t="shared" si="145"/>
        <v>-1024</v>
      </c>
      <c r="U347" s="91">
        <f>SUM(B334:B347)/POBLA!$B$25*100000</f>
        <v>226.57698371762058</v>
      </c>
      <c r="V347" s="91">
        <f>B347/POBLA!$B$25*100000</f>
        <v>16.110564261770687</v>
      </c>
      <c r="W347" s="625">
        <f t="shared" si="139"/>
        <v>0.76271613913017677</v>
      </c>
      <c r="X347" s="28">
        <f t="shared" si="123"/>
        <v>2.3258869044882197E-2</v>
      </c>
      <c r="Y347" s="202">
        <f t="shared" si="128"/>
        <v>0.15753741134093982</v>
      </c>
      <c r="Z347" s="297">
        <f t="shared" si="134"/>
        <v>6672.8571428571431</v>
      </c>
      <c r="AA347" s="179">
        <f t="shared" si="135"/>
        <v>167.14285714285714</v>
      </c>
      <c r="AB347" s="357">
        <f t="shared" si="119"/>
        <v>222.7202244631923</v>
      </c>
      <c r="AC347" s="610">
        <f t="shared" si="146"/>
        <v>55.577367320335156</v>
      </c>
      <c r="AD347" s="610">
        <f t="shared" si="132"/>
        <v>7344.3571428571431</v>
      </c>
      <c r="AE347" s="202">
        <f t="shared" si="142"/>
        <v>0.83245709397444356</v>
      </c>
      <c r="AF347" s="202">
        <f t="shared" si="141"/>
        <v>-3.8007557279884696E-2</v>
      </c>
      <c r="AG347" s="4"/>
      <c r="AH347" s="202">
        <f t="shared" si="136"/>
        <v>1.064604185623294</v>
      </c>
      <c r="AI347" s="179">
        <f>MAX($B$2:B347)</f>
        <v>18326</v>
      </c>
      <c r="AJ347" s="180">
        <f t="shared" si="133"/>
        <v>1.6663580818366969E-2</v>
      </c>
      <c r="AK347" s="28">
        <f t="shared" si="147"/>
        <v>2.2374856247393497E-2</v>
      </c>
      <c r="AL347" s="202">
        <f t="shared" si="143"/>
        <v>0.99187675070028014</v>
      </c>
      <c r="AM347" s="202">
        <f t="shared" si="144"/>
        <v>1.064604185623294</v>
      </c>
      <c r="AP347" s="644">
        <f t="shared" si="126"/>
        <v>0.76271613913017677</v>
      </c>
      <c r="AT347" s="180">
        <f t="shared" si="140"/>
        <v>1.9060009634313327E-2</v>
      </c>
    </row>
    <row r="348" spans="1:46" x14ac:dyDescent="0.25">
      <c r="A348" s="107">
        <v>44239</v>
      </c>
      <c r="B348" s="126">
        <v>7151</v>
      </c>
      <c r="C348" s="126">
        <f t="shared" si="118"/>
        <v>2015496</v>
      </c>
      <c r="D348" s="144">
        <v>155</v>
      </c>
      <c r="E348" s="126">
        <f t="shared" si="124"/>
        <v>49997</v>
      </c>
      <c r="F348" s="126">
        <f t="shared" si="131"/>
        <v>7900</v>
      </c>
      <c r="G348" s="155">
        <v>1814160</v>
      </c>
      <c r="H348" s="126">
        <v>3538</v>
      </c>
      <c r="I348" s="126">
        <v>49074</v>
      </c>
      <c r="J348" s="4">
        <f t="shared" si="121"/>
        <v>6721963</v>
      </c>
      <c r="K348" s="611">
        <f t="shared" si="129"/>
        <v>2.4806300781544593E-2</v>
      </c>
      <c r="L348" s="7">
        <v>3716607</v>
      </c>
      <c r="M348" s="4">
        <f t="shared" si="137"/>
        <v>3716607.0248063006</v>
      </c>
      <c r="N348" s="202"/>
      <c r="O348" s="4"/>
      <c r="P348" s="4"/>
      <c r="Q348" s="4"/>
      <c r="R348" s="20">
        <f t="shared" si="130"/>
        <v>151339</v>
      </c>
      <c r="S348" s="39">
        <f t="shared" si="138"/>
        <v>-3</v>
      </c>
      <c r="T348" s="91">
        <f t="shared" si="145"/>
        <v>-904</v>
      </c>
      <c r="U348" s="91">
        <f>SUM(B335:B348)/POBLA!$B$25*100000</f>
        <v>220.65589410315226</v>
      </c>
      <c r="V348" s="91">
        <f>B348/POBLA!$B$25*100000</f>
        <v>15.757987284355382</v>
      </c>
      <c r="W348" s="625">
        <f t="shared" si="139"/>
        <v>0.75678494501757165</v>
      </c>
      <c r="X348" s="28">
        <f t="shared" si="123"/>
        <v>2.3377979238662871E-2</v>
      </c>
      <c r="Y348" s="202">
        <f t="shared" si="128"/>
        <v>0.15272806634657354</v>
      </c>
      <c r="Z348" s="297">
        <f t="shared" si="134"/>
        <v>6498.1428571428569</v>
      </c>
      <c r="AA348" s="179">
        <f t="shared" si="135"/>
        <v>148.57142857142858</v>
      </c>
      <c r="AB348" s="357">
        <f t="shared" si="119"/>
        <v>219.12817107157812</v>
      </c>
      <c r="AC348" s="610">
        <f t="shared" si="146"/>
        <v>70.556742500149539</v>
      </c>
      <c r="AD348" s="610">
        <f t="shared" si="132"/>
        <v>7152.4285714285716</v>
      </c>
      <c r="AE348" s="202">
        <f t="shared" si="142"/>
        <v>0.83237872161326332</v>
      </c>
      <c r="AF348" s="202">
        <f t="shared" si="141"/>
        <v>-3.7834573081569123E-2</v>
      </c>
      <c r="AG348" s="4"/>
      <c r="AH348" s="202">
        <f t="shared" si="136"/>
        <v>0.85950413223140498</v>
      </c>
      <c r="AI348" s="179">
        <f>MAX($B$2:B348)</f>
        <v>18326</v>
      </c>
      <c r="AJ348" s="180">
        <f t="shared" si="133"/>
        <v>1.5298617240364815E-2</v>
      </c>
      <c r="AK348" s="28">
        <f t="shared" si="147"/>
        <v>2.2493483374658275E-2</v>
      </c>
      <c r="AL348" s="202">
        <f t="shared" si="143"/>
        <v>0.99661971830985918</v>
      </c>
      <c r="AM348" s="202">
        <f t="shared" si="144"/>
        <v>0.85950413223140498</v>
      </c>
      <c r="AP348" s="644">
        <f t="shared" si="126"/>
        <v>0.75678494501757165</v>
      </c>
      <c r="AT348" s="180">
        <f t="shared" si="140"/>
        <v>1.9553061801780156E-2</v>
      </c>
    </row>
    <row r="349" spans="1:46" x14ac:dyDescent="0.25">
      <c r="A349" s="107">
        <v>44240</v>
      </c>
      <c r="B349" s="126">
        <v>6057</v>
      </c>
      <c r="C349" s="126">
        <f t="shared" si="118"/>
        <v>2021553</v>
      </c>
      <c r="D349" s="144">
        <v>158</v>
      </c>
      <c r="E349" s="126">
        <f t="shared" si="124"/>
        <v>50155</v>
      </c>
      <c r="F349" s="126">
        <f t="shared" si="131"/>
        <v>6805</v>
      </c>
      <c r="G349" s="155">
        <v>1820965</v>
      </c>
      <c r="H349" s="126">
        <v>3514</v>
      </c>
      <c r="I349" s="126">
        <v>54719</v>
      </c>
      <c r="J349" s="4">
        <f t="shared" si="121"/>
        <v>6776682</v>
      </c>
      <c r="K349" s="611">
        <f t="shared" si="129"/>
        <v>2.481013359531014E-2</v>
      </c>
      <c r="L349" s="7"/>
      <c r="M349" s="4"/>
      <c r="N349" s="202"/>
      <c r="O349" s="4"/>
      <c r="P349" s="4"/>
      <c r="Q349" s="4"/>
      <c r="R349" s="20">
        <f t="shared" si="130"/>
        <v>150433</v>
      </c>
      <c r="S349" s="39">
        <f t="shared" si="138"/>
        <v>-24</v>
      </c>
      <c r="T349" s="91">
        <f t="shared" si="145"/>
        <v>-906</v>
      </c>
      <c r="U349" s="91">
        <f>SUM(B336:B349)/POBLA!$B$25*100000</f>
        <v>218.79384694117766</v>
      </c>
      <c r="V349" s="91">
        <f>B349/POBLA!$B$25*100000</f>
        <v>13.347242201278219</v>
      </c>
      <c r="W349" s="625">
        <f t="shared" si="139"/>
        <v>0.76209080093640869</v>
      </c>
      <c r="X349" s="28">
        <f t="shared" si="123"/>
        <v>2.3359236337771632E-2</v>
      </c>
      <c r="Y349" s="202">
        <f t="shared" si="128"/>
        <v>0.14458033225375033</v>
      </c>
      <c r="Z349" s="297">
        <f t="shared" si="134"/>
        <v>6409.1428571428569</v>
      </c>
      <c r="AA349" s="179">
        <f t="shared" si="135"/>
        <v>153.28571428571428</v>
      </c>
      <c r="AB349" s="357">
        <f t="shared" si="119"/>
        <v>213.85712858825397</v>
      </c>
      <c r="AC349" s="610">
        <f t="shared" si="146"/>
        <v>60.571414302539694</v>
      </c>
      <c r="AD349" s="610">
        <f t="shared" si="132"/>
        <v>7092.0714285714284</v>
      </c>
      <c r="AE349" s="202">
        <f t="shared" si="142"/>
        <v>0.82432705558107489</v>
      </c>
      <c r="AF349" s="202">
        <f t="shared" si="141"/>
        <v>-3.2883740067374712E-2</v>
      </c>
      <c r="AG349" s="4"/>
      <c r="AH349" s="202">
        <f t="shared" si="136"/>
        <v>0.91009329940627648</v>
      </c>
      <c r="AI349" s="179">
        <f>MAX($B$2:B349)</f>
        <v>18326</v>
      </c>
      <c r="AJ349" s="180">
        <f t="shared" si="133"/>
        <v>1.592626126192985E-2</v>
      </c>
      <c r="AK349" s="28">
        <f t="shared" si="147"/>
        <v>2.2591097281867978E-2</v>
      </c>
      <c r="AL349" s="202">
        <f t="shared" si="143"/>
        <v>0.98985915492957743</v>
      </c>
      <c r="AM349" s="202">
        <f t="shared" si="144"/>
        <v>0.91009329940627648</v>
      </c>
      <c r="AP349" s="644">
        <f t="shared" si="126"/>
        <v>0.76209080093640869</v>
      </c>
      <c r="AT349" s="180">
        <f t="shared" si="140"/>
        <v>2.0180355448536507E-2</v>
      </c>
    </row>
    <row r="350" spans="1:46" x14ac:dyDescent="0.25">
      <c r="A350" s="107">
        <v>44241</v>
      </c>
      <c r="B350" s="126">
        <v>4245</v>
      </c>
      <c r="C350" s="126">
        <f t="shared" si="118"/>
        <v>2025798</v>
      </c>
      <c r="D350" s="144">
        <v>48</v>
      </c>
      <c r="E350" s="126">
        <f t="shared" si="124"/>
        <v>50203</v>
      </c>
      <c r="F350" s="126">
        <f t="shared" si="131"/>
        <v>6153</v>
      </c>
      <c r="G350" s="155">
        <v>1827118</v>
      </c>
      <c r="H350" s="126">
        <v>3547</v>
      </c>
      <c r="I350" s="126">
        <v>41673</v>
      </c>
      <c r="J350" s="4">
        <f t="shared" si="121"/>
        <v>6818355</v>
      </c>
      <c r="K350" s="611">
        <f t="shared" si="129"/>
        <v>2.4781839057990973E-2</v>
      </c>
      <c r="L350" s="7">
        <v>3778940</v>
      </c>
      <c r="M350" s="4">
        <f t="shared" si="137"/>
        <v>3778940.024781839</v>
      </c>
      <c r="N350" s="202"/>
      <c r="O350" s="4"/>
      <c r="P350" s="4"/>
      <c r="Q350" s="4"/>
      <c r="R350" s="20">
        <f t="shared" si="130"/>
        <v>148477</v>
      </c>
      <c r="S350" s="39">
        <f t="shared" si="138"/>
        <v>33</v>
      </c>
      <c r="T350" s="91">
        <f t="shared" si="145"/>
        <v>-1956</v>
      </c>
      <c r="U350" s="91">
        <f>SUM(B337:B350)/POBLA!$B$25*100000</f>
        <v>217.18521448172032</v>
      </c>
      <c r="V350" s="91">
        <f>B350/POBLA!$B$25*100000</f>
        <v>9.354307932049867</v>
      </c>
      <c r="W350" s="625">
        <f t="shared" si="139"/>
        <v>0.7700162505078284</v>
      </c>
      <c r="X350" s="28">
        <f t="shared" si="123"/>
        <v>2.3889221899688166E-2</v>
      </c>
      <c r="Y350" s="202">
        <f t="shared" si="128"/>
        <v>0.13888472973840132</v>
      </c>
      <c r="Z350" s="297">
        <f t="shared" si="134"/>
        <v>6493</v>
      </c>
      <c r="AA350" s="179">
        <f t="shared" si="135"/>
        <v>151.42857142857142</v>
      </c>
      <c r="AB350" s="357">
        <f t="shared" si="119"/>
        <v>213.29752311096712</v>
      </c>
      <c r="AC350" s="610">
        <f t="shared" si="146"/>
        <v>61.868951682395704</v>
      </c>
      <c r="AD350" s="610">
        <f t="shared" si="132"/>
        <v>7039.9285714285716</v>
      </c>
      <c r="AE350" s="202">
        <f t="shared" si="142"/>
        <v>0.85582209836559464</v>
      </c>
      <c r="AF350" s="202">
        <f t="shared" si="141"/>
        <v>-2.4711144975991695E-2</v>
      </c>
      <c r="AG350" s="4"/>
      <c r="AH350" s="202">
        <f t="shared" si="136"/>
        <v>0.88554720133667497</v>
      </c>
      <c r="AI350" s="179">
        <f>MAX($B$2:B350)</f>
        <v>18326</v>
      </c>
      <c r="AJ350" s="180">
        <f t="shared" si="133"/>
        <v>1.6148443807985861E-2</v>
      </c>
      <c r="AK350" s="28">
        <f t="shared" si="147"/>
        <v>2.3298891873961336E-2</v>
      </c>
      <c r="AL350" s="202">
        <f t="shared" si="143"/>
        <v>0.99915492957746477</v>
      </c>
      <c r="AM350" s="202">
        <f t="shared" si="144"/>
        <v>0.88554720133667497</v>
      </c>
      <c r="AP350" s="644">
        <f t="shared" si="126"/>
        <v>0.7700162505078284</v>
      </c>
      <c r="AT350" s="180">
        <f t="shared" si="140"/>
        <v>2.0626073631004611E-2</v>
      </c>
    </row>
    <row r="351" spans="1:46" x14ac:dyDescent="0.25">
      <c r="A351" s="107">
        <v>44242</v>
      </c>
      <c r="B351" s="126">
        <v>3259</v>
      </c>
      <c r="C351" s="126">
        <f t="shared" si="118"/>
        <v>2029057</v>
      </c>
      <c r="D351" s="144">
        <v>91</v>
      </c>
      <c r="E351" s="126">
        <f t="shared" si="124"/>
        <v>50294</v>
      </c>
      <c r="F351" s="126">
        <f t="shared" si="131"/>
        <v>6324</v>
      </c>
      <c r="G351" s="155">
        <v>1833442</v>
      </c>
      <c r="H351" s="126">
        <v>3538</v>
      </c>
      <c r="I351" s="126">
        <v>30040</v>
      </c>
      <c r="J351" s="4">
        <f t="shared" si="121"/>
        <v>6848395</v>
      </c>
      <c r="K351" s="611">
        <f t="shared" si="129"/>
        <v>2.4786883759302967E-2</v>
      </c>
      <c r="L351" s="7">
        <v>3807948</v>
      </c>
      <c r="M351" s="4">
        <f t="shared" si="137"/>
        <v>3807948.024786884</v>
      </c>
      <c r="N351" s="202"/>
      <c r="O351" s="4"/>
      <c r="P351" s="4"/>
      <c r="Q351" s="4"/>
      <c r="R351" s="20">
        <f t="shared" si="130"/>
        <v>145321</v>
      </c>
      <c r="S351" s="39">
        <f t="shared" si="138"/>
        <v>-9</v>
      </c>
      <c r="T351" s="91">
        <f t="shared" si="145"/>
        <v>-3156</v>
      </c>
      <c r="U351" s="91">
        <f>SUM(B338:B351)/POBLA!$B$25*100000</f>
        <v>209.79211598654311</v>
      </c>
      <c r="V351" s="91">
        <f>B351/POBLA!$B$25*100000</f>
        <v>7.181552308728036</v>
      </c>
      <c r="W351" s="625">
        <f t="shared" si="139"/>
        <v>0.75304726122206844</v>
      </c>
      <c r="X351" s="28">
        <f t="shared" si="123"/>
        <v>2.4346102765601667E-2</v>
      </c>
      <c r="Y351" s="202">
        <f t="shared" si="128"/>
        <v>0.13334312987148167</v>
      </c>
      <c r="Z351" s="297">
        <f t="shared" si="134"/>
        <v>6222.2857142857147</v>
      </c>
      <c r="AA351" s="179">
        <f t="shared" si="135"/>
        <v>132</v>
      </c>
      <c r="AB351" s="357">
        <f t="shared" si="119"/>
        <v>210.35329779461003</v>
      </c>
      <c r="AC351" s="610">
        <f t="shared" si="146"/>
        <v>78.353297794610029</v>
      </c>
      <c r="AD351" s="610">
        <f t="shared" si="132"/>
        <v>6800.2857142857147</v>
      </c>
      <c r="AE351" s="202">
        <f t="shared" si="142"/>
        <v>0.84332403965303593</v>
      </c>
      <c r="AF351" s="202">
        <f t="shared" si="141"/>
        <v>-3.088967876601334E-2</v>
      </c>
      <c r="AG351" s="4"/>
      <c r="AH351" s="202">
        <f t="shared" si="136"/>
        <v>0.80417754569190603</v>
      </c>
      <c r="AI351" s="179">
        <f>MAX($B$2:B351)</f>
        <v>18326</v>
      </c>
      <c r="AJ351" s="180">
        <f t="shared" si="133"/>
        <v>1.4354066985645933E-2</v>
      </c>
      <c r="AK351" s="28">
        <f t="shared" si="147"/>
        <v>2.3594059471967882E-2</v>
      </c>
      <c r="AL351" s="202">
        <f t="shared" si="143"/>
        <v>1.0034032898468519</v>
      </c>
      <c r="AM351" s="202">
        <f t="shared" si="144"/>
        <v>0.80417754569190603</v>
      </c>
      <c r="AP351" s="644">
        <f t="shared" si="126"/>
        <v>0.75304726122206844</v>
      </c>
      <c r="AT351" s="180">
        <f t="shared" si="140"/>
        <v>2.1216645998363409E-2</v>
      </c>
    </row>
    <row r="352" spans="1:46" x14ac:dyDescent="0.25">
      <c r="A352" s="107">
        <v>44243</v>
      </c>
      <c r="B352" s="126">
        <v>4003</v>
      </c>
      <c r="C352" s="126">
        <f t="shared" si="118"/>
        <v>2033060</v>
      </c>
      <c r="D352" s="144">
        <v>105</v>
      </c>
      <c r="E352" s="126">
        <f t="shared" si="124"/>
        <v>50399</v>
      </c>
      <c r="F352" s="126">
        <f t="shared" si="131"/>
        <v>4849</v>
      </c>
      <c r="G352" s="155">
        <v>1838291</v>
      </c>
      <c r="H352" s="126">
        <v>3581</v>
      </c>
      <c r="I352" s="126">
        <v>36282</v>
      </c>
      <c r="J352" s="4">
        <f t="shared" si="121"/>
        <v>6884677</v>
      </c>
      <c r="K352" s="611">
        <f t="shared" si="129"/>
        <v>2.4789725831997088E-2</v>
      </c>
      <c r="L352" s="7">
        <v>3832083</v>
      </c>
      <c r="M352" s="4">
        <f t="shared" si="137"/>
        <v>3832083.0247897259</v>
      </c>
      <c r="N352" s="202"/>
      <c r="O352" s="4"/>
      <c r="P352" s="4"/>
      <c r="Q352" s="4"/>
      <c r="R352" s="20">
        <f t="shared" si="130"/>
        <v>144370</v>
      </c>
      <c r="S352" s="39">
        <f t="shared" si="138"/>
        <v>43</v>
      </c>
      <c r="T352" s="91">
        <f t="shared" si="145"/>
        <v>-951</v>
      </c>
      <c r="U352" s="91">
        <f>SUM(B339:B352)/POBLA!$B$25*100000</f>
        <v>197.24919001499359</v>
      </c>
      <c r="V352" s="91">
        <f>B352/POBLA!$B$25*100000</f>
        <v>8.8210352537092138</v>
      </c>
      <c r="W352" s="625">
        <f t="shared" si="139"/>
        <v>0.72199324079077909</v>
      </c>
      <c r="X352" s="28">
        <f t="shared" si="123"/>
        <v>2.4804322227609615E-2</v>
      </c>
      <c r="Y352" s="202">
        <f t="shared" si="128"/>
        <v>0.12698509006952008</v>
      </c>
      <c r="Z352" s="297">
        <f t="shared" si="134"/>
        <v>5680.7142857142853</v>
      </c>
      <c r="AA352" s="179">
        <f t="shared" si="135"/>
        <v>123</v>
      </c>
      <c r="AB352" s="357">
        <f t="shared" si="119"/>
        <v>207.52798387279347</v>
      </c>
      <c r="AC352" s="610">
        <f t="shared" si="146"/>
        <v>84.52798387279347</v>
      </c>
      <c r="AD352" s="610">
        <f t="shared" si="132"/>
        <v>6393.7142857142853</v>
      </c>
      <c r="AE352" s="202">
        <f t="shared" si="142"/>
        <v>0.7993446841015539</v>
      </c>
      <c r="AF352" s="202">
        <f t="shared" si="141"/>
        <v>-4.6659975171029378E-2</v>
      </c>
      <c r="AG352" s="4"/>
      <c r="AH352" s="202">
        <f t="shared" si="136"/>
        <v>0.754601226993865</v>
      </c>
      <c r="AI352" s="179">
        <f>MAX($B$2:B352)</f>
        <v>18326</v>
      </c>
      <c r="AJ352" s="180">
        <f t="shared" si="133"/>
        <v>1.3787691962784442E-2</v>
      </c>
      <c r="AK352" s="28">
        <f t="shared" si="147"/>
        <v>2.3646953168335139E-2</v>
      </c>
      <c r="AL352" s="202">
        <f t="shared" si="143"/>
        <v>1.0078806642274134</v>
      </c>
      <c r="AM352" s="202">
        <f t="shared" si="144"/>
        <v>0.754601226993865</v>
      </c>
      <c r="AP352" s="644">
        <f t="shared" si="126"/>
        <v>0.72199324079077909</v>
      </c>
      <c r="AT352" s="180">
        <f t="shared" si="140"/>
        <v>2.1482612470436282E-2</v>
      </c>
    </row>
    <row r="353" spans="1:46" x14ac:dyDescent="0.25">
      <c r="A353" s="107">
        <v>44244</v>
      </c>
      <c r="B353" s="126">
        <v>6064</v>
      </c>
      <c r="C353" s="126">
        <f t="shared" ref="C353:C399" si="148">C352+B353</f>
        <v>2039124</v>
      </c>
      <c r="D353" s="126">
        <v>183</v>
      </c>
      <c r="E353" s="126">
        <f t="shared" si="124"/>
        <v>50582</v>
      </c>
      <c r="F353" s="126">
        <f t="shared" si="131"/>
        <v>4587</v>
      </c>
      <c r="G353" s="155">
        <v>1842878</v>
      </c>
      <c r="H353" s="126">
        <v>3573</v>
      </c>
      <c r="I353" s="126">
        <v>45882</v>
      </c>
      <c r="J353" s="4">
        <f t="shared" si="121"/>
        <v>6930559</v>
      </c>
      <c r="K353" s="611">
        <f t="shared" si="129"/>
        <v>2.4805749920063715E-2</v>
      </c>
      <c r="L353" s="7">
        <v>3860961</v>
      </c>
      <c r="M353" s="4">
        <f t="shared" si="137"/>
        <v>3860961.0248057498</v>
      </c>
      <c r="N353" s="202"/>
      <c r="O353" s="4"/>
      <c r="P353" s="4"/>
      <c r="Q353" s="4"/>
      <c r="R353" s="20">
        <f t="shared" si="130"/>
        <v>145664</v>
      </c>
      <c r="S353" s="39">
        <f t="shared" si="138"/>
        <v>-8</v>
      </c>
      <c r="T353" s="91">
        <f t="shared" si="145"/>
        <v>1294</v>
      </c>
      <c r="U353" s="91">
        <f>SUM(B340:B353)/POBLA!$B$25*100000</f>
        <v>190.34749568208892</v>
      </c>
      <c r="V353" s="91">
        <f>B353/POBLA!$B$25*100000</f>
        <v>13.36266744404014</v>
      </c>
      <c r="W353" s="625">
        <f t="shared" si="139"/>
        <v>0.71351279912111876</v>
      </c>
      <c r="X353" s="28">
        <f t="shared" si="123"/>
        <v>2.4529053163444638E-2</v>
      </c>
      <c r="Y353" s="202">
        <f t="shared" si="128"/>
        <v>0.12339759684071051</v>
      </c>
      <c r="Z353" s="297">
        <f t="shared" si="134"/>
        <v>5441.4285714285716</v>
      </c>
      <c r="AA353" s="179">
        <f t="shared" si="135"/>
        <v>133.57142857142858</v>
      </c>
      <c r="AB353" s="357">
        <f t="shared" si="119"/>
        <v>201.18798470255189</v>
      </c>
      <c r="AC353" s="610">
        <f t="shared" si="146"/>
        <v>67.616556131123303</v>
      </c>
      <c r="AD353" s="610">
        <f t="shared" si="132"/>
        <v>6170</v>
      </c>
      <c r="AE353" s="202">
        <f t="shared" si="142"/>
        <v>0.78877614412921937</v>
      </c>
      <c r="AF353" s="202">
        <f t="shared" si="141"/>
        <v>-4.9606242700646619E-2</v>
      </c>
      <c r="AG353" s="4"/>
      <c r="AH353" s="202">
        <f t="shared" si="136"/>
        <v>0.82233948988566419</v>
      </c>
      <c r="AI353" s="179">
        <f>MAX($B$2:B353)</f>
        <v>18326</v>
      </c>
      <c r="AJ353" s="180">
        <f t="shared" si="133"/>
        <v>1.5195345511278687E-2</v>
      </c>
      <c r="AK353" s="28">
        <f t="shared" si="147"/>
        <v>2.3312258999001741E-2</v>
      </c>
      <c r="AL353" s="202">
        <f t="shared" si="143"/>
        <v>1.0033698399326032</v>
      </c>
      <c r="AM353" s="202">
        <f t="shared" si="144"/>
        <v>0.82233948988566419</v>
      </c>
      <c r="AP353" s="644">
        <f t="shared" si="126"/>
        <v>0.71351279912111876</v>
      </c>
      <c r="AT353" s="180">
        <f t="shared" si="140"/>
        <v>2.0639113320903252E-2</v>
      </c>
    </row>
    <row r="354" spans="1:46" x14ac:dyDescent="0.25">
      <c r="A354" s="107">
        <v>44245</v>
      </c>
      <c r="B354" s="126">
        <v>7671</v>
      </c>
      <c r="C354" s="126">
        <f t="shared" si="148"/>
        <v>2046795</v>
      </c>
      <c r="D354" s="126">
        <v>242</v>
      </c>
      <c r="E354" s="126">
        <f t="shared" si="124"/>
        <v>50824</v>
      </c>
      <c r="F354" s="126">
        <f t="shared" si="131"/>
        <v>6573</v>
      </c>
      <c r="G354" s="155">
        <v>1849451</v>
      </c>
      <c r="H354" s="126">
        <v>3595</v>
      </c>
      <c r="I354" s="126">
        <v>54375</v>
      </c>
      <c r="J354" s="4">
        <f t="shared" si="121"/>
        <v>6984934</v>
      </c>
      <c r="K354" s="611">
        <f t="shared" si="129"/>
        <v>2.483101629620944E-2</v>
      </c>
      <c r="L354" s="7">
        <v>3886419</v>
      </c>
      <c r="M354" s="4">
        <f t="shared" si="137"/>
        <v>3886419.0248310161</v>
      </c>
      <c r="N354" s="202"/>
      <c r="O354" s="4"/>
      <c r="P354" s="4"/>
      <c r="Q354" s="4"/>
      <c r="R354" s="4">
        <f t="shared" si="130"/>
        <v>146520</v>
      </c>
      <c r="S354" s="39">
        <f t="shared" si="138"/>
        <v>22</v>
      </c>
      <c r="T354" s="91">
        <f t="shared" si="145"/>
        <v>856</v>
      </c>
      <c r="U354" s="91">
        <f>SUM(B341:B354)/POBLA!$B$25*100000</f>
        <v>187.65909622929721</v>
      </c>
      <c r="V354" s="91">
        <f>B354/POBLA!$B$25*100000</f>
        <v>16.903862460955128</v>
      </c>
      <c r="W354" s="625">
        <f t="shared" si="139"/>
        <v>0.71829821690649298</v>
      </c>
      <c r="X354" s="28">
        <f t="shared" si="123"/>
        <v>2.4535899535899536E-2</v>
      </c>
      <c r="Y354" s="202">
        <f t="shared" si="128"/>
        <v>0.12321940745725776</v>
      </c>
      <c r="Z354" s="297">
        <f t="shared" si="134"/>
        <v>5492.8571428571431</v>
      </c>
      <c r="AA354" s="179">
        <f t="shared" si="135"/>
        <v>140.28571428571428</v>
      </c>
      <c r="AB354" s="357">
        <f t="shared" ref="AB354:AB417" si="149">Z340*K340</f>
        <v>198.88908938571288</v>
      </c>
      <c r="AC354" s="610">
        <f t="shared" si="146"/>
        <v>58.603375099998601</v>
      </c>
      <c r="AD354" s="610">
        <f t="shared" si="132"/>
        <v>6082.8571428571431</v>
      </c>
      <c r="AE354" s="202">
        <f t="shared" si="142"/>
        <v>0.82316420466709483</v>
      </c>
      <c r="AF354" s="202">
        <f t="shared" si="141"/>
        <v>-3.7591219300723178E-2</v>
      </c>
      <c r="AG354" s="4"/>
      <c r="AH354" s="202">
        <f t="shared" si="136"/>
        <v>0.83931623931623933</v>
      </c>
      <c r="AI354" s="179">
        <f>MAX($B$2:B354)</f>
        <v>18326</v>
      </c>
      <c r="AJ354" s="180">
        <f t="shared" si="133"/>
        <v>1.6347050206418964E-2</v>
      </c>
      <c r="AK354" s="28">
        <f t="shared" si="147"/>
        <v>2.3613565155705025E-2</v>
      </c>
      <c r="AL354" s="202">
        <f t="shared" si="143"/>
        <v>1.0152499293984749</v>
      </c>
      <c r="AM354" s="202">
        <f t="shared" si="144"/>
        <v>0.83931623931623933</v>
      </c>
      <c r="AP354" s="644">
        <f t="shared" si="126"/>
        <v>0.71829821690649298</v>
      </c>
      <c r="AT354" s="180">
        <f t="shared" si="140"/>
        <v>2.1075933211868361E-2</v>
      </c>
    </row>
    <row r="355" spans="1:46" x14ac:dyDescent="0.25">
      <c r="A355" s="107">
        <v>44246</v>
      </c>
      <c r="B355" s="126">
        <v>7886</v>
      </c>
      <c r="C355" s="126">
        <f t="shared" si="148"/>
        <v>2054681</v>
      </c>
      <c r="D355" s="126">
        <v>143</v>
      </c>
      <c r="E355" s="126">
        <f t="shared" si="124"/>
        <v>50967</v>
      </c>
      <c r="F355" s="126">
        <f t="shared" si="131"/>
        <v>6194</v>
      </c>
      <c r="G355" s="155">
        <v>1855645</v>
      </c>
      <c r="H355" s="126">
        <v>3608</v>
      </c>
      <c r="I355" s="126">
        <v>59570</v>
      </c>
      <c r="J355" s="4">
        <f t="shared" si="121"/>
        <v>7044504</v>
      </c>
      <c r="K355" s="611">
        <f t="shared" si="129"/>
        <v>2.4805310410715823E-2</v>
      </c>
      <c r="L355" s="7">
        <v>3936801</v>
      </c>
      <c r="M355" s="4">
        <f t="shared" si="137"/>
        <v>3936801.0248053102</v>
      </c>
      <c r="N355" s="202"/>
      <c r="O355" s="4"/>
      <c r="P355" s="4"/>
      <c r="Q355" s="4"/>
      <c r="R355" s="4">
        <f t="shared" si="130"/>
        <v>148069</v>
      </c>
      <c r="S355" s="39">
        <f t="shared" si="138"/>
        <v>13</v>
      </c>
      <c r="T355" s="91">
        <f t="shared" si="145"/>
        <v>1549</v>
      </c>
      <c r="U355" s="91">
        <f>SUM(B342:B355)/POBLA!$B$25*100000</f>
        <v>186.5837364481805</v>
      </c>
      <c r="V355" s="91">
        <f>B355/POBLA!$B$25*100000</f>
        <v>17.377637774356948</v>
      </c>
      <c r="W355" s="625">
        <f t="shared" si="139"/>
        <v>0.72880641079713204</v>
      </c>
      <c r="X355" s="28">
        <f t="shared" si="123"/>
        <v>2.4367018079408925E-2</v>
      </c>
      <c r="Y355" s="202">
        <f t="shared" si="128"/>
        <v>0.12148843092816107</v>
      </c>
      <c r="Z355" s="297">
        <f t="shared" si="134"/>
        <v>5597.8571428571431</v>
      </c>
      <c r="AA355" s="179">
        <f t="shared" si="135"/>
        <v>138.57142857142858</v>
      </c>
      <c r="AB355" s="357">
        <f t="shared" si="149"/>
        <v>194.0058706765879</v>
      </c>
      <c r="AC355" s="610">
        <f t="shared" si="146"/>
        <v>55.43444210515932</v>
      </c>
      <c r="AD355" s="610">
        <f t="shared" si="132"/>
        <v>6048</v>
      </c>
      <c r="AE355" s="202">
        <f t="shared" si="142"/>
        <v>0.86145492118627309</v>
      </c>
      <c r="AF355" s="202">
        <f t="shared" si="141"/>
        <v>-2.1607120438221439E-2</v>
      </c>
      <c r="AG355" s="4"/>
      <c r="AH355" s="202">
        <f t="shared" si="136"/>
        <v>0.93269230769230771</v>
      </c>
      <c r="AI355" s="179">
        <f>MAX($B$2:B355)</f>
        <v>18326</v>
      </c>
      <c r="AJ355" s="180">
        <f t="shared" si="133"/>
        <v>1.61623567048787E-2</v>
      </c>
      <c r="AK355" s="28">
        <f t="shared" si="147"/>
        <v>2.3840516985046814E-2</v>
      </c>
      <c r="AL355" s="202">
        <f t="shared" si="143"/>
        <v>1.0197851893725269</v>
      </c>
      <c r="AM355" s="202">
        <f t="shared" si="144"/>
        <v>0.93269230769230771</v>
      </c>
      <c r="AP355" s="644">
        <f t="shared" si="126"/>
        <v>0.72880641079713204</v>
      </c>
      <c r="AT355" s="180">
        <f t="shared" si="140"/>
        <v>2.1448430493273541E-2</v>
      </c>
    </row>
    <row r="356" spans="1:46" x14ac:dyDescent="0.25">
      <c r="A356" s="107">
        <v>44247</v>
      </c>
      <c r="B356" s="126">
        <v>5944</v>
      </c>
      <c r="C356" s="126">
        <f t="shared" si="148"/>
        <v>2060625</v>
      </c>
      <c r="D356" s="126">
        <v>122</v>
      </c>
      <c r="E356" s="126">
        <f t="shared" si="124"/>
        <v>51089</v>
      </c>
      <c r="F356" s="126">
        <f t="shared" si="131"/>
        <v>5788</v>
      </c>
      <c r="G356" s="155">
        <v>1861433</v>
      </c>
      <c r="H356" s="126">
        <v>3605</v>
      </c>
      <c r="I356" s="126">
        <v>51122</v>
      </c>
      <c r="J356" s="4">
        <f t="shared" si="121"/>
        <v>7095626</v>
      </c>
      <c r="K356" s="611">
        <f t="shared" si="129"/>
        <v>2.4792963299969668E-2</v>
      </c>
      <c r="L356" s="7">
        <v>3966620</v>
      </c>
      <c r="M356" s="4">
        <f t="shared" si="137"/>
        <v>3966620.0247929632</v>
      </c>
      <c r="N356" s="202"/>
      <c r="O356" s="4"/>
      <c r="P356" s="4"/>
      <c r="Q356" s="4"/>
      <c r="R356" s="4">
        <f t="shared" si="130"/>
        <v>148103</v>
      </c>
      <c r="S356" s="39">
        <f t="shared" si="138"/>
        <v>-3</v>
      </c>
      <c r="T356" s="91">
        <f t="shared" si="145"/>
        <v>34</v>
      </c>
      <c r="U356" s="91">
        <f>SUM(B343:B356)/POBLA!$B$25*100000</f>
        <v>184.96188235207009</v>
      </c>
      <c r="V356" s="91">
        <f>B356/POBLA!$B$25*100000</f>
        <v>13.098234710978659</v>
      </c>
      <c r="W356" s="625">
        <f t="shared" si="139"/>
        <v>0.73308470964304739</v>
      </c>
      <c r="X356" s="28">
        <f t="shared" si="123"/>
        <v>2.4341167970939145E-2</v>
      </c>
      <c r="Y356" s="202">
        <f t="shared" si="128"/>
        <v>0.12250426407143573</v>
      </c>
      <c r="Z356" s="297">
        <f t="shared" si="134"/>
        <v>5581.7142857142853</v>
      </c>
      <c r="AA356" s="179">
        <f t="shared" si="135"/>
        <v>133.42857142857142</v>
      </c>
      <c r="AB356" s="357">
        <f t="shared" si="149"/>
        <v>193.0564443875592</v>
      </c>
      <c r="AC356" s="610">
        <f t="shared" si="146"/>
        <v>59.62787295898778</v>
      </c>
      <c r="AD356" s="610">
        <f t="shared" si="132"/>
        <v>5995.4285714285716</v>
      </c>
      <c r="AE356" s="202">
        <f t="shared" si="142"/>
        <v>0.87089871611982883</v>
      </c>
      <c r="AF356" s="202">
        <f t="shared" si="141"/>
        <v>-1.5488622842062538E-2</v>
      </c>
      <c r="AG356" s="4"/>
      <c r="AH356" s="202">
        <f t="shared" si="136"/>
        <v>0.87045666356011175</v>
      </c>
      <c r="AI356" s="179">
        <f>MAX($B$2:B356)</f>
        <v>18326</v>
      </c>
      <c r="AJ356" s="180">
        <f t="shared" si="133"/>
        <v>1.5816568448147394E-2</v>
      </c>
      <c r="AK356" s="28">
        <f t="shared" si="147"/>
        <v>2.3964156800701974E-2</v>
      </c>
      <c r="AL356" s="202">
        <f t="shared" si="143"/>
        <v>1.0258964143426295</v>
      </c>
      <c r="AM356" s="202">
        <f t="shared" si="144"/>
        <v>0.87045666356011175</v>
      </c>
      <c r="AP356" s="644">
        <f t="shared" si="126"/>
        <v>0.73308470964304739</v>
      </c>
      <c r="AT356" s="180">
        <f t="shared" si="140"/>
        <v>2.1894018791255264E-2</v>
      </c>
    </row>
    <row r="357" spans="1:46" x14ac:dyDescent="0.25">
      <c r="A357" s="107">
        <v>44248</v>
      </c>
      <c r="B357" s="126">
        <v>3709</v>
      </c>
      <c r="C357" s="126">
        <f t="shared" si="148"/>
        <v>2064334</v>
      </c>
      <c r="D357" s="126">
        <v>77</v>
      </c>
      <c r="E357" s="126">
        <f t="shared" si="124"/>
        <v>51166</v>
      </c>
      <c r="F357" s="126">
        <f t="shared" si="131"/>
        <v>5068</v>
      </c>
      <c r="G357" s="155">
        <v>1866501</v>
      </c>
      <c r="H357" s="126">
        <v>3605</v>
      </c>
      <c r="I357" s="126">
        <v>25350</v>
      </c>
      <c r="J357" s="4">
        <f t="shared" si="121"/>
        <v>7120976</v>
      </c>
      <c r="K357" s="611">
        <f t="shared" si="129"/>
        <v>2.4785717815043497E-2</v>
      </c>
      <c r="L357" s="7">
        <v>3982551</v>
      </c>
      <c r="M357" s="4">
        <f t="shared" si="137"/>
        <v>3982551.0247857179</v>
      </c>
      <c r="N357" s="202"/>
      <c r="O357" s="4"/>
      <c r="P357" s="4"/>
      <c r="Q357" s="4"/>
      <c r="R357" s="4">
        <f t="shared" si="130"/>
        <v>146667</v>
      </c>
      <c r="S357" s="39">
        <f t="shared" si="138"/>
        <v>0</v>
      </c>
      <c r="T357" s="91">
        <f t="shared" si="145"/>
        <v>-1436</v>
      </c>
      <c r="U357" s="91">
        <f>SUM(B344:B357)/POBLA!$B$25*100000</f>
        <v>185.07426626362121</v>
      </c>
      <c r="V357" s="91">
        <f>B357/POBLA!$B$25*100000</f>
        <v>8.1731750577085869</v>
      </c>
      <c r="W357" s="625">
        <f t="shared" si="139"/>
        <v>0.74243308228139038</v>
      </c>
      <c r="X357" s="28">
        <f t="shared" si="123"/>
        <v>2.4579489592069109E-2</v>
      </c>
      <c r="Y357" s="202">
        <f t="shared" si="128"/>
        <v>0.12734079921750308</v>
      </c>
      <c r="Z357" s="297">
        <f t="shared" si="134"/>
        <v>5505.1428571428569</v>
      </c>
      <c r="AA357" s="179">
        <f t="shared" si="135"/>
        <v>137.57142857142858</v>
      </c>
      <c r="AB357" s="357">
        <f t="shared" si="149"/>
        <v>188.27050035747703</v>
      </c>
      <c r="AC357" s="610">
        <f t="shared" si="146"/>
        <v>50.699071786048449</v>
      </c>
      <c r="AD357" s="610">
        <f t="shared" si="132"/>
        <v>5999.0714285714284</v>
      </c>
      <c r="AE357" s="202">
        <f t="shared" si="142"/>
        <v>0.84785813293436885</v>
      </c>
      <c r="AF357" s="202">
        <f t="shared" si="141"/>
        <v>-1.2190440270210212E-2</v>
      </c>
      <c r="AG357" s="4"/>
      <c r="AH357" s="202">
        <f t="shared" si="136"/>
        <v>0.90849056603773604</v>
      </c>
      <c r="AI357" s="179">
        <f>MAX($B$2:B357)</f>
        <v>18326</v>
      </c>
      <c r="AJ357" s="180">
        <f t="shared" si="133"/>
        <v>1.650725084850355E-2</v>
      </c>
      <c r="AK357" s="28">
        <f t="shared" si="147"/>
        <v>2.4279854792324737E-2</v>
      </c>
      <c r="AL357" s="202">
        <f t="shared" si="143"/>
        <v>1.0163518466309558</v>
      </c>
      <c r="AM357" s="202">
        <f t="shared" si="144"/>
        <v>0.90849056603773604</v>
      </c>
      <c r="AP357" s="644">
        <f t="shared" si="126"/>
        <v>0.74243308228139038</v>
      </c>
      <c r="AT357" s="180">
        <f t="shared" si="140"/>
        <v>2.194732641660016E-2</v>
      </c>
    </row>
    <row r="358" spans="1:46" x14ac:dyDescent="0.25">
      <c r="A358" s="107">
        <v>44249</v>
      </c>
      <c r="B358" s="126">
        <v>5417</v>
      </c>
      <c r="C358" s="126">
        <f t="shared" si="148"/>
        <v>2069751</v>
      </c>
      <c r="D358" s="126">
        <v>161</v>
      </c>
      <c r="E358" s="126">
        <f t="shared" si="124"/>
        <v>51327</v>
      </c>
      <c r="F358" s="126">
        <f t="shared" si="131"/>
        <v>5712</v>
      </c>
      <c r="G358" s="155">
        <v>1872213</v>
      </c>
      <c r="H358" s="126">
        <v>3550</v>
      </c>
      <c r="I358" s="126">
        <v>42145</v>
      </c>
      <c r="J358" s="4">
        <f t="shared" si="121"/>
        <v>7163121</v>
      </c>
      <c r="K358" s="611">
        <f t="shared" si="129"/>
        <v>2.4798635198147023E-2</v>
      </c>
      <c r="L358" s="7">
        <v>4011747</v>
      </c>
      <c r="M358" s="4">
        <f t="shared" si="137"/>
        <v>4011747.0247986354</v>
      </c>
      <c r="N358" s="202"/>
      <c r="O358" s="4"/>
      <c r="P358" s="4"/>
      <c r="Q358" s="4"/>
      <c r="R358" s="4">
        <f t="shared" si="130"/>
        <v>146211</v>
      </c>
      <c r="S358" s="39">
        <f t="shared" si="138"/>
        <v>-55</v>
      </c>
      <c r="T358" s="91">
        <f t="shared" si="145"/>
        <v>-456</v>
      </c>
      <c r="U358" s="91">
        <f>SUM(B345:B358)/POBLA!$B$25*100000</f>
        <v>185.65381467024764</v>
      </c>
      <c r="V358" s="91">
        <f>B358/POBLA!$B$25*100000</f>
        <v>11.936934291616991</v>
      </c>
      <c r="W358" s="625">
        <f t="shared" si="139"/>
        <v>0.76106594399277328</v>
      </c>
      <c r="X358" s="28">
        <f t="shared" si="123"/>
        <v>2.4279978934553487E-2</v>
      </c>
      <c r="Y358" s="202">
        <f t="shared" si="128"/>
        <v>0.12929977186505087</v>
      </c>
      <c r="Z358" s="297">
        <f t="shared" si="134"/>
        <v>5813.4285714285716</v>
      </c>
      <c r="AA358" s="179">
        <f t="shared" si="135"/>
        <v>147.57142857142858</v>
      </c>
      <c r="AB358" s="357">
        <f t="shared" si="149"/>
        <v>183.46299786012989</v>
      </c>
      <c r="AC358" s="610">
        <f t="shared" si="146"/>
        <v>35.891569288701305</v>
      </c>
      <c r="AD358" s="610">
        <f t="shared" si="132"/>
        <v>6017.8571428571431</v>
      </c>
      <c r="AE358" s="202">
        <f t="shared" si="142"/>
        <v>0.93429148682156304</v>
      </c>
      <c r="AF358" s="202">
        <f t="shared" si="141"/>
        <v>6.1243729399054203E-3</v>
      </c>
      <c r="AG358" s="4"/>
      <c r="AH358" s="202">
        <f t="shared" si="136"/>
        <v>1.1179653679653681</v>
      </c>
      <c r="AI358" s="179">
        <f>MAX($B$2:B358)</f>
        <v>18326</v>
      </c>
      <c r="AJ358" s="180">
        <f t="shared" si="133"/>
        <v>1.822158720079025E-2</v>
      </c>
      <c r="AK358" s="28">
        <f t="shared" si="147"/>
        <v>2.4428678580521741E-2</v>
      </c>
      <c r="AL358" s="202">
        <f t="shared" si="143"/>
        <v>1.0033917467495761</v>
      </c>
      <c r="AM358" s="202">
        <f t="shared" si="144"/>
        <v>1.1179653679653681</v>
      </c>
      <c r="AP358" s="644">
        <f t="shared" si="126"/>
        <v>0.76106594399277328</v>
      </c>
      <c r="AT358" s="180">
        <f t="shared" si="140"/>
        <v>2.2253913345121147E-2</v>
      </c>
    </row>
    <row r="359" spans="1:46" x14ac:dyDescent="0.25">
      <c r="A359" s="107">
        <v>44250</v>
      </c>
      <c r="B359" s="126">
        <v>7477</v>
      </c>
      <c r="C359" s="126">
        <f t="shared" si="148"/>
        <v>2077228</v>
      </c>
      <c r="D359" s="126">
        <v>155</v>
      </c>
      <c r="E359" s="126">
        <f t="shared" si="124"/>
        <v>51482</v>
      </c>
      <c r="F359" s="126">
        <f t="shared" si="131"/>
        <v>5685</v>
      </c>
      <c r="G359" s="155">
        <v>1877898</v>
      </c>
      <c r="H359" s="126">
        <v>3529</v>
      </c>
      <c r="I359" s="126">
        <v>50888</v>
      </c>
      <c r="J359" s="4">
        <f t="shared" si="121"/>
        <v>7214009</v>
      </c>
      <c r="K359" s="611">
        <f t="shared" si="129"/>
        <v>2.4783990972584619E-2</v>
      </c>
      <c r="L359" s="7">
        <v>4042409</v>
      </c>
      <c r="M359" s="4">
        <f t="shared" si="137"/>
        <v>4042409.0247839908</v>
      </c>
      <c r="N359" s="202"/>
      <c r="O359" s="4"/>
      <c r="P359" s="4"/>
      <c r="Q359" s="4"/>
      <c r="R359" s="4">
        <f t="shared" si="130"/>
        <v>147848</v>
      </c>
      <c r="S359" s="39">
        <f t="shared" si="138"/>
        <v>-21</v>
      </c>
      <c r="T359" s="91">
        <f t="shared" si="145"/>
        <v>1637</v>
      </c>
      <c r="U359" s="91">
        <f>SUM(B346:B359)/POBLA!$B$25*100000</f>
        <v>184.95527153374357</v>
      </c>
      <c r="V359" s="91">
        <f>B359/POBLA!$B$25*100000</f>
        <v>16.476362875839072</v>
      </c>
      <c r="W359" s="625">
        <f t="shared" si="139"/>
        <v>0.77654623675810708</v>
      </c>
      <c r="X359" s="28">
        <f t="shared" si="123"/>
        <v>2.3869108814458091E-2</v>
      </c>
      <c r="Y359" s="202">
        <f t="shared" si="128"/>
        <v>0.13411390329515505</v>
      </c>
      <c r="Z359" s="297">
        <f t="shared" si="134"/>
        <v>6309.7142857142853</v>
      </c>
      <c r="AA359" s="179">
        <f t="shared" si="135"/>
        <v>154.71428571428572</v>
      </c>
      <c r="AB359" s="357">
        <f t="shared" si="149"/>
        <v>176.61831905749739</v>
      </c>
      <c r="AC359" s="610">
        <f t="shared" si="146"/>
        <v>21.904033343211665</v>
      </c>
      <c r="AD359" s="610">
        <f t="shared" si="132"/>
        <v>5995.2142857142853</v>
      </c>
      <c r="AE359" s="202">
        <f t="shared" si="142"/>
        <v>1.1107255123852635</v>
      </c>
      <c r="AF359" s="202">
        <f t="shared" si="141"/>
        <v>2.4090877606150807E-2</v>
      </c>
      <c r="AG359" s="4"/>
      <c r="AH359" s="202">
        <f t="shared" si="136"/>
        <v>1.2578397212543555</v>
      </c>
      <c r="AI359" s="179">
        <f>MAX($B$2:B359)</f>
        <v>18326</v>
      </c>
      <c r="AJ359" s="180">
        <f t="shared" si="133"/>
        <v>1.9301028318867958E-2</v>
      </c>
      <c r="AK359" s="28">
        <f t="shared" si="147"/>
        <v>2.4444136593475097E-2</v>
      </c>
      <c r="AL359" s="202">
        <f t="shared" si="143"/>
        <v>0.98547891650376984</v>
      </c>
      <c r="AM359" s="202">
        <f t="shared" si="144"/>
        <v>1.2578397212543555</v>
      </c>
      <c r="AP359" s="644">
        <f t="shared" si="126"/>
        <v>0.77654623675810708</v>
      </c>
      <c r="AT359" s="180">
        <f t="shared" si="140"/>
        <v>2.230423085164639E-2</v>
      </c>
    </row>
    <row r="360" spans="1:46" x14ac:dyDescent="0.25">
      <c r="A360" s="107">
        <v>44251</v>
      </c>
      <c r="B360" s="126">
        <v>8183</v>
      </c>
      <c r="C360" s="126">
        <f t="shared" si="148"/>
        <v>2085411</v>
      </c>
      <c r="D360" s="126">
        <v>140</v>
      </c>
      <c r="E360" s="126">
        <f t="shared" si="124"/>
        <v>51622</v>
      </c>
      <c r="F360" s="126">
        <f t="shared" si="131"/>
        <v>4670</v>
      </c>
      <c r="G360" s="155">
        <v>1882568</v>
      </c>
      <c r="H360" s="126">
        <v>3504</v>
      </c>
      <c r="I360" s="126">
        <v>46790</v>
      </c>
      <c r="J360" s="4">
        <f t="shared" si="121"/>
        <v>7260799</v>
      </c>
      <c r="K360" s="611">
        <f t="shared" si="129"/>
        <v>2.4753873457078725E-2</v>
      </c>
      <c r="L360" s="7">
        <v>4062615</v>
      </c>
      <c r="M360" s="4">
        <f t="shared" si="137"/>
        <v>4062615.0247538732</v>
      </c>
      <c r="N360" s="202"/>
      <c r="O360" s="4"/>
      <c r="P360" s="4"/>
      <c r="Q360" s="4"/>
      <c r="R360" s="4">
        <f t="shared" si="130"/>
        <v>151221</v>
      </c>
      <c r="S360" s="39">
        <f t="shared" si="138"/>
        <v>-25</v>
      </c>
      <c r="T360" s="91">
        <f t="shared" si="145"/>
        <v>3373</v>
      </c>
      <c r="U360" s="91">
        <f>SUM(B347:B360)/POBLA!$B$25*100000</f>
        <v>185.93367264607105</v>
      </c>
      <c r="V360" s="91">
        <f>B360/POBLA!$B$25*100000</f>
        <v>18.032108788684113</v>
      </c>
      <c r="W360" s="625">
        <f t="shared" si="139"/>
        <v>0.80373591411779277</v>
      </c>
      <c r="X360" s="28">
        <f t="shared" si="123"/>
        <v>2.3171384926696688E-2</v>
      </c>
      <c r="Y360" s="202">
        <f t="shared" si="128"/>
        <v>0.14016170058139535</v>
      </c>
      <c r="Z360" s="297">
        <f t="shared" si="134"/>
        <v>6612.4285714285716</v>
      </c>
      <c r="AA360" s="179">
        <f t="shared" si="135"/>
        <v>148.57142857142858</v>
      </c>
      <c r="AB360" s="357">
        <f t="shared" si="149"/>
        <v>171.1581990682246</v>
      </c>
      <c r="AC360" s="610">
        <f t="shared" si="146"/>
        <v>22.586770496796021</v>
      </c>
      <c r="AD360" s="610">
        <f t="shared" si="132"/>
        <v>6026.9285714285716</v>
      </c>
      <c r="AE360" s="202">
        <f t="shared" si="142"/>
        <v>1.2152008401155159</v>
      </c>
      <c r="AF360" s="202">
        <f t="shared" si="141"/>
        <v>3.8149439806678398E-2</v>
      </c>
      <c r="AG360" s="4"/>
      <c r="AH360" s="202">
        <f t="shared" si="136"/>
        <v>1.1122994652406417</v>
      </c>
      <c r="AI360" s="179">
        <f>MAX($B$2:B360)</f>
        <v>18326</v>
      </c>
      <c r="AJ360" s="180">
        <f t="shared" si="133"/>
        <v>1.9031236847402423E-2</v>
      </c>
      <c r="AK360" s="28">
        <f t="shared" si="147"/>
        <v>2.4055360281195079E-2</v>
      </c>
      <c r="AL360" s="202">
        <f t="shared" si="143"/>
        <v>0.98068849706129302</v>
      </c>
      <c r="AM360" s="202">
        <f t="shared" si="144"/>
        <v>1.1122994652406417</v>
      </c>
      <c r="AP360" s="644">
        <f t="shared" si="126"/>
        <v>0.80373591411779277</v>
      </c>
      <c r="AT360" s="180">
        <f t="shared" si="140"/>
        <v>2.1917287878068469E-2</v>
      </c>
    </row>
    <row r="361" spans="1:46" x14ac:dyDescent="0.25">
      <c r="A361" s="107">
        <v>44252</v>
      </c>
      <c r="B361" s="126">
        <v>8234</v>
      </c>
      <c r="C361" s="126">
        <f t="shared" si="148"/>
        <v>2093645</v>
      </c>
      <c r="D361" s="126">
        <v>145</v>
      </c>
      <c r="E361" s="126">
        <f t="shared" si="124"/>
        <v>51767</v>
      </c>
      <c r="F361" s="126">
        <f t="shared" si="131"/>
        <v>5279</v>
      </c>
      <c r="G361" s="155">
        <v>1887847</v>
      </c>
      <c r="H361" s="126">
        <v>3467</v>
      </c>
      <c r="I361" s="126">
        <v>50336</v>
      </c>
      <c r="J361" s="4">
        <f t="shared" si="121"/>
        <v>7311135</v>
      </c>
      <c r="K361" s="611">
        <f t="shared" si="129"/>
        <v>2.4725777292711994E-2</v>
      </c>
      <c r="L361" s="7">
        <v>4093490</v>
      </c>
      <c r="M361" s="4">
        <f t="shared" si="137"/>
        <v>4093490.0247257771</v>
      </c>
      <c r="N361" s="202"/>
      <c r="O361" s="4"/>
      <c r="P361" s="4"/>
      <c r="Q361" s="4"/>
      <c r="R361" s="4">
        <f t="shared" si="130"/>
        <v>154031</v>
      </c>
      <c r="S361" s="39">
        <f t="shared" si="138"/>
        <v>-37</v>
      </c>
      <c r="T361" s="91">
        <f t="shared" si="145"/>
        <v>2810</v>
      </c>
      <c r="U361" s="91">
        <f>SUM(B348:B361)/POBLA!$B$25*100000</f>
        <v>187.9676010845356</v>
      </c>
      <c r="V361" s="91">
        <f>B361/POBLA!$B$25*100000</f>
        <v>18.14449270023524</v>
      </c>
      <c r="W361" s="625">
        <f t="shared" si="139"/>
        <v>0.82959706674706524</v>
      </c>
      <c r="X361" s="28">
        <f t="shared" si="123"/>
        <v>2.2508456090007855E-2</v>
      </c>
      <c r="Y361" s="202">
        <f t="shared" si="128"/>
        <v>0.14362310354658631</v>
      </c>
      <c r="Z361" s="297">
        <f t="shared" si="134"/>
        <v>6692.8571428571431</v>
      </c>
      <c r="AA361" s="179">
        <f t="shared" si="135"/>
        <v>134.71428571428572</v>
      </c>
      <c r="AB361" s="357">
        <f t="shared" si="149"/>
        <v>165.6032931166138</v>
      </c>
      <c r="AC361" s="610">
        <f t="shared" si="146"/>
        <v>30.889007402328076</v>
      </c>
      <c r="AD361" s="610">
        <f t="shared" si="132"/>
        <v>6092.8571428571431</v>
      </c>
      <c r="AE361" s="202">
        <f t="shared" si="142"/>
        <v>1.2184655396618986</v>
      </c>
      <c r="AF361" s="202">
        <f t="shared" si="141"/>
        <v>5.1262626262626343E-2</v>
      </c>
      <c r="AG361" s="4"/>
      <c r="AH361" s="202">
        <f t="shared" si="136"/>
        <v>0.96028513238289215</v>
      </c>
      <c r="AI361" s="179">
        <f>MAX($B$2:B361)</f>
        <v>18326</v>
      </c>
      <c r="AJ361" s="180">
        <f t="shared" si="133"/>
        <v>1.7326596233348646E-2</v>
      </c>
      <c r="AK361" s="28">
        <f t="shared" si="147"/>
        <v>2.3662298662298662E-2</v>
      </c>
      <c r="AL361" s="202">
        <f t="shared" si="143"/>
        <v>0.96439499304589704</v>
      </c>
      <c r="AM361" s="202">
        <f t="shared" si="144"/>
        <v>0.96028513238289215</v>
      </c>
      <c r="AP361" s="644">
        <f t="shared" si="126"/>
        <v>0.82959706674706524</v>
      </c>
      <c r="AT361" s="180">
        <f t="shared" si="140"/>
        <v>2.1790966008587809E-2</v>
      </c>
    </row>
    <row r="362" spans="1:46" x14ac:dyDescent="0.25">
      <c r="A362" s="107">
        <v>44253</v>
      </c>
      <c r="B362" s="126">
        <v>5083</v>
      </c>
      <c r="C362" s="126">
        <f t="shared" si="148"/>
        <v>2098728</v>
      </c>
      <c r="D362" s="126">
        <v>92</v>
      </c>
      <c r="E362" s="126">
        <f t="shared" si="124"/>
        <v>51859</v>
      </c>
      <c r="F362" s="126">
        <f t="shared" si="131"/>
        <v>4987</v>
      </c>
      <c r="G362" s="155">
        <v>1892834</v>
      </c>
      <c r="H362" s="126">
        <v>3475</v>
      </c>
      <c r="I362" s="126">
        <v>43445</v>
      </c>
      <c r="J362" s="4">
        <f t="shared" ref="J362:J388" si="150">J363-I363</f>
        <v>7354580</v>
      </c>
      <c r="K362" s="611">
        <f t="shared" si="129"/>
        <v>2.4709728940577338E-2</v>
      </c>
      <c r="L362" s="7">
        <v>4129185</v>
      </c>
      <c r="M362" s="4">
        <f t="shared" si="137"/>
        <v>4129185.024709729</v>
      </c>
      <c r="N362" s="202"/>
      <c r="O362" s="4"/>
      <c r="P362" s="4"/>
      <c r="Q362" s="4"/>
      <c r="R362" s="4">
        <f t="shared" si="130"/>
        <v>154035</v>
      </c>
      <c r="S362" s="39">
        <f t="shared" si="138"/>
        <v>8</v>
      </c>
      <c r="T362" s="91">
        <f t="shared" si="145"/>
        <v>4</v>
      </c>
      <c r="U362" s="91">
        <f>SUM(B349:B362)/POBLA!$B$25*100000</f>
        <v>183.41054365144277</v>
      </c>
      <c r="V362" s="91">
        <f>B362/POBLA!$B$25*100000</f>
        <v>11.200929851262538</v>
      </c>
      <c r="W362" s="625">
        <f t="shared" si="139"/>
        <v>0.83120618371382349</v>
      </c>
      <c r="X362" s="28">
        <f t="shared" si="123"/>
        <v>2.2559807835881455E-2</v>
      </c>
      <c r="Y362" s="202">
        <f t="shared" si="128"/>
        <v>0.14205227105612817</v>
      </c>
      <c r="Z362" s="297">
        <f t="shared" si="134"/>
        <v>6292.4285714285716</v>
      </c>
      <c r="AA362" s="179">
        <f t="shared" si="135"/>
        <v>127.42857142857143</v>
      </c>
      <c r="AB362" s="357">
        <f t="shared" si="149"/>
        <v>161.19488623573127</v>
      </c>
      <c r="AC362" s="610">
        <f t="shared" si="146"/>
        <v>33.766314807159844</v>
      </c>
      <c r="AD362" s="610">
        <f t="shared" si="132"/>
        <v>5945.1428571428569</v>
      </c>
      <c r="AE362" s="202">
        <f t="shared" si="142"/>
        <v>1.1240780911062906</v>
      </c>
      <c r="AF362" s="202">
        <f t="shared" si="141"/>
        <v>4.0292026014898452E-2</v>
      </c>
      <c r="AG362" s="4"/>
      <c r="AH362" s="202">
        <f t="shared" si="136"/>
        <v>0.91958762886597933</v>
      </c>
      <c r="AI362" s="179">
        <f>MAX($B$2:B362)</f>
        <v>18326</v>
      </c>
      <c r="AJ362" s="180">
        <f t="shared" si="133"/>
        <v>1.6795962943436018E-2</v>
      </c>
      <c r="AK362" s="28">
        <f t="shared" si="147"/>
        <v>2.3468788200095902E-2</v>
      </c>
      <c r="AL362" s="202">
        <f t="shared" si="143"/>
        <v>0.96313747228381374</v>
      </c>
      <c r="AM362" s="202">
        <f t="shared" si="144"/>
        <v>0.91958762886597933</v>
      </c>
      <c r="AP362" s="644">
        <f t="shared" si="126"/>
        <v>0.83120618371382349</v>
      </c>
      <c r="AT362" s="180">
        <f t="shared" si="140"/>
        <v>2.1966202047613174E-2</v>
      </c>
    </row>
    <row r="363" spans="1:46" x14ac:dyDescent="0.25">
      <c r="A363" s="107">
        <v>44254</v>
      </c>
      <c r="B363" s="126">
        <v>5469</v>
      </c>
      <c r="C363" s="126">
        <f t="shared" si="148"/>
        <v>2104197</v>
      </c>
      <c r="D363" s="126">
        <v>59</v>
      </c>
      <c r="E363" s="126">
        <f t="shared" si="124"/>
        <v>51918</v>
      </c>
      <c r="F363" s="126">
        <f t="shared" si="131"/>
        <v>6253</v>
      </c>
      <c r="G363" s="155">
        <v>1899087</v>
      </c>
      <c r="H363" s="126">
        <v>3494</v>
      </c>
      <c r="I363" s="126">
        <v>40095</v>
      </c>
      <c r="J363" s="4">
        <f t="shared" si="150"/>
        <v>7394675</v>
      </c>
      <c r="K363" s="611">
        <f t="shared" si="129"/>
        <v>2.4673545300178644E-2</v>
      </c>
      <c r="L363" s="7">
        <v>4146549</v>
      </c>
      <c r="M363" s="4">
        <f t="shared" si="137"/>
        <v>4146549.0246735453</v>
      </c>
      <c r="N363" s="202"/>
      <c r="O363" s="4"/>
      <c r="P363" s="4"/>
      <c r="Q363" s="4"/>
      <c r="R363" s="4">
        <f t="shared" si="130"/>
        <v>153192</v>
      </c>
      <c r="S363" s="39">
        <f t="shared" si="138"/>
        <v>19</v>
      </c>
      <c r="T363" s="91">
        <f t="shared" si="145"/>
        <v>-843</v>
      </c>
      <c r="U363" s="91">
        <f>SUM(B350:B363)/POBLA!$B$25*100000</f>
        <v>182.11482325944149</v>
      </c>
      <c r="V363" s="91">
        <f>B363/POBLA!$B$25*100000</f>
        <v>12.051521809276965</v>
      </c>
      <c r="W363" s="625">
        <f t="shared" si="139"/>
        <v>0.83235806584818062</v>
      </c>
      <c r="X363" s="28">
        <f t="shared" si="123"/>
        <v>2.2807979528957127E-2</v>
      </c>
      <c r="Y363" s="202">
        <f t="shared" si="128"/>
        <v>0.14570187494357112</v>
      </c>
      <c r="Z363" s="297">
        <f t="shared" si="134"/>
        <v>6224.5714285714284</v>
      </c>
      <c r="AA363" s="179">
        <f t="shared" si="135"/>
        <v>118.42857142857143</v>
      </c>
      <c r="AB363" s="357">
        <f t="shared" si="149"/>
        <v>159.011690517142</v>
      </c>
      <c r="AC363" s="610">
        <f t="shared" si="146"/>
        <v>40.583119088570569</v>
      </c>
      <c r="AD363" s="610">
        <f t="shared" si="132"/>
        <v>5903.1428571428569</v>
      </c>
      <c r="AE363" s="202">
        <f t="shared" si="142"/>
        <v>1.1151719901719903</v>
      </c>
      <c r="AF363" s="202">
        <f t="shared" si="141"/>
        <v>3.4361221582277279E-2</v>
      </c>
      <c r="AG363" s="4"/>
      <c r="AH363" s="202">
        <f t="shared" si="136"/>
        <v>0.88758029978586739</v>
      </c>
      <c r="AI363" s="179">
        <f>MAX($B$2:B363)</f>
        <v>18326</v>
      </c>
      <c r="AJ363" s="180">
        <f t="shared" si="133"/>
        <v>1.6050960346964065E-2</v>
      </c>
      <c r="AK363" s="28">
        <f t="shared" si="147"/>
        <v>2.3591689567395664E-2</v>
      </c>
      <c r="AL363" s="202">
        <f t="shared" si="143"/>
        <v>0.96920943134535364</v>
      </c>
      <c r="AM363" s="202">
        <f t="shared" si="144"/>
        <v>0.88758029978586739</v>
      </c>
      <c r="AP363" s="644">
        <f t="shared" si="126"/>
        <v>0.83235806584818062</v>
      </c>
      <c r="AT363" s="180">
        <f t="shared" si="140"/>
        <v>2.187010816769264E-2</v>
      </c>
    </row>
    <row r="364" spans="1:46" x14ac:dyDescent="0.25">
      <c r="A364" s="107">
        <v>44255</v>
      </c>
      <c r="B364" s="126">
        <v>3168</v>
      </c>
      <c r="C364" s="126">
        <f t="shared" si="148"/>
        <v>2107365</v>
      </c>
      <c r="D364" s="126">
        <v>19</v>
      </c>
      <c r="E364" s="126">
        <f t="shared" si="124"/>
        <v>51937</v>
      </c>
      <c r="F364" s="126">
        <f t="shared" si="131"/>
        <v>5934</v>
      </c>
      <c r="G364" s="155">
        <v>1905021</v>
      </c>
      <c r="H364" s="126">
        <v>3505</v>
      </c>
      <c r="I364" s="126">
        <v>30915</v>
      </c>
      <c r="J364" s="4">
        <f t="shared" si="150"/>
        <v>7425590</v>
      </c>
      <c r="K364" s="611">
        <f t="shared" si="129"/>
        <v>2.4645469579308757E-2</v>
      </c>
      <c r="L364" s="7">
        <v>4175784</v>
      </c>
      <c r="M364" s="4">
        <f t="shared" si="137"/>
        <v>4175784.0246454696</v>
      </c>
      <c r="N364" s="202"/>
      <c r="O364" s="4"/>
      <c r="P364" s="4"/>
      <c r="Q364" s="4"/>
      <c r="R364" s="4">
        <f t="shared" si="130"/>
        <v>150407</v>
      </c>
      <c r="S364" s="39">
        <f t="shared" si="138"/>
        <v>11</v>
      </c>
      <c r="T364" s="91">
        <f t="shared" si="145"/>
        <v>-2785</v>
      </c>
      <c r="U364" s="91">
        <f>SUM(B351:B364)/POBLA!$B$25*100000</f>
        <v>179.7415394802147</v>
      </c>
      <c r="V364" s="91">
        <f>B364/POBLA!$B$25*100000</f>
        <v>6.9810241528230801</v>
      </c>
      <c r="W364" s="625">
        <f t="shared" si="139"/>
        <v>0.82759565336498953</v>
      </c>
      <c r="X364" s="28">
        <f t="shared" si="123"/>
        <v>2.3303436675154748E-2</v>
      </c>
      <c r="Y364" s="202">
        <f t="shared" si="128"/>
        <v>0.14126402594759269</v>
      </c>
      <c r="Z364" s="297">
        <f t="shared" si="134"/>
        <v>6147.2857142857147</v>
      </c>
      <c r="AA364" s="179">
        <f t="shared" si="135"/>
        <v>110.14285714285714</v>
      </c>
      <c r="AB364" s="357">
        <f t="shared" si="149"/>
        <v>160.9084810035354</v>
      </c>
      <c r="AC364" s="610">
        <f t="shared" si="146"/>
        <v>50.765623860678261</v>
      </c>
      <c r="AD364" s="610">
        <f t="shared" si="132"/>
        <v>5826.2142857142853</v>
      </c>
      <c r="AE364" s="202">
        <f t="shared" si="142"/>
        <v>1.1166441768735729</v>
      </c>
      <c r="AF364" s="202">
        <f t="shared" si="141"/>
        <v>2.5499942045586366E-2</v>
      </c>
      <c r="AG364" s="4"/>
      <c r="AH364" s="202">
        <f t="shared" si="136"/>
        <v>0.80062305295950142</v>
      </c>
      <c r="AI364" s="179">
        <f>MAX($B$2:B364)</f>
        <v>18326</v>
      </c>
      <c r="AJ364" s="180">
        <f t="shared" si="133"/>
        <v>1.5498422015397913E-2</v>
      </c>
      <c r="AK364" s="28">
        <f t="shared" si="147"/>
        <v>2.3897672959834183E-2</v>
      </c>
      <c r="AL364" s="202">
        <f t="shared" si="143"/>
        <v>0.9722607489597781</v>
      </c>
      <c r="AM364" s="202">
        <f t="shared" si="144"/>
        <v>0.80062305295950142</v>
      </c>
      <c r="AP364" s="644">
        <f t="shared" si="126"/>
        <v>0.82759565336498953</v>
      </c>
      <c r="AT364" s="180">
        <f t="shared" si="140"/>
        <v>2.1822575688921528E-2</v>
      </c>
    </row>
    <row r="365" spans="1:46" x14ac:dyDescent="0.25">
      <c r="A365" s="107">
        <v>44256</v>
      </c>
      <c r="B365" s="126">
        <v>4658</v>
      </c>
      <c r="C365" s="126">
        <f t="shared" si="148"/>
        <v>2112023</v>
      </c>
      <c r="D365" s="126">
        <v>112</v>
      </c>
      <c r="E365" s="126">
        <f t="shared" si="124"/>
        <v>52049</v>
      </c>
      <c r="F365" s="126">
        <f t="shared" si="131"/>
        <v>6317</v>
      </c>
      <c r="G365" s="155">
        <v>1911338</v>
      </c>
      <c r="H365" s="126">
        <v>3505</v>
      </c>
      <c r="I365" s="126">
        <v>30136</v>
      </c>
      <c r="J365" s="4">
        <f t="shared" si="150"/>
        <v>7455726</v>
      </c>
      <c r="K365" s="611">
        <f t="shared" si="129"/>
        <v>2.4644144500320309E-2</v>
      </c>
      <c r="L365" s="7">
        <v>4195306</v>
      </c>
      <c r="M365" s="4">
        <f t="shared" si="137"/>
        <v>4195306.0246441448</v>
      </c>
      <c r="N365" s="202"/>
      <c r="O365" s="4"/>
      <c r="P365" s="4"/>
      <c r="Q365" s="4"/>
      <c r="R365" s="4">
        <f t="shared" si="130"/>
        <v>148636</v>
      </c>
      <c r="S365" s="39">
        <f t="shared" ref="S365:S397" si="151">H365-H364</f>
        <v>0</v>
      </c>
      <c r="T365" s="91">
        <f t="shared" si="145"/>
        <v>-1771</v>
      </c>
      <c r="U365" s="91">
        <f>SUM(B352:B365)/POBLA!$B$25*100000</f>
        <v>182.82438442648981</v>
      </c>
      <c r="V365" s="91">
        <f>B365/POBLA!$B$25*100000</f>
        <v>10.264397255003129</v>
      </c>
      <c r="W365" s="625">
        <f t="shared" si="139"/>
        <v>0.8714549808831562</v>
      </c>
      <c r="X365" s="28">
        <f t="shared" si="123"/>
        <v>2.358109744610996E-2</v>
      </c>
      <c r="Y365" s="202">
        <f t="shared" si="128"/>
        <v>0.14446779788452008</v>
      </c>
      <c r="Z365" s="297">
        <f t="shared" si="134"/>
        <v>6038.8571428571431</v>
      </c>
      <c r="AA365" s="179">
        <f t="shared" si="135"/>
        <v>103.14285714285714</v>
      </c>
      <c r="AB365" s="357">
        <f t="shared" si="149"/>
        <v>154.23107271717143</v>
      </c>
      <c r="AC365" s="610">
        <f t="shared" si="146"/>
        <v>51.08821557431429</v>
      </c>
      <c r="AD365" s="610">
        <f t="shared" si="132"/>
        <v>5926.1428571428569</v>
      </c>
      <c r="AE365" s="202">
        <f t="shared" si="142"/>
        <v>1.0387772153142969</v>
      </c>
      <c r="AF365" s="202">
        <f t="shared" si="141"/>
        <v>1.6585619413040043E-2</v>
      </c>
      <c r="AG365" s="4"/>
      <c r="AH365" s="202">
        <f t="shared" si="136"/>
        <v>0.69893514036786053</v>
      </c>
      <c r="AI365" s="179">
        <f>MAX($B$2:B365)</f>
        <v>18326</v>
      </c>
      <c r="AJ365" s="180">
        <f t="shared" si="133"/>
        <v>1.4951335680265064E-2</v>
      </c>
      <c r="AK365" s="28">
        <f t="shared" si="147"/>
        <v>2.397220455369295E-2</v>
      </c>
      <c r="AL365" s="202">
        <f t="shared" si="143"/>
        <v>0.98732394366197185</v>
      </c>
      <c r="AM365" s="202">
        <f t="shared" si="144"/>
        <v>0.69893514036786053</v>
      </c>
      <c r="AP365" s="644">
        <f t="shared" si="126"/>
        <v>0.8714549808831562</v>
      </c>
      <c r="AT365" s="180">
        <f t="shared" si="140"/>
        <v>2.1848766066431633E-2</v>
      </c>
    </row>
    <row r="366" spans="1:46" x14ac:dyDescent="0.25">
      <c r="A366" s="107">
        <v>44257</v>
      </c>
      <c r="B366" s="126">
        <v>6653</v>
      </c>
      <c r="C366" s="126">
        <f t="shared" si="148"/>
        <v>2118676</v>
      </c>
      <c r="D366" s="126">
        <v>116</v>
      </c>
      <c r="E366" s="126">
        <f t="shared" si="124"/>
        <v>52165</v>
      </c>
      <c r="F366" s="126">
        <f t="shared" si="131"/>
        <v>5598</v>
      </c>
      <c r="G366" s="155">
        <v>1916936</v>
      </c>
      <c r="H366" s="126">
        <v>3527</v>
      </c>
      <c r="I366" s="126">
        <v>43912</v>
      </c>
      <c r="J366" s="4">
        <f t="shared" si="150"/>
        <v>7499638</v>
      </c>
      <c r="K366" s="611">
        <f t="shared" si="129"/>
        <v>2.4621508904617791E-2</v>
      </c>
      <c r="L366" s="7">
        <v>4221954</v>
      </c>
      <c r="M366" s="4">
        <f t="shared" si="137"/>
        <v>4221954.024621509</v>
      </c>
      <c r="N366" s="202"/>
      <c r="O366" s="4"/>
      <c r="P366" s="4"/>
      <c r="Q366" s="4"/>
      <c r="R366" s="4">
        <f t="shared" si="130"/>
        <v>149575</v>
      </c>
      <c r="S366" s="39">
        <f t="shared" si="151"/>
        <v>22</v>
      </c>
      <c r="T366" s="91">
        <f t="shared" si="145"/>
        <v>939</v>
      </c>
      <c r="U366" s="91">
        <f>SUM(B353:B366)/POBLA!$B$25*100000</f>
        <v>188.66394061493082</v>
      </c>
      <c r="V366" s="91">
        <f>B366/POBLA!$B$25*100000</f>
        <v>14.66059144215024</v>
      </c>
      <c r="W366" s="625">
        <f t="shared" si="139"/>
        <v>0.95647510948252745</v>
      </c>
      <c r="X366" s="28">
        <f t="shared" si="123"/>
        <v>2.3580143740598362E-2</v>
      </c>
      <c r="Y366" s="202">
        <f t="shared" si="128"/>
        <v>0.14511131572774474</v>
      </c>
      <c r="Z366" s="297">
        <f t="shared" si="134"/>
        <v>5921.1428571428569</v>
      </c>
      <c r="AA366" s="179">
        <f t="shared" si="135"/>
        <v>97.571428571428569</v>
      </c>
      <c r="AB366" s="357">
        <f t="shared" si="149"/>
        <v>140.82334967276631</v>
      </c>
      <c r="AC366" s="610">
        <f t="shared" si="146"/>
        <v>43.251921101337743</v>
      </c>
      <c r="AD366" s="610">
        <f t="shared" si="132"/>
        <v>6115.4285714285716</v>
      </c>
      <c r="AE366" s="202">
        <f t="shared" si="142"/>
        <v>0.93841695345046194</v>
      </c>
      <c r="AF366" s="202">
        <f t="shared" si="141"/>
        <v>1.1680915534873604E-2</v>
      </c>
      <c r="AG366" s="4"/>
      <c r="AH366" s="202">
        <f t="shared" si="136"/>
        <v>0.63065558633425667</v>
      </c>
      <c r="AI366" s="179">
        <f>MAX($B$2:B366)</f>
        <v>18326</v>
      </c>
      <c r="AJ366" s="180">
        <f t="shared" si="133"/>
        <v>1.4622136587454506E-2</v>
      </c>
      <c r="AK366" s="28">
        <f t="shared" si="147"/>
        <v>2.385558140793247E-2</v>
      </c>
      <c r="AL366" s="202">
        <f t="shared" si="143"/>
        <v>0.99943326721450831</v>
      </c>
      <c r="AM366" s="202">
        <f t="shared" si="144"/>
        <v>0.63065558633425667</v>
      </c>
      <c r="AP366" s="644">
        <f t="shared" si="126"/>
        <v>0.95647510948252745</v>
      </c>
      <c r="AT366" s="180">
        <f t="shared" si="140"/>
        <v>2.2038581883334987E-2</v>
      </c>
    </row>
    <row r="367" spans="1:46" x14ac:dyDescent="0.25">
      <c r="A367" s="107">
        <v>44258</v>
      </c>
      <c r="B367" s="126">
        <v>7855</v>
      </c>
      <c r="C367" s="126">
        <f t="shared" si="148"/>
        <v>2126531</v>
      </c>
      <c r="D367" s="126">
        <v>262</v>
      </c>
      <c r="E367" s="126">
        <f t="shared" si="124"/>
        <v>52427</v>
      </c>
      <c r="F367" s="126">
        <f t="shared" si="131"/>
        <v>4653</v>
      </c>
      <c r="G367" s="155">
        <v>1921589</v>
      </c>
      <c r="H367" s="126">
        <v>3521</v>
      </c>
      <c r="I367" s="126">
        <v>54559</v>
      </c>
      <c r="J367" s="4">
        <f t="shared" si="150"/>
        <v>7554197</v>
      </c>
      <c r="K367" s="611">
        <f t="shared" si="129"/>
        <v>2.4653767097681623E-2</v>
      </c>
      <c r="L367" s="7">
        <v>4258155</v>
      </c>
      <c r="M367" s="4">
        <f t="shared" si="137"/>
        <v>4258155.0246537672</v>
      </c>
      <c r="N367" s="202"/>
      <c r="O367" s="4"/>
      <c r="P367" s="4"/>
      <c r="Q367" s="4"/>
      <c r="R367" s="4">
        <f t="shared" si="130"/>
        <v>152515</v>
      </c>
      <c r="S367" s="39">
        <f t="shared" si="151"/>
        <v>-6</v>
      </c>
      <c r="T367" s="91">
        <f t="shared" si="145"/>
        <v>2940</v>
      </c>
      <c r="U367" s="91">
        <f>SUM(B354:B367)/POBLA!$B$25*100000</f>
        <v>192.61059915587342</v>
      </c>
      <c r="V367" s="91">
        <f>B367/POBLA!$B$25*100000</f>
        <v>17.309325984982731</v>
      </c>
      <c r="W367" s="625">
        <f t="shared" si="139"/>
        <v>1.0118893262329243</v>
      </c>
      <c r="X367" s="28">
        <f t="shared" si="123"/>
        <v>2.3086253811100549E-2</v>
      </c>
      <c r="Y367" s="202">
        <f t="shared" si="128"/>
        <v>0.14015092127417364</v>
      </c>
      <c r="Z367" s="297">
        <f t="shared" si="134"/>
        <v>5874.2857142857147</v>
      </c>
      <c r="AA367" s="179">
        <f t="shared" si="135"/>
        <v>115</v>
      </c>
      <c r="AB367" s="357">
        <f t="shared" si="149"/>
        <v>134.97871635074671</v>
      </c>
      <c r="AC367" s="610">
        <f t="shared" si="146"/>
        <v>19.978716350746708</v>
      </c>
      <c r="AD367" s="610">
        <f t="shared" si="132"/>
        <v>6243.3571428571431</v>
      </c>
      <c r="AE367" s="202">
        <f t="shared" si="142"/>
        <v>0.88837038477326247</v>
      </c>
      <c r="AF367" s="202">
        <f t="shared" si="141"/>
        <v>8.5570125842309164E-3</v>
      </c>
      <c r="AG367" s="4"/>
      <c r="AH367" s="202">
        <f t="shared" si="136"/>
        <v>0.77403846153846145</v>
      </c>
      <c r="AI367" s="179">
        <f>MAX($B$2:B367)</f>
        <v>18326</v>
      </c>
      <c r="AJ367" s="180">
        <f t="shared" si="133"/>
        <v>1.7697364082045419E-2</v>
      </c>
      <c r="AK367" s="28">
        <f t="shared" si="147"/>
        <v>2.3283803175484886E-2</v>
      </c>
      <c r="AL367" s="202">
        <f t="shared" si="143"/>
        <v>1.004851598173516</v>
      </c>
      <c r="AM367" s="202">
        <f t="shared" si="144"/>
        <v>0.77403846153846145</v>
      </c>
      <c r="AP367" s="644">
        <f t="shared" si="126"/>
        <v>1.0118893262329243</v>
      </c>
      <c r="AT367" s="180">
        <f t="shared" si="140"/>
        <v>2.1829165758415595E-2</v>
      </c>
    </row>
    <row r="368" spans="1:46" x14ac:dyDescent="0.25">
      <c r="A368" s="107">
        <v>44259</v>
      </c>
      <c r="B368" s="126">
        <v>7432</v>
      </c>
      <c r="C368" s="126">
        <f t="shared" si="148"/>
        <v>2133963</v>
      </c>
      <c r="D368" s="126">
        <v>191</v>
      </c>
      <c r="E368" s="126">
        <f t="shared" si="124"/>
        <v>52618</v>
      </c>
      <c r="F368" s="126">
        <f t="shared" si="131"/>
        <v>6788</v>
      </c>
      <c r="G368" s="155">
        <v>1928377</v>
      </c>
      <c r="H368" s="126">
        <v>3489</v>
      </c>
      <c r="I368" s="126">
        <v>52553</v>
      </c>
      <c r="J368" s="4">
        <f t="shared" si="150"/>
        <v>7606750</v>
      </c>
      <c r="K368" s="611">
        <f t="shared" si="129"/>
        <v>2.4657409711414866E-2</v>
      </c>
      <c r="L368" s="7">
        <v>4288679</v>
      </c>
      <c r="M368" s="4">
        <f t="shared" si="137"/>
        <v>4288679.0246574096</v>
      </c>
      <c r="N368" s="202"/>
      <c r="O368" s="4"/>
      <c r="P368" s="4"/>
      <c r="Q368" s="4"/>
      <c r="R368" s="4">
        <f t="shared" si="130"/>
        <v>152968</v>
      </c>
      <c r="S368" s="39">
        <f t="shared" si="151"/>
        <v>-32</v>
      </c>
      <c r="T368" s="91">
        <f t="shared" si="145"/>
        <v>453</v>
      </c>
      <c r="U368" s="91">
        <f>SUM(B355:B368)/POBLA!$B$25*100000</f>
        <v>192.0839372958593</v>
      </c>
      <c r="V368" s="91">
        <f>B368/POBLA!$B$25*100000</f>
        <v>16.377200600941013</v>
      </c>
      <c r="W368" s="625">
        <f t="shared" si="139"/>
        <v>1.0235791451385627</v>
      </c>
      <c r="X368" s="28">
        <f t="shared" ref="X368:X397" si="152">H368/R368</f>
        <v>2.2808692014016002E-2</v>
      </c>
      <c r="Y368" s="202">
        <f t="shared" si="128"/>
        <v>0.13638685452362026</v>
      </c>
      <c r="Z368" s="297">
        <f t="shared" si="134"/>
        <v>5759.7142857142853</v>
      </c>
      <c r="AA368" s="179">
        <f t="shared" si="135"/>
        <v>121.57142857142857</v>
      </c>
      <c r="AB368" s="357">
        <f t="shared" si="149"/>
        <v>136.39322522703614</v>
      </c>
      <c r="AC368" s="610">
        <f t="shared" si="146"/>
        <v>14.821796655607571</v>
      </c>
      <c r="AD368" s="610">
        <f t="shared" si="132"/>
        <v>6226.2857142857147</v>
      </c>
      <c r="AE368" s="202">
        <f t="shared" si="142"/>
        <v>0.86057630736392732</v>
      </c>
      <c r="AF368" s="202">
        <f t="shared" si="141"/>
        <v>-6.9012081983497175E-3</v>
      </c>
      <c r="AG368" s="4"/>
      <c r="AH368" s="202">
        <f t="shared" si="136"/>
        <v>0.90243902439024382</v>
      </c>
      <c r="AI368" s="179">
        <f>MAX($B$2:B368)</f>
        <v>18326</v>
      </c>
      <c r="AJ368" s="28">
        <f t="shared" si="133"/>
        <v>1.8968437945791727E-2</v>
      </c>
      <c r="AK368" s="28">
        <f t="shared" si="147"/>
        <v>2.2651284481695243E-2</v>
      </c>
      <c r="AL368" s="202">
        <f t="shared" si="143"/>
        <v>1.0063455436977213</v>
      </c>
      <c r="AM368" s="202">
        <f t="shared" si="144"/>
        <v>0.90243902439024382</v>
      </c>
      <c r="AN368" s="4"/>
      <c r="AO368" s="4"/>
      <c r="AP368" s="644">
        <f t="shared" si="126"/>
        <v>1.0235791451385627</v>
      </c>
      <c r="AQ368" s="4"/>
      <c r="AR368" s="4"/>
      <c r="AT368" s="180">
        <f t="shared" si="140"/>
        <v>2.2167371268019851E-2</v>
      </c>
    </row>
    <row r="369" spans="1:46" x14ac:dyDescent="0.25">
      <c r="A369" s="107">
        <v>44260</v>
      </c>
      <c r="B369" s="126">
        <v>7891</v>
      </c>
      <c r="C369" s="126">
        <f t="shared" si="148"/>
        <v>2141854</v>
      </c>
      <c r="D369" s="126">
        <v>140</v>
      </c>
      <c r="E369" s="126">
        <f t="shared" ref="E369:E399" si="153">E368+D369</f>
        <v>52758</v>
      </c>
      <c r="F369" s="126">
        <f t="shared" si="131"/>
        <v>6468</v>
      </c>
      <c r="G369" s="155">
        <v>1934845</v>
      </c>
      <c r="H369" s="126">
        <v>3485</v>
      </c>
      <c r="I369" s="126">
        <v>42063</v>
      </c>
      <c r="J369" s="4">
        <f t="shared" si="150"/>
        <v>7648813</v>
      </c>
      <c r="K369" s="611">
        <f t="shared" si="129"/>
        <v>2.4631931027978563E-2</v>
      </c>
      <c r="L369" s="7">
        <v>4316933</v>
      </c>
      <c r="M369" s="4">
        <f t="shared" si="137"/>
        <v>4316933.0246319314</v>
      </c>
      <c r="N369" s="202"/>
      <c r="O369" s="4"/>
      <c r="P369" s="4"/>
      <c r="Q369" s="4"/>
      <c r="R369" s="4">
        <f t="shared" si="130"/>
        <v>154251</v>
      </c>
      <c r="S369" s="39">
        <f t="shared" si="151"/>
        <v>-4</v>
      </c>
      <c r="T369" s="91">
        <f t="shared" si="145"/>
        <v>1283</v>
      </c>
      <c r="U369" s="91">
        <f>SUM(B356:B369)/POBLA!$B$25*100000</f>
        <v>192.09495532640355</v>
      </c>
      <c r="V369" s="91">
        <f>B369/POBLA!$B$25*100000</f>
        <v>17.388655804901177</v>
      </c>
      <c r="W369" s="625">
        <f t="shared" si="139"/>
        <v>1.0295375094482238</v>
      </c>
      <c r="X369" s="28">
        <f t="shared" si="152"/>
        <v>2.2593046398402605E-2</v>
      </c>
      <c r="Y369" s="202">
        <f t="shared" si="128"/>
        <v>0.14657091488718124</v>
      </c>
      <c r="Z369" s="297">
        <f t="shared" si="134"/>
        <v>6160.8571428571431</v>
      </c>
      <c r="AA369" s="179">
        <f t="shared" si="135"/>
        <v>128.42857142857142</v>
      </c>
      <c r="AB369" s="357">
        <f t="shared" si="149"/>
        <v>138.85658406341423</v>
      </c>
      <c r="AC369" s="610">
        <f t="shared" si="146"/>
        <v>10.428012634842815</v>
      </c>
      <c r="AD369" s="610">
        <f t="shared" si="132"/>
        <v>6226.6428571428569</v>
      </c>
      <c r="AE369" s="202">
        <f t="shared" si="142"/>
        <v>0.9790905169478058</v>
      </c>
      <c r="AF369" s="202">
        <f t="shared" si="141"/>
        <v>1.4022787028922234E-3</v>
      </c>
      <c r="AG369" s="4"/>
      <c r="AH369" s="202">
        <f t="shared" si="136"/>
        <v>1.007847533632287</v>
      </c>
      <c r="AI369" s="179">
        <f>MAX($B$2:B369)</f>
        <v>18326</v>
      </c>
      <c r="AJ369" s="28">
        <f t="shared" si="133"/>
        <v>1.9779542804338735E-2</v>
      </c>
      <c r="AK369" s="28">
        <f t="shared" si="147"/>
        <v>2.2624728146200538E-2</v>
      </c>
      <c r="AL369" s="202">
        <f t="shared" si="143"/>
        <v>1.0028776978417266</v>
      </c>
      <c r="AM369" s="202">
        <f t="shared" si="144"/>
        <v>1.007847533632287</v>
      </c>
      <c r="AN369" s="4"/>
      <c r="AO369" s="4"/>
      <c r="AP369" s="644">
        <f t="shared" si="126"/>
        <v>1.0295375094482238</v>
      </c>
      <c r="AQ369" s="4"/>
      <c r="AR369" s="4"/>
      <c r="AT369" s="180">
        <f t="shared" si="140"/>
        <v>2.2463116704563482E-2</v>
      </c>
    </row>
    <row r="370" spans="1:46" x14ac:dyDescent="0.25">
      <c r="A370" s="107">
        <v>44261</v>
      </c>
      <c r="B370" s="126">
        <v>4860</v>
      </c>
      <c r="C370" s="126">
        <f t="shared" si="148"/>
        <v>2146714</v>
      </c>
      <c r="D370" s="126">
        <v>86</v>
      </c>
      <c r="E370" s="126">
        <f t="shared" si="153"/>
        <v>52844</v>
      </c>
      <c r="F370" s="126">
        <f t="shared" si="131"/>
        <v>5472</v>
      </c>
      <c r="G370" s="155">
        <v>1940317</v>
      </c>
      <c r="H370" s="126">
        <v>3475</v>
      </c>
      <c r="I370" s="126">
        <v>37730</v>
      </c>
      <c r="J370" s="4">
        <f t="shared" si="150"/>
        <v>7686543</v>
      </c>
      <c r="K370" s="611">
        <f t="shared" si="129"/>
        <v>2.461622740616589E-2</v>
      </c>
      <c r="L370" s="7"/>
      <c r="M370" s="4"/>
      <c r="N370" s="202"/>
      <c r="O370" s="4"/>
      <c r="P370" s="4"/>
      <c r="Q370" s="4"/>
      <c r="R370" s="4">
        <f t="shared" si="130"/>
        <v>153553</v>
      </c>
      <c r="S370" s="39">
        <f t="shared" si="151"/>
        <v>-10</v>
      </c>
      <c r="T370" s="91">
        <f t="shared" si="145"/>
        <v>-698</v>
      </c>
      <c r="U370" s="91">
        <f>SUM(B357:B370)/POBLA!$B$25*100000</f>
        <v>189.70624630441483</v>
      </c>
      <c r="V370" s="91">
        <f>B370/POBLA!$B$25*100000</f>
        <v>10.709525688989954</v>
      </c>
      <c r="W370" s="625">
        <f t="shared" si="139"/>
        <v>1.0256504956157073</v>
      </c>
      <c r="X370" s="28">
        <f t="shared" si="152"/>
        <v>2.2630622651462363E-2</v>
      </c>
      <c r="Y370" s="202">
        <f t="shared" si="128"/>
        <v>0.14567201611687475</v>
      </c>
      <c r="Z370" s="297">
        <f t="shared" si="134"/>
        <v>6073.8571428571431</v>
      </c>
      <c r="AA370" s="179">
        <f t="shared" si="135"/>
        <v>132.28571428571428</v>
      </c>
      <c r="AB370" s="357">
        <f t="shared" si="149"/>
        <v>138.3872374366307</v>
      </c>
      <c r="AC370" s="610">
        <f t="shared" si="146"/>
        <v>6.1015231509164209</v>
      </c>
      <c r="AD370" s="610">
        <f t="shared" si="132"/>
        <v>6149.2142857142853</v>
      </c>
      <c r="AE370" s="202">
        <f t="shared" si="142"/>
        <v>0.97578720279078313</v>
      </c>
      <c r="AF370" s="202">
        <f t="shared" si="141"/>
        <v>2.3565199227113531E-3</v>
      </c>
      <c r="AG370" s="4"/>
      <c r="AH370" s="202">
        <f t="shared" si="136"/>
        <v>1.1170084439083232</v>
      </c>
      <c r="AI370" s="179">
        <f>MAX($B$2:B370)</f>
        <v>18326</v>
      </c>
      <c r="AJ370" s="28">
        <f t="shared" si="133"/>
        <v>2.1259987142988334E-2</v>
      </c>
      <c r="AK370" s="28">
        <f t="shared" si="147"/>
        <v>2.2683952164603897E-2</v>
      </c>
      <c r="AL370" s="202">
        <f t="shared" si="143"/>
        <v>0.99456210646823129</v>
      </c>
      <c r="AM370" s="202">
        <f t="shared" si="144"/>
        <v>1.1170084439083232</v>
      </c>
      <c r="AN370" s="4"/>
      <c r="AO370" s="4"/>
      <c r="AP370" s="644">
        <f t="shared" si="126"/>
        <v>1.0256504956157073</v>
      </c>
      <c r="AQ370" s="4"/>
      <c r="AR370" s="4"/>
      <c r="AT370" s="180">
        <f t="shared" si="140"/>
        <v>2.2541725425358899E-2</v>
      </c>
    </row>
    <row r="371" spans="1:46" x14ac:dyDescent="0.25">
      <c r="A371" s="107">
        <v>44262</v>
      </c>
      <c r="B371" s="126">
        <v>2922</v>
      </c>
      <c r="C371" s="126">
        <f t="shared" si="148"/>
        <v>2149636</v>
      </c>
      <c r="D371" s="126">
        <v>10</v>
      </c>
      <c r="E371" s="126">
        <f t="shared" si="153"/>
        <v>52854</v>
      </c>
      <c r="F371" s="126">
        <f t="shared" si="131"/>
        <v>5499</v>
      </c>
      <c r="G371" s="155">
        <v>1945816</v>
      </c>
      <c r="H371" s="126">
        <v>3467</v>
      </c>
      <c r="I371" s="126">
        <v>22839</v>
      </c>
      <c r="J371" s="4">
        <f t="shared" si="150"/>
        <v>7709382</v>
      </c>
      <c r="K371" s="611">
        <f t="shared" si="129"/>
        <v>2.4587418521089151E-2</v>
      </c>
      <c r="L371" s="7">
        <v>4351403</v>
      </c>
      <c r="M371" s="4">
        <f t="shared" si="137"/>
        <v>4351403.0245874189</v>
      </c>
      <c r="N371" s="202"/>
      <c r="O371" s="4"/>
      <c r="P371" s="4"/>
      <c r="Q371" s="4"/>
      <c r="R371" s="4">
        <f t="shared" si="130"/>
        <v>150966</v>
      </c>
      <c r="S371" s="39">
        <f t="shared" si="151"/>
        <v>-8</v>
      </c>
      <c r="T371" s="91">
        <f t="shared" si="145"/>
        <v>-2587</v>
      </c>
      <c r="U371" s="91">
        <f>SUM(B358:B371)/POBLA!$B$25*100000</f>
        <v>187.9720082967533</v>
      </c>
      <c r="V371" s="91">
        <f>B371/POBLA!$B$25*100000</f>
        <v>6.4389370500470458</v>
      </c>
      <c r="W371" s="625">
        <f t="shared" si="139"/>
        <v>1.015657185040542</v>
      </c>
      <c r="X371" s="28">
        <f t="shared" si="152"/>
        <v>2.2965435925970085E-2</v>
      </c>
      <c r="Y371" s="202">
        <f t="shared" si="128"/>
        <v>0.14895063990528273</v>
      </c>
      <c r="Z371" s="297">
        <f t="shared" si="134"/>
        <v>6038.7142857142853</v>
      </c>
      <c r="AA371" s="179">
        <f t="shared" si="135"/>
        <v>131</v>
      </c>
      <c r="AB371" s="357">
        <f t="shared" si="149"/>
        <v>136.44891738864516</v>
      </c>
      <c r="AC371" s="610">
        <f t="shared" si="146"/>
        <v>5.4489173886451567</v>
      </c>
      <c r="AD371" s="610">
        <f t="shared" si="132"/>
        <v>6093</v>
      </c>
      <c r="AE371" s="202">
        <f t="shared" si="142"/>
        <v>0.9823383142385721</v>
      </c>
      <c r="AF371" s="202">
        <f t="shared" si="141"/>
        <v>3.7165823399176734E-3</v>
      </c>
      <c r="AG371" s="4"/>
      <c r="AH371" s="202">
        <f t="shared" si="136"/>
        <v>1.1893644617380026</v>
      </c>
      <c r="AI371" s="592">
        <f t="shared" ref="AI371:AI402" si="154">1-AE371</f>
        <v>1.7661685761427903E-2</v>
      </c>
      <c r="AJ371" s="28">
        <f t="shared" si="133"/>
        <v>2.3060480321891112E-2</v>
      </c>
      <c r="AK371" s="28">
        <f t="shared" si="147"/>
        <v>2.3050788859561057E-2</v>
      </c>
      <c r="AL371" s="202">
        <f t="shared" si="143"/>
        <v>0.98915834522111268</v>
      </c>
      <c r="AM371" s="202">
        <f t="shared" si="144"/>
        <v>1.1893644617380026</v>
      </c>
      <c r="AN371" s="4"/>
      <c r="AO371" s="4"/>
      <c r="AP371" s="644">
        <f t="shared" si="126"/>
        <v>1.015657185040542</v>
      </c>
      <c r="AQ371" s="4"/>
      <c r="AR371" s="4"/>
      <c r="AT371" s="180">
        <f t="shared" si="140"/>
        <v>2.1694956771532121E-2</v>
      </c>
    </row>
    <row r="372" spans="1:46" x14ac:dyDescent="0.25">
      <c r="A372" s="107">
        <v>44263</v>
      </c>
      <c r="B372" s="126">
        <v>5058</v>
      </c>
      <c r="C372" s="126">
        <f t="shared" si="148"/>
        <v>2154694</v>
      </c>
      <c r="D372" s="199">
        <v>239</v>
      </c>
      <c r="E372" s="126">
        <f t="shared" si="153"/>
        <v>53093</v>
      </c>
      <c r="F372" s="126">
        <f t="shared" si="131"/>
        <v>5724</v>
      </c>
      <c r="G372" s="155">
        <v>1951540</v>
      </c>
      <c r="H372" s="126">
        <v>3484</v>
      </c>
      <c r="I372" s="126">
        <v>28407</v>
      </c>
      <c r="J372" s="4">
        <f t="shared" si="150"/>
        <v>7737789</v>
      </c>
      <c r="K372" s="611">
        <f t="shared" si="129"/>
        <v>2.4640621823794933E-2</v>
      </c>
      <c r="L372" s="7">
        <v>4368459</v>
      </c>
      <c r="M372" s="4">
        <f t="shared" si="137"/>
        <v>4368459.0246406216</v>
      </c>
      <c r="N372" s="202"/>
      <c r="O372" s="4"/>
      <c r="P372" s="4"/>
      <c r="Q372" s="4"/>
      <c r="R372" s="4">
        <f t="shared" si="130"/>
        <v>150061</v>
      </c>
      <c r="S372" s="39">
        <f t="shared" si="151"/>
        <v>17</v>
      </c>
      <c r="T372" s="91">
        <f t="shared" si="145"/>
        <v>-905</v>
      </c>
      <c r="U372" s="91">
        <f>SUM(B359:B372)/POBLA!$B$25*100000</f>
        <v>187.1809137036777</v>
      </c>
      <c r="V372" s="91">
        <f>B372/POBLA!$B$25*100000</f>
        <v>11.145839698541396</v>
      </c>
      <c r="W372" s="625">
        <f t="shared" si="139"/>
        <v>1.0082255192878338</v>
      </c>
      <c r="X372" s="28">
        <f t="shared" si="152"/>
        <v>2.3217224995168633E-2</v>
      </c>
      <c r="Y372" s="202">
        <f t="shared" si="128"/>
        <v>0.15128180583770293</v>
      </c>
      <c r="Z372" s="297">
        <f t="shared" si="134"/>
        <v>6095.8571428571431</v>
      </c>
      <c r="AA372" s="179">
        <f t="shared" si="135"/>
        <v>149.14285714285714</v>
      </c>
      <c r="AB372" s="357">
        <f t="shared" si="149"/>
        <v>144.16509439334214</v>
      </c>
      <c r="AC372" s="610">
        <f t="shared" si="146"/>
        <v>-4.9777627495149943</v>
      </c>
      <c r="AD372" s="610">
        <f t="shared" si="132"/>
        <v>6067.3571428571431</v>
      </c>
      <c r="AE372" s="202">
        <f t="shared" si="142"/>
        <v>1.0094388720666161</v>
      </c>
      <c r="AF372" s="202">
        <f t="shared" si="141"/>
        <v>9.587179418175884E-3</v>
      </c>
      <c r="AG372" s="4"/>
      <c r="AH372" s="202">
        <f t="shared" si="136"/>
        <v>1.445983379501385</v>
      </c>
      <c r="AI372" s="592">
        <f t="shared" si="154"/>
        <v>-9.4388720666160886E-3</v>
      </c>
      <c r="AJ372" s="28">
        <f t="shared" si="133"/>
        <v>2.7408768705697032E-2</v>
      </c>
      <c r="AK372" s="28">
        <f t="shared" si="147"/>
        <v>2.3439812696789471E-2</v>
      </c>
      <c r="AL372" s="202">
        <f t="shared" si="143"/>
        <v>0.99400855920114117</v>
      </c>
      <c r="AM372" s="202">
        <f t="shared" si="144"/>
        <v>1.445983379501385</v>
      </c>
      <c r="AN372" s="4"/>
      <c r="AO372" s="4"/>
      <c r="AP372" s="644">
        <f t="shared" si="126"/>
        <v>1.0082255192878338</v>
      </c>
      <c r="AQ372" s="4"/>
      <c r="AR372" s="4"/>
      <c r="AT372" s="180">
        <f t="shared" si="140"/>
        <v>2.2533074913626022E-2</v>
      </c>
    </row>
    <row r="373" spans="1:46" x14ac:dyDescent="0.25">
      <c r="A373" s="107">
        <v>44264</v>
      </c>
      <c r="B373" s="126">
        <v>7307</v>
      </c>
      <c r="C373" s="126">
        <f t="shared" si="148"/>
        <v>2162001</v>
      </c>
      <c r="D373" s="126">
        <v>131</v>
      </c>
      <c r="E373" s="126">
        <f t="shared" si="153"/>
        <v>53224</v>
      </c>
      <c r="F373" s="126">
        <f t="shared" si="131"/>
        <v>5051</v>
      </c>
      <c r="G373" s="155">
        <v>1956591</v>
      </c>
      <c r="H373" s="126">
        <v>3525</v>
      </c>
      <c r="I373" s="126">
        <v>42565</v>
      </c>
      <c r="J373" s="4">
        <f t="shared" si="150"/>
        <v>7780354</v>
      </c>
      <c r="K373" s="611">
        <f t="shared" si="129"/>
        <v>2.4617934959327032E-2</v>
      </c>
      <c r="L373" s="7">
        <v>4392812</v>
      </c>
      <c r="M373" s="4">
        <f t="shared" si="137"/>
        <v>4392812.0246179346</v>
      </c>
      <c r="N373" s="202"/>
      <c r="O373" s="4"/>
      <c r="P373" s="4"/>
      <c r="Q373" s="4"/>
      <c r="R373" s="4">
        <f t="shared" si="130"/>
        <v>152186</v>
      </c>
      <c r="S373" s="39">
        <f t="shared" si="151"/>
        <v>41</v>
      </c>
      <c r="T373" s="91">
        <f t="shared" si="145"/>
        <v>2125</v>
      </c>
      <c r="U373" s="91">
        <f>SUM(B360:B373)/POBLA!$B$25*100000</f>
        <v>186.80630066517395</v>
      </c>
      <c r="V373" s="91">
        <f>B373/POBLA!$B$25*100000</f>
        <v>16.101749837335305</v>
      </c>
      <c r="W373" s="625">
        <f t="shared" si="139"/>
        <v>1.0100079825575161</v>
      </c>
      <c r="X373" s="28">
        <f t="shared" si="152"/>
        <v>2.3162445954292774E-2</v>
      </c>
      <c r="Y373" s="202">
        <f t="shared" si="128"/>
        <v>0.15433747987289645</v>
      </c>
      <c r="Z373" s="297">
        <f t="shared" si="134"/>
        <v>6189.2857142857147</v>
      </c>
      <c r="AA373" s="179">
        <f t="shared" si="135"/>
        <v>151.28571428571428</v>
      </c>
      <c r="AB373" s="357">
        <f t="shared" si="149"/>
        <v>156.37990189673107</v>
      </c>
      <c r="AC373" s="610">
        <f t="shared" si="146"/>
        <v>5.0941876110167925</v>
      </c>
      <c r="AD373" s="610">
        <f t="shared" si="132"/>
        <v>6055.2142857142853</v>
      </c>
      <c r="AE373" s="202">
        <f t="shared" si="142"/>
        <v>1.0452856591391624</v>
      </c>
      <c r="AF373" s="202">
        <f t="shared" si="141"/>
        <v>1.7456125689453428E-2</v>
      </c>
      <c r="AG373" s="4"/>
      <c r="AH373" s="202">
        <f t="shared" si="136"/>
        <v>1.5505124450951684</v>
      </c>
      <c r="AI373" s="592">
        <f t="shared" si="154"/>
        <v>-4.5285659139162382E-2</v>
      </c>
      <c r="AJ373" s="28">
        <f t="shared" si="133"/>
        <v>2.754226267880364E-2</v>
      </c>
      <c r="AK373" s="28">
        <f t="shared" si="147"/>
        <v>2.356677252214608E-2</v>
      </c>
      <c r="AL373" s="202">
        <f t="shared" si="143"/>
        <v>0.99943294584632836</v>
      </c>
      <c r="AM373" s="202">
        <f t="shared" si="144"/>
        <v>1.5505124450951684</v>
      </c>
      <c r="AN373" s="4"/>
      <c r="AO373" s="4"/>
      <c r="AP373" s="644">
        <f t="shared" ref="AP373:AP410" si="155">SUM(B360:B373)/SUM(B346:B359)</f>
        <v>1.0100079825575161</v>
      </c>
      <c r="AQ373" s="4"/>
      <c r="AR373" s="4"/>
      <c r="AT373" s="180">
        <f t="shared" si="140"/>
        <v>2.2465786605304589E-2</v>
      </c>
    </row>
    <row r="374" spans="1:46" x14ac:dyDescent="0.25">
      <c r="A374" s="107">
        <v>44265</v>
      </c>
      <c r="B374" s="126">
        <v>7693</v>
      </c>
      <c r="C374" s="126">
        <f t="shared" si="148"/>
        <v>2169694</v>
      </c>
      <c r="D374" s="126">
        <v>107</v>
      </c>
      <c r="E374" s="126">
        <f t="shared" si="153"/>
        <v>53331</v>
      </c>
      <c r="F374" s="126">
        <f t="shared" si="131"/>
        <v>5049</v>
      </c>
      <c r="G374" s="155">
        <v>1961640</v>
      </c>
      <c r="H374" s="126">
        <v>3491</v>
      </c>
      <c r="I374" s="126">
        <v>45460</v>
      </c>
      <c r="J374" s="4">
        <f t="shared" si="150"/>
        <v>7825814</v>
      </c>
      <c r="K374" s="611">
        <f t="shared" si="129"/>
        <v>2.4579963810564993E-2</v>
      </c>
      <c r="L374" s="7">
        <v>4419508</v>
      </c>
      <c r="M374" s="4">
        <f t="shared" si="137"/>
        <v>4419508.0245799636</v>
      </c>
      <c r="N374" s="202"/>
      <c r="O374" s="4"/>
      <c r="P374" s="4"/>
      <c r="Q374" s="4"/>
      <c r="R374" s="4">
        <f t="shared" si="130"/>
        <v>154723</v>
      </c>
      <c r="S374" s="39">
        <f t="shared" si="151"/>
        <v>-34</v>
      </c>
      <c r="T374" s="91">
        <f t="shared" ref="T374:T397" si="156">(C374-G374-E374)-(C373-E373-G373)</f>
        <v>2537</v>
      </c>
      <c r="U374" s="91">
        <f>SUM(B361:B374)/POBLA!$B$25*100000</f>
        <v>185.72653367183955</v>
      </c>
      <c r="V374" s="91">
        <f>B374/POBLA!$B$25*100000</f>
        <v>16.952341795349735</v>
      </c>
      <c r="W374" s="625">
        <f t="shared" si="139"/>
        <v>0.99888595233298172</v>
      </c>
      <c r="X374" s="28">
        <f t="shared" si="152"/>
        <v>2.2562902735856982E-2</v>
      </c>
      <c r="Y374" s="202">
        <f t="shared" si="128"/>
        <v>0.15891126107717854</v>
      </c>
      <c r="Z374" s="297">
        <f t="shared" si="134"/>
        <v>6166.1428571428569</v>
      </c>
      <c r="AA374" s="179">
        <f t="shared" si="135"/>
        <v>129.14285714285714</v>
      </c>
      <c r="AB374" s="357">
        <f t="shared" si="149"/>
        <v>163.6832201011147</v>
      </c>
      <c r="AC374" s="610">
        <f t="shared" si="146"/>
        <v>34.54036295825756</v>
      </c>
      <c r="AD374" s="610">
        <f t="shared" si="132"/>
        <v>6020.2142857142853</v>
      </c>
      <c r="AE374" s="202">
        <f t="shared" si="142"/>
        <v>1.0496838521400778</v>
      </c>
      <c r="AF374" s="202">
        <f t="shared" si="141"/>
        <v>1.4477264531357559E-2</v>
      </c>
      <c r="AG374" s="4"/>
      <c r="AH374" s="202">
        <f t="shared" si="136"/>
        <v>1.1229813664596273</v>
      </c>
      <c r="AI374" s="592">
        <f t="shared" si="154"/>
        <v>-4.9683852140077756E-2</v>
      </c>
      <c r="AJ374" s="28">
        <f t="shared" si="133"/>
        <v>2.3070052315937218E-2</v>
      </c>
      <c r="AK374" s="28">
        <f t="shared" ref="AK374:AK405" si="157">H374/R367</f>
        <v>2.2889551847359278E-2</v>
      </c>
      <c r="AL374" s="202">
        <f t="shared" si="143"/>
        <v>0.99147969326895768</v>
      </c>
      <c r="AM374" s="202">
        <f t="shared" si="144"/>
        <v>1.1229813664596273</v>
      </c>
      <c r="AN374" s="4"/>
      <c r="AO374" s="4"/>
      <c r="AP374" s="644">
        <f t="shared" si="155"/>
        <v>0.99888595233298172</v>
      </c>
      <c r="AQ374" s="4"/>
      <c r="AR374" s="4"/>
      <c r="AT374" s="180">
        <f t="shared" si="140"/>
        <v>2.1504617439316368E-2</v>
      </c>
    </row>
    <row r="375" spans="1:46" x14ac:dyDescent="0.25">
      <c r="A375" s="107">
        <v>44266</v>
      </c>
      <c r="B375" s="126">
        <v>8204</v>
      </c>
      <c r="C375" s="126">
        <f t="shared" si="148"/>
        <v>2177898</v>
      </c>
      <c r="D375" s="126">
        <v>134</v>
      </c>
      <c r="E375" s="126">
        <f t="shared" si="153"/>
        <v>53465</v>
      </c>
      <c r="F375" s="126">
        <f t="shared" si="131"/>
        <v>6822</v>
      </c>
      <c r="G375" s="155">
        <v>1968462</v>
      </c>
      <c r="H375" s="126">
        <v>3438</v>
      </c>
      <c r="I375" s="126">
        <v>50248</v>
      </c>
      <c r="J375" s="4">
        <f t="shared" si="150"/>
        <v>7876062</v>
      </c>
      <c r="K375" s="611">
        <f t="shared" si="129"/>
        <v>2.4548899902566604E-2</v>
      </c>
      <c r="L375" s="7">
        <v>4452083</v>
      </c>
      <c r="M375" s="4">
        <f t="shared" si="137"/>
        <v>4452083.0245489003</v>
      </c>
      <c r="N375" s="202"/>
      <c r="O375" s="4"/>
      <c r="P375" s="4"/>
      <c r="Q375" s="4"/>
      <c r="R375" s="4">
        <f t="shared" si="130"/>
        <v>155971</v>
      </c>
      <c r="S375" s="39">
        <f t="shared" si="151"/>
        <v>-53</v>
      </c>
      <c r="T375" s="91">
        <f t="shared" si="156"/>
        <v>1248</v>
      </c>
      <c r="U375" s="91">
        <f>SUM(B362:B375)/POBLA!$B$25*100000</f>
        <v>185.66042548857419</v>
      </c>
      <c r="V375" s="91">
        <f>B375/POBLA!$B$25*100000</f>
        <v>18.078384516969873</v>
      </c>
      <c r="W375" s="625">
        <f t="shared" si="139"/>
        <v>0.98772567409144196</v>
      </c>
      <c r="X375" s="28">
        <f t="shared" si="152"/>
        <v>2.2042559193696264E-2</v>
      </c>
      <c r="Y375" s="202">
        <f t="shared" si="128"/>
        <v>0.16313792181558937</v>
      </c>
      <c r="Z375" s="297">
        <f t="shared" si="134"/>
        <v>6276.4285714285716</v>
      </c>
      <c r="AA375" s="179">
        <f t="shared" si="135"/>
        <v>121</v>
      </c>
      <c r="AB375" s="357">
        <f t="shared" si="149"/>
        <v>165.48609516622241</v>
      </c>
      <c r="AC375" s="610">
        <f t="shared" si="146"/>
        <v>44.486095166222412</v>
      </c>
      <c r="AD375" s="610">
        <f t="shared" si="132"/>
        <v>6018.0714285714284</v>
      </c>
      <c r="AE375" s="202">
        <f t="shared" si="142"/>
        <v>1.0897117912594871</v>
      </c>
      <c r="AF375" s="202">
        <f t="shared" si="141"/>
        <v>1.9631556926938964E-2</v>
      </c>
      <c r="AG375" s="4"/>
      <c r="AH375" s="202">
        <f t="shared" si="136"/>
        <v>0.99529964747356048</v>
      </c>
      <c r="AI375" s="592">
        <f t="shared" si="154"/>
        <v>-8.9711791259487139E-2</v>
      </c>
      <c r="AJ375" s="28">
        <f t="shared" si="133"/>
        <v>2.1677927927927929E-2</v>
      </c>
      <c r="AK375" s="28">
        <f t="shared" si="157"/>
        <v>2.2475288949322735E-2</v>
      </c>
      <c r="AL375" s="202">
        <f t="shared" si="143"/>
        <v>0.98538263112639723</v>
      </c>
      <c r="AM375" s="202">
        <f t="shared" si="144"/>
        <v>0.99529964747356048</v>
      </c>
      <c r="AN375" s="4"/>
      <c r="AO375" s="4"/>
      <c r="AP375" s="644">
        <f t="shared" si="155"/>
        <v>0.98772567409144196</v>
      </c>
      <c r="AQ375" s="4"/>
      <c r="AR375" s="4"/>
      <c r="AT375" s="180">
        <f t="shared" si="140"/>
        <v>2.1272677042084905E-2</v>
      </c>
    </row>
    <row r="376" spans="1:46" x14ac:dyDescent="0.25">
      <c r="A376" s="107">
        <v>44267</v>
      </c>
      <c r="B376" s="126">
        <v>7849</v>
      </c>
      <c r="C376" s="126">
        <f t="shared" si="148"/>
        <v>2185747</v>
      </c>
      <c r="D376" s="126">
        <v>86</v>
      </c>
      <c r="E376" s="126">
        <f t="shared" si="153"/>
        <v>53551</v>
      </c>
      <c r="F376" s="126">
        <f t="shared" si="131"/>
        <v>6404</v>
      </c>
      <c r="G376" s="155">
        <v>1974866</v>
      </c>
      <c r="H376" s="126">
        <v>3417</v>
      </c>
      <c r="I376" s="126">
        <v>53578</v>
      </c>
      <c r="J376" s="4">
        <f t="shared" si="150"/>
        <v>7929640</v>
      </c>
      <c r="K376" s="611">
        <f t="shared" si="129"/>
        <v>2.4500090815634198E-2</v>
      </c>
      <c r="L376" s="7">
        <v>4476389</v>
      </c>
      <c r="M376" s="4">
        <f t="shared" si="137"/>
        <v>4476389.0245000906</v>
      </c>
      <c r="N376" s="202"/>
      <c r="O376" s="4"/>
      <c r="P376" s="4"/>
      <c r="Q376" s="4"/>
      <c r="R376" s="4">
        <f t="shared" si="130"/>
        <v>157330</v>
      </c>
      <c r="S376" s="39">
        <f t="shared" si="151"/>
        <v>-21</v>
      </c>
      <c r="T376" s="91">
        <f t="shared" si="156"/>
        <v>1359</v>
      </c>
      <c r="U376" s="91">
        <f>SUM(B363:B376)/POBLA!$B$25*100000</f>
        <v>191.75559998564131</v>
      </c>
      <c r="V376" s="91">
        <f>B376/POBLA!$B$25*100000</f>
        <v>17.29610434832966</v>
      </c>
      <c r="W376" s="625">
        <f t="shared" si="139"/>
        <v>1.0454993271818531</v>
      </c>
      <c r="X376" s="28">
        <f t="shared" si="152"/>
        <v>2.1718680480518657E-2</v>
      </c>
      <c r="Y376" s="202">
        <f t="shared" si="128"/>
        <v>0.15629907380700572</v>
      </c>
      <c r="Z376" s="297">
        <f t="shared" si="134"/>
        <v>6270.4285714285716</v>
      </c>
      <c r="AA376" s="179">
        <f t="shared" si="135"/>
        <v>113.28571428571429</v>
      </c>
      <c r="AB376" s="357">
        <f t="shared" si="149"/>
        <v>155.48420437794428</v>
      </c>
      <c r="AC376" s="610">
        <f t="shared" si="146"/>
        <v>42.198490092229989</v>
      </c>
      <c r="AD376" s="610">
        <f t="shared" si="132"/>
        <v>6215.6428571428569</v>
      </c>
      <c r="AE376" s="202">
        <f t="shared" si="142"/>
        <v>1.0177850948383806</v>
      </c>
      <c r="AF376" s="202">
        <f t="shared" si="141"/>
        <v>1.9960972700339141E-2</v>
      </c>
      <c r="AG376" s="4"/>
      <c r="AH376" s="202">
        <f t="shared" si="136"/>
        <v>0.88209121245828714</v>
      </c>
      <c r="AI376" s="592">
        <f t="shared" si="154"/>
        <v>-1.7785094838380644E-2</v>
      </c>
      <c r="AJ376" s="28">
        <f t="shared" si="133"/>
        <v>2.0578160680921737E-2</v>
      </c>
      <c r="AK376" s="28">
        <f t="shared" si="157"/>
        <v>2.2152206468677674E-2</v>
      </c>
      <c r="AL376" s="202">
        <f t="shared" si="143"/>
        <v>0.98048780487804876</v>
      </c>
      <c r="AM376" s="202">
        <f t="shared" si="144"/>
        <v>0.88209121245828714</v>
      </c>
      <c r="AN376" s="4"/>
      <c r="AO376" s="4"/>
      <c r="AP376" s="644">
        <f t="shared" si="155"/>
        <v>1.0454993271818531</v>
      </c>
      <c r="AQ376" s="4"/>
      <c r="AR376" s="4"/>
      <c r="AT376" s="180">
        <f t="shared" si="140"/>
        <v>2.1135491275654665E-2</v>
      </c>
    </row>
    <row r="377" spans="1:46" x14ac:dyDescent="0.25">
      <c r="A377" s="107">
        <v>44268</v>
      </c>
      <c r="B377" s="126">
        <v>6278</v>
      </c>
      <c r="C377" s="126">
        <f t="shared" si="148"/>
        <v>2192025</v>
      </c>
      <c r="D377" s="126">
        <v>68</v>
      </c>
      <c r="E377" s="126">
        <f t="shared" si="153"/>
        <v>53619</v>
      </c>
      <c r="F377" s="126">
        <f t="shared" si="131"/>
        <v>6291</v>
      </c>
      <c r="G377" s="155">
        <v>1981157</v>
      </c>
      <c r="H377" s="126">
        <v>3454</v>
      </c>
      <c r="I377" s="126">
        <v>42812</v>
      </c>
      <c r="J377" s="4">
        <f t="shared" si="150"/>
        <v>7972452</v>
      </c>
      <c r="K377" s="611">
        <f t="shared" si="129"/>
        <v>2.4460943647996714E-2</v>
      </c>
      <c r="L377" s="7">
        <v>4502329</v>
      </c>
      <c r="M377" s="4">
        <f t="shared" si="137"/>
        <v>4502329.0244609434</v>
      </c>
      <c r="N377" s="202"/>
      <c r="O377" s="4"/>
      <c r="P377" s="4"/>
      <c r="Q377" s="4"/>
      <c r="R377" s="4">
        <f t="shared" si="130"/>
        <v>157249</v>
      </c>
      <c r="S377" s="39">
        <f t="shared" si="151"/>
        <v>37</v>
      </c>
      <c r="T377" s="91">
        <f t="shared" si="156"/>
        <v>-81</v>
      </c>
      <c r="U377" s="91">
        <f>SUM(B364:B377)/POBLA!$B$25*100000</f>
        <v>193.53831732769746</v>
      </c>
      <c r="V377" s="91">
        <f>B377/POBLA!$B$25*100000</f>
        <v>13.834239151333113</v>
      </c>
      <c r="W377" s="625">
        <f t="shared" si="139"/>
        <v>1.062726876724263</v>
      </c>
      <c r="X377" s="28">
        <f t="shared" si="152"/>
        <v>2.1965163530451703E-2</v>
      </c>
      <c r="Y377" s="202">
        <f t="shared" si="128"/>
        <v>0.15848049554228794</v>
      </c>
      <c r="Z377" s="297">
        <f t="shared" si="134"/>
        <v>6473</v>
      </c>
      <c r="AA377" s="179">
        <f t="shared" si="135"/>
        <v>110.71428571428571</v>
      </c>
      <c r="AB377" s="357">
        <f t="shared" si="149"/>
        <v>153.58224511705484</v>
      </c>
      <c r="AC377" s="610">
        <f t="shared" si="146"/>
        <v>42.867959402769131</v>
      </c>
      <c r="AD377" s="610">
        <f t="shared" si="132"/>
        <v>6273.4285714285716</v>
      </c>
      <c r="AE377" s="202">
        <f t="shared" si="142"/>
        <v>1.0657148905143825</v>
      </c>
      <c r="AF377" s="202">
        <f t="shared" si="141"/>
        <v>2.4069865128001355E-2</v>
      </c>
      <c r="AG377" s="4"/>
      <c r="AH377" s="202">
        <f t="shared" si="136"/>
        <v>0.83693304535637147</v>
      </c>
      <c r="AI377" s="592">
        <f t="shared" si="154"/>
        <v>-6.5714890514382507E-2</v>
      </c>
      <c r="AJ377" s="28">
        <f t="shared" si="133"/>
        <v>1.9044576596058387E-2</v>
      </c>
      <c r="AK377" s="28">
        <f t="shared" si="157"/>
        <v>2.2493862054144172E-2</v>
      </c>
      <c r="AL377" s="202">
        <f t="shared" si="143"/>
        <v>0.99395683453237416</v>
      </c>
      <c r="AM377" s="202">
        <f t="shared" si="144"/>
        <v>0.83693304535637147</v>
      </c>
      <c r="AN377" s="4"/>
      <c r="AO377" s="4"/>
      <c r="AP377" s="644">
        <f t="shared" si="155"/>
        <v>1.062726876724263</v>
      </c>
      <c r="AQ377" s="4"/>
      <c r="AR377" s="4"/>
      <c r="AT377" s="180">
        <f t="shared" si="140"/>
        <v>2.0562935540069688E-2</v>
      </c>
    </row>
    <row r="378" spans="1:46" x14ac:dyDescent="0.25">
      <c r="A378" s="107">
        <v>44269</v>
      </c>
      <c r="B378" s="126">
        <v>3697</v>
      </c>
      <c r="C378" s="126">
        <f t="shared" si="148"/>
        <v>2195722</v>
      </c>
      <c r="D378" s="126">
        <v>24</v>
      </c>
      <c r="E378" s="126">
        <f t="shared" si="153"/>
        <v>53643</v>
      </c>
      <c r="F378" s="126">
        <f t="shared" si="131"/>
        <v>5746</v>
      </c>
      <c r="G378" s="155">
        <v>1986903</v>
      </c>
      <c r="H378" s="126">
        <v>3479</v>
      </c>
      <c r="I378" s="4">
        <v>26221</v>
      </c>
      <c r="J378" s="4">
        <f t="shared" si="150"/>
        <v>7998673</v>
      </c>
      <c r="K378" s="611">
        <f t="shared" si="129"/>
        <v>2.4430688402265862E-2</v>
      </c>
      <c r="L378" s="7">
        <v>4518854</v>
      </c>
      <c r="M378" s="4">
        <f t="shared" si="137"/>
        <v>4518854.0244306885</v>
      </c>
      <c r="N378" s="202"/>
      <c r="O378" s="4"/>
      <c r="P378" s="4"/>
      <c r="Q378" s="4"/>
      <c r="R378" s="4">
        <f t="shared" si="130"/>
        <v>155176</v>
      </c>
      <c r="S378" s="39">
        <f t="shared" si="151"/>
        <v>25</v>
      </c>
      <c r="T378" s="91">
        <f t="shared" si="156"/>
        <v>-2073</v>
      </c>
      <c r="U378" s="91">
        <f>SUM(B365:B378)/POBLA!$B$25*100000</f>
        <v>194.70402495927681</v>
      </c>
      <c r="V378" s="91">
        <f>B378/POBLA!$B$25*100000</f>
        <v>8.1467317844024407</v>
      </c>
      <c r="W378" s="625">
        <f t="shared" si="139"/>
        <v>1.0832444493483884</v>
      </c>
      <c r="X378" s="28">
        <f t="shared" si="152"/>
        <v>2.2419704077950197E-2</v>
      </c>
      <c r="Y378" s="202">
        <f t="shared" ref="Y378:Y408" si="158">SUM(B372:B378)/SUM(I372:I378)</f>
        <v>0.15930671884019898</v>
      </c>
      <c r="Z378" s="297">
        <f t="shared" si="134"/>
        <v>6583.7142857142853</v>
      </c>
      <c r="AA378" s="179">
        <f t="shared" si="135"/>
        <v>112.71428571428571</v>
      </c>
      <c r="AB378" s="357">
        <f t="shared" si="149"/>
        <v>151.50274306674788</v>
      </c>
      <c r="AC378" s="610">
        <f t="shared" si="146"/>
        <v>38.788457352462174</v>
      </c>
      <c r="AD378" s="610">
        <f t="shared" si="132"/>
        <v>6311.2142857142853</v>
      </c>
      <c r="AE378" s="202">
        <f t="shared" si="142"/>
        <v>1.0902509995032055</v>
      </c>
      <c r="AF378" s="202">
        <f t="shared" si="141"/>
        <v>2.7887073910681792E-2</v>
      </c>
      <c r="AG378" s="4"/>
      <c r="AH378" s="202">
        <f t="shared" si="136"/>
        <v>0.86041439476553971</v>
      </c>
      <c r="AI378" s="592">
        <f t="shared" si="154"/>
        <v>-9.0250999503205476E-2</v>
      </c>
      <c r="AJ378" s="28">
        <f t="shared" si="133"/>
        <v>1.7863611664553525E-2</v>
      </c>
      <c r="AK378" s="28">
        <f t="shared" si="157"/>
        <v>2.3044924022627613E-2</v>
      </c>
      <c r="AL378" s="202">
        <f t="shared" si="143"/>
        <v>1.0034612056533025</v>
      </c>
      <c r="AM378" s="202">
        <f t="shared" si="144"/>
        <v>0.86041439476553971</v>
      </c>
      <c r="AN378" s="4"/>
      <c r="AO378" s="4"/>
      <c r="AP378" s="644">
        <f t="shared" si="155"/>
        <v>1.0832444493483884</v>
      </c>
      <c r="AQ378" s="4"/>
      <c r="AR378" s="4"/>
      <c r="AT378" s="180">
        <f t="shared" si="140"/>
        <v>2.0230155471463607E-2</v>
      </c>
    </row>
    <row r="379" spans="1:46" x14ac:dyDescent="0.25">
      <c r="A379" s="107">
        <v>44270</v>
      </c>
      <c r="B379" s="126">
        <v>6164</v>
      </c>
      <c r="C379" s="126">
        <f t="shared" si="148"/>
        <v>2201886</v>
      </c>
      <c r="D379" s="126">
        <v>166</v>
      </c>
      <c r="E379" s="126">
        <f t="shared" si="153"/>
        <v>53809</v>
      </c>
      <c r="F379" s="126">
        <f t="shared" si="131"/>
        <v>6312</v>
      </c>
      <c r="G379" s="155">
        <v>1993215</v>
      </c>
      <c r="H379" s="126">
        <v>3469</v>
      </c>
      <c r="I379" s="4">
        <v>34040</v>
      </c>
      <c r="J379" s="4">
        <f t="shared" si="150"/>
        <v>8032713</v>
      </c>
      <c r="K379" s="611">
        <f t="shared" si="129"/>
        <v>2.443768660139535E-2</v>
      </c>
      <c r="L379" s="7">
        <v>4540295</v>
      </c>
      <c r="M379" s="4">
        <f t="shared" si="137"/>
        <v>4540295.0244376864</v>
      </c>
      <c r="N379" s="202"/>
      <c r="O379" s="4"/>
      <c r="P379" s="4"/>
      <c r="Q379" s="4"/>
      <c r="R379" s="4">
        <f t="shared" si="130"/>
        <v>154862</v>
      </c>
      <c r="S379" s="39">
        <f t="shared" si="151"/>
        <v>-10</v>
      </c>
      <c r="T379" s="91">
        <f t="shared" si="156"/>
        <v>-314</v>
      </c>
      <c r="U379" s="91">
        <f>SUM(B366:B379)/POBLA!$B$25*100000</f>
        <v>198.02265575919839</v>
      </c>
      <c r="V379" s="91">
        <f>B379/POBLA!$B$25*100000</f>
        <v>13.583028054924705</v>
      </c>
      <c r="W379" s="625">
        <f t="shared" si="139"/>
        <v>1.0831304389750018</v>
      </c>
      <c r="X379" s="28">
        <f t="shared" si="152"/>
        <v>2.2400588911417909E-2</v>
      </c>
      <c r="Y379" s="202">
        <f t="shared" si="158"/>
        <v>0.16001410532883048</v>
      </c>
      <c r="Z379" s="297">
        <f t="shared" si="134"/>
        <v>6741.7142857142853</v>
      </c>
      <c r="AA379" s="179">
        <f t="shared" si="135"/>
        <v>102.28571428571429</v>
      </c>
      <c r="AB379" s="357">
        <f t="shared" si="149"/>
        <v>148.82246804536288</v>
      </c>
      <c r="AC379" s="610">
        <f t="shared" si="146"/>
        <v>46.53675375964859</v>
      </c>
      <c r="AD379" s="610">
        <f t="shared" si="132"/>
        <v>6418.7857142857147</v>
      </c>
      <c r="AE379" s="202">
        <f t="shared" si="142"/>
        <v>1.105950176935155</v>
      </c>
      <c r="AF379" s="202">
        <f t="shared" si="141"/>
        <v>3.1993655913261865E-2</v>
      </c>
      <c r="AG379" s="4"/>
      <c r="AH379" s="202">
        <f t="shared" si="136"/>
        <v>0.68582375478927204</v>
      </c>
      <c r="AI379" s="592">
        <f t="shared" si="154"/>
        <v>-0.10595017693515496</v>
      </c>
      <c r="AJ379" s="28">
        <f t="shared" si="133"/>
        <v>1.5468706116188131E-2</v>
      </c>
      <c r="AK379" s="28">
        <f t="shared" si="157"/>
        <v>2.3117265645304242E-2</v>
      </c>
      <c r="AL379" s="202">
        <f t="shared" si="143"/>
        <v>0.99569460390355913</v>
      </c>
      <c r="AM379" s="202">
        <f t="shared" si="144"/>
        <v>0.68582375478927204</v>
      </c>
      <c r="AN379" s="4"/>
      <c r="AO379" s="4"/>
      <c r="AP379" s="644">
        <f t="shared" si="155"/>
        <v>1.0831304389750018</v>
      </c>
      <c r="AQ379" s="4"/>
      <c r="AR379" s="4"/>
      <c r="AT379" s="180">
        <f t="shared" si="140"/>
        <v>2.0262514348455357E-2</v>
      </c>
    </row>
    <row r="380" spans="1:46" x14ac:dyDescent="0.25">
      <c r="A380" s="107">
        <v>44271</v>
      </c>
      <c r="B380" s="126">
        <v>8235</v>
      </c>
      <c r="C380" s="126">
        <f t="shared" si="148"/>
        <v>2210121</v>
      </c>
      <c r="D380" s="126">
        <v>202</v>
      </c>
      <c r="E380" s="126">
        <f t="shared" si="153"/>
        <v>54011</v>
      </c>
      <c r="F380" s="126">
        <f t="shared" si="131"/>
        <v>5379</v>
      </c>
      <c r="G380" s="155">
        <v>1998594</v>
      </c>
      <c r="H380" s="126">
        <v>3469</v>
      </c>
      <c r="I380" s="4">
        <v>49875</v>
      </c>
      <c r="J380" s="4">
        <f t="shared" si="150"/>
        <v>8082588</v>
      </c>
      <c r="K380" s="611">
        <f t="shared" si="129"/>
        <v>2.4438028506131564E-2</v>
      </c>
      <c r="L380" s="7">
        <v>4569928</v>
      </c>
      <c r="M380" s="4">
        <f t="shared" si="137"/>
        <v>4569928.0244380282</v>
      </c>
      <c r="N380" s="202"/>
      <c r="O380" s="4"/>
      <c r="P380" s="4"/>
      <c r="Q380" s="4"/>
      <c r="R380" s="4">
        <f t="shared" si="130"/>
        <v>157516</v>
      </c>
      <c r="S380" s="39">
        <f t="shared" si="151"/>
        <v>0</v>
      </c>
      <c r="T380" s="91">
        <f t="shared" si="156"/>
        <v>2654</v>
      </c>
      <c r="U380" s="91">
        <f>SUM(B367:B380)/POBLA!$B$25*100000</f>
        <v>201.50876062339225</v>
      </c>
      <c r="V380" s="91">
        <f>B380/POBLA!$B$25*100000</f>
        <v>18.146696306344086</v>
      </c>
      <c r="W380" s="625">
        <f t="shared" si="139"/>
        <v>1.0680830685853111</v>
      </c>
      <c r="X380" s="28">
        <f t="shared" si="152"/>
        <v>2.2023159552045507E-2</v>
      </c>
      <c r="Y380" s="202">
        <f t="shared" si="158"/>
        <v>0.15921438355711137</v>
      </c>
      <c r="Z380" s="297">
        <f t="shared" si="134"/>
        <v>6874.2857142857147</v>
      </c>
      <c r="AA380" s="179">
        <f t="shared" si="135"/>
        <v>112.42857142857143</v>
      </c>
      <c r="AB380" s="357">
        <f t="shared" si="149"/>
        <v>145.78747158265688</v>
      </c>
      <c r="AC380" s="610">
        <f t="shared" si="146"/>
        <v>33.358900154085447</v>
      </c>
      <c r="AD380" s="610">
        <f t="shared" si="132"/>
        <v>6531.7857142857147</v>
      </c>
      <c r="AE380" s="202">
        <f t="shared" si="142"/>
        <v>1.11067512983266</v>
      </c>
      <c r="AF380" s="202">
        <f t="shared" si="141"/>
        <v>3.5022932464221501E-2</v>
      </c>
      <c r="AG380" s="4"/>
      <c r="AH380" s="202">
        <f t="shared" si="136"/>
        <v>0.74315391879131265</v>
      </c>
      <c r="AI380" s="592">
        <f t="shared" si="154"/>
        <v>-0.11067512983266004</v>
      </c>
      <c r="AJ380" s="28">
        <f t="shared" si="133"/>
        <v>1.6798292422625399E-2</v>
      </c>
      <c r="AK380" s="28">
        <f t="shared" si="157"/>
        <v>2.2794475181685567E-2</v>
      </c>
      <c r="AL380" s="202">
        <f t="shared" si="143"/>
        <v>0.98411347517730496</v>
      </c>
      <c r="AM380" s="202">
        <f t="shared" si="144"/>
        <v>0.74315391879131265</v>
      </c>
      <c r="AN380" s="4"/>
      <c r="AO380" s="4"/>
      <c r="AP380" s="644">
        <f t="shared" si="155"/>
        <v>1.0680830685853111</v>
      </c>
      <c r="AQ380" s="4"/>
      <c r="AR380" s="4"/>
      <c r="AT380" s="180">
        <f t="shared" si="140"/>
        <v>2.0659385969195379E-2</v>
      </c>
    </row>
    <row r="381" spans="1:46" x14ac:dyDescent="0.25">
      <c r="A381" s="107">
        <v>44272</v>
      </c>
      <c r="B381" s="126">
        <v>8304</v>
      </c>
      <c r="C381" s="126">
        <f t="shared" si="148"/>
        <v>2218425</v>
      </c>
      <c r="D381" s="126">
        <v>195</v>
      </c>
      <c r="E381" s="126">
        <f t="shared" si="153"/>
        <v>54206</v>
      </c>
      <c r="F381" s="126">
        <f t="shared" si="131"/>
        <v>4527</v>
      </c>
      <c r="G381" s="155">
        <v>2003121</v>
      </c>
      <c r="H381" s="126">
        <v>3485</v>
      </c>
      <c r="I381" s="4">
        <v>55017</v>
      </c>
      <c r="J381" s="4">
        <f t="shared" si="150"/>
        <v>8137605</v>
      </c>
      <c r="K381" s="611">
        <f t="shared" si="129"/>
        <v>2.4434452370488073E-2</v>
      </c>
      <c r="L381" s="7">
        <v>4602424</v>
      </c>
      <c r="M381" s="4">
        <f t="shared" si="137"/>
        <v>4602424.0244344519</v>
      </c>
      <c r="N381" s="202"/>
      <c r="O381" s="4"/>
      <c r="P381" s="4"/>
      <c r="Q381" s="4"/>
      <c r="R381" s="4">
        <f t="shared" si="130"/>
        <v>161098</v>
      </c>
      <c r="S381" s="39">
        <f t="shared" si="151"/>
        <v>16</v>
      </c>
      <c r="T381" s="91">
        <f t="shared" si="156"/>
        <v>3582</v>
      </c>
      <c r="U381" s="91">
        <f>SUM(B368:B381)/POBLA!$B$25*100000</f>
        <v>202.49817976626395</v>
      </c>
      <c r="V381" s="91">
        <f>B381/POBLA!$B$25*100000</f>
        <v>18.298745127854438</v>
      </c>
      <c r="W381" s="625">
        <f t="shared" si="139"/>
        <v>1.0513345613051586</v>
      </c>
      <c r="X381" s="28">
        <f t="shared" si="152"/>
        <v>2.1632794944692051E-2</v>
      </c>
      <c r="Y381" s="202">
        <f t="shared" si="158"/>
        <v>0.15629379937201524</v>
      </c>
      <c r="Z381" s="297">
        <f t="shared" si="134"/>
        <v>6961.5714285714284</v>
      </c>
      <c r="AA381" s="179">
        <f t="shared" si="135"/>
        <v>125</v>
      </c>
      <c r="AB381" s="357">
        <f t="shared" si="149"/>
        <v>144.82327186523835</v>
      </c>
      <c r="AC381" s="610">
        <f t="shared" si="146"/>
        <v>19.823271865238354</v>
      </c>
      <c r="AD381" s="610">
        <f t="shared" si="132"/>
        <v>6563.8571428571431</v>
      </c>
      <c r="AE381" s="202">
        <f t="shared" si="142"/>
        <v>1.1289993744642401</v>
      </c>
      <c r="AF381" s="202">
        <f t="shared" si="141"/>
        <v>4.1202665408504258E-2</v>
      </c>
      <c r="AG381" s="4"/>
      <c r="AH381" s="202">
        <f t="shared" si="136"/>
        <v>0.96792035398230092</v>
      </c>
      <c r="AI381" s="592">
        <f t="shared" si="154"/>
        <v>-0.12899937446424015</v>
      </c>
      <c r="AJ381" s="28">
        <f t="shared" si="133"/>
        <v>1.9865144050673144E-2</v>
      </c>
      <c r="AK381" s="28">
        <f t="shared" si="157"/>
        <v>2.252412375664898E-2</v>
      </c>
      <c r="AL381" s="202">
        <f t="shared" si="143"/>
        <v>0.99828129475794902</v>
      </c>
      <c r="AM381" s="202">
        <f t="shared" si="144"/>
        <v>0.96792035398230092</v>
      </c>
      <c r="AN381" s="4"/>
      <c r="AO381" s="4"/>
      <c r="AP381" s="644">
        <f t="shared" si="155"/>
        <v>1.0513345613051586</v>
      </c>
      <c r="AQ381" s="4"/>
      <c r="AR381" s="4"/>
      <c r="AT381" s="180">
        <f t="shared" si="140"/>
        <v>2.0658189345612775E-2</v>
      </c>
    </row>
    <row r="382" spans="1:46" x14ac:dyDescent="0.25">
      <c r="A382" s="107">
        <v>44273</v>
      </c>
      <c r="B382" s="126">
        <v>8328</v>
      </c>
      <c r="C382" s="126">
        <f t="shared" si="148"/>
        <v>2226753</v>
      </c>
      <c r="D382" s="256">
        <v>153</v>
      </c>
      <c r="E382" s="126">
        <f t="shared" si="153"/>
        <v>54359</v>
      </c>
      <c r="F382" s="126">
        <f t="shared" si="131"/>
        <v>6756</v>
      </c>
      <c r="G382" s="155">
        <v>2009877</v>
      </c>
      <c r="H382" s="126">
        <v>3522</v>
      </c>
      <c r="I382" s="4">
        <v>52192</v>
      </c>
      <c r="J382" s="4">
        <f t="shared" si="150"/>
        <v>8189797</v>
      </c>
      <c r="K382" s="611">
        <f t="shared" si="129"/>
        <v>2.441177804633024E-2</v>
      </c>
      <c r="L382" s="7">
        <v>4634650</v>
      </c>
      <c r="M382" s="4">
        <f t="shared" si="137"/>
        <v>4634650.024411778</v>
      </c>
      <c r="N382" s="202"/>
      <c r="O382" s="4"/>
      <c r="P382" s="4"/>
      <c r="Q382" s="4"/>
      <c r="R382" s="4">
        <f t="shared" si="130"/>
        <v>162517</v>
      </c>
      <c r="S382" s="39">
        <f t="shared" si="151"/>
        <v>37</v>
      </c>
      <c r="T382" s="91">
        <f t="shared" si="156"/>
        <v>1419</v>
      </c>
      <c r="U382" s="91">
        <f>SUM(B369:B382)/POBLA!$B$25*100000</f>
        <v>204.47261083978967</v>
      </c>
      <c r="V382" s="91">
        <f>B382/POBLA!$B$25*100000</f>
        <v>18.351631674466734</v>
      </c>
      <c r="W382" s="625">
        <f t="shared" si="139"/>
        <v>1.0644961453744493</v>
      </c>
      <c r="X382" s="28">
        <f t="shared" si="152"/>
        <v>2.167157897327664E-2</v>
      </c>
      <c r="Y382" s="202">
        <f t="shared" si="158"/>
        <v>0.15572059221954834</v>
      </c>
      <c r="Z382" s="297">
        <f t="shared" si="134"/>
        <v>6979.2857142857147</v>
      </c>
      <c r="AA382" s="179">
        <f t="shared" si="135"/>
        <v>127.71428571428571</v>
      </c>
      <c r="AB382" s="357">
        <f t="shared" si="149"/>
        <v>142.01963496354637</v>
      </c>
      <c r="AC382" s="610">
        <f t="shared" si="146"/>
        <v>14.305349249260658</v>
      </c>
      <c r="AD382" s="610">
        <f t="shared" si="132"/>
        <v>6627.8571428571431</v>
      </c>
      <c r="AE382" s="202">
        <f t="shared" si="142"/>
        <v>1.111983612154319</v>
      </c>
      <c r="AF382" s="202">
        <f t="shared" si="141"/>
        <v>4.1969340454315329E-2</v>
      </c>
      <c r="AG382" s="4"/>
      <c r="AH382" s="202">
        <f t="shared" si="136"/>
        <v>1.0554899645808735</v>
      </c>
      <c r="AI382" s="592">
        <f t="shared" si="154"/>
        <v>-0.11198361215431896</v>
      </c>
      <c r="AJ382" s="28">
        <f t="shared" si="133"/>
        <v>2.0517763701459652E-2</v>
      </c>
      <c r="AK382" s="28">
        <f t="shared" si="157"/>
        <v>2.2581120849388667E-2</v>
      </c>
      <c r="AL382" s="202">
        <f t="shared" si="143"/>
        <v>1.0244328097731239</v>
      </c>
      <c r="AM382" s="202">
        <f t="shared" si="144"/>
        <v>1.0554899645808735</v>
      </c>
      <c r="AN382" s="4"/>
      <c r="AO382" s="4"/>
      <c r="AP382" s="644">
        <f t="shared" si="155"/>
        <v>1.0644961453744493</v>
      </c>
      <c r="AQ382" s="4"/>
      <c r="AR382" s="4"/>
      <c r="AT382" s="180">
        <f t="shared" si="140"/>
        <v>2.0444724383431513E-2</v>
      </c>
    </row>
    <row r="383" spans="1:46" x14ac:dyDescent="0.25">
      <c r="A383" s="107">
        <v>44274</v>
      </c>
      <c r="B383" s="126">
        <v>8160</v>
      </c>
      <c r="C383" s="126">
        <f t="shared" si="148"/>
        <v>2234913</v>
      </c>
      <c r="D383" s="126">
        <v>113</v>
      </c>
      <c r="E383" s="126">
        <f t="shared" si="153"/>
        <v>54472</v>
      </c>
      <c r="F383" s="126">
        <f t="shared" si="131"/>
        <v>6852</v>
      </c>
      <c r="G383" s="155">
        <v>2016729</v>
      </c>
      <c r="H383" s="126">
        <v>3534</v>
      </c>
      <c r="I383" s="4">
        <v>61579</v>
      </c>
      <c r="J383" s="4">
        <f t="shared" si="150"/>
        <v>8251376</v>
      </c>
      <c r="K383" s="611">
        <f t="shared" si="129"/>
        <v>2.4373208263587888E-2</v>
      </c>
      <c r="L383" s="7">
        <v>4671212</v>
      </c>
      <c r="M383" s="4">
        <f t="shared" si="137"/>
        <v>4671212.0243732082</v>
      </c>
      <c r="N383" s="202"/>
      <c r="O383" s="4"/>
      <c r="P383" s="4"/>
      <c r="Q383" s="4"/>
      <c r="R383" s="4">
        <f t="shared" si="130"/>
        <v>163712</v>
      </c>
      <c r="S383" s="39">
        <f t="shared" si="151"/>
        <v>12</v>
      </c>
      <c r="T383" s="91">
        <f t="shared" si="156"/>
        <v>1195</v>
      </c>
      <c r="U383" s="91">
        <f>SUM(B370:B383)/POBLA!$B$25*100000</f>
        <v>205.06538088306917</v>
      </c>
      <c r="V383" s="91">
        <f>B383/POBLA!$B$25*100000</f>
        <v>17.98142584818066</v>
      </c>
      <c r="W383" s="625">
        <f t="shared" si="139"/>
        <v>1.0675209067027636</v>
      </c>
      <c r="X383" s="28">
        <f t="shared" si="152"/>
        <v>2.1586688819390149E-2</v>
      </c>
      <c r="Y383" s="202">
        <f t="shared" si="158"/>
        <v>0.15281473008926574</v>
      </c>
      <c r="Z383" s="297">
        <f t="shared" si="134"/>
        <v>7023.7142857142853</v>
      </c>
      <c r="AA383" s="179">
        <f t="shared" si="135"/>
        <v>131.57142857142858</v>
      </c>
      <c r="AB383" s="357">
        <f t="shared" si="149"/>
        <v>151.75380821608621</v>
      </c>
      <c r="AC383" s="610">
        <f t="shared" si="146"/>
        <v>20.18237964465763</v>
      </c>
      <c r="AD383" s="610">
        <f t="shared" si="132"/>
        <v>6647.0714285714284</v>
      </c>
      <c r="AE383" s="202">
        <f t="shared" si="142"/>
        <v>1.1201330508281502</v>
      </c>
      <c r="AF383" s="202">
        <f t="shared" si="141"/>
        <v>4.0564418737685015E-2</v>
      </c>
      <c r="AG383" s="4"/>
      <c r="AH383" s="202">
        <f t="shared" si="136"/>
        <v>1.1614123581336697</v>
      </c>
      <c r="AI383" s="592">
        <f t="shared" si="154"/>
        <v>-0.12013305082815018</v>
      </c>
      <c r="AJ383" s="28">
        <f t="shared" si="133"/>
        <v>2.1403174455625014E-2</v>
      </c>
      <c r="AK383" s="28">
        <f t="shared" si="157"/>
        <v>2.2462340303819998E-2</v>
      </c>
      <c r="AL383" s="202">
        <f t="shared" si="143"/>
        <v>1.0342405618964003</v>
      </c>
      <c r="AM383" s="202">
        <f t="shared" si="144"/>
        <v>1.1614123581336697</v>
      </c>
      <c r="AN383" s="4"/>
      <c r="AO383" s="4"/>
      <c r="AP383" s="644">
        <f t="shared" si="155"/>
        <v>1.0675209067027636</v>
      </c>
      <c r="AQ383" s="4"/>
      <c r="AR383" s="4"/>
      <c r="AT383" s="180">
        <f t="shared" si="140"/>
        <v>1.9868327638427084E-2</v>
      </c>
    </row>
    <row r="384" spans="1:46" x14ac:dyDescent="0.25">
      <c r="A384" s="107">
        <v>44275</v>
      </c>
      <c r="B384" s="126">
        <v>6826</v>
      </c>
      <c r="C384" s="126">
        <f t="shared" si="148"/>
        <v>2241739</v>
      </c>
      <c r="D384" s="126">
        <v>42</v>
      </c>
      <c r="E384" s="126">
        <f t="shared" si="153"/>
        <v>54514</v>
      </c>
      <c r="F384" s="126">
        <f t="shared" si="131"/>
        <v>6935</v>
      </c>
      <c r="G384" s="155">
        <v>2023664</v>
      </c>
      <c r="H384" s="126">
        <v>3534</v>
      </c>
      <c r="I384" s="4">
        <v>57789</v>
      </c>
      <c r="J384" s="4">
        <f t="shared" si="150"/>
        <v>8309165</v>
      </c>
      <c r="K384" s="611">
        <f t="shared" si="129"/>
        <v>2.4317728335011345E-2</v>
      </c>
      <c r="L384" s="7">
        <v>4709648</v>
      </c>
      <c r="M384" s="4">
        <f t="shared" si="137"/>
        <v>4709648.0243177284</v>
      </c>
      <c r="N384" s="202"/>
      <c r="O384" s="4"/>
      <c r="P384" s="4"/>
      <c r="Q384" s="4"/>
      <c r="R384" s="4">
        <f t="shared" si="130"/>
        <v>163561</v>
      </c>
      <c r="S384" s="39">
        <f t="shared" si="151"/>
        <v>0</v>
      </c>
      <c r="T384" s="91">
        <f t="shared" si="156"/>
        <v>-151</v>
      </c>
      <c r="U384" s="91">
        <f>SUM(B371:B384)/POBLA!$B$25*100000</f>
        <v>209.39767049305974</v>
      </c>
      <c r="V384" s="91">
        <f>B384/POBLA!$B$25*100000</f>
        <v>15.04181529898054</v>
      </c>
      <c r="W384" s="625">
        <f t="shared" si="139"/>
        <v>1.1037995562731591</v>
      </c>
      <c r="X384" s="28">
        <f t="shared" si="152"/>
        <v>2.1606617714491842E-2</v>
      </c>
      <c r="Y384" s="202">
        <f t="shared" si="158"/>
        <v>0.14764502707053187</v>
      </c>
      <c r="Z384" s="297">
        <f t="shared" si="134"/>
        <v>7102</v>
      </c>
      <c r="AA384" s="179">
        <f t="shared" si="135"/>
        <v>127.85714285714286</v>
      </c>
      <c r="AB384" s="357">
        <f t="shared" si="149"/>
        <v>149.51544866113645</v>
      </c>
      <c r="AC384" s="610">
        <f t="shared" si="146"/>
        <v>21.658305803993585</v>
      </c>
      <c r="AD384" s="610">
        <f t="shared" si="132"/>
        <v>6787.5</v>
      </c>
      <c r="AE384" s="202">
        <f t="shared" si="142"/>
        <v>1.0971728719295535</v>
      </c>
      <c r="AF384" s="202">
        <f t="shared" si="141"/>
        <v>4.0140159873830683E-2</v>
      </c>
      <c r="AG384" s="4"/>
      <c r="AH384" s="202">
        <f t="shared" si="136"/>
        <v>1.1548387096774195</v>
      </c>
      <c r="AI384" s="592">
        <f t="shared" si="154"/>
        <v>-9.7172871929553484E-2</v>
      </c>
      <c r="AJ384" s="28">
        <f t="shared" si="133"/>
        <v>2.1172407267221801E-2</v>
      </c>
      <c r="AK384" s="28">
        <f t="shared" si="157"/>
        <v>2.2473910803884285E-2</v>
      </c>
      <c r="AL384" s="202">
        <f t="shared" si="143"/>
        <v>1.0231615518239723</v>
      </c>
      <c r="AM384" s="202">
        <f t="shared" si="144"/>
        <v>1.1548387096774195</v>
      </c>
      <c r="AN384" s="4"/>
      <c r="AO384" s="297">
        <f t="shared" ref="AO384:AO416" si="159">Z383*0.02</f>
        <v>140.47428571428571</v>
      </c>
      <c r="AP384" s="644">
        <f t="shared" si="155"/>
        <v>1.1037995562731591</v>
      </c>
      <c r="AQ384" s="4"/>
      <c r="AR384" s="4"/>
      <c r="AT384" s="180">
        <f t="shared" si="140"/>
        <v>1.8928512803676953E-2</v>
      </c>
    </row>
    <row r="385" spans="1:46" x14ac:dyDescent="0.25">
      <c r="A385" s="107">
        <v>44276</v>
      </c>
      <c r="B385" s="126">
        <v>4032</v>
      </c>
      <c r="C385" s="126">
        <f t="shared" si="148"/>
        <v>2245771</v>
      </c>
      <c r="D385" s="126">
        <v>28</v>
      </c>
      <c r="E385" s="126">
        <f t="shared" si="153"/>
        <v>54542</v>
      </c>
      <c r="F385" s="126">
        <f t="shared" si="131"/>
        <v>6489</v>
      </c>
      <c r="G385" s="155">
        <v>2030153</v>
      </c>
      <c r="H385" s="126">
        <v>3534</v>
      </c>
      <c r="I385" s="4">
        <v>31233</v>
      </c>
      <c r="J385" s="4">
        <f t="shared" si="150"/>
        <v>8340398</v>
      </c>
      <c r="K385" s="611">
        <f t="shared" si="129"/>
        <v>2.4286536784026511E-2</v>
      </c>
      <c r="L385" s="7">
        <v>4732074</v>
      </c>
      <c r="M385" s="4">
        <f t="shared" si="137"/>
        <v>4732074.0242865365</v>
      </c>
      <c r="N385" s="202"/>
      <c r="O385" s="4"/>
      <c r="P385" s="4"/>
      <c r="Q385" s="4"/>
      <c r="R385" s="4">
        <f t="shared" si="130"/>
        <v>161076</v>
      </c>
      <c r="S385" s="39">
        <f t="shared" si="151"/>
        <v>0</v>
      </c>
      <c r="T385" s="91">
        <f t="shared" si="156"/>
        <v>-2485</v>
      </c>
      <c r="U385" s="91">
        <f>SUM(B372:B385)/POBLA!$B$25*100000</f>
        <v>211.84367327387841</v>
      </c>
      <c r="V385" s="91">
        <f>B385/POBLA!$B$25*100000</f>
        <v>8.8849398308657399</v>
      </c>
      <c r="W385" s="625">
        <f t="shared" si="139"/>
        <v>1.1269958500386861</v>
      </c>
      <c r="X385" s="28">
        <f t="shared" si="152"/>
        <v>2.1939953810623556E-2</v>
      </c>
      <c r="Y385" s="202">
        <f t="shared" si="158"/>
        <v>0.14645987270466018</v>
      </c>
      <c r="Z385" s="297">
        <f t="shared" si="134"/>
        <v>7149.8571428571431</v>
      </c>
      <c r="AA385" s="179">
        <f t="shared" si="135"/>
        <v>128.42857142857142</v>
      </c>
      <c r="AB385" s="357">
        <f t="shared" si="149"/>
        <v>148.47639547213706</v>
      </c>
      <c r="AC385" s="610">
        <f t="shared" si="146"/>
        <v>20.04782404356564</v>
      </c>
      <c r="AD385" s="610">
        <f t="shared" si="132"/>
        <v>6866.7857142857147</v>
      </c>
      <c r="AE385" s="202">
        <f t="shared" si="142"/>
        <v>1.0859914073688324</v>
      </c>
      <c r="AF385" s="202">
        <f t="shared" si="141"/>
        <v>3.8021343506727812E-2</v>
      </c>
      <c r="AG385" s="4"/>
      <c r="AH385" s="202">
        <f t="shared" si="136"/>
        <v>1.1394169835234473</v>
      </c>
      <c r="AI385" s="592">
        <f t="shared" si="154"/>
        <v>-8.5991407368832373E-2</v>
      </c>
      <c r="AJ385" s="28">
        <f t="shared" si="133"/>
        <v>2.1689828218490637E-2</v>
      </c>
      <c r="AK385" s="28">
        <f t="shared" si="157"/>
        <v>2.2774140330979017E-2</v>
      </c>
      <c r="AL385" s="202">
        <f t="shared" si="143"/>
        <v>1.0158091405576315</v>
      </c>
      <c r="AM385" s="202">
        <f t="shared" si="144"/>
        <v>1.1394169835234473</v>
      </c>
      <c r="AN385" s="4"/>
      <c r="AO385" s="297">
        <f t="shared" si="159"/>
        <v>142.04</v>
      </c>
      <c r="AP385" s="644">
        <f t="shared" si="155"/>
        <v>1.1269958500386861</v>
      </c>
      <c r="AQ385" s="4"/>
      <c r="AR385" s="4"/>
      <c r="AT385" s="180">
        <f t="shared" si="140"/>
        <v>1.8708461981265374E-2</v>
      </c>
    </row>
    <row r="386" spans="1:46" x14ac:dyDescent="0.25">
      <c r="A386" s="107">
        <v>44277</v>
      </c>
      <c r="B386" s="126">
        <v>6401</v>
      </c>
      <c r="C386" s="126">
        <f t="shared" si="148"/>
        <v>2252172</v>
      </c>
      <c r="D386" s="126">
        <v>125</v>
      </c>
      <c r="E386" s="126">
        <f t="shared" si="153"/>
        <v>54667</v>
      </c>
      <c r="F386" s="126">
        <f t="shared" si="131"/>
        <v>7533</v>
      </c>
      <c r="G386" s="155">
        <v>2037686</v>
      </c>
      <c r="H386" s="126">
        <v>3530</v>
      </c>
      <c r="I386" s="4">
        <v>43438</v>
      </c>
      <c r="J386" s="4">
        <f t="shared" si="150"/>
        <v>8383836</v>
      </c>
      <c r="K386" s="611">
        <f t="shared" ref="K386:K391" si="160">E386/C386</f>
        <v>2.427301289599551E-2</v>
      </c>
      <c r="L386" s="7">
        <v>4756568</v>
      </c>
      <c r="M386" s="4">
        <f t="shared" si="137"/>
        <v>4756568.0242730128</v>
      </c>
      <c r="N386" s="202"/>
      <c r="O386" s="4"/>
      <c r="P386" s="4"/>
      <c r="Q386" s="4"/>
      <c r="R386" s="4">
        <f t="shared" ref="R386:R408" si="161">C386-E386-G386</f>
        <v>159819</v>
      </c>
      <c r="S386" s="39">
        <f t="shared" si="151"/>
        <v>-4</v>
      </c>
      <c r="T386" s="91">
        <f t="shared" si="156"/>
        <v>-1257</v>
      </c>
      <c r="U386" s="91">
        <f>SUM(B373:B386)/POBLA!$B$25*100000</f>
        <v>214.80311627805816</v>
      </c>
      <c r="V386" s="91">
        <f>B386/POBLA!$B$25*100000</f>
        <v>14.10528270272113</v>
      </c>
      <c r="W386" s="625">
        <f t="shared" si="139"/>
        <v>1.1475695466371567</v>
      </c>
      <c r="X386" s="28">
        <f t="shared" si="152"/>
        <v>2.2087486469068135E-2</v>
      </c>
      <c r="Y386" s="202">
        <f t="shared" si="158"/>
        <v>0.14321477089225143</v>
      </c>
      <c r="Z386" s="297">
        <f t="shared" si="134"/>
        <v>7183.7142857142853</v>
      </c>
      <c r="AA386" s="179">
        <f t="shared" si="135"/>
        <v>122.57142857142857</v>
      </c>
      <c r="AB386" s="357">
        <f t="shared" si="149"/>
        <v>150.20571054902194</v>
      </c>
      <c r="AC386" s="610">
        <f t="shared" si="146"/>
        <v>27.634281977593375</v>
      </c>
      <c r="AD386" s="610">
        <f t="shared" si="132"/>
        <v>6962.7142857142853</v>
      </c>
      <c r="AE386" s="202">
        <f t="shared" si="142"/>
        <v>1.0655619596541788</v>
      </c>
      <c r="AF386" s="202">
        <f t="shared" si="141"/>
        <v>3.2009143624646352E-2</v>
      </c>
      <c r="AG386" s="4"/>
      <c r="AH386" s="202">
        <f t="shared" si="136"/>
        <v>1.1983240223463687</v>
      </c>
      <c r="AI386" s="592">
        <f t="shared" si="154"/>
        <v>-6.556195965417877E-2</v>
      </c>
      <c r="AJ386" s="28">
        <f t="shared" si="133"/>
        <v>2.0865758754863812E-2</v>
      </c>
      <c r="AK386" s="28">
        <f t="shared" si="157"/>
        <v>2.279448799576397E-2</v>
      </c>
      <c r="AL386" s="202">
        <f t="shared" si="143"/>
        <v>1.0175843182473334</v>
      </c>
      <c r="AM386" s="202">
        <f t="shared" si="144"/>
        <v>1.1983240223463687</v>
      </c>
      <c r="AN386" s="4"/>
      <c r="AO386" s="297">
        <f t="shared" si="159"/>
        <v>142.99714285714288</v>
      </c>
      <c r="AP386" s="644">
        <f t="shared" si="155"/>
        <v>1.1475695466371567</v>
      </c>
      <c r="AQ386" s="4"/>
      <c r="AR386" s="4"/>
      <c r="AT386" s="180">
        <f t="shared" si="140"/>
        <v>1.8679488585047012E-2</v>
      </c>
    </row>
    <row r="387" spans="1:46" x14ac:dyDescent="0.25">
      <c r="A387" s="107">
        <v>44278</v>
      </c>
      <c r="B387" s="126">
        <v>9405</v>
      </c>
      <c r="C387" s="126">
        <f t="shared" si="148"/>
        <v>2261577</v>
      </c>
      <c r="D387" s="126">
        <v>153</v>
      </c>
      <c r="E387" s="126">
        <f t="shared" si="153"/>
        <v>54820</v>
      </c>
      <c r="F387" s="126">
        <f t="shared" ref="F387:F407" si="162">G387-G386</f>
        <v>6271</v>
      </c>
      <c r="G387" s="155">
        <v>2043957</v>
      </c>
      <c r="H387" s="126">
        <v>3591</v>
      </c>
      <c r="I387" s="4">
        <v>49703</v>
      </c>
      <c r="J387" s="4">
        <f t="shared" si="150"/>
        <v>8433539</v>
      </c>
      <c r="K387" s="611">
        <f t="shared" si="160"/>
        <v>2.4239722989754495E-2</v>
      </c>
      <c r="L387" s="7">
        <v>4786032</v>
      </c>
      <c r="M387" s="4">
        <f t="shared" si="137"/>
        <v>4786032.0242397226</v>
      </c>
      <c r="N387" s="202"/>
      <c r="O387" s="4"/>
      <c r="P387" s="4"/>
      <c r="Q387" s="4"/>
      <c r="R387" s="4">
        <f t="shared" si="161"/>
        <v>162800</v>
      </c>
      <c r="S387" s="39">
        <f t="shared" si="151"/>
        <v>61</v>
      </c>
      <c r="T387" s="91">
        <f t="shared" si="156"/>
        <v>2981</v>
      </c>
      <c r="U387" s="91">
        <f>SUM(B374:B387)/POBLA!$B$25*100000</f>
        <v>219.42628189441635</v>
      </c>
      <c r="V387" s="91">
        <f>B387/POBLA!$B$25*100000</f>
        <v>20.724915453693519</v>
      </c>
      <c r="W387" s="625">
        <f t="shared" si="139"/>
        <v>1.1746192773642552</v>
      </c>
      <c r="X387" s="28">
        <f t="shared" si="152"/>
        <v>2.2057739557739559E-2</v>
      </c>
      <c r="Y387" s="202">
        <f t="shared" si="158"/>
        <v>0.14661875874409819</v>
      </c>
      <c r="Z387" s="297">
        <f t="shared" si="134"/>
        <v>7350.8571428571431</v>
      </c>
      <c r="AA387" s="179">
        <f t="shared" si="135"/>
        <v>115.57142857142857</v>
      </c>
      <c r="AB387" s="357">
        <f t="shared" si="149"/>
        <v>152.36743315897769</v>
      </c>
      <c r="AC387" s="610">
        <f t="shared" si="146"/>
        <v>36.79600458754912</v>
      </c>
      <c r="AD387" s="610">
        <f t="shared" ref="AD387:AD450" si="163">AVERAGE(B374:B387)</f>
        <v>7112.5714285714284</v>
      </c>
      <c r="AE387" s="202">
        <f t="shared" si="142"/>
        <v>1.0693266832917705</v>
      </c>
      <c r="AF387" s="202">
        <f t="shared" si="141"/>
        <v>3.3545798522054859E-2</v>
      </c>
      <c r="AG387" s="4"/>
      <c r="AH387" s="202">
        <f t="shared" si="136"/>
        <v>1.0279542566709021</v>
      </c>
      <c r="AI387" s="592">
        <f t="shared" si="154"/>
        <v>-6.9326683291770497E-2</v>
      </c>
      <c r="AJ387" s="28">
        <f t="shared" si="133"/>
        <v>2.006547943846421E-2</v>
      </c>
      <c r="AK387" s="28">
        <f t="shared" si="157"/>
        <v>2.2797684044795451E-2</v>
      </c>
      <c r="AL387" s="202">
        <f t="shared" si="143"/>
        <v>1.0351686364946671</v>
      </c>
      <c r="AM387" s="202">
        <f t="shared" si="144"/>
        <v>1.0279542566709021</v>
      </c>
      <c r="AN387" s="4"/>
      <c r="AO387" s="297">
        <f t="shared" si="159"/>
        <v>143.6742857142857</v>
      </c>
      <c r="AP387" s="644">
        <f t="shared" si="155"/>
        <v>1.1746192773642552</v>
      </c>
      <c r="AQ387" s="4"/>
      <c r="AR387" s="4"/>
      <c r="AT387" s="180">
        <f t="shared" si="140"/>
        <v>1.8525372256556632E-2</v>
      </c>
    </row>
    <row r="388" spans="1:46" x14ac:dyDescent="0.25">
      <c r="A388" s="107">
        <v>44279</v>
      </c>
      <c r="B388" s="126">
        <v>8300</v>
      </c>
      <c r="C388" s="126">
        <f t="shared" si="148"/>
        <v>2269877</v>
      </c>
      <c r="D388" s="126">
        <v>123</v>
      </c>
      <c r="E388" s="126">
        <f t="shared" si="153"/>
        <v>54943</v>
      </c>
      <c r="F388" s="126">
        <f t="shared" si="162"/>
        <v>5078</v>
      </c>
      <c r="G388" s="155">
        <v>2049035</v>
      </c>
      <c r="H388" s="126">
        <v>3574</v>
      </c>
      <c r="I388" s="4">
        <v>44058</v>
      </c>
      <c r="J388" s="4">
        <f t="shared" si="150"/>
        <v>8477597</v>
      </c>
      <c r="K388" s="611">
        <f t="shared" si="160"/>
        <v>2.4205276321139869E-2</v>
      </c>
      <c r="L388" s="7">
        <v>4813948</v>
      </c>
      <c r="M388" s="4">
        <f t="shared" si="137"/>
        <v>4813948.0242052767</v>
      </c>
      <c r="N388" s="202"/>
      <c r="O388" s="4"/>
      <c r="P388" s="4"/>
      <c r="Q388" s="4"/>
      <c r="R388" s="4">
        <f t="shared" si="161"/>
        <v>165899</v>
      </c>
      <c r="S388" s="39">
        <f t="shared" si="151"/>
        <v>-17</v>
      </c>
      <c r="T388" s="91">
        <f t="shared" si="156"/>
        <v>3099</v>
      </c>
      <c r="U388" s="91">
        <f>SUM(B375:B388)/POBLA!$B$25*100000</f>
        <v>220.76387080248571</v>
      </c>
      <c r="V388" s="91">
        <f>B388/POBLA!$B$25*100000</f>
        <v>18.289930703419056</v>
      </c>
      <c r="W388" s="625">
        <f t="shared" si="139"/>
        <v>1.1886501429707059</v>
      </c>
      <c r="X388" s="28">
        <f t="shared" si="152"/>
        <v>2.1543228108668527E-2</v>
      </c>
      <c r="Y388" s="202">
        <f t="shared" si="158"/>
        <v>0.15133297254053035</v>
      </c>
      <c r="Z388" s="297">
        <f t="shared" si="134"/>
        <v>7350.2857142857147</v>
      </c>
      <c r="AA388" s="179">
        <f t="shared" si="135"/>
        <v>105.28571428571429</v>
      </c>
      <c r="AB388" s="357">
        <f t="shared" si="149"/>
        <v>151.56356827934525</v>
      </c>
      <c r="AC388" s="610">
        <f t="shared" si="146"/>
        <v>46.277853993630956</v>
      </c>
      <c r="AD388" s="610">
        <f t="shared" si="163"/>
        <v>7155.9285714285716</v>
      </c>
      <c r="AE388" s="202">
        <f t="shared" si="142"/>
        <v>1.055837146785414</v>
      </c>
      <c r="AF388" s="202">
        <f t="shared" si="141"/>
        <v>2.9801735589517042E-2</v>
      </c>
      <c r="AG388" s="4"/>
      <c r="AH388" s="202">
        <f t="shared" si="136"/>
        <v>0.8422857142857143</v>
      </c>
      <c r="AI388" s="592">
        <f t="shared" si="154"/>
        <v>-5.583714678541396E-2</v>
      </c>
      <c r="AJ388" s="28">
        <f t="shared" si="133"/>
        <v>1.7089458795158375E-2</v>
      </c>
      <c r="AK388" s="28">
        <f t="shared" si="157"/>
        <v>2.2185253696507715E-2</v>
      </c>
      <c r="AL388" s="202">
        <f t="shared" si="143"/>
        <v>1.0255380200860833</v>
      </c>
      <c r="AM388" s="202">
        <f t="shared" si="144"/>
        <v>0.8422857142857143</v>
      </c>
      <c r="AN388" s="4"/>
      <c r="AO388" s="297">
        <f t="shared" si="159"/>
        <v>147.01714285714286</v>
      </c>
      <c r="AP388" s="644">
        <f t="shared" si="155"/>
        <v>1.1886501429707059</v>
      </c>
      <c r="AQ388" s="4"/>
      <c r="AR388" s="4"/>
      <c r="AT388" s="180">
        <f t="shared" si="140"/>
        <v>1.8068616771433996E-2</v>
      </c>
    </row>
    <row r="389" spans="1:46" x14ac:dyDescent="0.25">
      <c r="A389" s="107">
        <v>44280</v>
      </c>
      <c r="B389" s="126">
        <v>8238</v>
      </c>
      <c r="C389" s="126">
        <f t="shared" si="148"/>
        <v>2278115</v>
      </c>
      <c r="D389" s="126">
        <v>146</v>
      </c>
      <c r="E389" s="126">
        <f t="shared" si="153"/>
        <v>55089</v>
      </c>
      <c r="F389" s="126">
        <f t="shared" si="162"/>
        <v>7437</v>
      </c>
      <c r="G389" s="155">
        <v>2056472</v>
      </c>
      <c r="H389" s="126">
        <v>3585</v>
      </c>
      <c r="I389" s="4">
        <v>40224</v>
      </c>
      <c r="J389" s="4">
        <v>8517821</v>
      </c>
      <c r="K389" s="611">
        <f t="shared" si="160"/>
        <v>2.4181834543032289E-2</v>
      </c>
      <c r="L389" s="7">
        <v>4837873</v>
      </c>
      <c r="M389" s="4">
        <f t="shared" si="137"/>
        <v>4837873.0241818344</v>
      </c>
      <c r="N389" s="202"/>
      <c r="O389" s="4"/>
      <c r="P389" s="4"/>
      <c r="Q389" s="4"/>
      <c r="R389" s="4">
        <f t="shared" si="161"/>
        <v>166554</v>
      </c>
      <c r="S389" s="39">
        <f t="shared" si="151"/>
        <v>11</v>
      </c>
      <c r="T389" s="91">
        <f t="shared" si="156"/>
        <v>655</v>
      </c>
      <c r="U389" s="91">
        <f>SUM(B376:B389)/POBLA!$B$25*100000</f>
        <v>220.83879341018644</v>
      </c>
      <c r="V389" s="91">
        <f>B389/POBLA!$B$25*100000</f>
        <v>18.153307124670622</v>
      </c>
      <c r="W389" s="625">
        <f t="shared" si="139"/>
        <v>1.1894769325721339</v>
      </c>
      <c r="X389" s="28">
        <f t="shared" si="152"/>
        <v>2.1524550596203035E-2</v>
      </c>
      <c r="Y389" s="202">
        <f t="shared" si="158"/>
        <v>0.15658000634099944</v>
      </c>
      <c r="Z389" s="297">
        <f t="shared" si="134"/>
        <v>7337.4285714285716</v>
      </c>
      <c r="AA389" s="179">
        <f t="shared" si="135"/>
        <v>104.28571428571429</v>
      </c>
      <c r="AB389" s="357">
        <f t="shared" si="149"/>
        <v>154.07941674560911</v>
      </c>
      <c r="AC389" s="610">
        <f t="shared" si="146"/>
        <v>49.793702459894817</v>
      </c>
      <c r="AD389" s="610">
        <f t="shared" si="163"/>
        <v>7158.3571428571431</v>
      </c>
      <c r="AE389" s="307">
        <f t="shared" si="142"/>
        <v>1.0513151161600656</v>
      </c>
      <c r="AF389" s="202">
        <f t="shared" si="141"/>
        <v>2.484047822689317E-2</v>
      </c>
      <c r="AG389" s="4"/>
      <c r="AH389" s="202">
        <f t="shared" si="136"/>
        <v>0.81655480984340056</v>
      </c>
      <c r="AI389" s="592">
        <f t="shared" si="154"/>
        <v>-5.1315116160065566E-2</v>
      </c>
      <c r="AJ389" s="28">
        <f t="shared" si="133"/>
        <v>1.7169602747136439E-2</v>
      </c>
      <c r="AK389" s="28">
        <f t="shared" si="157"/>
        <v>2.2059230726631674E-2</v>
      </c>
      <c r="AL389" s="202">
        <f t="shared" si="143"/>
        <v>1.0178875638841567</v>
      </c>
      <c r="AM389" s="202">
        <f t="shared" si="144"/>
        <v>0.81655480984340056</v>
      </c>
      <c r="AN389" s="4"/>
      <c r="AO389" s="297">
        <f t="shared" si="159"/>
        <v>147.0057142857143</v>
      </c>
      <c r="AP389" s="644">
        <f t="shared" si="155"/>
        <v>1.1894769325721339</v>
      </c>
      <c r="AQ389" s="4"/>
      <c r="AR389" s="4"/>
      <c r="AT389" s="180">
        <f t="shared" si="140"/>
        <v>1.7955367943172033E-2</v>
      </c>
    </row>
    <row r="390" spans="1:46" x14ac:dyDescent="0.25">
      <c r="A390" s="107">
        <v>44281</v>
      </c>
      <c r="B390" s="126">
        <v>12936</v>
      </c>
      <c r="C390" s="126">
        <f t="shared" si="148"/>
        <v>2291051</v>
      </c>
      <c r="D390" s="126">
        <v>143</v>
      </c>
      <c r="E390" s="126">
        <f t="shared" si="153"/>
        <v>55232</v>
      </c>
      <c r="F390" s="126">
        <f t="shared" si="162"/>
        <v>8007</v>
      </c>
      <c r="G390" s="155">
        <v>2064479</v>
      </c>
      <c r="H390" s="126">
        <v>3508</v>
      </c>
      <c r="I390" s="4">
        <v>88074</v>
      </c>
      <c r="J390" s="4">
        <f t="shared" ref="J390:J408" si="164">J389+I390</f>
        <v>8605895</v>
      </c>
      <c r="K390" s="611">
        <f t="shared" si="160"/>
        <v>2.4107713010317101E-2</v>
      </c>
      <c r="L390" s="7">
        <v>4887389</v>
      </c>
      <c r="M390" s="4">
        <f t="shared" si="137"/>
        <v>4887389.0241077133</v>
      </c>
      <c r="N390" s="202"/>
      <c r="O390" s="4"/>
      <c r="P390" s="4"/>
      <c r="Q390" s="4"/>
      <c r="R390" s="4">
        <f t="shared" si="161"/>
        <v>171340</v>
      </c>
      <c r="S390" s="39">
        <f t="shared" si="151"/>
        <v>-77</v>
      </c>
      <c r="T390" s="91">
        <f t="shared" si="156"/>
        <v>4786</v>
      </c>
      <c r="U390" s="91">
        <f>SUM(B377:B390)/POBLA!$B$25*100000</f>
        <v>232.04853768588438</v>
      </c>
      <c r="V390" s="91">
        <f>B390/POBLA!$B$25*100000</f>
        <v>28.505848624027578</v>
      </c>
      <c r="W390" s="625">
        <f t="shared" si="139"/>
        <v>1.2101265240924395</v>
      </c>
      <c r="X390" s="28">
        <f t="shared" si="152"/>
        <v>2.0473911520952494E-2</v>
      </c>
      <c r="Y390" s="202">
        <f t="shared" si="158"/>
        <v>0.15834976404649681</v>
      </c>
      <c r="Z390" s="297">
        <f t="shared" si="134"/>
        <v>8019.7142857142853</v>
      </c>
      <c r="AA390" s="179">
        <f t="shared" si="135"/>
        <v>108.57142857142857</v>
      </c>
      <c r="AB390" s="357">
        <f t="shared" si="149"/>
        <v>153.62606945294741</v>
      </c>
      <c r="AC390" s="610">
        <f t="shared" si="146"/>
        <v>45.054640881518836</v>
      </c>
      <c r="AD390" s="610">
        <f t="shared" si="163"/>
        <v>7521.7142857142853</v>
      </c>
      <c r="AE390" s="307">
        <f t="shared" si="142"/>
        <v>1.1418053126144083</v>
      </c>
      <c r="AF390" s="202">
        <f t="shared" si="141"/>
        <v>4.659401876465985E-2</v>
      </c>
      <c r="AG390" s="4"/>
      <c r="AH390" s="202">
        <f t="shared" si="136"/>
        <v>0.82519001085776322</v>
      </c>
      <c r="AI390" s="592">
        <f t="shared" si="154"/>
        <v>-0.14180531261440832</v>
      </c>
      <c r="AJ390" s="28">
        <f t="shared" si="133"/>
        <v>1.7979229258829933E-2</v>
      </c>
      <c r="AK390" s="28">
        <f t="shared" si="157"/>
        <v>2.142787333854574E-2</v>
      </c>
      <c r="AL390" s="202">
        <f t="shared" si="143"/>
        <v>0.99264289756649693</v>
      </c>
      <c r="AM390" s="202">
        <f t="shared" si="144"/>
        <v>0.82519001085776322</v>
      </c>
      <c r="AN390" s="4"/>
      <c r="AO390" s="297">
        <f t="shared" si="159"/>
        <v>146.74857142857144</v>
      </c>
      <c r="AP390" s="644">
        <f t="shared" si="155"/>
        <v>1.2101265240924395</v>
      </c>
      <c r="AQ390" s="4"/>
      <c r="AR390" s="4"/>
      <c r="AT390" s="180">
        <f t="shared" si="140"/>
        <v>1.7554950398755105E-2</v>
      </c>
    </row>
    <row r="391" spans="1:46" x14ac:dyDescent="0.25">
      <c r="A391" s="107">
        <v>44282</v>
      </c>
      <c r="B391" s="126">
        <v>10338</v>
      </c>
      <c r="C391" s="126">
        <f t="shared" si="148"/>
        <v>2301389</v>
      </c>
      <c r="D391" s="126">
        <v>133</v>
      </c>
      <c r="E391" s="126">
        <f t="shared" si="153"/>
        <v>55365</v>
      </c>
      <c r="F391" s="126">
        <f t="shared" si="162"/>
        <v>7749</v>
      </c>
      <c r="G391" s="155">
        <v>2072228</v>
      </c>
      <c r="H391" s="126">
        <v>3506</v>
      </c>
      <c r="I391" s="4">
        <v>44828</v>
      </c>
      <c r="J391" s="4">
        <f t="shared" si="164"/>
        <v>8650723</v>
      </c>
      <c r="K391" s="611">
        <f t="shared" si="160"/>
        <v>2.4057210667123203E-2</v>
      </c>
      <c r="L391" s="7">
        <v>4915050</v>
      </c>
      <c r="M391" s="4">
        <f t="shared" si="137"/>
        <v>4915050.0240572104</v>
      </c>
      <c r="N391" s="202"/>
      <c r="O391" s="4"/>
      <c r="P391" s="4"/>
      <c r="Q391" s="4"/>
      <c r="R391" s="4">
        <f t="shared" si="161"/>
        <v>173796</v>
      </c>
      <c r="S391" s="39">
        <f t="shared" si="151"/>
        <v>-2</v>
      </c>
      <c r="T391" s="91">
        <f t="shared" si="156"/>
        <v>2456</v>
      </c>
      <c r="U391" s="91">
        <f>SUM(B378:B391)/POBLA!$B$25*100000</f>
        <v>240.99517848779777</v>
      </c>
      <c r="V391" s="91">
        <f>B391/POBLA!$B$25*100000</f>
        <v>22.780879953246529</v>
      </c>
      <c r="W391" s="625">
        <f t="shared" si="139"/>
        <v>1.2452065400555632</v>
      </c>
      <c r="X391" s="28">
        <f t="shared" si="152"/>
        <v>2.0173076480471359E-2</v>
      </c>
      <c r="Y391" s="202">
        <f t="shared" si="158"/>
        <v>0.17464091018216527</v>
      </c>
      <c r="Z391" s="297">
        <f t="shared" si="134"/>
        <v>8521.4285714285706</v>
      </c>
      <c r="AA391" s="179">
        <f t="shared" si="135"/>
        <v>121.57142857142857</v>
      </c>
      <c r="AB391" s="357">
        <f t="shared" si="149"/>
        <v>158.33568823348273</v>
      </c>
      <c r="AC391" s="610">
        <f t="shared" si="146"/>
        <v>36.764259662054158</v>
      </c>
      <c r="AD391" s="610">
        <f t="shared" si="163"/>
        <v>7811.7142857142853</v>
      </c>
      <c r="AE391" s="307">
        <f t="shared" si="142"/>
        <v>1.1998632176046988</v>
      </c>
      <c r="AF391" s="202">
        <f t="shared" si="141"/>
        <v>6.2576041965994422E-2</v>
      </c>
      <c r="AG391" s="4"/>
      <c r="AH391" s="202">
        <f t="shared" si="136"/>
        <v>0.95083798882681558</v>
      </c>
      <c r="AI391" s="592">
        <f t="shared" si="154"/>
        <v>-0.19986321760469883</v>
      </c>
      <c r="AJ391" s="28">
        <f t="shared" si="133"/>
        <v>1.9943287009913054E-2</v>
      </c>
      <c r="AK391" s="28">
        <f t="shared" si="157"/>
        <v>2.1435427760896547E-2</v>
      </c>
      <c r="AL391" s="202">
        <f t="shared" si="143"/>
        <v>0.99207696661007361</v>
      </c>
      <c r="AM391" s="202">
        <f t="shared" si="144"/>
        <v>0.95083798882681558</v>
      </c>
      <c r="AN391" s="4"/>
      <c r="AO391" s="297">
        <f t="shared" si="159"/>
        <v>160.3942857142857</v>
      </c>
      <c r="AP391" s="644">
        <f t="shared" si="155"/>
        <v>1.2452065400555632</v>
      </c>
      <c r="AQ391" s="4"/>
      <c r="AR391" s="4"/>
      <c r="AT391" s="180">
        <f t="shared" si="140"/>
        <v>1.7319393099199012E-2</v>
      </c>
    </row>
    <row r="392" spans="1:46" x14ac:dyDescent="0.25">
      <c r="A392" s="107">
        <v>44283</v>
      </c>
      <c r="B392" s="126">
        <v>7208</v>
      </c>
      <c r="C392" s="126">
        <f t="shared" si="148"/>
        <v>2308597</v>
      </c>
      <c r="D392" s="126">
        <v>81</v>
      </c>
      <c r="E392" s="126">
        <f t="shared" si="153"/>
        <v>55446</v>
      </c>
      <c r="F392" s="126">
        <f t="shared" si="162"/>
        <v>7287</v>
      </c>
      <c r="G392" s="155">
        <v>2079515</v>
      </c>
      <c r="H392" s="126">
        <v>3505</v>
      </c>
      <c r="I392" s="4">
        <v>37193</v>
      </c>
      <c r="J392" s="4">
        <f t="shared" si="164"/>
        <v>8687916</v>
      </c>
      <c r="K392" s="611">
        <f t="shared" ref="K392:K403" si="165">E392/C392</f>
        <v>2.4017184463117642E-2</v>
      </c>
      <c r="L392" s="7">
        <v>4937915</v>
      </c>
      <c r="M392" s="4">
        <f t="shared" si="137"/>
        <v>4937915.024017184</v>
      </c>
      <c r="N392" s="202"/>
      <c r="O392" s="4"/>
      <c r="P392" s="4"/>
      <c r="Q392" s="4"/>
      <c r="R392" s="4">
        <f t="shared" si="161"/>
        <v>173636</v>
      </c>
      <c r="S392" s="39">
        <f t="shared" si="151"/>
        <v>-1</v>
      </c>
      <c r="T392" s="91">
        <f t="shared" si="156"/>
        <v>-160</v>
      </c>
      <c r="U392" s="91">
        <f>SUM(B379:B392)/POBLA!$B$25*100000</f>
        <v>248.73203953595493</v>
      </c>
      <c r="V392" s="91">
        <f>B392/POBLA!$B$25*100000</f>
        <v>15.883592832559586</v>
      </c>
      <c r="W392" s="625">
        <f t="shared" si="139"/>
        <v>1.277487918331315</v>
      </c>
      <c r="X392" s="28">
        <f t="shared" si="152"/>
        <v>2.0185906148494553E-2</v>
      </c>
      <c r="Y392" s="202">
        <f t="shared" si="158"/>
        <v>0.18078488020764391</v>
      </c>
      <c r="Z392" s="297">
        <f t="shared" si="134"/>
        <v>8975.1428571428569</v>
      </c>
      <c r="AA392" s="179">
        <f t="shared" si="135"/>
        <v>129.14285714285714</v>
      </c>
      <c r="AB392" s="357">
        <f t="shared" si="149"/>
        <v>160.84467224383206</v>
      </c>
      <c r="AC392" s="610">
        <f t="shared" si="146"/>
        <v>31.701815100974926</v>
      </c>
      <c r="AD392" s="610">
        <f t="shared" si="163"/>
        <v>8062.5</v>
      </c>
      <c r="AE392" s="307">
        <f t="shared" si="142"/>
        <v>1.2552898159803392</v>
      </c>
      <c r="AF392" s="202">
        <f t="shared" si="141"/>
        <v>7.7975613995877824E-2</v>
      </c>
      <c r="AG392" s="202">
        <f t="shared" ref="AG392:AG423" si="166">B392/B385-1</f>
        <v>0.78769841269841279</v>
      </c>
      <c r="AH392" s="202">
        <f t="shared" si="136"/>
        <v>1.0055617352614017</v>
      </c>
      <c r="AI392" s="592">
        <f t="shared" si="154"/>
        <v>-0.25528981598033917</v>
      </c>
      <c r="AJ392" s="28">
        <f t="shared" ref="AJ392:AJ402" si="167">AA392/Z373</f>
        <v>2.0865551067512981E-2</v>
      </c>
      <c r="AK392" s="28">
        <f t="shared" si="157"/>
        <v>2.1759914574486578E-2</v>
      </c>
      <c r="AL392" s="202">
        <f t="shared" si="143"/>
        <v>0.99179400113186189</v>
      </c>
      <c r="AM392" s="202">
        <f t="shared" si="144"/>
        <v>1.0055617352614017</v>
      </c>
      <c r="AN392" s="4"/>
      <c r="AO392" s="297">
        <f t="shared" si="159"/>
        <v>170.42857142857142</v>
      </c>
      <c r="AP392" s="644">
        <f t="shared" si="155"/>
        <v>1.277487918331315</v>
      </c>
      <c r="AQ392" s="4"/>
      <c r="AR392" s="4"/>
      <c r="AT392" s="180">
        <f t="shared" si="140"/>
        <v>1.7091614292725463E-2</v>
      </c>
    </row>
    <row r="393" spans="1:46" x14ac:dyDescent="0.25">
      <c r="A393" s="107">
        <v>44284</v>
      </c>
      <c r="B393" s="126">
        <v>14014</v>
      </c>
      <c r="C393" s="126">
        <f t="shared" si="148"/>
        <v>2322611</v>
      </c>
      <c r="D393" s="126">
        <v>163</v>
      </c>
      <c r="E393" s="126">
        <f t="shared" si="153"/>
        <v>55609</v>
      </c>
      <c r="F393" s="126">
        <f t="shared" si="162"/>
        <v>8741</v>
      </c>
      <c r="G393" s="155">
        <v>2088256</v>
      </c>
      <c r="H393" s="126">
        <v>3639</v>
      </c>
      <c r="I393" s="4">
        <v>57830</v>
      </c>
      <c r="J393" s="4">
        <f t="shared" si="164"/>
        <v>8745746</v>
      </c>
      <c r="K393" s="611">
        <f t="shared" si="165"/>
        <v>2.3942450974356017E-2</v>
      </c>
      <c r="L393" s="7">
        <v>4975797</v>
      </c>
      <c r="M393" s="4">
        <f t="shared" si="137"/>
        <v>4975797.023942451</v>
      </c>
      <c r="N393" s="202"/>
      <c r="O393" s="4"/>
      <c r="P393" s="4"/>
      <c r="Q393" s="4"/>
      <c r="R393" s="4">
        <f t="shared" si="161"/>
        <v>178746</v>
      </c>
      <c r="S393" s="39">
        <f t="shared" si="151"/>
        <v>134</v>
      </c>
      <c r="T393" s="91">
        <f t="shared" si="156"/>
        <v>5110</v>
      </c>
      <c r="U393" s="91">
        <f>SUM(B380:B393)/POBLA!$B$25*100000</f>
        <v>266.03034749039347</v>
      </c>
      <c r="V393" s="91">
        <f>B393/POBLA!$B$25*100000</f>
        <v>30.881336009363213</v>
      </c>
      <c r="W393" s="625">
        <f t="shared" si="139"/>
        <v>1.3434338938161423</v>
      </c>
      <c r="X393" s="28">
        <f t="shared" si="152"/>
        <v>2.0358497532811923E-2</v>
      </c>
      <c r="Y393" s="202">
        <f t="shared" si="158"/>
        <v>0.19463126191594596</v>
      </c>
      <c r="Z393" s="297">
        <f t="shared" ref="Z393:Z416" si="168">AVERAGE(B387:B393)</f>
        <v>10062.714285714286</v>
      </c>
      <c r="AA393" s="179">
        <f t="shared" ref="AA393:AA416" si="169">AVERAGE(D387:D393)</f>
        <v>134.57142857142858</v>
      </c>
      <c r="AB393" s="357">
        <f t="shared" si="149"/>
        <v>164.75190087043561</v>
      </c>
      <c r="AC393" s="610">
        <f t="shared" si="146"/>
        <v>30.180472299007022</v>
      </c>
      <c r="AD393" s="610">
        <f t="shared" si="163"/>
        <v>8623.2142857142862</v>
      </c>
      <c r="AE393" s="307">
        <f t="shared" si="142"/>
        <v>1.4007676092749475</v>
      </c>
      <c r="AF393" s="202">
        <f t="shared" si="141"/>
        <v>0.11842772135978819</v>
      </c>
      <c r="AG393" s="202">
        <f t="shared" si="166"/>
        <v>1.1893454147789408</v>
      </c>
      <c r="AH393" s="202">
        <f t="shared" si="136"/>
        <v>1.0979020979020979</v>
      </c>
      <c r="AI393" s="592">
        <f t="shared" si="154"/>
        <v>-0.40076760927494748</v>
      </c>
      <c r="AJ393" s="28">
        <f t="shared" si="167"/>
        <v>2.1824247619488917E-2</v>
      </c>
      <c r="AK393" s="28">
        <f t="shared" si="157"/>
        <v>2.2769508005931711E-2</v>
      </c>
      <c r="AL393" s="202">
        <f t="shared" si="143"/>
        <v>1.0308781869688386</v>
      </c>
      <c r="AM393" s="202">
        <f t="shared" si="144"/>
        <v>1.0979020979020979</v>
      </c>
      <c r="AN393" s="4"/>
      <c r="AO393" s="297">
        <f t="shared" si="159"/>
        <v>179.50285714285715</v>
      </c>
      <c r="AP393" s="644">
        <f t="shared" si="155"/>
        <v>1.3434338938161423</v>
      </c>
      <c r="AQ393" s="4"/>
      <c r="AR393" s="4"/>
      <c r="AT393" s="180">
        <f t="shared" si="140"/>
        <v>1.6899099874550166E-2</v>
      </c>
    </row>
    <row r="394" spans="1:46" x14ac:dyDescent="0.25">
      <c r="A394" s="107">
        <v>44285</v>
      </c>
      <c r="B394" s="126">
        <v>10154</v>
      </c>
      <c r="C394" s="126">
        <f t="shared" si="148"/>
        <v>2332765</v>
      </c>
      <c r="D394" s="126">
        <v>125</v>
      </c>
      <c r="E394" s="126">
        <f t="shared" si="153"/>
        <v>55734</v>
      </c>
      <c r="F394" s="126">
        <f t="shared" si="162"/>
        <v>7597</v>
      </c>
      <c r="G394" s="155">
        <v>2095853</v>
      </c>
      <c r="H394" s="126">
        <v>3702</v>
      </c>
      <c r="I394" s="4">
        <v>78400</v>
      </c>
      <c r="J394" s="4">
        <f t="shared" si="164"/>
        <v>8824146</v>
      </c>
      <c r="K394" s="611">
        <f t="shared" si="165"/>
        <v>2.38918193645738E-2</v>
      </c>
      <c r="L394" s="7">
        <v>5003806</v>
      </c>
      <c r="M394" s="4">
        <f t="shared" si="137"/>
        <v>5003806.0238918196</v>
      </c>
      <c r="N394" s="202"/>
      <c r="O394" s="4"/>
      <c r="P394" s="4"/>
      <c r="Q394" s="4"/>
      <c r="R394" s="4">
        <f t="shared" si="161"/>
        <v>181178</v>
      </c>
      <c r="S394" s="39">
        <f t="shared" si="151"/>
        <v>63</v>
      </c>
      <c r="T394" s="91">
        <f t="shared" si="156"/>
        <v>2432</v>
      </c>
      <c r="U394" s="91">
        <f>SUM(B381:B394)/POBLA!$B$25*100000</f>
        <v>270.25906761326826</v>
      </c>
      <c r="V394" s="91">
        <f>B394/POBLA!$B$25*100000</f>
        <v>22.375416429218927</v>
      </c>
      <c r="W394" s="625">
        <f t="shared" si="139"/>
        <v>1.3411777571217671</v>
      </c>
      <c r="X394" s="28">
        <f t="shared" si="152"/>
        <v>2.0432944397222621E-2</v>
      </c>
      <c r="Y394" s="202">
        <f t="shared" si="158"/>
        <v>0.18224967806516523</v>
      </c>
      <c r="Z394" s="297">
        <f t="shared" si="168"/>
        <v>10169.714285714286</v>
      </c>
      <c r="AA394" s="179">
        <f t="shared" si="169"/>
        <v>130.57142857142858</v>
      </c>
      <c r="AB394" s="357">
        <f t="shared" si="149"/>
        <v>167.99399024500727</v>
      </c>
      <c r="AC394" s="610">
        <f t="shared" si="146"/>
        <v>37.422561673578684</v>
      </c>
      <c r="AD394" s="610">
        <f t="shared" si="163"/>
        <v>8760.2857142857138</v>
      </c>
      <c r="AE394" s="307">
        <f t="shared" si="142"/>
        <v>1.3834732587064678</v>
      </c>
      <c r="AF394" s="202">
        <f t="shared" si="141"/>
        <v>0.11288697788697788</v>
      </c>
      <c r="AG394" s="202">
        <f t="shared" si="166"/>
        <v>7.9638490164805953E-2</v>
      </c>
      <c r="AH394" s="202">
        <f t="shared" ref="AH394:AH445" si="170">AA394/AA387</f>
        <v>1.1297898640296664</v>
      </c>
      <c r="AI394" s="592">
        <f t="shared" si="154"/>
        <v>-0.38347325870646776</v>
      </c>
      <c r="AJ394" s="28">
        <f t="shared" si="167"/>
        <v>2.0803459656310461E-2</v>
      </c>
      <c r="AK394" s="28">
        <f t="shared" si="157"/>
        <v>2.2739557739557738E-2</v>
      </c>
      <c r="AL394" s="202">
        <f t="shared" si="143"/>
        <v>1.0309106098579783</v>
      </c>
      <c r="AM394" s="202">
        <f t="shared" si="144"/>
        <v>1.1297898640296664</v>
      </c>
      <c r="AN394" s="4"/>
      <c r="AO394" s="297">
        <f t="shared" si="159"/>
        <v>201.25428571428574</v>
      </c>
      <c r="AP394" s="644">
        <f t="shared" si="155"/>
        <v>1.3411777571217671</v>
      </c>
      <c r="AQ394" s="4"/>
      <c r="AR394" s="4"/>
      <c r="AT394" s="180">
        <f t="shared" si="140"/>
        <v>1.6845607808340726E-2</v>
      </c>
    </row>
    <row r="395" spans="1:46" x14ac:dyDescent="0.25">
      <c r="A395" s="107">
        <v>44286</v>
      </c>
      <c r="B395" s="126">
        <v>16056</v>
      </c>
      <c r="C395" s="126">
        <f t="shared" si="148"/>
        <v>2348821</v>
      </c>
      <c r="D395" s="126">
        <v>124</v>
      </c>
      <c r="E395" s="126">
        <f t="shared" si="153"/>
        <v>55858</v>
      </c>
      <c r="F395" s="126">
        <f t="shared" si="162"/>
        <v>6763</v>
      </c>
      <c r="G395" s="155">
        <v>2102616</v>
      </c>
      <c r="H395" s="126">
        <v>3638</v>
      </c>
      <c r="I395" s="4">
        <v>56334</v>
      </c>
      <c r="J395" s="4">
        <f t="shared" si="164"/>
        <v>8880480</v>
      </c>
      <c r="K395" s="611">
        <f t="shared" si="165"/>
        <v>2.3781292827337631E-2</v>
      </c>
      <c r="L395" s="7">
        <v>5041337</v>
      </c>
      <c r="M395" s="4">
        <f t="shared" si="137"/>
        <v>5041337.0237812931</v>
      </c>
      <c r="N395" s="202"/>
      <c r="O395" s="4"/>
      <c r="P395" s="4"/>
      <c r="Q395" s="4"/>
      <c r="R395" s="4">
        <f t="shared" si="161"/>
        <v>190347</v>
      </c>
      <c r="S395" s="39">
        <f t="shared" si="151"/>
        <v>-64</v>
      </c>
      <c r="T395" s="91">
        <f t="shared" si="156"/>
        <v>9169</v>
      </c>
      <c r="U395" s="91">
        <f>SUM(B382:B395)/POBLA!$B$25*100000</f>
        <v>287.3414221690399</v>
      </c>
      <c r="V395" s="91">
        <f>B395/POBLA!$B$25*100000</f>
        <v>35.381099683626061</v>
      </c>
      <c r="W395" s="625">
        <f t="shared" si="139"/>
        <v>1.4189827409841773</v>
      </c>
      <c r="X395" s="28">
        <f t="shared" si="152"/>
        <v>1.9112463028048775E-2</v>
      </c>
      <c r="Y395" s="202">
        <f t="shared" si="158"/>
        <v>0.19594770690250024</v>
      </c>
      <c r="Z395" s="297">
        <f t="shared" si="168"/>
        <v>11277.714285714286</v>
      </c>
      <c r="AA395" s="179">
        <f t="shared" si="169"/>
        <v>130.71428571428572</v>
      </c>
      <c r="AB395" s="357">
        <f t="shared" si="149"/>
        <v>170.10218549517919</v>
      </c>
      <c r="AC395" s="610">
        <f t="shared" si="146"/>
        <v>39.387899780893463</v>
      </c>
      <c r="AD395" s="610">
        <f t="shared" si="163"/>
        <v>9314</v>
      </c>
      <c r="AE395" s="307">
        <f t="shared" si="142"/>
        <v>1.5343232527404183</v>
      </c>
      <c r="AF395" s="202">
        <f t="shared" si="141"/>
        <v>0.14736677134883269</v>
      </c>
      <c r="AG395" s="202">
        <f t="shared" si="166"/>
        <v>0.93445783132530114</v>
      </c>
      <c r="AH395" s="202">
        <f t="shared" si="170"/>
        <v>1.2415196743554953</v>
      </c>
      <c r="AI395" s="592">
        <f t="shared" si="154"/>
        <v>-0.53432325274041825</v>
      </c>
      <c r="AJ395" s="28">
        <f t="shared" si="167"/>
        <v>2.0846148588613219E-2</v>
      </c>
      <c r="AK395" s="28">
        <f t="shared" si="157"/>
        <v>2.1929004997016256E-2</v>
      </c>
      <c r="AL395" s="202">
        <f t="shared" si="143"/>
        <v>1.0179071068830443</v>
      </c>
      <c r="AM395" s="202">
        <f t="shared" si="144"/>
        <v>1.2415196743554953</v>
      </c>
      <c r="AN395" s="4"/>
      <c r="AO395" s="297">
        <f t="shared" si="159"/>
        <v>203.39428571428573</v>
      </c>
      <c r="AP395" s="644">
        <f t="shared" si="155"/>
        <v>1.4189827409841773</v>
      </c>
      <c r="AQ395" s="7">
        <f t="shared" ref="AQ395:AQ426" si="171">MAX(Z:Z)</f>
        <v>33171.285714285717</v>
      </c>
      <c r="AR395" s="4"/>
      <c r="AT395" s="180">
        <f t="shared" si="140"/>
        <v>1.6085439910810056E-2</v>
      </c>
    </row>
    <row r="396" spans="1:46" x14ac:dyDescent="0.25">
      <c r="A396" s="107">
        <v>44287</v>
      </c>
      <c r="B396" s="126">
        <v>14430</v>
      </c>
      <c r="C396" s="126">
        <f t="shared" si="148"/>
        <v>2363251</v>
      </c>
      <c r="D396" s="126">
        <v>83</v>
      </c>
      <c r="E396" s="126">
        <f t="shared" si="153"/>
        <v>55941</v>
      </c>
      <c r="F396" s="126">
        <f t="shared" si="162"/>
        <v>9650</v>
      </c>
      <c r="G396" s="155">
        <v>2112266</v>
      </c>
      <c r="H396" s="126">
        <v>3639</v>
      </c>
      <c r="I396" s="4">
        <v>52292</v>
      </c>
      <c r="J396" s="4">
        <f t="shared" si="164"/>
        <v>8932772</v>
      </c>
      <c r="K396" s="611">
        <f t="shared" si="165"/>
        <v>2.3671205470768869E-2</v>
      </c>
      <c r="L396" s="7">
        <v>5072149</v>
      </c>
      <c r="M396" s="4">
        <f t="shared" ref="M396:M415" si="172">L396+K396</f>
        <v>5072149.0236712052</v>
      </c>
      <c r="N396" s="202"/>
      <c r="O396" s="4"/>
      <c r="P396" s="4"/>
      <c r="Q396" s="4"/>
      <c r="R396" s="4">
        <f t="shared" si="161"/>
        <v>195044</v>
      </c>
      <c r="S396" s="39">
        <f t="shared" si="151"/>
        <v>1</v>
      </c>
      <c r="T396" s="91">
        <f t="shared" si="156"/>
        <v>4697</v>
      </c>
      <c r="U396" s="91">
        <f>SUM(B383:B396)/POBLA!$B$25*100000</f>
        <v>300.78782664521617</v>
      </c>
      <c r="V396" s="91">
        <f>B396/POBLA!$B$25*100000</f>
        <v>31.798036150643007</v>
      </c>
      <c r="W396" s="625">
        <f t="shared" si="139"/>
        <v>1.4710421381614398</v>
      </c>
      <c r="X396" s="28">
        <f t="shared" si="152"/>
        <v>1.8657328602776808E-2</v>
      </c>
      <c r="Y396" s="202">
        <f t="shared" si="158"/>
        <v>0.2051712129865936</v>
      </c>
      <c r="Z396" s="297">
        <f t="shared" si="168"/>
        <v>12162.285714285714</v>
      </c>
      <c r="AA396" s="179">
        <f t="shared" si="169"/>
        <v>121.71428571428571</v>
      </c>
      <c r="AB396" s="357">
        <f t="shared" si="149"/>
        <v>170.37677377906627</v>
      </c>
      <c r="AC396" s="610">
        <f t="shared" si="146"/>
        <v>48.662488064780561</v>
      </c>
      <c r="AD396" s="610">
        <f t="shared" si="163"/>
        <v>9749.8571428571431</v>
      </c>
      <c r="AE396" s="307">
        <f t="shared" si="142"/>
        <v>1.6575678517191696</v>
      </c>
      <c r="AF396" s="202">
        <f t="shared" si="141"/>
        <v>0.17105563360831932</v>
      </c>
      <c r="AG396" s="202">
        <f t="shared" si="166"/>
        <v>0.75163874726875446</v>
      </c>
      <c r="AH396" s="202">
        <f t="shared" si="170"/>
        <v>1.1671232876712327</v>
      </c>
      <c r="AI396" s="592">
        <f t="shared" si="154"/>
        <v>-0.65756785171916965</v>
      </c>
      <c r="AJ396" s="28">
        <f t="shared" si="167"/>
        <v>1.8803381077442564E-2</v>
      </c>
      <c r="AK396" s="28">
        <f t="shared" si="157"/>
        <v>2.1848769768363415E-2</v>
      </c>
      <c r="AL396" s="202">
        <f t="shared" si="143"/>
        <v>1.0150627615062762</v>
      </c>
      <c r="AM396" s="202">
        <f t="shared" si="144"/>
        <v>1.1671232876712327</v>
      </c>
      <c r="AN396" s="4"/>
      <c r="AO396" s="297">
        <f t="shared" si="159"/>
        <v>225.55428571428573</v>
      </c>
      <c r="AP396" s="644">
        <f t="shared" si="155"/>
        <v>1.4710421381614398</v>
      </c>
      <c r="AQ396" s="7">
        <f t="shared" si="171"/>
        <v>33171.285714285717</v>
      </c>
      <c r="AR396" s="4"/>
      <c r="AT396" s="180">
        <f t="shared" si="140"/>
        <v>1.543902688336911E-2</v>
      </c>
    </row>
    <row r="397" spans="1:46" x14ac:dyDescent="0.25">
      <c r="A397" s="107">
        <v>44288</v>
      </c>
      <c r="B397" s="126">
        <v>9902</v>
      </c>
      <c r="C397" s="126">
        <f t="shared" si="148"/>
        <v>2373153</v>
      </c>
      <c r="D397" s="126">
        <v>82</v>
      </c>
      <c r="E397" s="126">
        <f t="shared" si="153"/>
        <v>56023</v>
      </c>
      <c r="F397" s="126">
        <f t="shared" si="162"/>
        <v>9688</v>
      </c>
      <c r="G397" s="155">
        <v>2121954</v>
      </c>
      <c r="H397" s="126">
        <v>3619</v>
      </c>
      <c r="I397" s="4">
        <v>50043</v>
      </c>
      <c r="J397" s="4">
        <f t="shared" si="164"/>
        <v>8982815</v>
      </c>
      <c r="K397" s="611">
        <f t="shared" si="165"/>
        <v>2.3606990362610419E-2</v>
      </c>
      <c r="L397" s="7">
        <v>5096601</v>
      </c>
      <c r="M397" s="4">
        <f t="shared" si="172"/>
        <v>5096601.0236069905</v>
      </c>
      <c r="N397" s="202"/>
      <c r="O397" s="4"/>
      <c r="P397" s="4"/>
      <c r="Q397" s="4"/>
      <c r="R397" s="4">
        <f t="shared" si="161"/>
        <v>195176</v>
      </c>
      <c r="S397" s="39">
        <f t="shared" si="151"/>
        <v>-20</v>
      </c>
      <c r="T397" s="91">
        <f t="shared" si="156"/>
        <v>132</v>
      </c>
      <c r="U397" s="91">
        <f>SUM(B384:B397)/POBLA!$B$25*100000</f>
        <v>304.62650848682534</v>
      </c>
      <c r="V397" s="91">
        <f>B397/POBLA!$B$25*100000</f>
        <v>21.820107689789818</v>
      </c>
      <c r="W397" s="625">
        <f t="shared" ref="W397:W451" si="173">SUM(B384:B397)/SUM(B370:B383)</f>
        <v>1.4855091930925541</v>
      </c>
      <c r="X397" s="28">
        <f t="shared" si="152"/>
        <v>1.854223879985244E-2</v>
      </c>
      <c r="Y397" s="202">
        <f t="shared" si="158"/>
        <v>0.21782341080335349</v>
      </c>
      <c r="Z397" s="297">
        <f t="shared" si="168"/>
        <v>11728.857142857143</v>
      </c>
      <c r="AA397" s="179">
        <f t="shared" si="169"/>
        <v>113</v>
      </c>
      <c r="AB397" s="357">
        <f t="shared" si="149"/>
        <v>171.19045106965171</v>
      </c>
      <c r="AC397" s="610">
        <f t="shared" si="146"/>
        <v>58.190451069651715</v>
      </c>
      <c r="AD397" s="610">
        <f t="shared" si="163"/>
        <v>9874.2857142857138</v>
      </c>
      <c r="AE397" s="307">
        <f t="shared" si="142"/>
        <v>1.4625031173180378</v>
      </c>
      <c r="AF397" s="202">
        <f t="shared" si="141"/>
        <v>0.13911520952492129</v>
      </c>
      <c r="AG397" s="202">
        <f t="shared" si="166"/>
        <v>-0.23453927025355592</v>
      </c>
      <c r="AH397" s="202">
        <f t="shared" si="170"/>
        <v>1.0407894736842105</v>
      </c>
      <c r="AI397" s="592">
        <f t="shared" si="154"/>
        <v>-0.46250311731803784</v>
      </c>
      <c r="AJ397" s="28">
        <f t="shared" si="167"/>
        <v>1.716356377207829E-2</v>
      </c>
      <c r="AK397" s="28">
        <f t="shared" si="157"/>
        <v>2.1121746235555038E-2</v>
      </c>
      <c r="AL397" s="202">
        <f t="shared" si="143"/>
        <v>1.0316419612314709</v>
      </c>
      <c r="AM397" s="202">
        <f t="shared" si="144"/>
        <v>1.0407894736842105</v>
      </c>
      <c r="AN397" s="4"/>
      <c r="AO397" s="297">
        <f t="shared" si="159"/>
        <v>243.24571428571429</v>
      </c>
      <c r="AP397" s="644">
        <f t="shared" si="155"/>
        <v>1.4855091930925541</v>
      </c>
      <c r="AQ397" s="7">
        <f t="shared" si="171"/>
        <v>33171.285714285717</v>
      </c>
      <c r="AR397" s="4"/>
      <c r="AT397" s="180">
        <f t="shared" si="140"/>
        <v>1.4581018725012367E-2</v>
      </c>
    </row>
    <row r="398" spans="1:46" x14ac:dyDescent="0.25">
      <c r="A398" s="107">
        <v>44289</v>
      </c>
      <c r="B398" s="126">
        <v>10384</v>
      </c>
      <c r="C398" s="126">
        <f t="shared" si="148"/>
        <v>2383537</v>
      </c>
      <c r="D398" s="126">
        <v>83</v>
      </c>
      <c r="E398" s="126">
        <f t="shared" si="153"/>
        <v>56106</v>
      </c>
      <c r="F398" s="126">
        <f t="shared" si="162"/>
        <v>8686</v>
      </c>
      <c r="G398" s="155">
        <v>2130640</v>
      </c>
      <c r="H398" s="126">
        <v>3618</v>
      </c>
      <c r="I398" s="4">
        <v>54024</v>
      </c>
      <c r="J398" s="4">
        <f t="shared" si="164"/>
        <v>9036839</v>
      </c>
      <c r="K398" s="611">
        <f t="shared" si="165"/>
        <v>2.3538967509210054E-2</v>
      </c>
      <c r="L398" s="7">
        <v>5127710</v>
      </c>
      <c r="M398" s="4">
        <f t="shared" si="172"/>
        <v>5127710.0235389676</v>
      </c>
      <c r="N398" s="202"/>
      <c r="O398" s="4"/>
      <c r="P398" s="4"/>
      <c r="Q398" s="4"/>
      <c r="R398" s="4">
        <f t="shared" si="161"/>
        <v>196791</v>
      </c>
      <c r="S398" s="39">
        <f t="shared" ref="S398:S420" si="174">H398-H397</f>
        <v>-1</v>
      </c>
      <c r="T398" s="91">
        <f t="shared" ref="T398:T416" si="175">(C398-G398-E398)-(C397-E397-G397)</f>
        <v>1615</v>
      </c>
      <c r="U398" s="91">
        <f>SUM(B385:B398)/POBLA!$B$25*100000</f>
        <v>312.46693902209825</v>
      </c>
      <c r="V398" s="91">
        <f>B398/POBLA!$B$25*100000</f>
        <v>22.882245834253432</v>
      </c>
      <c r="W398" s="625">
        <f t="shared" si="173"/>
        <v>1.4922178374112076</v>
      </c>
      <c r="X398" s="28">
        <f t="shared" ref="X398:X417" si="176">H398/R398</f>
        <v>1.8384987118313337E-2</v>
      </c>
      <c r="Y398" s="202">
        <f t="shared" si="158"/>
        <v>0.21275471619927691</v>
      </c>
      <c r="Z398" s="297">
        <f t="shared" si="168"/>
        <v>11735.428571428571</v>
      </c>
      <c r="AA398" s="179">
        <f t="shared" si="169"/>
        <v>105.85714285714286</v>
      </c>
      <c r="AB398" s="357">
        <f t="shared" si="149"/>
        <v>172.70450663525057</v>
      </c>
      <c r="AC398" s="610">
        <f t="shared" si="146"/>
        <v>66.847363778107706</v>
      </c>
      <c r="AD398" s="610">
        <f t="shared" si="163"/>
        <v>10128.428571428571</v>
      </c>
      <c r="AE398" s="307">
        <f t="shared" si="142"/>
        <v>1.3771668063704945</v>
      </c>
      <c r="AF398" s="202">
        <f t="shared" si="141"/>
        <v>0.13231029482841961</v>
      </c>
      <c r="AG398" s="202">
        <f t="shared" si="166"/>
        <v>4.4496034049139599E-3</v>
      </c>
      <c r="AH398" s="202">
        <f t="shared" si="170"/>
        <v>0.87074030552291426</v>
      </c>
      <c r="AI398" s="592">
        <f t="shared" si="154"/>
        <v>-0.37716680637049449</v>
      </c>
      <c r="AJ398" s="28">
        <f t="shared" si="167"/>
        <v>1.5701813866757078E-2</v>
      </c>
      <c r="AK398" s="28">
        <f t="shared" si="157"/>
        <v>2.0817510184354071E-2</v>
      </c>
      <c r="AL398" s="202">
        <f t="shared" si="143"/>
        <v>1.0319452367370223</v>
      </c>
      <c r="AM398" s="202">
        <f t="shared" si="144"/>
        <v>0.87074030552291426</v>
      </c>
      <c r="AN398" s="4"/>
      <c r="AO398" s="297">
        <f t="shared" si="159"/>
        <v>234.57714285714286</v>
      </c>
      <c r="AP398" s="644">
        <f t="shared" si="155"/>
        <v>1.4922178374112076</v>
      </c>
      <c r="AQ398" s="7">
        <f t="shared" si="171"/>
        <v>33171.285714285717</v>
      </c>
      <c r="AR398" s="297">
        <f t="shared" ref="AR398:AR429" si="177">Z377*0.028</f>
        <v>181.244</v>
      </c>
      <c r="AS398" s="68">
        <f t="shared" ref="AS398:AS429" si="178">AA398/AA391</f>
        <v>0.87074030552291426</v>
      </c>
      <c r="AT398" s="180">
        <f t="shared" si="140"/>
        <v>1.3975814788399432E-2</v>
      </c>
    </row>
    <row r="399" spans="1:46" x14ac:dyDescent="0.25">
      <c r="A399" s="107">
        <v>44290</v>
      </c>
      <c r="B399" s="126">
        <v>9955</v>
      </c>
      <c r="C399" s="126">
        <f t="shared" si="148"/>
        <v>2393492</v>
      </c>
      <c r="D399" s="126">
        <v>93</v>
      </c>
      <c r="E399" s="126">
        <f t="shared" si="153"/>
        <v>56199</v>
      </c>
      <c r="F399" s="126">
        <f t="shared" si="162"/>
        <v>9840</v>
      </c>
      <c r="G399" s="155">
        <v>2140480</v>
      </c>
      <c r="H399" s="126">
        <v>3626</v>
      </c>
      <c r="I399" s="4">
        <v>33159</v>
      </c>
      <c r="J399" s="4">
        <f t="shared" si="164"/>
        <v>9069998</v>
      </c>
      <c r="K399" s="611">
        <f t="shared" si="165"/>
        <v>2.3479919715628881E-2</v>
      </c>
      <c r="L399" s="7">
        <v>5144935</v>
      </c>
      <c r="M399" s="4">
        <f t="shared" si="172"/>
        <v>5144935.0234799199</v>
      </c>
      <c r="N399" s="202"/>
      <c r="O399" s="4"/>
      <c r="P399" s="4"/>
      <c r="Q399" s="4"/>
      <c r="R399" s="4">
        <f t="shared" si="161"/>
        <v>196813</v>
      </c>
      <c r="S399" s="39">
        <f t="shared" si="174"/>
        <v>8</v>
      </c>
      <c r="T399" s="91">
        <f t="shared" si="175"/>
        <v>22</v>
      </c>
      <c r="U399" s="91">
        <f>SUM(B386:B399)/POBLA!$B$25*100000</f>
        <v>325.51889800479114</v>
      </c>
      <c r="V399" s="91">
        <f>B399/POBLA!$B$25*100000</f>
        <v>21.936898813558638</v>
      </c>
      <c r="W399" s="625">
        <f t="shared" si="173"/>
        <v>1.5365995735164093</v>
      </c>
      <c r="X399" s="28">
        <f t="shared" si="176"/>
        <v>1.8423579743208018E-2</v>
      </c>
      <c r="Y399" s="202">
        <f t="shared" si="158"/>
        <v>0.22219052454708674</v>
      </c>
      <c r="Z399" s="297">
        <f t="shared" si="168"/>
        <v>12127.857142857143</v>
      </c>
      <c r="AA399" s="179">
        <f t="shared" si="169"/>
        <v>107.57142857142857</v>
      </c>
      <c r="AB399" s="357">
        <f t="shared" si="149"/>
        <v>173.64526850053471</v>
      </c>
      <c r="AC399" s="610">
        <f t="shared" si="146"/>
        <v>66.073839929106143</v>
      </c>
      <c r="AD399" s="610">
        <f t="shared" si="163"/>
        <v>10551.5</v>
      </c>
      <c r="AE399" s="307">
        <f t="shared" si="142"/>
        <v>1.3512717664661129</v>
      </c>
      <c r="AF399" s="202">
        <f t="shared" si="141"/>
        <v>0.13348038425211373</v>
      </c>
      <c r="AG399" s="202">
        <f t="shared" si="166"/>
        <v>0.38110432852386245</v>
      </c>
      <c r="AH399" s="202">
        <f t="shared" si="170"/>
        <v>0.83296460176991149</v>
      </c>
      <c r="AI399" s="592">
        <f t="shared" si="154"/>
        <v>-0.35127176646611291</v>
      </c>
      <c r="AJ399" s="28">
        <f t="shared" si="167"/>
        <v>1.5648379052369075E-2</v>
      </c>
      <c r="AK399" s="28">
        <f t="shared" si="157"/>
        <v>2.0882766246630883E-2</v>
      </c>
      <c r="AL399" s="202">
        <f t="shared" si="143"/>
        <v>1.0345221112696148</v>
      </c>
      <c r="AM399" s="202">
        <f t="shared" si="144"/>
        <v>0.83296460176991149</v>
      </c>
      <c r="AN399" s="4"/>
      <c r="AO399" s="297">
        <f t="shared" si="159"/>
        <v>234.70857142857142</v>
      </c>
      <c r="AP399" s="644">
        <f t="shared" si="155"/>
        <v>1.5365995735164093</v>
      </c>
      <c r="AQ399" s="7">
        <f t="shared" si="171"/>
        <v>33171.285714285717</v>
      </c>
      <c r="AR399" s="297">
        <f t="shared" si="177"/>
        <v>184.34399999999999</v>
      </c>
      <c r="AS399" s="68">
        <f t="shared" si="178"/>
        <v>0.83296460176991149</v>
      </c>
      <c r="AT399" s="180">
        <f t="shared" si="140"/>
        <v>1.367440529649735E-2</v>
      </c>
    </row>
    <row r="400" spans="1:46" ht="15.75" x14ac:dyDescent="0.25">
      <c r="A400" s="107">
        <v>44291</v>
      </c>
      <c r="B400" s="126">
        <v>13667</v>
      </c>
      <c r="C400" s="126">
        <f t="shared" ref="C400:C436" si="179">C399+B400</f>
        <v>2407159</v>
      </c>
      <c r="D400" s="126">
        <v>272</v>
      </c>
      <c r="E400" s="126">
        <f t="shared" ref="E400:E429" si="180">E399+D400</f>
        <v>56471</v>
      </c>
      <c r="F400" s="126">
        <f t="shared" si="162"/>
        <v>13029</v>
      </c>
      <c r="G400" s="155">
        <v>2153509</v>
      </c>
      <c r="H400" s="126">
        <v>3652</v>
      </c>
      <c r="I400" s="4">
        <v>46037</v>
      </c>
      <c r="J400" s="4">
        <f t="shared" si="164"/>
        <v>9116035</v>
      </c>
      <c r="K400" s="611">
        <f t="shared" si="165"/>
        <v>2.3459605285733098E-2</v>
      </c>
      <c r="L400" s="7">
        <v>5170951</v>
      </c>
      <c r="M400" s="4">
        <f t="shared" si="172"/>
        <v>5170951.0234596049</v>
      </c>
      <c r="N400" s="202"/>
      <c r="O400" s="4"/>
      <c r="P400" s="4"/>
      <c r="Q400" s="4"/>
      <c r="R400" s="7">
        <f t="shared" si="161"/>
        <v>197179</v>
      </c>
      <c r="S400" s="39">
        <f t="shared" si="174"/>
        <v>26</v>
      </c>
      <c r="T400" s="91">
        <f t="shared" si="175"/>
        <v>366</v>
      </c>
      <c r="U400" s="91">
        <f>SUM(B387:B400)/POBLA!$B$25*100000</f>
        <v>341.53029999166375</v>
      </c>
      <c r="V400" s="91">
        <f>B400/POBLA!$B$25*100000</f>
        <v>30.116684689593761</v>
      </c>
      <c r="W400" s="625">
        <f t="shared" si="173"/>
        <v>1.5899690186503621</v>
      </c>
      <c r="X400" s="28">
        <f t="shared" si="176"/>
        <v>1.8521242120104069E-2</v>
      </c>
      <c r="Y400" s="202">
        <f t="shared" si="158"/>
        <v>0.22832976404916161</v>
      </c>
      <c r="Z400" s="626">
        <f t="shared" si="168"/>
        <v>12078.285714285714</v>
      </c>
      <c r="AA400" s="179">
        <f t="shared" si="169"/>
        <v>123.14285714285714</v>
      </c>
      <c r="AB400" s="357">
        <f t="shared" si="149"/>
        <v>174.37038949829002</v>
      </c>
      <c r="AC400" s="610">
        <f t="shared" si="146"/>
        <v>51.227532355432885</v>
      </c>
      <c r="AD400" s="610">
        <f t="shared" si="163"/>
        <v>11070.5</v>
      </c>
      <c r="AE400" s="307">
        <f t="shared" si="142"/>
        <v>1.2003009696332996</v>
      </c>
      <c r="AF400" s="202">
        <f t="shared" si="141"/>
        <v>0.10312398599129491</v>
      </c>
      <c r="AG400" s="202">
        <f t="shared" si="166"/>
        <v>-2.476095333238193E-2</v>
      </c>
      <c r="AH400" s="202">
        <f t="shared" si="170"/>
        <v>0.91507430997876849</v>
      </c>
      <c r="AI400" s="592">
        <f t="shared" si="154"/>
        <v>-0.20030096963329957</v>
      </c>
      <c r="AJ400" s="28">
        <f t="shared" si="167"/>
        <v>1.7688945435143953E-2</v>
      </c>
      <c r="AK400" s="28">
        <f t="shared" si="157"/>
        <v>2.043122643303906E-2</v>
      </c>
      <c r="AL400" s="202">
        <f t="shared" si="143"/>
        <v>1.0035724100027481</v>
      </c>
      <c r="AM400" s="202">
        <f t="shared" si="144"/>
        <v>0.91507430997876849</v>
      </c>
      <c r="AN400" s="4"/>
      <c r="AO400" s="297">
        <f t="shared" si="159"/>
        <v>242.55714285714288</v>
      </c>
      <c r="AP400" s="644">
        <f t="shared" si="155"/>
        <v>1.5899690186503621</v>
      </c>
      <c r="AQ400" s="7">
        <f t="shared" si="171"/>
        <v>33171.285714285717</v>
      </c>
      <c r="AR400" s="297">
        <f t="shared" si="177"/>
        <v>188.768</v>
      </c>
      <c r="AS400" s="68">
        <f t="shared" si="178"/>
        <v>0.91507430997876849</v>
      </c>
      <c r="AT400" s="180">
        <f t="shared" ref="AT400:AT454" si="181">SUM(D371:D400)/SUM(B371:B400)</f>
        <v>1.3926164833266141E-2</v>
      </c>
    </row>
    <row r="401" spans="1:46" ht="16.5" customHeight="1" x14ac:dyDescent="0.25">
      <c r="A401" s="107">
        <v>44292</v>
      </c>
      <c r="B401" s="144">
        <v>20870</v>
      </c>
      <c r="C401" s="126">
        <f t="shared" si="179"/>
        <v>2428029</v>
      </c>
      <c r="D401" s="126">
        <v>163</v>
      </c>
      <c r="E401" s="126">
        <f t="shared" si="180"/>
        <v>56634</v>
      </c>
      <c r="F401" s="126">
        <f t="shared" si="162"/>
        <v>10536</v>
      </c>
      <c r="G401" s="155">
        <v>2164045</v>
      </c>
      <c r="H401" s="126">
        <v>3642</v>
      </c>
      <c r="I401" s="4">
        <v>75392</v>
      </c>
      <c r="J401" s="4">
        <f t="shared" si="164"/>
        <v>9191427</v>
      </c>
      <c r="K401" s="611">
        <f t="shared" si="165"/>
        <v>2.332509208086065E-2</v>
      </c>
      <c r="L401" s="4">
        <v>5211391</v>
      </c>
      <c r="M401" s="4">
        <f t="shared" si="172"/>
        <v>5211391.0233250922</v>
      </c>
      <c r="N401" s="202" t="e">
        <f>#REF!-#REF!-G401</f>
        <v>#REF!</v>
      </c>
      <c r="O401" s="39">
        <f>H401-F400</f>
        <v>-9387</v>
      </c>
      <c r="P401" s="91" t="e">
        <f>(#REF!-G401-#REF!)-(#REF!-D400-E400)</f>
        <v>#REF!</v>
      </c>
      <c r="Q401" s="4"/>
      <c r="R401" s="7">
        <f t="shared" si="161"/>
        <v>207350</v>
      </c>
      <c r="S401" s="39">
        <f t="shared" si="174"/>
        <v>-10</v>
      </c>
      <c r="T401" s="91">
        <f t="shared" si="175"/>
        <v>10171</v>
      </c>
      <c r="U401" s="91">
        <f>SUM(B388:B401)/POBLA!$B$25*100000</f>
        <v>366.79464402957933</v>
      </c>
      <c r="V401" s="91">
        <f>B401/POBLA!$B$25*100000</f>
        <v>45.989259491609118</v>
      </c>
      <c r="W401" s="625">
        <f t="shared" si="173"/>
        <v>1.6716076162930826</v>
      </c>
      <c r="X401" s="28">
        <f t="shared" si="176"/>
        <v>1.7564504461056184E-2</v>
      </c>
      <c r="Y401" s="202">
        <f t="shared" si="158"/>
        <v>0.25937633583005926</v>
      </c>
      <c r="Z401" s="297">
        <f t="shared" si="168"/>
        <v>13609.142857142857</v>
      </c>
      <c r="AA401" s="179">
        <f t="shared" si="169"/>
        <v>128.57142857142858</v>
      </c>
      <c r="AB401" s="357">
        <f t="shared" si="149"/>
        <v>178.18274088011535</v>
      </c>
      <c r="AC401" s="610">
        <f t="shared" si="146"/>
        <v>49.611312308686763</v>
      </c>
      <c r="AD401" s="610">
        <f t="shared" si="163"/>
        <v>11889.428571428571</v>
      </c>
      <c r="AE401" s="307">
        <f t="shared" si="142"/>
        <v>1.3382030679327976</v>
      </c>
      <c r="AF401" s="202">
        <f t="shared" ref="AF401:AF459" si="182">R401/R394-1</f>
        <v>0.14445462473368731</v>
      </c>
      <c r="AG401" s="202">
        <f t="shared" si="166"/>
        <v>1.055347646247784</v>
      </c>
      <c r="AH401" s="202">
        <f t="shared" si="170"/>
        <v>0.98468271334792123</v>
      </c>
      <c r="AI401" s="592">
        <f t="shared" si="154"/>
        <v>-0.33820306793279764</v>
      </c>
      <c r="AJ401" s="28">
        <f t="shared" si="167"/>
        <v>1.8421860607921402E-2</v>
      </c>
      <c r="AK401" s="28">
        <f t="shared" si="157"/>
        <v>2.0101778361611235E-2</v>
      </c>
      <c r="AL401" s="202">
        <f t="shared" si="143"/>
        <v>0.98379254457050247</v>
      </c>
      <c r="AM401" s="202">
        <f t="shared" si="144"/>
        <v>0.98468271334792123</v>
      </c>
      <c r="AN401" s="4"/>
      <c r="AO401" s="297">
        <f t="shared" si="159"/>
        <v>241.56571428571428</v>
      </c>
      <c r="AP401" s="644">
        <f t="shared" si="155"/>
        <v>1.6716076162930826</v>
      </c>
      <c r="AQ401" s="7">
        <f t="shared" si="171"/>
        <v>33171.285714285717</v>
      </c>
      <c r="AR401" s="297">
        <f t="shared" si="177"/>
        <v>192.48000000000002</v>
      </c>
      <c r="AS401" s="68">
        <f t="shared" si="178"/>
        <v>0.98468271334792123</v>
      </c>
      <c r="AT401" s="180">
        <f t="shared" si="181"/>
        <v>1.3577927605938367E-2</v>
      </c>
    </row>
    <row r="402" spans="1:46" x14ac:dyDescent="0.25">
      <c r="A402" s="107">
        <v>44293</v>
      </c>
      <c r="B402" s="126">
        <v>22039</v>
      </c>
      <c r="C402" s="126">
        <f t="shared" si="179"/>
        <v>2450068</v>
      </c>
      <c r="D402" s="126">
        <v>199</v>
      </c>
      <c r="E402" s="126">
        <f t="shared" si="180"/>
        <v>56833</v>
      </c>
      <c r="F402" s="126">
        <f t="shared" si="162"/>
        <v>10580</v>
      </c>
      <c r="G402" s="155">
        <v>2174625</v>
      </c>
      <c r="H402" s="126">
        <v>3706</v>
      </c>
      <c r="I402" s="4">
        <v>74679</v>
      </c>
      <c r="J402" s="4">
        <f t="shared" si="164"/>
        <v>9266106</v>
      </c>
      <c r="K402" s="611">
        <f t="shared" si="165"/>
        <v>2.3196499035945124E-2</v>
      </c>
      <c r="L402" s="4">
        <v>5249364</v>
      </c>
      <c r="M402" s="4">
        <f t="shared" si="172"/>
        <v>5249364.0231964989</v>
      </c>
      <c r="N402" s="202">
        <f>C402-F402-H402</f>
        <v>2435782</v>
      </c>
      <c r="O402" s="39">
        <f>I402-F401</f>
        <v>64143</v>
      </c>
      <c r="P402" s="91" t="e">
        <f>(C402-H402-F402)-(#REF!-D401-E401)</f>
        <v>#REF!</v>
      </c>
      <c r="Q402" s="4"/>
      <c r="R402" s="7">
        <f t="shared" si="161"/>
        <v>218610</v>
      </c>
      <c r="S402" s="39">
        <f t="shared" si="174"/>
        <v>64</v>
      </c>
      <c r="T402" s="91">
        <f t="shared" si="175"/>
        <v>11260</v>
      </c>
      <c r="U402" s="91">
        <f>SUM(B389:B402)/POBLA!$B$25*100000</f>
        <v>397.06998835900998</v>
      </c>
      <c r="V402" s="91">
        <f>B402/POBLA!$B$25*100000</f>
        <v>48.565275032849705</v>
      </c>
      <c r="W402" s="625">
        <f t="shared" si="173"/>
        <v>1.7986185280935887</v>
      </c>
      <c r="X402" s="28">
        <f t="shared" si="176"/>
        <v>1.6952563926627327E-2</v>
      </c>
      <c r="Y402" s="202">
        <f t="shared" si="158"/>
        <v>0.26255231753045699</v>
      </c>
      <c r="Z402" s="297">
        <f t="shared" si="168"/>
        <v>14463.857142857143</v>
      </c>
      <c r="AA402" s="179">
        <f t="shared" si="169"/>
        <v>139.28571428571428</v>
      </c>
      <c r="AB402" s="357">
        <f t="shared" si="149"/>
        <v>177.91569675361265</v>
      </c>
      <c r="AC402" s="610">
        <f t="shared" si="146"/>
        <v>38.629982467898373</v>
      </c>
      <c r="AD402" s="610">
        <f t="shared" si="163"/>
        <v>12870.785714285714</v>
      </c>
      <c r="AE402" s="307">
        <f t="shared" si="142"/>
        <v>1.2825167207134172</v>
      </c>
      <c r="AF402" s="202">
        <f t="shared" si="182"/>
        <v>0.14848145754858222</v>
      </c>
      <c r="AG402" s="202">
        <f t="shared" si="166"/>
        <v>0.37263328350772307</v>
      </c>
      <c r="AH402" s="202">
        <f t="shared" si="170"/>
        <v>1.0655737704918031</v>
      </c>
      <c r="AI402" s="592">
        <f t="shared" si="154"/>
        <v>-0.28251672071341716</v>
      </c>
      <c r="AJ402" s="28">
        <f t="shared" si="167"/>
        <v>1.9830777366472766E-2</v>
      </c>
      <c r="AK402" s="28">
        <f t="shared" si="157"/>
        <v>1.9469705327638472E-2</v>
      </c>
      <c r="AL402" s="202">
        <f t="shared" si="143"/>
        <v>1.0186915887850467</v>
      </c>
      <c r="AM402" s="202">
        <f t="shared" si="144"/>
        <v>1.0655737704918031</v>
      </c>
      <c r="AN402" s="18">
        <f t="shared" ref="AN402:AN433" si="183">A401+20</f>
        <v>44312</v>
      </c>
      <c r="AO402" s="297">
        <f t="shared" si="159"/>
        <v>272.18285714285713</v>
      </c>
      <c r="AP402" s="644">
        <f t="shared" si="155"/>
        <v>1.7986185280935887</v>
      </c>
      <c r="AQ402" s="7">
        <f t="shared" si="171"/>
        <v>33171.285714285717</v>
      </c>
      <c r="AR402" s="297">
        <f t="shared" si="177"/>
        <v>194.92400000000001</v>
      </c>
      <c r="AS402" s="68">
        <f t="shared" si="178"/>
        <v>1.0655737704918031</v>
      </c>
      <c r="AT402" s="180">
        <f t="shared" si="181"/>
        <v>1.2661913370845098E-2</v>
      </c>
    </row>
    <row r="403" spans="1:46" x14ac:dyDescent="0.25">
      <c r="A403" s="107">
        <v>44294</v>
      </c>
      <c r="B403" s="129">
        <v>23683</v>
      </c>
      <c r="C403" s="126">
        <f t="shared" si="179"/>
        <v>2473751</v>
      </c>
      <c r="D403" s="126">
        <v>290</v>
      </c>
      <c r="E403" s="126">
        <f t="shared" si="180"/>
        <v>57123</v>
      </c>
      <c r="F403" s="126">
        <f t="shared" si="162"/>
        <v>14358</v>
      </c>
      <c r="G403" s="155">
        <v>2188983</v>
      </c>
      <c r="H403" s="126">
        <v>3742</v>
      </c>
      <c r="I403" s="4">
        <v>94991</v>
      </c>
      <c r="J403" s="4">
        <f t="shared" si="164"/>
        <v>9361097</v>
      </c>
      <c r="K403" s="611">
        <f t="shared" si="165"/>
        <v>2.309165312111041E-2</v>
      </c>
      <c r="L403" s="7">
        <v>5303093</v>
      </c>
      <c r="M403" s="4">
        <f t="shared" si="172"/>
        <v>5303093.0230916534</v>
      </c>
      <c r="N403" s="202"/>
      <c r="O403" s="4"/>
      <c r="P403" s="4"/>
      <c r="Q403" s="4"/>
      <c r="R403" s="7">
        <f t="shared" si="161"/>
        <v>227645</v>
      </c>
      <c r="S403" s="39">
        <f t="shared" si="174"/>
        <v>36</v>
      </c>
      <c r="T403" s="91">
        <f t="shared" si="175"/>
        <v>9035</v>
      </c>
      <c r="U403" s="91">
        <f>SUM(B390:B403)/POBLA!$B$25*100000</f>
        <v>431.10468471013132</v>
      </c>
      <c r="V403" s="91">
        <f>B403/POBLA!$B$25*100000</f>
        <v>52.188003475791994</v>
      </c>
      <c r="W403" s="625">
        <f t="shared" si="173"/>
        <v>1.9521238911561911</v>
      </c>
      <c r="X403" s="28">
        <f t="shared" si="176"/>
        <v>1.6437874761141252E-2</v>
      </c>
      <c r="Y403" s="202">
        <f t="shared" si="158"/>
        <v>0.25798167279519058</v>
      </c>
      <c r="Z403" s="297">
        <f t="shared" si="168"/>
        <v>15785.714285714286</v>
      </c>
      <c r="AA403" s="179">
        <f t="shared" si="169"/>
        <v>168.85714285714286</v>
      </c>
      <c r="AB403" s="357">
        <f t="shared" si="149"/>
        <v>177.4324836856035</v>
      </c>
      <c r="AC403" s="610">
        <f t="shared" si="146"/>
        <v>8.5753408284606394</v>
      </c>
      <c r="AD403" s="610">
        <f t="shared" si="163"/>
        <v>13974</v>
      </c>
      <c r="AE403" s="307">
        <f t="shared" si="142"/>
        <v>1.2979233226837061</v>
      </c>
      <c r="AF403" s="202">
        <f t="shared" si="182"/>
        <v>0.16714690018662459</v>
      </c>
      <c r="AG403" s="202">
        <f t="shared" si="166"/>
        <v>0.64123354123354126</v>
      </c>
      <c r="AH403" s="202">
        <f t="shared" si="170"/>
        <v>1.387323943661972</v>
      </c>
      <c r="AI403" s="592">
        <f t="shared" ref="AI403:AI426" si="184">AE403-1</f>
        <v>0.29792332268370614</v>
      </c>
      <c r="AJ403" s="544">
        <f t="shared" ref="AJ403:AJ434" si="185">AA403/Z390</f>
        <v>2.1055256688873848E-2</v>
      </c>
      <c r="AK403" s="28">
        <f t="shared" si="157"/>
        <v>1.9185414573121961E-2</v>
      </c>
      <c r="AL403" s="202">
        <f t="shared" si="143"/>
        <v>1.028304479252542</v>
      </c>
      <c r="AM403" s="202">
        <f t="shared" si="144"/>
        <v>1.387323943661972</v>
      </c>
      <c r="AN403" s="18">
        <f t="shared" si="183"/>
        <v>44313</v>
      </c>
      <c r="AO403" s="297">
        <f t="shared" si="159"/>
        <v>289.27714285714285</v>
      </c>
      <c r="AP403" s="644">
        <f t="shared" si="155"/>
        <v>1.9521238911561911</v>
      </c>
      <c r="AQ403" s="7">
        <f t="shared" si="171"/>
        <v>33171.285714285717</v>
      </c>
      <c r="AR403" s="297">
        <f t="shared" si="177"/>
        <v>195.42000000000002</v>
      </c>
      <c r="AS403" s="68">
        <f t="shared" si="178"/>
        <v>1.387323943661972</v>
      </c>
      <c r="AT403" s="180">
        <f t="shared" si="181"/>
        <v>1.250681635926223E-2</v>
      </c>
    </row>
    <row r="404" spans="1:46" x14ac:dyDescent="0.25">
      <c r="A404" s="107">
        <v>44295</v>
      </c>
      <c r="B404" s="126">
        <v>24130</v>
      </c>
      <c r="C404" s="126">
        <f t="shared" si="179"/>
        <v>2497881</v>
      </c>
      <c r="D404" s="126">
        <v>228</v>
      </c>
      <c r="E404" s="126">
        <f t="shared" si="180"/>
        <v>57351</v>
      </c>
      <c r="F404" s="126">
        <f t="shared" si="162"/>
        <v>14943</v>
      </c>
      <c r="G404" s="155">
        <v>2203926</v>
      </c>
      <c r="H404" s="126">
        <v>3718</v>
      </c>
      <c r="I404" s="4">
        <v>90657</v>
      </c>
      <c r="J404" s="4">
        <f t="shared" si="164"/>
        <v>9451754</v>
      </c>
      <c r="K404" s="611">
        <f t="shared" ref="K404:K435" si="186">E404/C404</f>
        <v>2.2959860777995431E-2</v>
      </c>
      <c r="L404" s="7">
        <v>5344743</v>
      </c>
      <c r="M404" s="4">
        <f t="shared" si="172"/>
        <v>5344743.022959861</v>
      </c>
      <c r="N404" s="202"/>
      <c r="O404" s="4"/>
      <c r="P404" s="4"/>
      <c r="Q404" s="4"/>
      <c r="R404" s="7">
        <f t="shared" si="161"/>
        <v>236604</v>
      </c>
      <c r="S404" s="39">
        <f t="shared" si="174"/>
        <v>-24</v>
      </c>
      <c r="T404" s="91">
        <f t="shared" si="175"/>
        <v>8959</v>
      </c>
      <c r="U404" s="91">
        <f>SUM(B391:B404)/POBLA!$B$25*100000</f>
        <v>455.77185149254979</v>
      </c>
      <c r="V404" s="91">
        <f>B404/POBLA!$B$25*100000</f>
        <v>53.173015406445998</v>
      </c>
      <c r="W404" s="625">
        <f t="shared" si="173"/>
        <v>1.9641229203069208</v>
      </c>
      <c r="X404" s="28">
        <f t="shared" si="176"/>
        <v>1.5714020050379536E-2</v>
      </c>
      <c r="Y404" s="202">
        <f t="shared" si="158"/>
        <v>0.26597915720381543</v>
      </c>
      <c r="Z404" s="297">
        <f t="shared" si="168"/>
        <v>17818.285714285714</v>
      </c>
      <c r="AA404" s="179">
        <f t="shared" si="169"/>
        <v>189.71428571428572</v>
      </c>
      <c r="AB404" s="357">
        <f t="shared" si="149"/>
        <v>193.3369704247402</v>
      </c>
      <c r="AC404" s="610">
        <f t="shared" si="146"/>
        <v>3.6226847104544788</v>
      </c>
      <c r="AD404" s="610">
        <f t="shared" si="163"/>
        <v>14773.571428571429</v>
      </c>
      <c r="AE404" s="300">
        <f t="shared" si="142"/>
        <v>1.5191834547270469</v>
      </c>
      <c r="AF404" s="202">
        <f t="shared" si="182"/>
        <v>0.21225970406197492</v>
      </c>
      <c r="AG404" s="202">
        <f t="shared" si="166"/>
        <v>1.4368814380933146</v>
      </c>
      <c r="AH404" s="202">
        <f t="shared" si="170"/>
        <v>1.6788874841972188</v>
      </c>
      <c r="AI404" s="592">
        <f t="shared" si="184"/>
        <v>0.51918345472704686</v>
      </c>
      <c r="AJ404" s="544">
        <f t="shared" si="185"/>
        <v>2.2263202011735126E-2</v>
      </c>
      <c r="AK404" s="28">
        <f t="shared" si="157"/>
        <v>1.9049473295897037E-2</v>
      </c>
      <c r="AL404" s="202">
        <f t="shared" si="143"/>
        <v>1.027355623100304</v>
      </c>
      <c r="AM404" s="202">
        <f t="shared" si="144"/>
        <v>1.6788874841972188</v>
      </c>
      <c r="AN404" s="18">
        <f t="shared" si="183"/>
        <v>44314</v>
      </c>
      <c r="AO404" s="297">
        <f t="shared" si="159"/>
        <v>315.71428571428572</v>
      </c>
      <c r="AP404" s="644">
        <f t="shared" si="155"/>
        <v>1.9641229203069208</v>
      </c>
      <c r="AQ404" s="7">
        <f t="shared" si="171"/>
        <v>33171.285714285717</v>
      </c>
      <c r="AR404" s="297">
        <f t="shared" si="177"/>
        <v>196.66399999999999</v>
      </c>
      <c r="AS404" s="68">
        <f t="shared" si="178"/>
        <v>1.6788874841972188</v>
      </c>
      <c r="AT404" s="180">
        <f t="shared" si="181"/>
        <v>1.224911407216008E-2</v>
      </c>
    </row>
    <row r="405" spans="1:46" x14ac:dyDescent="0.25">
      <c r="A405" s="107">
        <v>44296</v>
      </c>
      <c r="B405" s="126">
        <v>19419</v>
      </c>
      <c r="C405" s="126">
        <f t="shared" si="179"/>
        <v>2517300</v>
      </c>
      <c r="D405" s="126">
        <v>229</v>
      </c>
      <c r="E405" s="126">
        <f t="shared" si="180"/>
        <v>57580</v>
      </c>
      <c r="F405" s="126">
        <f t="shared" si="162"/>
        <v>13857</v>
      </c>
      <c r="G405" s="155">
        <v>2217783</v>
      </c>
      <c r="H405" s="126">
        <v>3761</v>
      </c>
      <c r="I405" s="4">
        <v>75713</v>
      </c>
      <c r="J405" s="4">
        <f t="shared" si="164"/>
        <v>9527467</v>
      </c>
      <c r="K405" s="611">
        <f t="shared" si="186"/>
        <v>2.2873713899813294E-2</v>
      </c>
      <c r="L405" s="7">
        <v>5381903</v>
      </c>
      <c r="M405" s="4">
        <f t="shared" si="172"/>
        <v>5381903.0228737136</v>
      </c>
      <c r="N405" s="202"/>
      <c r="O405" s="4"/>
      <c r="P405" s="4"/>
      <c r="Q405" s="4"/>
      <c r="R405" s="7">
        <f t="shared" si="161"/>
        <v>241937</v>
      </c>
      <c r="S405" s="39">
        <f t="shared" si="174"/>
        <v>43</v>
      </c>
      <c r="T405" s="91">
        <f t="shared" si="175"/>
        <v>5333</v>
      </c>
      <c r="U405" s="91">
        <f>SUM(B392:B405)/POBLA!$B$25*100000</f>
        <v>475.78279856697731</v>
      </c>
      <c r="V405" s="91">
        <f>B405/POBLA!$B$25*100000</f>
        <v>42.791827027674053</v>
      </c>
      <c r="W405" s="625">
        <f t="shared" si="173"/>
        <v>1.9742419809077942</v>
      </c>
      <c r="X405" s="28">
        <f t="shared" si="176"/>
        <v>1.5545369249019373E-2</v>
      </c>
      <c r="Y405" s="202">
        <f t="shared" si="158"/>
        <v>0.27263629470800688</v>
      </c>
      <c r="Z405" s="297">
        <f t="shared" si="168"/>
        <v>19109</v>
      </c>
      <c r="AA405" s="179">
        <f t="shared" si="169"/>
        <v>210.57142857142858</v>
      </c>
      <c r="AB405" s="357">
        <f t="shared" si="149"/>
        <v>205.00180232769983</v>
      </c>
      <c r="AC405" s="610">
        <f t="shared" si="146"/>
        <v>-5.5696262437287487</v>
      </c>
      <c r="AD405" s="610">
        <f t="shared" si="163"/>
        <v>15422.214285714286</v>
      </c>
      <c r="AE405" s="300">
        <f t="shared" ref="AE405:AE443" si="187">Z405/Z398</f>
        <v>1.6283171836198083</v>
      </c>
      <c r="AF405" s="202">
        <f t="shared" si="182"/>
        <v>0.22941089785610114</v>
      </c>
      <c r="AG405" s="202">
        <f t="shared" si="166"/>
        <v>0.87008859784283521</v>
      </c>
      <c r="AH405" s="202">
        <f t="shared" si="170"/>
        <v>1.989203778677463</v>
      </c>
      <c r="AI405" s="592">
        <f t="shared" si="184"/>
        <v>0.62831718361980826</v>
      </c>
      <c r="AJ405" s="544">
        <f t="shared" si="185"/>
        <v>2.3461624168337952E-2</v>
      </c>
      <c r="AK405" s="28">
        <f t="shared" si="157"/>
        <v>1.9111646365941534E-2</v>
      </c>
      <c r="AL405" s="202">
        <f t="shared" ref="AL405:AL459" si="188">H405/H398</f>
        <v>1.0395245992260918</v>
      </c>
      <c r="AM405" s="202">
        <f t="shared" ref="AM405:AM459" si="189">AA405/AA398</f>
        <v>1.989203778677463</v>
      </c>
      <c r="AN405" s="18">
        <f t="shared" si="183"/>
        <v>44315</v>
      </c>
      <c r="AO405" s="297">
        <f t="shared" si="159"/>
        <v>356.36571428571426</v>
      </c>
      <c r="AP405" s="644">
        <f t="shared" si="155"/>
        <v>1.9742419809077942</v>
      </c>
      <c r="AQ405" s="7">
        <f t="shared" si="171"/>
        <v>33171.285714285717</v>
      </c>
      <c r="AR405" s="297">
        <f t="shared" si="177"/>
        <v>198.85599999999999</v>
      </c>
      <c r="AS405" s="68">
        <f t="shared" si="178"/>
        <v>1.989203778677463</v>
      </c>
      <c r="AT405" s="180">
        <f t="shared" si="181"/>
        <v>1.2124265620120093E-2</v>
      </c>
    </row>
    <row r="406" spans="1:46" x14ac:dyDescent="0.25">
      <c r="A406" s="107">
        <v>44297</v>
      </c>
      <c r="B406" s="126">
        <v>15262</v>
      </c>
      <c r="C406" s="126">
        <f t="shared" si="179"/>
        <v>2532562</v>
      </c>
      <c r="D406" s="126">
        <v>132</v>
      </c>
      <c r="E406" s="126">
        <f t="shared" si="180"/>
        <v>57712</v>
      </c>
      <c r="F406" s="126">
        <f t="shared" si="162"/>
        <v>15357</v>
      </c>
      <c r="G406" s="155">
        <v>2233140</v>
      </c>
      <c r="H406" s="126">
        <v>3789</v>
      </c>
      <c r="I406" s="4">
        <v>63270</v>
      </c>
      <c r="J406" s="4">
        <f t="shared" si="164"/>
        <v>9590737</v>
      </c>
      <c r="K406" s="611">
        <f t="shared" si="186"/>
        <v>2.2787990975146905E-2</v>
      </c>
      <c r="L406" s="7">
        <v>5426954</v>
      </c>
      <c r="M406" s="4">
        <f t="shared" si="172"/>
        <v>5426954.022787991</v>
      </c>
      <c r="N406" s="202"/>
      <c r="O406" s="4"/>
      <c r="P406" s="4"/>
      <c r="Q406" s="4"/>
      <c r="R406" s="7">
        <f t="shared" si="161"/>
        <v>241710</v>
      </c>
      <c r="S406" s="39">
        <f t="shared" si="174"/>
        <v>28</v>
      </c>
      <c r="T406" s="91">
        <f t="shared" si="175"/>
        <v>-227</v>
      </c>
      <c r="U406" s="91">
        <f>SUM(B393:B406)/POBLA!$B$25*100000</f>
        <v>493.53064216762033</v>
      </c>
      <c r="V406" s="91">
        <f>B406/POBLA!$B$25*100000</f>
        <v>33.631436433202609</v>
      </c>
      <c r="W406" s="625">
        <f t="shared" si="173"/>
        <v>1.9841860465116279</v>
      </c>
      <c r="X406" s="28">
        <f t="shared" si="176"/>
        <v>1.5675809854784659E-2</v>
      </c>
      <c r="Y406" s="202">
        <f t="shared" si="158"/>
        <v>0.26706277040897647</v>
      </c>
      <c r="Z406" s="297">
        <f t="shared" si="168"/>
        <v>19867.142857142859</v>
      </c>
      <c r="AA406" s="179">
        <f t="shared" si="169"/>
        <v>216.14285714285714</v>
      </c>
      <c r="AB406" s="357">
        <f t="shared" si="149"/>
        <v>215.55766158283271</v>
      </c>
      <c r="AC406" s="610">
        <f t="shared" ref="AC406:AC459" si="190">AB406-AA406</f>
        <v>-0.58519556002443096</v>
      </c>
      <c r="AD406" s="610">
        <f t="shared" si="163"/>
        <v>15997.5</v>
      </c>
      <c r="AE406" s="300">
        <f t="shared" si="187"/>
        <v>1.6381412332881795</v>
      </c>
      <c r="AF406" s="202">
        <f t="shared" si="182"/>
        <v>0.22812009369299791</v>
      </c>
      <c r="AG406" s="202">
        <f t="shared" si="166"/>
        <v>0.53309894525364143</v>
      </c>
      <c r="AH406" s="202">
        <f t="shared" si="170"/>
        <v>2.0092961487383798</v>
      </c>
      <c r="AI406" s="592">
        <f t="shared" si="184"/>
        <v>0.63814123328817951</v>
      </c>
      <c r="AJ406" s="544">
        <f t="shared" si="185"/>
        <v>2.1479578074646146E-2</v>
      </c>
      <c r="AK406" s="28">
        <f t="shared" ref="AK406:AK437" si="191">H406/R399</f>
        <v>1.9251777067571755E-2</v>
      </c>
      <c r="AL406" s="202">
        <f t="shared" si="188"/>
        <v>1.0449531163816879</v>
      </c>
      <c r="AM406" s="202">
        <f t="shared" si="189"/>
        <v>2.0092961487383798</v>
      </c>
      <c r="AN406" s="18">
        <f t="shared" si="183"/>
        <v>44316</v>
      </c>
      <c r="AO406" s="297">
        <f t="shared" si="159"/>
        <v>382.18</v>
      </c>
      <c r="AP406" s="644">
        <f t="shared" si="155"/>
        <v>1.9841860465116279</v>
      </c>
      <c r="AQ406" s="7">
        <f t="shared" si="171"/>
        <v>33171.285714285717</v>
      </c>
      <c r="AR406" s="297">
        <f t="shared" si="177"/>
        <v>200.196</v>
      </c>
      <c r="AS406" s="68">
        <f t="shared" si="178"/>
        <v>2.0092961487383798</v>
      </c>
      <c r="AT406" s="180">
        <f t="shared" si="181"/>
        <v>1.1997750962328619E-2</v>
      </c>
    </row>
    <row r="407" spans="1:46" ht="15.75" x14ac:dyDescent="0.25">
      <c r="A407" s="107">
        <v>44298</v>
      </c>
      <c r="B407" s="505">
        <v>19437</v>
      </c>
      <c r="C407" s="126">
        <f t="shared" si="179"/>
        <v>2551999</v>
      </c>
      <c r="D407" s="126">
        <v>179</v>
      </c>
      <c r="E407" s="126">
        <f t="shared" si="180"/>
        <v>57891</v>
      </c>
      <c r="F407" s="126">
        <f t="shared" si="162"/>
        <v>13984</v>
      </c>
      <c r="G407" s="155">
        <v>2247124</v>
      </c>
      <c r="H407" s="126">
        <v>3819</v>
      </c>
      <c r="I407" s="4">
        <v>64947</v>
      </c>
      <c r="J407" s="4">
        <f t="shared" si="164"/>
        <v>9655684</v>
      </c>
      <c r="K407" s="611">
        <f t="shared" si="186"/>
        <v>2.2684570017464739E-2</v>
      </c>
      <c r="L407" s="7">
        <v>5439883</v>
      </c>
      <c r="M407" s="4">
        <f t="shared" si="172"/>
        <v>5439883.0226845704</v>
      </c>
      <c r="N407" s="202"/>
      <c r="O407" s="4"/>
      <c r="P407" s="4"/>
      <c r="Q407" s="4"/>
      <c r="R407" s="7">
        <f t="shared" si="161"/>
        <v>246984</v>
      </c>
      <c r="S407" s="39">
        <f t="shared" si="174"/>
        <v>30</v>
      </c>
      <c r="T407" s="91">
        <f t="shared" si="175"/>
        <v>5274</v>
      </c>
      <c r="U407" s="91">
        <f>SUM(B394:B407)/POBLA!$B$25*100000</f>
        <v>505.48079809589041</v>
      </c>
      <c r="V407" s="91">
        <f>B407/POBLA!$B$25*100000</f>
        <v>42.831491937633274</v>
      </c>
      <c r="W407" s="625">
        <f t="shared" si="173"/>
        <v>1.900086974528888</v>
      </c>
      <c r="X407" s="28">
        <f t="shared" si="176"/>
        <v>1.5462540083568167E-2</v>
      </c>
      <c r="Y407" s="202">
        <f t="shared" si="158"/>
        <v>0.26839668006426398</v>
      </c>
      <c r="Z407" s="626">
        <f t="shared" si="168"/>
        <v>20691.428571428572</v>
      </c>
      <c r="AA407" s="179">
        <f t="shared" si="169"/>
        <v>202.85714285714286</v>
      </c>
      <c r="AB407" s="357">
        <f t="shared" si="149"/>
        <v>240.92604345466623</v>
      </c>
      <c r="AC407" s="610">
        <f t="shared" si="190"/>
        <v>38.068900597523367</v>
      </c>
      <c r="AD407" s="610">
        <f t="shared" si="163"/>
        <v>16384.857142857141</v>
      </c>
      <c r="AE407" s="300">
        <f t="shared" si="187"/>
        <v>1.7131097128258506</v>
      </c>
      <c r="AF407" s="202">
        <f t="shared" si="182"/>
        <v>0.25258775021680813</v>
      </c>
      <c r="AG407" s="202">
        <f t="shared" si="166"/>
        <v>0.42218482476037167</v>
      </c>
      <c r="AH407" s="202">
        <f t="shared" si="170"/>
        <v>1.6473317865429236</v>
      </c>
      <c r="AI407" s="592">
        <f t="shared" si="184"/>
        <v>0.71310971282585056</v>
      </c>
      <c r="AJ407" s="544">
        <f t="shared" si="185"/>
        <v>1.9947182109344271E-2</v>
      </c>
      <c r="AK407" s="28">
        <f t="shared" si="191"/>
        <v>1.9368188295913864E-2</v>
      </c>
      <c r="AL407" s="202">
        <f t="shared" si="188"/>
        <v>1.0457283680175247</v>
      </c>
      <c r="AM407" s="202">
        <f t="shared" si="189"/>
        <v>1.6473317865429236</v>
      </c>
      <c r="AN407" s="18">
        <f t="shared" si="183"/>
        <v>44317</v>
      </c>
      <c r="AO407" s="297">
        <f t="shared" si="159"/>
        <v>397.34285714285716</v>
      </c>
      <c r="AP407" s="644">
        <f t="shared" si="155"/>
        <v>1.900086974528888</v>
      </c>
      <c r="AQ407" s="7">
        <f t="shared" si="171"/>
        <v>33171.285714285717</v>
      </c>
      <c r="AR407" s="297">
        <f t="shared" si="177"/>
        <v>201.14400000000001</v>
      </c>
      <c r="AS407" s="68">
        <f t="shared" si="178"/>
        <v>1.6473317865429236</v>
      </c>
      <c r="AT407" s="180">
        <f t="shared" si="181"/>
        <v>1.1867523765605294E-2</v>
      </c>
    </row>
    <row r="408" spans="1:46" x14ac:dyDescent="0.25">
      <c r="A408" s="107">
        <v>44299</v>
      </c>
      <c r="B408" s="126">
        <v>27001</v>
      </c>
      <c r="C408" s="126">
        <f t="shared" si="179"/>
        <v>2579000</v>
      </c>
      <c r="D408" s="126">
        <v>217</v>
      </c>
      <c r="E408" s="126">
        <f t="shared" si="180"/>
        <v>58108</v>
      </c>
      <c r="F408" s="126">
        <f t="shared" ref="F408:F436" si="192">G408-G407</f>
        <v>15751</v>
      </c>
      <c r="G408" s="155">
        <v>2262875</v>
      </c>
      <c r="H408" s="126">
        <v>3836</v>
      </c>
      <c r="I408" s="4">
        <v>87661</v>
      </c>
      <c r="J408" s="4">
        <f t="shared" si="164"/>
        <v>9743345</v>
      </c>
      <c r="K408" s="611">
        <f t="shared" si="186"/>
        <v>2.2531213648701046E-2</v>
      </c>
      <c r="L408" s="7">
        <v>5479564</v>
      </c>
      <c r="M408" s="4">
        <f t="shared" si="172"/>
        <v>5479564.0225312132</v>
      </c>
      <c r="N408" s="202"/>
      <c r="O408" s="4"/>
      <c r="P408" s="4"/>
      <c r="Q408" s="4"/>
      <c r="R408" s="7">
        <f t="shared" si="161"/>
        <v>258017</v>
      </c>
      <c r="S408" s="39">
        <f t="shared" si="174"/>
        <v>17</v>
      </c>
      <c r="T408" s="91">
        <f t="shared" si="175"/>
        <v>11033</v>
      </c>
      <c r="U408" s="91">
        <f>SUM(B395:B408)/POBLA!$B$25*100000</f>
        <v>542.60495021161341</v>
      </c>
      <c r="V408" s="91">
        <f>B408/POBLA!$B$25*100000</f>
        <v>59.499568544941923</v>
      </c>
      <c r="W408" s="625">
        <f t="shared" si="173"/>
        <v>2.0077215355011253</v>
      </c>
      <c r="X408" s="28">
        <f t="shared" si="176"/>
        <v>1.4867237430091816E-2</v>
      </c>
      <c r="Y408" s="202">
        <f t="shared" si="158"/>
        <v>0.27353882279614</v>
      </c>
      <c r="Z408" s="297">
        <f t="shared" si="168"/>
        <v>21567.285714285714</v>
      </c>
      <c r="AA408" s="179">
        <f t="shared" si="169"/>
        <v>210.57142857142858</v>
      </c>
      <c r="AB408" s="357">
        <f t="shared" si="149"/>
        <v>242.97297670361138</v>
      </c>
      <c r="AC408" s="610">
        <f t="shared" si="190"/>
        <v>32.401548132182796</v>
      </c>
      <c r="AD408" s="610">
        <f t="shared" si="163"/>
        <v>17588.214285714286</v>
      </c>
      <c r="AE408" s="300">
        <f t="shared" si="187"/>
        <v>1.5847644440712125</v>
      </c>
      <c r="AF408" s="202">
        <f t="shared" si="182"/>
        <v>0.24435495538943819</v>
      </c>
      <c r="AG408" s="202">
        <f t="shared" si="166"/>
        <v>0.29377096310493522</v>
      </c>
      <c r="AH408" s="202">
        <f t="shared" si="170"/>
        <v>1.6377777777777778</v>
      </c>
      <c r="AI408" s="592">
        <f t="shared" si="184"/>
        <v>0.58476444407121253</v>
      </c>
      <c r="AJ408" s="544">
        <f t="shared" si="185"/>
        <v>1.867146331576814E-2</v>
      </c>
      <c r="AK408" s="28">
        <f t="shared" si="191"/>
        <v>1.8500120569086086E-2</v>
      </c>
      <c r="AL408" s="202">
        <f t="shared" si="188"/>
        <v>1.0532674354750138</v>
      </c>
      <c r="AM408" s="202">
        <f t="shared" si="189"/>
        <v>1.6377777777777778</v>
      </c>
      <c r="AN408" s="18">
        <f t="shared" si="183"/>
        <v>44318</v>
      </c>
      <c r="AO408" s="297">
        <f t="shared" si="159"/>
        <v>413.82857142857148</v>
      </c>
      <c r="AP408" s="644">
        <f t="shared" si="155"/>
        <v>2.0077215355011253</v>
      </c>
      <c r="AQ408" s="7">
        <f t="shared" si="171"/>
        <v>33171.285714285717</v>
      </c>
      <c r="AR408" s="297">
        <f t="shared" si="177"/>
        <v>205.82400000000001</v>
      </c>
      <c r="AS408" s="68">
        <f t="shared" si="178"/>
        <v>1.6377777777777778</v>
      </c>
      <c r="AT408" s="180">
        <f t="shared" si="181"/>
        <v>1.1649507668063389E-2</v>
      </c>
    </row>
    <row r="409" spans="1:46" x14ac:dyDescent="0.25">
      <c r="A409" s="107">
        <v>44300</v>
      </c>
      <c r="B409" s="126">
        <v>25157</v>
      </c>
      <c r="C409" s="126">
        <f t="shared" si="179"/>
        <v>2604157</v>
      </c>
      <c r="D409" s="126">
        <v>368</v>
      </c>
      <c r="E409" s="126">
        <f t="shared" si="180"/>
        <v>58476</v>
      </c>
      <c r="F409" s="126">
        <f t="shared" si="192"/>
        <v>15611</v>
      </c>
      <c r="G409" s="155">
        <v>2278486</v>
      </c>
      <c r="H409" s="126">
        <v>3879</v>
      </c>
      <c r="I409" s="4">
        <v>89761</v>
      </c>
      <c r="J409" s="4">
        <f t="shared" ref="J409:J429" si="193">J408+I409</f>
        <v>9833106</v>
      </c>
      <c r="K409" s="611">
        <f t="shared" si="186"/>
        <v>2.2454867352467614E-2</v>
      </c>
      <c r="L409" s="4">
        <v>5518723</v>
      </c>
      <c r="M409" s="4">
        <f t="shared" si="172"/>
        <v>5518723.0224548671</v>
      </c>
      <c r="N409" s="202"/>
      <c r="O409" s="4"/>
      <c r="P409" s="4"/>
      <c r="Q409" s="4"/>
      <c r="R409" s="7">
        <f t="shared" ref="R409:R420" si="194">C409-E409-G409</f>
        <v>267195</v>
      </c>
      <c r="S409" s="39">
        <f t="shared" si="174"/>
        <v>43</v>
      </c>
      <c r="T409" s="91">
        <f t="shared" si="175"/>
        <v>9178</v>
      </c>
      <c r="U409" s="91">
        <f>SUM(B396:B409)/POBLA!$B$25*100000</f>
        <v>562.65996940821788</v>
      </c>
      <c r="V409" s="91">
        <f>B409/POBLA!$B$25*100000</f>
        <v>55.436118880230502</v>
      </c>
      <c r="W409" s="625">
        <f t="shared" si="173"/>
        <v>1.9581582257124452</v>
      </c>
      <c r="X409" s="28">
        <f t="shared" si="176"/>
        <v>1.4517487228428676E-2</v>
      </c>
      <c r="Y409" s="202">
        <f t="shared" ref="Y409:Y416" si="195">SUM(B403:B409)/SUM(I403:I409)</f>
        <v>0.27176190476190476</v>
      </c>
      <c r="Z409" s="297">
        <f t="shared" si="168"/>
        <v>22012.714285714286</v>
      </c>
      <c r="AA409" s="358">
        <f t="shared" si="169"/>
        <v>234.71428571428572</v>
      </c>
      <c r="AB409" s="357">
        <f t="shared" si="149"/>
        <v>268.19862585162031</v>
      </c>
      <c r="AC409" s="610">
        <f t="shared" si="190"/>
        <v>33.484340137334584</v>
      </c>
      <c r="AD409" s="610">
        <f t="shared" si="163"/>
        <v>18238.285714285714</v>
      </c>
      <c r="AE409" s="300">
        <f t="shared" si="187"/>
        <v>1.5219117603484549</v>
      </c>
      <c r="AF409" s="202">
        <f t="shared" si="182"/>
        <v>0.22224509400301917</v>
      </c>
      <c r="AG409" s="202">
        <f t="shared" si="166"/>
        <v>0.14147647352420711</v>
      </c>
      <c r="AH409" s="202">
        <f t="shared" si="170"/>
        <v>1.6851282051282053</v>
      </c>
      <c r="AI409" s="592">
        <f t="shared" si="184"/>
        <v>0.52191176034845488</v>
      </c>
      <c r="AJ409" s="544">
        <f t="shared" si="185"/>
        <v>1.9298534110129675E-2</v>
      </c>
      <c r="AK409" s="28">
        <f t="shared" si="191"/>
        <v>1.7743927542198435E-2</v>
      </c>
      <c r="AL409" s="202">
        <f t="shared" si="188"/>
        <v>1.0466810577441985</v>
      </c>
      <c r="AM409" s="202">
        <f t="shared" si="189"/>
        <v>1.6851282051282053</v>
      </c>
      <c r="AN409" s="18">
        <f t="shared" si="183"/>
        <v>44319</v>
      </c>
      <c r="AO409" s="297">
        <f t="shared" si="159"/>
        <v>431.34571428571428</v>
      </c>
      <c r="AP409" s="644">
        <f t="shared" si="155"/>
        <v>1.9581582257124452</v>
      </c>
      <c r="AQ409" s="7">
        <f t="shared" si="171"/>
        <v>33171.285714285717</v>
      </c>
      <c r="AR409" s="297">
        <f t="shared" si="177"/>
        <v>205.80800000000002</v>
      </c>
      <c r="AS409" s="68">
        <f t="shared" si="178"/>
        <v>1.6851282051282053</v>
      </c>
      <c r="AT409" s="180">
        <f t="shared" si="181"/>
        <v>1.1601631735819882E-2</v>
      </c>
    </row>
    <row r="410" spans="1:46" x14ac:dyDescent="0.25">
      <c r="A410" s="107">
        <v>44301</v>
      </c>
      <c r="B410" s="126">
        <v>24999</v>
      </c>
      <c r="C410" s="126">
        <f t="shared" si="179"/>
        <v>2629156</v>
      </c>
      <c r="D410" s="126">
        <v>383</v>
      </c>
      <c r="E410" s="126">
        <f t="shared" si="180"/>
        <v>58859</v>
      </c>
      <c r="F410" s="126">
        <f t="shared" si="192"/>
        <v>21746</v>
      </c>
      <c r="G410" s="155">
        <v>2300232</v>
      </c>
      <c r="H410" s="126">
        <v>3900</v>
      </c>
      <c r="I410" s="4">
        <v>70299</v>
      </c>
      <c r="J410" s="4">
        <f t="shared" si="193"/>
        <v>9903405</v>
      </c>
      <c r="K410" s="611">
        <f t="shared" si="186"/>
        <v>2.2387032188276389E-2</v>
      </c>
      <c r="L410" s="4">
        <v>5547020</v>
      </c>
      <c r="M410" s="4">
        <f t="shared" si="172"/>
        <v>5547020.0223870324</v>
      </c>
      <c r="N410" s="202"/>
      <c r="O410" s="4"/>
      <c r="P410" s="4"/>
      <c r="Q410" s="4"/>
      <c r="R410" s="7">
        <f t="shared" si="194"/>
        <v>270065</v>
      </c>
      <c r="S410" s="39">
        <f t="shared" si="174"/>
        <v>21</v>
      </c>
      <c r="T410" s="91">
        <f t="shared" si="175"/>
        <v>2870</v>
      </c>
      <c r="U410" s="91">
        <f>SUM(B397:B410)/POBLA!$B$25*100000</f>
        <v>585.9498823726077</v>
      </c>
      <c r="V410" s="91">
        <f>B410/POBLA!$B$25*100000</f>
        <v>55.087949115032885</v>
      </c>
      <c r="W410" s="625">
        <f t="shared" si="173"/>
        <v>1.9480505208867529</v>
      </c>
      <c r="X410" s="28">
        <f t="shared" si="176"/>
        <v>1.4440967915131542E-2</v>
      </c>
      <c r="Y410" s="202">
        <f t="shared" si="195"/>
        <v>0.28656224875900782</v>
      </c>
      <c r="Z410" s="297">
        <f t="shared" si="168"/>
        <v>22200.714285714286</v>
      </c>
      <c r="AA410" s="179">
        <f t="shared" si="169"/>
        <v>248</v>
      </c>
      <c r="AB410" s="357">
        <f t="shared" si="149"/>
        <v>287.89596413705402</v>
      </c>
      <c r="AC410" s="610">
        <f t="shared" si="190"/>
        <v>39.895964137054023</v>
      </c>
      <c r="AD410" s="610">
        <f t="shared" si="163"/>
        <v>18993.214285714286</v>
      </c>
      <c r="AE410" s="300">
        <f t="shared" si="187"/>
        <v>1.4063800904977375</v>
      </c>
      <c r="AF410" s="202">
        <f t="shared" si="182"/>
        <v>0.18634277054185255</v>
      </c>
      <c r="AG410" s="202">
        <f t="shared" si="166"/>
        <v>5.5567284550099183E-2</v>
      </c>
      <c r="AH410" s="202">
        <f t="shared" si="170"/>
        <v>1.4686971235194586</v>
      </c>
      <c r="AI410" s="592">
        <f t="shared" si="184"/>
        <v>0.40638009049773749</v>
      </c>
      <c r="AJ410" s="544">
        <f t="shared" si="185"/>
        <v>2.1144430099144965E-2</v>
      </c>
      <c r="AK410" s="28">
        <f t="shared" si="191"/>
        <v>1.7131937885743152E-2</v>
      </c>
      <c r="AL410" s="202">
        <f t="shared" si="188"/>
        <v>1.042223409941208</v>
      </c>
      <c r="AM410" s="202">
        <f t="shared" si="189"/>
        <v>1.4686971235194586</v>
      </c>
      <c r="AN410" s="18">
        <f t="shared" si="183"/>
        <v>44320</v>
      </c>
      <c r="AO410" s="297">
        <f t="shared" si="159"/>
        <v>440.25428571428574</v>
      </c>
      <c r="AP410" s="644">
        <f t="shared" si="155"/>
        <v>1.9480505208867529</v>
      </c>
      <c r="AQ410" s="7">
        <f t="shared" si="171"/>
        <v>33171.285714285717</v>
      </c>
      <c r="AR410" s="297">
        <f t="shared" si="177"/>
        <v>205.44800000000001</v>
      </c>
      <c r="AS410" s="68">
        <f t="shared" si="178"/>
        <v>1.4686971235194586</v>
      </c>
      <c r="AT410" s="180">
        <f t="shared" si="181"/>
        <v>1.156943930697913E-2</v>
      </c>
    </row>
    <row r="411" spans="1:46" x14ac:dyDescent="0.25">
      <c r="A411" s="107">
        <v>44302</v>
      </c>
      <c r="B411" s="131">
        <v>29472</v>
      </c>
      <c r="C411" s="126">
        <f t="shared" si="179"/>
        <v>2658628</v>
      </c>
      <c r="D411" s="126">
        <v>160</v>
      </c>
      <c r="E411" s="126">
        <f t="shared" si="180"/>
        <v>59019</v>
      </c>
      <c r="F411" s="126">
        <f t="shared" si="192"/>
        <v>23875</v>
      </c>
      <c r="G411" s="155">
        <v>2324107</v>
      </c>
      <c r="H411" s="126">
        <v>3971</v>
      </c>
      <c r="I411" s="4">
        <v>120904</v>
      </c>
      <c r="J411" s="4">
        <f t="shared" si="193"/>
        <v>10024309</v>
      </c>
      <c r="K411" s="611">
        <f t="shared" si="186"/>
        <v>2.2199044018192841E-2</v>
      </c>
      <c r="L411" s="4">
        <v>5601790</v>
      </c>
      <c r="M411" s="4">
        <f t="shared" si="172"/>
        <v>5601790.022199044</v>
      </c>
      <c r="N411" s="202"/>
      <c r="O411" s="4"/>
      <c r="P411" s="4"/>
      <c r="Q411" s="4"/>
      <c r="R411" s="7">
        <f t="shared" si="194"/>
        <v>275502</v>
      </c>
      <c r="S411" s="39">
        <f t="shared" si="174"/>
        <v>71</v>
      </c>
      <c r="T411" s="91">
        <f t="shared" si="175"/>
        <v>5437</v>
      </c>
      <c r="U411" s="91">
        <f>SUM(B398:B411)/POBLA!$B$25*100000</f>
        <v>629.07445392271745</v>
      </c>
      <c r="V411" s="91">
        <f>B411/POBLA!$B$25*100000</f>
        <v>64.944679239899557</v>
      </c>
      <c r="W411" s="625">
        <f t="shared" si="173"/>
        <v>2.0650679976851851</v>
      </c>
      <c r="X411" s="28">
        <f t="shared" si="176"/>
        <v>1.4413688466871384E-2</v>
      </c>
      <c r="Y411" s="202">
        <f t="shared" si="195"/>
        <v>0.28075381404406563</v>
      </c>
      <c r="Z411" s="297">
        <f t="shared" si="168"/>
        <v>22963.857142857141</v>
      </c>
      <c r="AA411" s="179">
        <f t="shared" si="169"/>
        <v>238.28571428571428</v>
      </c>
      <c r="AB411" s="357">
        <f t="shared" si="149"/>
        <v>276.88301753586296</v>
      </c>
      <c r="AC411" s="610">
        <f t="shared" si="190"/>
        <v>38.597303250148684</v>
      </c>
      <c r="AD411" s="610">
        <f t="shared" si="163"/>
        <v>20391.071428571428</v>
      </c>
      <c r="AE411" s="307">
        <f t="shared" si="187"/>
        <v>1.2887803861201974</v>
      </c>
      <c r="AF411" s="202">
        <f t="shared" si="182"/>
        <v>0.16440127808490135</v>
      </c>
      <c r="AG411" s="202">
        <f t="shared" si="166"/>
        <v>0.22138416908412761</v>
      </c>
      <c r="AH411" s="202">
        <f t="shared" si="170"/>
        <v>1.256024096385542</v>
      </c>
      <c r="AI411" s="592">
        <f t="shared" si="184"/>
        <v>0.28878038612019741</v>
      </c>
      <c r="AJ411" s="544">
        <f t="shared" si="185"/>
        <v>2.0304815698495401E-2</v>
      </c>
      <c r="AK411" s="28">
        <f t="shared" si="191"/>
        <v>1.6783317272742643E-2</v>
      </c>
      <c r="AL411" s="202">
        <f t="shared" si="188"/>
        <v>1.0680473372781065</v>
      </c>
      <c r="AM411" s="202">
        <f t="shared" si="189"/>
        <v>1.256024096385542</v>
      </c>
      <c r="AN411" s="18">
        <f t="shared" si="183"/>
        <v>44321</v>
      </c>
      <c r="AO411" s="297">
        <f t="shared" si="159"/>
        <v>444.01428571428573</v>
      </c>
      <c r="AP411" s="644">
        <f t="shared" ref="AP411:AP442" si="196">SUM(B398:B411)/SUM(B384:B397)</f>
        <v>2.0650679976851851</v>
      </c>
      <c r="AQ411" s="7">
        <f t="shared" si="171"/>
        <v>33171.285714285717</v>
      </c>
      <c r="AR411" s="297">
        <f t="shared" si="177"/>
        <v>224.55199999999999</v>
      </c>
      <c r="AS411" s="68">
        <f t="shared" si="178"/>
        <v>1.256024096385542</v>
      </c>
      <c r="AT411" s="180">
        <f t="shared" si="181"/>
        <v>1.0933592001871864E-2</v>
      </c>
    </row>
    <row r="412" spans="1:46" x14ac:dyDescent="0.25">
      <c r="A412" s="503">
        <v>44303</v>
      </c>
      <c r="B412" s="126">
        <v>19119</v>
      </c>
      <c r="C412" s="126">
        <f t="shared" si="179"/>
        <v>2677747</v>
      </c>
      <c r="D412" s="126">
        <v>79</v>
      </c>
      <c r="E412" s="126">
        <f t="shared" si="180"/>
        <v>59098</v>
      </c>
      <c r="F412" s="126">
        <f t="shared" si="192"/>
        <v>19701</v>
      </c>
      <c r="G412" s="155">
        <v>2343808</v>
      </c>
      <c r="H412" s="126">
        <v>3977</v>
      </c>
      <c r="I412" s="4">
        <v>66458</v>
      </c>
      <c r="J412" s="4">
        <f t="shared" si="193"/>
        <v>10090767</v>
      </c>
      <c r="K412" s="611">
        <f t="shared" si="186"/>
        <v>2.2070046199286191E-2</v>
      </c>
      <c r="L412" s="4">
        <v>5636711</v>
      </c>
      <c r="M412" s="4">
        <f t="shared" si="172"/>
        <v>5636711.0220700465</v>
      </c>
      <c r="N412" s="202"/>
      <c r="O412" s="4"/>
      <c r="P412" s="4"/>
      <c r="Q412" s="4"/>
      <c r="R412" s="7">
        <f t="shared" si="194"/>
        <v>274841</v>
      </c>
      <c r="S412" s="39">
        <f t="shared" si="174"/>
        <v>6</v>
      </c>
      <c r="T412" s="91">
        <f t="shared" si="175"/>
        <v>-661</v>
      </c>
      <c r="U412" s="91">
        <f>SUM(B399:B412)/POBLA!$B$25*100000</f>
        <v>648.32295328348437</v>
      </c>
      <c r="V412" s="91">
        <f>B412/POBLA!$B$25*100000</f>
        <v>42.130745195020353</v>
      </c>
      <c r="W412" s="625">
        <f t="shared" si="173"/>
        <v>2.0748529598442857</v>
      </c>
      <c r="X412" s="28">
        <f t="shared" si="176"/>
        <v>1.4470184579447754E-2</v>
      </c>
      <c r="Y412" s="202">
        <f t="shared" si="195"/>
        <v>0.28483401384697321</v>
      </c>
      <c r="Z412" s="297">
        <f t="shared" si="168"/>
        <v>22921</v>
      </c>
      <c r="AA412" s="179">
        <f t="shared" si="169"/>
        <v>216.85714285714286</v>
      </c>
      <c r="AB412" s="357">
        <f t="shared" si="149"/>
        <v>276.2398718495125</v>
      </c>
      <c r="AC412" s="610">
        <f t="shared" si="190"/>
        <v>59.382728992369636</v>
      </c>
      <c r="AD412" s="610">
        <f t="shared" si="163"/>
        <v>21015</v>
      </c>
      <c r="AE412" s="307">
        <f t="shared" si="187"/>
        <v>1.1994871526505835</v>
      </c>
      <c r="AF412" s="202">
        <f t="shared" si="182"/>
        <v>0.13600234771862096</v>
      </c>
      <c r="AG412" s="202">
        <f t="shared" si="166"/>
        <v>-1.5448787270199271E-2</v>
      </c>
      <c r="AH412" s="202">
        <f t="shared" si="170"/>
        <v>1.0298507462686566</v>
      </c>
      <c r="AI412" s="592">
        <f t="shared" si="184"/>
        <v>0.19948715265058348</v>
      </c>
      <c r="AJ412" s="544">
        <f t="shared" si="185"/>
        <v>1.7880911714470815E-2</v>
      </c>
      <c r="AK412" s="28">
        <f t="shared" si="191"/>
        <v>1.6438163654174436E-2</v>
      </c>
      <c r="AL412" s="202">
        <f t="shared" si="188"/>
        <v>1.0574315341664451</v>
      </c>
      <c r="AM412" s="202">
        <f t="shared" si="189"/>
        <v>1.0298507462686566</v>
      </c>
      <c r="AN412" s="18">
        <f t="shared" si="183"/>
        <v>44322</v>
      </c>
      <c r="AO412" s="297">
        <f t="shared" si="159"/>
        <v>459.27714285714285</v>
      </c>
      <c r="AP412" s="644">
        <f t="shared" si="196"/>
        <v>2.0748529598442857</v>
      </c>
      <c r="AQ412" s="7">
        <f t="shared" si="171"/>
        <v>33171.285714285717</v>
      </c>
      <c r="AR412" s="297">
        <f t="shared" si="177"/>
        <v>238.6</v>
      </c>
      <c r="AS412" s="68">
        <f t="shared" si="178"/>
        <v>1.0298507462686566</v>
      </c>
      <c r="AT412" s="180">
        <f t="shared" si="181"/>
        <v>1.0507900326833616E-2</v>
      </c>
    </row>
    <row r="413" spans="1:46" x14ac:dyDescent="0.25">
      <c r="A413" s="107">
        <v>44304</v>
      </c>
      <c r="B413" s="126">
        <v>16267</v>
      </c>
      <c r="C413" s="126">
        <f t="shared" si="179"/>
        <v>2694014</v>
      </c>
      <c r="D413" s="126">
        <v>65</v>
      </c>
      <c r="E413" s="126">
        <f t="shared" si="180"/>
        <v>59163</v>
      </c>
      <c r="F413" s="126">
        <f t="shared" si="192"/>
        <v>20363</v>
      </c>
      <c r="G413" s="155">
        <v>2364171</v>
      </c>
      <c r="H413" s="126">
        <v>4105</v>
      </c>
      <c r="I413" s="4">
        <v>63763</v>
      </c>
      <c r="J413" s="4">
        <f t="shared" si="193"/>
        <v>10154530</v>
      </c>
      <c r="K413" s="611">
        <f t="shared" si="186"/>
        <v>2.1960910373888184E-2</v>
      </c>
      <c r="L413" s="4">
        <v>5664992</v>
      </c>
      <c r="M413" s="4">
        <f t="shared" si="172"/>
        <v>5664992.0219609104</v>
      </c>
      <c r="N413" s="202"/>
      <c r="O413" s="4"/>
      <c r="P413" s="4"/>
      <c r="Q413" s="4"/>
      <c r="R413" s="7">
        <f t="shared" si="194"/>
        <v>270680</v>
      </c>
      <c r="S413" s="39">
        <f t="shared" si="174"/>
        <v>128</v>
      </c>
      <c r="T413" s="91">
        <f t="shared" si="175"/>
        <v>-4161</v>
      </c>
      <c r="U413" s="91">
        <f>SUM(B400:B413)/POBLA!$B$25*100000</f>
        <v>662.23211504251822</v>
      </c>
      <c r="V413" s="91">
        <f>B413/POBLA!$B$25*100000</f>
        <v>35.846060572592506</v>
      </c>
      <c r="W413" s="625">
        <f t="shared" si="173"/>
        <v>2.0343891525240148</v>
      </c>
      <c r="X413" s="28">
        <f t="shared" si="176"/>
        <v>1.5165509088222255E-2</v>
      </c>
      <c r="Y413" s="202">
        <f t="shared" si="195"/>
        <v>0.28636751431819835</v>
      </c>
      <c r="Z413" s="297">
        <f t="shared" si="168"/>
        <v>23064.571428571428</v>
      </c>
      <c r="AA413" s="179">
        <f t="shared" si="169"/>
        <v>207.28571428571428</v>
      </c>
      <c r="AB413" s="357">
        <f t="shared" si="149"/>
        <v>284.76111203690198</v>
      </c>
      <c r="AC413" s="610">
        <f t="shared" si="190"/>
        <v>77.4753977511877</v>
      </c>
      <c r="AD413" s="610">
        <f t="shared" si="163"/>
        <v>21465.857142857141</v>
      </c>
      <c r="AE413" s="202">
        <f t="shared" si="187"/>
        <v>1.1609405335442582</v>
      </c>
      <c r="AF413" s="202">
        <f t="shared" si="182"/>
        <v>0.1198543709403832</v>
      </c>
      <c r="AG413" s="202">
        <f t="shared" si="166"/>
        <v>6.5849823090027515E-2</v>
      </c>
      <c r="AH413" s="202">
        <f t="shared" si="170"/>
        <v>0.95902181097157957</v>
      </c>
      <c r="AI413" s="592">
        <f t="shared" si="184"/>
        <v>0.16094053354425819</v>
      </c>
      <c r="AJ413" s="544">
        <f t="shared" si="185"/>
        <v>1.7161848890571037E-2</v>
      </c>
      <c r="AK413" s="28">
        <f t="shared" si="191"/>
        <v>1.6983161639981797E-2</v>
      </c>
      <c r="AL413" s="202">
        <f t="shared" si="188"/>
        <v>1.0833993138031144</v>
      </c>
      <c r="AM413" s="202">
        <f t="shared" si="189"/>
        <v>0.95902181097157957</v>
      </c>
      <c r="AN413" s="18">
        <f t="shared" si="183"/>
        <v>44323</v>
      </c>
      <c r="AO413" s="297">
        <f t="shared" si="159"/>
        <v>458.42</v>
      </c>
      <c r="AP413" s="644">
        <f t="shared" si="196"/>
        <v>2.0343891525240148</v>
      </c>
      <c r="AQ413" s="7">
        <f t="shared" si="171"/>
        <v>33171.285714285717</v>
      </c>
      <c r="AR413" s="297">
        <f t="shared" si="177"/>
        <v>251.304</v>
      </c>
      <c r="AS413" s="68">
        <f t="shared" si="178"/>
        <v>0.95902181097157957</v>
      </c>
      <c r="AT413" s="180">
        <f t="shared" si="181"/>
        <v>1.0217795212818095E-2</v>
      </c>
    </row>
    <row r="414" spans="1:46" ht="15.75" x14ac:dyDescent="0.25">
      <c r="A414" s="107">
        <v>44305</v>
      </c>
      <c r="B414" s="505">
        <v>20461</v>
      </c>
      <c r="C414" s="126">
        <f t="shared" si="179"/>
        <v>2714475</v>
      </c>
      <c r="D414" s="126">
        <v>248</v>
      </c>
      <c r="E414" s="126">
        <f t="shared" si="180"/>
        <v>59411</v>
      </c>
      <c r="F414" s="126">
        <f t="shared" si="192"/>
        <v>22212</v>
      </c>
      <c r="G414" s="155">
        <v>2386383</v>
      </c>
      <c r="H414" s="126">
        <v>4304</v>
      </c>
      <c r="I414" s="4">
        <v>66703</v>
      </c>
      <c r="J414" s="4">
        <f t="shared" si="193"/>
        <v>10221233</v>
      </c>
      <c r="K414" s="611">
        <f t="shared" si="186"/>
        <v>2.188673684598311E-2</v>
      </c>
      <c r="L414" s="4">
        <v>5692236</v>
      </c>
      <c r="M414" s="4">
        <f t="shared" si="172"/>
        <v>5692236.0218867371</v>
      </c>
      <c r="N414" s="202"/>
      <c r="O414" s="4"/>
      <c r="P414" s="4"/>
      <c r="Q414" s="4"/>
      <c r="R414" s="7">
        <f t="shared" si="194"/>
        <v>268681</v>
      </c>
      <c r="S414" s="39">
        <f t="shared" si="174"/>
        <v>199</v>
      </c>
      <c r="T414" s="91">
        <f t="shared" si="175"/>
        <v>-1999</v>
      </c>
      <c r="U414" s="91">
        <f>SUM(B401:B414)/POBLA!$B$25*100000</f>
        <v>677.20341494601576</v>
      </c>
      <c r="V414" s="91">
        <f>B414/POBLA!$B$25*100000</f>
        <v>45.087984593091242</v>
      </c>
      <c r="W414" s="625">
        <f t="shared" si="173"/>
        <v>1.9828501745307672</v>
      </c>
      <c r="X414" s="28">
        <f t="shared" si="176"/>
        <v>1.6018996505149229E-2</v>
      </c>
      <c r="Y414" s="202">
        <f t="shared" si="195"/>
        <v>0.28728898822206389</v>
      </c>
      <c r="Z414" s="626">
        <f t="shared" si="168"/>
        <v>23210.857142857141</v>
      </c>
      <c r="AA414" s="358">
        <f t="shared" si="169"/>
        <v>217.14285714285714</v>
      </c>
      <c r="AB414" s="357">
        <f t="shared" si="149"/>
        <v>283.35181538545169</v>
      </c>
      <c r="AC414" s="610">
        <f t="shared" si="190"/>
        <v>66.208958242594548</v>
      </c>
      <c r="AD414" s="610">
        <f t="shared" si="163"/>
        <v>21951.142857142859</v>
      </c>
      <c r="AE414" s="202">
        <f t="shared" si="187"/>
        <v>1.1217619442143054</v>
      </c>
      <c r="AF414" s="202">
        <f t="shared" si="182"/>
        <v>8.7847795808635443E-2</v>
      </c>
      <c r="AG414" s="202">
        <f t="shared" si="166"/>
        <v>5.2683027216134271E-2</v>
      </c>
      <c r="AH414" s="202">
        <f t="shared" si="170"/>
        <v>1.0704225352112675</v>
      </c>
      <c r="AI414" s="592">
        <f t="shared" si="184"/>
        <v>0.12176194421430542</v>
      </c>
      <c r="AJ414" s="544">
        <f t="shared" si="185"/>
        <v>1.5955660060463554E-2</v>
      </c>
      <c r="AK414" s="28">
        <f t="shared" si="191"/>
        <v>1.7426230039192823E-2</v>
      </c>
      <c r="AL414" s="202">
        <f t="shared" si="188"/>
        <v>1.1269965959675308</v>
      </c>
      <c r="AM414" s="202">
        <f t="shared" si="189"/>
        <v>1.0704225352112675</v>
      </c>
      <c r="AN414" s="18">
        <f t="shared" si="183"/>
        <v>44324</v>
      </c>
      <c r="AO414" s="297">
        <f t="shared" si="159"/>
        <v>461.29142857142858</v>
      </c>
      <c r="AP414" s="644">
        <f t="shared" si="196"/>
        <v>1.9828501745307672</v>
      </c>
      <c r="AQ414" s="7">
        <f t="shared" si="171"/>
        <v>33171.285714285717</v>
      </c>
      <c r="AR414" s="297">
        <f t="shared" si="177"/>
        <v>281.75600000000003</v>
      </c>
      <c r="AS414" s="68">
        <f t="shared" si="178"/>
        <v>1.0704225352112675</v>
      </c>
      <c r="AT414" s="180">
        <f t="shared" si="181"/>
        <v>1.0358847221282068E-2</v>
      </c>
    </row>
    <row r="415" spans="1:46" x14ac:dyDescent="0.25">
      <c r="A415" s="107">
        <v>44306</v>
      </c>
      <c r="B415" s="126">
        <v>29145</v>
      </c>
      <c r="C415" s="126">
        <f t="shared" si="179"/>
        <v>2743620</v>
      </c>
      <c r="D415" s="126">
        <v>316</v>
      </c>
      <c r="E415" s="126">
        <f t="shared" si="180"/>
        <v>59727</v>
      </c>
      <c r="F415" s="126">
        <f t="shared" si="192"/>
        <v>21470</v>
      </c>
      <c r="G415" s="155">
        <v>2407853</v>
      </c>
      <c r="H415" s="126">
        <v>4366</v>
      </c>
      <c r="I415" s="4">
        <v>99389</v>
      </c>
      <c r="J415" s="4">
        <f t="shared" si="193"/>
        <v>10320622</v>
      </c>
      <c r="K415" s="611">
        <f t="shared" si="186"/>
        <v>2.1769414131694621E-2</v>
      </c>
      <c r="L415" s="4">
        <v>5733986</v>
      </c>
      <c r="M415" s="4">
        <f t="shared" si="172"/>
        <v>5733986.0217694137</v>
      </c>
      <c r="N415" s="202"/>
      <c r="O415" s="4"/>
      <c r="P415" s="4"/>
      <c r="Q415" s="4"/>
      <c r="R415" s="7">
        <f t="shared" si="194"/>
        <v>276040</v>
      </c>
      <c r="S415" s="39">
        <f t="shared" si="174"/>
        <v>62</v>
      </c>
      <c r="T415" s="91">
        <f t="shared" si="175"/>
        <v>7359</v>
      </c>
      <c r="U415" s="91">
        <f>SUM(B402:B415)/POBLA!$B$25*100000</f>
        <v>695.43825549671362</v>
      </c>
      <c r="V415" s="91">
        <f>B415/POBLA!$B$25*100000</f>
        <v>64.224100042307029</v>
      </c>
      <c r="W415" s="625">
        <f t="shared" si="173"/>
        <v>1.8959880325859708</v>
      </c>
      <c r="X415" s="28">
        <f t="shared" si="176"/>
        <v>1.5816548326329519E-2</v>
      </c>
      <c r="Y415" s="202">
        <f t="shared" si="195"/>
        <v>0.28516639325661686</v>
      </c>
      <c r="Z415" s="297">
        <f t="shared" si="168"/>
        <v>23517.142857142859</v>
      </c>
      <c r="AA415" s="179">
        <f t="shared" si="169"/>
        <v>231.28571428571428</v>
      </c>
      <c r="AB415" s="357">
        <f t="shared" si="149"/>
        <v>317.43451028444412</v>
      </c>
      <c r="AC415" s="610">
        <f t="shared" si="190"/>
        <v>86.148795998729838</v>
      </c>
      <c r="AD415" s="610">
        <f t="shared" si="163"/>
        <v>22542.214285714286</v>
      </c>
      <c r="AE415" s="202">
        <f t="shared" si="187"/>
        <v>1.090408091620245</v>
      </c>
      <c r="AF415" s="202">
        <f t="shared" si="182"/>
        <v>6.9851986497013741E-2</v>
      </c>
      <c r="AG415" s="202">
        <f t="shared" si="166"/>
        <v>7.9404466501240778E-2</v>
      </c>
      <c r="AH415" s="202">
        <f t="shared" si="170"/>
        <v>1.0983717774762549</v>
      </c>
      <c r="AI415" s="592">
        <f t="shared" si="184"/>
        <v>9.040809162024499E-2</v>
      </c>
      <c r="AJ415" s="544">
        <f t="shared" si="185"/>
        <v>1.5990597252264264E-2</v>
      </c>
      <c r="AK415" s="28">
        <f t="shared" si="191"/>
        <v>1.6921365646449651E-2</v>
      </c>
      <c r="AL415" s="202">
        <f t="shared" si="188"/>
        <v>1.1381647549530762</v>
      </c>
      <c r="AM415" s="202">
        <f t="shared" si="189"/>
        <v>1.0983717774762549</v>
      </c>
      <c r="AN415" s="18">
        <f t="shared" si="183"/>
        <v>44325</v>
      </c>
      <c r="AO415" s="297">
        <f t="shared" si="159"/>
        <v>464.21714285714285</v>
      </c>
      <c r="AP415" s="644">
        <f t="shared" si="196"/>
        <v>1.8959880325859708</v>
      </c>
      <c r="AQ415" s="7">
        <f t="shared" si="171"/>
        <v>33171.285714285717</v>
      </c>
      <c r="AR415" s="297">
        <f t="shared" si="177"/>
        <v>284.75200000000001</v>
      </c>
      <c r="AS415" s="68">
        <f t="shared" si="178"/>
        <v>1.0983717774762549</v>
      </c>
      <c r="AT415" s="180">
        <f t="shared" si="181"/>
        <v>1.0414804488911297E-2</v>
      </c>
    </row>
    <row r="416" spans="1:46" x14ac:dyDescent="0.25">
      <c r="A416" s="107">
        <v>44307</v>
      </c>
      <c r="B416" s="126">
        <v>25932</v>
      </c>
      <c r="C416" s="126">
        <f t="shared" si="179"/>
        <v>2769552</v>
      </c>
      <c r="D416" s="126">
        <v>291</v>
      </c>
      <c r="E416" s="126">
        <f t="shared" si="180"/>
        <v>60018</v>
      </c>
      <c r="F416" s="126">
        <f t="shared" si="192"/>
        <v>16822</v>
      </c>
      <c r="G416" s="155">
        <v>2424675</v>
      </c>
      <c r="H416" s="126">
        <v>4492</v>
      </c>
      <c r="I416" s="4">
        <v>101313</v>
      </c>
      <c r="J416" s="4">
        <f t="shared" si="193"/>
        <v>10421935</v>
      </c>
      <c r="K416" s="611">
        <f t="shared" si="186"/>
        <v>2.167065287093364E-2</v>
      </c>
      <c r="L416" s="4"/>
      <c r="M416" s="4"/>
      <c r="N416" s="202"/>
      <c r="O416" s="4"/>
      <c r="P416" s="4"/>
      <c r="Q416" s="4"/>
      <c r="R416" s="7">
        <f t="shared" si="194"/>
        <v>284859</v>
      </c>
      <c r="S416" s="39">
        <f t="shared" si="174"/>
        <v>126</v>
      </c>
      <c r="T416" s="91">
        <f t="shared" si="175"/>
        <v>8819</v>
      </c>
      <c r="U416" s="91">
        <f>SUM(B403:B416)/POBLA!$B$25*100000</f>
        <v>704.01689407844981</v>
      </c>
      <c r="V416" s="91">
        <f>B416/POBLA!$B$25*100000</f>
        <v>57.143913614585898</v>
      </c>
      <c r="W416" s="625">
        <f t="shared" si="173"/>
        <v>1.7730297295647397</v>
      </c>
      <c r="X416" s="28">
        <f t="shared" si="176"/>
        <v>1.5769205115513288E-2</v>
      </c>
      <c r="Y416" s="202">
        <f t="shared" si="195"/>
        <v>0.28088799974186052</v>
      </c>
      <c r="Z416" s="590">
        <f t="shared" si="168"/>
        <v>23627.857142857141</v>
      </c>
      <c r="AA416" s="179">
        <f t="shared" si="169"/>
        <v>220.28571428571428</v>
      </c>
      <c r="AB416" s="357">
        <f t="shared" si="149"/>
        <v>335.51084827033372</v>
      </c>
      <c r="AC416" s="610">
        <f t="shared" si="190"/>
        <v>115.22513398461945</v>
      </c>
      <c r="AD416" s="610">
        <f t="shared" si="163"/>
        <v>22820.285714285714</v>
      </c>
      <c r="AE416" s="202">
        <f t="shared" si="187"/>
        <v>1.0733731804346838</v>
      </c>
      <c r="AF416" s="202">
        <f t="shared" si="182"/>
        <v>6.6109021501150833E-2</v>
      </c>
      <c r="AG416" s="202">
        <f t="shared" si="166"/>
        <v>3.0806534960448495E-2</v>
      </c>
      <c r="AH416" s="202">
        <f t="shared" si="170"/>
        <v>0.93852708460133893</v>
      </c>
      <c r="AI416" s="592">
        <f t="shared" si="184"/>
        <v>7.3373180434683771E-2</v>
      </c>
      <c r="AJ416" s="544">
        <f t="shared" si="185"/>
        <v>1.3954751131221719E-2</v>
      </c>
      <c r="AK416" s="28">
        <f t="shared" si="191"/>
        <v>1.6811691835550816E-2</v>
      </c>
      <c r="AL416" s="202">
        <f t="shared" si="188"/>
        <v>1.1580304202113947</v>
      </c>
      <c r="AM416" s="202">
        <f t="shared" si="189"/>
        <v>0.93852708460133893</v>
      </c>
      <c r="AN416" s="18">
        <f t="shared" si="183"/>
        <v>44326</v>
      </c>
      <c r="AO416" s="297">
        <f t="shared" si="159"/>
        <v>470.34285714285716</v>
      </c>
      <c r="AP416" s="644">
        <f t="shared" si="196"/>
        <v>1.7730297295647397</v>
      </c>
      <c r="AQ416" s="7">
        <f t="shared" si="171"/>
        <v>33171.285714285717</v>
      </c>
      <c r="AR416" s="297">
        <f t="shared" si="177"/>
        <v>315.77600000000001</v>
      </c>
      <c r="AS416" s="68">
        <f t="shared" si="178"/>
        <v>0.93852708460133893</v>
      </c>
      <c r="AT416" s="180">
        <f t="shared" si="181"/>
        <v>1.0342494878039352E-2</v>
      </c>
    </row>
    <row r="417" spans="1:46" x14ac:dyDescent="0.25">
      <c r="A417" s="182">
        <v>44308</v>
      </c>
      <c r="B417" s="126">
        <v>27216</v>
      </c>
      <c r="C417" s="126">
        <f t="shared" si="179"/>
        <v>2796768</v>
      </c>
      <c r="D417" s="126">
        <v>537</v>
      </c>
      <c r="E417" s="126">
        <f t="shared" si="180"/>
        <v>60555</v>
      </c>
      <c r="F417" s="126">
        <f t="shared" si="192"/>
        <v>25118</v>
      </c>
      <c r="G417" s="155">
        <v>2449793</v>
      </c>
      <c r="H417" s="126">
        <v>4791</v>
      </c>
      <c r="I417" s="4">
        <v>99323</v>
      </c>
      <c r="J417" s="4">
        <f t="shared" si="193"/>
        <v>10521258</v>
      </c>
      <c r="K417" s="611">
        <f t="shared" si="186"/>
        <v>2.1651778052380461E-2</v>
      </c>
      <c r="L417" s="7"/>
      <c r="M417" s="4"/>
      <c r="N417" s="202"/>
      <c r="O417" s="4"/>
      <c r="P417" s="4"/>
      <c r="Q417" s="4"/>
      <c r="R417" s="4">
        <f t="shared" si="194"/>
        <v>286420</v>
      </c>
      <c r="S417" s="39">
        <f t="shared" si="174"/>
        <v>299</v>
      </c>
      <c r="T417" s="91">
        <f t="shared" ref="T417:T424" si="197">(C417-G417-E417)-(C416-E416-G416)</f>
        <v>1561</v>
      </c>
      <c r="U417" s="91">
        <f>SUM(B404:B417)/POBLA!$B$25*100000</f>
        <v>711.8022344610016</v>
      </c>
      <c r="V417" s="91">
        <f>B417/POBLA!$B$25*100000</f>
        <v>59.973343858343732</v>
      </c>
      <c r="W417" s="625">
        <f t="shared" si="173"/>
        <v>1.6511122697254084</v>
      </c>
      <c r="X417" s="28">
        <f t="shared" si="176"/>
        <v>1.6727183855875988E-2</v>
      </c>
      <c r="Y417" s="202">
        <f t="shared" ref="Y417:Y428" si="198">SUM(B411:B417)/SUM(I411:I417)</f>
        <v>0.27128135656863361</v>
      </c>
      <c r="Z417" s="590">
        <f t="shared" ref="Z417:Z425" si="199">AVERAGE(B411:B417)</f>
        <v>23944.571428571428</v>
      </c>
      <c r="AA417" s="542">
        <f t="shared" ref="AA417:AA438" si="200">AVERAGE(D411:D417)</f>
        <v>242.28571428571428</v>
      </c>
      <c r="AB417" s="357">
        <f t="shared" si="149"/>
        <v>364.51823855467148</v>
      </c>
      <c r="AC417" s="610">
        <f t="shared" si="190"/>
        <v>122.23252426895721</v>
      </c>
      <c r="AD417" s="610">
        <f t="shared" si="163"/>
        <v>23072.642857142859</v>
      </c>
      <c r="AE417" s="202">
        <f t="shared" si="187"/>
        <v>1.0785495962163378</v>
      </c>
      <c r="AF417" s="202">
        <f t="shared" si="182"/>
        <v>6.0559494936404112E-2</v>
      </c>
      <c r="AG417" s="202">
        <f t="shared" si="166"/>
        <v>8.8683547341893654E-2</v>
      </c>
      <c r="AH417" s="202">
        <f t="shared" si="170"/>
        <v>0.97695852534562211</v>
      </c>
      <c r="AI417" s="592">
        <f t="shared" si="184"/>
        <v>7.8549596216337836E-2</v>
      </c>
      <c r="AJ417" s="544">
        <f t="shared" si="185"/>
        <v>1.3597588352254506E-2</v>
      </c>
      <c r="AK417" s="28">
        <f t="shared" si="191"/>
        <v>1.7740173661896209E-2</v>
      </c>
      <c r="AL417" s="202">
        <f t="shared" si="188"/>
        <v>1.2284615384615385</v>
      </c>
      <c r="AM417" s="202">
        <f t="shared" si="189"/>
        <v>0.97695852534562211</v>
      </c>
      <c r="AN417" s="18">
        <f t="shared" si="183"/>
        <v>44327</v>
      </c>
      <c r="AO417" s="388">
        <f t="shared" ref="AO417:AO459" si="201">SUM(D411:D417)/SUM(D404:D410)</f>
        <v>0.97695852534562211</v>
      </c>
      <c r="AP417" s="644">
        <f t="shared" si="196"/>
        <v>1.6511122697254084</v>
      </c>
      <c r="AQ417" s="7">
        <f t="shared" si="171"/>
        <v>33171.285714285717</v>
      </c>
      <c r="AR417" s="297">
        <f t="shared" si="177"/>
        <v>340.54399999999998</v>
      </c>
      <c r="AS417" s="68">
        <f t="shared" si="178"/>
        <v>0.97695852534562211</v>
      </c>
      <c r="AT417" s="180">
        <f t="shared" si="181"/>
        <v>1.0715800527288389E-2</v>
      </c>
    </row>
    <row r="418" spans="1:46" x14ac:dyDescent="0.25">
      <c r="A418" s="107">
        <v>44309</v>
      </c>
      <c r="B418" s="126">
        <v>27884</v>
      </c>
      <c r="C418" s="126">
        <f t="shared" si="179"/>
        <v>2824652</v>
      </c>
      <c r="D418" s="126">
        <v>557</v>
      </c>
      <c r="E418" s="126">
        <f t="shared" si="180"/>
        <v>61112</v>
      </c>
      <c r="F418" s="126">
        <f t="shared" si="192"/>
        <v>24721</v>
      </c>
      <c r="G418" s="155">
        <v>2474514</v>
      </c>
      <c r="H418" s="197">
        <v>4805</v>
      </c>
      <c r="I418" s="4">
        <v>86860</v>
      </c>
      <c r="J418" s="4">
        <f t="shared" si="193"/>
        <v>10608118</v>
      </c>
      <c r="K418" s="611">
        <f t="shared" si="186"/>
        <v>2.1635231525865842E-2</v>
      </c>
      <c r="L418" s="7">
        <v>5851758</v>
      </c>
      <c r="M418" s="4">
        <f>L418+K418</f>
        <v>5851758.0216352316</v>
      </c>
      <c r="N418" s="202">
        <f t="shared" ref="N418:N430" si="202">B418/(B418+(M418-M417))</f>
        <v>4.74246559525149E-3</v>
      </c>
      <c r="O418" s="202">
        <f>AVERAGE(N412:N418)</f>
        <v>4.74246559525149E-3</v>
      </c>
      <c r="P418" s="305">
        <f>B418/(B418+L418)</f>
        <v>4.7424656127022704E-3</v>
      </c>
      <c r="Q418" s="4"/>
      <c r="R418" s="4">
        <f t="shared" si="194"/>
        <v>289026</v>
      </c>
      <c r="S418" s="39">
        <f t="shared" si="174"/>
        <v>14</v>
      </c>
      <c r="T418" s="91">
        <f t="shared" si="197"/>
        <v>2606</v>
      </c>
      <c r="U418" s="91">
        <f>SUM(B405:B418)/POBLA!$B$25*100000</f>
        <v>720.07457179360813</v>
      </c>
      <c r="V418" s="91">
        <f>B418/POBLA!$B$25*100000</f>
        <v>61.445352739052645</v>
      </c>
      <c r="W418" s="625">
        <f t="shared" si="173"/>
        <v>1.5799013682734613</v>
      </c>
      <c r="X418" s="28">
        <f t="shared" ref="X418:X428" si="203">H418/R418</f>
        <v>1.6624801920934448E-2</v>
      </c>
      <c r="Y418" s="202">
        <f t="shared" si="198"/>
        <v>0.28438067929750999</v>
      </c>
      <c r="Z418" s="590">
        <f t="shared" si="199"/>
        <v>23717.714285714286</v>
      </c>
      <c r="AA418" s="179">
        <f t="shared" si="200"/>
        <v>299</v>
      </c>
      <c r="AB418" s="357">
        <f t="shared" ref="AB418:AB452" si="204">Z404*K404</f>
        <v>409.10535930254485</v>
      </c>
      <c r="AC418" s="610">
        <f t="shared" si="190"/>
        <v>110.10535930254485</v>
      </c>
      <c r="AD418" s="610">
        <f t="shared" si="163"/>
        <v>23340.785714285714</v>
      </c>
      <c r="AE418" s="202">
        <f t="shared" si="187"/>
        <v>1.032827984348075</v>
      </c>
      <c r="AF418" s="202">
        <f t="shared" si="182"/>
        <v>4.9088572859725232E-2</v>
      </c>
      <c r="AG418" s="202">
        <f t="shared" si="166"/>
        <v>-5.3881650380021684E-2</v>
      </c>
      <c r="AH418" s="202">
        <f t="shared" si="170"/>
        <v>1.2547961630695443</v>
      </c>
      <c r="AI418" s="592">
        <f t="shared" si="184"/>
        <v>3.282798434807499E-2</v>
      </c>
      <c r="AJ418" s="544">
        <f t="shared" si="185"/>
        <v>1.5647077293421949E-2</v>
      </c>
      <c r="AK418" s="28">
        <f t="shared" si="191"/>
        <v>1.744088972130874E-2</v>
      </c>
      <c r="AL418" s="202">
        <f t="shared" si="188"/>
        <v>1.210022664316293</v>
      </c>
      <c r="AM418" s="202">
        <f t="shared" si="189"/>
        <v>1.2547961630695443</v>
      </c>
      <c r="AN418" s="18">
        <f t="shared" si="183"/>
        <v>44328</v>
      </c>
      <c r="AO418" s="388">
        <f t="shared" si="201"/>
        <v>1.2547961630695443</v>
      </c>
      <c r="AP418" s="644">
        <f t="shared" si="196"/>
        <v>1.5799013682734613</v>
      </c>
      <c r="AQ418" s="7">
        <f t="shared" si="171"/>
        <v>33171.285714285717</v>
      </c>
      <c r="AR418" s="297">
        <f t="shared" si="177"/>
        <v>328.40800000000002</v>
      </c>
      <c r="AS418" s="68">
        <f t="shared" si="178"/>
        <v>1.2547961630695443</v>
      </c>
      <c r="AT418" s="180">
        <f t="shared" si="181"/>
        <v>1.1119823351809293E-2</v>
      </c>
    </row>
    <row r="419" spans="1:46" x14ac:dyDescent="0.25">
      <c r="A419" s="107">
        <v>44310</v>
      </c>
      <c r="B419" s="126">
        <v>21220</v>
      </c>
      <c r="C419" s="126">
        <f t="shared" si="179"/>
        <v>2845872</v>
      </c>
      <c r="D419" s="126">
        <v>298</v>
      </c>
      <c r="E419" s="126">
        <f t="shared" si="180"/>
        <v>61410</v>
      </c>
      <c r="F419" s="126">
        <f t="shared" si="192"/>
        <v>21763</v>
      </c>
      <c r="G419" s="155">
        <v>2496277</v>
      </c>
      <c r="H419" s="197">
        <v>4858</v>
      </c>
      <c r="I419" s="4">
        <v>81809</v>
      </c>
      <c r="J419" s="4">
        <f t="shared" si="193"/>
        <v>10689927</v>
      </c>
      <c r="K419" s="611">
        <f t="shared" si="186"/>
        <v>2.1578623353404509E-2</v>
      </c>
      <c r="L419" s="7">
        <v>5887599</v>
      </c>
      <c r="M419" s="4">
        <f>L419+K419</f>
        <v>5887599.021578623</v>
      </c>
      <c r="N419" s="202">
        <f t="shared" si="202"/>
        <v>0.37188272236819814</v>
      </c>
      <c r="O419" s="202">
        <f>AVERAGE(N413:N419)</f>
        <v>0.18831259398172481</v>
      </c>
      <c r="P419" s="305">
        <f>B419/(B419+L419)</f>
        <v>3.5912421754668742E-3</v>
      </c>
      <c r="Q419" s="4"/>
      <c r="R419" s="4">
        <f t="shared" si="194"/>
        <v>288185</v>
      </c>
      <c r="S419" s="39">
        <f t="shared" si="174"/>
        <v>53</v>
      </c>
      <c r="T419" s="91">
        <f t="shared" si="197"/>
        <v>-841</v>
      </c>
      <c r="U419" s="91">
        <f>SUM(B406:B419)/POBLA!$B$25*100000</f>
        <v>724.04326639563931</v>
      </c>
      <c r="V419" s="91">
        <f>B419/POBLA!$B$25*100000</f>
        <v>46.760521629705103</v>
      </c>
      <c r="W419" s="625">
        <f t="shared" si="173"/>
        <v>1.5217937020346346</v>
      </c>
      <c r="X419" s="28">
        <f t="shared" si="203"/>
        <v>1.68572271284071E-2</v>
      </c>
      <c r="Y419" s="202">
        <f t="shared" si="198"/>
        <v>0.28060117497830295</v>
      </c>
      <c r="Z419" s="639">
        <f t="shared" si="199"/>
        <v>24017.857142857141</v>
      </c>
      <c r="AA419" s="179">
        <f t="shared" si="200"/>
        <v>330.28571428571428</v>
      </c>
      <c r="AB419" s="357">
        <f t="shared" si="204"/>
        <v>437.09379891153225</v>
      </c>
      <c r="AC419" s="610">
        <f t="shared" si="190"/>
        <v>106.80808462581797</v>
      </c>
      <c r="AD419" s="610">
        <f t="shared" si="163"/>
        <v>23469.428571428572</v>
      </c>
      <c r="AE419" s="202">
        <f t="shared" si="187"/>
        <v>1.0478538084227189</v>
      </c>
      <c r="AF419" s="202">
        <f t="shared" si="182"/>
        <v>4.8551708078488964E-2</v>
      </c>
      <c r="AG419" s="202">
        <f t="shared" si="166"/>
        <v>0.10989068465923957</v>
      </c>
      <c r="AH419" s="202">
        <f t="shared" si="170"/>
        <v>1.523056653491436</v>
      </c>
      <c r="AI419" s="592">
        <f t="shared" si="184"/>
        <v>4.7853808422718913E-2</v>
      </c>
      <c r="AJ419" s="544">
        <f t="shared" si="185"/>
        <v>1.6624721363342199E-2</v>
      </c>
      <c r="AK419" s="28">
        <f t="shared" si="191"/>
        <v>1.7675674298958308E-2</v>
      </c>
      <c r="AL419" s="202">
        <f t="shared" si="188"/>
        <v>1.2215237616293688</v>
      </c>
      <c r="AM419" s="202">
        <f t="shared" si="189"/>
        <v>1.523056653491436</v>
      </c>
      <c r="AN419" s="18">
        <f t="shared" si="183"/>
        <v>44329</v>
      </c>
      <c r="AO419" s="388">
        <f t="shared" si="201"/>
        <v>1.523056653491436</v>
      </c>
      <c r="AP419" s="644">
        <f t="shared" si="196"/>
        <v>1.5217937020346346</v>
      </c>
      <c r="AQ419" s="7">
        <f t="shared" si="171"/>
        <v>33171.285714285717</v>
      </c>
      <c r="AR419" s="297">
        <f t="shared" si="177"/>
        <v>328.59199999999998</v>
      </c>
      <c r="AS419" s="68">
        <f t="shared" si="178"/>
        <v>1.523056653491436</v>
      </c>
      <c r="AT419" s="180">
        <f t="shared" si="181"/>
        <v>1.1133284133881221E-2</v>
      </c>
    </row>
    <row r="420" spans="1:46" x14ac:dyDescent="0.25">
      <c r="A420" s="107">
        <v>44311</v>
      </c>
      <c r="B420" s="126">
        <v>15012</v>
      </c>
      <c r="C420" s="126">
        <f t="shared" si="179"/>
        <v>2860884</v>
      </c>
      <c r="D420" s="126">
        <v>170</v>
      </c>
      <c r="E420" s="126">
        <f t="shared" si="180"/>
        <v>61580</v>
      </c>
      <c r="F420" s="126">
        <f t="shared" si="192"/>
        <v>21890</v>
      </c>
      <c r="G420" s="155">
        <v>2518167</v>
      </c>
      <c r="H420" s="197">
        <v>4942</v>
      </c>
      <c r="I420" s="4">
        <v>43550</v>
      </c>
      <c r="J420" s="4">
        <f t="shared" si="193"/>
        <v>10733477</v>
      </c>
      <c r="K420" s="611">
        <f t="shared" si="186"/>
        <v>2.1524815406706459E-2</v>
      </c>
      <c r="L420" s="7">
        <v>18157</v>
      </c>
      <c r="M420" s="4">
        <v>5905380</v>
      </c>
      <c r="N420" s="202">
        <f t="shared" si="202"/>
        <v>0.45778092514506119</v>
      </c>
      <c r="O420" s="202">
        <f>AVERAGE(N414:N420)</f>
        <v>0.27813537103617025</v>
      </c>
      <c r="P420" s="305" t="e">
        <f>B420/(B420+#REF!)</f>
        <v>#REF!</v>
      </c>
      <c r="Q420" s="4"/>
      <c r="R420" s="4">
        <f t="shared" si="194"/>
        <v>281137</v>
      </c>
      <c r="S420" s="39">
        <f t="shared" si="174"/>
        <v>84</v>
      </c>
      <c r="T420" s="91">
        <f t="shared" si="197"/>
        <v>-7048</v>
      </c>
      <c r="U420" s="91">
        <f>SUM(B407:B420)/POBLA!$B$25*100000</f>
        <v>723.4923648684279</v>
      </c>
      <c r="V420" s="91">
        <f>B420/POBLA!$B$25*100000</f>
        <v>33.080534905991186</v>
      </c>
      <c r="W420" s="625">
        <f t="shared" si="173"/>
        <v>1.4659522693277967</v>
      </c>
      <c r="X420" s="28">
        <f t="shared" si="203"/>
        <v>1.7578618253733944E-2</v>
      </c>
      <c r="Y420" s="202">
        <f t="shared" si="198"/>
        <v>0.28823018341920764</v>
      </c>
      <c r="Z420" s="297">
        <f t="shared" si="199"/>
        <v>23838.571428571428</v>
      </c>
      <c r="AA420" s="179">
        <f t="shared" si="200"/>
        <v>345.28571428571428</v>
      </c>
      <c r="AB420" s="357">
        <f t="shared" si="204"/>
        <v>452.73227213052576</v>
      </c>
      <c r="AC420" s="610">
        <f t="shared" si="190"/>
        <v>107.44655784481148</v>
      </c>
      <c r="AD420" s="610">
        <f t="shared" si="163"/>
        <v>23451.571428571428</v>
      </c>
      <c r="AE420" s="202">
        <f t="shared" si="187"/>
        <v>1.0335579614993931</v>
      </c>
      <c r="AF420" s="202">
        <f t="shared" si="182"/>
        <v>3.8632333382591977E-2</v>
      </c>
      <c r="AG420" s="202">
        <f t="shared" si="166"/>
        <v>-7.7150058400442645E-2</v>
      </c>
      <c r="AH420" s="202">
        <f t="shared" si="170"/>
        <v>1.6657477601654032</v>
      </c>
      <c r="AI420" s="592">
        <f t="shared" si="184"/>
        <v>3.3557961499393052E-2</v>
      </c>
      <c r="AJ420" s="544">
        <f t="shared" si="185"/>
        <v>1.6687379177022919E-2</v>
      </c>
      <c r="AK420" s="28">
        <f t="shared" si="191"/>
        <v>1.8257721294517512E-2</v>
      </c>
      <c r="AL420" s="202">
        <f t="shared" si="188"/>
        <v>1.2038976857490864</v>
      </c>
      <c r="AM420" s="202">
        <f t="shared" si="189"/>
        <v>1.6657477601654032</v>
      </c>
      <c r="AN420" s="18">
        <f t="shared" si="183"/>
        <v>44330</v>
      </c>
      <c r="AO420" s="388">
        <f t="shared" si="201"/>
        <v>1.6657477601654032</v>
      </c>
      <c r="AP420" s="644">
        <f t="shared" si="196"/>
        <v>1.4659522693277967</v>
      </c>
      <c r="AQ420" s="7">
        <f t="shared" si="171"/>
        <v>33171.285714285717</v>
      </c>
      <c r="AR420" s="297">
        <f t="shared" si="177"/>
        <v>339.58000000000004</v>
      </c>
      <c r="AS420" s="68">
        <f t="shared" si="178"/>
        <v>1.6657477601654032</v>
      </c>
      <c r="AT420" s="180">
        <f t="shared" si="181"/>
        <v>1.1140105960869237E-2</v>
      </c>
    </row>
    <row r="421" spans="1:46" ht="15.75" x14ac:dyDescent="0.25">
      <c r="A421" s="182">
        <v>44312</v>
      </c>
      <c r="B421" s="505">
        <v>18793</v>
      </c>
      <c r="C421" s="126">
        <f t="shared" si="179"/>
        <v>2879677</v>
      </c>
      <c r="D421" s="126">
        <v>443</v>
      </c>
      <c r="E421" s="126">
        <f t="shared" si="180"/>
        <v>62023</v>
      </c>
      <c r="F421" s="130">
        <f t="shared" si="192"/>
        <v>23837</v>
      </c>
      <c r="G421" s="155">
        <v>2542004</v>
      </c>
      <c r="H421" s="197">
        <v>5036</v>
      </c>
      <c r="I421" s="4">
        <v>67355</v>
      </c>
      <c r="J421" s="4">
        <f t="shared" si="193"/>
        <v>10800832</v>
      </c>
      <c r="K421" s="611">
        <f t="shared" si="186"/>
        <v>2.1538179455543104E-2</v>
      </c>
      <c r="L421" s="7">
        <v>18284</v>
      </c>
      <c r="M421" s="4">
        <v>5931513</v>
      </c>
      <c r="N421" s="202">
        <f t="shared" si="202"/>
        <v>0.41831010995859857</v>
      </c>
      <c r="O421" s="4"/>
      <c r="P421" s="4"/>
      <c r="Q421" s="4"/>
      <c r="R421" s="4">
        <f t="shared" ref="R421:R433" si="205">C421-E421-G421</f>
        <v>275650</v>
      </c>
      <c r="S421" s="39">
        <f t="shared" ref="S421:S433" si="206">H421-H420</f>
        <v>94</v>
      </c>
      <c r="T421" s="91">
        <f t="shared" si="197"/>
        <v>-5487</v>
      </c>
      <c r="U421" s="91">
        <f>SUM(B408:B421)/POBLA!$B$25*100000</f>
        <v>722.07324253433126</v>
      </c>
      <c r="V421" s="91">
        <f>B421/POBLA!$B$25*100000</f>
        <v>41.412369603536661</v>
      </c>
      <c r="W421" s="625">
        <f t="shared" si="173"/>
        <v>1.4284879767032277</v>
      </c>
      <c r="X421" s="28">
        <f t="shared" si="203"/>
        <v>1.8269544712497733E-2</v>
      </c>
      <c r="Y421" s="202">
        <f t="shared" si="198"/>
        <v>0.28502809701189963</v>
      </c>
      <c r="Z421" s="626">
        <f t="shared" si="199"/>
        <v>23600.285714285714</v>
      </c>
      <c r="AA421" s="543">
        <f t="shared" si="200"/>
        <v>373.14285714285717</v>
      </c>
      <c r="AB421" s="357">
        <f t="shared" si="204"/>
        <v>469.37616018994186</v>
      </c>
      <c r="AC421" s="610">
        <f t="shared" si="190"/>
        <v>96.233303047084689</v>
      </c>
      <c r="AD421" s="610">
        <f t="shared" si="163"/>
        <v>23405.571428571428</v>
      </c>
      <c r="AE421" s="202">
        <f t="shared" si="187"/>
        <v>1.0167778625766268</v>
      </c>
      <c r="AF421" s="202">
        <f t="shared" si="182"/>
        <v>2.5937822175740033E-2</v>
      </c>
      <c r="AG421" s="202">
        <f t="shared" si="166"/>
        <v>-8.1520942280435937E-2</v>
      </c>
      <c r="AH421" s="202">
        <f t="shared" si="170"/>
        <v>1.7184210526315791</v>
      </c>
      <c r="AI421" s="592">
        <f t="shared" si="184"/>
        <v>1.6777862576626834E-2</v>
      </c>
      <c r="AJ421" s="544">
        <f t="shared" si="185"/>
        <v>1.7301336018175677E-2</v>
      </c>
      <c r="AK421" s="28">
        <f t="shared" si="191"/>
        <v>1.8743416914482228E-2</v>
      </c>
      <c r="AL421" s="202">
        <f t="shared" si="188"/>
        <v>1.1700743494423791</v>
      </c>
      <c r="AM421" s="202">
        <f t="shared" si="189"/>
        <v>1.7184210526315791</v>
      </c>
      <c r="AN421" s="18">
        <f t="shared" si="183"/>
        <v>44331</v>
      </c>
      <c r="AO421" s="388">
        <f t="shared" si="201"/>
        <v>1.7184210526315788</v>
      </c>
      <c r="AP421" s="644">
        <f t="shared" si="196"/>
        <v>1.4284879767032277</v>
      </c>
      <c r="AQ421" s="7">
        <f t="shared" si="171"/>
        <v>33171.285714285717</v>
      </c>
      <c r="AR421" s="297">
        <f t="shared" si="177"/>
        <v>338.19200000000001</v>
      </c>
      <c r="AS421" s="68">
        <f t="shared" si="178"/>
        <v>1.7184210526315791</v>
      </c>
      <c r="AT421" s="180">
        <f t="shared" si="181"/>
        <v>1.1513294413856071E-2</v>
      </c>
    </row>
    <row r="422" spans="1:46" x14ac:dyDescent="0.25">
      <c r="A422" s="107">
        <v>44313</v>
      </c>
      <c r="B422" s="143">
        <v>25495</v>
      </c>
      <c r="C422" s="126">
        <f t="shared" si="179"/>
        <v>2905172</v>
      </c>
      <c r="D422" s="143">
        <v>516</v>
      </c>
      <c r="E422" s="126">
        <f t="shared" si="180"/>
        <v>62539</v>
      </c>
      <c r="F422" s="130">
        <f t="shared" si="192"/>
        <v>21219</v>
      </c>
      <c r="G422" s="155">
        <v>2563223</v>
      </c>
      <c r="H422" s="197">
        <v>5134</v>
      </c>
      <c r="I422" s="4">
        <v>62599</v>
      </c>
      <c r="J422" s="4">
        <f t="shared" si="193"/>
        <v>10863431</v>
      </c>
      <c r="K422" s="611">
        <f t="shared" si="186"/>
        <v>2.1526780514200192E-2</v>
      </c>
      <c r="L422" s="7">
        <v>18427</v>
      </c>
      <c r="M422" s="4">
        <v>5965896</v>
      </c>
      <c r="N422" s="202">
        <f t="shared" si="202"/>
        <v>0.42578242426266744</v>
      </c>
      <c r="O422" s="4"/>
      <c r="P422" s="4"/>
      <c r="Q422" s="4"/>
      <c r="R422" s="4">
        <f t="shared" si="205"/>
        <v>279410</v>
      </c>
      <c r="S422" s="39">
        <f t="shared" si="206"/>
        <v>98</v>
      </c>
      <c r="T422" s="91">
        <f t="shared" si="197"/>
        <v>3760</v>
      </c>
      <c r="U422" s="91">
        <f>SUM(B409:B422)/POBLA!$B$25*100000</f>
        <v>718.75461173440965</v>
      </c>
      <c r="V422" s="91">
        <f>B422/POBLA!$B$25*100000</f>
        <v>56.180937745020337</v>
      </c>
      <c r="W422" s="625">
        <f t="shared" si="173"/>
        <v>1.3246370337279427</v>
      </c>
      <c r="X422" s="28">
        <f t="shared" si="203"/>
        <v>1.8374431838516874E-2</v>
      </c>
      <c r="Y422" s="202">
        <f t="shared" si="198"/>
        <v>0.29762218386209516</v>
      </c>
      <c r="Z422" s="297">
        <f t="shared" si="199"/>
        <v>23078.857142857141</v>
      </c>
      <c r="AA422" s="542">
        <f t="shared" si="200"/>
        <v>401.71428571428572</v>
      </c>
      <c r="AB422" s="357">
        <f t="shared" si="204"/>
        <v>485.93712225114933</v>
      </c>
      <c r="AC422" s="610">
        <f t="shared" si="190"/>
        <v>84.22283653686361</v>
      </c>
      <c r="AD422" s="610">
        <f t="shared" si="163"/>
        <v>23298</v>
      </c>
      <c r="AE422" s="202">
        <f t="shared" si="187"/>
        <v>0.98136313935123298</v>
      </c>
      <c r="AF422" s="202">
        <f t="shared" si="182"/>
        <v>1.2208375597739352E-2</v>
      </c>
      <c r="AG422" s="202">
        <f t="shared" si="166"/>
        <v>-0.12523588951792763</v>
      </c>
      <c r="AH422" s="202">
        <f t="shared" si="170"/>
        <v>1.7368746139592341</v>
      </c>
      <c r="AI422" s="592">
        <f t="shared" si="184"/>
        <v>-1.8636860648767017E-2</v>
      </c>
      <c r="AJ422" s="544">
        <f t="shared" si="185"/>
        <v>1.8249193647826904E-2</v>
      </c>
      <c r="AK422" s="28">
        <f t="shared" si="191"/>
        <v>1.8598753803796553E-2</v>
      </c>
      <c r="AL422" s="202">
        <f t="shared" si="188"/>
        <v>1.1759047182775997</v>
      </c>
      <c r="AM422" s="202">
        <f t="shared" si="189"/>
        <v>1.7368746139592341</v>
      </c>
      <c r="AN422" s="18">
        <f t="shared" si="183"/>
        <v>44332</v>
      </c>
      <c r="AO422" s="388">
        <f t="shared" si="201"/>
        <v>1.7368746139592341</v>
      </c>
      <c r="AP422" s="644">
        <f t="shared" si="196"/>
        <v>1.3246370337279427</v>
      </c>
      <c r="AQ422" s="7">
        <f t="shared" si="171"/>
        <v>33171.285714285717</v>
      </c>
      <c r="AR422" s="297">
        <f t="shared" si="177"/>
        <v>381.05599999999998</v>
      </c>
      <c r="AS422" s="68">
        <f t="shared" si="178"/>
        <v>1.7368746139592341</v>
      </c>
      <c r="AT422" s="180">
        <f t="shared" si="181"/>
        <v>1.1889536101915099E-2</v>
      </c>
    </row>
    <row r="423" spans="1:46" x14ac:dyDescent="0.25">
      <c r="A423" s="376">
        <v>44314</v>
      </c>
      <c r="B423" s="140">
        <v>23718</v>
      </c>
      <c r="C423" s="140">
        <f t="shared" si="179"/>
        <v>2928890</v>
      </c>
      <c r="D423" s="140">
        <v>348</v>
      </c>
      <c r="E423" s="140">
        <f t="shared" si="180"/>
        <v>62887</v>
      </c>
      <c r="F423" s="500">
        <f t="shared" si="192"/>
        <v>18941</v>
      </c>
      <c r="G423" s="155">
        <v>2582164</v>
      </c>
      <c r="H423" s="197">
        <v>5178</v>
      </c>
      <c r="I423" s="4">
        <v>92172</v>
      </c>
      <c r="J423" s="4">
        <f t="shared" si="193"/>
        <v>10955603</v>
      </c>
      <c r="K423" s="611">
        <f t="shared" si="186"/>
        <v>2.1471274100427123E-2</v>
      </c>
      <c r="L423" s="7">
        <v>18521</v>
      </c>
      <c r="M423" s="4">
        <v>6004195</v>
      </c>
      <c r="N423" s="202">
        <f t="shared" si="202"/>
        <v>0.38244352354999434</v>
      </c>
      <c r="O423" s="4"/>
      <c r="P423" s="4"/>
      <c r="Q423" s="4"/>
      <c r="R423" s="4">
        <f t="shared" si="205"/>
        <v>283839</v>
      </c>
      <c r="S423" s="39">
        <f t="shared" si="206"/>
        <v>44</v>
      </c>
      <c r="T423" s="91">
        <f t="shared" si="197"/>
        <v>4429</v>
      </c>
      <c r="U423" s="91">
        <f>SUM(B410:B423)/POBLA!$B$25*100000</f>
        <v>715.58362254378073</v>
      </c>
      <c r="V423" s="91">
        <f>B423/POBLA!$B$25*100000</f>
        <v>52.265129689601586</v>
      </c>
      <c r="W423" s="625">
        <f t="shared" si="173"/>
        <v>1.2717869787260707</v>
      </c>
      <c r="X423" s="72">
        <f t="shared" si="203"/>
        <v>1.8242736199042413E-2</v>
      </c>
      <c r="Y423" s="262">
        <f t="shared" si="198"/>
        <v>0.29857139644872843</v>
      </c>
      <c r="Z423" s="590">
        <f t="shared" si="199"/>
        <v>22762.571428571428</v>
      </c>
      <c r="AA423" s="543">
        <f t="shared" si="200"/>
        <v>409.85714285714283</v>
      </c>
      <c r="AB423" s="357">
        <f t="shared" si="204"/>
        <v>494.29257935348318</v>
      </c>
      <c r="AC423" s="610">
        <f t="shared" si="190"/>
        <v>84.435436496340344</v>
      </c>
      <c r="AD423" s="610">
        <f t="shared" si="163"/>
        <v>23195.214285714286</v>
      </c>
      <c r="AE423" s="202">
        <f t="shared" si="187"/>
        <v>0.96337857855436981</v>
      </c>
      <c r="AF423" s="202">
        <f t="shared" si="182"/>
        <v>-3.5807188819731994E-3</v>
      </c>
      <c r="AG423" s="202">
        <f t="shared" si="166"/>
        <v>-8.5377140212864466E-2</v>
      </c>
      <c r="AH423" s="202">
        <f t="shared" si="170"/>
        <v>1.8605706874189365</v>
      </c>
      <c r="AI423" s="592">
        <f t="shared" si="184"/>
        <v>-3.6621421445630187E-2</v>
      </c>
      <c r="AJ423" s="544">
        <f t="shared" si="185"/>
        <v>1.8461439464624689E-2</v>
      </c>
      <c r="AK423" s="28">
        <f t="shared" si="191"/>
        <v>1.8177414089075649E-2</v>
      </c>
      <c r="AL423" s="202">
        <f t="shared" si="188"/>
        <v>1.1527159394479074</v>
      </c>
      <c r="AM423" s="202">
        <f t="shared" si="189"/>
        <v>1.8605706874189365</v>
      </c>
      <c r="AN423" s="18">
        <f t="shared" si="183"/>
        <v>44333</v>
      </c>
      <c r="AO423" s="388">
        <f t="shared" si="201"/>
        <v>1.8605706874189365</v>
      </c>
      <c r="AP423" s="644">
        <f t="shared" si="196"/>
        <v>1.2717869787260707</v>
      </c>
      <c r="AQ423" s="7">
        <f t="shared" si="171"/>
        <v>33171.285714285717</v>
      </c>
      <c r="AR423" s="297">
        <f t="shared" si="177"/>
        <v>404.988</v>
      </c>
      <c r="AS423" s="68">
        <f t="shared" si="178"/>
        <v>1.8605706874189365</v>
      </c>
      <c r="AT423" s="180">
        <f t="shared" si="181"/>
        <v>1.2004374223748473E-2</v>
      </c>
    </row>
    <row r="424" spans="1:46" x14ac:dyDescent="0.25">
      <c r="A424" s="107">
        <v>44315</v>
      </c>
      <c r="B424" s="126">
        <v>26053</v>
      </c>
      <c r="C424" s="126">
        <f t="shared" si="179"/>
        <v>2954943</v>
      </c>
      <c r="D424" s="126">
        <v>561</v>
      </c>
      <c r="E424" s="126">
        <f t="shared" si="180"/>
        <v>63448</v>
      </c>
      <c r="F424" s="130">
        <f t="shared" si="192"/>
        <v>25913</v>
      </c>
      <c r="G424" s="155">
        <v>2608077</v>
      </c>
      <c r="H424" s="197">
        <v>5317</v>
      </c>
      <c r="I424" s="4">
        <v>84085</v>
      </c>
      <c r="J424" s="4">
        <f t="shared" si="193"/>
        <v>11039688</v>
      </c>
      <c r="K424" s="611">
        <f t="shared" si="186"/>
        <v>2.1471818576534303E-2</v>
      </c>
      <c r="L424" s="7">
        <v>18709</v>
      </c>
      <c r="M424" s="4">
        <v>6039057</v>
      </c>
      <c r="N424" s="202">
        <f t="shared" si="202"/>
        <v>0.42769432816219322</v>
      </c>
      <c r="O424" s="4"/>
      <c r="P424" s="4"/>
      <c r="Q424" s="4"/>
      <c r="R424" s="4">
        <f t="shared" si="205"/>
        <v>283418</v>
      </c>
      <c r="S424" s="39">
        <f t="shared" si="206"/>
        <v>139</v>
      </c>
      <c r="T424" s="91">
        <f t="shared" si="197"/>
        <v>-421</v>
      </c>
      <c r="U424" s="91">
        <f>SUM(B411:B424)/POBLA!$B$25*100000</f>
        <v>717.90622338250409</v>
      </c>
      <c r="V424" s="91">
        <f>B424/POBLA!$B$25*100000</f>
        <v>57.410549953756224</v>
      </c>
      <c r="W424" s="625">
        <f t="shared" si="173"/>
        <v>1.225200729583874</v>
      </c>
      <c r="X424" s="28">
        <f t="shared" si="203"/>
        <v>1.8760276340952235E-2</v>
      </c>
      <c r="Y424" s="202">
        <f t="shared" si="198"/>
        <v>0.305103871303744</v>
      </c>
      <c r="Z424" s="590">
        <f t="shared" si="199"/>
        <v>22596.428571428572</v>
      </c>
      <c r="AA424" s="543">
        <f t="shared" si="200"/>
        <v>413.28571428571428</v>
      </c>
      <c r="AB424" s="357">
        <f t="shared" si="204"/>
        <v>497.00810531701319</v>
      </c>
      <c r="AC424" s="610">
        <f t="shared" si="190"/>
        <v>83.722391031298912</v>
      </c>
      <c r="AD424" s="610">
        <f t="shared" si="163"/>
        <v>23270.5</v>
      </c>
      <c r="AE424" s="202">
        <f t="shared" si="187"/>
        <v>0.94369734863852239</v>
      </c>
      <c r="AF424" s="202">
        <f t="shared" si="182"/>
        <v>-1.0481111654214059E-2</v>
      </c>
      <c r="AG424" s="202">
        <f t="shared" ref="AG424:AG455" si="207">B424/B417-1</f>
        <v>-4.2732216343327467E-2</v>
      </c>
      <c r="AH424" s="202">
        <f t="shared" si="170"/>
        <v>1.7057783018867925</v>
      </c>
      <c r="AI424" s="592">
        <f t="shared" si="184"/>
        <v>-5.6302651361477607E-2</v>
      </c>
      <c r="AJ424" s="544">
        <f t="shared" si="185"/>
        <v>1.799722545366321E-2</v>
      </c>
      <c r="AK424" s="28">
        <f t="shared" si="191"/>
        <v>1.8563647789958802E-2</v>
      </c>
      <c r="AL424" s="202">
        <f t="shared" si="188"/>
        <v>1.1097891880609476</v>
      </c>
      <c r="AM424" s="202">
        <f t="shared" si="189"/>
        <v>1.7057783018867925</v>
      </c>
      <c r="AN424" s="18">
        <f t="shared" si="183"/>
        <v>44334</v>
      </c>
      <c r="AO424" s="388">
        <f t="shared" si="201"/>
        <v>1.7057783018867925</v>
      </c>
      <c r="AP424" s="644">
        <f t="shared" si="196"/>
        <v>1.225200729583874</v>
      </c>
      <c r="AQ424" s="7">
        <f t="shared" si="171"/>
        <v>33171.285714285717</v>
      </c>
      <c r="AR424" s="297">
        <f t="shared" si="177"/>
        <v>442</v>
      </c>
      <c r="AS424" s="68">
        <f t="shared" si="178"/>
        <v>1.7057783018867925</v>
      </c>
      <c r="AT424" s="180">
        <f t="shared" si="181"/>
        <v>1.2398381170661773E-2</v>
      </c>
    </row>
    <row r="425" spans="1:46" x14ac:dyDescent="0.25">
      <c r="A425" s="504">
        <v>44316</v>
      </c>
      <c r="B425" s="126">
        <v>22420</v>
      </c>
      <c r="C425" s="126">
        <f t="shared" si="179"/>
        <v>2977363</v>
      </c>
      <c r="D425" s="126">
        <v>357</v>
      </c>
      <c r="E425" s="126">
        <f t="shared" si="180"/>
        <v>63805</v>
      </c>
      <c r="F425" s="126">
        <f t="shared" si="192"/>
        <v>26229</v>
      </c>
      <c r="G425" s="155">
        <v>2634306</v>
      </c>
      <c r="H425" s="197">
        <v>5369</v>
      </c>
      <c r="I425" s="4">
        <v>84215</v>
      </c>
      <c r="J425" s="4">
        <f t="shared" si="193"/>
        <v>11123903</v>
      </c>
      <c r="K425" s="611">
        <f t="shared" si="186"/>
        <v>2.1430037251084263E-2</v>
      </c>
      <c r="L425" s="7">
        <v>18842</v>
      </c>
      <c r="M425" s="4">
        <v>6074979</v>
      </c>
      <c r="N425" s="202">
        <f t="shared" si="202"/>
        <v>0.38428576325803021</v>
      </c>
      <c r="O425" s="4"/>
      <c r="P425" s="4"/>
      <c r="Q425" s="4"/>
      <c r="R425" s="4">
        <f t="shared" si="205"/>
        <v>279252</v>
      </c>
      <c r="S425" s="39">
        <f t="shared" si="206"/>
        <v>52</v>
      </c>
      <c r="T425" s="91">
        <f t="shared" ref="T425:T436" si="208">(C425-G425-E425)-(C424-E424-G424)</f>
        <v>-4166</v>
      </c>
      <c r="U425" s="91">
        <f>SUM(B412:B425)/POBLA!$B$25*100000</f>
        <v>702.36639310292446</v>
      </c>
      <c r="V425" s="91">
        <f>B425/POBLA!$B$25*100000</f>
        <v>49.40484896031991</v>
      </c>
      <c r="W425" s="625">
        <f t="shared" si="173"/>
        <v>1.1165075750941413</v>
      </c>
      <c r="X425" s="28">
        <f t="shared" si="203"/>
        <v>1.9226361852377066E-2</v>
      </c>
      <c r="Y425" s="202">
        <f t="shared" si="198"/>
        <v>0.29607491493548671</v>
      </c>
      <c r="Z425" s="590">
        <f t="shared" si="199"/>
        <v>21815.857142857141</v>
      </c>
      <c r="AA425" s="543">
        <f t="shared" si="200"/>
        <v>384.71428571428572</v>
      </c>
      <c r="AB425" s="357">
        <f t="shared" si="204"/>
        <v>509.77567554177779</v>
      </c>
      <c r="AC425" s="610">
        <f t="shared" si="190"/>
        <v>125.06138982749206</v>
      </c>
      <c r="AD425" s="610">
        <f t="shared" si="163"/>
        <v>22766.785714285714</v>
      </c>
      <c r="AE425" s="202">
        <f t="shared" si="187"/>
        <v>0.91981279814966499</v>
      </c>
      <c r="AF425" s="202">
        <f t="shared" si="182"/>
        <v>-3.3817026841875819E-2</v>
      </c>
      <c r="AG425" s="202">
        <f t="shared" si="207"/>
        <v>-0.19595466934442696</v>
      </c>
      <c r="AH425" s="202">
        <f t="shared" si="170"/>
        <v>1.2866698518872433</v>
      </c>
      <c r="AI425" s="592">
        <f t="shared" si="184"/>
        <v>-8.018720185033501E-2</v>
      </c>
      <c r="AJ425" s="544">
        <f t="shared" si="185"/>
        <v>1.6784358697887778E-2</v>
      </c>
      <c r="AK425" s="28">
        <f t="shared" si="191"/>
        <v>1.8576183457543614E-2</v>
      </c>
      <c r="AL425" s="202">
        <f t="shared" si="188"/>
        <v>1.1173777315296567</v>
      </c>
      <c r="AM425" s="202">
        <f t="shared" si="189"/>
        <v>1.2866698518872433</v>
      </c>
      <c r="AN425" s="18">
        <f t="shared" si="183"/>
        <v>44335</v>
      </c>
      <c r="AO425" s="388">
        <f t="shared" si="201"/>
        <v>1.2866698518872433</v>
      </c>
      <c r="AP425" s="644">
        <f t="shared" si="196"/>
        <v>1.1165075750941413</v>
      </c>
      <c r="AQ425" s="7">
        <f t="shared" si="171"/>
        <v>33171.285714285717</v>
      </c>
      <c r="AR425" s="297">
        <f t="shared" si="177"/>
        <v>498.91199999999998</v>
      </c>
      <c r="AS425" s="68">
        <f t="shared" si="178"/>
        <v>1.2866698518872433</v>
      </c>
      <c r="AT425" s="180">
        <f t="shared" si="181"/>
        <v>1.2643546493313096E-2</v>
      </c>
    </row>
    <row r="426" spans="1:46" x14ac:dyDescent="0.25">
      <c r="A426" s="504">
        <v>44317</v>
      </c>
      <c r="B426" s="126">
        <v>16502</v>
      </c>
      <c r="C426" s="126">
        <f t="shared" si="179"/>
        <v>2993865</v>
      </c>
      <c r="D426" s="126">
        <v>231</v>
      </c>
      <c r="E426" s="126">
        <f t="shared" si="180"/>
        <v>64036</v>
      </c>
      <c r="F426" s="126">
        <f t="shared" si="192"/>
        <v>21053</v>
      </c>
      <c r="G426" s="155">
        <v>2655359</v>
      </c>
      <c r="H426" s="197">
        <v>5370</v>
      </c>
      <c r="I426" s="4">
        <v>61497</v>
      </c>
      <c r="J426" s="4">
        <f t="shared" si="193"/>
        <v>11185400</v>
      </c>
      <c r="K426" s="611">
        <f t="shared" si="186"/>
        <v>2.1389073989642151E-2</v>
      </c>
      <c r="L426" s="7">
        <v>18961</v>
      </c>
      <c r="M426" s="4">
        <v>6102481</v>
      </c>
      <c r="N426" s="202">
        <f t="shared" si="202"/>
        <v>0.37501136260339968</v>
      </c>
      <c r="O426" s="4"/>
      <c r="P426" s="4"/>
      <c r="Q426" s="4"/>
      <c r="R426" s="4">
        <f t="shared" si="205"/>
        <v>274470</v>
      </c>
      <c r="S426" s="39">
        <f t="shared" si="206"/>
        <v>1</v>
      </c>
      <c r="T426" s="91">
        <f t="shared" si="208"/>
        <v>-4782</v>
      </c>
      <c r="U426" s="91">
        <f>SUM(B413:B426)/POBLA!$B$25*100000</f>
        <v>696.59955591607536</v>
      </c>
      <c r="V426" s="91">
        <f>B426/POBLA!$B$25*100000</f>
        <v>36.363908008171236</v>
      </c>
      <c r="W426" s="625">
        <f t="shared" si="173"/>
        <v>1.0744638183610347</v>
      </c>
      <c r="X426" s="28">
        <f t="shared" si="203"/>
        <v>1.9564979779210841E-2</v>
      </c>
      <c r="Y426" s="202">
        <f t="shared" si="198"/>
        <v>0.29869034235972497</v>
      </c>
      <c r="Z426" s="590">
        <f t="shared" ref="Z426:Z433" si="209">AVERAGE(B420:B426)</f>
        <v>21141.857142857141</v>
      </c>
      <c r="AA426" s="543">
        <f t="shared" si="200"/>
        <v>375.14285714285717</v>
      </c>
      <c r="AB426" s="357">
        <f t="shared" si="204"/>
        <v>505.8675289338388</v>
      </c>
      <c r="AC426" s="610">
        <f t="shared" si="190"/>
        <v>130.72467179098163</v>
      </c>
      <c r="AD426" s="610">
        <f t="shared" si="163"/>
        <v>22579.857142857141</v>
      </c>
      <c r="AE426" s="202">
        <f t="shared" si="187"/>
        <v>0.88025576208178435</v>
      </c>
      <c r="AF426" s="202">
        <f t="shared" si="182"/>
        <v>-4.759095719763351E-2</v>
      </c>
      <c r="AG426" s="202">
        <f t="shared" si="207"/>
        <v>-0.22233741753063152</v>
      </c>
      <c r="AH426" s="202">
        <f t="shared" si="170"/>
        <v>1.1358131487889274</v>
      </c>
      <c r="AI426" s="592">
        <f t="shared" si="184"/>
        <v>-0.11974423791821565</v>
      </c>
      <c r="AJ426" s="544">
        <f t="shared" si="185"/>
        <v>1.6264896068181257E-2</v>
      </c>
      <c r="AK426" s="28">
        <f t="shared" si="191"/>
        <v>1.8633863663965855E-2</v>
      </c>
      <c r="AL426" s="202">
        <f t="shared" si="188"/>
        <v>1.1053931659118978</v>
      </c>
      <c r="AM426" s="202">
        <f t="shared" si="189"/>
        <v>1.1358131487889274</v>
      </c>
      <c r="AN426" s="18">
        <f t="shared" si="183"/>
        <v>44336</v>
      </c>
      <c r="AO426" s="388">
        <f t="shared" si="201"/>
        <v>1.1358131487889274</v>
      </c>
      <c r="AP426" s="644">
        <f t="shared" si="196"/>
        <v>1.0744638183610347</v>
      </c>
      <c r="AQ426" s="7">
        <f t="shared" si="171"/>
        <v>33171.285714285717</v>
      </c>
      <c r="AR426" s="297">
        <f t="shared" si="177"/>
        <v>535.05200000000002</v>
      </c>
      <c r="AS426" s="68">
        <f t="shared" si="178"/>
        <v>1.1358131487889274</v>
      </c>
      <c r="AT426" s="180">
        <f t="shared" si="181"/>
        <v>1.2836695664859963E-2</v>
      </c>
    </row>
    <row r="427" spans="1:46" x14ac:dyDescent="0.25">
      <c r="A427" s="109">
        <v>44318</v>
      </c>
      <c r="B427" s="133">
        <v>11394</v>
      </c>
      <c r="C427" s="133">
        <f t="shared" si="179"/>
        <v>3005259</v>
      </c>
      <c r="D427" s="133">
        <v>156</v>
      </c>
      <c r="E427" s="133">
        <f t="shared" si="180"/>
        <v>64192</v>
      </c>
      <c r="F427" s="133">
        <f t="shared" si="192"/>
        <v>20838</v>
      </c>
      <c r="G427" s="156">
        <v>2676197</v>
      </c>
      <c r="H427" s="597">
        <v>5371</v>
      </c>
      <c r="I427" s="27">
        <v>35607</v>
      </c>
      <c r="J427" s="27">
        <f t="shared" si="193"/>
        <v>11221007</v>
      </c>
      <c r="K427" s="611">
        <f t="shared" si="186"/>
        <v>2.1359889447132512E-2</v>
      </c>
      <c r="L427" s="7">
        <v>18963</v>
      </c>
      <c r="M427" s="4">
        <v>6116726</v>
      </c>
      <c r="N427" s="202">
        <f t="shared" si="202"/>
        <v>0.44440110768750729</v>
      </c>
      <c r="O427" s="27"/>
      <c r="P427" s="27"/>
      <c r="Q427" s="27"/>
      <c r="R427" s="27">
        <f t="shared" si="205"/>
        <v>264870</v>
      </c>
      <c r="S427" s="67">
        <f t="shared" si="206"/>
        <v>1</v>
      </c>
      <c r="T427" s="121">
        <f t="shared" si="208"/>
        <v>-9600</v>
      </c>
      <c r="U427" s="91">
        <f>SUM(B414:B427)/POBLA!$B$25*100000</f>
        <v>685.86138334767043</v>
      </c>
      <c r="V427" s="91">
        <f>B427/POBLA!$B$25*100000</f>
        <v>25.107888004187558</v>
      </c>
      <c r="W427" s="625">
        <f t="shared" si="173"/>
        <v>1.0356812479618798</v>
      </c>
      <c r="X427" s="72">
        <f t="shared" si="203"/>
        <v>2.0277872163702949E-2</v>
      </c>
      <c r="Y427" s="262">
        <f t="shared" si="198"/>
        <v>0.29613562242323549</v>
      </c>
      <c r="Z427" s="599">
        <f t="shared" si="209"/>
        <v>20625</v>
      </c>
      <c r="AA427" s="598">
        <f t="shared" si="200"/>
        <v>373.14285714285717</v>
      </c>
      <c r="AB427" s="357">
        <f t="shared" si="204"/>
        <v>506.51898595499927</v>
      </c>
      <c r="AC427" s="610">
        <f t="shared" si="190"/>
        <v>133.3761288121421</v>
      </c>
      <c r="AD427" s="610">
        <f t="shared" si="163"/>
        <v>22231.785714285714</v>
      </c>
      <c r="AE427" s="262">
        <f t="shared" si="187"/>
        <v>0.86519446275543843</v>
      </c>
      <c r="AF427" s="262">
        <f t="shared" si="182"/>
        <v>-5.7861469674927224E-2</v>
      </c>
      <c r="AG427" s="202">
        <f t="shared" si="207"/>
        <v>-0.24100719424460426</v>
      </c>
      <c r="AH427" s="202">
        <f t="shared" si="170"/>
        <v>1.0806785270997106</v>
      </c>
      <c r="AI427" s="592">
        <f t="shared" ref="AI427:AI432" si="210">AE427-1</f>
        <v>-0.13480553724456157</v>
      </c>
      <c r="AJ427" s="544">
        <f t="shared" si="185"/>
        <v>1.6076220487948992E-2</v>
      </c>
      <c r="AK427" s="28">
        <f t="shared" si="191"/>
        <v>1.9104564678430802E-2</v>
      </c>
      <c r="AL427" s="202">
        <f t="shared" si="188"/>
        <v>1.0868069607446378</v>
      </c>
      <c r="AM427" s="202">
        <f t="shared" si="189"/>
        <v>1.0806785270997106</v>
      </c>
      <c r="AN427" s="18">
        <f t="shared" si="183"/>
        <v>44337</v>
      </c>
      <c r="AO427" s="388">
        <f t="shared" si="201"/>
        <v>1.0806785270997104</v>
      </c>
      <c r="AP427" s="644">
        <f t="shared" si="196"/>
        <v>1.0356812479618798</v>
      </c>
      <c r="AQ427" s="7">
        <f t="shared" ref="AQ427:AQ459" si="211">MAX(Z:Z)</f>
        <v>33171.285714285717</v>
      </c>
      <c r="AR427" s="297">
        <f t="shared" si="177"/>
        <v>556.28000000000009</v>
      </c>
      <c r="AS427" s="68">
        <f t="shared" si="178"/>
        <v>1.0806785270997106</v>
      </c>
      <c r="AT427" s="180">
        <f t="shared" si="181"/>
        <v>1.2923465368150278E-2</v>
      </c>
    </row>
    <row r="428" spans="1:46" ht="15.75" x14ac:dyDescent="0.25">
      <c r="A428" s="602">
        <v>44319</v>
      </c>
      <c r="B428" s="505">
        <v>15920</v>
      </c>
      <c r="C428" s="126">
        <f t="shared" si="179"/>
        <v>3021179</v>
      </c>
      <c r="D428" s="126">
        <v>540</v>
      </c>
      <c r="E428" s="126">
        <f t="shared" si="180"/>
        <v>64732</v>
      </c>
      <c r="F428" s="126">
        <f t="shared" si="192"/>
        <v>21875</v>
      </c>
      <c r="G428" s="155">
        <v>2698072</v>
      </c>
      <c r="H428" s="126">
        <v>5426</v>
      </c>
      <c r="I428" s="4">
        <v>84298</v>
      </c>
      <c r="J428" s="4">
        <f t="shared" si="193"/>
        <v>11305305</v>
      </c>
      <c r="K428" s="611">
        <f t="shared" si="186"/>
        <v>2.142607240418393E-2</v>
      </c>
      <c r="L428" s="7">
        <v>19033</v>
      </c>
      <c r="M428" s="4">
        <v>6153508</v>
      </c>
      <c r="N428" s="202">
        <f t="shared" si="202"/>
        <v>0.30207582254942889</v>
      </c>
      <c r="O428" s="4"/>
      <c r="P428" s="4"/>
      <c r="Q428" s="4"/>
      <c r="R428" s="4">
        <f t="shared" si="205"/>
        <v>258375</v>
      </c>
      <c r="S428" s="39">
        <f t="shared" si="206"/>
        <v>55</v>
      </c>
      <c r="T428" s="91">
        <f t="shared" si="208"/>
        <v>-6495</v>
      </c>
      <c r="U428" s="91">
        <f>SUM(B415:B428)/POBLA!$B$25*100000</f>
        <v>675.8548080074022</v>
      </c>
      <c r="V428" s="91">
        <f>B428/POBLA!$B$25*100000</f>
        <v>35.081409252823057</v>
      </c>
      <c r="W428" s="625">
        <f t="shared" si="173"/>
        <v>0.99800856447435216</v>
      </c>
      <c r="X428" s="28">
        <f t="shared" si="203"/>
        <v>2.1000483792936623E-2</v>
      </c>
      <c r="Y428" s="202">
        <f t="shared" si="198"/>
        <v>0.28049469446333103</v>
      </c>
      <c r="Z428" s="626">
        <f>AVERAGE(B422:B428)</f>
        <v>20214.571428571428</v>
      </c>
      <c r="AA428" s="543">
        <f t="shared" si="200"/>
        <v>387</v>
      </c>
      <c r="AB428" s="179">
        <f t="shared" si="204"/>
        <v>508.00992225542166</v>
      </c>
      <c r="AC428" s="179">
        <f t="shared" si="190"/>
        <v>121.00992225542166</v>
      </c>
      <c r="AD428" s="179">
        <f t="shared" si="163"/>
        <v>21907.428571428572</v>
      </c>
      <c r="AE428" s="202">
        <f t="shared" si="187"/>
        <v>0.856539267079091</v>
      </c>
      <c r="AF428" s="202">
        <f t="shared" si="182"/>
        <v>-6.2670052602938564E-2</v>
      </c>
      <c r="AG428" s="202">
        <f t="shared" si="207"/>
        <v>-0.15287607087745436</v>
      </c>
      <c r="AH428" s="202">
        <f t="shared" si="170"/>
        <v>1.037136294027565</v>
      </c>
      <c r="AI428" s="592">
        <f t="shared" si="210"/>
        <v>-0.143460732920909</v>
      </c>
      <c r="AJ428" s="544">
        <f t="shared" si="185"/>
        <v>1.6456080670635403E-2</v>
      </c>
      <c r="AK428" s="28">
        <f t="shared" si="191"/>
        <v>1.9684382368946127E-2</v>
      </c>
      <c r="AL428" s="202">
        <f t="shared" si="188"/>
        <v>1.0774424146147736</v>
      </c>
      <c r="AM428" s="202">
        <f t="shared" si="189"/>
        <v>1.037136294027565</v>
      </c>
      <c r="AN428" s="18">
        <f t="shared" si="183"/>
        <v>44338</v>
      </c>
      <c r="AO428" s="388">
        <f t="shared" si="201"/>
        <v>1.037136294027565</v>
      </c>
      <c r="AP428" s="644">
        <f t="shared" si="196"/>
        <v>0.99800856447435216</v>
      </c>
      <c r="AQ428" s="7">
        <f t="shared" si="211"/>
        <v>33171.285714285717</v>
      </c>
      <c r="AR428" s="297">
        <f t="shared" si="177"/>
        <v>579.36</v>
      </c>
      <c r="AS428" s="68">
        <f t="shared" si="178"/>
        <v>1.037136294027565</v>
      </c>
      <c r="AT428" s="180">
        <f t="shared" si="181"/>
        <v>1.3527967103798055E-2</v>
      </c>
    </row>
    <row r="429" spans="1:46" x14ac:dyDescent="0.25">
      <c r="A429" s="107">
        <v>44320</v>
      </c>
      <c r="B429" s="126">
        <v>26238</v>
      </c>
      <c r="C429" s="126">
        <f t="shared" si="179"/>
        <v>3047417</v>
      </c>
      <c r="D429" s="126">
        <v>412</v>
      </c>
      <c r="E429" s="126">
        <f t="shared" si="180"/>
        <v>65144</v>
      </c>
      <c r="F429" s="126">
        <f t="shared" si="192"/>
        <v>19386</v>
      </c>
      <c r="G429" s="155">
        <v>2717458</v>
      </c>
      <c r="H429" s="126">
        <v>5389</v>
      </c>
      <c r="I429" s="4">
        <v>105546</v>
      </c>
      <c r="J429" s="4">
        <f t="shared" si="193"/>
        <v>11410851</v>
      </c>
      <c r="K429" s="611">
        <f t="shared" si="186"/>
        <v>2.1376792214521347E-2</v>
      </c>
      <c r="L429" s="7">
        <v>19083</v>
      </c>
      <c r="M429" s="7">
        <v>6197459</v>
      </c>
      <c r="N429" s="202">
        <f t="shared" si="202"/>
        <v>0.3738192594281155</v>
      </c>
      <c r="O429" s="4"/>
      <c r="P429" s="4"/>
      <c r="Q429" s="4"/>
      <c r="R429" s="4">
        <f t="shared" si="205"/>
        <v>264815</v>
      </c>
      <c r="S429" s="39">
        <f t="shared" si="206"/>
        <v>-37</v>
      </c>
      <c r="T429" s="91">
        <f t="shared" si="208"/>
        <v>6440</v>
      </c>
      <c r="U429" s="91">
        <f>SUM(B416:B429)/POBLA!$B$25*100000</f>
        <v>669.4489250489878</v>
      </c>
      <c r="V429" s="91">
        <f>B429/POBLA!$B$25*100000</f>
        <v>57.818217083892677</v>
      </c>
      <c r="W429" s="625">
        <f t="shared" si="173"/>
        <v>0.96262884556276951</v>
      </c>
      <c r="X429" s="28">
        <f t="shared" ref="X429:X451" si="212">H429/R419</f>
        <v>1.8699793535402607E-2</v>
      </c>
      <c r="Y429" s="202">
        <f t="shared" ref="Y429:Y436" si="213">SUM(B423:B429)/SUM(I423:I429)</f>
        <v>0.25984618757078659</v>
      </c>
      <c r="Z429" s="590">
        <f t="shared" si="209"/>
        <v>20320.714285714286</v>
      </c>
      <c r="AA429" s="543">
        <f t="shared" si="200"/>
        <v>372.14285714285717</v>
      </c>
      <c r="AB429" s="179">
        <f t="shared" si="204"/>
        <v>511.95442205136698</v>
      </c>
      <c r="AC429" s="179">
        <f t="shared" si="190"/>
        <v>139.81156490850981</v>
      </c>
      <c r="AD429" s="179">
        <f t="shared" si="163"/>
        <v>21699.785714285714</v>
      </c>
      <c r="AE429" s="202">
        <f t="shared" si="187"/>
        <v>0.88049049222541353</v>
      </c>
      <c r="AF429" s="202">
        <f t="shared" si="182"/>
        <v>-5.2235066747789993E-2</v>
      </c>
      <c r="AG429" s="202">
        <f t="shared" si="207"/>
        <v>2.9142969209648983E-2</v>
      </c>
      <c r="AH429" s="202">
        <f t="shared" si="170"/>
        <v>0.92638691322901856</v>
      </c>
      <c r="AI429" s="592">
        <f t="shared" si="210"/>
        <v>-0.11950950777458647</v>
      </c>
      <c r="AJ429" s="544">
        <f t="shared" si="185"/>
        <v>1.5750173826294629E-2</v>
      </c>
      <c r="AK429" s="28">
        <f t="shared" si="191"/>
        <v>1.9287069181489567E-2</v>
      </c>
      <c r="AL429" s="202">
        <f t="shared" si="188"/>
        <v>1.0496688741721854</v>
      </c>
      <c r="AM429" s="202">
        <f t="shared" si="189"/>
        <v>0.92638691322901856</v>
      </c>
      <c r="AN429" s="18">
        <f t="shared" si="183"/>
        <v>44339</v>
      </c>
      <c r="AO429" s="388">
        <f t="shared" si="201"/>
        <v>0.92638691322901845</v>
      </c>
      <c r="AP429" s="644">
        <f t="shared" si="196"/>
        <v>0.96262884556276951</v>
      </c>
      <c r="AQ429" s="7">
        <f t="shared" si="211"/>
        <v>33171.285714285717</v>
      </c>
      <c r="AR429" s="297">
        <f t="shared" si="177"/>
        <v>603.88400000000001</v>
      </c>
      <c r="AS429" s="68">
        <f t="shared" si="178"/>
        <v>0.92638691322901856</v>
      </c>
      <c r="AT429" s="180">
        <f t="shared" si="181"/>
        <v>1.3678938716213633E-2</v>
      </c>
    </row>
    <row r="430" spans="1:46" x14ac:dyDescent="0.25">
      <c r="A430" s="107">
        <v>44321</v>
      </c>
      <c r="B430" s="126">
        <v>24079</v>
      </c>
      <c r="C430" s="126">
        <f t="shared" si="179"/>
        <v>3071496</v>
      </c>
      <c r="D430" s="126">
        <v>663</v>
      </c>
      <c r="E430" s="126">
        <f t="shared" ref="E430:E436" si="214">E429+D430</f>
        <v>65807</v>
      </c>
      <c r="F430" s="126">
        <f t="shared" si="192"/>
        <v>17007</v>
      </c>
      <c r="G430" s="155">
        <v>2734465</v>
      </c>
      <c r="H430" s="126">
        <v>5342</v>
      </c>
      <c r="I430" s="4">
        <v>67648</v>
      </c>
      <c r="J430" s="4">
        <f>11502946</f>
        <v>11502946</v>
      </c>
      <c r="K430" s="611">
        <f t="shared" si="186"/>
        <v>2.1425064528815926E-2</v>
      </c>
      <c r="L430" s="7">
        <v>19149</v>
      </c>
      <c r="M430" s="7">
        <v>6224395</v>
      </c>
      <c r="N430" s="202">
        <f t="shared" si="202"/>
        <v>0.47199843183377438</v>
      </c>
      <c r="O430" s="4"/>
      <c r="P430" s="4"/>
      <c r="Q430" s="4"/>
      <c r="R430" s="4">
        <f t="shared" si="205"/>
        <v>271224</v>
      </c>
      <c r="S430" s="39">
        <f t="shared" si="206"/>
        <v>-47</v>
      </c>
      <c r="T430" s="91">
        <f t="shared" si="208"/>
        <v>6409</v>
      </c>
      <c r="U430" s="91">
        <f>SUM(B417:B430)/POBLA!$B$25*100000</f>
        <v>665.36564292929688</v>
      </c>
      <c r="V430" s="91">
        <f>B430/POBLA!$B$25*100000</f>
        <v>53.060631494894871</v>
      </c>
      <c r="W430" s="625">
        <f t="shared" si="173"/>
        <v>0.94509897209249916</v>
      </c>
      <c r="X430" s="28">
        <f t="shared" si="212"/>
        <v>1.9001412122915163E-2</v>
      </c>
      <c r="Y430" s="202">
        <f t="shared" si="213"/>
        <v>0.27272344787491204</v>
      </c>
      <c r="Z430" s="590">
        <f t="shared" si="209"/>
        <v>20372.285714285714</v>
      </c>
      <c r="AA430" s="543">
        <f t="shared" si="200"/>
        <v>417.14285714285717</v>
      </c>
      <c r="AB430" s="179">
        <f t="shared" si="204"/>
        <v>512.03109022686704</v>
      </c>
      <c r="AC430" s="179">
        <f t="shared" si="190"/>
        <v>94.888233084009869</v>
      </c>
      <c r="AD430" s="179">
        <f t="shared" si="163"/>
        <v>21567.428571428572</v>
      </c>
      <c r="AE430" s="202">
        <f t="shared" si="187"/>
        <v>0.89499052329011286</v>
      </c>
      <c r="AF430" s="202">
        <f t="shared" si="182"/>
        <v>-4.4444209569509452E-2</v>
      </c>
      <c r="AG430" s="202">
        <f t="shared" si="207"/>
        <v>1.5220507631334756E-2</v>
      </c>
      <c r="AH430" s="202">
        <f t="shared" si="170"/>
        <v>1.0177762286510981</v>
      </c>
      <c r="AI430" s="592">
        <f t="shared" si="210"/>
        <v>-0.10500947670988714</v>
      </c>
      <c r="AJ430" s="544">
        <f t="shared" si="185"/>
        <v>1.7421187027181827E-2</v>
      </c>
      <c r="AK430" s="28">
        <f t="shared" si="191"/>
        <v>1.8820528539066159E-2</v>
      </c>
      <c r="AL430" s="202">
        <f t="shared" si="188"/>
        <v>1.0316724604094245</v>
      </c>
      <c r="AM430" s="202">
        <f t="shared" si="189"/>
        <v>1.0177762286510981</v>
      </c>
      <c r="AN430" s="18">
        <f t="shared" si="183"/>
        <v>44340</v>
      </c>
      <c r="AO430" s="388">
        <f t="shared" si="201"/>
        <v>1.0177762286510978</v>
      </c>
      <c r="AP430" s="644">
        <f t="shared" si="196"/>
        <v>0.94509897209249916</v>
      </c>
      <c r="AQ430" s="7">
        <f t="shared" si="211"/>
        <v>33171.285714285717</v>
      </c>
      <c r="AR430" s="297">
        <f t="shared" ref="AR430:AR459" si="215">Z409*0.028</f>
        <v>616.35599999999999</v>
      </c>
      <c r="AS430" s="68">
        <f t="shared" ref="AS430:AS454" si="216">AA430/AA423</f>
        <v>1.0177762286510981</v>
      </c>
      <c r="AT430" s="180">
        <f t="shared" si="181"/>
        <v>1.4053108587960628E-2</v>
      </c>
    </row>
    <row r="431" spans="1:46" x14ac:dyDescent="0.25">
      <c r="A431" s="107">
        <v>44322</v>
      </c>
      <c r="B431" s="126">
        <v>24086</v>
      </c>
      <c r="C431" s="126">
        <f t="shared" si="179"/>
        <v>3095582</v>
      </c>
      <c r="D431" s="126">
        <v>399</v>
      </c>
      <c r="E431" s="126">
        <f t="shared" si="214"/>
        <v>66206</v>
      </c>
      <c r="F431" s="126">
        <f t="shared" si="192"/>
        <v>22765</v>
      </c>
      <c r="G431" s="155">
        <v>2757230</v>
      </c>
      <c r="H431" s="126">
        <v>5299</v>
      </c>
      <c r="I431" s="4">
        <v>107412</v>
      </c>
      <c r="J431" s="4">
        <f>11610358</f>
        <v>11610358</v>
      </c>
      <c r="K431" s="611">
        <f t="shared" si="186"/>
        <v>2.1387254480740615E-2</v>
      </c>
      <c r="L431" s="7">
        <v>19235</v>
      </c>
      <c r="M431" s="7">
        <v>6266535</v>
      </c>
      <c r="N431" s="202">
        <f>B431/(B431+(M431-M430))</f>
        <v>0.36369401745538005</v>
      </c>
      <c r="O431" s="4"/>
      <c r="P431" s="4"/>
      <c r="Q431" s="4"/>
      <c r="R431" s="4">
        <f t="shared" si="205"/>
        <v>272146</v>
      </c>
      <c r="S431" s="39">
        <f t="shared" si="206"/>
        <v>-43</v>
      </c>
      <c r="T431" s="91">
        <f t="shared" si="208"/>
        <v>922</v>
      </c>
      <c r="U431" s="91">
        <f>SUM(B418:B431)/POBLA!$B$25*100000</f>
        <v>658.46835580860977</v>
      </c>
      <c r="V431" s="91">
        <f>B431/POBLA!$B$25*100000</f>
        <v>53.076056737656792</v>
      </c>
      <c r="W431" s="625">
        <f t="shared" si="173"/>
        <v>0.9250720550311593</v>
      </c>
      <c r="X431" s="28">
        <f t="shared" si="212"/>
        <v>1.9223653183384728E-2</v>
      </c>
      <c r="Y431" s="202">
        <f t="shared" si="213"/>
        <v>0.25747542670301321</v>
      </c>
      <c r="Z431" s="590">
        <f t="shared" si="209"/>
        <v>20091.285714285714</v>
      </c>
      <c r="AA431" s="543">
        <f t="shared" si="200"/>
        <v>394</v>
      </c>
      <c r="AB431" s="179">
        <f t="shared" si="204"/>
        <v>518.44254613079909</v>
      </c>
      <c r="AC431" s="179">
        <f t="shared" si="190"/>
        <v>124.44254613079909</v>
      </c>
      <c r="AD431" s="179">
        <f t="shared" si="163"/>
        <v>21343.857142857141</v>
      </c>
      <c r="AE431" s="202">
        <f t="shared" si="187"/>
        <v>0.88913545124071436</v>
      </c>
      <c r="AF431" s="202">
        <f t="shared" si="182"/>
        <v>-3.9771644708522347E-2</v>
      </c>
      <c r="AG431" s="202">
        <f t="shared" si="207"/>
        <v>-7.5499942425056643E-2</v>
      </c>
      <c r="AH431" s="202">
        <f t="shared" si="170"/>
        <v>0.95333563774628416</v>
      </c>
      <c r="AI431" s="592">
        <f t="shared" si="210"/>
        <v>-0.11086454875928564</v>
      </c>
      <c r="AJ431" s="544">
        <f t="shared" si="185"/>
        <v>1.6612056088276393E-2</v>
      </c>
      <c r="AK431" s="28">
        <f t="shared" si="191"/>
        <v>1.8696765907599375E-2</v>
      </c>
      <c r="AL431" s="202">
        <f t="shared" si="188"/>
        <v>0.99661463231145386</v>
      </c>
      <c r="AM431" s="202">
        <f t="shared" si="189"/>
        <v>0.95333563774628416</v>
      </c>
      <c r="AN431" s="18">
        <f t="shared" si="183"/>
        <v>44341</v>
      </c>
      <c r="AO431" s="388">
        <f t="shared" si="201"/>
        <v>0.95333563774628416</v>
      </c>
      <c r="AP431" s="644">
        <f t="shared" si="196"/>
        <v>0.9250720550311593</v>
      </c>
      <c r="AQ431" s="7">
        <f t="shared" si="211"/>
        <v>33171.285714285717</v>
      </c>
      <c r="AR431" s="297">
        <f t="shared" si="215"/>
        <v>621.62</v>
      </c>
      <c r="AS431" s="68">
        <f t="shared" si="216"/>
        <v>0.95333563774628416</v>
      </c>
      <c r="AT431" s="180">
        <f t="shared" si="181"/>
        <v>1.4338936384077369E-2</v>
      </c>
    </row>
    <row r="432" spans="1:46" x14ac:dyDescent="0.25">
      <c r="A432" s="107">
        <v>44323</v>
      </c>
      <c r="B432" s="126">
        <v>22552</v>
      </c>
      <c r="C432" s="126">
        <f t="shared" si="179"/>
        <v>3118134</v>
      </c>
      <c r="D432" s="126">
        <v>611</v>
      </c>
      <c r="E432" s="126">
        <f t="shared" si="214"/>
        <v>66817</v>
      </c>
      <c r="F432" s="126">
        <f t="shared" si="192"/>
        <v>20672</v>
      </c>
      <c r="G432" s="155">
        <v>2777902</v>
      </c>
      <c r="H432" s="126">
        <v>5268</v>
      </c>
      <c r="I432" s="4">
        <v>73565</v>
      </c>
      <c r="J432" s="4">
        <f>J431+I432</f>
        <v>11683923</v>
      </c>
      <c r="K432" s="611">
        <f t="shared" si="186"/>
        <v>2.1428521032130114E-2</v>
      </c>
      <c r="L432" s="7"/>
      <c r="M432" s="7"/>
      <c r="N432" s="202"/>
      <c r="O432" s="4"/>
      <c r="P432" s="4"/>
      <c r="Q432" s="4"/>
      <c r="R432" s="4">
        <f t="shared" si="205"/>
        <v>273415</v>
      </c>
      <c r="S432" s="39">
        <f t="shared" si="206"/>
        <v>-31</v>
      </c>
      <c r="T432" s="91">
        <f t="shared" si="208"/>
        <v>1269</v>
      </c>
      <c r="U432" s="91">
        <f>SUM(B419:B432)/POBLA!$B$25*100000</f>
        <v>646.71872803624478</v>
      </c>
      <c r="V432" s="91">
        <f>B432/POBLA!$B$25*100000</f>
        <v>49.695724966687543</v>
      </c>
      <c r="W432" s="625">
        <f t="shared" si="173"/>
        <v>0.89812743480908652</v>
      </c>
      <c r="X432" s="28">
        <f t="shared" si="212"/>
        <v>1.8854013814824093E-2</v>
      </c>
      <c r="Y432" s="202">
        <f t="shared" si="213"/>
        <v>0.26284185349149414</v>
      </c>
      <c r="Z432" s="590">
        <f t="shared" si="209"/>
        <v>20110.142857142859</v>
      </c>
      <c r="AA432" s="543">
        <f t="shared" si="200"/>
        <v>430.28571428571428</v>
      </c>
      <c r="AB432" s="179">
        <f t="shared" si="204"/>
        <v>513.13823983576435</v>
      </c>
      <c r="AC432" s="179">
        <f t="shared" si="190"/>
        <v>82.852525550050075</v>
      </c>
      <c r="AD432" s="179">
        <f t="shared" si="163"/>
        <v>20963</v>
      </c>
      <c r="AE432" s="202">
        <f t="shared" si="187"/>
        <v>0.9218130979431739</v>
      </c>
      <c r="AF432" s="202">
        <f t="shared" si="182"/>
        <v>-2.0902267485998327E-2</v>
      </c>
      <c r="AG432" s="202">
        <f t="shared" si="207"/>
        <v>5.8876003568242297E-3</v>
      </c>
      <c r="AH432" s="202">
        <f t="shared" si="170"/>
        <v>1.1184552543631636</v>
      </c>
      <c r="AI432" s="592">
        <f t="shared" si="210"/>
        <v>-7.8186902056826102E-2</v>
      </c>
      <c r="AJ432" s="544">
        <f t="shared" si="185"/>
        <v>1.7915241635687734E-2</v>
      </c>
      <c r="AK432" s="28">
        <f t="shared" si="191"/>
        <v>1.8864681363069916E-2</v>
      </c>
      <c r="AL432" s="202">
        <f t="shared" si="188"/>
        <v>0.98118830322220152</v>
      </c>
      <c r="AM432" s="202">
        <f t="shared" si="189"/>
        <v>1.1184552543631636</v>
      </c>
      <c r="AN432" s="18">
        <f t="shared" si="183"/>
        <v>44342</v>
      </c>
      <c r="AO432" s="388">
        <f t="shared" si="201"/>
        <v>1.1184552543631638</v>
      </c>
      <c r="AP432" s="644">
        <f t="shared" si="196"/>
        <v>0.89812743480908652</v>
      </c>
      <c r="AQ432" s="7">
        <f t="shared" si="211"/>
        <v>33171.285714285717</v>
      </c>
      <c r="AR432" s="297">
        <f t="shared" si="215"/>
        <v>642.98799999999994</v>
      </c>
      <c r="AS432" s="68">
        <f t="shared" si="216"/>
        <v>1.1184552543631636</v>
      </c>
      <c r="AT432" s="180">
        <f t="shared" si="181"/>
        <v>1.4944631219071169E-2</v>
      </c>
    </row>
    <row r="433" spans="1:46" x14ac:dyDescent="0.25">
      <c r="A433" s="109">
        <v>44324</v>
      </c>
      <c r="B433" s="133">
        <v>18024</v>
      </c>
      <c r="C433" s="133">
        <f t="shared" si="179"/>
        <v>3136158</v>
      </c>
      <c r="D433" s="133">
        <v>170</v>
      </c>
      <c r="E433" s="133">
        <f t="shared" si="214"/>
        <v>66987</v>
      </c>
      <c r="F433" s="133">
        <f t="shared" si="192"/>
        <v>20426</v>
      </c>
      <c r="G433" s="156">
        <v>2798328</v>
      </c>
      <c r="H433" s="133">
        <v>5285</v>
      </c>
      <c r="I433" s="27">
        <v>95679</v>
      </c>
      <c r="J433" s="27">
        <f>J432+I433</f>
        <v>11779602</v>
      </c>
      <c r="K433" s="611">
        <f t="shared" si="186"/>
        <v>2.1359574358179659E-2</v>
      </c>
      <c r="L433" s="7">
        <v>19442</v>
      </c>
      <c r="M433" s="7">
        <v>6343516</v>
      </c>
      <c r="N433" s="202">
        <f t="shared" ref="N433:N463" si="217">B433/(B433+(M433-M432))</f>
        <v>2.8332762192802372E-3</v>
      </c>
      <c r="O433" s="27"/>
      <c r="P433" s="27"/>
      <c r="Q433" s="27"/>
      <c r="R433" s="27">
        <f t="shared" si="205"/>
        <v>270843</v>
      </c>
      <c r="S433" s="67">
        <f t="shared" si="206"/>
        <v>17</v>
      </c>
      <c r="T433" s="121">
        <f t="shared" si="208"/>
        <v>-2572</v>
      </c>
      <c r="U433" s="91">
        <f>SUM(B420:B433)/POBLA!$B$25*100000</f>
        <v>639.67600291237397</v>
      </c>
      <c r="V433" s="91">
        <f>B433/POBLA!$B$25*100000</f>
        <v>39.717796505834343</v>
      </c>
      <c r="W433" s="625">
        <f t="shared" si="173"/>
        <v>0.88347759395201053</v>
      </c>
      <c r="X433" s="28">
        <f t="shared" si="212"/>
        <v>1.8619710469667664E-2</v>
      </c>
      <c r="Y433" s="262">
        <f t="shared" si="213"/>
        <v>0.24974418829145861</v>
      </c>
      <c r="Z433" s="590">
        <f t="shared" si="209"/>
        <v>20327.571428571428</v>
      </c>
      <c r="AA433" s="543">
        <f t="shared" si="200"/>
        <v>421.57142857142856</v>
      </c>
      <c r="AB433" s="179">
        <f t="shared" si="204"/>
        <v>518.27229304159039</v>
      </c>
      <c r="AC433" s="179">
        <f t="shared" si="190"/>
        <v>96.700864470161832</v>
      </c>
      <c r="AD433" s="179">
        <f t="shared" si="163"/>
        <v>20734.714285714286</v>
      </c>
      <c r="AE433" s="202">
        <f t="shared" si="187"/>
        <v>0.96148466481522776</v>
      </c>
      <c r="AF433" s="202">
        <f t="shared" si="182"/>
        <v>-1.3214558968193235E-2</v>
      </c>
      <c r="AG433" s="202">
        <f t="shared" si="207"/>
        <v>9.2231244697612347E-2</v>
      </c>
      <c r="AH433" s="202">
        <f t="shared" si="170"/>
        <v>1.1237623762376237</v>
      </c>
      <c r="AI433" s="592">
        <f t="shared" ref="AI433:AI442" si="218">AE433-1</f>
        <v>-3.8515335184772237E-2</v>
      </c>
      <c r="AJ433" s="544">
        <f t="shared" si="185"/>
        <v>1.7684425001498173E-2</v>
      </c>
      <c r="AK433" s="28">
        <f t="shared" si="191"/>
        <v>1.9255292017342513E-2</v>
      </c>
      <c r="AL433" s="202">
        <f t="shared" si="188"/>
        <v>0.98417132216014902</v>
      </c>
      <c r="AM433" s="202">
        <f t="shared" si="189"/>
        <v>1.1237623762376237</v>
      </c>
      <c r="AN433" s="18">
        <f t="shared" si="183"/>
        <v>44343</v>
      </c>
      <c r="AO433" s="388">
        <f t="shared" si="201"/>
        <v>1.1237623762376239</v>
      </c>
      <c r="AP433" s="646">
        <f t="shared" si="196"/>
        <v>0.88347759395201053</v>
      </c>
      <c r="AQ433" s="7">
        <f t="shared" si="211"/>
        <v>33171.285714285717</v>
      </c>
      <c r="AR433" s="297">
        <f t="shared" si="215"/>
        <v>641.78800000000001</v>
      </c>
      <c r="AS433" s="68">
        <f t="shared" si="216"/>
        <v>1.1237623762376237</v>
      </c>
      <c r="AT433" s="180">
        <f t="shared" si="181"/>
        <v>1.4891146983652044E-2</v>
      </c>
    </row>
    <row r="434" spans="1:46" x14ac:dyDescent="0.25">
      <c r="A434" s="107">
        <v>44325</v>
      </c>
      <c r="B434" s="126">
        <v>11582</v>
      </c>
      <c r="C434" s="126">
        <f t="shared" si="179"/>
        <v>3147740</v>
      </c>
      <c r="D434" s="126">
        <v>283</v>
      </c>
      <c r="E434" s="126">
        <f t="shared" si="214"/>
        <v>67270</v>
      </c>
      <c r="F434" s="126">
        <f t="shared" si="192"/>
        <v>18837</v>
      </c>
      <c r="G434" s="155">
        <v>2817165</v>
      </c>
      <c r="H434" s="126">
        <v>5294</v>
      </c>
      <c r="I434" s="4">
        <v>41883</v>
      </c>
      <c r="J434" s="4">
        <f>J433+I434</f>
        <v>11821485</v>
      </c>
      <c r="K434" s="623">
        <f t="shared" si="186"/>
        <v>2.1370888319873941E-2</v>
      </c>
      <c r="L434" s="7">
        <v>19523</v>
      </c>
      <c r="M434" s="7">
        <v>6378518</v>
      </c>
      <c r="N434" s="202">
        <f t="shared" si="217"/>
        <v>0.24862613772969261</v>
      </c>
      <c r="O434" s="4"/>
      <c r="P434" s="4"/>
      <c r="Q434" s="4"/>
      <c r="R434" s="4">
        <f t="shared" ref="R434:R442" si="219">C434-E434-G434</f>
        <v>263305</v>
      </c>
      <c r="S434" s="39">
        <f t="shared" ref="S434:S442" si="220">H434-H433</f>
        <v>9</v>
      </c>
      <c r="T434" s="91">
        <f t="shared" si="208"/>
        <v>-7538</v>
      </c>
      <c r="U434" s="91">
        <f>SUM(B421:B434)/POBLA!$B$25*100000</f>
        <v>632.11763395903336</v>
      </c>
      <c r="V434" s="91">
        <f>B434/POBLA!$B$25*100000</f>
        <v>25.522165952650543</v>
      </c>
      <c r="W434" s="625">
        <f t="shared" si="173"/>
        <v>0.87370325473163546</v>
      </c>
      <c r="X434" s="28">
        <f t="shared" si="212"/>
        <v>1.8679124120556917E-2</v>
      </c>
      <c r="Y434" s="202">
        <f t="shared" si="213"/>
        <v>0.24734953500766452</v>
      </c>
      <c r="Z434" s="590">
        <f t="shared" ref="Z434:Z442" si="221">AVERAGE(B428:B434)</f>
        <v>20354.428571428572</v>
      </c>
      <c r="AA434" s="543">
        <f t="shared" si="200"/>
        <v>439.71428571428572</v>
      </c>
      <c r="AB434" s="179">
        <f t="shared" si="204"/>
        <v>513.12084955958665</v>
      </c>
      <c r="AC434" s="179">
        <f t="shared" si="190"/>
        <v>73.406563845300923</v>
      </c>
      <c r="AD434" s="179">
        <f t="shared" si="163"/>
        <v>20489.714285714286</v>
      </c>
      <c r="AE434" s="202">
        <f t="shared" si="187"/>
        <v>0.98688138528138536</v>
      </c>
      <c r="AF434" s="202">
        <f t="shared" si="182"/>
        <v>-5.9085589156945284E-3</v>
      </c>
      <c r="AG434" s="202">
        <f t="shared" si="207"/>
        <v>1.6499912234509306E-2</v>
      </c>
      <c r="AH434" s="202">
        <f t="shared" si="170"/>
        <v>1.1784073506891271</v>
      </c>
      <c r="AI434" s="592">
        <f t="shared" si="218"/>
        <v>-1.3118614718614641E-2</v>
      </c>
      <c r="AJ434" s="544">
        <f t="shared" si="185"/>
        <v>1.8631735693272478E-2</v>
      </c>
      <c r="AK434" s="28">
        <f t="shared" si="191"/>
        <v>1.9987163514176766E-2</v>
      </c>
      <c r="AL434" s="202">
        <f t="shared" si="188"/>
        <v>0.98566374976726867</v>
      </c>
      <c r="AM434" s="202">
        <f t="shared" si="189"/>
        <v>1.1784073506891271</v>
      </c>
      <c r="AN434" s="18">
        <f t="shared" ref="AN434:AN459" si="222">A433+20</f>
        <v>44344</v>
      </c>
      <c r="AO434" s="388">
        <f t="shared" si="201"/>
        <v>1.1784073506891271</v>
      </c>
      <c r="AP434" s="646">
        <f t="shared" si="196"/>
        <v>0.87370325473163546</v>
      </c>
      <c r="AQ434" s="7">
        <f t="shared" si="211"/>
        <v>33171.285714285717</v>
      </c>
      <c r="AR434" s="297">
        <f t="shared" si="215"/>
        <v>645.80799999999999</v>
      </c>
      <c r="AS434" s="68">
        <f t="shared" si="216"/>
        <v>1.1784073506891271</v>
      </c>
      <c r="AT434" s="180">
        <f t="shared" si="181"/>
        <v>1.5263310964378426E-2</v>
      </c>
    </row>
    <row r="435" spans="1:46" ht="15.75" x14ac:dyDescent="0.25">
      <c r="A435" s="107">
        <v>44326</v>
      </c>
      <c r="B435" s="126">
        <v>17381</v>
      </c>
      <c r="C435" s="126">
        <f t="shared" si="179"/>
        <v>3165121</v>
      </c>
      <c r="D435" s="126">
        <v>496</v>
      </c>
      <c r="E435" s="126">
        <f t="shared" si="214"/>
        <v>67766</v>
      </c>
      <c r="F435" s="126">
        <f t="shared" si="192"/>
        <v>19893</v>
      </c>
      <c r="G435" s="155">
        <v>2837058</v>
      </c>
      <c r="H435" s="126">
        <v>5357</v>
      </c>
      <c r="I435" s="4">
        <v>69879</v>
      </c>
      <c r="J435" s="4">
        <f>J434+I435</f>
        <v>11891364</v>
      </c>
      <c r="K435" s="623">
        <f t="shared" si="186"/>
        <v>2.1410239924476823E-2</v>
      </c>
      <c r="L435" s="7">
        <v>19621</v>
      </c>
      <c r="M435" s="7">
        <v>6389191</v>
      </c>
      <c r="N435" s="202">
        <f t="shared" si="217"/>
        <v>0.61955514365152919</v>
      </c>
      <c r="O435" s="4"/>
      <c r="P435" s="4"/>
      <c r="Q435" s="4"/>
      <c r="R435" s="4">
        <f t="shared" si="219"/>
        <v>260297</v>
      </c>
      <c r="S435" s="39">
        <f t="shared" si="220"/>
        <v>63</v>
      </c>
      <c r="T435" s="91">
        <f t="shared" si="208"/>
        <v>-3008</v>
      </c>
      <c r="U435" s="91">
        <f>SUM(B422:B435)/POBLA!$B$25*100000</f>
        <v>629.00614213334325</v>
      </c>
      <c r="V435" s="91">
        <f>B435/POBLA!$B$25*100000</f>
        <v>38.30087777784658</v>
      </c>
      <c r="W435" s="625">
        <f t="shared" si="173"/>
        <v>0.87111127387252119</v>
      </c>
      <c r="X435" s="28">
        <f t="shared" si="212"/>
        <v>1.9183389913053444E-2</v>
      </c>
      <c r="Y435" s="202">
        <f t="shared" si="213"/>
        <v>0.2563015035291269</v>
      </c>
      <c r="Z435" s="626">
        <f t="shared" si="221"/>
        <v>20563.142857142859</v>
      </c>
      <c r="AA435" s="543">
        <f t="shared" si="200"/>
        <v>433.42857142857144</v>
      </c>
      <c r="AB435" s="179">
        <f t="shared" si="204"/>
        <v>508.30718891637599</v>
      </c>
      <c r="AC435" s="179">
        <f t="shared" si="190"/>
        <v>74.878617487804547</v>
      </c>
      <c r="AD435" s="179">
        <f t="shared" si="163"/>
        <v>20388.857142857141</v>
      </c>
      <c r="AE435" s="202">
        <f t="shared" si="187"/>
        <v>1.0172435725290103</v>
      </c>
      <c r="AF435" s="202">
        <f t="shared" si="182"/>
        <v>7.4388001935172809E-3</v>
      </c>
      <c r="AG435" s="202">
        <f t="shared" si="207"/>
        <v>9.1771356783919567E-2</v>
      </c>
      <c r="AH435" s="388">
        <f t="shared" si="170"/>
        <v>1.1199704688076781</v>
      </c>
      <c r="AI435" s="592">
        <f t="shared" si="218"/>
        <v>1.724357252901032E-2</v>
      </c>
      <c r="AJ435" s="544">
        <f t="shared" ref="AJ435:AJ459" si="223">AA435/Z422</f>
        <v>1.8780330791324157E-2</v>
      </c>
      <c r="AK435" s="28">
        <f t="shared" si="191"/>
        <v>2.0733430091920659E-2</v>
      </c>
      <c r="AL435" s="202">
        <f t="shared" si="188"/>
        <v>0.98728345005528939</v>
      </c>
      <c r="AM435" s="202">
        <f t="shared" si="189"/>
        <v>1.1199704688076781</v>
      </c>
      <c r="AN435" s="18">
        <f t="shared" si="222"/>
        <v>44345</v>
      </c>
      <c r="AO435" s="388">
        <f t="shared" si="201"/>
        <v>1.1199704688076781</v>
      </c>
      <c r="AP435" s="646">
        <f t="shared" si="196"/>
        <v>0.87111127387252119</v>
      </c>
      <c r="AQ435" s="7">
        <f t="shared" si="211"/>
        <v>33171.285714285717</v>
      </c>
      <c r="AR435" s="297">
        <f t="shared" si="215"/>
        <v>649.904</v>
      </c>
      <c r="AS435" s="68">
        <f t="shared" si="216"/>
        <v>1.1199704688076781</v>
      </c>
      <c r="AT435" s="180">
        <f t="shared" si="181"/>
        <v>1.5723479170943827E-2</v>
      </c>
    </row>
    <row r="436" spans="1:46" x14ac:dyDescent="0.25">
      <c r="A436" s="107">
        <v>44327</v>
      </c>
      <c r="B436" s="126">
        <v>25976</v>
      </c>
      <c r="C436" s="126">
        <f t="shared" si="179"/>
        <v>3191097</v>
      </c>
      <c r="D436" s="126">
        <v>490</v>
      </c>
      <c r="E436" s="126">
        <f t="shared" si="214"/>
        <v>68256</v>
      </c>
      <c r="F436" s="126">
        <f t="shared" si="192"/>
        <v>17306</v>
      </c>
      <c r="G436" s="155">
        <v>2854364</v>
      </c>
      <c r="H436" s="126">
        <v>5375</v>
      </c>
      <c r="I436" s="4">
        <v>92595</v>
      </c>
      <c r="J436" s="4">
        <f>J435+I436</f>
        <v>11983959</v>
      </c>
      <c r="K436" s="623">
        <f t="shared" ref="K436:K446" si="224">E436/C436</f>
        <v>2.138950962631346E-2</v>
      </c>
      <c r="L436" s="30">
        <v>19688</v>
      </c>
      <c r="M436" s="30">
        <v>6427584</v>
      </c>
      <c r="N436" s="202">
        <f t="shared" si="217"/>
        <v>0.40354829187963148</v>
      </c>
      <c r="O436" s="4"/>
      <c r="P436" s="4"/>
      <c r="Q436" s="4"/>
      <c r="R436" s="4">
        <f t="shared" si="219"/>
        <v>268477</v>
      </c>
      <c r="S436" s="39">
        <f t="shared" si="220"/>
        <v>18</v>
      </c>
      <c r="T436" s="91">
        <f t="shared" si="208"/>
        <v>8180</v>
      </c>
      <c r="U436" s="91">
        <f>SUM(B423:B436)/POBLA!$B$25*100000</f>
        <v>630.06607667169806</v>
      </c>
      <c r="V436" s="91">
        <f>B436/POBLA!$B$25*100000</f>
        <v>57.240872283375104</v>
      </c>
      <c r="W436" s="625">
        <f t="shared" si="173"/>
        <v>0.87660804728793396</v>
      </c>
      <c r="X436" s="28">
        <f t="shared" si="212"/>
        <v>1.9583196706379567E-2</v>
      </c>
      <c r="Y436" s="202">
        <f t="shared" si="213"/>
        <v>0.26187390756769663</v>
      </c>
      <c r="Z436" s="590">
        <f t="shared" si="221"/>
        <v>20525.714285714286</v>
      </c>
      <c r="AA436" s="543">
        <f t="shared" si="200"/>
        <v>444.57142857142856</v>
      </c>
      <c r="AB436" s="179">
        <f t="shared" si="204"/>
        <v>496.81349223286702</v>
      </c>
      <c r="AC436" s="179">
        <f t="shared" si="190"/>
        <v>52.242063661438465</v>
      </c>
      <c r="AD436" s="179">
        <f t="shared" si="163"/>
        <v>20423.214285714286</v>
      </c>
      <c r="AE436" s="202">
        <f t="shared" si="187"/>
        <v>1.0100882280572252</v>
      </c>
      <c r="AF436" s="202">
        <f t="shared" si="182"/>
        <v>1.382852179823657E-2</v>
      </c>
      <c r="AG436" s="202">
        <f t="shared" si="207"/>
        <v>-9.9855171888101335E-3</v>
      </c>
      <c r="AH436" s="388">
        <f t="shared" si="170"/>
        <v>1.1946257197696737</v>
      </c>
      <c r="AI436" s="592">
        <f t="shared" si="218"/>
        <v>1.0088228057225201E-2</v>
      </c>
      <c r="AJ436" s="544">
        <f t="shared" si="223"/>
        <v>1.9530808721083485E-2</v>
      </c>
      <c r="AK436" s="28">
        <f t="shared" si="191"/>
        <v>2.0297188603364612E-2</v>
      </c>
      <c r="AL436" s="202">
        <f t="shared" si="188"/>
        <v>0.99740211542030066</v>
      </c>
      <c r="AM436" s="202">
        <f t="shared" si="189"/>
        <v>1.1946257197696737</v>
      </c>
      <c r="AN436" s="18">
        <f t="shared" si="222"/>
        <v>44346</v>
      </c>
      <c r="AO436" s="388">
        <f t="shared" si="201"/>
        <v>1.1946257197696737</v>
      </c>
      <c r="AP436" s="646">
        <f t="shared" si="196"/>
        <v>0.87660804728793396</v>
      </c>
      <c r="AQ436" s="7">
        <f t="shared" si="211"/>
        <v>33171.285714285717</v>
      </c>
      <c r="AR436" s="297">
        <f t="shared" si="215"/>
        <v>658.48</v>
      </c>
      <c r="AS436" s="68">
        <f t="shared" si="216"/>
        <v>1.1946257197696737</v>
      </c>
      <c r="AT436" s="180">
        <f t="shared" si="181"/>
        <v>1.6011297804976198E-2</v>
      </c>
    </row>
    <row r="437" spans="1:46" ht="15.75" x14ac:dyDescent="0.25">
      <c r="A437" s="601">
        <v>44328</v>
      </c>
      <c r="B437" s="627">
        <v>24475</v>
      </c>
      <c r="C437" s="126">
        <v>3215572</v>
      </c>
      <c r="D437" s="126">
        <v>496</v>
      </c>
      <c r="E437" s="126">
        <v>68806</v>
      </c>
      <c r="F437" s="126">
        <v>14977</v>
      </c>
      <c r="G437" s="155">
        <v>2869341</v>
      </c>
      <c r="H437" s="126">
        <v>5394</v>
      </c>
      <c r="I437" s="4">
        <v>82575</v>
      </c>
      <c r="J437" s="4">
        <v>12066534</v>
      </c>
      <c r="K437" s="623">
        <f t="shared" si="224"/>
        <v>2.1397748207783871E-2</v>
      </c>
      <c r="L437" s="7">
        <v>19819</v>
      </c>
      <c r="M437" s="7">
        <v>6460852</v>
      </c>
      <c r="N437" s="202">
        <f t="shared" si="217"/>
        <v>0.42386090088841938</v>
      </c>
      <c r="O437" s="4"/>
      <c r="P437" s="4"/>
      <c r="Q437" s="4"/>
      <c r="R437" s="4">
        <f t="shared" si="219"/>
        <v>277425</v>
      </c>
      <c r="S437" s="39">
        <f t="shared" si="220"/>
        <v>19</v>
      </c>
      <c r="T437" s="91">
        <f t="shared" ref="T437:T442" si="225">(C437-G437-E437)-(C436-E436-G436)</f>
        <v>8948</v>
      </c>
      <c r="U437" s="91">
        <f>SUM(B424:B437)/POBLA!$B$25*100000</f>
        <v>631.7342064960942</v>
      </c>
      <c r="V437" s="91">
        <f>B437/POBLA!$B$25*100000</f>
        <v>53.933259513997754</v>
      </c>
      <c r="W437" s="625">
        <f t="shared" si="173"/>
        <v>0.88282373519168056</v>
      </c>
      <c r="X437" s="28">
        <f t="shared" si="212"/>
        <v>2.0364707214860119E-2</v>
      </c>
      <c r="Y437" s="202">
        <f t="shared" ref="Y437:Y442" si="226">SUM(B431:B437)/SUM(I431:I437)</f>
        <v>0.25564064529408009</v>
      </c>
      <c r="Z437" s="590">
        <f t="shared" si="221"/>
        <v>20582.285714285714</v>
      </c>
      <c r="AA437" s="543">
        <f t="shared" si="200"/>
        <v>420.71428571428572</v>
      </c>
      <c r="AB437" s="179">
        <f t="shared" si="204"/>
        <v>488.74141037340814</v>
      </c>
      <c r="AC437" s="179">
        <f t="shared" si="190"/>
        <v>68.027124659122421</v>
      </c>
      <c r="AD437" s="179">
        <f t="shared" si="163"/>
        <v>20477.285714285714</v>
      </c>
      <c r="AE437" s="202">
        <f t="shared" si="187"/>
        <v>1.0103081216779097</v>
      </c>
      <c r="AF437" s="202">
        <f t="shared" si="182"/>
        <v>2.2863020971595427E-2</v>
      </c>
      <c r="AG437" s="202">
        <f t="shared" si="207"/>
        <v>1.6445865692096939E-2</v>
      </c>
      <c r="AH437" s="388">
        <f t="shared" si="170"/>
        <v>1.0085616438356164</v>
      </c>
      <c r="AI437" s="592">
        <f t="shared" si="218"/>
        <v>1.0308121677909732E-2</v>
      </c>
      <c r="AJ437" s="544">
        <f t="shared" si="223"/>
        <v>1.8618618618618618E-2</v>
      </c>
      <c r="AK437" s="28">
        <f t="shared" si="191"/>
        <v>1.988762056455181E-2</v>
      </c>
      <c r="AL437" s="202">
        <f t="shared" si="188"/>
        <v>1.0097341819543242</v>
      </c>
      <c r="AM437" s="202">
        <f t="shared" si="189"/>
        <v>1.0085616438356164</v>
      </c>
      <c r="AN437" s="18">
        <f t="shared" si="222"/>
        <v>44347</v>
      </c>
      <c r="AO437" s="388">
        <f t="shared" si="201"/>
        <v>1.0085616438356164</v>
      </c>
      <c r="AP437" s="646">
        <f t="shared" si="196"/>
        <v>0.88282373519168056</v>
      </c>
      <c r="AQ437" s="7">
        <f t="shared" si="211"/>
        <v>33171.285714285717</v>
      </c>
      <c r="AR437" s="297">
        <f t="shared" si="215"/>
        <v>661.57999999999993</v>
      </c>
      <c r="AS437" s="68">
        <f t="shared" si="216"/>
        <v>1.0085616438356164</v>
      </c>
      <c r="AT437" s="180">
        <f t="shared" si="181"/>
        <v>1.6367453166418765E-2</v>
      </c>
    </row>
    <row r="438" spans="1:46" x14ac:dyDescent="0.25">
      <c r="A438" s="182">
        <v>44329</v>
      </c>
      <c r="B438" s="126">
        <v>26531</v>
      </c>
      <c r="C438" s="126">
        <v>3242103</v>
      </c>
      <c r="D438" s="126">
        <v>448</v>
      </c>
      <c r="E438" s="126">
        <v>69254</v>
      </c>
      <c r="F438" s="126">
        <v>22094</v>
      </c>
      <c r="G438" s="155">
        <v>2891435</v>
      </c>
      <c r="H438" s="126">
        <v>5420</v>
      </c>
      <c r="I438" s="4">
        <v>75714</v>
      </c>
      <c r="J438" s="4">
        <v>12142248</v>
      </c>
      <c r="K438" s="623">
        <f t="shared" si="224"/>
        <v>2.1360826599278307E-2</v>
      </c>
      <c r="L438" s="7">
        <v>19960</v>
      </c>
      <c r="M438" s="7">
        <v>6489454</v>
      </c>
      <c r="N438" s="202">
        <f t="shared" si="217"/>
        <v>0.48121814521248618</v>
      </c>
      <c r="O438" s="4"/>
      <c r="P438" s="4"/>
      <c r="Q438" s="4"/>
      <c r="R438" s="4">
        <f t="shared" si="219"/>
        <v>281414</v>
      </c>
      <c r="S438" s="39">
        <f t="shared" si="220"/>
        <v>26</v>
      </c>
      <c r="T438" s="91">
        <f t="shared" si="225"/>
        <v>3989</v>
      </c>
      <c r="U438" s="91">
        <f>SUM(B425:B438)/POBLA!$B$25*100000</f>
        <v>632.78753021612238</v>
      </c>
      <c r="V438" s="91">
        <f>B438/POBLA!$B$25*100000</f>
        <v>58.463873673784448</v>
      </c>
      <c r="W438" s="625">
        <f t="shared" si="173"/>
        <v>0.8814348024936538</v>
      </c>
      <c r="X438" s="28">
        <f t="shared" si="212"/>
        <v>2.0977261731978714E-2</v>
      </c>
      <c r="Y438" s="202">
        <f t="shared" si="226"/>
        <v>0.27547237210701458</v>
      </c>
      <c r="Z438" s="590">
        <f t="shared" si="221"/>
        <v>20931.571428571428</v>
      </c>
      <c r="AA438" s="543">
        <f t="shared" si="200"/>
        <v>427.71428571428572</v>
      </c>
      <c r="AB438" s="179">
        <f t="shared" si="204"/>
        <v>485.1864147633305</v>
      </c>
      <c r="AC438" s="179">
        <f t="shared" si="190"/>
        <v>57.472129049044781</v>
      </c>
      <c r="AD438" s="179">
        <f t="shared" si="163"/>
        <v>20511.428571428572</v>
      </c>
      <c r="AE438" s="202">
        <f t="shared" si="187"/>
        <v>1.0418233918045492</v>
      </c>
      <c r="AF438" s="202">
        <f t="shared" si="182"/>
        <v>3.4055249755645889E-2</v>
      </c>
      <c r="AG438" s="202">
        <f t="shared" si="207"/>
        <v>0.10151125134933148</v>
      </c>
      <c r="AH438" s="388">
        <f t="shared" si="170"/>
        <v>1.0855692530819434</v>
      </c>
      <c r="AI438" s="592">
        <f t="shared" si="218"/>
        <v>4.1823391804549193E-2</v>
      </c>
      <c r="AJ438" s="544">
        <f t="shared" si="223"/>
        <v>1.9605660365003177E-2</v>
      </c>
      <c r="AK438" s="28">
        <f t="shared" ref="AK438:AK459" si="227">H438/R431</f>
        <v>1.9915780500172703E-2</v>
      </c>
      <c r="AL438" s="202">
        <f t="shared" si="188"/>
        <v>1.0228344970749197</v>
      </c>
      <c r="AM438" s="202">
        <f t="shared" si="189"/>
        <v>1.0855692530819434</v>
      </c>
      <c r="AN438" s="18">
        <f t="shared" si="222"/>
        <v>44348</v>
      </c>
      <c r="AO438" s="388">
        <f t="shared" si="201"/>
        <v>1.0855692530819434</v>
      </c>
      <c r="AP438" s="646">
        <f t="shared" si="196"/>
        <v>0.8814348024936538</v>
      </c>
      <c r="AQ438" s="7">
        <f t="shared" si="211"/>
        <v>33171.285714285717</v>
      </c>
      <c r="AR438" s="297">
        <f t="shared" si="215"/>
        <v>670.44799999999998</v>
      </c>
      <c r="AS438" s="68">
        <f t="shared" si="216"/>
        <v>1.0855692530819434</v>
      </c>
      <c r="AT438" s="180">
        <f t="shared" si="181"/>
        <v>1.6727416404389666E-2</v>
      </c>
    </row>
    <row r="439" spans="1:46" x14ac:dyDescent="0.25">
      <c r="A439" s="107">
        <v>44330</v>
      </c>
      <c r="B439" s="126">
        <v>27363</v>
      </c>
      <c r="C439" s="126">
        <f t="shared" ref="C439:C454" si="228">C438+B439</f>
        <v>3269466</v>
      </c>
      <c r="D439" s="126">
        <v>601</v>
      </c>
      <c r="E439" s="126">
        <f t="shared" ref="E439:E445" si="229">E438+D439</f>
        <v>69855</v>
      </c>
      <c r="F439" s="126">
        <f t="shared" ref="F439:F454" si="230">G439-G438</f>
        <v>21709</v>
      </c>
      <c r="G439" s="155">
        <v>2913144</v>
      </c>
      <c r="H439" s="126">
        <v>5457</v>
      </c>
      <c r="I439" s="4">
        <v>82695</v>
      </c>
      <c r="J439" s="4">
        <f>J438+I439</f>
        <v>12224943</v>
      </c>
      <c r="K439" s="623">
        <f t="shared" si="224"/>
        <v>2.1365874427200039E-2</v>
      </c>
      <c r="L439" s="7"/>
      <c r="M439" s="7"/>
      <c r="N439" s="202"/>
      <c r="O439" s="4"/>
      <c r="P439" s="4"/>
      <c r="Q439" s="4"/>
      <c r="R439" s="4">
        <f t="shared" si="219"/>
        <v>286467</v>
      </c>
      <c r="S439" s="39">
        <f t="shared" si="220"/>
        <v>37</v>
      </c>
      <c r="T439" s="91">
        <f t="shared" si="225"/>
        <v>5053</v>
      </c>
      <c r="U439" s="91">
        <f>SUM(B426:B439)/POBLA!$B$25*100000</f>
        <v>643.67995521214652</v>
      </c>
      <c r="V439" s="91">
        <f>B439/POBLA!$B$25*100000</f>
        <v>60.297273956344057</v>
      </c>
      <c r="W439" s="625">
        <f t="shared" si="173"/>
        <v>0.91644469543664797</v>
      </c>
      <c r="X439" s="28">
        <f t="shared" si="212"/>
        <v>2.0606838736476406E-2</v>
      </c>
      <c r="Y439" s="202">
        <f t="shared" si="226"/>
        <v>0.27971609182654983</v>
      </c>
      <c r="Z439" s="590">
        <f t="shared" si="221"/>
        <v>21618.857142857141</v>
      </c>
      <c r="AA439" s="543">
        <f t="shared" ref="AA439:AA445" si="231">AVERAGE(D433:D439)</f>
        <v>426.28571428571428</v>
      </c>
      <c r="AB439" s="179">
        <f t="shared" si="204"/>
        <v>467.51463123576127</v>
      </c>
      <c r="AC439" s="179">
        <f t="shared" si="190"/>
        <v>41.228916950046994</v>
      </c>
      <c r="AD439" s="179">
        <f t="shared" si="163"/>
        <v>20864.5</v>
      </c>
      <c r="AE439" s="202">
        <f t="shared" si="187"/>
        <v>1.0750225543613385</v>
      </c>
      <c r="AF439" s="202">
        <f t="shared" si="182"/>
        <v>4.7736956641003525E-2</v>
      </c>
      <c r="AG439" s="202">
        <f t="shared" si="207"/>
        <v>0.21332919474991141</v>
      </c>
      <c r="AH439" s="388">
        <f t="shared" si="170"/>
        <v>0.99070385126162019</v>
      </c>
      <c r="AI439" s="592">
        <f t="shared" si="218"/>
        <v>7.5022554361338534E-2</v>
      </c>
      <c r="AJ439" s="544">
        <f t="shared" si="223"/>
        <v>2.0163115823045686E-2</v>
      </c>
      <c r="AK439" s="28">
        <f t="shared" si="227"/>
        <v>1.9958670884918532E-2</v>
      </c>
      <c r="AL439" s="202">
        <f t="shared" si="188"/>
        <v>1.035876993166287</v>
      </c>
      <c r="AM439" s="202">
        <f t="shared" si="189"/>
        <v>0.99070385126162019</v>
      </c>
      <c r="AN439" s="18">
        <f t="shared" si="222"/>
        <v>44349</v>
      </c>
      <c r="AO439" s="388">
        <f t="shared" si="201"/>
        <v>0.99070385126162019</v>
      </c>
      <c r="AP439" s="646">
        <f t="shared" si="196"/>
        <v>0.91644469543664797</v>
      </c>
      <c r="AQ439" s="7">
        <f t="shared" si="211"/>
        <v>33171.285714285717</v>
      </c>
      <c r="AR439" s="297">
        <f t="shared" si="215"/>
        <v>664.096</v>
      </c>
      <c r="AS439" s="68">
        <f t="shared" si="216"/>
        <v>0.99070385126162019</v>
      </c>
      <c r="AT439" s="180">
        <f t="shared" si="181"/>
        <v>1.7022165640326523E-2</v>
      </c>
    </row>
    <row r="440" spans="1:46" x14ac:dyDescent="0.25">
      <c r="A440" s="107">
        <v>44331</v>
      </c>
      <c r="B440" s="126">
        <v>21469</v>
      </c>
      <c r="C440" s="126">
        <f t="shared" si="228"/>
        <v>3290935</v>
      </c>
      <c r="D440" s="126">
        <v>400</v>
      </c>
      <c r="E440" s="126">
        <f t="shared" si="229"/>
        <v>70255</v>
      </c>
      <c r="F440" s="126">
        <f t="shared" si="230"/>
        <v>20802</v>
      </c>
      <c r="G440" s="155">
        <v>2933946</v>
      </c>
      <c r="H440" s="126">
        <v>5517</v>
      </c>
      <c r="I440" s="4">
        <v>106916</v>
      </c>
      <c r="J440" s="4">
        <f>J439+I440</f>
        <v>12331859</v>
      </c>
      <c r="K440" s="623">
        <f t="shared" si="224"/>
        <v>2.1348036348332617E-2</v>
      </c>
      <c r="L440" s="7"/>
      <c r="M440" s="7"/>
      <c r="N440" s="202"/>
      <c r="O440" s="4"/>
      <c r="P440" s="4"/>
      <c r="Q440" s="4"/>
      <c r="R440" s="4">
        <f t="shared" si="219"/>
        <v>286734</v>
      </c>
      <c r="S440" s="39">
        <f t="shared" si="220"/>
        <v>60</v>
      </c>
      <c r="T440" s="91">
        <f t="shared" si="225"/>
        <v>267</v>
      </c>
      <c r="U440" s="91">
        <f>SUM(B427:B440)/POBLA!$B$25*100000</f>
        <v>654.62526675478307</v>
      </c>
      <c r="V440" s="91">
        <f>B440/POBLA!$B$25*100000</f>
        <v>47.309219550807676</v>
      </c>
      <c r="W440" s="625">
        <f t="shared" si="173"/>
        <v>0.93974401963823639</v>
      </c>
      <c r="X440" s="28">
        <f t="shared" si="212"/>
        <v>2.0341120254844705E-2</v>
      </c>
      <c r="Y440" s="202">
        <f t="shared" si="226"/>
        <v>0.28026263134736185</v>
      </c>
      <c r="Z440" s="590">
        <f t="shared" si="221"/>
        <v>22111</v>
      </c>
      <c r="AA440" s="543">
        <f t="shared" si="231"/>
        <v>459.14285714285717</v>
      </c>
      <c r="AB440" s="179">
        <f t="shared" si="204"/>
        <v>452.20474670701583</v>
      </c>
      <c r="AC440" s="179">
        <f t="shared" si="190"/>
        <v>-6.9381104358413381</v>
      </c>
      <c r="AD440" s="179">
        <f t="shared" si="163"/>
        <v>21219.285714285714</v>
      </c>
      <c r="AE440" s="202">
        <f t="shared" si="187"/>
        <v>1.0877344633959507</v>
      </c>
      <c r="AF440" s="202">
        <f t="shared" si="182"/>
        <v>5.8672367386271684E-2</v>
      </c>
      <c r="AG440" s="202">
        <f t="shared" si="207"/>
        <v>0.1911340434975588</v>
      </c>
      <c r="AH440" s="388">
        <f t="shared" si="170"/>
        <v>1.0891223314130805</v>
      </c>
      <c r="AI440" s="592">
        <f t="shared" si="218"/>
        <v>8.7734463395950701E-2</v>
      </c>
      <c r="AJ440" s="544">
        <f t="shared" si="223"/>
        <v>2.2261471861471864E-2</v>
      </c>
      <c r="AK440" s="28">
        <f t="shared" si="227"/>
        <v>2.0369734495630308E-2</v>
      </c>
      <c r="AL440" s="202">
        <f t="shared" si="188"/>
        <v>1.0438978240302743</v>
      </c>
      <c r="AM440" s="202">
        <f t="shared" si="189"/>
        <v>1.0891223314130805</v>
      </c>
      <c r="AN440" s="18">
        <f t="shared" si="222"/>
        <v>44350</v>
      </c>
      <c r="AO440" s="388">
        <f t="shared" si="201"/>
        <v>1.0891223314130802</v>
      </c>
      <c r="AP440" s="646">
        <f t="shared" si="196"/>
        <v>0.93974401963823639</v>
      </c>
      <c r="AQ440" s="7">
        <f t="shared" si="211"/>
        <v>33171.285714285717</v>
      </c>
      <c r="AR440" s="297">
        <f t="shared" si="215"/>
        <v>672.5</v>
      </c>
      <c r="AS440" s="68">
        <f t="shared" si="216"/>
        <v>1.0891223314130805</v>
      </c>
      <c r="AT440" s="180">
        <f t="shared" si="181"/>
        <v>1.7138652027338431E-2</v>
      </c>
    </row>
    <row r="441" spans="1:46" x14ac:dyDescent="0.25">
      <c r="A441" s="107">
        <v>44332</v>
      </c>
      <c r="B441" s="126">
        <v>16350</v>
      </c>
      <c r="C441" s="126">
        <f t="shared" si="228"/>
        <v>3307285</v>
      </c>
      <c r="D441" s="126">
        <v>270</v>
      </c>
      <c r="E441" s="126">
        <f t="shared" si="229"/>
        <v>70525</v>
      </c>
      <c r="F441" s="126">
        <f t="shared" si="230"/>
        <v>18653</v>
      </c>
      <c r="G441" s="155">
        <v>2952599</v>
      </c>
      <c r="H441" s="126">
        <v>5538</v>
      </c>
      <c r="I441" s="4">
        <v>67507</v>
      </c>
      <c r="J441" s="4">
        <f>J440+I441</f>
        <v>12399366</v>
      </c>
      <c r="K441" s="623">
        <f t="shared" si="224"/>
        <v>2.132413747227711E-2</v>
      </c>
      <c r="L441" s="7">
        <v>20173</v>
      </c>
      <c r="M441" s="7">
        <v>6597997</v>
      </c>
      <c r="N441" s="202">
        <f t="shared" si="217"/>
        <v>2.4718993424445376E-3</v>
      </c>
      <c r="O441" s="4"/>
      <c r="P441" s="4"/>
      <c r="Q441" s="4"/>
      <c r="R441" s="4">
        <f t="shared" si="219"/>
        <v>284161</v>
      </c>
      <c r="S441" s="39">
        <f t="shared" si="220"/>
        <v>21</v>
      </c>
      <c r="T441" s="91">
        <f t="shared" si="225"/>
        <v>-2573</v>
      </c>
      <c r="U441" s="91">
        <f>SUM(B428:B441)/POBLA!$B$25*100000</f>
        <v>665.54633863022218</v>
      </c>
      <c r="V441" s="91">
        <f>B441/POBLA!$B$25*100000</f>
        <v>36.02895987962669</v>
      </c>
      <c r="W441" s="625">
        <f t="shared" si="173"/>
        <v>0.97038024707224213</v>
      </c>
      <c r="X441" s="28">
        <f t="shared" si="212"/>
        <v>2.0349371293349895E-2</v>
      </c>
      <c r="Y441" s="202">
        <f t="shared" si="226"/>
        <v>0.27608625305209894</v>
      </c>
      <c r="Z441" s="590">
        <f t="shared" si="221"/>
        <v>22792.142857142859</v>
      </c>
      <c r="AA441" s="543">
        <f t="shared" si="231"/>
        <v>457.28571428571428</v>
      </c>
      <c r="AB441" s="179">
        <f t="shared" si="204"/>
        <v>440.54771984710806</v>
      </c>
      <c r="AC441" s="179">
        <f t="shared" si="190"/>
        <v>-16.737994438606222</v>
      </c>
      <c r="AD441" s="179">
        <f t="shared" si="163"/>
        <v>21573.285714285714</v>
      </c>
      <c r="AE441" s="202">
        <f t="shared" si="187"/>
        <v>1.1197633368659681</v>
      </c>
      <c r="AF441" s="202">
        <f t="shared" si="182"/>
        <v>7.9208522435958217E-2</v>
      </c>
      <c r="AG441" s="202">
        <f t="shared" si="207"/>
        <v>0.41167328613365561</v>
      </c>
      <c r="AH441" s="388">
        <f t="shared" si="170"/>
        <v>1.0399610136452242</v>
      </c>
      <c r="AI441" s="592">
        <f t="shared" si="218"/>
        <v>0.11976333686596807</v>
      </c>
      <c r="AJ441" s="544">
        <f t="shared" si="223"/>
        <v>2.2621588387443287E-2</v>
      </c>
      <c r="AK441" s="28">
        <f t="shared" si="227"/>
        <v>2.1032642752701239E-2</v>
      </c>
      <c r="AL441" s="202">
        <f t="shared" si="188"/>
        <v>1.0460899131091803</v>
      </c>
      <c r="AM441" s="202">
        <f t="shared" si="189"/>
        <v>1.0399610136452242</v>
      </c>
      <c r="AN441" s="18">
        <f t="shared" si="222"/>
        <v>44351</v>
      </c>
      <c r="AO441" s="388">
        <f t="shared" si="201"/>
        <v>1.0399610136452242</v>
      </c>
      <c r="AP441" s="646">
        <f t="shared" si="196"/>
        <v>0.97038024707224213</v>
      </c>
      <c r="AQ441" s="7">
        <f t="shared" si="211"/>
        <v>33171.285714285717</v>
      </c>
      <c r="AR441" s="297">
        <f t="shared" si="215"/>
        <v>667.48</v>
      </c>
      <c r="AS441" s="68">
        <f t="shared" si="216"/>
        <v>1.0399610136452242</v>
      </c>
      <c r="AT441" s="180">
        <f t="shared" si="181"/>
        <v>1.7654939359322417E-2</v>
      </c>
    </row>
    <row r="442" spans="1:46" ht="15.75" x14ac:dyDescent="0.25">
      <c r="A442" s="638">
        <v>44333</v>
      </c>
      <c r="B442" s="183">
        <v>28680</v>
      </c>
      <c r="C442" s="126">
        <f t="shared" si="228"/>
        <v>3335965</v>
      </c>
      <c r="D442" s="126">
        <v>505</v>
      </c>
      <c r="E442" s="126">
        <f t="shared" si="229"/>
        <v>71030</v>
      </c>
      <c r="F442" s="126">
        <f t="shared" si="230"/>
        <v>20668</v>
      </c>
      <c r="G442" s="155">
        <v>2973267</v>
      </c>
      <c r="H442" s="126">
        <v>5690</v>
      </c>
      <c r="I442" s="4">
        <v>91456</v>
      </c>
      <c r="J442" s="4">
        <f>J441+I442</f>
        <v>12490822</v>
      </c>
      <c r="K442" s="623">
        <f t="shared" si="224"/>
        <v>2.1292189816140158E-2</v>
      </c>
      <c r="L442" s="7">
        <v>20312</v>
      </c>
      <c r="M442" s="7">
        <v>6630771</v>
      </c>
      <c r="N442" s="202">
        <f t="shared" si="217"/>
        <v>0.46669053275620792</v>
      </c>
      <c r="O442" s="4"/>
      <c r="P442" s="4"/>
      <c r="Q442" s="4"/>
      <c r="R442" s="4">
        <f t="shared" si="219"/>
        <v>291668</v>
      </c>
      <c r="S442" s="39">
        <f t="shared" si="220"/>
        <v>152</v>
      </c>
      <c r="T442" s="91">
        <f t="shared" si="225"/>
        <v>7507</v>
      </c>
      <c r="U442" s="91">
        <f>SUM(B429:B442)/POBLA!$B$25*100000</f>
        <v>693.66435257909291</v>
      </c>
      <c r="V442" s="91">
        <f>B442/POBLA!$B$25*100000</f>
        <v>63.199423201693797</v>
      </c>
      <c r="W442" s="625">
        <f t="shared" si="173"/>
        <v>1.0263511398612344</v>
      </c>
      <c r="X442" s="28">
        <f t="shared" si="212"/>
        <v>2.0810855293235557E-2</v>
      </c>
      <c r="Y442" s="202">
        <f t="shared" si="226"/>
        <v>0.28499744769441732</v>
      </c>
      <c r="Z442" s="626">
        <f t="shared" si="221"/>
        <v>24406.285714285714</v>
      </c>
      <c r="AA442" s="543">
        <f t="shared" si="231"/>
        <v>458.57142857142856</v>
      </c>
      <c r="AB442" s="179">
        <f t="shared" si="204"/>
        <v>433.11887104811922</v>
      </c>
      <c r="AC442" s="179">
        <f t="shared" si="190"/>
        <v>-25.452557523309338</v>
      </c>
      <c r="AD442" s="179">
        <f t="shared" si="163"/>
        <v>22484.714285714286</v>
      </c>
      <c r="AE442" s="202">
        <f t="shared" si="187"/>
        <v>1.1868947214850425</v>
      </c>
      <c r="AF442" s="202">
        <f t="shared" si="182"/>
        <v>0.12052002136021556</v>
      </c>
      <c r="AG442" s="202">
        <f t="shared" si="207"/>
        <v>0.6500776710200793</v>
      </c>
      <c r="AH442" s="388">
        <f t="shared" si="170"/>
        <v>1.0580092287409359</v>
      </c>
      <c r="AI442" s="592">
        <f t="shared" si="218"/>
        <v>0.18689472148504249</v>
      </c>
      <c r="AJ442" s="544">
        <f t="shared" si="223"/>
        <v>2.2566698302225033E-2</v>
      </c>
      <c r="AK442" s="28">
        <f t="shared" si="227"/>
        <v>2.1859644944044687E-2</v>
      </c>
      <c r="AL442" s="202">
        <f t="shared" si="188"/>
        <v>1.0621616576442039</v>
      </c>
      <c r="AM442" s="202">
        <f t="shared" si="189"/>
        <v>1.0580092287409359</v>
      </c>
      <c r="AN442" s="18">
        <f t="shared" si="222"/>
        <v>44352</v>
      </c>
      <c r="AO442" s="388">
        <f t="shared" si="201"/>
        <v>1.0580092287409359</v>
      </c>
      <c r="AP442" s="646">
        <f t="shared" si="196"/>
        <v>1.0263511398612344</v>
      </c>
      <c r="AQ442" s="7">
        <f t="shared" si="211"/>
        <v>33171.285714285717</v>
      </c>
      <c r="AR442" s="297">
        <f t="shared" si="215"/>
        <v>660.80799999999999</v>
      </c>
      <c r="AS442" s="68">
        <f t="shared" si="216"/>
        <v>1.0580092287409359</v>
      </c>
      <c r="AT442" s="180">
        <f t="shared" si="181"/>
        <v>1.8045693068253984E-2</v>
      </c>
    </row>
    <row r="443" spans="1:46" x14ac:dyDescent="0.25">
      <c r="A443" s="107">
        <v>44334</v>
      </c>
      <c r="B443" s="126">
        <v>35543</v>
      </c>
      <c r="C443" s="126">
        <f t="shared" si="228"/>
        <v>3371508</v>
      </c>
      <c r="D443" s="126">
        <v>745</v>
      </c>
      <c r="E443" s="126">
        <f t="shared" si="229"/>
        <v>71775</v>
      </c>
      <c r="F443" s="126">
        <f t="shared" si="230"/>
        <v>19058</v>
      </c>
      <c r="G443" s="155">
        <v>2992325</v>
      </c>
      <c r="H443" s="126">
        <v>5813</v>
      </c>
      <c r="I443" s="4">
        <v>111757</v>
      </c>
      <c r="J443" s="4">
        <f t="shared" ref="J443:J454" si="232">J442+I443</f>
        <v>12602579</v>
      </c>
      <c r="K443" s="623">
        <f t="shared" si="224"/>
        <v>2.1288693368071498E-2</v>
      </c>
      <c r="L443" s="7">
        <v>20381</v>
      </c>
      <c r="M443" s="7">
        <v>6672285</v>
      </c>
      <c r="N443" s="202">
        <f t="shared" si="217"/>
        <v>0.46125595338515646</v>
      </c>
      <c r="O443" s="4"/>
      <c r="P443" s="4"/>
      <c r="Q443" s="4"/>
      <c r="R443" s="4">
        <f>C443-E443-G443</f>
        <v>307408</v>
      </c>
      <c r="S443" s="39">
        <f>H443-H442</f>
        <v>123</v>
      </c>
      <c r="T443" s="91">
        <f>(C443-G443-E443)-(C442-E442-G442)</f>
        <v>15740</v>
      </c>
      <c r="U443" s="91">
        <f>SUM(B430:B443)/POBLA!$B$25*100000</f>
        <v>714.16890742190185</v>
      </c>
      <c r="V443" s="91">
        <f>B443/POBLA!$B$25*100000</f>
        <v>78.32277192670162</v>
      </c>
      <c r="W443" s="625">
        <f t="shared" si="173"/>
        <v>1.0668011863184956</v>
      </c>
      <c r="X443" s="28">
        <f t="shared" si="212"/>
        <v>2.1462618564998912E-2</v>
      </c>
      <c r="Y443" s="202">
        <f>SUM(B437:B443)/SUM(I437:I443)</f>
        <v>0.29163460605864666</v>
      </c>
      <c r="Z443" s="590">
        <f>AVERAGE(B437:B443)</f>
        <v>25773</v>
      </c>
      <c r="AA443" s="543">
        <f t="shared" si="231"/>
        <v>495</v>
      </c>
      <c r="AB443" s="179">
        <f t="shared" si="204"/>
        <v>434.39168693636987</v>
      </c>
      <c r="AC443" s="179">
        <f t="shared" si="190"/>
        <v>-60.608313063630135</v>
      </c>
      <c r="AD443" s="179">
        <f t="shared" si="163"/>
        <v>23149.357142857141</v>
      </c>
      <c r="AE443" s="202">
        <f t="shared" si="187"/>
        <v>1.2556444877505568</v>
      </c>
      <c r="AF443" s="202">
        <f t="shared" si="182"/>
        <v>0.14500683484991272</v>
      </c>
      <c r="AG443" s="202">
        <f t="shared" si="207"/>
        <v>0.36830150908530945</v>
      </c>
      <c r="AH443" s="388">
        <f t="shared" si="170"/>
        <v>1.1134318766066837</v>
      </c>
      <c r="AI443" s="592">
        <f>AE443-1</f>
        <v>0.25564448775055681</v>
      </c>
      <c r="AJ443" s="544">
        <f t="shared" si="223"/>
        <v>2.4297715383644447E-2</v>
      </c>
      <c r="AK443" s="28">
        <f t="shared" si="227"/>
        <v>2.1651761603414817E-2</v>
      </c>
      <c r="AL443" s="202">
        <f t="shared" si="188"/>
        <v>1.0814883720930233</v>
      </c>
      <c r="AM443" s="202">
        <f t="shared" si="189"/>
        <v>1.1134318766066837</v>
      </c>
      <c r="AN443" s="18">
        <f t="shared" si="222"/>
        <v>44353</v>
      </c>
      <c r="AO443" s="388">
        <f t="shared" si="201"/>
        <v>1.1134318766066837</v>
      </c>
      <c r="AP443" s="646">
        <f t="shared" ref="AP443:AP459" si="233">SUM(B430:B443)/SUM(B416:B429)</f>
        <v>1.0668011863184956</v>
      </c>
      <c r="AQ443" s="7">
        <f t="shared" si="211"/>
        <v>33171.285714285717</v>
      </c>
      <c r="AR443" s="297">
        <f t="shared" si="215"/>
        <v>646.20799999999997</v>
      </c>
      <c r="AS443" s="68">
        <f t="shared" si="216"/>
        <v>1.1134318766066837</v>
      </c>
      <c r="AT443" s="180">
        <f t="shared" si="181"/>
        <v>1.8535957514014885E-2</v>
      </c>
    </row>
    <row r="444" spans="1:46" ht="15.75" x14ac:dyDescent="0.25">
      <c r="A444" s="107">
        <v>44335</v>
      </c>
      <c r="B444" s="628">
        <v>39652</v>
      </c>
      <c r="C444" s="126">
        <f t="shared" si="228"/>
        <v>3411160</v>
      </c>
      <c r="D444" s="126">
        <v>494</v>
      </c>
      <c r="E444" s="126">
        <f t="shared" si="229"/>
        <v>72269</v>
      </c>
      <c r="F444" s="126">
        <f t="shared" si="230"/>
        <v>16825</v>
      </c>
      <c r="G444" s="155">
        <v>3009150</v>
      </c>
      <c r="H444" s="126">
        <v>5877</v>
      </c>
      <c r="I444" s="4">
        <v>125578</v>
      </c>
      <c r="J444" s="4">
        <f t="shared" si="232"/>
        <v>12728157</v>
      </c>
      <c r="K444" s="623">
        <f t="shared" si="224"/>
        <v>2.1186048147844135E-2</v>
      </c>
      <c r="L444" s="7">
        <v>20584</v>
      </c>
      <c r="M444" s="7">
        <v>6718545</v>
      </c>
      <c r="N444" s="202">
        <f t="shared" si="217"/>
        <v>0.46154204302076546</v>
      </c>
      <c r="O444" s="4"/>
      <c r="P444" s="4"/>
      <c r="Q444" s="4"/>
      <c r="R444" s="4">
        <f>C444-E444-G444</f>
        <v>329741</v>
      </c>
      <c r="S444" s="39">
        <f>H444-H443</f>
        <v>64</v>
      </c>
      <c r="T444" s="91">
        <f>(C444-G444-E444)-(C443-E443-G443)</f>
        <v>22333</v>
      </c>
      <c r="U444" s="91">
        <f>SUM(B431:B444)/POBLA!$B$25*100000</f>
        <v>748.48566535495547</v>
      </c>
      <c r="V444" s="91">
        <f>B444/POBLA!$B$25*100000</f>
        <v>87.377389427948472</v>
      </c>
      <c r="W444" s="625">
        <f t="shared" si="173"/>
        <v>1.1249238269347959</v>
      </c>
      <c r="X444" s="28">
        <f t="shared" si="212"/>
        <v>2.232012305121437E-2</v>
      </c>
      <c r="Y444" s="202">
        <f>SUM(B438:B444)/SUM(I438:I444)</f>
        <v>0.29561850177518012</v>
      </c>
      <c r="Z444" s="590">
        <f>AVERAGE(B438:B444)</f>
        <v>27941.142857142859</v>
      </c>
      <c r="AA444" s="543">
        <f t="shared" si="231"/>
        <v>494.71428571428572</v>
      </c>
      <c r="AB444" s="179">
        <f t="shared" si="204"/>
        <v>436.47753602804625</v>
      </c>
      <c r="AC444" s="179">
        <f t="shared" si="190"/>
        <v>-58.236749686239477</v>
      </c>
      <c r="AD444" s="179">
        <f t="shared" si="163"/>
        <v>24261.714285714286</v>
      </c>
      <c r="AE444" s="202">
        <f>Z444/Z437</f>
        <v>1.3575335239734585</v>
      </c>
      <c r="AF444" s="202">
        <f t="shared" si="182"/>
        <v>0.18857709290799307</v>
      </c>
      <c r="AG444" s="202">
        <f t="shared" si="207"/>
        <v>0.62010214504596517</v>
      </c>
      <c r="AH444" s="388">
        <f t="shared" si="170"/>
        <v>1.1758913412563667</v>
      </c>
      <c r="AI444" s="592">
        <f>AE444-1</f>
        <v>0.3575335239734585</v>
      </c>
      <c r="AJ444" s="544">
        <f t="shared" si="223"/>
        <v>2.4623326388839514E-2</v>
      </c>
      <c r="AK444" s="28">
        <f t="shared" si="227"/>
        <v>2.1184103811841038E-2</v>
      </c>
      <c r="AL444" s="202">
        <f t="shared" si="188"/>
        <v>1.0895439377085652</v>
      </c>
      <c r="AM444" s="202">
        <f t="shared" si="189"/>
        <v>1.1758913412563667</v>
      </c>
      <c r="AN444" s="18">
        <f t="shared" si="222"/>
        <v>44354</v>
      </c>
      <c r="AO444" s="388">
        <f t="shared" si="201"/>
        <v>1.1758913412563667</v>
      </c>
      <c r="AP444" s="646">
        <f t="shared" si="233"/>
        <v>1.1249238269347959</v>
      </c>
      <c r="AQ444" s="7">
        <f t="shared" si="211"/>
        <v>33171.285714285717</v>
      </c>
      <c r="AR444" s="297">
        <f t="shared" si="215"/>
        <v>637.35199999999998</v>
      </c>
      <c r="AS444" s="68">
        <f t="shared" si="216"/>
        <v>1.1758913412563667</v>
      </c>
      <c r="AT444" s="180">
        <f t="shared" si="181"/>
        <v>1.8378463724638826E-2</v>
      </c>
    </row>
    <row r="445" spans="1:46" x14ac:dyDescent="0.25">
      <c r="A445" s="182">
        <v>44336</v>
      </c>
      <c r="B445" s="126">
        <v>35884</v>
      </c>
      <c r="C445" s="126">
        <f t="shared" si="228"/>
        <v>3447044</v>
      </c>
      <c r="D445" s="126">
        <v>435</v>
      </c>
      <c r="E445" s="126">
        <f t="shared" si="229"/>
        <v>72704</v>
      </c>
      <c r="F445" s="126">
        <f t="shared" si="230"/>
        <v>25984</v>
      </c>
      <c r="G445" s="155">
        <v>3035134</v>
      </c>
      <c r="H445" s="126">
        <v>5951</v>
      </c>
      <c r="I445" s="4">
        <v>96691</v>
      </c>
      <c r="J445" s="4">
        <f t="shared" si="232"/>
        <v>12824848</v>
      </c>
      <c r="K445" s="623">
        <f t="shared" si="224"/>
        <v>2.1091694797049299E-2</v>
      </c>
      <c r="L445" s="7">
        <v>20773</v>
      </c>
      <c r="M445" s="7">
        <v>6753998</v>
      </c>
      <c r="N445" s="202">
        <f t="shared" si="217"/>
        <v>0.50302087275887686</v>
      </c>
      <c r="O445" s="4"/>
      <c r="P445" s="4"/>
      <c r="Q445" s="4"/>
      <c r="R445" s="4">
        <f>C445-E445-G445</f>
        <v>339206</v>
      </c>
      <c r="S445" s="39">
        <f>H445-H444</f>
        <v>74</v>
      </c>
      <c r="T445" s="91">
        <f>(C445-G445-E445)-(C444-E444-G444)</f>
        <v>9465</v>
      </c>
      <c r="U445" s="91">
        <f>SUM(B432:B445)/POBLA!$B$25*100000</f>
        <v>774.48381022711669</v>
      </c>
      <c r="V445" s="91">
        <f>B445/POBLA!$B$25*100000</f>
        <v>79.07420160981799</v>
      </c>
      <c r="W445" s="625">
        <f t="shared" si="173"/>
        <v>1.1761898706218583</v>
      </c>
      <c r="X445" s="28">
        <f t="shared" si="212"/>
        <v>2.2862345705098406E-2</v>
      </c>
      <c r="Y445" s="202">
        <f>SUM(B439:B445)/SUM(I439:I445)</f>
        <v>0.30023586287723408</v>
      </c>
      <c r="Z445" s="590">
        <f>AVERAGE(B439:B445)</f>
        <v>29277.285714285714</v>
      </c>
      <c r="AA445" s="543">
        <f t="shared" si="231"/>
        <v>492.85714285714283</v>
      </c>
      <c r="AB445" s="179">
        <f t="shared" si="204"/>
        <v>429.69744041669702</v>
      </c>
      <c r="AC445" s="179">
        <f t="shared" si="190"/>
        <v>-63.159702440445812</v>
      </c>
      <c r="AD445" s="179">
        <f t="shared" si="163"/>
        <v>25104.428571428572</v>
      </c>
      <c r="AE445" s="202">
        <f t="shared" ref="AE445:AE459" si="234">Z445/Z438</f>
        <v>1.3987141774899161</v>
      </c>
      <c r="AF445" s="202">
        <f t="shared" si="182"/>
        <v>0.20536291726779754</v>
      </c>
      <c r="AG445" s="202">
        <f t="shared" si="207"/>
        <v>0.35253100146997851</v>
      </c>
      <c r="AH445" s="388">
        <f t="shared" si="170"/>
        <v>1.1523046092184368</v>
      </c>
      <c r="AI445" s="592">
        <f>AE445-1</f>
        <v>0.39871417748991611</v>
      </c>
      <c r="AJ445" s="544">
        <f t="shared" si="223"/>
        <v>2.4507888698666627E-2</v>
      </c>
      <c r="AK445" s="28">
        <f t="shared" si="227"/>
        <v>2.1146780188618902E-2</v>
      </c>
      <c r="AL445" s="202">
        <f t="shared" si="188"/>
        <v>1.0979704797047971</v>
      </c>
      <c r="AM445" s="202">
        <f t="shared" si="189"/>
        <v>1.1523046092184368</v>
      </c>
      <c r="AN445" s="18">
        <f t="shared" si="222"/>
        <v>44355</v>
      </c>
      <c r="AO445" s="388">
        <f t="shared" si="201"/>
        <v>1.1523046092184368</v>
      </c>
      <c r="AP445" s="646">
        <f t="shared" si="233"/>
        <v>1.1761898706218583</v>
      </c>
      <c r="AQ445" s="7">
        <f t="shared" si="211"/>
        <v>33171.285714285717</v>
      </c>
      <c r="AR445" s="297">
        <f t="shared" si="215"/>
        <v>632.70000000000005</v>
      </c>
      <c r="AS445" s="68">
        <f t="shared" si="216"/>
        <v>1.1523046092184368</v>
      </c>
      <c r="AT445" s="180">
        <f t="shared" si="181"/>
        <v>1.8371565371667727E-2</v>
      </c>
    </row>
    <row r="446" spans="1:46" x14ac:dyDescent="0.25">
      <c r="A446" s="107">
        <v>44337</v>
      </c>
      <c r="B446" s="126">
        <v>35468</v>
      </c>
      <c r="C446" s="126">
        <f t="shared" si="228"/>
        <v>3482512</v>
      </c>
      <c r="D446" s="126">
        <v>694</v>
      </c>
      <c r="E446" s="126">
        <v>73384</v>
      </c>
      <c r="F446" s="126">
        <f t="shared" si="230"/>
        <v>25011</v>
      </c>
      <c r="G446" s="155">
        <v>3060145</v>
      </c>
      <c r="H446" s="126">
        <v>6027</v>
      </c>
      <c r="I446" s="4">
        <v>99693</v>
      </c>
      <c r="J446" s="4">
        <f t="shared" si="232"/>
        <v>12924541</v>
      </c>
      <c r="K446" s="623">
        <f t="shared" si="224"/>
        <v>2.1072145623618813E-2</v>
      </c>
      <c r="L446" s="7">
        <v>20924</v>
      </c>
      <c r="M446" s="7">
        <v>6786207</v>
      </c>
      <c r="N446" s="202">
        <f t="shared" si="217"/>
        <v>0.52407760391270297</v>
      </c>
      <c r="O446" s="4"/>
      <c r="P446" s="4"/>
      <c r="Q446" s="4"/>
      <c r="R446" s="4">
        <f t="shared" ref="R446:R451" si="235">C446-E446-G446</f>
        <v>348983</v>
      </c>
      <c r="S446" s="39">
        <f t="shared" ref="S446:S451" si="236">H446-H445</f>
        <v>76</v>
      </c>
      <c r="T446" s="91">
        <f t="shared" ref="T446:T451" si="237">(C446-G446-E446)-(C445-E445-G445)</f>
        <v>9777</v>
      </c>
      <c r="U446" s="91">
        <f>SUM(B433:B446)/POBLA!$B$25*100000</f>
        <v>802.94558672896733</v>
      </c>
      <c r="V446" s="91">
        <f>B446/POBLA!$B$25*100000</f>
        <v>78.1575014685382</v>
      </c>
      <c r="W446" s="625">
        <f t="shared" si="173"/>
        <v>1.2415684777942089</v>
      </c>
      <c r="X446" s="28">
        <f t="shared" si="212"/>
        <v>2.244885036707055E-2</v>
      </c>
      <c r="Y446" s="202">
        <f t="shared" ref="Y446:Y451" si="238">SUM(B440:B446)/SUM(I440:I446)</f>
        <v>0.30452631368300082</v>
      </c>
      <c r="Z446" s="590">
        <f t="shared" ref="Z446:Z451" si="239">AVERAGE(B440:B446)</f>
        <v>30435.142857142859</v>
      </c>
      <c r="AA446" s="543">
        <f t="shared" ref="AA446:AA451" si="240">AVERAGE(D440:D446)</f>
        <v>506.14285714285717</v>
      </c>
      <c r="AB446" s="179">
        <f t="shared" si="204"/>
        <v>430.93061917342692</v>
      </c>
      <c r="AC446" s="179">
        <f t="shared" si="190"/>
        <v>-75.212237969430248</v>
      </c>
      <c r="AD446" s="179">
        <f t="shared" si="163"/>
        <v>26027</v>
      </c>
      <c r="AE446" s="202">
        <f t="shared" si="234"/>
        <v>1.407805355113261</v>
      </c>
      <c r="AF446" s="202">
        <f t="shared" si="182"/>
        <v>0.21823107024543842</v>
      </c>
      <c r="AG446" s="202">
        <f t="shared" si="207"/>
        <v>0.29620290172861163</v>
      </c>
      <c r="AH446" s="388">
        <f t="shared" ref="AH446:AH451" si="241">AA446/AA439</f>
        <v>1.1873324396782843</v>
      </c>
      <c r="AI446" s="592">
        <f t="shared" ref="AI446:AI451" si="242">AE446-1</f>
        <v>0.40780535511326099</v>
      </c>
      <c r="AJ446" s="544">
        <f t="shared" si="223"/>
        <v>2.489932744407666E-2</v>
      </c>
      <c r="AK446" s="28">
        <f t="shared" si="227"/>
        <v>2.1039072563331901E-2</v>
      </c>
      <c r="AL446" s="202">
        <f t="shared" si="188"/>
        <v>1.1044529961517318</v>
      </c>
      <c r="AM446" s="202">
        <f t="shared" si="189"/>
        <v>1.1873324396782843</v>
      </c>
      <c r="AN446" s="18">
        <f t="shared" si="222"/>
        <v>44356</v>
      </c>
      <c r="AO446" s="388">
        <f t="shared" si="201"/>
        <v>1.1873324396782843</v>
      </c>
      <c r="AP446" s="646">
        <f t="shared" si="233"/>
        <v>1.2415684777942089</v>
      </c>
      <c r="AQ446" s="7">
        <f t="shared" si="211"/>
        <v>33171.285714285717</v>
      </c>
      <c r="AR446" s="297">
        <f t="shared" si="215"/>
        <v>610.84399999999994</v>
      </c>
      <c r="AS446" s="68">
        <f t="shared" si="216"/>
        <v>1.1873324396782843</v>
      </c>
      <c r="AT446" s="180">
        <f t="shared" si="181"/>
        <v>1.8691090664272891E-2</v>
      </c>
    </row>
    <row r="447" spans="1:46" x14ac:dyDescent="0.25">
      <c r="A447" s="107">
        <v>44338</v>
      </c>
      <c r="B447" s="126">
        <v>32171</v>
      </c>
      <c r="C447" s="126">
        <f t="shared" si="228"/>
        <v>3514683</v>
      </c>
      <c r="D447" s="126">
        <v>297</v>
      </c>
      <c r="E447" s="126">
        <v>73681</v>
      </c>
      <c r="F447" s="126">
        <f t="shared" si="230"/>
        <v>23153</v>
      </c>
      <c r="G447" s="155">
        <v>3083298</v>
      </c>
      <c r="H447" s="126">
        <v>6138</v>
      </c>
      <c r="I447" s="4">
        <v>180387</v>
      </c>
      <c r="J447" s="4">
        <f t="shared" si="232"/>
        <v>13104928</v>
      </c>
      <c r="K447" s="623">
        <f>E447/C447</f>
        <v>2.0963768282943298E-2</v>
      </c>
      <c r="L447" s="7">
        <v>21001</v>
      </c>
      <c r="M447" s="7">
        <v>6861812</v>
      </c>
      <c r="N447" s="202">
        <f t="shared" si="217"/>
        <v>0.29849873812351546</v>
      </c>
      <c r="O447" s="4"/>
      <c r="P447" s="4"/>
      <c r="Q447" s="4"/>
      <c r="R447" s="4">
        <f t="shared" si="235"/>
        <v>357704</v>
      </c>
      <c r="S447" s="39">
        <f t="shared" si="236"/>
        <v>111</v>
      </c>
      <c r="T447" s="91">
        <f t="shared" si="237"/>
        <v>8721</v>
      </c>
      <c r="U447" s="91">
        <f>SUM(B434:B447)/POBLA!$B$25*100000</f>
        <v>834.120002350807</v>
      </c>
      <c r="V447" s="91">
        <f>B447/POBLA!$B$25*100000</f>
        <v>70.892212127674028</v>
      </c>
      <c r="W447" s="625">
        <f t="shared" si="173"/>
        <v>1.3039726338852029</v>
      </c>
      <c r="X447" s="28">
        <f t="shared" si="212"/>
        <v>2.2124898621248987E-2</v>
      </c>
      <c r="Y447" s="202">
        <f t="shared" si="238"/>
        <v>0.2894282399113145</v>
      </c>
      <c r="Z447" s="590">
        <f t="shared" si="239"/>
        <v>31964</v>
      </c>
      <c r="AA447" s="543">
        <f t="shared" si="240"/>
        <v>491.42857142857144</v>
      </c>
      <c r="AB447" s="179">
        <f t="shared" si="204"/>
        <v>434.18827344977973</v>
      </c>
      <c r="AC447" s="179">
        <f t="shared" si="190"/>
        <v>-57.240297978791716</v>
      </c>
      <c r="AD447" s="179">
        <f t="shared" si="163"/>
        <v>27037.5</v>
      </c>
      <c r="AE447" s="202">
        <f t="shared" si="234"/>
        <v>1.4456153045995206</v>
      </c>
      <c r="AF447" s="202">
        <f t="shared" si="182"/>
        <v>0.2475116309890002</v>
      </c>
      <c r="AG447" s="202">
        <f t="shared" si="207"/>
        <v>0.49848618938935219</v>
      </c>
      <c r="AH447" s="388">
        <f t="shared" si="241"/>
        <v>1.0703173615432482</v>
      </c>
      <c r="AI447" s="592">
        <f t="shared" si="242"/>
        <v>0.44561530459952059</v>
      </c>
      <c r="AJ447" s="544">
        <f t="shared" si="223"/>
        <v>2.4143570019862295E-2</v>
      </c>
      <c r="AK447" s="28">
        <f t="shared" si="227"/>
        <v>2.1406599845152651E-2</v>
      </c>
      <c r="AL447" s="202">
        <f t="shared" si="188"/>
        <v>1.1125611745513866</v>
      </c>
      <c r="AM447" s="202">
        <f t="shared" si="189"/>
        <v>1.0703173615432482</v>
      </c>
      <c r="AN447" s="18">
        <f t="shared" si="222"/>
        <v>44357</v>
      </c>
      <c r="AO447" s="388">
        <f t="shared" si="201"/>
        <v>1.0703173615432482</v>
      </c>
      <c r="AP447" s="646">
        <f t="shared" si="233"/>
        <v>1.3039726338852029</v>
      </c>
      <c r="AQ447" s="7">
        <f t="shared" si="211"/>
        <v>33171.285714285717</v>
      </c>
      <c r="AR447" s="297">
        <f t="shared" si="215"/>
        <v>591.97199999999998</v>
      </c>
      <c r="AS447" s="68">
        <f t="shared" si="216"/>
        <v>1.0703173615432482</v>
      </c>
      <c r="AT447" s="180">
        <f t="shared" si="181"/>
        <v>1.8227784626313699E-2</v>
      </c>
    </row>
    <row r="448" spans="1:46" x14ac:dyDescent="0.25">
      <c r="A448" s="107">
        <v>44339</v>
      </c>
      <c r="B448" s="126">
        <v>24801</v>
      </c>
      <c r="C448" s="126">
        <f t="shared" si="228"/>
        <v>3539484</v>
      </c>
      <c r="D448" s="126">
        <v>375</v>
      </c>
      <c r="E448" s="126">
        <v>74056</v>
      </c>
      <c r="F448" s="126">
        <f t="shared" si="230"/>
        <v>23651</v>
      </c>
      <c r="G448" s="155">
        <v>3106949</v>
      </c>
      <c r="H448" s="126">
        <v>6214</v>
      </c>
      <c r="I448" s="4">
        <v>82107</v>
      </c>
      <c r="J448" s="4">
        <f t="shared" si="232"/>
        <v>13187035</v>
      </c>
      <c r="K448" s="623">
        <f t="shared" ref="K448:K455" si="243">E448/C448</f>
        <v>2.09228237788333E-2</v>
      </c>
      <c r="L448" s="7">
        <v>21056</v>
      </c>
      <c r="M448" s="7">
        <v>6891105</v>
      </c>
      <c r="N448" s="202">
        <f t="shared" si="217"/>
        <v>0.45847968351388324</v>
      </c>
      <c r="O448" s="4"/>
      <c r="P448" s="4"/>
      <c r="Q448" s="4"/>
      <c r="R448" s="4">
        <f t="shared" si="235"/>
        <v>358479</v>
      </c>
      <c r="S448" s="39">
        <f t="shared" si="236"/>
        <v>76</v>
      </c>
      <c r="T448" s="91">
        <f t="shared" si="237"/>
        <v>775</v>
      </c>
      <c r="U448" s="91">
        <f>SUM(B435:B448)/POBLA!$B$25*100000</f>
        <v>863.24947150363778</v>
      </c>
      <c r="V448" s="91">
        <f>B448/POBLA!$B$25*100000</f>
        <v>54.651635105481446</v>
      </c>
      <c r="W448" s="625">
        <f t="shared" si="173"/>
        <v>1.3656468750871518</v>
      </c>
      <c r="X448" s="28">
        <f t="shared" si="212"/>
        <v>2.2081346343820848E-2</v>
      </c>
      <c r="Y448" s="202">
        <f t="shared" si="238"/>
        <v>0.29479260958600628</v>
      </c>
      <c r="Z448" s="590">
        <f t="shared" si="239"/>
        <v>33171.285714285717</v>
      </c>
      <c r="AA448" s="543">
        <f t="shared" si="240"/>
        <v>506.42857142857144</v>
      </c>
      <c r="AB448" s="179">
        <f t="shared" si="204"/>
        <v>434.9922198148513</v>
      </c>
      <c r="AC448" s="179">
        <f t="shared" si="190"/>
        <v>-71.436351613720149</v>
      </c>
      <c r="AD448" s="179">
        <f t="shared" si="163"/>
        <v>27981.714285714286</v>
      </c>
      <c r="AE448" s="202">
        <f t="shared" si="234"/>
        <v>1.4553824939672193</v>
      </c>
      <c r="AF448" s="202">
        <f t="shared" si="182"/>
        <v>0.26153483412572442</v>
      </c>
      <c r="AG448" s="202">
        <f t="shared" si="207"/>
        <v>0.51688073394495415</v>
      </c>
      <c r="AH448" s="388">
        <f t="shared" si="241"/>
        <v>1.1074664167447674</v>
      </c>
      <c r="AI448" s="592">
        <f t="shared" si="242"/>
        <v>0.4553824939672193</v>
      </c>
      <c r="AJ448" s="544">
        <f t="shared" si="223"/>
        <v>2.462797515666032E-2</v>
      </c>
      <c r="AK448" s="28">
        <f t="shared" si="227"/>
        <v>2.1867884755473129E-2</v>
      </c>
      <c r="AL448" s="202">
        <f t="shared" si="188"/>
        <v>1.1220657276995305</v>
      </c>
      <c r="AM448" s="202">
        <f t="shared" si="189"/>
        <v>1.1074664167447674</v>
      </c>
      <c r="AN448" s="18">
        <f t="shared" si="222"/>
        <v>44358</v>
      </c>
      <c r="AO448" s="388">
        <f t="shared" si="201"/>
        <v>1.1074664167447672</v>
      </c>
      <c r="AP448" s="646">
        <f t="shared" si="233"/>
        <v>1.3656468750871518</v>
      </c>
      <c r="AQ448" s="7">
        <f t="shared" si="211"/>
        <v>33171.285714285717</v>
      </c>
      <c r="AR448" s="297">
        <f t="shared" si="215"/>
        <v>577.5</v>
      </c>
      <c r="AS448" s="68">
        <f t="shared" si="216"/>
        <v>1.1074664167447674</v>
      </c>
      <c r="AT448" s="180">
        <f t="shared" si="181"/>
        <v>1.8051793987958011E-2</v>
      </c>
    </row>
    <row r="449" spans="1:46" ht="15.75" x14ac:dyDescent="0.25">
      <c r="A449" s="107">
        <v>44340</v>
      </c>
      <c r="B449" s="627">
        <v>22651</v>
      </c>
      <c r="C449" s="126">
        <f t="shared" si="228"/>
        <v>3562135</v>
      </c>
      <c r="D449" s="126">
        <v>417</v>
      </c>
      <c r="E449" s="126">
        <v>74473</v>
      </c>
      <c r="F449" s="126">
        <f t="shared" si="230"/>
        <v>26234</v>
      </c>
      <c r="G449" s="155">
        <v>3133183</v>
      </c>
      <c r="H449" s="126">
        <v>6373</v>
      </c>
      <c r="I449" s="4">
        <v>69274</v>
      </c>
      <c r="J449" s="4">
        <f t="shared" si="232"/>
        <v>13256309</v>
      </c>
      <c r="K449" s="623">
        <f t="shared" si="243"/>
        <v>2.0906843788907496E-2</v>
      </c>
      <c r="L449" s="7">
        <v>21113</v>
      </c>
      <c r="M449" s="7">
        <v>6915317</v>
      </c>
      <c r="N449" s="202">
        <f t="shared" si="217"/>
        <v>0.48334506967116914</v>
      </c>
      <c r="O449" s="4"/>
      <c r="P449" s="4"/>
      <c r="Q449" s="4"/>
      <c r="R449" s="4">
        <f t="shared" si="235"/>
        <v>354479</v>
      </c>
      <c r="S449" s="39">
        <f t="shared" si="236"/>
        <v>159</v>
      </c>
      <c r="T449" s="91">
        <f t="shared" si="237"/>
        <v>-4000</v>
      </c>
      <c r="U449" s="91">
        <f>SUM(B436:B449)/POBLA!$B$25*100000</f>
        <v>874.86247569725458</v>
      </c>
      <c r="V449" s="91">
        <f>B449/POBLA!$B$25*100000</f>
        <v>49.913881971463255</v>
      </c>
      <c r="W449" s="625">
        <f t="shared" si="173"/>
        <v>1.3908647580611257</v>
      </c>
      <c r="X449" s="28">
        <f t="shared" si="212"/>
        <v>2.224689056680176E-2</v>
      </c>
      <c r="Y449" s="202">
        <f t="shared" si="238"/>
        <v>0.29545896925747922</v>
      </c>
      <c r="Z449" s="626">
        <f t="shared" si="239"/>
        <v>32310</v>
      </c>
      <c r="AA449" s="543">
        <f t="shared" si="240"/>
        <v>493.85714285714283</v>
      </c>
      <c r="AB449" s="179">
        <f t="shared" si="204"/>
        <v>440.26182217272043</v>
      </c>
      <c r="AC449" s="179">
        <f t="shared" si="190"/>
        <v>-53.595320684422404</v>
      </c>
      <c r="AD449" s="179">
        <f t="shared" si="163"/>
        <v>28358.142857142859</v>
      </c>
      <c r="AE449" s="202">
        <f t="shared" si="234"/>
        <v>1.3238392919856712</v>
      </c>
      <c r="AF449" s="202">
        <f t="shared" si="182"/>
        <v>0.21535101553821479</v>
      </c>
      <c r="AG449" s="202">
        <f t="shared" si="207"/>
        <v>-0.21021617852161789</v>
      </c>
      <c r="AH449" s="388">
        <f t="shared" si="241"/>
        <v>1.0769470404984423</v>
      </c>
      <c r="AI449" s="592">
        <f t="shared" si="242"/>
        <v>0.32383929198567118</v>
      </c>
      <c r="AJ449" s="544">
        <f t="shared" si="223"/>
        <v>2.4060412026726055E-2</v>
      </c>
      <c r="AK449" s="28">
        <f t="shared" si="227"/>
        <v>2.185018582772193E-2</v>
      </c>
      <c r="AL449" s="202">
        <f t="shared" si="188"/>
        <v>1.1200351493848857</v>
      </c>
      <c r="AM449" s="202">
        <f t="shared" si="189"/>
        <v>1.0769470404984423</v>
      </c>
      <c r="AN449" s="18">
        <f t="shared" si="222"/>
        <v>44359</v>
      </c>
      <c r="AO449" s="388">
        <f t="shared" si="201"/>
        <v>1.0769470404984425</v>
      </c>
      <c r="AP449" s="646">
        <f t="shared" si="233"/>
        <v>1.3908647580611257</v>
      </c>
      <c r="AQ449" s="7">
        <f t="shared" si="211"/>
        <v>33171.285714285717</v>
      </c>
      <c r="AR449" s="297">
        <f t="shared" si="215"/>
        <v>566.00800000000004</v>
      </c>
      <c r="AS449" s="68">
        <f t="shared" si="216"/>
        <v>1.0769470404984423</v>
      </c>
      <c r="AT449" s="180">
        <f t="shared" si="181"/>
        <v>1.818186895037158E-2</v>
      </c>
    </row>
    <row r="450" spans="1:46" x14ac:dyDescent="0.25">
      <c r="A450" s="107">
        <v>44341</v>
      </c>
      <c r="B450" s="183">
        <v>24601</v>
      </c>
      <c r="C450" s="126">
        <f t="shared" si="228"/>
        <v>3586736</v>
      </c>
      <c r="D450" s="126">
        <v>576</v>
      </c>
      <c r="E450" s="126">
        <v>75049</v>
      </c>
      <c r="F450" s="126">
        <f t="shared" si="230"/>
        <v>24477</v>
      </c>
      <c r="G450" s="155">
        <v>3157660</v>
      </c>
      <c r="H450" s="126">
        <v>6552</v>
      </c>
      <c r="I450" s="4">
        <v>86340</v>
      </c>
      <c r="J450" s="4">
        <f t="shared" si="232"/>
        <v>13342649</v>
      </c>
      <c r="K450" s="623">
        <f t="shared" si="243"/>
        <v>2.0924037899639116E-2</v>
      </c>
      <c r="L450" s="7">
        <v>21222</v>
      </c>
      <c r="M450" s="7">
        <v>6947118</v>
      </c>
      <c r="N450" s="202">
        <f t="shared" si="217"/>
        <v>0.43617247615332788</v>
      </c>
      <c r="O450" s="4"/>
      <c r="P450" s="4"/>
      <c r="Q450" s="4"/>
      <c r="R450" s="4">
        <f t="shared" si="235"/>
        <v>354027</v>
      </c>
      <c r="S450" s="39">
        <f t="shared" si="236"/>
        <v>179</v>
      </c>
      <c r="T450" s="91">
        <f t="shared" si="237"/>
        <v>-452</v>
      </c>
      <c r="U450" s="91">
        <f>SUM(B437:B450)/POBLA!$B$25*100000</f>
        <v>871.83251729759172</v>
      </c>
      <c r="V450" s="91">
        <f>B450/POBLA!$B$25*100000</f>
        <v>54.210913883712315</v>
      </c>
      <c r="W450" s="625">
        <f t="shared" si="173"/>
        <v>1.3837160094430359</v>
      </c>
      <c r="X450" s="28">
        <f t="shared" si="212"/>
        <v>2.2850446755529514E-2</v>
      </c>
      <c r="Y450" s="202">
        <f t="shared" si="238"/>
        <v>0.29082113854094882</v>
      </c>
      <c r="Z450" s="590">
        <f t="shared" si="239"/>
        <v>30746.857142857141</v>
      </c>
      <c r="AA450" s="543">
        <f t="shared" si="240"/>
        <v>469.71428571428572</v>
      </c>
      <c r="AB450" s="179">
        <f t="shared" si="204"/>
        <v>439.03496330124545</v>
      </c>
      <c r="AC450" s="179">
        <f t="shared" si="190"/>
        <v>-30.679322413040268</v>
      </c>
      <c r="AD450" s="179">
        <f t="shared" si="163"/>
        <v>28259.928571428572</v>
      </c>
      <c r="AE450" s="202">
        <f t="shared" si="234"/>
        <v>1.1929871238449983</v>
      </c>
      <c r="AF450" s="202">
        <f t="shared" si="182"/>
        <v>0.15165187633373245</v>
      </c>
      <c r="AG450" s="202">
        <f t="shared" si="207"/>
        <v>-0.30785246040007874</v>
      </c>
      <c r="AH450" s="388">
        <f t="shared" si="241"/>
        <v>0.94891774891774894</v>
      </c>
      <c r="AI450" s="592">
        <f t="shared" si="242"/>
        <v>0.19298712384499828</v>
      </c>
      <c r="AJ450" s="544">
        <f t="shared" si="223"/>
        <v>2.2821288764263307E-2</v>
      </c>
      <c r="AK450" s="28">
        <f t="shared" si="227"/>
        <v>2.1313693853120284E-2</v>
      </c>
      <c r="AL450" s="202">
        <f t="shared" si="188"/>
        <v>1.1271288491312574</v>
      </c>
      <c r="AM450" s="202">
        <f t="shared" si="189"/>
        <v>0.94891774891774894</v>
      </c>
      <c r="AN450" s="18">
        <f t="shared" si="222"/>
        <v>44360</v>
      </c>
      <c r="AO450" s="388">
        <f t="shared" si="201"/>
        <v>0.94891774891774894</v>
      </c>
      <c r="AP450" s="646">
        <f t="shared" si="233"/>
        <v>1.3837160094430359</v>
      </c>
      <c r="AQ450" s="7">
        <f t="shared" si="211"/>
        <v>33171.285714285717</v>
      </c>
      <c r="AR450" s="297">
        <f t="shared" si="215"/>
        <v>568.98</v>
      </c>
      <c r="AS450" s="68">
        <f t="shared" si="216"/>
        <v>0.94891774891774894</v>
      </c>
      <c r="AT450" s="180">
        <f t="shared" si="181"/>
        <v>1.8501016736194156E-2</v>
      </c>
    </row>
    <row r="451" spans="1:46" x14ac:dyDescent="0.25">
      <c r="A451" s="107">
        <v>44342</v>
      </c>
      <c r="B451" s="183">
        <v>35399</v>
      </c>
      <c r="C451" s="126">
        <f t="shared" si="228"/>
        <v>3622135</v>
      </c>
      <c r="D451" s="126">
        <v>531</v>
      </c>
      <c r="E451" s="126">
        <v>75580</v>
      </c>
      <c r="F451" s="126">
        <f t="shared" si="230"/>
        <v>23628</v>
      </c>
      <c r="G451" s="155">
        <v>3181288</v>
      </c>
      <c r="H451" s="126">
        <v>6644</v>
      </c>
      <c r="I451" s="4">
        <v>107881</v>
      </c>
      <c r="J451" s="4">
        <f t="shared" si="232"/>
        <v>13450530</v>
      </c>
      <c r="K451" s="623">
        <f t="shared" si="243"/>
        <v>2.0866146623469306E-2</v>
      </c>
      <c r="L451" s="7">
        <v>21364</v>
      </c>
      <c r="M451" s="7">
        <v>6982199</v>
      </c>
      <c r="N451" s="202">
        <f t="shared" si="217"/>
        <v>0.50225595913734389</v>
      </c>
      <c r="O451" s="4"/>
      <c r="P451" s="4"/>
      <c r="Q451" s="4"/>
      <c r="R451" s="4">
        <f t="shared" si="235"/>
        <v>365267</v>
      </c>
      <c r="S451" s="39">
        <f t="shared" si="236"/>
        <v>92</v>
      </c>
      <c r="T451" s="91">
        <f t="shared" si="237"/>
        <v>11240</v>
      </c>
      <c r="U451" s="91">
        <f>SUM(B438:B451)/POBLA!$B$25*100000</f>
        <v>895.90471043062189</v>
      </c>
      <c r="V451" s="91">
        <f>B451/POBLA!$B$25*100000</f>
        <v>78.005452647027852</v>
      </c>
      <c r="W451" s="625">
        <f t="shared" si="173"/>
        <v>1.4181671678026524</v>
      </c>
      <c r="X451" s="28">
        <f t="shared" si="212"/>
        <v>2.3381111412192384E-2</v>
      </c>
      <c r="Y451" s="202">
        <f t="shared" si="238"/>
        <v>0.29205825799137008</v>
      </c>
      <c r="Z451" s="590">
        <f t="shared" si="239"/>
        <v>30139.285714285714</v>
      </c>
      <c r="AA451" s="543">
        <f t="shared" si="240"/>
        <v>475</v>
      </c>
      <c r="AB451" s="179">
        <f t="shared" si="204"/>
        <v>440.41456725495271</v>
      </c>
      <c r="AC451" s="179">
        <f t="shared" si="190"/>
        <v>-34.585432745047285</v>
      </c>
      <c r="AD451" s="179">
        <f t="shared" ref="AD451:AD459" si="244">AVERAGE(B438:B451)</f>
        <v>29040.214285714286</v>
      </c>
      <c r="AE451" s="202">
        <f t="shared" si="234"/>
        <v>1.0786704705810171</v>
      </c>
      <c r="AF451" s="202">
        <f t="shared" si="182"/>
        <v>0.10773910432733569</v>
      </c>
      <c r="AG451" s="202">
        <f t="shared" si="207"/>
        <v>-0.10725814586906079</v>
      </c>
      <c r="AH451" s="388">
        <f t="shared" si="241"/>
        <v>0.96015015882183075</v>
      </c>
      <c r="AI451" s="592">
        <f t="shared" si="242"/>
        <v>7.867047058101706E-2</v>
      </c>
      <c r="AJ451" s="544">
        <f t="shared" si="223"/>
        <v>2.2692992813316864E-2</v>
      </c>
      <c r="AK451" s="28">
        <f t="shared" si="227"/>
        <v>2.0149147361110689E-2</v>
      </c>
      <c r="AL451" s="202">
        <f t="shared" si="188"/>
        <v>1.1305087629743067</v>
      </c>
      <c r="AM451" s="202">
        <f t="shared" si="189"/>
        <v>0.96015015882183075</v>
      </c>
      <c r="AN451" s="18">
        <f t="shared" si="222"/>
        <v>44361</v>
      </c>
      <c r="AO451" s="388">
        <f t="shared" si="201"/>
        <v>0.96015015882183075</v>
      </c>
      <c r="AP451" s="646">
        <f t="shared" si="233"/>
        <v>1.4181671678026524</v>
      </c>
      <c r="AQ451" s="7">
        <f t="shared" si="211"/>
        <v>33171.285714285717</v>
      </c>
      <c r="AR451" s="297">
        <f t="shared" si="215"/>
        <v>570.42399999999998</v>
      </c>
      <c r="AS451" s="68">
        <f t="shared" si="216"/>
        <v>0.96015015882183075</v>
      </c>
      <c r="AT451" s="180">
        <f t="shared" si="181"/>
        <v>1.8205743624555192E-2</v>
      </c>
    </row>
    <row r="452" spans="1:46" x14ac:dyDescent="0.25">
      <c r="A452" s="107">
        <v>44343</v>
      </c>
      <c r="B452" s="126">
        <v>41080</v>
      </c>
      <c r="C452" s="126">
        <f t="shared" si="228"/>
        <v>3663215</v>
      </c>
      <c r="D452" s="126">
        <v>549</v>
      </c>
      <c r="E452" s="126">
        <v>76129</v>
      </c>
      <c r="F452" s="126">
        <f t="shared" si="230"/>
        <v>38186</v>
      </c>
      <c r="G452" s="155">
        <v>3219474</v>
      </c>
      <c r="H452" s="126">
        <v>6802</v>
      </c>
      <c r="I452" s="4">
        <v>121115</v>
      </c>
      <c r="J452" s="4">
        <f t="shared" si="232"/>
        <v>13571645</v>
      </c>
      <c r="K452" s="623">
        <f t="shared" si="243"/>
        <v>2.0782017981472559E-2</v>
      </c>
      <c r="L452" s="7">
        <v>21496</v>
      </c>
      <c r="M452" s="7">
        <v>7022310</v>
      </c>
      <c r="N452" s="202">
        <f t="shared" si="217"/>
        <v>0.50596741018093139</v>
      </c>
      <c r="O452" s="4"/>
      <c r="P452" s="4"/>
      <c r="Q452" s="4"/>
      <c r="R452" s="4">
        <f>C452-E452-G452</f>
        <v>367612</v>
      </c>
      <c r="S452" s="39">
        <f>H452-H451</f>
        <v>158</v>
      </c>
      <c r="T452" s="91">
        <f>(C452-G452-E452)-(C451-E451-G451)</f>
        <v>2345</v>
      </c>
      <c r="U452" s="91">
        <f>SUM(B439:B452)/POBLA!$B$25*100000</f>
        <v>927.96497570821759</v>
      </c>
      <c r="V452" s="91">
        <f>B452/POBLA!$B$25*100000</f>
        <v>90.524138951380095</v>
      </c>
      <c r="W452" s="625">
        <f t="shared" ref="W452:W459" si="245">SUM(B439:B452)/SUM(B425:B438)</f>
        <v>1.466471653433626</v>
      </c>
      <c r="X452" s="28">
        <f t="shared" ref="X452:X459" si="246">H452/R442</f>
        <v>2.3321036246691445E-2</v>
      </c>
      <c r="Y452" s="202">
        <f t="shared" ref="Y452:Y459" si="247">SUM(B446:B452)/SUM(I446:I452)</f>
        <v>0.28946420513205062</v>
      </c>
      <c r="Z452" s="590">
        <f t="shared" ref="Z452:Z463" si="248">AVERAGE(B446:B452)</f>
        <v>30881.571428571428</v>
      </c>
      <c r="AA452" s="543">
        <f t="shared" ref="AA452:AA462" si="249">AVERAGE(D446:D452)</f>
        <v>491.28571428571428</v>
      </c>
      <c r="AB452" s="179">
        <f t="shared" si="204"/>
        <v>447.11566773612236</v>
      </c>
      <c r="AC452" s="179">
        <f t="shared" si="190"/>
        <v>-44.170046549591916</v>
      </c>
      <c r="AD452" s="179">
        <f t="shared" si="244"/>
        <v>30079.428571428572</v>
      </c>
      <c r="AE452" s="202">
        <f t="shared" si="234"/>
        <v>1.0547962584353545</v>
      </c>
      <c r="AF452" s="202">
        <f t="shared" si="182"/>
        <v>8.374262247719666E-2</v>
      </c>
      <c r="AG452" s="202">
        <f t="shared" si="207"/>
        <v>0.14479991082376542</v>
      </c>
      <c r="AH452" s="388">
        <f t="shared" ref="AH452:AH462" si="250">AA452/AA445</f>
        <v>0.99681159420289855</v>
      </c>
      <c r="AI452" s="592">
        <f t="shared" ref="AI452:AI462" si="251">AE452-1</f>
        <v>5.4796258435354517E-2</v>
      </c>
      <c r="AJ452" s="544">
        <f t="shared" si="223"/>
        <v>2.2724869822641609E-2</v>
      </c>
      <c r="AK452" s="28">
        <f t="shared" si="227"/>
        <v>2.0052711331757102E-2</v>
      </c>
      <c r="AL452" s="202">
        <f t="shared" si="188"/>
        <v>1.1430011762728953</v>
      </c>
      <c r="AM452" s="202">
        <f t="shared" si="189"/>
        <v>0.99681159420289855</v>
      </c>
      <c r="AN452" s="18">
        <f t="shared" si="222"/>
        <v>44362</v>
      </c>
      <c r="AO452" s="388">
        <f t="shared" si="201"/>
        <v>0.99681159420289855</v>
      </c>
      <c r="AP452" s="646">
        <f t="shared" si="233"/>
        <v>1.466471653433626</v>
      </c>
      <c r="AQ452" s="7">
        <f t="shared" si="211"/>
        <v>33171.285714285717</v>
      </c>
      <c r="AR452" s="297">
        <f t="shared" si="215"/>
        <v>562.55600000000004</v>
      </c>
      <c r="AS452" s="68">
        <f t="shared" si="216"/>
        <v>0.99681159420289855</v>
      </c>
      <c r="AT452" s="180">
        <f t="shared" si="181"/>
        <v>1.7874975430153699E-2</v>
      </c>
    </row>
    <row r="453" spans="1:46" x14ac:dyDescent="0.25">
      <c r="A453" s="107">
        <v>44344</v>
      </c>
      <c r="B453" s="126">
        <v>39207</v>
      </c>
      <c r="C453" s="126">
        <f t="shared" si="228"/>
        <v>3702422</v>
      </c>
      <c r="D453" s="126">
        <v>560</v>
      </c>
      <c r="E453" s="126">
        <v>76689</v>
      </c>
      <c r="F453" s="126">
        <f t="shared" si="230"/>
        <v>33369</v>
      </c>
      <c r="G453" s="155">
        <v>3252843</v>
      </c>
      <c r="H453" s="126">
        <v>6872</v>
      </c>
      <c r="I453" s="4">
        <v>110987</v>
      </c>
      <c r="J453" s="4">
        <f t="shared" si="232"/>
        <v>13682632</v>
      </c>
      <c r="K453" s="623">
        <f t="shared" si="243"/>
        <v>2.0713198009303099E-2</v>
      </c>
      <c r="L453" s="30">
        <v>21659</v>
      </c>
      <c r="M453" s="30">
        <v>7061012</v>
      </c>
      <c r="N453" s="202">
        <f t="shared" si="217"/>
        <v>0.5032409606078887</v>
      </c>
      <c r="O453" s="4"/>
      <c r="P453" s="4"/>
      <c r="Q453" s="4"/>
      <c r="R453" s="4">
        <f>C453-E453-G453</f>
        <v>372890</v>
      </c>
      <c r="S453" s="39">
        <f>H453-H452</f>
        <v>70</v>
      </c>
      <c r="T453" s="91">
        <f>(C453-G453-E453)-(C452-E452-G452)</f>
        <v>5278</v>
      </c>
      <c r="U453" s="91">
        <f>SUM(B440:B453)/POBLA!$B$25*100000</f>
        <v>954.06448646138574</v>
      </c>
      <c r="V453" s="91">
        <f>B453/POBLA!$B$25*100000</f>
        <v>86.396784709512161</v>
      </c>
      <c r="W453" s="625">
        <f t="shared" si="245"/>
        <v>1.4822031954481809</v>
      </c>
      <c r="X453" s="28">
        <f t="shared" si="246"/>
        <v>2.2354655701868526E-2</v>
      </c>
      <c r="Y453" s="202">
        <f t="shared" si="247"/>
        <v>0.29008390813240098</v>
      </c>
      <c r="Z453" s="599">
        <f t="shared" si="248"/>
        <v>31415.714285714286</v>
      </c>
      <c r="AA453" s="543">
        <f t="shared" si="249"/>
        <v>472.14285714285717</v>
      </c>
      <c r="AB453" s="179">
        <f>Z439*K439</f>
        <v>461.90578697386229</v>
      </c>
      <c r="AC453" s="179">
        <f t="shared" si="190"/>
        <v>-10.237070168994876</v>
      </c>
      <c r="AD453" s="179">
        <f t="shared" si="244"/>
        <v>30925.428571428572</v>
      </c>
      <c r="AE453" s="262">
        <f t="shared" si="234"/>
        <v>1.0322183941496201</v>
      </c>
      <c r="AF453" s="202">
        <f t="shared" si="182"/>
        <v>6.8504769573302982E-2</v>
      </c>
      <c r="AG453" s="202">
        <f t="shared" si="207"/>
        <v>0.10541896921168381</v>
      </c>
      <c r="AH453" s="388">
        <f t="shared" si="250"/>
        <v>0.93282528930285069</v>
      </c>
      <c r="AI453" s="592">
        <f t="shared" si="251"/>
        <v>3.2218394149620133E-2</v>
      </c>
      <c r="AJ453" s="544">
        <f t="shared" si="223"/>
        <v>2.1353301847173677E-2</v>
      </c>
      <c r="AK453" s="28">
        <f t="shared" si="227"/>
        <v>1.9691503597596444E-2</v>
      </c>
      <c r="AL453" s="202">
        <f t="shared" si="188"/>
        <v>1.1402024224323877</v>
      </c>
      <c r="AM453" s="202">
        <f t="shared" si="189"/>
        <v>0.93282528930285069</v>
      </c>
      <c r="AN453" s="18">
        <f t="shared" si="222"/>
        <v>44363</v>
      </c>
      <c r="AO453" s="388">
        <f t="shared" si="201"/>
        <v>0.93282528930285069</v>
      </c>
      <c r="AP453" s="646">
        <f t="shared" si="233"/>
        <v>1.4822031954481809</v>
      </c>
      <c r="AQ453" s="7">
        <f t="shared" si="211"/>
        <v>33171.285714285717</v>
      </c>
      <c r="AR453" s="297">
        <f t="shared" si="215"/>
        <v>563.08400000000006</v>
      </c>
      <c r="AS453" s="68">
        <f t="shared" si="216"/>
        <v>0.93282528930285069</v>
      </c>
      <c r="AT453" s="180">
        <f t="shared" si="181"/>
        <v>1.7791119178004272E-2</v>
      </c>
    </row>
    <row r="454" spans="1:46" x14ac:dyDescent="0.25">
      <c r="A454" s="107">
        <v>44345</v>
      </c>
      <c r="B454" s="126">
        <v>29841</v>
      </c>
      <c r="C454" s="126">
        <f t="shared" si="228"/>
        <v>3732263</v>
      </c>
      <c r="D454" s="126">
        <v>416</v>
      </c>
      <c r="E454" s="126">
        <v>77105</v>
      </c>
      <c r="F454" s="126">
        <f t="shared" si="230"/>
        <v>35624</v>
      </c>
      <c r="G454" s="155">
        <v>3288467</v>
      </c>
      <c r="H454" s="126">
        <v>6909</v>
      </c>
      <c r="I454" s="4">
        <v>105569</v>
      </c>
      <c r="J454" s="4">
        <f t="shared" si="232"/>
        <v>13788201</v>
      </c>
      <c r="K454" s="623">
        <f t="shared" si="243"/>
        <v>2.065904787524352E-2</v>
      </c>
      <c r="L454" s="7">
        <v>21713</v>
      </c>
      <c r="M454" s="7">
        <v>7101636</v>
      </c>
      <c r="N454" s="202">
        <f t="shared" si="217"/>
        <v>0.42348683743702548</v>
      </c>
      <c r="O454" s="4"/>
      <c r="P454" s="4"/>
      <c r="Q454" s="4"/>
      <c r="R454" s="4">
        <f>C454-E454-G454</f>
        <v>366691</v>
      </c>
      <c r="S454" s="39">
        <f>H454-H453</f>
        <v>37</v>
      </c>
      <c r="T454" s="91">
        <f>(C454-G454-E454)-(C453-E453-G453)</f>
        <v>-6199</v>
      </c>
      <c r="U454" s="91">
        <f>SUM(B441:B454)/POBLA!$B$25*100000</f>
        <v>972.51307680464151</v>
      </c>
      <c r="V454" s="91">
        <f>B454/POBLA!$B$25*100000</f>
        <v>65.757809894063627</v>
      </c>
      <c r="W454" s="625">
        <f t="shared" si="245"/>
        <v>1.4856027198976671</v>
      </c>
      <c r="X454" s="28">
        <f t="shared" si="246"/>
        <v>2.0952808416302492E-2</v>
      </c>
      <c r="Y454" s="202">
        <f t="shared" si="247"/>
        <v>0.31843787183161049</v>
      </c>
      <c r="Z454" s="590">
        <f t="shared" si="248"/>
        <v>31082.857142857141</v>
      </c>
      <c r="AA454" s="543">
        <f t="shared" si="249"/>
        <v>489.14285714285717</v>
      </c>
      <c r="AB454" s="179">
        <f t="shared" ref="AB454:AB459" si="252">Z440*K440</f>
        <v>472.0264316979825</v>
      </c>
      <c r="AC454" s="179">
        <f t="shared" si="190"/>
        <v>-17.116425444874665</v>
      </c>
      <c r="AD454" s="179">
        <f t="shared" si="244"/>
        <v>31523.428571428572</v>
      </c>
      <c r="AE454" s="202">
        <f t="shared" si="234"/>
        <v>0.97243327314657557</v>
      </c>
      <c r="AF454" s="202">
        <f t="shared" si="182"/>
        <v>2.5124124974839512E-2</v>
      </c>
      <c r="AG454" s="202">
        <f t="shared" si="207"/>
        <v>-7.2425476360697516E-2</v>
      </c>
      <c r="AH454" s="388">
        <f t="shared" si="250"/>
        <v>0.99534883720930234</v>
      </c>
      <c r="AI454" s="592">
        <f t="shared" si="251"/>
        <v>-2.7566726853424428E-2</v>
      </c>
      <c r="AJ454" s="544">
        <f t="shared" si="223"/>
        <v>2.1461029803503714E-2</v>
      </c>
      <c r="AK454" s="28">
        <f t="shared" si="227"/>
        <v>1.9314852503746115E-2</v>
      </c>
      <c r="AL454" s="202">
        <f t="shared" si="188"/>
        <v>1.1256109481915935</v>
      </c>
      <c r="AM454" s="202">
        <f t="shared" si="189"/>
        <v>0.99534883720930234</v>
      </c>
      <c r="AN454" s="18">
        <f t="shared" si="222"/>
        <v>44364</v>
      </c>
      <c r="AO454" s="388">
        <f t="shared" si="201"/>
        <v>0.99534883720930234</v>
      </c>
      <c r="AP454" s="646">
        <f t="shared" si="233"/>
        <v>1.4856027198976671</v>
      </c>
      <c r="AQ454" s="7">
        <f t="shared" si="211"/>
        <v>33171.285714285717</v>
      </c>
      <c r="AR454" s="297">
        <f t="shared" si="215"/>
        <v>569.17200000000003</v>
      </c>
      <c r="AS454" s="68">
        <f t="shared" si="216"/>
        <v>0.99534883720930234</v>
      </c>
      <c r="AT454" s="180">
        <f t="shared" si="181"/>
        <v>1.7517881953378275E-2</v>
      </c>
    </row>
    <row r="455" spans="1:46" x14ac:dyDescent="0.25">
      <c r="A455" s="107">
        <v>44346</v>
      </c>
      <c r="B455" s="126">
        <v>21346</v>
      </c>
      <c r="C455" s="126">
        <v>3753609</v>
      </c>
      <c r="D455" s="126">
        <v>348</v>
      </c>
      <c r="E455" s="126">
        <v>77453</v>
      </c>
      <c r="F455" s="126">
        <v>30601</v>
      </c>
      <c r="G455" s="155">
        <v>3319068</v>
      </c>
      <c r="H455" s="126">
        <v>7200</v>
      </c>
      <c r="I455" s="4">
        <v>84421</v>
      </c>
      <c r="J455" s="4">
        <v>13872622</v>
      </c>
      <c r="K455" s="623">
        <f t="shared" si="243"/>
        <v>2.0634274907162679E-2</v>
      </c>
      <c r="L455" s="7">
        <v>21812</v>
      </c>
      <c r="M455" s="7">
        <v>7135288</v>
      </c>
      <c r="N455" s="202">
        <f t="shared" si="217"/>
        <v>0.38812320448016291</v>
      </c>
      <c r="O455" s="4"/>
      <c r="P455" s="4"/>
      <c r="Q455" s="4"/>
      <c r="R455" s="4">
        <v>357085</v>
      </c>
      <c r="S455" s="1">
        <v>291</v>
      </c>
      <c r="T455" s="4">
        <v>-9603</v>
      </c>
      <c r="U455" s="91">
        <f>SUM(B442:B455)/POBLA!$B$25*100000</f>
        <v>983.52229292443462</v>
      </c>
      <c r="V455" s="91">
        <f>B455/POBLA!$B$25*100000</f>
        <v>47.038175999419657</v>
      </c>
      <c r="W455" s="625">
        <f t="shared" si="245"/>
        <v>1.4777668147775358</v>
      </c>
      <c r="X455" s="28">
        <f t="shared" si="246"/>
        <v>2.1226039633732895E-2</v>
      </c>
      <c r="Y455" s="202">
        <f t="shared" si="247"/>
        <v>0.31232360006826265</v>
      </c>
      <c r="Z455" s="590">
        <f t="shared" si="248"/>
        <v>30589.285714285714</v>
      </c>
      <c r="AA455" s="543">
        <f t="shared" si="249"/>
        <v>485.28571428571428</v>
      </c>
      <c r="AB455" s="179">
        <f t="shared" si="252"/>
        <v>486.02278757349308</v>
      </c>
      <c r="AC455" s="179">
        <f t="shared" si="190"/>
        <v>0.73707328777879866</v>
      </c>
      <c r="AD455" s="179">
        <f t="shared" si="244"/>
        <v>31880.285714285714</v>
      </c>
      <c r="AE455" s="202">
        <f t="shared" si="234"/>
        <v>0.92216159414984555</v>
      </c>
      <c r="AF455" s="202">
        <f t="shared" si="182"/>
        <v>-3.8886517759757488E-3</v>
      </c>
      <c r="AG455" s="202">
        <f t="shared" si="207"/>
        <v>-0.13930889883472442</v>
      </c>
      <c r="AH455" s="388">
        <f t="shared" si="250"/>
        <v>0.95825105782792663</v>
      </c>
      <c r="AI455" s="592">
        <f t="shared" si="251"/>
        <v>-7.7838405850154446E-2</v>
      </c>
      <c r="AJ455" s="544">
        <f t="shared" si="223"/>
        <v>1.9883636533913979E-2</v>
      </c>
      <c r="AK455" s="28">
        <f t="shared" si="227"/>
        <v>2.008485852727775E-2</v>
      </c>
      <c r="AL455" s="202">
        <f t="shared" si="188"/>
        <v>1.1586739620212423</v>
      </c>
      <c r="AM455" s="202">
        <f t="shared" si="189"/>
        <v>0.95825105782792663</v>
      </c>
      <c r="AN455" s="18">
        <f t="shared" si="222"/>
        <v>44365</v>
      </c>
      <c r="AO455" s="388">
        <f t="shared" si="201"/>
        <v>0.95825105782792663</v>
      </c>
      <c r="AP455" s="646">
        <f t="shared" si="233"/>
        <v>1.4777668147775358</v>
      </c>
      <c r="AQ455" s="7">
        <f t="shared" si="211"/>
        <v>33171.285714285717</v>
      </c>
      <c r="AR455" s="297">
        <f t="shared" si="215"/>
        <v>569.92400000000009</v>
      </c>
    </row>
    <row r="456" spans="1:46" ht="15.75" x14ac:dyDescent="0.25">
      <c r="A456" s="107">
        <v>44347</v>
      </c>
      <c r="B456" s="183">
        <v>28175</v>
      </c>
      <c r="C456" s="126">
        <f t="shared" ref="C456:C464" si="253">C455+B456</f>
        <v>3781784</v>
      </c>
      <c r="D456" s="126">
        <v>638</v>
      </c>
      <c r="E456" s="126">
        <v>78091</v>
      </c>
      <c r="F456" s="126">
        <f t="shared" ref="F456:F463" si="254">G456-G455</f>
        <v>31534</v>
      </c>
      <c r="G456" s="155">
        <v>3350602</v>
      </c>
      <c r="H456" s="126">
        <v>7325</v>
      </c>
      <c r="I456" s="4">
        <v>87048</v>
      </c>
      <c r="J456" s="4">
        <f t="shared" ref="J456:J464" si="255">J455+I456</f>
        <v>13959670</v>
      </c>
      <c r="K456" s="623">
        <f t="shared" ref="K456:K463" si="256">E456/C456</f>
        <v>2.0649249137444127E-2</v>
      </c>
      <c r="L456" s="7">
        <v>22012</v>
      </c>
      <c r="M456" s="7">
        <v>7164939</v>
      </c>
      <c r="N456" s="202">
        <f t="shared" si="217"/>
        <v>0.48723757479334556</v>
      </c>
      <c r="O456" s="4"/>
      <c r="P456" s="4"/>
      <c r="Q456" s="4"/>
      <c r="R456" s="4">
        <v>357085</v>
      </c>
      <c r="S456" s="1">
        <v>291</v>
      </c>
      <c r="T456" s="4">
        <v>-9603</v>
      </c>
      <c r="U456" s="91">
        <f>SUM(B443:B456)/POBLA!$B$25*100000</f>
        <v>982.40947183946753</v>
      </c>
      <c r="V456" s="91">
        <f>B456/POBLA!$B$25*100000</f>
        <v>62.086602116726738</v>
      </c>
      <c r="W456" s="625">
        <f t="shared" si="245"/>
        <v>1.4162605706734099</v>
      </c>
      <c r="X456" s="28">
        <f t="shared" si="246"/>
        <v>2.0989561096099237E-2</v>
      </c>
      <c r="Y456" s="202">
        <f t="shared" si="247"/>
        <v>0.31228487220644874</v>
      </c>
      <c r="Z456" s="626">
        <f t="shared" si="248"/>
        <v>31378.428571428572</v>
      </c>
      <c r="AA456" s="543">
        <f t="shared" si="249"/>
        <v>516.85714285714289</v>
      </c>
      <c r="AB456" s="179">
        <f t="shared" si="252"/>
        <v>519.66326813552132</v>
      </c>
      <c r="AC456" s="179">
        <f t="shared" si="190"/>
        <v>2.8061252783784312</v>
      </c>
      <c r="AD456" s="179">
        <f t="shared" si="244"/>
        <v>31844.214285714286</v>
      </c>
      <c r="AE456" s="202">
        <f t="shared" si="234"/>
        <v>0.97116770570809574</v>
      </c>
      <c r="AF456" s="202">
        <f t="shared" si="182"/>
        <v>7.3516343704422837E-3</v>
      </c>
      <c r="AG456" s="202">
        <f t="shared" ref="AG456:AG462" si="257">B456/B449-1</f>
        <v>0.24387444262946456</v>
      </c>
      <c r="AH456" s="388">
        <f t="shared" si="250"/>
        <v>1.0465721724038184</v>
      </c>
      <c r="AI456" s="592">
        <f t="shared" si="251"/>
        <v>-2.8832294291904259E-2</v>
      </c>
      <c r="AJ456" s="544">
        <f t="shared" si="223"/>
        <v>2.005420955484976E-2</v>
      </c>
      <c r="AK456" s="28">
        <f t="shared" si="227"/>
        <v>2.0664129609934578E-2</v>
      </c>
      <c r="AL456" s="202">
        <f t="shared" si="188"/>
        <v>1.1493801977090852</v>
      </c>
      <c r="AM456" s="202">
        <f t="shared" si="189"/>
        <v>1.0465721724038184</v>
      </c>
      <c r="AN456" s="18">
        <f t="shared" si="222"/>
        <v>44366</v>
      </c>
      <c r="AO456" s="388">
        <f t="shared" si="201"/>
        <v>1.0465721724038184</v>
      </c>
      <c r="AP456" s="646">
        <f t="shared" si="233"/>
        <v>1.4162605706734099</v>
      </c>
      <c r="AQ456" s="7">
        <f t="shared" si="211"/>
        <v>33171.285714285717</v>
      </c>
      <c r="AR456" s="297">
        <f t="shared" si="215"/>
        <v>575.76800000000003</v>
      </c>
    </row>
    <row r="457" spans="1:46" ht="15.75" x14ac:dyDescent="0.25">
      <c r="A457" s="107">
        <v>44348</v>
      </c>
      <c r="B457" s="627">
        <v>35355</v>
      </c>
      <c r="C457" s="126">
        <f t="shared" si="253"/>
        <v>3817139</v>
      </c>
      <c r="D457" s="126">
        <v>641</v>
      </c>
      <c r="E457" s="126">
        <v>78732</v>
      </c>
      <c r="F457" s="126">
        <f t="shared" si="254"/>
        <v>30735</v>
      </c>
      <c r="G457" s="155">
        <v>3381337</v>
      </c>
      <c r="H457" s="126">
        <v>7417</v>
      </c>
      <c r="I457" s="4">
        <v>107697</v>
      </c>
      <c r="J457" s="4">
        <f t="shared" si="255"/>
        <v>14067367</v>
      </c>
      <c r="K457" s="623">
        <f t="shared" si="256"/>
        <v>2.0625919045651732E-2</v>
      </c>
      <c r="L457" s="7">
        <v>22160</v>
      </c>
      <c r="M457" s="7">
        <v>7203650</v>
      </c>
      <c r="N457" s="202">
        <f t="shared" si="217"/>
        <v>0.47734453055383036</v>
      </c>
      <c r="O457" s="4"/>
      <c r="P457" s="4"/>
      <c r="Q457" s="4"/>
      <c r="R457" s="4">
        <v>357085</v>
      </c>
      <c r="S457" s="1">
        <v>291</v>
      </c>
      <c r="T457" s="4">
        <v>-9603</v>
      </c>
      <c r="U457" s="91">
        <f>SUM(B444:B457)/POBLA!$B$25*100000</f>
        <v>981.99519389100453</v>
      </c>
      <c r="V457" s="91">
        <f>B457/POBLA!$B$25*100000</f>
        <v>77.908493978238639</v>
      </c>
      <c r="W457" s="625">
        <f t="shared" si="245"/>
        <v>1.3750181276246487</v>
      </c>
      <c r="X457" s="28">
        <f t="shared" si="246"/>
        <v>2.0735021134793013E-2</v>
      </c>
      <c r="Y457" s="202">
        <f t="shared" si="247"/>
        <v>0.31792090164726144</v>
      </c>
      <c r="Z457" s="590">
        <f t="shared" si="248"/>
        <v>32914.714285714283</v>
      </c>
      <c r="AA457" s="543">
        <f t="shared" si="249"/>
        <v>526.14285714285711</v>
      </c>
      <c r="AB457" s="179">
        <f t="shared" si="252"/>
        <v>548.6734941753067</v>
      </c>
      <c r="AC457" s="179">
        <f t="shared" si="190"/>
        <v>22.53063703244959</v>
      </c>
      <c r="AD457" s="179">
        <f t="shared" si="244"/>
        <v>31830.785714285714</v>
      </c>
      <c r="AE457" s="202">
        <f t="shared" si="234"/>
        <v>1.0705066255319939</v>
      </c>
      <c r="AF457" s="202">
        <f t="shared" si="182"/>
        <v>8.6377592669486525E-3</v>
      </c>
      <c r="AG457" s="202">
        <f t="shared" si="257"/>
        <v>0.43713670176009112</v>
      </c>
      <c r="AH457" s="388">
        <f t="shared" si="250"/>
        <v>1.1201338199513382</v>
      </c>
      <c r="AI457" s="592">
        <f t="shared" si="251"/>
        <v>7.0506625531993938E-2</v>
      </c>
      <c r="AJ457" s="544">
        <f t="shared" si="223"/>
        <v>1.883039859296071E-2</v>
      </c>
      <c r="AK457" s="28">
        <f t="shared" si="227"/>
        <v>2.0950379490829795E-2</v>
      </c>
      <c r="AL457" s="202">
        <f t="shared" si="188"/>
        <v>1.132020757020757</v>
      </c>
      <c r="AM457" s="202">
        <f t="shared" si="189"/>
        <v>1.1201338199513382</v>
      </c>
      <c r="AN457" s="18">
        <f t="shared" si="222"/>
        <v>44367</v>
      </c>
      <c r="AO457" s="388">
        <f t="shared" si="201"/>
        <v>1.1201338199513382</v>
      </c>
      <c r="AP457" s="646">
        <f t="shared" si="233"/>
        <v>1.3750181276246487</v>
      </c>
      <c r="AQ457" s="7">
        <f t="shared" si="211"/>
        <v>33171.285714285717</v>
      </c>
      <c r="AR457" s="297">
        <f t="shared" si="215"/>
        <v>574.72</v>
      </c>
    </row>
    <row r="458" spans="1:46" x14ac:dyDescent="0.25">
      <c r="A458" s="107">
        <v>44349</v>
      </c>
      <c r="B458" s="183">
        <v>35017</v>
      </c>
      <c r="C458" s="126">
        <f t="shared" si="253"/>
        <v>3852156</v>
      </c>
      <c r="D458" s="126">
        <v>587</v>
      </c>
      <c r="E458" s="126">
        <v>79319</v>
      </c>
      <c r="F458" s="126">
        <f t="shared" si="254"/>
        <v>27979</v>
      </c>
      <c r="G458" s="155">
        <v>3409316</v>
      </c>
      <c r="H458" s="126">
        <v>7614</v>
      </c>
      <c r="I458" s="4">
        <v>110774</v>
      </c>
      <c r="J458" s="4">
        <f t="shared" si="255"/>
        <v>14178141</v>
      </c>
      <c r="K458" s="623">
        <f t="shared" si="256"/>
        <v>2.0590806810523769E-2</v>
      </c>
      <c r="L458" s="7">
        <v>22348</v>
      </c>
      <c r="M458" s="7">
        <v>7244756</v>
      </c>
      <c r="N458" s="202">
        <f t="shared" si="217"/>
        <v>0.46000551738633527</v>
      </c>
      <c r="O458" s="4"/>
      <c r="P458" s="4"/>
      <c r="Q458" s="4"/>
      <c r="R458" s="4">
        <v>357085</v>
      </c>
      <c r="S458" s="1">
        <v>291</v>
      </c>
      <c r="T458" s="4">
        <v>-9603</v>
      </c>
      <c r="U458" s="91">
        <f>SUM(B445:B458)/POBLA!$B$25*100000</f>
        <v>971.78147957650481</v>
      </c>
      <c r="V458" s="91">
        <f>B458/POBLA!$B$25*100000</f>
        <v>77.163675113448804</v>
      </c>
      <c r="W458" s="625">
        <f t="shared" si="245"/>
        <v>1.2983301144660606</v>
      </c>
      <c r="X458" s="28">
        <f t="shared" si="246"/>
        <v>2.1239737892596221E-2</v>
      </c>
      <c r="Y458" s="202">
        <f t="shared" si="247"/>
        <v>0.31613183418062674</v>
      </c>
      <c r="Z458" s="590">
        <f t="shared" si="248"/>
        <v>32860.142857142855</v>
      </c>
      <c r="AA458" s="543">
        <f t="shared" si="249"/>
        <v>534.14285714285711</v>
      </c>
      <c r="AB458" s="179">
        <f t="shared" si="252"/>
        <v>591.96239787721981</v>
      </c>
      <c r="AC458" s="179">
        <f t="shared" si="190"/>
        <v>57.819540734362704</v>
      </c>
      <c r="AD458" s="179">
        <f t="shared" si="244"/>
        <v>31499.714285714286</v>
      </c>
      <c r="AE458" s="202">
        <f t="shared" si="234"/>
        <v>1.09027609906387</v>
      </c>
      <c r="AF458" s="202">
        <f t="shared" si="182"/>
        <v>-2.2400052564288564E-2</v>
      </c>
      <c r="AG458" s="202">
        <f>B458/B451-1</f>
        <v>-1.0791265289979979E-2</v>
      </c>
      <c r="AH458" s="388">
        <f t="shared" si="250"/>
        <v>1.1245112781954887</v>
      </c>
      <c r="AI458" s="592">
        <f t="shared" si="251"/>
        <v>9.0276099063870019E-2</v>
      </c>
      <c r="AJ458" s="544">
        <f t="shared" si="223"/>
        <v>1.824427518163764E-2</v>
      </c>
      <c r="AK458" s="28">
        <f t="shared" si="227"/>
        <v>2.0845025693533772E-2</v>
      </c>
      <c r="AL458" s="202">
        <f t="shared" si="188"/>
        <v>1.145996387718242</v>
      </c>
      <c r="AM458" s="202">
        <f t="shared" si="189"/>
        <v>1.1245112781954887</v>
      </c>
      <c r="AN458" s="18">
        <f t="shared" si="222"/>
        <v>44368</v>
      </c>
      <c r="AO458" s="388">
        <f t="shared" si="201"/>
        <v>1.1245112781954887</v>
      </c>
      <c r="AP458" s="646">
        <f t="shared" si="233"/>
        <v>1.2983301144660606</v>
      </c>
      <c r="AQ458" s="7">
        <f t="shared" si="211"/>
        <v>33171.285714285717</v>
      </c>
      <c r="AR458" s="297">
        <f t="shared" si="215"/>
        <v>576.30399999999997</v>
      </c>
    </row>
    <row r="459" spans="1:46" x14ac:dyDescent="0.25">
      <c r="A459" s="107">
        <v>44350</v>
      </c>
      <c r="B459" s="183">
        <v>32291</v>
      </c>
      <c r="C459" s="126">
        <f t="shared" si="253"/>
        <v>3884447</v>
      </c>
      <c r="D459" s="126">
        <v>552</v>
      </c>
      <c r="E459" s="126">
        <v>79871</v>
      </c>
      <c r="F459" s="126">
        <f t="shared" si="254"/>
        <v>29121</v>
      </c>
      <c r="G459" s="155">
        <v>3438437</v>
      </c>
      <c r="H459" s="126">
        <v>7698</v>
      </c>
      <c r="I459" s="4">
        <v>116372</v>
      </c>
      <c r="J459" s="4">
        <f t="shared" si="255"/>
        <v>14294513</v>
      </c>
      <c r="K459" s="623">
        <f t="shared" si="256"/>
        <v>2.0561742765443834E-2</v>
      </c>
      <c r="L459" s="7">
        <v>22558</v>
      </c>
      <c r="M459" s="7">
        <v>7288855</v>
      </c>
      <c r="N459" s="202">
        <f t="shared" si="217"/>
        <v>0.42271239691059037</v>
      </c>
      <c r="O459" s="4"/>
      <c r="P459" s="4"/>
      <c r="Q459" s="4"/>
      <c r="R459" s="4">
        <v>357085</v>
      </c>
      <c r="S459" s="1">
        <v>291</v>
      </c>
      <c r="T459" s="4">
        <v>-9603</v>
      </c>
      <c r="U459" s="91">
        <f>SUM(B446:B459)/POBLA!$B$25*100000</f>
        <v>963.86392282742236</v>
      </c>
      <c r="V459" s="91">
        <f>B459/POBLA!$B$25*100000</f>
        <v>71.156644860735511</v>
      </c>
      <c r="W459" s="625">
        <f t="shared" si="245"/>
        <v>1.2445243013469451</v>
      </c>
      <c r="X459" s="28">
        <f t="shared" si="246"/>
        <v>2.1716378121129882E-2</v>
      </c>
      <c r="Y459" s="202">
        <f t="shared" si="247"/>
        <v>0.3060475771510151</v>
      </c>
      <c r="Z459" s="590">
        <f t="shared" si="248"/>
        <v>31604.571428571428</v>
      </c>
      <c r="AA459" s="543">
        <f t="shared" si="249"/>
        <v>534.57142857142856</v>
      </c>
      <c r="AB459" s="179">
        <f t="shared" si="252"/>
        <v>617.50757477172579</v>
      </c>
      <c r="AC459" s="179">
        <f t="shared" si="190"/>
        <v>82.93614620029723</v>
      </c>
      <c r="AD459" s="179">
        <f t="shared" si="244"/>
        <v>31243.071428571428</v>
      </c>
      <c r="AE459" s="202">
        <f t="shared" si="234"/>
        <v>1.0234120210388997</v>
      </c>
      <c r="AF459" s="202">
        <f t="shared" si="182"/>
        <v>-2.8636170745242273E-2</v>
      </c>
      <c r="AG459" s="202">
        <f t="shared" si="257"/>
        <v>-0.21394839337877314</v>
      </c>
      <c r="AH459" s="388">
        <f t="shared" si="250"/>
        <v>1.0881070078511195</v>
      </c>
      <c r="AI459" s="592">
        <f t="shared" si="251"/>
        <v>2.3412021038899722E-2</v>
      </c>
      <c r="AJ459" s="544">
        <f t="shared" si="223"/>
        <v>1.756428189217352E-2</v>
      </c>
      <c r="AK459" s="28">
        <f t="shared" si="227"/>
        <v>2.0940556891505174E-2</v>
      </c>
      <c r="AL459" s="202">
        <f t="shared" si="188"/>
        <v>1.1317259629520728</v>
      </c>
      <c r="AM459" s="202">
        <f t="shared" si="189"/>
        <v>1.0881070078511195</v>
      </c>
      <c r="AN459" s="18">
        <f t="shared" si="222"/>
        <v>44369</v>
      </c>
      <c r="AO459" s="388">
        <f t="shared" si="201"/>
        <v>1.0881070078511195</v>
      </c>
      <c r="AP459" s="646">
        <f t="shared" si="233"/>
        <v>1.2445243013469451</v>
      </c>
      <c r="AQ459" s="7">
        <f t="shared" si="211"/>
        <v>33171.285714285717</v>
      </c>
      <c r="AR459" s="297">
        <f t="shared" si="215"/>
        <v>586.08399999999995</v>
      </c>
    </row>
    <row r="460" spans="1:46" x14ac:dyDescent="0.25">
      <c r="A460" s="107">
        <v>44351</v>
      </c>
      <c r="B460" s="143">
        <v>30950</v>
      </c>
      <c r="C460" s="126">
        <f t="shared" si="253"/>
        <v>3915397</v>
      </c>
      <c r="D460" s="126">
        <v>539</v>
      </c>
      <c r="E460" s="126">
        <v>80410</v>
      </c>
      <c r="F460" s="126">
        <f t="shared" si="254"/>
        <v>26700</v>
      </c>
      <c r="G460" s="155">
        <v>3465137</v>
      </c>
      <c r="H460" s="126">
        <v>7668</v>
      </c>
      <c r="I460" s="4">
        <v>105645</v>
      </c>
      <c r="J460" s="4">
        <f t="shared" si="255"/>
        <v>14400158</v>
      </c>
      <c r="K460" s="623">
        <f t="shared" si="256"/>
        <v>2.0536870207542173E-2</v>
      </c>
      <c r="L460" s="7"/>
      <c r="M460" s="7"/>
      <c r="N460" s="202"/>
      <c r="O460" s="4"/>
      <c r="P460" s="4"/>
      <c r="Q460" s="4"/>
      <c r="R460" s="4">
        <v>357085</v>
      </c>
      <c r="S460" s="1">
        <v>291</v>
      </c>
      <c r="T460" s="4">
        <v>-9603</v>
      </c>
      <c r="U460" s="91">
        <f>SUM(B447:B460)/POBLA!$B$25*100000</f>
        <v>953.90803042765765</v>
      </c>
      <c r="V460" s="91">
        <f>B460/POBLA!$B$25*100000</f>
        <v>68.201609068773465</v>
      </c>
      <c r="W460" s="625">
        <f>SUM(B447:B460)/SUM(B433:B446)</f>
        <v>1.1880108019693834</v>
      </c>
      <c r="X460" s="28">
        <f>H460/R450</f>
        <v>2.1659364963689209E-2</v>
      </c>
      <c r="Y460" s="202">
        <f>SUM(B454:B460)/SUM(I454:I460)</f>
        <v>0.29681851249989549</v>
      </c>
      <c r="Z460" s="590">
        <f t="shared" si="248"/>
        <v>30425</v>
      </c>
      <c r="AA460" s="543">
        <f t="shared" si="249"/>
        <v>531.57142857142856</v>
      </c>
      <c r="AB460" s="179">
        <f t="shared" ref="AB460:AB469" si="258">Z446*K446</f>
        <v>641.33376236135632</v>
      </c>
      <c r="AC460" s="179">
        <f>AB460-AA460</f>
        <v>109.76233378992777</v>
      </c>
      <c r="AD460" s="179">
        <f>AVERAGE(B447:B460)</f>
        <v>30920.357142857141</v>
      </c>
      <c r="AE460" s="202">
        <f>Z460/Z453</f>
        <v>0.9684643717884589</v>
      </c>
      <c r="AF460" s="202">
        <f>R460/R453-1</f>
        <v>-4.2385153798707442E-2</v>
      </c>
      <c r="AG460" s="202">
        <f t="shared" si="257"/>
        <v>-0.21060014793276716</v>
      </c>
      <c r="AH460" s="388">
        <f t="shared" si="250"/>
        <v>1.1258698940998486</v>
      </c>
      <c r="AI460" s="592">
        <f t="shared" si="251"/>
        <v>-3.15356282115411E-2</v>
      </c>
      <c r="AJ460" s="544">
        <f>AA460/Z447</f>
        <v>1.663031624863686E-2</v>
      </c>
      <c r="AK460" s="28">
        <f>H460/R453</f>
        <v>2.0563705114108717E-2</v>
      </c>
      <c r="AL460" s="202">
        <f>H460/H453</f>
        <v>1.1158323632130385</v>
      </c>
      <c r="AM460" s="202">
        <f>AA460/AA453</f>
        <v>1.1258698940998486</v>
      </c>
      <c r="AN460" s="18">
        <f>A459+20</f>
        <v>44370</v>
      </c>
      <c r="AO460" s="388">
        <f>SUM(D454:D460)/SUM(D447:D453)</f>
        <v>1.1258698940998486</v>
      </c>
      <c r="AP460" s="646">
        <f>SUM(B447:B460)/SUM(B433:B446)</f>
        <v>1.1880108019693834</v>
      </c>
      <c r="AQ460" s="7">
        <f>MAX(Z:Z)</f>
        <v>33171.285714285717</v>
      </c>
      <c r="AR460" s="297">
        <f>Z439*0.028</f>
        <v>605.32799999999997</v>
      </c>
    </row>
    <row r="461" spans="1:46" x14ac:dyDescent="0.25">
      <c r="A461" s="107">
        <v>44352</v>
      </c>
      <c r="B461" s="143">
        <v>23627</v>
      </c>
      <c r="C461" s="126">
        <f t="shared" si="253"/>
        <v>3939024</v>
      </c>
      <c r="D461" s="126">
        <v>456</v>
      </c>
      <c r="E461" s="126">
        <v>80866</v>
      </c>
      <c r="F461" s="126">
        <f t="shared" si="254"/>
        <v>32363</v>
      </c>
      <c r="G461" s="155">
        <v>3497500</v>
      </c>
      <c r="H461" s="126">
        <v>7731</v>
      </c>
      <c r="I461" s="4">
        <v>96820</v>
      </c>
      <c r="J461" s="4">
        <f t="shared" si="255"/>
        <v>14496978</v>
      </c>
      <c r="K461" s="623">
        <f t="shared" si="256"/>
        <v>2.0529450950286163E-2</v>
      </c>
      <c r="L461" s="7">
        <v>22800</v>
      </c>
      <c r="M461" s="7">
        <v>7366666</v>
      </c>
      <c r="N461" s="202"/>
      <c r="O461" s="4"/>
      <c r="P461" s="4"/>
      <c r="Q461" s="4"/>
      <c r="R461" s="4">
        <v>357085</v>
      </c>
      <c r="S461" s="1">
        <v>291</v>
      </c>
      <c r="T461" s="4">
        <v>-9603</v>
      </c>
      <c r="U461" s="91">
        <f>SUM(B448:B461)/POBLA!$B$25*100000</f>
        <v>935.08041983368025</v>
      </c>
      <c r="V461" s="91">
        <f>B461/POBLA!$B$25*100000</f>
        <v>52.064601533696631</v>
      </c>
      <c r="W461" s="625">
        <f>SUM(B448:B461)/SUM(B434:B447)</f>
        <v>1.1210382405389341</v>
      </c>
      <c r="X461" s="28">
        <f>H461/R451</f>
        <v>2.1165339327122352E-2</v>
      </c>
      <c r="Y461" s="202">
        <f>SUM(B455:B461)/SUM(I455:I461)</f>
        <v>0.2917151657009186</v>
      </c>
      <c r="Z461" s="590">
        <f t="shared" si="248"/>
        <v>29537.285714285714</v>
      </c>
      <c r="AA461" s="543">
        <f t="shared" si="249"/>
        <v>537.28571428571433</v>
      </c>
      <c r="AB461" s="179">
        <f t="shared" si="258"/>
        <v>670.08588939599963</v>
      </c>
      <c r="AC461" s="179">
        <f>AB461-AA461</f>
        <v>132.80017511028529</v>
      </c>
      <c r="AD461" s="179">
        <f>AVERAGE(B448:B461)</f>
        <v>30310.071428571428</v>
      </c>
      <c r="AE461" s="202">
        <f>Z461/Z454</f>
        <v>0.95027576063976471</v>
      </c>
      <c r="AF461" s="202">
        <f>R461/R454-1</f>
        <v>-2.619644332694282E-2</v>
      </c>
      <c r="AG461" s="202">
        <f t="shared" si="257"/>
        <v>-0.20823698937703161</v>
      </c>
      <c r="AH461" s="388">
        <f t="shared" si="250"/>
        <v>1.0984228971962617</v>
      </c>
      <c r="AI461" s="592">
        <f t="shared" si="251"/>
        <v>-4.9724239360235289E-2</v>
      </c>
      <c r="AJ461" s="544">
        <f>AA461/Z448</f>
        <v>1.6197313511255432E-2</v>
      </c>
      <c r="AK461" s="28">
        <f>H461/R454</f>
        <v>2.108314630029098E-2</v>
      </c>
      <c r="AL461" s="202">
        <f>H461/H454</f>
        <v>1.1189752496743379</v>
      </c>
      <c r="AM461" s="202">
        <f>AA461/AA454</f>
        <v>1.0984228971962617</v>
      </c>
      <c r="AN461" s="18">
        <f>A460+20</f>
        <v>44371</v>
      </c>
      <c r="AO461" s="388">
        <f>SUM(D455:D461)/SUM(D448:D454)</f>
        <v>1.0984228971962617</v>
      </c>
      <c r="AP461" s="646">
        <f>SUM(B448:B461)/SUM(B434:B447)</f>
        <v>1.1210382405389341</v>
      </c>
      <c r="AQ461" s="7">
        <f>MAX(Z:Z)</f>
        <v>33171.285714285717</v>
      </c>
      <c r="AR461" s="297">
        <f>Z440*0.028</f>
        <v>619.10800000000006</v>
      </c>
    </row>
    <row r="462" spans="1:46" x14ac:dyDescent="0.25">
      <c r="A462" s="107">
        <v>44353</v>
      </c>
      <c r="B462" s="143">
        <v>16415</v>
      </c>
      <c r="C462" s="126">
        <f t="shared" si="253"/>
        <v>3955439</v>
      </c>
      <c r="D462" s="126">
        <v>347</v>
      </c>
      <c r="E462" s="126">
        <v>81213</v>
      </c>
      <c r="F462" s="126">
        <f t="shared" si="254"/>
        <v>31533</v>
      </c>
      <c r="G462" s="155">
        <v>3529033</v>
      </c>
      <c r="H462" s="126">
        <v>7776</v>
      </c>
      <c r="I462" s="4">
        <v>66248</v>
      </c>
      <c r="J462" s="4">
        <f t="shared" si="255"/>
        <v>14563226</v>
      </c>
      <c r="K462" s="623">
        <f t="shared" si="256"/>
        <v>2.0531981405856593E-2</v>
      </c>
      <c r="L462" s="7">
        <v>22881</v>
      </c>
      <c r="M462" s="7">
        <v>7392568</v>
      </c>
      <c r="N462" s="202">
        <f t="shared" si="217"/>
        <v>0.38790556986553865</v>
      </c>
      <c r="O462" s="4"/>
      <c r="P462" s="4"/>
      <c r="Q462" s="4"/>
      <c r="R462" s="4">
        <v>357085</v>
      </c>
      <c r="S462" s="1">
        <v>291</v>
      </c>
      <c r="T462" s="4">
        <v>-9603</v>
      </c>
      <c r="U462" s="91">
        <f>SUM(B449:B462)/POBLA!$B$25*100000</f>
        <v>916.60097900490041</v>
      </c>
      <c r="V462" s="91">
        <f>B462/POBLA!$B$25*100000</f>
        <v>36.172194276701667</v>
      </c>
      <c r="W462" s="625">
        <f>SUM(B449:B462)/SUM(B435:B448)</f>
        <v>1.0618031163208626</v>
      </c>
      <c r="X462" s="28">
        <f>H462/R452</f>
        <v>2.1152737125012241E-2</v>
      </c>
      <c r="Y462" s="202">
        <f>SUM(B456:B462)/SUM(I456:I462)</f>
        <v>0.29225142049568203</v>
      </c>
      <c r="Z462" s="590">
        <f t="shared" si="248"/>
        <v>28832.857142857141</v>
      </c>
      <c r="AA462" s="543">
        <f t="shared" si="249"/>
        <v>537.14285714285711</v>
      </c>
      <c r="AB462" s="179">
        <f t="shared" si="258"/>
        <v>694.0369655173306</v>
      </c>
      <c r="AC462" s="179">
        <f>AB462-AA462</f>
        <v>156.89410837447349</v>
      </c>
      <c r="AD462" s="179">
        <f>AVERAGE(B449:B462)</f>
        <v>29711.071428571428</v>
      </c>
      <c r="AE462" s="202">
        <f>Z462/Z455</f>
        <v>0.94258026853473431</v>
      </c>
      <c r="AF462" s="202">
        <f>R462/R455-1</f>
        <v>0</v>
      </c>
      <c r="AG462" s="202">
        <f t="shared" si="257"/>
        <v>-0.23100346669165184</v>
      </c>
      <c r="AH462" s="388">
        <f t="shared" si="250"/>
        <v>1.10685899322932</v>
      </c>
      <c r="AI462" s="592">
        <f t="shared" si="251"/>
        <v>-5.7419731465265689E-2</v>
      </c>
      <c r="AJ462" s="544">
        <f>AA462/Z449</f>
        <v>1.6624662864217182E-2</v>
      </c>
      <c r="AK462" s="28">
        <f>H462/R455</f>
        <v>2.1776327765097945E-2</v>
      </c>
      <c r="AL462" s="202">
        <f>H462/H455</f>
        <v>1.08</v>
      </c>
      <c r="AM462" s="202">
        <f>AA462/AA455</f>
        <v>1.10685899322932</v>
      </c>
      <c r="AN462" s="18">
        <f>A461+20</f>
        <v>44372</v>
      </c>
      <c r="AO462" s="388">
        <f>SUM(D456:D462)/SUM(D449:D455)</f>
        <v>1.10685899322932</v>
      </c>
      <c r="AP462" s="646">
        <f>SUM(B449:B462)/SUM(B435:B448)</f>
        <v>1.0618031163208626</v>
      </c>
      <c r="AQ462" s="7">
        <f>MAX(Z:Z)</f>
        <v>33171.285714285717</v>
      </c>
      <c r="AR462" s="297">
        <f>Z441*0.028</f>
        <v>638.18000000000006</v>
      </c>
    </row>
    <row r="463" spans="1:46" ht="15.75" x14ac:dyDescent="0.25">
      <c r="A463" s="638">
        <v>44354</v>
      </c>
      <c r="B463" s="183">
        <v>22195</v>
      </c>
      <c r="C463" s="126">
        <f t="shared" si="253"/>
        <v>3977634</v>
      </c>
      <c r="D463" s="126">
        <v>733</v>
      </c>
      <c r="E463" s="126">
        <v>81946</v>
      </c>
      <c r="F463" s="126">
        <f t="shared" si="254"/>
        <v>31115</v>
      </c>
      <c r="G463" s="155">
        <v>3560148</v>
      </c>
      <c r="H463" s="126">
        <v>7827</v>
      </c>
      <c r="I463" s="4">
        <v>76547</v>
      </c>
      <c r="J463" s="4">
        <f t="shared" si="255"/>
        <v>14639773</v>
      </c>
      <c r="K463" s="623">
        <f t="shared" si="256"/>
        <v>2.060169437409274E-2</v>
      </c>
      <c r="L463" s="7">
        <v>23112</v>
      </c>
      <c r="M463" s="7">
        <v>7418691</v>
      </c>
      <c r="N463" s="202">
        <f t="shared" si="217"/>
        <v>0.45935262221118422</v>
      </c>
      <c r="O463" s="4"/>
      <c r="P463" s="4"/>
      <c r="Q463" s="4"/>
      <c r="R463" s="4">
        <v>357085</v>
      </c>
      <c r="S463" s="1">
        <v>291</v>
      </c>
      <c r="T463" s="4">
        <v>-9603</v>
      </c>
      <c r="U463" s="91">
        <f>SUM(B450:B463)/POBLA!$B$25*100000</f>
        <v>915.59613461926676</v>
      </c>
      <c r="V463" s="91">
        <f>B463/POBLA!$B$25*100000</f>
        <v>48.90903758582963</v>
      </c>
      <c r="W463" s="625">
        <f>SUM(B450:B463)/SUM(B436:B449)</f>
        <v>1.0465600709294887</v>
      </c>
      <c r="X463" s="28">
        <f>H463/R453</f>
        <v>2.0990104320308938E-2</v>
      </c>
      <c r="Y463" s="202">
        <f>SUM(B457:B463)/SUM(I457:I463)</f>
        <v>0.28797108673245081</v>
      </c>
      <c r="Z463" s="626">
        <f t="shared" si="248"/>
        <v>27978.571428571428</v>
      </c>
      <c r="AA463" s="543">
        <f>AVERAGE(D457:D463)</f>
        <v>550.71428571428567</v>
      </c>
      <c r="AB463" s="179">
        <f t="shared" si="258"/>
        <v>675.50012281960119</v>
      </c>
      <c r="AC463" s="179">
        <f>AB463-AA463</f>
        <v>124.78583710531552</v>
      </c>
      <c r="AD463" s="179">
        <f>AVERAGE(B450:B463)</f>
        <v>29678.5</v>
      </c>
      <c r="AE463" s="202">
        <f>Z463/Z456</f>
        <v>0.89164985954864351</v>
      </c>
      <c r="AF463" s="202">
        <f>R463/R456-1</f>
        <v>0</v>
      </c>
      <c r="AG463" s="202">
        <f>B463/B456-1</f>
        <v>-0.21224489795918366</v>
      </c>
      <c r="AH463" s="388">
        <f>AA463/AA456</f>
        <v>1.0655058043117742</v>
      </c>
      <c r="AI463" s="592">
        <f>AE463-1</f>
        <v>-0.10835014045135649</v>
      </c>
      <c r="AJ463" s="544">
        <f>AA463/Z450</f>
        <v>1.7911238314717415E-2</v>
      </c>
      <c r="AK463" s="28">
        <f>H463/R456</f>
        <v>2.1919150902446196E-2</v>
      </c>
      <c r="AL463" s="202">
        <f>H463/H456</f>
        <v>1.0685324232081912</v>
      </c>
      <c r="AM463" s="202">
        <f>AA463/AA456</f>
        <v>1.0655058043117742</v>
      </c>
      <c r="AN463" s="18">
        <f>A462+20</f>
        <v>44373</v>
      </c>
      <c r="AO463" s="388">
        <f>SUM(D457:D463)/SUM(D450:D456)</f>
        <v>1.0655058043117744</v>
      </c>
      <c r="AP463" s="646">
        <f>SUM(B450:B463)/SUM(B436:B449)</f>
        <v>1.0465600709294887</v>
      </c>
      <c r="AQ463" s="7">
        <f>MAX(Z:Z)</f>
        <v>33171.285714285717</v>
      </c>
      <c r="AR463" s="297">
        <f>Z442*0.028</f>
        <v>683.37599999999998</v>
      </c>
    </row>
    <row r="464" spans="1:46" ht="15.75" x14ac:dyDescent="0.25">
      <c r="A464" s="18">
        <v>44355</v>
      </c>
      <c r="B464" s="627">
        <v>31137</v>
      </c>
      <c r="C464" s="126">
        <f t="shared" si="253"/>
        <v>4008771</v>
      </c>
      <c r="D464" s="126">
        <v>722</v>
      </c>
      <c r="E464" s="126">
        <f>E463+D464</f>
        <v>82668</v>
      </c>
      <c r="F464" s="126">
        <f>G464-G463</f>
        <v>23663</v>
      </c>
      <c r="G464" s="155">
        <v>3583811</v>
      </c>
      <c r="H464" s="126">
        <v>7794</v>
      </c>
      <c r="I464" s="4">
        <v>82667</v>
      </c>
      <c r="J464" s="4">
        <f t="shared" si="255"/>
        <v>14722440</v>
      </c>
      <c r="K464" s="623">
        <f>E464/C464</f>
        <v>2.0621781588421987E-2</v>
      </c>
      <c r="L464" s="7">
        <v>23112</v>
      </c>
      <c r="M464" s="7">
        <v>7418691</v>
      </c>
      <c r="N464" s="202">
        <f>B464/(B464+(M464-M463))</f>
        <v>1</v>
      </c>
      <c r="O464" s="4"/>
      <c r="P464" s="4"/>
      <c r="Q464" s="4"/>
      <c r="R464" s="4">
        <v>357085</v>
      </c>
      <c r="S464" s="1">
        <v>291</v>
      </c>
      <c r="T464" s="4">
        <v>-9603</v>
      </c>
      <c r="U464" s="91">
        <f>SUM(B451:B464)/POBLA!$B$25*100000</f>
        <v>929.99890414668209</v>
      </c>
      <c r="V464" s="91">
        <f>B464/POBLA!$B$25*100000</f>
        <v>68.61368341112761</v>
      </c>
      <c r="W464" s="625">
        <f>SUM(B451:B464)/SUM(B437:B450)</f>
        <v>1.0667173863041814</v>
      </c>
      <c r="X464" s="28">
        <f>H464/R454</f>
        <v>2.1254953080386482E-2</v>
      </c>
      <c r="Y464" s="202">
        <f>SUM(B458:B464)/SUM(I458:I464)</f>
        <v>0.29253533575647295</v>
      </c>
      <c r="Z464" s="626">
        <f>AVERAGE(B458:B464)</f>
        <v>27376</v>
      </c>
      <c r="AA464" s="543">
        <f>AVERAGE(D458:D464)</f>
        <v>562.28571428571433</v>
      </c>
      <c r="AB464" s="179">
        <f t="shared" si="258"/>
        <v>643.34840415193253</v>
      </c>
      <c r="AC464" s="179">
        <f>AB464-AA464</f>
        <v>81.062689866218193</v>
      </c>
      <c r="AD464" s="179">
        <f>AVERAGE(B451:B464)</f>
        <v>30145.357142857141</v>
      </c>
      <c r="AE464" s="202">
        <f>Z464/Z457</f>
        <v>0.83172528135484358</v>
      </c>
      <c r="AF464" s="202">
        <f>R464/R457-1</f>
        <v>0</v>
      </c>
      <c r="AG464" s="202">
        <f>B464/B457-1</f>
        <v>-0.1193042002545609</v>
      </c>
      <c r="AH464" s="388">
        <f>AA464/AA457</f>
        <v>1.0686939994569646</v>
      </c>
      <c r="AI464" s="592">
        <f>AE464-1</f>
        <v>-0.16827471864515642</v>
      </c>
      <c r="AJ464" s="544">
        <f>AA464/Z451</f>
        <v>1.865623889086385E-2</v>
      </c>
      <c r="AK464" s="28">
        <f>H464/R457</f>
        <v>2.1826735931220857E-2</v>
      </c>
      <c r="AL464" s="202">
        <f>H464/H457</f>
        <v>1.0508291762167992</v>
      </c>
      <c r="AM464" s="202">
        <f>AA464/AA457</f>
        <v>1.0686939994569646</v>
      </c>
      <c r="AN464" s="18">
        <f>A463+20</f>
        <v>44374</v>
      </c>
      <c r="AO464" s="388">
        <f>SUM(D458:D464)/SUM(D451:D457)</f>
        <v>1.0686939994569644</v>
      </c>
      <c r="AP464" s="646">
        <f>SUM(B451:B464)/SUM(B437:B450)</f>
        <v>1.0667173863041814</v>
      </c>
      <c r="AQ464" s="7">
        <f>MAX(Z:Z)</f>
        <v>33171.285714285717</v>
      </c>
      <c r="AR464" s="297">
        <f>Z443*0.028</f>
        <v>721.64400000000001</v>
      </c>
    </row>
    <row r="465" spans="2:28" x14ac:dyDescent="0.25">
      <c r="B465" s="143">
        <f>(B457*AI464)+B457</f>
        <v>29405.647322300494</v>
      </c>
      <c r="AB465" s="357">
        <f t="shared" si="258"/>
        <v>628.8907548409195</v>
      </c>
    </row>
    <row r="466" spans="2:28" x14ac:dyDescent="0.25">
      <c r="AB466" s="357">
        <f t="shared" si="258"/>
        <v>641.78137272470065</v>
      </c>
    </row>
    <row r="467" spans="2:28" x14ac:dyDescent="0.25">
      <c r="AB467" s="357">
        <f t="shared" si="258"/>
        <v>650.71991060369203</v>
      </c>
    </row>
    <row r="468" spans="2:28" x14ac:dyDescent="0.25">
      <c r="AB468" s="357">
        <f t="shared" si="258"/>
        <v>642.1422338136407</v>
      </c>
    </row>
    <row r="469" spans="2:28" x14ac:dyDescent="0.25">
      <c r="AB469" s="357">
        <f t="shared" si="258"/>
        <v>631.1877306423155</v>
      </c>
    </row>
    <row r="470" spans="2:28" x14ac:dyDescent="0.25">
      <c r="AB470" s="357"/>
    </row>
    <row r="471" spans="2:28" x14ac:dyDescent="0.25">
      <c r="AB471" s="357"/>
    </row>
    <row r="472" spans="2:28" x14ac:dyDescent="0.25">
      <c r="AB472" s="357"/>
    </row>
    <row r="473" spans="2:28" x14ac:dyDescent="0.25">
      <c r="AB473" s="357"/>
    </row>
  </sheetData>
  <autoFilter ref="A1:R388" xr:uid="{00000000-0009-0000-0000-000000000000}"/>
  <conditionalFormatting sqref="AE66:AE464">
    <cfRule type="colorScale" priority="7">
      <colorScale>
        <cfvo type="min"/>
        <cfvo type="percentile" val="50"/>
        <cfvo type="max"/>
        <color rgb="FF63BE7B"/>
        <color rgb="FFFFEB84"/>
        <color rgb="FFF8696B"/>
      </colorScale>
    </cfRule>
  </conditionalFormatting>
  <conditionalFormatting sqref="Z8:Z464">
    <cfRule type="colorScale" priority="6">
      <colorScale>
        <cfvo type="min"/>
        <cfvo type="percentile" val="50"/>
        <cfvo type="max"/>
        <color rgb="FF63BE7B"/>
        <color rgb="FFFFEB84"/>
        <color rgb="FFF8696B"/>
      </colorScale>
    </cfRule>
  </conditionalFormatting>
  <conditionalFormatting sqref="AM213:AM464">
    <cfRule type="colorScale" priority="5">
      <colorScale>
        <cfvo type="min"/>
        <cfvo type="percentile" val="50"/>
        <cfvo type="max"/>
        <color rgb="FF63BE7B"/>
        <color rgb="FFFFEB84"/>
        <color rgb="FFF8696B"/>
      </colorScale>
    </cfRule>
  </conditionalFormatting>
  <conditionalFormatting sqref="AH138:AH464">
    <cfRule type="colorScale" priority="4">
      <colorScale>
        <cfvo type="min"/>
        <cfvo type="percentile" val="50"/>
        <cfvo type="max"/>
        <color rgb="FF63BE7B"/>
        <color rgb="FFFFEB84"/>
        <color rgb="FFF8696B"/>
      </colorScale>
    </cfRule>
  </conditionalFormatting>
  <conditionalFormatting sqref="AD266:AD464">
    <cfRule type="colorScale" priority="3">
      <colorScale>
        <cfvo type="min"/>
        <cfvo type="percentile" val="50"/>
        <cfvo type="max"/>
        <color rgb="FF63BE7B"/>
        <color rgb="FFFFEB84"/>
        <color rgb="FFF8696B"/>
      </colorScale>
    </cfRule>
  </conditionalFormatting>
  <conditionalFormatting sqref="AP433:AP464">
    <cfRule type="colorScale" priority="2">
      <colorScale>
        <cfvo type="min"/>
        <cfvo type="percentile" val="50"/>
        <cfvo type="max"/>
        <color rgb="FF63BE7B"/>
        <color rgb="FFFFEB84"/>
        <color rgb="FFF8696B"/>
      </colorScale>
    </cfRule>
  </conditionalFormatting>
  <conditionalFormatting sqref="W44:W464">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horizontalDpi="4294967295" verticalDpi="4294967295" r:id="rId1"/>
  <ignoredErrors>
    <ignoredError sqref="AA9:AA421 Z423:Z440 Z354:Z422" formulaRange="1"/>
  </ignoredError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D742F-D14B-4751-90D1-B612C9DFF448}">
  <dimension ref="A1:L25"/>
  <sheetViews>
    <sheetView workbookViewId="0">
      <selection activeCell="B26" sqref="B26"/>
    </sheetView>
  </sheetViews>
  <sheetFormatPr baseColWidth="10" defaultRowHeight="15" x14ac:dyDescent="0.25"/>
  <cols>
    <col min="1" max="1" width="23.28515625" bestFit="1" customWidth="1"/>
    <col min="6" max="6" width="11.42578125" style="578"/>
    <col min="7" max="7" width="11.42578125" style="577"/>
    <col min="8" max="10" width="11.42578125" style="578"/>
    <col min="11" max="11" width="11.42578125" style="569"/>
    <col min="12" max="12" width="11.42578125" style="578"/>
  </cols>
  <sheetData>
    <row r="1" spans="1:12" ht="19.5" thickBot="1" x14ac:dyDescent="0.3">
      <c r="A1" s="54" t="s">
        <v>16</v>
      </c>
      <c r="B1" s="41">
        <v>17541141</v>
      </c>
      <c r="C1" t="s">
        <v>16</v>
      </c>
      <c r="D1">
        <v>1448377</v>
      </c>
      <c r="E1">
        <v>36827</v>
      </c>
      <c r="F1" s="176">
        <v>734.46761530507058</v>
      </c>
      <c r="G1" s="313">
        <v>0.88018801538556135</v>
      </c>
      <c r="H1" s="578">
        <v>646.46959268033606</v>
      </c>
      <c r="I1" s="578">
        <v>9473.1428571428569</v>
      </c>
      <c r="J1" s="578">
        <v>54.005283106400306</v>
      </c>
      <c r="K1" s="569">
        <v>6.0618662230894627E-2</v>
      </c>
      <c r="L1" s="578">
        <v>378.03698174480212</v>
      </c>
    </row>
    <row r="2" spans="1:12" ht="19.5" thickBot="1" x14ac:dyDescent="0.3">
      <c r="A2" s="56" t="s">
        <v>43</v>
      </c>
      <c r="B2" s="41">
        <v>3075646</v>
      </c>
      <c r="C2" s="263" t="s">
        <v>43</v>
      </c>
      <c r="D2">
        <v>380554</v>
      </c>
      <c r="E2">
        <v>8557</v>
      </c>
      <c r="F2" s="176">
        <v>1056.4284706367378</v>
      </c>
      <c r="G2" s="313">
        <v>0.85142288140034594</v>
      </c>
      <c r="H2" s="578">
        <v>899.46737246289206</v>
      </c>
      <c r="I2" s="578">
        <v>2402.1428571428573</v>
      </c>
      <c r="J2" s="578">
        <v>78.102059116779273</v>
      </c>
      <c r="K2" s="569">
        <v>7.2590419085284186E-2</v>
      </c>
      <c r="L2" s="578">
        <v>546.7144138174549</v>
      </c>
    </row>
    <row r="3" spans="1:12" ht="19.5" thickBot="1" x14ac:dyDescent="0.3">
      <c r="A3" s="56" t="s">
        <v>28</v>
      </c>
      <c r="B3" s="41">
        <v>415438</v>
      </c>
      <c r="C3" s="263" t="s">
        <v>28</v>
      </c>
      <c r="D3">
        <v>18192</v>
      </c>
      <c r="E3">
        <v>124</v>
      </c>
      <c r="F3" s="176">
        <v>726.22148190584392</v>
      </c>
      <c r="G3" s="313">
        <v>1.3676337262012692</v>
      </c>
      <c r="H3" s="578">
        <v>993.20499134629688</v>
      </c>
      <c r="I3" s="578">
        <v>263.28571428571428</v>
      </c>
      <c r="J3" s="578">
        <v>63.375452964272469</v>
      </c>
      <c r="K3" s="569">
        <v>0.56984667802385003</v>
      </c>
      <c r="L3" s="578">
        <v>443.62817074990733</v>
      </c>
    </row>
    <row r="4" spans="1:12" ht="19.5" thickBot="1" x14ac:dyDescent="0.3">
      <c r="A4" s="56" t="s">
        <v>15</v>
      </c>
      <c r="B4" s="41">
        <v>1204541</v>
      </c>
      <c r="C4" s="263" t="s">
        <v>15</v>
      </c>
      <c r="D4">
        <v>49739</v>
      </c>
      <c r="E4">
        <v>1116</v>
      </c>
      <c r="F4" s="176">
        <v>362.37869860801749</v>
      </c>
      <c r="G4" s="313">
        <v>1.4039884207140561</v>
      </c>
      <c r="H4" s="578">
        <v>508.7754967590854</v>
      </c>
      <c r="I4" s="578">
        <v>369</v>
      </c>
      <c r="J4" s="578">
        <v>30.634075552430343</v>
      </c>
      <c r="K4" s="569">
        <v>0.44949494949494939</v>
      </c>
      <c r="L4" s="578">
        <v>214.43852886701242</v>
      </c>
    </row>
    <row r="5" spans="1:12" ht="19.5" thickBot="1" x14ac:dyDescent="0.3">
      <c r="A5" s="56" t="s">
        <v>29</v>
      </c>
      <c r="B5" s="41">
        <v>618994</v>
      </c>
      <c r="C5" s="263" t="s">
        <v>29</v>
      </c>
      <c r="D5">
        <v>58134</v>
      </c>
      <c r="E5">
        <v>961</v>
      </c>
      <c r="F5" s="176">
        <v>477.22595049386587</v>
      </c>
      <c r="G5" s="313">
        <v>1.2121460812474354</v>
      </c>
      <c r="H5" s="578">
        <v>578.4675657607221</v>
      </c>
      <c r="I5" s="578">
        <v>222.71428571428572</v>
      </c>
      <c r="J5" s="578">
        <v>35.980039501883013</v>
      </c>
      <c r="K5" s="569">
        <v>0.11756272401433687</v>
      </c>
      <c r="L5" s="578">
        <v>251.86027651318108</v>
      </c>
    </row>
    <row r="6" spans="1:12" ht="19.5" thickBot="1" x14ac:dyDescent="0.3">
      <c r="A6" s="56" t="s">
        <v>30</v>
      </c>
      <c r="B6" s="41">
        <v>1120801</v>
      </c>
      <c r="C6" s="263" t="s">
        <v>30</v>
      </c>
      <c r="D6">
        <v>40844</v>
      </c>
      <c r="E6">
        <v>554</v>
      </c>
      <c r="F6" s="176">
        <v>262.13395598326554</v>
      </c>
      <c r="G6" s="313">
        <v>0.96233213232885684</v>
      </c>
      <c r="H6" s="578">
        <v>252.25992881717463</v>
      </c>
      <c r="I6" s="578">
        <v>208.57142857142858</v>
      </c>
      <c r="J6" s="578">
        <v>18.609140121344339</v>
      </c>
      <c r="K6" s="569">
        <v>-1.2178619756427644E-2</v>
      </c>
      <c r="L6" s="578">
        <v>130.26398084941036</v>
      </c>
    </row>
    <row r="7" spans="1:12" ht="19.5" thickBot="1" x14ac:dyDescent="0.3">
      <c r="A7" s="56" t="s">
        <v>20</v>
      </c>
      <c r="B7" s="41">
        <v>3760450</v>
      </c>
      <c r="C7" s="263" t="s">
        <v>20</v>
      </c>
      <c r="D7">
        <v>259389</v>
      </c>
      <c r="E7">
        <v>3614</v>
      </c>
      <c r="F7" s="176">
        <v>762.27579146112839</v>
      </c>
      <c r="G7" s="313">
        <v>1.2705553831833696</v>
      </c>
      <c r="H7" s="578">
        <v>968.51361031130034</v>
      </c>
      <c r="I7" s="578">
        <v>2486.4285714285716</v>
      </c>
      <c r="J7" s="578">
        <v>66.120506094445389</v>
      </c>
      <c r="K7" s="569">
        <v>0.54573712255772655</v>
      </c>
      <c r="L7" s="578">
        <v>462.84354266111774</v>
      </c>
    </row>
    <row r="8" spans="1:12" ht="19.5" thickBot="1" x14ac:dyDescent="0.3">
      <c r="A8" s="56" t="s">
        <v>31</v>
      </c>
      <c r="B8" s="41">
        <v>1385961</v>
      </c>
      <c r="C8" s="263" t="s">
        <v>31</v>
      </c>
      <c r="D8">
        <v>72547</v>
      </c>
      <c r="E8">
        <v>1183</v>
      </c>
      <c r="F8" s="176">
        <v>628.22835563194064</v>
      </c>
      <c r="G8" s="313">
        <v>1.2114929734242381</v>
      </c>
      <c r="H8" s="578">
        <v>761.09423855395949</v>
      </c>
      <c r="I8" s="578">
        <v>671</v>
      </c>
      <c r="J8" s="578">
        <v>48.414060713108093</v>
      </c>
      <c r="K8" s="569">
        <v>0.17132169576059852</v>
      </c>
      <c r="L8" s="578">
        <v>338.8984249917566</v>
      </c>
    </row>
    <row r="9" spans="1:12" ht="19.5" thickBot="1" x14ac:dyDescent="0.3">
      <c r="A9" s="56" t="s">
        <v>41</v>
      </c>
      <c r="B9" s="41">
        <v>605193</v>
      </c>
      <c r="C9" s="263" t="s">
        <v>41</v>
      </c>
      <c r="D9">
        <v>13796</v>
      </c>
      <c r="E9">
        <v>162</v>
      </c>
      <c r="F9" s="176">
        <v>1515.3843484640438</v>
      </c>
      <c r="G9" s="313">
        <v>8.1665182546749779</v>
      </c>
      <c r="I9" s="578">
        <v>1106.5714285714287</v>
      </c>
      <c r="J9" s="578">
        <v>182.84603896136085</v>
      </c>
      <c r="K9" s="569">
        <v>4.4357894736842107</v>
      </c>
      <c r="L9" s="578">
        <v>1279.922272729526</v>
      </c>
    </row>
    <row r="10" spans="1:12" ht="19.5" thickBot="1" x14ac:dyDescent="0.3">
      <c r="A10" s="56" t="s">
        <v>32</v>
      </c>
      <c r="B10" s="41">
        <v>770881</v>
      </c>
      <c r="C10" s="263" t="s">
        <v>32</v>
      </c>
      <c r="D10">
        <v>26319</v>
      </c>
      <c r="E10">
        <v>1070</v>
      </c>
      <c r="F10" s="176">
        <v>162.28185673275124</v>
      </c>
      <c r="G10" s="313">
        <v>0.95060790273556228</v>
      </c>
      <c r="H10" s="578">
        <v>154.26641548075364</v>
      </c>
      <c r="I10" s="578">
        <v>87.571428571428569</v>
      </c>
      <c r="J10" s="578">
        <v>11.359915288018328</v>
      </c>
      <c r="K10" s="569">
        <v>-3.9184952978056464E-2</v>
      </c>
      <c r="L10" s="578">
        <v>79.519407016128298</v>
      </c>
    </row>
    <row r="11" spans="1:12" ht="19.5" thickBot="1" x14ac:dyDescent="0.3">
      <c r="A11" s="56" t="s">
        <v>33</v>
      </c>
      <c r="B11" s="41">
        <v>358428</v>
      </c>
      <c r="C11" s="263" t="s">
        <v>33</v>
      </c>
      <c r="D11">
        <v>34101</v>
      </c>
      <c r="E11">
        <v>454</v>
      </c>
      <c r="F11" s="176">
        <v>1750.9792761726205</v>
      </c>
      <c r="G11" s="313">
        <v>1.7232289950576607</v>
      </c>
      <c r="H11" s="578">
        <v>3017.3382584457349</v>
      </c>
      <c r="I11" s="578">
        <v>514.28571428571433</v>
      </c>
      <c r="J11" s="578">
        <v>143.48368829603555</v>
      </c>
      <c r="K11" s="569">
        <v>0.34529147982062791</v>
      </c>
      <c r="L11" s="578">
        <v>1004.3858180722489</v>
      </c>
    </row>
    <row r="12" spans="1:12" ht="19.5" thickBot="1" x14ac:dyDescent="0.3">
      <c r="A12" s="56" t="s">
        <v>21</v>
      </c>
      <c r="B12" s="41">
        <v>393531</v>
      </c>
      <c r="C12" s="263" t="s">
        <v>21</v>
      </c>
      <c r="D12">
        <v>15016</v>
      </c>
      <c r="E12">
        <v>517</v>
      </c>
      <c r="F12" s="176">
        <v>316.36643618927098</v>
      </c>
      <c r="G12" s="313">
        <v>1.0263808738664468</v>
      </c>
      <c r="H12" s="578">
        <v>324.71245923795743</v>
      </c>
      <c r="I12" s="578">
        <v>90.857142857142861</v>
      </c>
      <c r="J12" s="578">
        <v>23.08767107474198</v>
      </c>
      <c r="K12" s="569">
        <v>4.4334975369458185E-2</v>
      </c>
      <c r="L12" s="578">
        <v>161.61369752319385</v>
      </c>
    </row>
    <row r="13" spans="1:12" ht="19.5" thickBot="1" x14ac:dyDescent="0.3">
      <c r="A13" s="56" t="s">
        <v>17</v>
      </c>
      <c r="B13" s="41">
        <v>1990338</v>
      </c>
      <c r="C13" s="263" t="s">
        <v>17</v>
      </c>
      <c r="D13">
        <v>109235</v>
      </c>
      <c r="E13">
        <v>2222</v>
      </c>
      <c r="F13" s="176">
        <v>568.34567797027444</v>
      </c>
      <c r="G13" s="313">
        <v>1.0273363000635727</v>
      </c>
      <c r="H13" s="578">
        <v>583.88214596310456</v>
      </c>
      <c r="I13" s="578">
        <v>824.28571428571433</v>
      </c>
      <c r="J13" s="578">
        <v>41.414358480103097</v>
      </c>
      <c r="K13" s="569">
        <v>4.114038253338137E-2</v>
      </c>
      <c r="L13" s="578">
        <v>289.90050936072168</v>
      </c>
    </row>
    <row r="14" spans="1:12" ht="19.5" thickBot="1" x14ac:dyDescent="0.3">
      <c r="A14" s="56" t="s">
        <v>23</v>
      </c>
      <c r="B14" s="41">
        <v>1261294</v>
      </c>
      <c r="C14" s="263" t="s">
        <v>23</v>
      </c>
      <c r="D14">
        <v>18070</v>
      </c>
      <c r="E14">
        <v>259</v>
      </c>
      <c r="F14" s="176">
        <v>169.27060621869288</v>
      </c>
      <c r="G14" s="313">
        <v>1.3624760689215061</v>
      </c>
      <c r="H14" s="578">
        <v>230.62715014480492</v>
      </c>
      <c r="I14" s="578">
        <v>144</v>
      </c>
      <c r="J14" s="578">
        <v>11.41684650842706</v>
      </c>
      <c r="K14" s="569">
        <v>-0.10559006211180122</v>
      </c>
      <c r="L14" s="578">
        <v>79.917925558989424</v>
      </c>
    </row>
    <row r="15" spans="1:12" ht="19.5" thickBot="1" x14ac:dyDescent="0.3">
      <c r="A15" s="56" t="s">
        <v>19</v>
      </c>
      <c r="B15" s="41">
        <v>664057</v>
      </c>
      <c r="C15" s="263" t="s">
        <v>19</v>
      </c>
      <c r="D15">
        <v>79092</v>
      </c>
      <c r="E15">
        <v>1166</v>
      </c>
      <c r="F15" s="176">
        <v>1077.9195159451674</v>
      </c>
      <c r="G15" s="313">
        <v>1.7975891511803115</v>
      </c>
      <c r="H15" s="578">
        <v>1937.6564277085656</v>
      </c>
      <c r="I15" s="578">
        <v>552.71428571428567</v>
      </c>
      <c r="J15" s="578">
        <v>83.232958272299769</v>
      </c>
      <c r="K15" s="569">
        <v>0.17634539373669811</v>
      </c>
      <c r="L15" s="578">
        <v>582.63070790609845</v>
      </c>
    </row>
    <row r="16" spans="1:12" ht="19.5" thickBot="1" x14ac:dyDescent="0.3">
      <c r="A16" s="56" t="s">
        <v>18</v>
      </c>
      <c r="B16" s="41">
        <v>747610</v>
      </c>
      <c r="C16" s="263" t="s">
        <v>18</v>
      </c>
      <c r="D16">
        <v>66845</v>
      </c>
      <c r="E16">
        <v>1445</v>
      </c>
      <c r="F16" s="176">
        <v>641.91222696325622</v>
      </c>
      <c r="G16" s="313">
        <v>1.2917900403768505</v>
      </c>
      <c r="H16" s="578">
        <v>829.2158215872588</v>
      </c>
      <c r="I16" s="578">
        <v>379.57142857142856</v>
      </c>
      <c r="J16" s="578">
        <v>50.771315066870237</v>
      </c>
      <c r="K16" s="569">
        <v>0.24042950513538752</v>
      </c>
      <c r="L16" s="578">
        <v>355.39920546809168</v>
      </c>
    </row>
    <row r="17" spans="1:12" ht="19.5" thickBot="1" x14ac:dyDescent="0.3">
      <c r="A17" s="56" t="s">
        <v>34</v>
      </c>
      <c r="B17" s="41">
        <v>1424397</v>
      </c>
      <c r="C17" s="263" t="s">
        <v>34</v>
      </c>
      <c r="D17">
        <v>38706</v>
      </c>
      <c r="E17">
        <v>1320</v>
      </c>
      <c r="F17" s="176">
        <v>252.73852725047863</v>
      </c>
      <c r="G17" s="313">
        <v>1.3559322033898304</v>
      </c>
      <c r="H17" s="578">
        <v>342.69630813624218</v>
      </c>
      <c r="I17" s="578">
        <v>281.28571428571428</v>
      </c>
      <c r="J17" s="578">
        <v>19.747704768102871</v>
      </c>
      <c r="K17" s="569">
        <v>0.20723482526057624</v>
      </c>
      <c r="L17" s="578">
        <v>138.2339333767201</v>
      </c>
    </row>
    <row r="18" spans="1:12" ht="19.5" thickBot="1" x14ac:dyDescent="0.3">
      <c r="A18" s="56" t="s">
        <v>35</v>
      </c>
      <c r="B18" s="41">
        <v>781217</v>
      </c>
      <c r="C18" s="263" t="s">
        <v>35</v>
      </c>
      <c r="D18">
        <v>29787</v>
      </c>
      <c r="E18">
        <v>551</v>
      </c>
      <c r="F18" s="176">
        <v>733.98300344206541</v>
      </c>
      <c r="G18" s="313">
        <v>1.559847660500544</v>
      </c>
      <c r="H18" s="578">
        <v>1144.9016707662686</v>
      </c>
      <c r="I18" s="578">
        <v>463.28571428571428</v>
      </c>
      <c r="J18" s="578">
        <v>59.303076390518164</v>
      </c>
      <c r="K18" s="569">
        <v>0.30188679245283012</v>
      </c>
      <c r="L18" s="578">
        <v>415.12153473362713</v>
      </c>
    </row>
    <row r="19" spans="1:12" ht="19.5" thickBot="1" x14ac:dyDescent="0.3">
      <c r="A19" s="56" t="s">
        <v>36</v>
      </c>
      <c r="B19" s="41">
        <v>508328</v>
      </c>
      <c r="C19" s="263" t="s">
        <v>36</v>
      </c>
      <c r="D19">
        <v>45084</v>
      </c>
      <c r="E19">
        <v>619</v>
      </c>
      <c r="F19" s="176">
        <v>1228.5374797374923</v>
      </c>
      <c r="G19" s="313">
        <v>0.75358996017859303</v>
      </c>
      <c r="H19" s="578">
        <v>925.81351043328584</v>
      </c>
      <c r="I19" s="578">
        <v>458.85714285714283</v>
      </c>
      <c r="J19" s="578">
        <v>90.267925996038542</v>
      </c>
      <c r="K19" s="569">
        <v>5.9017474447741414E-2</v>
      </c>
      <c r="L19" s="578">
        <v>631.87548197226988</v>
      </c>
    </row>
    <row r="20" spans="1:12" ht="19.5" thickBot="1" x14ac:dyDescent="0.3">
      <c r="A20" s="56" t="s">
        <v>37</v>
      </c>
      <c r="B20" s="41">
        <v>365698</v>
      </c>
      <c r="C20" s="263" t="s">
        <v>37</v>
      </c>
      <c r="D20">
        <v>48357</v>
      </c>
      <c r="E20">
        <v>751</v>
      </c>
      <c r="F20" s="176">
        <v>863.55408014263128</v>
      </c>
      <c r="G20" s="313">
        <v>1.1525547445255475</v>
      </c>
      <c r="H20" s="578">
        <v>995.29335222278462</v>
      </c>
      <c r="I20" s="578">
        <v>221.85714285714286</v>
      </c>
      <c r="J20" s="578">
        <v>60.666764066837359</v>
      </c>
      <c r="K20" s="569">
        <v>-3.2398753894080978E-2</v>
      </c>
      <c r="L20" s="578">
        <v>424.66734846786142</v>
      </c>
    </row>
    <row r="21" spans="1:12" ht="19.5" thickBot="1" x14ac:dyDescent="0.3">
      <c r="A21" s="56" t="s">
        <v>22</v>
      </c>
      <c r="B21" s="41">
        <v>3536418</v>
      </c>
      <c r="C21" s="263" t="s">
        <v>22</v>
      </c>
      <c r="D21">
        <v>304625</v>
      </c>
      <c r="E21">
        <v>4980</v>
      </c>
      <c r="F21" s="176">
        <v>754.12465381637583</v>
      </c>
      <c r="G21" s="313">
        <v>1.119323428187694</v>
      </c>
      <c r="H21" s="578">
        <v>844.10939279060381</v>
      </c>
      <c r="I21" s="578">
        <v>2038</v>
      </c>
      <c r="J21" s="578">
        <v>57.628934136179602</v>
      </c>
      <c r="K21" s="569">
        <v>0.15020559542046286</v>
      </c>
      <c r="L21" s="578">
        <v>403.40253895325719</v>
      </c>
    </row>
    <row r="22" spans="1:12" ht="19.5" thickBot="1" x14ac:dyDescent="0.3">
      <c r="A22" s="56" t="s">
        <v>38</v>
      </c>
      <c r="B22" s="41">
        <v>978313</v>
      </c>
      <c r="C22" s="263" t="s">
        <v>38</v>
      </c>
      <c r="D22">
        <v>35755</v>
      </c>
      <c r="E22">
        <v>413</v>
      </c>
      <c r="F22" s="176">
        <v>468.86834786004067</v>
      </c>
      <c r="G22" s="313">
        <v>1.6619565217391303</v>
      </c>
      <c r="H22" s="578">
        <v>779.23880856304584</v>
      </c>
      <c r="I22" s="578">
        <v>389.71428571428572</v>
      </c>
      <c r="J22" s="578">
        <v>39.835337536584483</v>
      </c>
      <c r="K22" s="569">
        <v>0.46745562130177509</v>
      </c>
      <c r="L22" s="578">
        <v>278.84736275609134</v>
      </c>
    </row>
    <row r="23" spans="1:12" ht="19.5" thickBot="1" x14ac:dyDescent="0.3">
      <c r="A23" s="56" t="s">
        <v>39</v>
      </c>
      <c r="B23" s="41">
        <v>176830</v>
      </c>
      <c r="C23" s="263" t="s">
        <v>39</v>
      </c>
      <c r="D23">
        <v>27578</v>
      </c>
      <c r="E23">
        <v>407</v>
      </c>
      <c r="F23" s="176">
        <v>564.38387151501445</v>
      </c>
      <c r="G23" s="313">
        <v>0.91643709825528008</v>
      </c>
      <c r="H23" s="578">
        <v>517.22231751330071</v>
      </c>
      <c r="I23" s="578">
        <v>74.428571428571431</v>
      </c>
      <c r="J23" s="578">
        <v>42.090466226642214</v>
      </c>
      <c r="K23" s="569">
        <v>9.2243186582809278E-2</v>
      </c>
      <c r="L23" s="578">
        <v>294.6332635864955</v>
      </c>
    </row>
    <row r="24" spans="1:12" ht="19.5" thickBot="1" x14ac:dyDescent="0.3">
      <c r="A24" s="57" t="s">
        <v>40</v>
      </c>
      <c r="B24" s="41">
        <v>1694656</v>
      </c>
      <c r="C24" s="263" t="s">
        <v>40</v>
      </c>
      <c r="D24">
        <v>115823</v>
      </c>
      <c r="E24">
        <v>1755</v>
      </c>
      <c r="F24" s="176">
        <v>500.16050455077607</v>
      </c>
      <c r="G24" s="313">
        <v>0.94010647737355812</v>
      </c>
      <c r="H24" s="578">
        <v>470.2041300546116</v>
      </c>
      <c r="I24" s="578">
        <v>682.71428571428567</v>
      </c>
      <c r="J24" s="578">
        <v>40.28630505036336</v>
      </c>
      <c r="K24" s="569">
        <v>0.29266973221530979</v>
      </c>
      <c r="L24" s="578">
        <v>282.00413535254353</v>
      </c>
    </row>
    <row r="25" spans="1:12" x14ac:dyDescent="0.25">
      <c r="B25">
        <f>SUM(B1:B24)</f>
        <v>45380161</v>
      </c>
    </row>
  </sheetData>
  <conditionalFormatting sqref="F1:F24">
    <cfRule type="cellIs" dxfId="111" priority="8" operator="between">
      <formula>49</formula>
      <formula>149</formula>
    </cfRule>
    <cfRule type="cellIs" dxfId="110" priority="9" operator="lessThan">
      <formula>49</formula>
    </cfRule>
    <cfRule type="cellIs" dxfId="109" priority="10" operator="greaterThanOrEqual">
      <formula>150</formula>
    </cfRule>
  </conditionalFormatting>
  <conditionalFormatting sqref="K1:K8 K10:K24">
    <cfRule type="colorScale" priority="7">
      <colorScale>
        <cfvo type="min"/>
        <cfvo type="percentile" val="50"/>
        <cfvo type="max"/>
        <color rgb="FF63BE7B"/>
        <color rgb="FFFFEB84"/>
        <color rgb="FFF8696B"/>
      </colorScale>
    </cfRule>
  </conditionalFormatting>
  <conditionalFormatting sqref="G1:G24">
    <cfRule type="cellIs" dxfId="108" priority="1" operator="between">
      <formula>0.8</formula>
      <formula>1.2</formula>
    </cfRule>
    <cfRule type="cellIs" dxfId="107" priority="2" operator="lessThan">
      <formula>0.8</formula>
    </cfRule>
    <cfRule type="cellIs" dxfId="106" priority="3" operator="greaterThanOrEqual">
      <formula>1.2</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1CE29-96EF-42D0-B521-6AC2F93E36F5}">
  <dimension ref="A1:Z50"/>
  <sheetViews>
    <sheetView zoomScale="85" zoomScaleNormal="85" workbookViewId="0">
      <selection activeCell="Z11" sqref="Z11:Z13"/>
    </sheetView>
  </sheetViews>
  <sheetFormatPr baseColWidth="10" defaultRowHeight="15" x14ac:dyDescent="0.25"/>
  <cols>
    <col min="1" max="1" width="3.85546875" style="208" customWidth="1"/>
    <col min="2" max="2" width="27" style="200" bestFit="1" customWidth="1"/>
    <col min="3" max="5" width="11.42578125" style="41"/>
    <col min="6" max="6" width="0" style="41" hidden="1" customWidth="1"/>
    <col min="7" max="7" width="11.42578125" style="41"/>
    <col min="8" max="8" width="11.42578125" style="41" customWidth="1"/>
    <col min="9" max="9" width="5.5703125" style="208" customWidth="1"/>
    <col min="10" max="10" width="24.140625" style="41" bestFit="1" customWidth="1"/>
    <col min="11" max="14" width="11.42578125" style="41"/>
    <col min="15" max="15" width="3.42578125" style="208" customWidth="1"/>
    <col min="16" max="16" width="14.140625" style="41" customWidth="1"/>
    <col min="17" max="17" width="14.140625" style="263" customWidth="1"/>
    <col min="18" max="18" width="8.42578125" style="41" customWidth="1"/>
    <col min="19" max="19" width="9.140625" style="41" customWidth="1"/>
    <col min="20" max="20" width="8.140625" style="41" customWidth="1"/>
    <col min="21" max="21" width="8.140625" style="263" customWidth="1"/>
    <col min="22" max="22" width="11.42578125" style="41"/>
    <col min="23" max="23" width="11.42578125" style="547"/>
    <col min="24" max="16384" width="11.42578125" style="41"/>
  </cols>
  <sheetData>
    <row r="1" spans="1:26" s="208" customFormat="1" ht="15.75" thickBot="1" x14ac:dyDescent="0.3">
      <c r="B1" s="218"/>
      <c r="W1" s="570"/>
    </row>
    <row r="2" spans="1:26" s="42" customFormat="1" ht="48" thickBot="1" x14ac:dyDescent="0.3">
      <c r="A2" s="207"/>
      <c r="B2" s="49" t="s">
        <v>195</v>
      </c>
      <c r="C2" s="209" t="s">
        <v>198</v>
      </c>
      <c r="D2" s="209" t="s">
        <v>199</v>
      </c>
      <c r="E2" s="210" t="s">
        <v>196</v>
      </c>
      <c r="F2" s="211" t="s">
        <v>119</v>
      </c>
      <c r="G2" s="212" t="s">
        <v>197</v>
      </c>
      <c r="H2" s="204" t="s">
        <v>120</v>
      </c>
      <c r="I2" s="207"/>
      <c r="J2" s="49" t="s">
        <v>195</v>
      </c>
      <c r="K2" s="209" t="s">
        <v>198</v>
      </c>
      <c r="L2" s="209" t="s">
        <v>199</v>
      </c>
      <c r="M2" s="210" t="s">
        <v>196</v>
      </c>
      <c r="N2" s="212" t="s">
        <v>197</v>
      </c>
      <c r="O2" s="207"/>
      <c r="Q2" s="546"/>
      <c r="U2" s="546"/>
      <c r="W2" s="547"/>
    </row>
    <row r="3" spans="1:26" ht="21" customHeight="1" thickBot="1" x14ac:dyDescent="0.3">
      <c r="B3" s="205" t="s">
        <v>121</v>
      </c>
      <c r="C3" s="220">
        <v>39</v>
      </c>
      <c r="D3" s="220">
        <v>34</v>
      </c>
      <c r="E3" s="192">
        <v>1.1000000000000001</v>
      </c>
      <c r="F3" s="206" t="s">
        <v>122</v>
      </c>
      <c r="G3" s="213">
        <v>281</v>
      </c>
      <c r="H3" s="203" t="s">
        <v>123</v>
      </c>
      <c r="J3" s="205" t="s">
        <v>171</v>
      </c>
      <c r="K3" s="220">
        <v>177</v>
      </c>
      <c r="L3" s="220">
        <v>128</v>
      </c>
      <c r="M3" s="192">
        <v>1.4</v>
      </c>
      <c r="N3" s="213">
        <v>432</v>
      </c>
    </row>
    <row r="4" spans="1:26" ht="21" customHeight="1" thickBot="1" x14ac:dyDescent="0.3">
      <c r="B4" s="205" t="s">
        <v>124</v>
      </c>
      <c r="C4" s="220">
        <v>460</v>
      </c>
      <c r="D4" s="220">
        <v>461</v>
      </c>
      <c r="E4" s="192">
        <v>1</v>
      </c>
      <c r="F4" s="206" t="s">
        <v>125</v>
      </c>
      <c r="G4" s="213">
        <v>348</v>
      </c>
      <c r="H4" s="203" t="s">
        <v>123</v>
      </c>
      <c r="J4" s="205" t="s">
        <v>172</v>
      </c>
      <c r="K4" s="220">
        <v>73</v>
      </c>
      <c r="L4" s="220">
        <v>67</v>
      </c>
      <c r="M4" s="192">
        <v>1.1000000000000001</v>
      </c>
      <c r="N4" s="213">
        <v>370</v>
      </c>
    </row>
    <row r="5" spans="1:26" ht="21" customHeight="1" thickBot="1" x14ac:dyDescent="0.3">
      <c r="B5" s="205" t="s">
        <v>126</v>
      </c>
      <c r="C5" s="220">
        <v>497</v>
      </c>
      <c r="D5" s="220">
        <v>462</v>
      </c>
      <c r="E5" s="192">
        <v>1.1000000000000001</v>
      </c>
      <c r="F5" s="206" t="s">
        <v>127</v>
      </c>
      <c r="G5" s="213">
        <v>357</v>
      </c>
      <c r="H5" s="203" t="s">
        <v>123</v>
      </c>
      <c r="J5" s="205" t="s">
        <v>173</v>
      </c>
      <c r="K5" s="220">
        <v>35</v>
      </c>
      <c r="L5" s="220">
        <v>42</v>
      </c>
      <c r="M5" s="192">
        <v>0.8</v>
      </c>
      <c r="N5" s="213">
        <v>519</v>
      </c>
    </row>
    <row r="6" spans="1:26" ht="21" customHeight="1" thickBot="1" x14ac:dyDescent="0.3">
      <c r="B6" s="205" t="s">
        <v>128</v>
      </c>
      <c r="C6" s="220">
        <v>297</v>
      </c>
      <c r="D6" s="220">
        <v>225</v>
      </c>
      <c r="E6" s="192">
        <v>1.3</v>
      </c>
      <c r="F6" s="206" t="s">
        <v>129</v>
      </c>
      <c r="G6" s="213">
        <v>332</v>
      </c>
      <c r="H6" s="203" t="s">
        <v>130</v>
      </c>
      <c r="J6" s="205" t="s">
        <v>174</v>
      </c>
      <c r="K6" s="220">
        <v>620</v>
      </c>
      <c r="L6" s="220">
        <v>542</v>
      </c>
      <c r="M6" s="192">
        <v>1.1000000000000001</v>
      </c>
      <c r="N6" s="213">
        <v>391</v>
      </c>
    </row>
    <row r="7" spans="1:26" ht="21" customHeight="1" thickBot="1" x14ac:dyDescent="0.3">
      <c r="B7" s="205" t="s">
        <v>131</v>
      </c>
      <c r="C7" s="220">
        <v>484</v>
      </c>
      <c r="D7" s="220">
        <v>415</v>
      </c>
      <c r="E7" s="192">
        <v>1.2</v>
      </c>
      <c r="F7" s="206" t="s">
        <v>132</v>
      </c>
      <c r="G7" s="213">
        <v>382</v>
      </c>
      <c r="H7" s="203" t="s">
        <v>130</v>
      </c>
      <c r="J7" s="205" t="s">
        <v>175</v>
      </c>
      <c r="K7" s="220">
        <v>177</v>
      </c>
      <c r="L7" s="220">
        <v>153</v>
      </c>
      <c r="M7" s="192">
        <v>1.2</v>
      </c>
      <c r="N7" s="213">
        <v>271</v>
      </c>
    </row>
    <row r="8" spans="1:26" ht="21" customHeight="1" thickBot="1" x14ac:dyDescent="0.35">
      <c r="B8" s="205" t="s">
        <v>133</v>
      </c>
      <c r="C8" s="220">
        <v>157</v>
      </c>
      <c r="D8" s="220">
        <v>150</v>
      </c>
      <c r="E8" s="192">
        <v>1</v>
      </c>
      <c r="F8" s="206" t="s">
        <v>134</v>
      </c>
      <c r="G8" s="213">
        <v>350</v>
      </c>
      <c r="H8" s="203" t="s">
        <v>123</v>
      </c>
      <c r="J8" s="205" t="s">
        <v>176</v>
      </c>
      <c r="K8" s="220">
        <v>155</v>
      </c>
      <c r="L8" s="220">
        <v>122</v>
      </c>
      <c r="M8" s="192">
        <v>1.3</v>
      </c>
      <c r="N8" s="213">
        <v>309</v>
      </c>
      <c r="P8" s="567"/>
      <c r="Q8" s="568">
        <v>44302</v>
      </c>
      <c r="R8" s="568">
        <v>44309</v>
      </c>
      <c r="S8" s="568">
        <v>44316</v>
      </c>
      <c r="T8" s="568">
        <v>44323</v>
      </c>
      <c r="U8" s="580">
        <f>AVERAGE(U9:U10)</f>
        <v>-0.16976846296911874</v>
      </c>
      <c r="V8" s="580">
        <f>AVERAGE(V9:V10)</f>
        <v>-7.8754959146807857E-2</v>
      </c>
      <c r="W8" s="580">
        <f>AVERAGE(W9:W10)</f>
        <v>-0.13947640843998338</v>
      </c>
    </row>
    <row r="9" spans="1:26" ht="21" customHeight="1" thickBot="1" x14ac:dyDescent="0.35">
      <c r="B9" s="205" t="s">
        <v>135</v>
      </c>
      <c r="C9" s="220">
        <v>158</v>
      </c>
      <c r="D9" s="220">
        <v>155</v>
      </c>
      <c r="E9" s="192">
        <v>1</v>
      </c>
      <c r="F9" s="206" t="s">
        <v>136</v>
      </c>
      <c r="G9" s="213">
        <v>334</v>
      </c>
      <c r="H9" s="203" t="s">
        <v>123</v>
      </c>
      <c r="J9" s="205" t="s">
        <v>177</v>
      </c>
      <c r="K9" s="220">
        <v>135</v>
      </c>
      <c r="L9" s="220">
        <v>131</v>
      </c>
      <c r="M9" s="192">
        <v>1</v>
      </c>
      <c r="N9" s="213">
        <v>278</v>
      </c>
      <c r="P9" s="567" t="s">
        <v>298</v>
      </c>
      <c r="Q9" s="567">
        <v>7607</v>
      </c>
      <c r="R9" s="567">
        <v>5366</v>
      </c>
      <c r="S9" s="567">
        <v>5326</v>
      </c>
      <c r="T9" s="567">
        <v>4632</v>
      </c>
      <c r="U9" s="579">
        <f t="shared" ref="U9:W10" si="0">R9/Q9-1</f>
        <v>-0.29459708163533582</v>
      </c>
      <c r="V9" s="579">
        <f t="shared" si="0"/>
        <v>-7.4543421543048494E-3</v>
      </c>
      <c r="W9" s="579">
        <f t="shared" si="0"/>
        <v>-0.13030416823131807</v>
      </c>
    </row>
    <row r="10" spans="1:26" ht="21" customHeight="1" thickBot="1" x14ac:dyDescent="0.35">
      <c r="B10" s="205" t="s">
        <v>137</v>
      </c>
      <c r="C10" s="220">
        <v>599</v>
      </c>
      <c r="D10" s="220">
        <v>600</v>
      </c>
      <c r="E10" s="192">
        <v>1</v>
      </c>
      <c r="F10" s="206" t="s">
        <v>138</v>
      </c>
      <c r="G10" s="213">
        <v>339</v>
      </c>
      <c r="H10" s="203" t="s">
        <v>123</v>
      </c>
      <c r="J10" s="205" t="s">
        <v>178</v>
      </c>
      <c r="K10" s="220">
        <v>164</v>
      </c>
      <c r="L10" s="220">
        <v>153</v>
      </c>
      <c r="M10" s="192">
        <v>1.1000000000000001</v>
      </c>
      <c r="N10" s="213">
        <v>556</v>
      </c>
      <c r="P10" s="567" t="s">
        <v>43</v>
      </c>
      <c r="Q10" s="567">
        <v>2826</v>
      </c>
      <c r="R10" s="567">
        <v>2699</v>
      </c>
      <c r="S10" s="567">
        <v>2294</v>
      </c>
      <c r="T10" s="567">
        <v>1953</v>
      </c>
      <c r="U10" s="579">
        <f t="shared" si="0"/>
        <v>-4.4939844302901655E-2</v>
      </c>
      <c r="V10" s="579">
        <f t="shared" si="0"/>
        <v>-0.15005557613931086</v>
      </c>
      <c r="W10" s="579">
        <f t="shared" si="0"/>
        <v>-0.14864864864864868</v>
      </c>
      <c r="X10" s="41">
        <v>6</v>
      </c>
      <c r="Y10" s="41">
        <v>13</v>
      </c>
    </row>
    <row r="11" spans="1:26" ht="21" customHeight="1" thickBot="1" x14ac:dyDescent="0.35">
      <c r="B11" s="205" t="s">
        <v>139</v>
      </c>
      <c r="C11" s="220">
        <v>92</v>
      </c>
      <c r="D11" s="220">
        <v>112</v>
      </c>
      <c r="E11" s="192">
        <v>0.8</v>
      </c>
      <c r="F11" s="206" t="s">
        <v>140</v>
      </c>
      <c r="G11" s="213">
        <v>334</v>
      </c>
      <c r="H11" s="203" t="s">
        <v>123</v>
      </c>
      <c r="J11" s="205" t="s">
        <v>179</v>
      </c>
      <c r="K11" s="220">
        <v>84</v>
      </c>
      <c r="L11" s="220">
        <v>79</v>
      </c>
      <c r="M11" s="192">
        <v>1.1000000000000001</v>
      </c>
      <c r="N11" s="213">
        <v>415</v>
      </c>
      <c r="P11" s="567" t="s">
        <v>73</v>
      </c>
      <c r="Q11" s="567">
        <v>12632</v>
      </c>
      <c r="R11" s="567">
        <v>11679</v>
      </c>
      <c r="S11" s="567">
        <v>10291</v>
      </c>
      <c r="T11" s="567">
        <v>8764</v>
      </c>
      <c r="U11" s="567"/>
      <c r="V11" s="571"/>
      <c r="W11" s="572"/>
      <c r="X11" s="41">
        <v>200</v>
      </c>
      <c r="Y11" s="41">
        <v>249</v>
      </c>
      <c r="Z11" s="569">
        <f>Y11/X11-1</f>
        <v>0.24500000000000011</v>
      </c>
    </row>
    <row r="12" spans="1:26" ht="21" customHeight="1" thickBot="1" x14ac:dyDescent="0.35">
      <c r="B12" s="205" t="s">
        <v>141</v>
      </c>
      <c r="C12" s="220">
        <v>55</v>
      </c>
      <c r="D12" s="220">
        <v>59</v>
      </c>
      <c r="E12" s="192">
        <v>0.9</v>
      </c>
      <c r="F12" s="206" t="s">
        <v>142</v>
      </c>
      <c r="G12" s="213">
        <v>294</v>
      </c>
      <c r="H12" s="203" t="s">
        <v>123</v>
      </c>
      <c r="J12" s="205" t="s">
        <v>180</v>
      </c>
      <c r="K12" s="220">
        <v>141</v>
      </c>
      <c r="L12" s="220">
        <v>107</v>
      </c>
      <c r="M12" s="192">
        <v>1.3</v>
      </c>
      <c r="N12" s="213">
        <v>401</v>
      </c>
      <c r="P12" s="574" t="s">
        <v>299</v>
      </c>
      <c r="Q12" s="574"/>
      <c r="R12" s="567">
        <v>8916</v>
      </c>
      <c r="S12" s="567">
        <v>7104</v>
      </c>
      <c r="T12" s="567">
        <v>5909</v>
      </c>
      <c r="U12" s="567"/>
      <c r="V12" s="571"/>
      <c r="W12" s="572" t="s">
        <v>302</v>
      </c>
      <c r="X12" s="41">
        <v>48</v>
      </c>
      <c r="Y12" s="41">
        <v>52</v>
      </c>
      <c r="Z12" s="569">
        <f>Y12/X12-1</f>
        <v>8.3333333333333259E-2</v>
      </c>
    </row>
    <row r="13" spans="1:26" ht="21" customHeight="1" thickBot="1" x14ac:dyDescent="0.3">
      <c r="B13" s="205" t="s">
        <v>143</v>
      </c>
      <c r="C13" s="220">
        <v>193</v>
      </c>
      <c r="D13" s="220">
        <v>144</v>
      </c>
      <c r="E13" s="192">
        <v>1.3</v>
      </c>
      <c r="F13" s="206" t="s">
        <v>144</v>
      </c>
      <c r="G13" s="213">
        <v>369</v>
      </c>
      <c r="H13" s="203" t="s">
        <v>130</v>
      </c>
      <c r="J13" s="205" t="s">
        <v>181</v>
      </c>
      <c r="K13" s="220">
        <v>54</v>
      </c>
      <c r="L13" s="220">
        <v>59</v>
      </c>
      <c r="M13" s="192">
        <v>0.9</v>
      </c>
      <c r="N13" s="213">
        <v>389</v>
      </c>
      <c r="V13" s="573"/>
      <c r="W13" s="573" t="s">
        <v>303</v>
      </c>
      <c r="X13" s="41">
        <v>152</v>
      </c>
      <c r="Y13" s="41">
        <v>196</v>
      </c>
      <c r="Z13" s="569">
        <f>Y13/X13-1</f>
        <v>0.28947368421052633</v>
      </c>
    </row>
    <row r="14" spans="1:26" ht="21" customHeight="1" thickBot="1" x14ac:dyDescent="0.3">
      <c r="B14" s="205" t="s">
        <v>145</v>
      </c>
      <c r="C14" s="220">
        <v>180</v>
      </c>
      <c r="D14" s="220">
        <v>168</v>
      </c>
      <c r="E14" s="192">
        <v>1.1000000000000001</v>
      </c>
      <c r="F14" s="206" t="s">
        <v>146</v>
      </c>
      <c r="G14" s="213">
        <v>409</v>
      </c>
      <c r="H14" s="203" t="s">
        <v>123</v>
      </c>
      <c r="J14" s="205" t="s">
        <v>182</v>
      </c>
      <c r="K14" s="220">
        <v>296</v>
      </c>
      <c r="L14" s="220">
        <v>264</v>
      </c>
      <c r="M14" s="192">
        <v>1.1000000000000001</v>
      </c>
      <c r="N14" s="213">
        <v>362</v>
      </c>
    </row>
    <row r="15" spans="1:26" ht="21" customHeight="1" thickBot="1" x14ac:dyDescent="0.3">
      <c r="B15" s="205" t="s">
        <v>147</v>
      </c>
      <c r="C15" s="220">
        <v>542</v>
      </c>
      <c r="D15" s="220">
        <v>483</v>
      </c>
      <c r="E15" s="192">
        <v>1.1000000000000001</v>
      </c>
      <c r="F15" s="206" t="s">
        <v>148</v>
      </c>
      <c r="G15" s="213">
        <v>330</v>
      </c>
      <c r="H15" s="203" t="s">
        <v>123</v>
      </c>
      <c r="J15" s="205" t="s">
        <v>183</v>
      </c>
      <c r="K15" s="220">
        <v>202</v>
      </c>
      <c r="L15" s="220">
        <v>158</v>
      </c>
      <c r="M15" s="192">
        <v>1.3</v>
      </c>
      <c r="N15" s="213">
        <v>367</v>
      </c>
    </row>
    <row r="16" spans="1:26" ht="21" customHeight="1" thickBot="1" x14ac:dyDescent="0.3">
      <c r="B16" s="205" t="s">
        <v>149</v>
      </c>
      <c r="C16" s="220">
        <v>109</v>
      </c>
      <c r="D16" s="220">
        <v>108</v>
      </c>
      <c r="E16" s="192">
        <v>1</v>
      </c>
      <c r="F16" s="206" t="s">
        <v>150</v>
      </c>
      <c r="G16" s="213">
        <v>291</v>
      </c>
      <c r="H16" s="203" t="s">
        <v>123</v>
      </c>
      <c r="J16" s="205" t="s">
        <v>184</v>
      </c>
      <c r="K16" s="220">
        <v>263</v>
      </c>
      <c r="L16" s="220">
        <v>235</v>
      </c>
      <c r="M16" s="192">
        <v>1.1000000000000001</v>
      </c>
      <c r="N16" s="213">
        <v>395</v>
      </c>
    </row>
    <row r="17" spans="2:23" ht="21" customHeight="1" thickBot="1" x14ac:dyDescent="0.3">
      <c r="B17" s="205" t="s">
        <v>151</v>
      </c>
      <c r="C17" s="220">
        <v>157</v>
      </c>
      <c r="D17" s="220">
        <v>142</v>
      </c>
      <c r="E17" s="192">
        <v>1.1000000000000001</v>
      </c>
      <c r="F17" s="206" t="s">
        <v>152</v>
      </c>
      <c r="G17" s="213">
        <v>355</v>
      </c>
      <c r="H17" s="203" t="s">
        <v>123</v>
      </c>
      <c r="J17" s="205" t="s">
        <v>185</v>
      </c>
      <c r="K17" s="220">
        <v>102</v>
      </c>
      <c r="L17" s="220">
        <v>97</v>
      </c>
      <c r="M17" s="192">
        <v>1.1000000000000001</v>
      </c>
      <c r="N17" s="213">
        <v>292</v>
      </c>
    </row>
    <row r="18" spans="2:23" ht="21" customHeight="1" thickBot="1" x14ac:dyDescent="0.3">
      <c r="B18" s="205" t="s">
        <v>153</v>
      </c>
      <c r="C18" s="220">
        <v>248</v>
      </c>
      <c r="D18" s="220">
        <v>194</v>
      </c>
      <c r="E18" s="192">
        <v>1.3</v>
      </c>
      <c r="F18" s="206" t="s">
        <v>154</v>
      </c>
      <c r="G18" s="213">
        <v>386</v>
      </c>
      <c r="H18" s="203" t="s">
        <v>130</v>
      </c>
      <c r="J18" s="205" t="s">
        <v>186</v>
      </c>
      <c r="K18" s="220">
        <v>333</v>
      </c>
      <c r="L18" s="220">
        <v>336</v>
      </c>
      <c r="M18" s="192">
        <v>1</v>
      </c>
      <c r="N18" s="213">
        <v>263</v>
      </c>
    </row>
    <row r="19" spans="2:23" ht="21" customHeight="1" thickBot="1" x14ac:dyDescent="0.3">
      <c r="B19" s="205" t="s">
        <v>155</v>
      </c>
      <c r="C19" s="220">
        <v>143</v>
      </c>
      <c r="D19" s="220">
        <v>147</v>
      </c>
      <c r="E19" s="192">
        <v>1</v>
      </c>
      <c r="F19" s="206" t="s">
        <v>156</v>
      </c>
      <c r="G19" s="213">
        <v>354</v>
      </c>
      <c r="H19" s="203" t="s">
        <v>123</v>
      </c>
      <c r="J19" s="205" t="s">
        <v>187</v>
      </c>
      <c r="K19" s="220">
        <v>106</v>
      </c>
      <c r="L19" s="220">
        <v>121</v>
      </c>
      <c r="M19" s="192">
        <v>0.9</v>
      </c>
      <c r="N19" s="213">
        <v>326</v>
      </c>
    </row>
    <row r="20" spans="2:23" ht="21" customHeight="1" thickBot="1" x14ac:dyDescent="0.3">
      <c r="B20" s="205" t="s">
        <v>157</v>
      </c>
      <c r="C20" s="220">
        <v>124</v>
      </c>
      <c r="D20" s="220">
        <v>118</v>
      </c>
      <c r="E20" s="192">
        <v>1.1000000000000001</v>
      </c>
      <c r="F20" s="206" t="s">
        <v>158</v>
      </c>
      <c r="G20" s="213">
        <v>367</v>
      </c>
      <c r="H20" s="203" t="s">
        <v>123</v>
      </c>
      <c r="J20" s="205" t="s">
        <v>188</v>
      </c>
      <c r="K20" s="220">
        <v>72</v>
      </c>
      <c r="L20" s="220">
        <v>65</v>
      </c>
      <c r="M20" s="192">
        <v>1.1000000000000001</v>
      </c>
      <c r="N20" s="213">
        <v>336</v>
      </c>
    </row>
    <row r="21" spans="2:23" ht="21" customHeight="1" thickBot="1" x14ac:dyDescent="0.3">
      <c r="B21" s="205" t="s">
        <v>159</v>
      </c>
      <c r="C21" s="220">
        <v>157</v>
      </c>
      <c r="D21" s="220">
        <v>147</v>
      </c>
      <c r="E21" s="192">
        <v>1.1000000000000001</v>
      </c>
      <c r="F21" s="206" t="s">
        <v>160</v>
      </c>
      <c r="G21" s="213">
        <v>372</v>
      </c>
      <c r="H21" s="203" t="s">
        <v>123</v>
      </c>
      <c r="J21" s="205" t="s">
        <v>189</v>
      </c>
      <c r="K21" s="220">
        <v>128</v>
      </c>
      <c r="L21" s="220">
        <v>124</v>
      </c>
      <c r="M21" s="192">
        <v>1</v>
      </c>
      <c r="N21" s="213">
        <v>323</v>
      </c>
    </row>
    <row r="22" spans="2:23" ht="21" customHeight="1" thickBot="1" x14ac:dyDescent="0.3">
      <c r="B22" s="205" t="s">
        <v>161</v>
      </c>
      <c r="C22" s="220">
        <v>168</v>
      </c>
      <c r="D22" s="220">
        <v>150</v>
      </c>
      <c r="E22" s="192">
        <v>1.1000000000000001</v>
      </c>
      <c r="F22" s="206" t="s">
        <v>162</v>
      </c>
      <c r="G22" s="213">
        <v>320</v>
      </c>
      <c r="H22" s="203" t="s">
        <v>123</v>
      </c>
      <c r="J22" s="205" t="s">
        <v>190</v>
      </c>
      <c r="K22" s="220">
        <v>46</v>
      </c>
      <c r="L22" s="220">
        <v>50</v>
      </c>
      <c r="M22" s="192">
        <v>0.9</v>
      </c>
      <c r="N22" s="213">
        <v>342</v>
      </c>
    </row>
    <row r="23" spans="2:23" ht="21" customHeight="1" thickBot="1" x14ac:dyDescent="0.3">
      <c r="B23" s="205" t="s">
        <v>163</v>
      </c>
      <c r="C23" s="220">
        <v>879</v>
      </c>
      <c r="D23" s="220">
        <v>816</v>
      </c>
      <c r="E23" s="192">
        <v>1.1000000000000001</v>
      </c>
      <c r="F23" s="206" t="s">
        <v>164</v>
      </c>
      <c r="G23" s="213">
        <v>389</v>
      </c>
      <c r="H23" s="203" t="s">
        <v>123</v>
      </c>
      <c r="J23" s="205" t="s">
        <v>191</v>
      </c>
      <c r="K23" s="220">
        <v>73</v>
      </c>
      <c r="L23" s="220">
        <v>63</v>
      </c>
      <c r="M23" s="192">
        <v>1.2</v>
      </c>
      <c r="N23" s="213">
        <v>519</v>
      </c>
    </row>
    <row r="24" spans="2:23" ht="21" customHeight="1" thickBot="1" x14ac:dyDescent="0.3">
      <c r="B24" s="205" t="s">
        <v>165</v>
      </c>
      <c r="C24" s="220">
        <v>168</v>
      </c>
      <c r="D24" s="220">
        <v>133</v>
      </c>
      <c r="E24" s="192">
        <v>1.3</v>
      </c>
      <c r="F24" s="206" t="s">
        <v>166</v>
      </c>
      <c r="G24" s="213">
        <v>316</v>
      </c>
      <c r="H24" s="203" t="s">
        <v>130</v>
      </c>
      <c r="J24" s="205" t="s">
        <v>192</v>
      </c>
      <c r="K24" s="220">
        <v>93</v>
      </c>
      <c r="L24" s="220">
        <v>97</v>
      </c>
      <c r="M24" s="192">
        <v>1</v>
      </c>
      <c r="N24" s="213">
        <v>281</v>
      </c>
    </row>
    <row r="25" spans="2:23" ht="21" customHeight="1" thickBot="1" x14ac:dyDescent="0.3">
      <c r="B25" s="205" t="s">
        <v>167</v>
      </c>
      <c r="C25" s="220">
        <v>184</v>
      </c>
      <c r="D25" s="220">
        <v>163</v>
      </c>
      <c r="E25" s="192">
        <v>1.1000000000000001</v>
      </c>
      <c r="F25" s="206" t="s">
        <v>168</v>
      </c>
      <c r="G25" s="213">
        <v>327</v>
      </c>
      <c r="H25" s="203" t="s">
        <v>123</v>
      </c>
      <c r="J25" s="205" t="s">
        <v>193</v>
      </c>
      <c r="K25" s="220">
        <v>141</v>
      </c>
      <c r="L25" s="220">
        <v>101</v>
      </c>
      <c r="M25" s="192">
        <v>1.4</v>
      </c>
      <c r="N25" s="213">
        <v>302</v>
      </c>
    </row>
    <row r="26" spans="2:23" ht="21" customHeight="1" thickBot="1" x14ac:dyDescent="0.3">
      <c r="B26" s="214" t="s">
        <v>169</v>
      </c>
      <c r="C26" s="221">
        <v>72</v>
      </c>
      <c r="D26" s="221">
        <v>50</v>
      </c>
      <c r="E26" s="215">
        <v>1.4</v>
      </c>
      <c r="F26" s="216" t="s">
        <v>170</v>
      </c>
      <c r="G26" s="217">
        <v>410</v>
      </c>
      <c r="H26" s="203" t="s">
        <v>130</v>
      </c>
      <c r="J26" s="214" t="s">
        <v>194</v>
      </c>
      <c r="K26" s="221">
        <v>319</v>
      </c>
      <c r="L26" s="221">
        <v>270</v>
      </c>
      <c r="M26" s="215">
        <v>1.2</v>
      </c>
      <c r="N26" s="217">
        <v>346</v>
      </c>
    </row>
    <row r="27" spans="2:23" s="208" customFormat="1" x14ac:dyDescent="0.25">
      <c r="B27" s="218"/>
      <c r="H27" s="219" t="s">
        <v>130</v>
      </c>
      <c r="W27" s="570"/>
    </row>
    <row r="28" spans="2:23" s="208" customFormat="1" x14ac:dyDescent="0.25">
      <c r="B28" s="218"/>
      <c r="H28" s="219" t="s">
        <v>123</v>
      </c>
      <c r="W28" s="570"/>
    </row>
    <row r="29" spans="2:23" s="208" customFormat="1" x14ac:dyDescent="0.25">
      <c r="B29" s="218"/>
      <c r="H29" s="219" t="s">
        <v>123</v>
      </c>
      <c r="W29" s="570"/>
    </row>
    <row r="30" spans="2:23" x14ac:dyDescent="0.25">
      <c r="H30" s="203" t="s">
        <v>123</v>
      </c>
    </row>
    <row r="31" spans="2:23" x14ac:dyDescent="0.25">
      <c r="H31" s="203" t="s">
        <v>130</v>
      </c>
    </row>
    <row r="32" spans="2:23" x14ac:dyDescent="0.25">
      <c r="H32" s="203" t="s">
        <v>130</v>
      </c>
    </row>
    <row r="33" spans="8:8" x14ac:dyDescent="0.25">
      <c r="H33" s="203" t="s">
        <v>123</v>
      </c>
    </row>
    <row r="34" spans="8:8" x14ac:dyDescent="0.25">
      <c r="H34" s="203" t="s">
        <v>123</v>
      </c>
    </row>
    <row r="35" spans="8:8" x14ac:dyDescent="0.25">
      <c r="H35" s="203" t="s">
        <v>123</v>
      </c>
    </row>
    <row r="36" spans="8:8" x14ac:dyDescent="0.25">
      <c r="H36" s="203" t="s">
        <v>130</v>
      </c>
    </row>
    <row r="37" spans="8:8" x14ac:dyDescent="0.25">
      <c r="H37" s="203" t="s">
        <v>123</v>
      </c>
    </row>
    <row r="38" spans="8:8" x14ac:dyDescent="0.25">
      <c r="H38" s="203" t="s">
        <v>123</v>
      </c>
    </row>
    <row r="39" spans="8:8" x14ac:dyDescent="0.25">
      <c r="H39" s="203" t="s">
        <v>130</v>
      </c>
    </row>
    <row r="40" spans="8:8" x14ac:dyDescent="0.25">
      <c r="H40" s="203" t="s">
        <v>123</v>
      </c>
    </row>
    <row r="41" spans="8:8" x14ac:dyDescent="0.25">
      <c r="H41" s="203" t="s">
        <v>123</v>
      </c>
    </row>
    <row r="42" spans="8:8" x14ac:dyDescent="0.25">
      <c r="H42" s="203" t="s">
        <v>123</v>
      </c>
    </row>
    <row r="43" spans="8:8" x14ac:dyDescent="0.25">
      <c r="H43" s="203" t="s">
        <v>123</v>
      </c>
    </row>
    <row r="44" spans="8:8" x14ac:dyDescent="0.25">
      <c r="H44" s="203" t="s">
        <v>123</v>
      </c>
    </row>
    <row r="45" spans="8:8" x14ac:dyDescent="0.25">
      <c r="H45" s="203" t="s">
        <v>123</v>
      </c>
    </row>
    <row r="46" spans="8:8" x14ac:dyDescent="0.25">
      <c r="H46" s="203" t="s">
        <v>123</v>
      </c>
    </row>
    <row r="47" spans="8:8" x14ac:dyDescent="0.25">
      <c r="H47" s="203" t="s">
        <v>130</v>
      </c>
    </row>
    <row r="48" spans="8:8" x14ac:dyDescent="0.25">
      <c r="H48" s="203" t="s">
        <v>123</v>
      </c>
    </row>
    <row r="49" spans="8:8" x14ac:dyDescent="0.25">
      <c r="H49" s="203" t="s">
        <v>130</v>
      </c>
    </row>
    <row r="50" spans="8:8" x14ac:dyDescent="0.25">
      <c r="H50" s="203" t="s">
        <v>130</v>
      </c>
    </row>
  </sheetData>
  <conditionalFormatting sqref="G3:G26 N3:N26">
    <cfRule type="cellIs" dxfId="105" priority="3" operator="lessThan">
      <formula>150</formula>
    </cfRule>
    <cfRule type="cellIs" dxfId="104" priority="4" operator="greaterThanOrEqual">
      <formula>150</formula>
    </cfRule>
  </conditionalFormatting>
  <conditionalFormatting sqref="E3:E26 M3:M26">
    <cfRule type="cellIs" dxfId="103" priority="1" operator="lessThan">
      <formula>1.2</formula>
    </cfRule>
    <cfRule type="cellIs" dxfId="102" priority="2" operator="greaterThanOrEqual">
      <formula>1.2</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EEB8F7-542C-4D7E-903B-3163DF62C08D}">
  <dimension ref="A1:BV55"/>
  <sheetViews>
    <sheetView zoomScaleNormal="100" workbookViewId="0">
      <selection activeCell="AQ5" sqref="AQ5"/>
    </sheetView>
  </sheetViews>
  <sheetFormatPr baseColWidth="10" defaultRowHeight="15" x14ac:dyDescent="0.25"/>
  <cols>
    <col min="1" max="1" width="12" style="41" customWidth="1"/>
    <col min="2" max="40" width="11.42578125" style="41" hidden="1" customWidth="1"/>
    <col min="41" max="41" width="9.7109375" style="41" customWidth="1"/>
    <col min="42" max="42" width="10.42578125" style="41" customWidth="1"/>
    <col min="43" max="43" width="17.85546875" style="41" customWidth="1"/>
    <col min="44" max="44" width="8.7109375" style="41" customWidth="1"/>
    <col min="45" max="53" width="11.42578125" style="41" customWidth="1"/>
    <col min="54" max="67" width="11.42578125" style="41"/>
    <col min="68" max="68" width="11.42578125" style="263"/>
    <col min="69" max="72" width="11.42578125" style="41"/>
    <col min="73" max="73" width="12.85546875" style="41" customWidth="1"/>
    <col min="74" max="74" width="13" style="41" customWidth="1"/>
    <col min="75" max="16384" width="11.42578125" style="41"/>
  </cols>
  <sheetData>
    <row r="1" spans="1:72" s="263" customFormat="1" x14ac:dyDescent="0.25">
      <c r="AP1" s="222" t="s">
        <v>25</v>
      </c>
      <c r="AQ1" s="222" t="s">
        <v>276</v>
      </c>
      <c r="AR1" s="222" t="s">
        <v>74</v>
      </c>
    </row>
    <row r="2" spans="1:72" s="263" customFormat="1" x14ac:dyDescent="0.25">
      <c r="AP2" s="18">
        <v>44293</v>
      </c>
      <c r="AQ2" s="19" t="s">
        <v>277</v>
      </c>
      <c r="AR2" s="5"/>
    </row>
    <row r="3" spans="1:72" s="263" customFormat="1" x14ac:dyDescent="0.25">
      <c r="AP3" s="18">
        <v>44300</v>
      </c>
      <c r="AQ3" s="19" t="s">
        <v>278</v>
      </c>
      <c r="AR3" s="5"/>
      <c r="AT3" s="263" t="s">
        <v>295</v>
      </c>
    </row>
    <row r="4" spans="1:72" s="263" customFormat="1" x14ac:dyDescent="0.25">
      <c r="AP4" s="18">
        <v>44305</v>
      </c>
      <c r="AQ4" s="19" t="s">
        <v>279</v>
      </c>
      <c r="AR4" s="5"/>
    </row>
    <row r="5" spans="1:72" s="263" customFormat="1" x14ac:dyDescent="0.25">
      <c r="AP5" s="187">
        <v>44337</v>
      </c>
      <c r="AQ5" s="629" t="s">
        <v>310</v>
      </c>
      <c r="AS5" s="187">
        <v>44346</v>
      </c>
    </row>
    <row r="6" spans="1:72" s="263" customFormat="1" x14ac:dyDescent="0.25">
      <c r="AQ6" s="263" t="s">
        <v>296</v>
      </c>
    </row>
    <row r="7" spans="1:72" s="263" customFormat="1" x14ac:dyDescent="0.25"/>
    <row r="8" spans="1:72" s="263" customFormat="1" x14ac:dyDescent="0.25"/>
    <row r="9" spans="1:72" s="263" customFormat="1" x14ac:dyDescent="0.25"/>
    <row r="10" spans="1:72" s="263" customFormat="1" x14ac:dyDescent="0.25"/>
    <row r="11" spans="1:72" ht="15.75" thickBot="1" x14ac:dyDescent="0.3">
      <c r="A11" s="188" t="s">
        <v>24</v>
      </c>
      <c r="B11" s="189">
        <v>44219</v>
      </c>
      <c r="C11" s="189">
        <v>44220</v>
      </c>
      <c r="D11" s="189">
        <v>44221</v>
      </c>
      <c r="E11" s="189">
        <v>44222</v>
      </c>
      <c r="F11" s="189">
        <v>44223</v>
      </c>
      <c r="G11" s="189">
        <v>44224</v>
      </c>
      <c r="H11" s="189">
        <v>44225</v>
      </c>
      <c r="I11" s="189">
        <v>44226</v>
      </c>
      <c r="J11" s="189">
        <v>44227</v>
      </c>
      <c r="K11" s="189">
        <v>44228</v>
      </c>
      <c r="L11" s="189">
        <v>44229</v>
      </c>
      <c r="M11" s="189">
        <v>44230</v>
      </c>
      <c r="N11" s="189">
        <v>44231</v>
      </c>
      <c r="O11" s="189">
        <v>44232</v>
      </c>
      <c r="P11" s="189">
        <v>44233</v>
      </c>
      <c r="Q11" s="189">
        <v>44234</v>
      </c>
      <c r="R11" s="189">
        <v>44235</v>
      </c>
      <c r="S11" s="189">
        <v>44236</v>
      </c>
      <c r="T11" s="189">
        <v>44237</v>
      </c>
      <c r="U11" s="189">
        <v>44238</v>
      </c>
      <c r="V11" s="189">
        <v>44239</v>
      </c>
      <c r="W11" s="189">
        <v>44240</v>
      </c>
      <c r="X11" s="189">
        <v>44241</v>
      </c>
      <c r="Y11" s="189">
        <v>44242</v>
      </c>
      <c r="Z11" s="189">
        <v>44243</v>
      </c>
      <c r="AA11" s="189">
        <v>44244</v>
      </c>
      <c r="AB11" s="189">
        <v>44245</v>
      </c>
      <c r="AC11" s="189">
        <v>44246</v>
      </c>
      <c r="AD11" s="189">
        <v>44247</v>
      </c>
      <c r="AE11" s="189">
        <v>44248</v>
      </c>
      <c r="AF11" s="189">
        <v>44249</v>
      </c>
      <c r="AG11" s="189">
        <v>44250</v>
      </c>
      <c r="AH11" s="189">
        <v>44251</v>
      </c>
      <c r="AI11" s="189">
        <v>44252</v>
      </c>
      <c r="AJ11" s="189">
        <v>44253</v>
      </c>
      <c r="AK11" s="189">
        <v>44254</v>
      </c>
      <c r="AL11" s="189">
        <v>44255</v>
      </c>
      <c r="AM11" s="189">
        <v>44256</v>
      </c>
      <c r="AN11" s="189">
        <v>44257</v>
      </c>
      <c r="AO11" s="189">
        <v>44258</v>
      </c>
      <c r="AP11" s="189">
        <v>44259</v>
      </c>
      <c r="AQ11" s="189">
        <v>44260</v>
      </c>
      <c r="AR11" s="189">
        <v>44261</v>
      </c>
      <c r="AS11" s="189">
        <v>44262</v>
      </c>
      <c r="AT11" s="189">
        <v>44263</v>
      </c>
      <c r="AU11" s="189">
        <v>44264</v>
      </c>
      <c r="AV11" s="189">
        <v>44265</v>
      </c>
      <c r="AW11" s="189">
        <v>44266</v>
      </c>
      <c r="AX11" s="189">
        <v>44267</v>
      </c>
      <c r="AY11" s="189">
        <v>44268</v>
      </c>
      <c r="AZ11" s="189">
        <v>44269</v>
      </c>
      <c r="BA11" s="189">
        <v>44270</v>
      </c>
      <c r="BB11" s="189">
        <v>44271</v>
      </c>
      <c r="BC11" s="189">
        <v>44272</v>
      </c>
      <c r="BD11" s="189">
        <v>44273</v>
      </c>
      <c r="BE11" s="189">
        <v>44274</v>
      </c>
      <c r="BF11" s="189">
        <v>44275</v>
      </c>
      <c r="BG11" s="189">
        <v>44276</v>
      </c>
      <c r="BH11" s="189">
        <v>44277</v>
      </c>
      <c r="BI11" s="189">
        <v>44278</v>
      </c>
      <c r="BJ11" s="189">
        <v>44279</v>
      </c>
      <c r="BK11" s="189">
        <v>44280</v>
      </c>
      <c r="BL11" s="189">
        <v>44281</v>
      </c>
      <c r="BM11" s="189">
        <v>44282</v>
      </c>
      <c r="BN11" s="189">
        <v>44283</v>
      </c>
    </row>
    <row r="12" spans="1:72" ht="15.75" thickBot="1" x14ac:dyDescent="0.3">
      <c r="A12" s="190" t="s">
        <v>16</v>
      </c>
      <c r="B12" s="166">
        <v>1.0990031330105383</v>
      </c>
      <c r="C12" s="166">
        <v>1.0502371951671485</v>
      </c>
      <c r="D12" s="166">
        <v>1.036354590849625</v>
      </c>
      <c r="E12" s="166">
        <v>1.0026419123102257</v>
      </c>
      <c r="F12" s="166">
        <v>0.99338884774480229</v>
      </c>
      <c r="G12" s="166">
        <v>0.96709182759485512</v>
      </c>
      <c r="H12" s="166">
        <v>0.90940790141846373</v>
      </c>
      <c r="I12" s="166">
        <v>0.88018707342466662</v>
      </c>
      <c r="J12" s="166">
        <v>0.86598444535407282</v>
      </c>
      <c r="K12" s="166">
        <v>0.85872571643671958</v>
      </c>
      <c r="L12" s="166">
        <v>0.8484335169805115</v>
      </c>
      <c r="M12" s="166">
        <v>0.83337193144974531</v>
      </c>
      <c r="N12" s="166">
        <v>0.82756889714371773</v>
      </c>
      <c r="O12" s="166">
        <v>0.82646645085843096</v>
      </c>
      <c r="P12" s="166">
        <v>0.83700478584633464</v>
      </c>
      <c r="Q12" s="166">
        <v>0.84432289369210412</v>
      </c>
      <c r="R12" s="166">
        <v>0.83916506649598177</v>
      </c>
      <c r="S12" s="166">
        <v>0.82995542240430253</v>
      </c>
      <c r="T12" s="166">
        <v>0.8147467951631967</v>
      </c>
      <c r="U12" s="166">
        <v>0.81100305640455683</v>
      </c>
      <c r="V12" s="166">
        <v>0.79116256561069132</v>
      </c>
      <c r="W12" s="166">
        <v>0.7864666453878072</v>
      </c>
      <c r="X12" s="166">
        <v>0.77993949706938925</v>
      </c>
      <c r="Y12" s="166">
        <v>0.76338409346471248</v>
      </c>
      <c r="Z12" s="166">
        <v>0.72296419779410337</v>
      </c>
      <c r="AA12" s="166">
        <v>0.7187717104349034</v>
      </c>
      <c r="AB12" s="166">
        <v>0.7229568522787011</v>
      </c>
      <c r="AC12" s="166">
        <v>0.73459929456156181</v>
      </c>
      <c r="AD12" s="166">
        <v>0.73043657756218394</v>
      </c>
      <c r="AE12" s="166">
        <v>0.7395929114770543</v>
      </c>
      <c r="AF12" s="166">
        <v>0.74780711047078263</v>
      </c>
      <c r="AG12" s="166">
        <v>0.76836932176484662</v>
      </c>
      <c r="AH12" s="192">
        <v>0.79384917535206556</v>
      </c>
      <c r="AI12" s="192">
        <v>0.81480973916221278</v>
      </c>
      <c r="AJ12" s="192">
        <v>0.81294405495694722</v>
      </c>
      <c r="AK12" s="192">
        <v>0.82400687547746376</v>
      </c>
      <c r="AL12" s="192">
        <v>0.82926474509708858</v>
      </c>
      <c r="AM12" s="192">
        <v>0.86990063414390573</v>
      </c>
      <c r="AN12" s="192">
        <v>0.97281282676890901</v>
      </c>
      <c r="AO12" s="192">
        <v>1.0256828035679766</v>
      </c>
      <c r="AP12" s="192">
        <v>1.0334768989819891</v>
      </c>
      <c r="AQ12" s="192">
        <v>1.0300374071799452</v>
      </c>
      <c r="AR12" s="192">
        <v>1.0343921324817724</v>
      </c>
      <c r="AS12" s="192">
        <v>1.0197507840976519</v>
      </c>
      <c r="AT12" s="192">
        <v>1.022297775888936</v>
      </c>
      <c r="AU12" s="192">
        <v>1.013867270411773</v>
      </c>
      <c r="AV12" s="192">
        <v>1.0005060444194547</v>
      </c>
      <c r="AW12" s="192">
        <v>1.0030834781633682</v>
      </c>
      <c r="AX12" s="192">
        <v>1.0693966140934741</v>
      </c>
      <c r="AY12" s="192">
        <v>1.0788040329122726</v>
      </c>
      <c r="AZ12" s="192">
        <v>1.0960301683816651</v>
      </c>
      <c r="BA12" s="192">
        <v>1.0934477513417329</v>
      </c>
      <c r="BB12" s="192">
        <v>1.0730920816911502</v>
      </c>
      <c r="BC12" s="192">
        <v>1.071306795118123</v>
      </c>
      <c r="BD12" s="192">
        <v>1.0742045639330045</v>
      </c>
      <c r="BE12" s="192">
        <v>1.0742045639330045</v>
      </c>
      <c r="BF12" s="192">
        <v>1.1092806600551868</v>
      </c>
      <c r="BG12" s="192">
        <v>1.1435300637295649</v>
      </c>
      <c r="BH12" s="192">
        <v>1.1614101213901669</v>
      </c>
      <c r="BI12" s="192">
        <v>1.2041032798325191</v>
      </c>
      <c r="BJ12" s="192">
        <v>1.2300775542317635</v>
      </c>
      <c r="BK12" s="192">
        <v>1.2303822937625755</v>
      </c>
      <c r="BL12" s="192">
        <v>1.2571915676670364</v>
      </c>
      <c r="BM12" s="192">
        <v>1.3183478354280804</v>
      </c>
      <c r="BN12" s="192">
        <v>1.3551329581521885</v>
      </c>
    </row>
    <row r="13" spans="1:72" ht="15.75" thickBot="1" x14ac:dyDescent="0.3">
      <c r="A13" s="190" t="s">
        <v>43</v>
      </c>
      <c r="B13" s="166">
        <v>1.1267855967349087</v>
      </c>
      <c r="C13" s="166">
        <v>1.0551241247612986</v>
      </c>
      <c r="D13" s="166">
        <v>1.0629996193376474</v>
      </c>
      <c r="E13" s="166">
        <v>1.0099852977211468</v>
      </c>
      <c r="F13" s="166">
        <v>1.0047410649161197</v>
      </c>
      <c r="G13" s="166">
        <v>0.98677344982405046</v>
      </c>
      <c r="H13" s="166">
        <v>0.938364122226095</v>
      </c>
      <c r="I13" s="166">
        <v>0.89346694284274752</v>
      </c>
      <c r="J13" s="166">
        <v>0.85527400648601115</v>
      </c>
      <c r="K13" s="166">
        <v>0.83031427324312523</v>
      </c>
      <c r="L13" s="166">
        <v>0.82644628099173556</v>
      </c>
      <c r="M13" s="166">
        <v>0.82201379310344824</v>
      </c>
      <c r="N13" s="166">
        <v>0.83256700684086571</v>
      </c>
      <c r="O13" s="166">
        <v>0.84215926580402445</v>
      </c>
      <c r="P13" s="166">
        <v>0.85196003972658763</v>
      </c>
      <c r="Q13" s="166">
        <v>0.87198359073359077</v>
      </c>
      <c r="R13" s="166">
        <v>0.83909280811698006</v>
      </c>
      <c r="S13" s="166">
        <v>0.83429368593437259</v>
      </c>
      <c r="T13" s="166">
        <v>0.81203871748336354</v>
      </c>
      <c r="U13" s="166">
        <v>0.80472208558780123</v>
      </c>
      <c r="V13" s="166">
        <v>0.78654119977713122</v>
      </c>
      <c r="W13" s="166">
        <v>0.77036340852130325</v>
      </c>
      <c r="X13" s="166">
        <v>0.78374035989717228</v>
      </c>
      <c r="Y13" s="166">
        <v>0.7765803653568143</v>
      </c>
      <c r="Z13" s="166">
        <v>0.72761589403973514</v>
      </c>
      <c r="AA13" s="166">
        <v>0.71682663265991009</v>
      </c>
      <c r="AB13" s="166">
        <v>0.69100215517241381</v>
      </c>
      <c r="AC13" s="166">
        <v>0.67828617842155137</v>
      </c>
      <c r="AD13" s="166">
        <v>0.67777549201124598</v>
      </c>
      <c r="AE13" s="166">
        <v>0.66818873668188739</v>
      </c>
      <c r="AF13" s="166">
        <v>0.69592431894160323</v>
      </c>
      <c r="AG13" s="166">
        <v>0.69981824790985092</v>
      </c>
      <c r="AH13" s="192">
        <v>0.72368323027639125</v>
      </c>
      <c r="AI13" s="192">
        <v>0.7512224938875306</v>
      </c>
      <c r="AJ13" s="192">
        <v>0.75773317591499412</v>
      </c>
      <c r="AK13" s="192">
        <v>0.78641724278161851</v>
      </c>
      <c r="AL13" s="192">
        <v>0.77482574825748263</v>
      </c>
      <c r="AM13" s="192">
        <v>0.79455068539515994</v>
      </c>
      <c r="AN13" s="192">
        <v>0.87403294802948939</v>
      </c>
      <c r="AO13" s="192">
        <v>0.90805243445692885</v>
      </c>
      <c r="AP13" s="192">
        <v>0.93294346978557507</v>
      </c>
      <c r="AQ13" s="192">
        <v>0.95679073944716098</v>
      </c>
      <c r="AR13" s="192">
        <v>0.97561715904492108</v>
      </c>
      <c r="AS13" s="192">
        <v>1.0065230896665975</v>
      </c>
      <c r="AT13" s="192">
        <v>0.98006950122649228</v>
      </c>
      <c r="AU13" s="192">
        <v>1.0012466237274049</v>
      </c>
      <c r="AV13" s="192">
        <v>0.98507309038501134</v>
      </c>
      <c r="AW13" s="192">
        <v>0.96724979658258747</v>
      </c>
      <c r="AX13" s="192">
        <v>1.0109068245559365</v>
      </c>
      <c r="AY13" s="192">
        <v>1.0285448340055849</v>
      </c>
      <c r="AZ13" s="192">
        <v>1.0650862525134934</v>
      </c>
      <c r="BA13" s="192">
        <v>1.1414270500532482</v>
      </c>
      <c r="BB13" s="192">
        <v>1.1489117983963344</v>
      </c>
      <c r="BC13" s="192">
        <v>1.1858545758462182</v>
      </c>
      <c r="BD13" s="192">
        <v>1.1860659157279934</v>
      </c>
      <c r="BE13" s="192">
        <v>1.1860659157279934</v>
      </c>
      <c r="BF13" s="192">
        <v>1.1991081613605725</v>
      </c>
      <c r="BG13" s="192">
        <v>1.2094434728937351</v>
      </c>
      <c r="BH13" s="192">
        <v>1.2471582021065803</v>
      </c>
      <c r="BI13" s="192">
        <v>1.2722556547001453</v>
      </c>
      <c r="BJ13" s="192">
        <v>1.2782944926324591</v>
      </c>
      <c r="BK13" s="192">
        <v>1.3464773922187172</v>
      </c>
      <c r="BL13" s="192">
        <v>1.3749486230990546</v>
      </c>
      <c r="BM13" s="192">
        <v>1.4138763197586728</v>
      </c>
      <c r="BN13" s="192">
        <v>1.4456478537360891</v>
      </c>
    </row>
    <row r="14" spans="1:72" ht="15.75" thickBot="1" x14ac:dyDescent="0.3">
      <c r="A14" s="190" t="s">
        <v>28</v>
      </c>
      <c r="B14" s="166">
        <v>2.6351351351351351</v>
      </c>
      <c r="C14" s="166">
        <v>2.6097152428810722</v>
      </c>
      <c r="D14" s="166">
        <v>2.608040201005025</v>
      </c>
      <c r="E14" s="166">
        <v>2.3408748114630469</v>
      </c>
      <c r="F14" s="166">
        <v>2.3815201192250375</v>
      </c>
      <c r="G14" s="166">
        <v>2.4077961019490255</v>
      </c>
      <c r="H14" s="166">
        <v>1.2485875706214689</v>
      </c>
      <c r="I14" s="166">
        <v>0.9446227929373997</v>
      </c>
      <c r="J14" s="166">
        <v>0.90375939849624065</v>
      </c>
      <c r="K14" s="166">
        <v>0.95040116703136401</v>
      </c>
      <c r="L14" s="166">
        <v>0.87704918032786883</v>
      </c>
      <c r="M14" s="166">
        <v>0.88235294117647056</v>
      </c>
      <c r="N14" s="166">
        <v>0.86383787207093099</v>
      </c>
      <c r="O14" s="166">
        <v>0.90228426395939088</v>
      </c>
      <c r="P14" s="166">
        <v>0.92692307692307696</v>
      </c>
      <c r="Q14" s="166">
        <v>0.93709884467265725</v>
      </c>
      <c r="R14" s="166">
        <v>1.0038535645472062</v>
      </c>
      <c r="S14" s="166">
        <v>1.0109536082474226</v>
      </c>
      <c r="T14" s="166">
        <v>0.94305381727158943</v>
      </c>
      <c r="U14" s="166">
        <v>0.94707347447073476</v>
      </c>
      <c r="V14" s="166">
        <v>1.1523378582202111</v>
      </c>
      <c r="W14" s="166">
        <v>1.2914188615123194</v>
      </c>
      <c r="X14" s="166">
        <v>1.1730449251247921</v>
      </c>
      <c r="Y14" s="166">
        <v>1.0245587106676899</v>
      </c>
      <c r="Z14" s="166">
        <v>0.93769470404984423</v>
      </c>
      <c r="AA14" s="166">
        <v>0.85842696629213489</v>
      </c>
      <c r="AB14" s="166">
        <v>0.79912023460410553</v>
      </c>
      <c r="AC14" s="166">
        <v>0.7580872011251758</v>
      </c>
      <c r="AD14" s="166">
        <v>0.72821576763485474</v>
      </c>
      <c r="AE14" s="166">
        <v>0.75342465753424659</v>
      </c>
      <c r="AF14" s="166">
        <v>0.67306461932181705</v>
      </c>
      <c r="AG14" s="166">
        <v>0.65710643722116002</v>
      </c>
      <c r="AH14" s="192">
        <v>0.69741207697412078</v>
      </c>
      <c r="AI14" s="192">
        <v>0.70874424720578566</v>
      </c>
      <c r="AJ14" s="192">
        <v>0.67997382198952883</v>
      </c>
      <c r="AK14" s="192">
        <v>0.70986842105263159</v>
      </c>
      <c r="AL14" s="192">
        <v>0.7737588652482269</v>
      </c>
      <c r="AM14" s="192">
        <v>0.86891385767790263</v>
      </c>
      <c r="AN14" s="192">
        <v>1.037375415282392</v>
      </c>
      <c r="AO14" s="192">
        <v>1.0654450261780104</v>
      </c>
      <c r="AP14" s="192">
        <v>1.1119266055045871</v>
      </c>
      <c r="AQ14" s="192">
        <v>1.1419294990723563</v>
      </c>
      <c r="AR14" s="192">
        <v>1.1633428300094968</v>
      </c>
      <c r="AS14" s="192">
        <v>1.0554545454545454</v>
      </c>
      <c r="AT14" s="192">
        <v>1.0941064638783271</v>
      </c>
      <c r="AU14" s="192">
        <v>1.1454898157129001</v>
      </c>
      <c r="AV14" s="192">
        <v>1.1208372978116079</v>
      </c>
      <c r="AW14" s="192">
        <v>1.049165120593692</v>
      </c>
      <c r="AX14" s="192">
        <v>1.1058710298363812</v>
      </c>
      <c r="AY14" s="192">
        <v>1.051899907321594</v>
      </c>
      <c r="AZ14" s="192">
        <v>1.0485792850595783</v>
      </c>
      <c r="BA14" s="192">
        <v>0.93189655172413788</v>
      </c>
      <c r="BB14" s="192">
        <v>0.89271417133706965</v>
      </c>
      <c r="BC14" s="192">
        <v>1.0033003300330032</v>
      </c>
      <c r="BD14" s="192">
        <v>0.98700243704305446</v>
      </c>
      <c r="BE14" s="192">
        <v>0.98700243704305446</v>
      </c>
      <c r="BF14" s="192">
        <v>1.0138775510204081</v>
      </c>
      <c r="BG14" s="192">
        <v>1.0749354005167959</v>
      </c>
      <c r="BH14" s="192">
        <v>1.0721112076455257</v>
      </c>
      <c r="BI14" s="192">
        <v>1.0372565622353938</v>
      </c>
      <c r="BJ14" s="192">
        <v>1.0390492359932089</v>
      </c>
      <c r="BK14" s="192">
        <v>1.0848806366047745</v>
      </c>
      <c r="BL14" s="192">
        <v>1.0652741514360313</v>
      </c>
      <c r="BM14" s="192">
        <v>1.0317180616740087</v>
      </c>
      <c r="BN14" s="192">
        <v>1.0472027972027973</v>
      </c>
      <c r="BR14" s="4" t="s">
        <v>246</v>
      </c>
      <c r="BS14" s="4" t="s">
        <v>247</v>
      </c>
      <c r="BT14" s="4" t="s">
        <v>248</v>
      </c>
    </row>
    <row r="15" spans="1:72" ht="15.75" thickBot="1" x14ac:dyDescent="0.3">
      <c r="A15" s="190" t="s">
        <v>15</v>
      </c>
      <c r="B15" s="166">
        <v>0.99257007767646066</v>
      </c>
      <c r="C15" s="166">
        <v>0.93608046722907201</v>
      </c>
      <c r="D15" s="166">
        <v>0.90112359550561794</v>
      </c>
      <c r="E15" s="166">
        <v>0.88328998699609884</v>
      </c>
      <c r="F15" s="166">
        <v>0.826645264847512</v>
      </c>
      <c r="G15" s="166">
        <v>0.76202531645569616</v>
      </c>
      <c r="H15" s="166">
        <v>0.72572298325722984</v>
      </c>
      <c r="I15" s="166">
        <v>0.70541931577353922</v>
      </c>
      <c r="J15" s="166">
        <v>0.66696402022004164</v>
      </c>
      <c r="K15" s="166">
        <v>0.65935716431360769</v>
      </c>
      <c r="L15" s="166">
        <v>0.66152422091946927</v>
      </c>
      <c r="M15" s="166">
        <v>0.66232114467408587</v>
      </c>
      <c r="N15" s="166">
        <v>0.62258687258687262</v>
      </c>
      <c r="O15" s="166">
        <v>0.63903743315508021</v>
      </c>
      <c r="P15" s="166">
        <v>0.64103436543041847</v>
      </c>
      <c r="Q15" s="166">
        <v>0.64194107452339688</v>
      </c>
      <c r="R15" s="166">
        <v>0.65550409690060563</v>
      </c>
      <c r="S15" s="166">
        <v>0.67132867132867136</v>
      </c>
      <c r="T15" s="166">
        <v>0.70718446601941742</v>
      </c>
      <c r="U15" s="166">
        <v>0.75664451827242529</v>
      </c>
      <c r="V15" s="166">
        <v>0.72944630872483218</v>
      </c>
      <c r="W15" s="166">
        <v>0.72875536480686698</v>
      </c>
      <c r="X15" s="166">
        <v>0.75434685688809633</v>
      </c>
      <c r="Y15" s="166">
        <v>0.75717539863325745</v>
      </c>
      <c r="Z15" s="166">
        <v>0.73320895522388063</v>
      </c>
      <c r="AA15" s="166">
        <v>0.74843975036005761</v>
      </c>
      <c r="AB15" s="166">
        <v>0.78863049095607241</v>
      </c>
      <c r="AC15" s="166">
        <v>0.80125523012552302</v>
      </c>
      <c r="AD15" s="166">
        <v>0.83014861995753719</v>
      </c>
      <c r="AE15" s="166">
        <v>0.83153347732181426</v>
      </c>
      <c r="AF15" s="166">
        <v>0.86956521739130432</v>
      </c>
      <c r="AG15" s="166">
        <v>0.89364035087719296</v>
      </c>
      <c r="AH15" s="192">
        <v>0.9022515101592532</v>
      </c>
      <c r="AI15" s="192">
        <v>0.92151481888035125</v>
      </c>
      <c r="AJ15" s="192">
        <v>0.95629672225416906</v>
      </c>
      <c r="AK15" s="192">
        <v>0.99705535924617195</v>
      </c>
      <c r="AL15" s="192">
        <v>1.0029550827423168</v>
      </c>
      <c r="AM15" s="192">
        <v>1.0276774969915765</v>
      </c>
      <c r="AN15" s="192">
        <v>1.11323155216285</v>
      </c>
      <c r="AO15" s="192">
        <v>1.1674150096215523</v>
      </c>
      <c r="AP15" s="192">
        <v>1.245740498034076</v>
      </c>
      <c r="AQ15" s="192">
        <v>1.2454308093994777</v>
      </c>
      <c r="AR15" s="192">
        <v>1.1854219948849105</v>
      </c>
      <c r="AS15" s="192">
        <v>1.2058441558441559</v>
      </c>
      <c r="AT15" s="192">
        <v>1.1575</v>
      </c>
      <c r="AU15" s="192">
        <v>1.0791411042944785</v>
      </c>
      <c r="AV15" s="192">
        <v>1.0602556299452222</v>
      </c>
      <c r="AW15" s="192">
        <v>1.0172721858248959</v>
      </c>
      <c r="AX15" s="192">
        <v>1.058929645219483</v>
      </c>
      <c r="AY15" s="192">
        <v>1.060838747784997</v>
      </c>
      <c r="AZ15" s="192">
        <v>1.0601060695344726</v>
      </c>
      <c r="BA15" s="192">
        <v>1.0802107728337236</v>
      </c>
      <c r="BB15" s="192">
        <v>1.0605714285714285</v>
      </c>
      <c r="BC15" s="192">
        <v>0.95791688584955281</v>
      </c>
      <c r="BD15" s="192">
        <v>0.95125786163522008</v>
      </c>
      <c r="BE15" s="192">
        <v>0.95125786163522008</v>
      </c>
      <c r="BF15" s="192">
        <v>1.0048543689320388</v>
      </c>
      <c r="BG15" s="192">
        <v>1.0226171243941842</v>
      </c>
      <c r="BH15" s="192">
        <v>1.0140388768898487</v>
      </c>
      <c r="BI15" s="192">
        <v>1.0886867538374077</v>
      </c>
      <c r="BJ15" s="192">
        <v>1.1228473019517795</v>
      </c>
      <c r="BK15" s="192">
        <v>1.1364168618266979</v>
      </c>
      <c r="BL15" s="192">
        <v>1.1039182282793867</v>
      </c>
      <c r="BM15" s="192">
        <v>1.1319599109131404</v>
      </c>
      <c r="BN15" s="192">
        <v>1.1345191773207337</v>
      </c>
      <c r="BR15" s="4" t="s">
        <v>249</v>
      </c>
      <c r="BS15" s="4">
        <v>136</v>
      </c>
      <c r="BT15" s="202">
        <f>BS15/SUM($BS$15:$BS$24)</f>
        <v>3.5379812695109258E-2</v>
      </c>
    </row>
    <row r="16" spans="1:72" ht="15.75" thickBot="1" x14ac:dyDescent="0.3">
      <c r="A16" s="190" t="s">
        <v>29</v>
      </c>
      <c r="B16" s="166">
        <v>0.93</v>
      </c>
      <c r="C16" s="166">
        <v>0.90751976466262185</v>
      </c>
      <c r="D16" s="166">
        <v>0.86200618969597664</v>
      </c>
      <c r="E16" s="166">
        <v>0.81125888139916191</v>
      </c>
      <c r="F16" s="166">
        <v>0.78846504836649023</v>
      </c>
      <c r="G16" s="166">
        <v>0.73522543560265852</v>
      </c>
      <c r="H16" s="166">
        <v>0.69597132127005801</v>
      </c>
      <c r="I16" s="166">
        <v>0.70762639245929737</v>
      </c>
      <c r="J16" s="166">
        <v>0.70331950207468885</v>
      </c>
      <c r="K16" s="166">
        <v>0.72558386411889597</v>
      </c>
      <c r="L16" s="166">
        <v>0.75286083425618311</v>
      </c>
      <c r="M16" s="166">
        <v>0.76559833112080411</v>
      </c>
      <c r="N16" s="166">
        <v>0.7610379550735864</v>
      </c>
      <c r="O16" s="166">
        <v>0.72695517174461477</v>
      </c>
      <c r="P16" s="166">
        <v>0.73715651135005977</v>
      </c>
      <c r="Q16" s="166">
        <v>0.74068071312803885</v>
      </c>
      <c r="R16" s="166">
        <v>0.7581837381203802</v>
      </c>
      <c r="S16" s="166">
        <v>0.79070289692342244</v>
      </c>
      <c r="T16" s="166">
        <v>0.76157407407407407</v>
      </c>
      <c r="U16" s="166">
        <v>0.78524309797214753</v>
      </c>
      <c r="V16" s="166">
        <v>0.74908020603384839</v>
      </c>
      <c r="W16" s="166">
        <v>0.71034148704286748</v>
      </c>
      <c r="X16" s="166">
        <v>0.71902654867256632</v>
      </c>
      <c r="Y16" s="166">
        <v>0.67544501341136309</v>
      </c>
      <c r="Z16" s="166">
        <v>0.60897278744790395</v>
      </c>
      <c r="AA16" s="166">
        <v>0.58459251919742383</v>
      </c>
      <c r="AB16" s="166">
        <v>0.61068702290076338</v>
      </c>
      <c r="AC16" s="166">
        <v>0.61505605979711697</v>
      </c>
      <c r="AD16" s="166">
        <v>0.59562398703403563</v>
      </c>
      <c r="AE16" s="166">
        <v>0.59600656455142231</v>
      </c>
      <c r="AF16" s="166">
        <v>0.57994428969359335</v>
      </c>
      <c r="AG16" s="166">
        <v>0.56944049985799494</v>
      </c>
      <c r="AH16" s="192">
        <v>0.61610942249240119</v>
      </c>
      <c r="AI16" s="192">
        <v>0.60018668326073432</v>
      </c>
      <c r="AJ16" s="192">
        <v>0.57891290111329408</v>
      </c>
      <c r="AK16" s="192">
        <v>0.59086259802250252</v>
      </c>
      <c r="AL16" s="192">
        <v>0.5675213675213675</v>
      </c>
      <c r="AM16" s="192">
        <v>0.61949458483754516</v>
      </c>
      <c r="AN16" s="192">
        <v>0.72705314009661837</v>
      </c>
      <c r="AO16" s="192">
        <v>0.74661016949152548</v>
      </c>
      <c r="AP16" s="192">
        <v>0.63791666666666669</v>
      </c>
      <c r="AQ16" s="192">
        <v>0.63454861111111116</v>
      </c>
      <c r="AR16" s="192">
        <v>0.65623582766439914</v>
      </c>
      <c r="AS16" s="192">
        <v>0.66681964203763189</v>
      </c>
      <c r="AT16" s="192">
        <v>0.66330451488952935</v>
      </c>
      <c r="AU16" s="192">
        <v>0.65137157107231924</v>
      </c>
      <c r="AV16" s="192">
        <v>0.59940799210656137</v>
      </c>
      <c r="AW16" s="192">
        <v>0.61067910834629346</v>
      </c>
      <c r="AX16" s="192">
        <v>0.68721719457013575</v>
      </c>
      <c r="AY16" s="192">
        <v>0.70571263704558573</v>
      </c>
      <c r="AZ16" s="192">
        <v>0.74518072289156623</v>
      </c>
      <c r="BA16" s="192">
        <v>0.72435897435897434</v>
      </c>
      <c r="BB16" s="192">
        <v>0.67109634551495012</v>
      </c>
      <c r="BC16" s="192">
        <v>0.79359895493141741</v>
      </c>
      <c r="BD16" s="192">
        <v>0.84404924760601918</v>
      </c>
      <c r="BE16" s="192">
        <v>0.84404924760601918</v>
      </c>
      <c r="BF16" s="192">
        <v>0.84865238424326195</v>
      </c>
      <c r="BG16" s="192">
        <v>0.82794218857536128</v>
      </c>
      <c r="BH16" s="192">
        <v>0.90441708906589424</v>
      </c>
      <c r="BI16" s="192">
        <v>1</v>
      </c>
      <c r="BJ16" s="192">
        <v>1.0798353909465022</v>
      </c>
      <c r="BK16" s="192">
        <v>1.134125636672326</v>
      </c>
      <c r="BL16" s="192">
        <v>1.1382716049382715</v>
      </c>
      <c r="BM16" s="192">
        <v>1.1340964840556009</v>
      </c>
      <c r="BN16" s="192">
        <v>1.1592562651576395</v>
      </c>
      <c r="BR16" s="4" t="s">
        <v>250</v>
      </c>
      <c r="BS16" s="4">
        <v>77</v>
      </c>
      <c r="BT16" s="202">
        <f t="shared" ref="BT16:BT24" si="0">BS16/SUM($BS$15:$BS$24)</f>
        <v>2.0031217481789803E-2</v>
      </c>
    </row>
    <row r="17" spans="1:74" ht="15.75" thickBot="1" x14ac:dyDescent="0.3">
      <c r="A17" s="190" t="s">
        <v>30</v>
      </c>
      <c r="B17" s="166">
        <v>2.1220976781425138</v>
      </c>
      <c r="C17" s="166">
        <v>2.2863140218303948</v>
      </c>
      <c r="D17" s="166">
        <v>2.3720439189189189</v>
      </c>
      <c r="E17" s="166">
        <v>0.84586255259467036</v>
      </c>
      <c r="F17" s="166">
        <v>2.361972357116175</v>
      </c>
      <c r="G17" s="166">
        <v>2.1829632084852504</v>
      </c>
      <c r="H17" s="166">
        <v>2.1659402241594021</v>
      </c>
      <c r="I17" s="166">
        <v>2.2334483840602446</v>
      </c>
      <c r="J17" s="166">
        <v>2.2496147919876734</v>
      </c>
      <c r="K17" s="166">
        <v>2.1650253655625185</v>
      </c>
      <c r="L17" s="166">
        <v>1.8626073380171742</v>
      </c>
      <c r="M17" s="166">
        <v>1.6313481071098799</v>
      </c>
      <c r="N17" s="166">
        <v>1.4567176692517292</v>
      </c>
      <c r="O17" s="166">
        <v>1.3683481701285856</v>
      </c>
      <c r="P17" s="166">
        <v>1.2876815695151858</v>
      </c>
      <c r="Q17" s="166">
        <v>1.2462357693720161</v>
      </c>
      <c r="R17" s="166">
        <v>1.1830158447569876</v>
      </c>
      <c r="S17" s="166">
        <v>1.1047919084728901</v>
      </c>
      <c r="T17" s="166">
        <v>1.0651589435394591</v>
      </c>
      <c r="U17" s="166">
        <v>1.0192833282720923</v>
      </c>
      <c r="V17" s="166">
        <v>0.97110823630875376</v>
      </c>
      <c r="W17" s="166">
        <v>0.99339702163529087</v>
      </c>
      <c r="X17" s="166">
        <v>0.95958904109589038</v>
      </c>
      <c r="Y17" s="166">
        <v>0.9416953824948312</v>
      </c>
      <c r="Z17" s="166">
        <v>0.91701592623637884</v>
      </c>
      <c r="AA17" s="166">
        <v>0.90547615678505733</v>
      </c>
      <c r="AB17" s="166">
        <v>0.9661870503597122</v>
      </c>
      <c r="AC17" s="166">
        <v>1.0106982796009831</v>
      </c>
      <c r="AD17" s="166">
        <v>1.0443891004980954</v>
      </c>
      <c r="AE17" s="166">
        <v>1.076027700014734</v>
      </c>
      <c r="AF17" s="166">
        <v>1.1297215951843491</v>
      </c>
      <c r="AG17" s="166">
        <v>1.1487318024913702</v>
      </c>
      <c r="AH17" s="192">
        <v>1.1300668151447661</v>
      </c>
      <c r="AI17" s="192">
        <v>1.1963354684939669</v>
      </c>
      <c r="AJ17" s="192">
        <v>1.1542332741267023</v>
      </c>
      <c r="AK17" s="192">
        <v>1.0998444350162637</v>
      </c>
      <c r="AL17" s="192">
        <v>1.1182012847965739</v>
      </c>
      <c r="AM17" s="192">
        <v>1.1857435597189696</v>
      </c>
      <c r="AN17" s="192">
        <v>1.3065204143814748</v>
      </c>
      <c r="AO17" s="192">
        <v>1.3809970307860604</v>
      </c>
      <c r="AP17" s="192">
        <v>1.2933730454207</v>
      </c>
      <c r="AQ17" s="192">
        <v>1.2284365612930912</v>
      </c>
      <c r="AR17" s="192">
        <v>1.1795483237480713</v>
      </c>
      <c r="AS17" s="192">
        <v>0.99685675797036377</v>
      </c>
      <c r="AT17" s="192">
        <v>0.99519020550940096</v>
      </c>
      <c r="AU17" s="192">
        <v>1.1069324875396467</v>
      </c>
      <c r="AV17" s="192">
        <v>1.1910112359550562</v>
      </c>
      <c r="AW17" s="192">
        <v>1.1665926254997778</v>
      </c>
      <c r="AX17" s="192">
        <v>1.2055417700578992</v>
      </c>
      <c r="AY17" s="192">
        <v>1.198659834450138</v>
      </c>
      <c r="AZ17" s="192">
        <v>1.2381332269644993</v>
      </c>
      <c r="BA17" s="192">
        <v>1.337386018237082</v>
      </c>
      <c r="BB17" s="192">
        <v>1.6270746887966805</v>
      </c>
      <c r="BC17" s="192">
        <v>1.4339093881363849</v>
      </c>
      <c r="BD17" s="192">
        <v>1.504367816091954</v>
      </c>
      <c r="BE17" s="192">
        <v>1.504367816091954</v>
      </c>
      <c r="BF17" s="192">
        <v>1.4952851369555455</v>
      </c>
      <c r="BG17" s="192">
        <v>1.4806306306306307</v>
      </c>
      <c r="BH17" s="192">
        <v>1.4358523725834798</v>
      </c>
      <c r="BI17" s="192">
        <v>1.2795742939009416</v>
      </c>
      <c r="BJ17" s="192">
        <v>1.1833962264150943</v>
      </c>
      <c r="BK17" s="192">
        <v>1.1778370144706778</v>
      </c>
      <c r="BL17" s="192">
        <v>1.1499142367066895</v>
      </c>
      <c r="BM17" s="192">
        <v>1.0101940151266031</v>
      </c>
      <c r="BN17" s="192">
        <v>1.1040592783505154</v>
      </c>
      <c r="BR17" s="4" t="s">
        <v>251</v>
      </c>
      <c r="BS17" s="4">
        <v>132</v>
      </c>
      <c r="BT17" s="202">
        <f t="shared" si="0"/>
        <v>3.4339229968782518E-2</v>
      </c>
    </row>
    <row r="18" spans="1:74" ht="15.75" thickBot="1" x14ac:dyDescent="0.3">
      <c r="A18" s="190" t="s">
        <v>20</v>
      </c>
      <c r="B18" s="166">
        <v>0.66171456405260598</v>
      </c>
      <c r="C18" s="166">
        <v>0.5954324931960715</v>
      </c>
      <c r="D18" s="166">
        <v>0.57846844717560864</v>
      </c>
      <c r="E18" s="166">
        <v>1.1401120896717374</v>
      </c>
      <c r="F18" s="166">
        <v>0.4310829817158931</v>
      </c>
      <c r="G18" s="166">
        <v>0.35390753344285381</v>
      </c>
      <c r="H18" s="166">
        <v>0.28509017587095331</v>
      </c>
      <c r="I18" s="166">
        <v>0.23464818763326226</v>
      </c>
      <c r="J18" s="166">
        <v>0.20363247863247863</v>
      </c>
      <c r="K18" s="166">
        <v>0.21875</v>
      </c>
      <c r="L18" s="166">
        <v>0.2503899220155969</v>
      </c>
      <c r="M18" s="166">
        <v>0.29109225874867445</v>
      </c>
      <c r="N18" s="166">
        <v>0.33571322326342407</v>
      </c>
      <c r="O18" s="166">
        <v>0.39745762711864407</v>
      </c>
      <c r="P18" s="166">
        <v>0.45638571954361429</v>
      </c>
      <c r="Q18" s="166">
        <v>0.48290937996820349</v>
      </c>
      <c r="R18" s="166">
        <v>0.48049029622063327</v>
      </c>
      <c r="S18" s="166">
        <v>0.54868913857677903</v>
      </c>
      <c r="T18" s="166">
        <v>0.60603588907014683</v>
      </c>
      <c r="U18" s="166">
        <v>0.72612732095490717</v>
      </c>
      <c r="V18" s="166">
        <v>0.81257367387033397</v>
      </c>
      <c r="W18" s="166">
        <v>0.8764198091776465</v>
      </c>
      <c r="X18" s="166">
        <v>1.036726128016789</v>
      </c>
      <c r="Y18" s="166">
        <v>1.0404595404595405</v>
      </c>
      <c r="Z18" s="166">
        <v>1.1471011020603736</v>
      </c>
      <c r="AA18" s="166">
        <v>1.1161202185792349</v>
      </c>
      <c r="AB18" s="166">
        <v>1.0642445724412937</v>
      </c>
      <c r="AC18" s="166">
        <v>0.96673773987206824</v>
      </c>
      <c r="AD18" s="166">
        <v>0.844758064516129</v>
      </c>
      <c r="AE18" s="166">
        <v>0.91646090534979419</v>
      </c>
      <c r="AF18" s="166">
        <v>0.97236394557823125</v>
      </c>
      <c r="AG18" s="166">
        <v>0.94155290102389078</v>
      </c>
      <c r="AH18" s="192">
        <v>0.9982054733064154</v>
      </c>
      <c r="AI18" s="192">
        <v>1.0278538812785387</v>
      </c>
      <c r="AJ18" s="192">
        <v>1.1692456479690523</v>
      </c>
      <c r="AK18" s="192">
        <v>1.3151892172109902</v>
      </c>
      <c r="AL18" s="192">
        <v>1.2687246963562753</v>
      </c>
      <c r="AM18" s="192">
        <v>1.1056168987037926</v>
      </c>
      <c r="AN18" s="192">
        <v>0.80534670008354214</v>
      </c>
      <c r="AO18" s="192">
        <v>0.77192982456140347</v>
      </c>
      <c r="AP18" s="192">
        <v>0.89134054954204833</v>
      </c>
      <c r="AQ18" s="192">
        <v>0.95941773268636965</v>
      </c>
      <c r="AR18" s="192">
        <v>1.0630071599045345</v>
      </c>
      <c r="AS18" s="192">
        <v>1.1318636176913597</v>
      </c>
      <c r="AT18" s="192">
        <v>1.1130944451844944</v>
      </c>
      <c r="AU18" s="192">
        <v>1.0749934674679906</v>
      </c>
      <c r="AV18" s="192">
        <v>1.0722638286690316</v>
      </c>
      <c r="AW18" s="192">
        <v>0.96911966131241445</v>
      </c>
      <c r="AX18" s="192">
        <v>1.0251346499102334</v>
      </c>
      <c r="AY18" s="192">
        <v>1.0356178474990356</v>
      </c>
      <c r="AZ18" s="192">
        <v>1.0214477211796247</v>
      </c>
      <c r="BA18" s="192">
        <v>0.98642142945315392</v>
      </c>
      <c r="BB18" s="192">
        <v>0.93540111940298509</v>
      </c>
      <c r="BC18" s="192">
        <v>0.93459988485895218</v>
      </c>
      <c r="BD18" s="192">
        <v>0.93991616208663253</v>
      </c>
      <c r="BE18" s="192">
        <v>0.93991616208663253</v>
      </c>
      <c r="BF18" s="192">
        <v>0.97633487929599239</v>
      </c>
      <c r="BG18" s="192">
        <v>1.0112509073312363</v>
      </c>
      <c r="BH18" s="192">
        <v>1.0147199617041647</v>
      </c>
      <c r="BI18" s="192">
        <v>1.0448468643655811</v>
      </c>
      <c r="BJ18" s="192">
        <v>1.0681289057713514</v>
      </c>
      <c r="BK18" s="192">
        <v>1.1232172684054991</v>
      </c>
      <c r="BL18" s="192">
        <v>1.1533650237678259</v>
      </c>
      <c r="BM18" s="192">
        <v>1.1708467842066055</v>
      </c>
      <c r="BN18" s="192">
        <v>1.1988501437320336</v>
      </c>
      <c r="BR18" s="4" t="s">
        <v>252</v>
      </c>
      <c r="BS18" s="4">
        <v>265</v>
      </c>
      <c r="BT18" s="202">
        <f t="shared" si="0"/>
        <v>6.893860561914672E-2</v>
      </c>
    </row>
    <row r="19" spans="1:74" ht="15.75" thickBot="1" x14ac:dyDescent="0.3">
      <c r="A19" s="190" t="s">
        <v>31</v>
      </c>
      <c r="B19" s="166">
        <v>1.0749810174639332</v>
      </c>
      <c r="C19" s="166">
        <v>1.0126304228445908</v>
      </c>
      <c r="D19" s="166">
        <v>1.0349560761346999</v>
      </c>
      <c r="E19" s="166">
        <v>0.97865528281750269</v>
      </c>
      <c r="F19" s="166">
        <v>0.90145228215767637</v>
      </c>
      <c r="G19" s="166">
        <v>0.85579561042524011</v>
      </c>
      <c r="H19" s="166">
        <v>0.77905073649754497</v>
      </c>
      <c r="I19" s="166">
        <v>0.74605954465849389</v>
      </c>
      <c r="J19" s="166">
        <v>0.7103600758054327</v>
      </c>
      <c r="K19" s="166">
        <v>0.7024544734758511</v>
      </c>
      <c r="L19" s="166">
        <v>0.68840579710144922</v>
      </c>
      <c r="M19" s="166">
        <v>0.6413881748071979</v>
      </c>
      <c r="N19" s="166">
        <v>0.6190397895429135</v>
      </c>
      <c r="O19" s="166">
        <v>0.61885315637229876</v>
      </c>
      <c r="P19" s="166">
        <v>0.62917181705809644</v>
      </c>
      <c r="Q19" s="166">
        <v>0.62346348517715111</v>
      </c>
      <c r="R19" s="166">
        <v>0.56887709991158264</v>
      </c>
      <c r="S19" s="166">
        <v>0.56070519810977826</v>
      </c>
      <c r="T19" s="166">
        <v>0.57288070579209815</v>
      </c>
      <c r="U19" s="166">
        <v>0.56822280104187539</v>
      </c>
      <c r="V19" s="166">
        <v>0.56701680672268906</v>
      </c>
      <c r="W19" s="166">
        <v>0.54822876653862573</v>
      </c>
      <c r="X19" s="166">
        <v>0.56847487772343264</v>
      </c>
      <c r="Y19" s="166">
        <v>0.54350766456266908</v>
      </c>
      <c r="Z19" s="166">
        <v>0.52163742690058479</v>
      </c>
      <c r="AA19" s="166">
        <v>0.51352705410821642</v>
      </c>
      <c r="AB19" s="166">
        <v>0.53784860557768921</v>
      </c>
      <c r="AC19" s="166">
        <v>0.52955732746769313</v>
      </c>
      <c r="AD19" s="166">
        <v>0.50912152680325573</v>
      </c>
      <c r="AE19" s="166">
        <v>0.52073064656422152</v>
      </c>
      <c r="AF19" s="166">
        <v>0.57071806030463168</v>
      </c>
      <c r="AG19" s="166">
        <v>0.57698541329011344</v>
      </c>
      <c r="AH19" s="192">
        <v>0.59055908938734514</v>
      </c>
      <c r="AI19" s="192">
        <v>0.62023977433004229</v>
      </c>
      <c r="AJ19" s="192">
        <v>0.62319377547239718</v>
      </c>
      <c r="AK19" s="192">
        <v>0.65550797975866093</v>
      </c>
      <c r="AL19" s="192">
        <v>0.63394603050449749</v>
      </c>
      <c r="AM19" s="192">
        <v>0.69680630443799252</v>
      </c>
      <c r="AN19" s="192">
        <v>0.75156950672645739</v>
      </c>
      <c r="AO19" s="192">
        <v>0.8546341463414634</v>
      </c>
      <c r="AP19" s="192">
        <v>0.86716049382716054</v>
      </c>
      <c r="AQ19" s="192">
        <v>0.89356178608515058</v>
      </c>
      <c r="AR19" s="192">
        <v>0.94046306504961408</v>
      </c>
      <c r="AS19" s="192">
        <v>0.93262806236080176</v>
      </c>
      <c r="AT19" s="192">
        <v>0.89869281045751637</v>
      </c>
      <c r="AU19" s="192">
        <v>0.9353932584269663</v>
      </c>
      <c r="AV19" s="192">
        <v>0.94047619047619047</v>
      </c>
      <c r="AW19" s="192">
        <v>0.93234792495736218</v>
      </c>
      <c r="AX19" s="192">
        <v>1.0101070154577882</v>
      </c>
      <c r="AY19" s="192">
        <v>1.0065320665083135</v>
      </c>
      <c r="AZ19" s="192">
        <v>1.0518198642813079</v>
      </c>
      <c r="BA19" s="192">
        <v>1.0321428571428573</v>
      </c>
      <c r="BB19" s="192">
        <v>1.0948687350835322</v>
      </c>
      <c r="BC19" s="192">
        <v>1.076879271070615</v>
      </c>
      <c r="BD19" s="192">
        <v>1.1690877396862289</v>
      </c>
      <c r="BE19" s="192">
        <v>1.1690877396862289</v>
      </c>
      <c r="BF19" s="192">
        <v>1.2080890973036342</v>
      </c>
      <c r="BG19" s="192">
        <v>1.2728358208955224</v>
      </c>
      <c r="BH19" s="192">
        <v>1.3454545454545455</v>
      </c>
      <c r="BI19" s="192">
        <v>1.3453453453453454</v>
      </c>
      <c r="BJ19" s="192">
        <v>1.3224834237492464</v>
      </c>
      <c r="BK19" s="192">
        <v>1.3347560975609756</v>
      </c>
      <c r="BL19" s="192">
        <v>1.3337257210123603</v>
      </c>
      <c r="BM19" s="192">
        <v>1.3728613569321535</v>
      </c>
      <c r="BN19" s="192">
        <v>1.3771260997067449</v>
      </c>
      <c r="BR19" s="4" t="s">
        <v>253</v>
      </c>
      <c r="BS19" s="4">
        <v>452</v>
      </c>
      <c r="BT19" s="202">
        <f t="shared" si="0"/>
        <v>0.11758584807492195</v>
      </c>
    </row>
    <row r="20" spans="1:74" ht="15.75" thickBot="1" x14ac:dyDescent="0.3">
      <c r="A20" s="190" t="s">
        <v>41</v>
      </c>
      <c r="B20" s="166">
        <v>11.760869565217391</v>
      </c>
      <c r="C20" s="166">
        <v>6.6883116883116882</v>
      </c>
      <c r="D20" s="166">
        <v>5.4395604395604398</v>
      </c>
      <c r="E20" s="166">
        <v>2.7861635220125787</v>
      </c>
      <c r="F20" s="166">
        <v>1.892018779342723</v>
      </c>
      <c r="G20" s="166">
        <v>1.1808510638297873</v>
      </c>
      <c r="H20" s="166">
        <v>0.83480825958702065</v>
      </c>
      <c r="I20" s="166">
        <v>0.6975476839237057</v>
      </c>
      <c r="J20" s="166">
        <v>0.40723981900452488</v>
      </c>
      <c r="K20" s="166">
        <v>0.37582417582417582</v>
      </c>
      <c r="L20" s="166">
        <v>0.36462882096069871</v>
      </c>
      <c r="M20" s="166">
        <v>0.33190578158458245</v>
      </c>
      <c r="N20" s="166">
        <v>0.19001919385796545</v>
      </c>
      <c r="O20" s="166">
        <v>0.12589928057553956</v>
      </c>
      <c r="P20" s="166">
        <v>0.1256931608133087</v>
      </c>
      <c r="Q20" s="166">
        <v>0.13980582524271845</v>
      </c>
      <c r="R20" s="166">
        <v>0.15757575757575756</v>
      </c>
      <c r="S20" s="166">
        <v>0.1670428893905192</v>
      </c>
      <c r="T20" s="166">
        <v>0.16129032258064516</v>
      </c>
      <c r="U20" s="166">
        <v>0.23723723723723725</v>
      </c>
      <c r="V20" s="166">
        <v>0.33922261484098942</v>
      </c>
      <c r="W20" s="166">
        <v>0.44921875</v>
      </c>
      <c r="X20" s="166">
        <v>0.69444444444444442</v>
      </c>
      <c r="Y20" s="166">
        <v>0.74269005847953218</v>
      </c>
      <c r="Z20" s="166">
        <v>0.76047904191616766</v>
      </c>
      <c r="AA20" s="166">
        <v>0.85806451612903223</v>
      </c>
      <c r="AB20" s="166">
        <v>1.8383838383838385</v>
      </c>
      <c r="AC20" s="166">
        <v>2.7142857142857144</v>
      </c>
      <c r="AD20" s="166">
        <v>2.9705882352941178</v>
      </c>
      <c r="AE20" s="166">
        <v>2.7916666666666665</v>
      </c>
      <c r="AF20" s="166">
        <v>3.2179487179487181</v>
      </c>
      <c r="AG20" s="166">
        <v>3.7837837837837838</v>
      </c>
      <c r="AH20" s="192">
        <v>4.3384615384615381</v>
      </c>
      <c r="AI20" s="192">
        <v>3.4556962025316458</v>
      </c>
      <c r="AJ20" s="192">
        <v>2.8229166666666665</v>
      </c>
      <c r="AK20" s="192">
        <v>2.2782608695652176</v>
      </c>
      <c r="AL20" s="192">
        <v>2.024</v>
      </c>
      <c r="AM20" s="192">
        <v>2.1181102362204722</v>
      </c>
      <c r="AN20" s="192">
        <v>2.1968503937007875</v>
      </c>
      <c r="AO20" s="192">
        <v>2.2406015037593985</v>
      </c>
      <c r="AP20" s="192">
        <v>1.4780219780219781</v>
      </c>
      <c r="AQ20" s="192">
        <v>1.4736842105263157</v>
      </c>
      <c r="AR20" s="192">
        <v>1.3366336633663367</v>
      </c>
      <c r="AS20" s="192">
        <v>1.4378109452736318</v>
      </c>
      <c r="AT20" s="192">
        <v>1.0199203187250996</v>
      </c>
      <c r="AU20" s="192">
        <v>0.9</v>
      </c>
      <c r="AV20" s="192">
        <v>0.8971631205673759</v>
      </c>
      <c r="AW20" s="192">
        <v>1.0695970695970696</v>
      </c>
      <c r="AX20" s="192">
        <v>1.088560885608856</v>
      </c>
      <c r="AY20" s="192">
        <v>1.1526717557251909</v>
      </c>
      <c r="AZ20" s="192">
        <v>1.3675889328063242</v>
      </c>
      <c r="BA20" s="192">
        <v>1.3234200743494424</v>
      </c>
      <c r="BB20" s="192">
        <v>1.3225806451612903</v>
      </c>
      <c r="BC20" s="192">
        <v>1.3048327137546469</v>
      </c>
      <c r="BD20" s="192">
        <v>1.2428571428571429</v>
      </c>
      <c r="BE20" s="192">
        <v>1.2428571428571429</v>
      </c>
      <c r="BF20" s="192">
        <v>1.2925925925925925</v>
      </c>
      <c r="BG20" s="192">
        <v>1.1314878892733564</v>
      </c>
      <c r="BH20" s="192">
        <v>1.26953125</v>
      </c>
      <c r="BI20" s="192">
        <v>1.3055555555555556</v>
      </c>
      <c r="BJ20" s="192">
        <v>1.3478260869565217</v>
      </c>
      <c r="BK20" s="192">
        <v>1.1952054794520548</v>
      </c>
      <c r="BL20" s="192">
        <v>1.3966101694915254</v>
      </c>
      <c r="BM20" s="192">
        <v>1.4072847682119205</v>
      </c>
      <c r="BN20" s="192">
        <v>1.1907514450867052</v>
      </c>
      <c r="BR20" s="4" t="s">
        <v>254</v>
      </c>
      <c r="BS20" s="4">
        <v>730</v>
      </c>
      <c r="BT20" s="202">
        <f t="shared" si="0"/>
        <v>0.18990634755463059</v>
      </c>
    </row>
    <row r="21" spans="1:74" ht="15.75" thickBot="1" x14ac:dyDescent="0.3">
      <c r="A21" s="190" t="s">
        <v>32</v>
      </c>
      <c r="B21" s="166">
        <v>2.3975903614457832</v>
      </c>
      <c r="C21" s="166">
        <v>2.2611111111111111</v>
      </c>
      <c r="D21" s="166">
        <v>2.0463917525773194</v>
      </c>
      <c r="E21" s="166">
        <v>2.2346938775510203</v>
      </c>
      <c r="F21" s="166">
        <v>2.4607329842931938</v>
      </c>
      <c r="G21" s="166">
        <v>2.3413461538461537</v>
      </c>
      <c r="H21" s="166">
        <v>2.2811059907834101</v>
      </c>
      <c r="I21" s="166">
        <v>2.0543933054393304</v>
      </c>
      <c r="J21" s="166">
        <v>1.5238095238095237</v>
      </c>
      <c r="K21" s="166">
        <v>1.2413793103448276</v>
      </c>
      <c r="L21" s="166">
        <v>1.2118644067796611</v>
      </c>
      <c r="M21" s="166">
        <v>1.1187335092348285</v>
      </c>
      <c r="N21" s="166">
        <v>0.99511002444987773</v>
      </c>
      <c r="O21" s="166">
        <v>1.0552763819095476</v>
      </c>
      <c r="P21" s="166">
        <v>1.1030150753768844</v>
      </c>
      <c r="Q21" s="166">
        <v>1.0491400491400491</v>
      </c>
      <c r="R21" s="166">
        <v>1.1259445843828715</v>
      </c>
      <c r="S21" s="166">
        <v>0.99315068493150682</v>
      </c>
      <c r="T21" s="166">
        <v>0.90851063829787237</v>
      </c>
      <c r="U21" s="166">
        <v>0.85010266940451751</v>
      </c>
      <c r="V21" s="166">
        <v>0.84848484848484851</v>
      </c>
      <c r="W21" s="166">
        <v>0.8716904276985743</v>
      </c>
      <c r="X21" s="166">
        <v>1.0267857142857142</v>
      </c>
      <c r="Y21" s="166">
        <v>1.0393518518518519</v>
      </c>
      <c r="Z21" s="166">
        <v>1.0629370629370629</v>
      </c>
      <c r="AA21" s="166">
        <v>1.1155660377358489</v>
      </c>
      <c r="AB21" s="166">
        <v>1.203931203931204</v>
      </c>
      <c r="AC21" s="166">
        <v>1.1857142857142857</v>
      </c>
      <c r="AD21" s="166">
        <v>1.2277904328018223</v>
      </c>
      <c r="AE21" s="166">
        <v>1.3934426229508197</v>
      </c>
      <c r="AF21" s="166">
        <v>1.378076062639821</v>
      </c>
      <c r="AG21" s="166">
        <v>1.5862068965517242</v>
      </c>
      <c r="AH21" s="192">
        <v>1.7611241217798594</v>
      </c>
      <c r="AI21" s="192">
        <v>2.0072463768115942</v>
      </c>
      <c r="AJ21" s="192">
        <v>2.092857142857143</v>
      </c>
      <c r="AK21" s="192">
        <v>2.2126168224299065</v>
      </c>
      <c r="AL21" s="192">
        <v>2.1369565217391306</v>
      </c>
      <c r="AM21" s="192">
        <v>2.22271714922049</v>
      </c>
      <c r="AN21" s="192">
        <v>2.3267543859649122</v>
      </c>
      <c r="AO21" s="192">
        <v>2.3340380549682873</v>
      </c>
      <c r="AP21" s="192">
        <v>2.3387755102040817</v>
      </c>
      <c r="AQ21" s="192">
        <v>2.3594377510040161</v>
      </c>
      <c r="AR21" s="192">
        <v>2.1576994434137293</v>
      </c>
      <c r="AS21" s="192">
        <v>1.9260504201680673</v>
      </c>
      <c r="AT21" s="192">
        <v>1.8392857142857142</v>
      </c>
      <c r="AU21" s="192">
        <v>1.5681159420289854</v>
      </c>
      <c r="AV21" s="192">
        <v>1.4095744680851063</v>
      </c>
      <c r="AW21" s="192">
        <v>1.2286401925391095</v>
      </c>
      <c r="AX21" s="192">
        <v>1.1501706484641638</v>
      </c>
      <c r="AY21" s="192">
        <v>0.99788806758183735</v>
      </c>
      <c r="AZ21" s="192">
        <v>0.94506612410986779</v>
      </c>
      <c r="BA21" s="192">
        <v>0.91482965931863724</v>
      </c>
      <c r="BB21" s="192">
        <v>0.82469368520263897</v>
      </c>
      <c r="BC21" s="192">
        <v>0.71640488656195467</v>
      </c>
      <c r="BD21" s="192">
        <v>0.67404255319148931</v>
      </c>
      <c r="BE21" s="192">
        <v>0.67404255319148931</v>
      </c>
      <c r="BF21" s="192">
        <v>0.66036113499570082</v>
      </c>
      <c r="BG21" s="192">
        <v>0.6657940663176265</v>
      </c>
      <c r="BH21" s="192">
        <v>0.6575463371579876</v>
      </c>
      <c r="BI21" s="192">
        <v>0.67190388170055448</v>
      </c>
      <c r="BJ21" s="192">
        <v>0.63113207547169814</v>
      </c>
      <c r="BK21" s="192">
        <v>0.62683643486777674</v>
      </c>
      <c r="BL21" s="192">
        <v>0.6162215628090999</v>
      </c>
      <c r="BM21" s="192">
        <v>0.67407407407407405</v>
      </c>
      <c r="BN21" s="192">
        <v>0.66200215285252961</v>
      </c>
      <c r="BR21" s="4" t="s">
        <v>255</v>
      </c>
      <c r="BS21" s="4">
        <v>882</v>
      </c>
      <c r="BT21" s="202">
        <f t="shared" si="0"/>
        <v>0.22944849115504681</v>
      </c>
    </row>
    <row r="22" spans="1:74" ht="15.75" thickBot="1" x14ac:dyDescent="0.3">
      <c r="A22" s="190" t="s">
        <v>33</v>
      </c>
      <c r="B22" s="166">
        <v>0.60602937387271327</v>
      </c>
      <c r="C22" s="166">
        <v>0.60437532946758044</v>
      </c>
      <c r="D22" s="166">
        <v>0.57825283716020059</v>
      </c>
      <c r="E22" s="166">
        <v>0.5056179775280899</v>
      </c>
      <c r="F22" s="166">
        <v>0.49156626506024098</v>
      </c>
      <c r="G22" s="166">
        <v>0.46068329718004336</v>
      </c>
      <c r="H22" s="166">
        <v>0.43368881596937381</v>
      </c>
      <c r="I22" s="166">
        <v>0.43305322128851542</v>
      </c>
      <c r="J22" s="166">
        <v>0.40941309895094979</v>
      </c>
      <c r="K22" s="166">
        <v>0.39696188019489825</v>
      </c>
      <c r="L22" s="166">
        <v>0.39330543933054396</v>
      </c>
      <c r="M22" s="166">
        <v>0.42251223491027734</v>
      </c>
      <c r="N22" s="166">
        <v>0.47636103151862463</v>
      </c>
      <c r="O22" s="166">
        <v>0.51581413510347518</v>
      </c>
      <c r="P22" s="166">
        <v>0.54421768707482998</v>
      </c>
      <c r="Q22" s="166">
        <v>0.56476232010466643</v>
      </c>
      <c r="R22" s="166">
        <v>0.59196713829301684</v>
      </c>
      <c r="S22" s="166">
        <v>0.67183462532299743</v>
      </c>
      <c r="T22" s="166">
        <v>0.67156862745098034</v>
      </c>
      <c r="U22" s="166">
        <v>0.72807533843437311</v>
      </c>
      <c r="V22" s="166">
        <v>0.77301387137452715</v>
      </c>
      <c r="W22" s="166">
        <v>0.82664941785252266</v>
      </c>
      <c r="X22" s="166">
        <v>0.88296398891966754</v>
      </c>
      <c r="Y22" s="166">
        <v>0.8895306859205776</v>
      </c>
      <c r="Z22" s="166">
        <v>0.90957446808510634</v>
      </c>
      <c r="AA22" s="166">
        <v>0.88030888030888033</v>
      </c>
      <c r="AB22" s="166">
        <v>0.80150375939849627</v>
      </c>
      <c r="AC22" s="166">
        <v>0.79182437547312645</v>
      </c>
      <c r="AD22" s="166">
        <v>0.81328124999999996</v>
      </c>
      <c r="AE22" s="166">
        <v>0.77374517374517371</v>
      </c>
      <c r="AF22" s="166">
        <v>0.74787972243639167</v>
      </c>
      <c r="AG22" s="166">
        <v>0.71846153846153848</v>
      </c>
      <c r="AH22" s="192">
        <v>0.78021086780210869</v>
      </c>
      <c r="AI22" s="192">
        <v>0.85852869846402591</v>
      </c>
      <c r="AJ22" s="192">
        <v>0.85154975530179444</v>
      </c>
      <c r="AK22" s="192">
        <v>0.76291079812206575</v>
      </c>
      <c r="AL22" s="192">
        <v>0.76549019607843138</v>
      </c>
      <c r="AM22" s="192">
        <v>0.82792207792207795</v>
      </c>
      <c r="AN22" s="192">
        <v>0.87802840434419382</v>
      </c>
      <c r="AO22" s="192">
        <v>0.9754385964912281</v>
      </c>
      <c r="AP22" s="192">
        <v>1.0440900562851783</v>
      </c>
      <c r="AQ22" s="192">
        <v>1.1022944550669216</v>
      </c>
      <c r="AR22" s="192">
        <v>1.0826128722382324</v>
      </c>
      <c r="AS22" s="192">
        <v>1.1487025948103793</v>
      </c>
      <c r="AT22" s="192">
        <v>1.1845360824742268</v>
      </c>
      <c r="AU22" s="192">
        <v>1.2805139186295502</v>
      </c>
      <c r="AV22" s="192">
        <v>1.2390852390852392</v>
      </c>
      <c r="AW22" s="192">
        <v>1.0084745762711864</v>
      </c>
      <c r="AX22" s="192">
        <v>1.0804597701149425</v>
      </c>
      <c r="AY22" s="192">
        <v>1.2</v>
      </c>
      <c r="AZ22" s="192">
        <v>1.1782786885245902</v>
      </c>
      <c r="BA22" s="192">
        <v>1.165686274509804</v>
      </c>
      <c r="BB22" s="192">
        <v>1.159847764034253</v>
      </c>
      <c r="BC22" s="192">
        <v>1.1293800539083558</v>
      </c>
      <c r="BD22" s="192">
        <v>1.0537727666955767</v>
      </c>
      <c r="BE22" s="192">
        <v>1.0537727666955767</v>
      </c>
      <c r="BF22" s="192">
        <v>1.1047027506654836</v>
      </c>
      <c r="BG22" s="192">
        <v>1.0842745438748913</v>
      </c>
      <c r="BH22" s="192">
        <v>1.0844212358572671</v>
      </c>
      <c r="BI22" s="192">
        <v>1.028428093645485</v>
      </c>
      <c r="BJ22" s="192">
        <v>1.0151006711409396</v>
      </c>
      <c r="BK22" s="192">
        <v>1.1167133520074697</v>
      </c>
      <c r="BL22" s="192">
        <v>1.051418439716312</v>
      </c>
      <c r="BM22" s="192">
        <v>1.023076923076923</v>
      </c>
      <c r="BN22" s="192">
        <v>1.057391304347826</v>
      </c>
      <c r="BR22" s="4" t="s">
        <v>256</v>
      </c>
      <c r="BS22" s="4">
        <v>730</v>
      </c>
      <c r="BT22" s="202">
        <f t="shared" si="0"/>
        <v>0.18990634755463059</v>
      </c>
    </row>
    <row r="23" spans="1:74" ht="15.75" thickBot="1" x14ac:dyDescent="0.3">
      <c r="A23" s="190" t="s">
        <v>21</v>
      </c>
      <c r="B23" s="166">
        <v>1.4710144927536233</v>
      </c>
      <c r="C23" s="166">
        <v>1.5342465753424657</v>
      </c>
      <c r="D23" s="166">
        <v>1.3806451612903226</v>
      </c>
      <c r="E23" s="166">
        <v>1.3416149068322982</v>
      </c>
      <c r="F23" s="166">
        <v>1.4876543209876543</v>
      </c>
      <c r="G23" s="166">
        <v>1.4484848484848485</v>
      </c>
      <c r="H23" s="166">
        <v>1.51875</v>
      </c>
      <c r="I23" s="166">
        <v>1.5214723926380369</v>
      </c>
      <c r="J23" s="166">
        <v>1.3043478260869565</v>
      </c>
      <c r="K23" s="166">
        <v>1.2383419689119171</v>
      </c>
      <c r="L23" s="166">
        <v>1.2291666666666667</v>
      </c>
      <c r="M23" s="166">
        <v>1.0610328638497653</v>
      </c>
      <c r="N23" s="166">
        <v>1.0426540284360191</v>
      </c>
      <c r="O23" s="166">
        <v>1.1365853658536584</v>
      </c>
      <c r="P23" s="166">
        <v>1.2364532019704433</v>
      </c>
      <c r="Q23" s="166">
        <v>1.1026785714285714</v>
      </c>
      <c r="R23" s="166">
        <v>1.1869158878504673</v>
      </c>
      <c r="S23" s="166">
        <v>1.1666666666666667</v>
      </c>
      <c r="T23" s="166">
        <v>1.0124481327800829</v>
      </c>
      <c r="U23" s="166">
        <v>1.0753138075313808</v>
      </c>
      <c r="V23" s="166">
        <v>1.1069958847736625</v>
      </c>
      <c r="W23" s="166">
        <v>1.1451612903225807</v>
      </c>
      <c r="X23" s="166">
        <v>1.2458333333333333</v>
      </c>
      <c r="Y23" s="166">
        <v>1.2635983263598327</v>
      </c>
      <c r="Z23" s="166">
        <v>1.3389830508474576</v>
      </c>
      <c r="AA23" s="166">
        <v>1.4646017699115044</v>
      </c>
      <c r="AB23" s="166">
        <v>1.5772727272727274</v>
      </c>
      <c r="AC23" s="166">
        <v>1.5278969957081545</v>
      </c>
      <c r="AD23" s="166">
        <v>1.3585657370517927</v>
      </c>
      <c r="AE23" s="166">
        <v>1.3522267206477734</v>
      </c>
      <c r="AF23" s="166">
        <v>1.3858267716535433</v>
      </c>
      <c r="AG23" s="166">
        <v>1.4523809523809523</v>
      </c>
      <c r="AH23" s="192">
        <v>1.610655737704918</v>
      </c>
      <c r="AI23" s="192">
        <v>1.5291828793774318</v>
      </c>
      <c r="AJ23" s="192">
        <v>1.4312267657992566</v>
      </c>
      <c r="AK23" s="192">
        <v>1.2605633802816902</v>
      </c>
      <c r="AL23" s="192">
        <v>1.2608695652173914</v>
      </c>
      <c r="AM23" s="192">
        <v>1.2582781456953642</v>
      </c>
      <c r="AN23" s="192">
        <v>1.2120253164556962</v>
      </c>
      <c r="AO23" s="192">
        <v>1.1208459214501512</v>
      </c>
      <c r="AP23" s="192">
        <v>1.0403458213256485</v>
      </c>
      <c r="AQ23" s="192">
        <v>0.9859550561797753</v>
      </c>
      <c r="AR23" s="192">
        <v>1.0469208211143695</v>
      </c>
      <c r="AS23" s="192">
        <v>1.0299401197604789</v>
      </c>
      <c r="AT23" s="192">
        <v>0.94602272727272729</v>
      </c>
      <c r="AU23" s="192">
        <v>0.88524590163934425</v>
      </c>
      <c r="AV23" s="192">
        <v>0.7531806615776081</v>
      </c>
      <c r="AW23" s="192">
        <v>0.77353689567430028</v>
      </c>
      <c r="AX23" s="192">
        <v>0.82337662337662343</v>
      </c>
      <c r="AY23" s="192">
        <v>0.92458100558659218</v>
      </c>
      <c r="AZ23" s="192">
        <v>0.82493368700265257</v>
      </c>
      <c r="BA23" s="192">
        <v>0.81052631578947365</v>
      </c>
      <c r="BB23" s="192">
        <v>0.78851174934725854</v>
      </c>
      <c r="BC23" s="192">
        <v>0.86980609418282551</v>
      </c>
      <c r="BD23" s="192">
        <v>0.90313390313390318</v>
      </c>
      <c r="BE23" s="192">
        <v>0.90313390313390318</v>
      </c>
      <c r="BF23" s="192">
        <v>0.90196078431372551</v>
      </c>
      <c r="BG23" s="192">
        <v>0.96220930232558144</v>
      </c>
      <c r="BH23" s="192">
        <v>0.99099099099099097</v>
      </c>
      <c r="BI23" s="192">
        <v>1.0524691358024691</v>
      </c>
      <c r="BJ23" s="192">
        <v>1.1452702702702702</v>
      </c>
      <c r="BK23" s="192">
        <v>1.138157894736842</v>
      </c>
      <c r="BL23" s="192">
        <v>1.0694006309148265</v>
      </c>
      <c r="BM23" s="192">
        <v>1.0574018126888218</v>
      </c>
      <c r="BN23" s="192">
        <v>1.180064308681672</v>
      </c>
      <c r="BR23" s="4" t="s">
        <v>257</v>
      </c>
      <c r="BS23" s="4">
        <v>435</v>
      </c>
      <c r="BT23" s="202">
        <f t="shared" si="0"/>
        <v>0.11316337148803329</v>
      </c>
    </row>
    <row r="24" spans="1:74" ht="15.75" thickBot="1" x14ac:dyDescent="0.3">
      <c r="A24" s="190" t="s">
        <v>17</v>
      </c>
      <c r="B24" s="166">
        <v>1.1340579710144927</v>
      </c>
      <c r="C24" s="166">
        <v>1.1094586555621653</v>
      </c>
      <c r="D24" s="166">
        <v>1.0620245757753073</v>
      </c>
      <c r="E24" s="166">
        <v>0.99254587155963303</v>
      </c>
      <c r="F24" s="166">
        <v>1.0028985507246377</v>
      </c>
      <c r="G24" s="166">
        <v>0.95045558086560367</v>
      </c>
      <c r="H24" s="166">
        <v>0.89297297297297296</v>
      </c>
      <c r="I24" s="166">
        <v>0.83072916666666663</v>
      </c>
      <c r="J24" s="166">
        <v>0.84285714285714286</v>
      </c>
      <c r="K24" s="166">
        <v>0.84778012684989434</v>
      </c>
      <c r="L24" s="166">
        <v>0.84986737400530499</v>
      </c>
      <c r="M24" s="166">
        <v>0.81100726895119424</v>
      </c>
      <c r="N24" s="166">
        <v>0.82291666666666663</v>
      </c>
      <c r="O24" s="166">
        <v>0.82101977107180024</v>
      </c>
      <c r="P24" s="166">
        <v>0.85090521831735888</v>
      </c>
      <c r="Q24" s="166">
        <v>0.84343163538874</v>
      </c>
      <c r="R24" s="166">
        <v>0.90137741046831954</v>
      </c>
      <c r="S24" s="166">
        <v>0.9924898902368573</v>
      </c>
      <c r="T24" s="166">
        <v>1.0150289017341041</v>
      </c>
      <c r="U24" s="166">
        <v>1.0802875973636907</v>
      </c>
      <c r="V24" s="166">
        <v>1.1071428571428572</v>
      </c>
      <c r="W24" s="166">
        <v>1.161128526645768</v>
      </c>
      <c r="X24" s="166">
        <v>1.1613308223477714</v>
      </c>
      <c r="Y24" s="166">
        <v>1.1153366583541147</v>
      </c>
      <c r="Z24" s="166">
        <v>1.0543071161048689</v>
      </c>
      <c r="AA24" s="166">
        <v>1.0659411011523687</v>
      </c>
      <c r="AB24" s="166">
        <v>1.0373417721518987</v>
      </c>
      <c r="AC24" s="166">
        <v>1.0126742712294043</v>
      </c>
      <c r="AD24" s="166">
        <v>1.0037546933667083</v>
      </c>
      <c r="AE24" s="166">
        <v>1.0203432930705658</v>
      </c>
      <c r="AF24" s="166">
        <v>0.95660146699266502</v>
      </c>
      <c r="AG24" s="166">
        <v>0.8742724097788126</v>
      </c>
      <c r="AH24" s="192">
        <v>0.84282460136674264</v>
      </c>
      <c r="AI24" s="192">
        <v>0.86078757626178592</v>
      </c>
      <c r="AJ24" s="192">
        <v>0.84472389283761617</v>
      </c>
      <c r="AK24" s="192">
        <v>0.84503239740820735</v>
      </c>
      <c r="AL24" s="192">
        <v>0.85027027027027025</v>
      </c>
      <c r="AM24" s="192">
        <v>0.92230296254890998</v>
      </c>
      <c r="AN24" s="192">
        <v>1.0361160449970397</v>
      </c>
      <c r="AO24" s="192">
        <v>1.0948948948948949</v>
      </c>
      <c r="AP24" s="192">
        <v>1.1336180597925565</v>
      </c>
      <c r="AQ24" s="192">
        <v>1.1764705882352942</v>
      </c>
      <c r="AR24" s="192">
        <v>1.1701995012468829</v>
      </c>
      <c r="AS24" s="192">
        <v>1.1800623052959502</v>
      </c>
      <c r="AT24" s="192">
        <v>1.2421725239616614</v>
      </c>
      <c r="AU24" s="192">
        <v>1.3428761651131824</v>
      </c>
      <c r="AV24" s="192">
        <v>1.4189189189189189</v>
      </c>
      <c r="AW24" s="192">
        <v>1.3389175257731958</v>
      </c>
      <c r="AX24" s="192">
        <v>1.3650485436893205</v>
      </c>
      <c r="AY24" s="192">
        <v>1.3565495207667733</v>
      </c>
      <c r="AZ24" s="192">
        <v>1.3553719008264462</v>
      </c>
      <c r="BA24" s="192">
        <v>1.3084848484848486</v>
      </c>
      <c r="BB24" s="192">
        <v>1.2445714285714287</v>
      </c>
      <c r="BC24" s="192">
        <v>1.1512378902045211</v>
      </c>
      <c r="BD24" s="192">
        <v>1.1654255319148936</v>
      </c>
      <c r="BE24" s="192">
        <v>1.1654255319148936</v>
      </c>
      <c r="BF24" s="192">
        <v>1.1758124667021843</v>
      </c>
      <c r="BG24" s="192">
        <v>1.174234424498416</v>
      </c>
      <c r="BH24" s="192">
        <v>1.1414609053497942</v>
      </c>
      <c r="BI24" s="192">
        <v>1.1239464551313831</v>
      </c>
      <c r="BJ24" s="192">
        <v>1.0419047619047619</v>
      </c>
      <c r="BK24" s="192">
        <v>1.0476419634263716</v>
      </c>
      <c r="BL24" s="192">
        <v>1.1119013750592699</v>
      </c>
      <c r="BM24" s="192">
        <v>1.138954309938766</v>
      </c>
      <c r="BN24" s="192">
        <v>1.1604127579737336</v>
      </c>
      <c r="BR24" s="4" t="s">
        <v>258</v>
      </c>
      <c r="BS24" s="4">
        <v>5</v>
      </c>
      <c r="BT24" s="202">
        <f t="shared" si="0"/>
        <v>1.3007284079084287E-3</v>
      </c>
    </row>
    <row r="25" spans="1:74" ht="15.75" thickBot="1" x14ac:dyDescent="0.3">
      <c r="A25" s="190" t="s">
        <v>23</v>
      </c>
      <c r="B25" s="166">
        <v>5.6858789625360231</v>
      </c>
      <c r="C25" s="166">
        <v>4.6589861751152073</v>
      </c>
      <c r="D25" s="166">
        <v>4.6973684210526319</v>
      </c>
      <c r="E25" s="166">
        <v>4.75</v>
      </c>
      <c r="F25" s="166">
        <v>5.2547770700636942</v>
      </c>
      <c r="G25" s="166">
        <v>3.5147058823529411</v>
      </c>
      <c r="H25" s="166">
        <v>3.1926020408163267</v>
      </c>
      <c r="I25" s="166">
        <v>2.7721382289416847</v>
      </c>
      <c r="J25" s="166">
        <v>2.3948863636363638</v>
      </c>
      <c r="K25" s="166">
        <v>2.161400512382579</v>
      </c>
      <c r="L25" s="166">
        <v>1.8354700854700854</v>
      </c>
      <c r="M25" s="166">
        <v>1.615819209039548</v>
      </c>
      <c r="N25" s="166">
        <v>1.4775440591245026</v>
      </c>
      <c r="O25" s="166">
        <v>1.3770234986945169</v>
      </c>
      <c r="P25" s="166">
        <v>1.2924480486568677</v>
      </c>
      <c r="Q25" s="166">
        <v>1.2833827893175074</v>
      </c>
      <c r="R25" s="166">
        <v>1.1699346405228759</v>
      </c>
      <c r="S25" s="166">
        <v>1.076514816452897</v>
      </c>
      <c r="T25" s="166">
        <v>0.9175757575757576</v>
      </c>
      <c r="U25" s="166">
        <v>0.94686192468619246</v>
      </c>
      <c r="V25" s="166">
        <v>0.85936875749101083</v>
      </c>
      <c r="W25" s="166">
        <v>0.79548110634982472</v>
      </c>
      <c r="X25" s="166">
        <v>0.80150257018584425</v>
      </c>
      <c r="Y25" s="166">
        <v>0.78625049387593837</v>
      </c>
      <c r="Z25" s="166">
        <v>0.70663562281722936</v>
      </c>
      <c r="AA25" s="166">
        <v>0.67055167055167053</v>
      </c>
      <c r="AB25" s="166">
        <v>0.62639476721816079</v>
      </c>
      <c r="AC25" s="166">
        <v>0.58172165339400839</v>
      </c>
      <c r="AD25" s="166">
        <v>0.59098039215686271</v>
      </c>
      <c r="AE25" s="166">
        <v>0.54720616570327552</v>
      </c>
      <c r="AF25" s="166">
        <v>0.5949720670391061</v>
      </c>
      <c r="AG25" s="166">
        <v>0.61791290057518489</v>
      </c>
      <c r="AH25" s="192">
        <v>0.67811536767943636</v>
      </c>
      <c r="AI25" s="192">
        <v>0.68272205037560763</v>
      </c>
      <c r="AJ25" s="192">
        <v>0.72338447233844727</v>
      </c>
      <c r="AK25" s="192">
        <v>0.77473065621939274</v>
      </c>
      <c r="AL25" s="192">
        <v>0.75875678342377895</v>
      </c>
      <c r="AM25" s="192">
        <v>0.76934673366834172</v>
      </c>
      <c r="AN25" s="192">
        <v>0.86216364634816034</v>
      </c>
      <c r="AO25" s="192">
        <v>0.921784472769409</v>
      </c>
      <c r="AP25" s="192">
        <v>1.0036855036855037</v>
      </c>
      <c r="AQ25" s="192">
        <v>1.0691003911342893</v>
      </c>
      <c r="AR25" s="192">
        <v>1.0935633709356336</v>
      </c>
      <c r="AS25" s="192">
        <v>1.1549295774647887</v>
      </c>
      <c r="AT25" s="192">
        <v>1.0878604963112006</v>
      </c>
      <c r="AU25" s="192">
        <v>1.0871010638297873</v>
      </c>
      <c r="AV25" s="192">
        <v>1.061038961038961</v>
      </c>
      <c r="AW25" s="192">
        <v>1.0576051779935276</v>
      </c>
      <c r="AX25" s="192">
        <v>1.0623393316195373</v>
      </c>
      <c r="AY25" s="192">
        <v>1.041087231352718</v>
      </c>
      <c r="AZ25" s="192">
        <v>1.1027308192457737</v>
      </c>
      <c r="BA25" s="192">
        <v>1.1156107119529719</v>
      </c>
      <c r="BB25" s="192">
        <v>1.0541401273885351</v>
      </c>
      <c r="BC25" s="192">
        <v>1.0201958384332925</v>
      </c>
      <c r="BD25" s="192">
        <v>1.0219512195121951</v>
      </c>
      <c r="BE25" s="192">
        <v>1.0219512195121951</v>
      </c>
      <c r="BF25" s="192">
        <v>1.0078883495145632</v>
      </c>
      <c r="BG25" s="192">
        <v>1.0201219512195121</v>
      </c>
      <c r="BH25" s="192">
        <v>1.0302096177558571</v>
      </c>
      <c r="BI25" s="192">
        <v>1.0226299694189602</v>
      </c>
      <c r="BJ25" s="192">
        <v>1.0385556915544676</v>
      </c>
      <c r="BK25" s="192">
        <v>1.0361077111383108</v>
      </c>
      <c r="BL25" s="192">
        <v>1.0332728372655777</v>
      </c>
      <c r="BM25" s="192">
        <v>1.037037037037037</v>
      </c>
      <c r="BN25" s="192">
        <v>1.0188679245283019</v>
      </c>
    </row>
    <row r="26" spans="1:74" ht="15.75" thickBot="1" x14ac:dyDescent="0.3">
      <c r="A26" s="190" t="s">
        <v>19</v>
      </c>
      <c r="B26" s="166">
        <v>1.0491308974813764</v>
      </c>
      <c r="C26" s="166">
        <v>1.0086430423509076</v>
      </c>
      <c r="D26" s="166">
        <v>0.99966577540106949</v>
      </c>
      <c r="E26" s="166">
        <v>0.96179812283879462</v>
      </c>
      <c r="F26" s="166">
        <v>0.98305084745762716</v>
      </c>
      <c r="G26" s="166">
        <v>0.95119570522205954</v>
      </c>
      <c r="H26" s="166">
        <v>0.90004641807210273</v>
      </c>
      <c r="I26" s="166">
        <v>0.9027648337993166</v>
      </c>
      <c r="J26" s="166">
        <v>0.93045830681094843</v>
      </c>
      <c r="K26" s="166">
        <v>0.89190446650124067</v>
      </c>
      <c r="L26" s="166">
        <v>0.94202196382428938</v>
      </c>
      <c r="M26" s="166">
        <v>0.93487087867467922</v>
      </c>
      <c r="N26" s="166">
        <v>0.93956314665790774</v>
      </c>
      <c r="O26" s="166">
        <v>0.9291286307053942</v>
      </c>
      <c r="P26" s="166">
        <v>0.95638207945900255</v>
      </c>
      <c r="Q26" s="166">
        <v>0.97172236503856046</v>
      </c>
      <c r="R26" s="166">
        <v>0.90103644266131733</v>
      </c>
      <c r="S26" s="166">
        <v>0.88906009244992301</v>
      </c>
      <c r="T26" s="166">
        <v>0.85209601081812036</v>
      </c>
      <c r="U26" s="166">
        <v>0.83701043270053022</v>
      </c>
      <c r="V26" s="166">
        <v>0.81124290871583293</v>
      </c>
      <c r="W26" s="166">
        <v>0.79611149346180321</v>
      </c>
      <c r="X26" s="166">
        <v>0.78775440396784679</v>
      </c>
      <c r="Y26" s="166">
        <v>0.76178055990262561</v>
      </c>
      <c r="Z26" s="166">
        <v>0.68472484141950973</v>
      </c>
      <c r="AA26" s="166">
        <v>0.65375260597637253</v>
      </c>
      <c r="AB26" s="166">
        <v>0.6236671910505156</v>
      </c>
      <c r="AC26" s="166">
        <v>0.62718828152911754</v>
      </c>
      <c r="AD26" s="166">
        <v>0.59625243061693478</v>
      </c>
      <c r="AE26" s="166">
        <v>0.58677248677248672</v>
      </c>
      <c r="AF26" s="166">
        <v>0.60575139146567714</v>
      </c>
      <c r="AG26" s="166">
        <v>0.60523782014249949</v>
      </c>
      <c r="AH26" s="192">
        <v>0.59869073596508626</v>
      </c>
      <c r="AI26" s="192">
        <v>0.59317531671434409</v>
      </c>
      <c r="AJ26" s="192">
        <v>0.58614113159567705</v>
      </c>
      <c r="AK26" s="192">
        <v>0.57618327209855202</v>
      </c>
      <c r="AL26" s="192">
        <v>0.54559270516717329</v>
      </c>
      <c r="AM26" s="192">
        <v>0.57338507190139243</v>
      </c>
      <c r="AN26" s="192">
        <v>0.64496745117676513</v>
      </c>
      <c r="AO26" s="192">
        <v>0.67153866595801226</v>
      </c>
      <c r="AP26" s="192">
        <v>0.68581838565022424</v>
      </c>
      <c r="AQ26" s="192">
        <v>0.67416690401594992</v>
      </c>
      <c r="AR26" s="192">
        <v>0.68069967388081831</v>
      </c>
      <c r="AS26" s="192">
        <v>0.69522091974752032</v>
      </c>
      <c r="AT26" s="192">
        <v>0.68330781010719754</v>
      </c>
      <c r="AU26" s="192">
        <v>0.69996818326439703</v>
      </c>
      <c r="AV26" s="192">
        <v>0.69449966865473822</v>
      </c>
      <c r="AW26" s="192">
        <v>0.70995521873923528</v>
      </c>
      <c r="AX26" s="192">
        <v>0.73861171366594358</v>
      </c>
      <c r="AY26" s="192">
        <v>0.76631657914478624</v>
      </c>
      <c r="AZ26" s="192">
        <v>0.81018702745722249</v>
      </c>
      <c r="BA26" s="192">
        <v>0.80095541401273884</v>
      </c>
      <c r="BB26" s="192">
        <v>0.76203416149068326</v>
      </c>
      <c r="BC26" s="192">
        <v>0.76052308949734371</v>
      </c>
      <c r="BD26" s="192">
        <v>0.77651035065483731</v>
      </c>
      <c r="BE26" s="192">
        <v>0.77651035065483731</v>
      </c>
      <c r="BF26" s="192">
        <v>0.79921602787456447</v>
      </c>
      <c r="BG26" s="192">
        <v>0.76178123648940765</v>
      </c>
      <c r="BH26" s="192">
        <v>0.79426266248319144</v>
      </c>
      <c r="BI26" s="192">
        <v>0.79954545454545456</v>
      </c>
      <c r="BJ26" s="192">
        <v>0.82729007633587781</v>
      </c>
      <c r="BK26" s="192">
        <v>0.79961183891314891</v>
      </c>
      <c r="BL26" s="192">
        <v>0.80323054331864907</v>
      </c>
      <c r="BM26" s="192">
        <v>0.8120411160058737</v>
      </c>
      <c r="BN26" s="192">
        <v>0.81483300589390961</v>
      </c>
    </row>
    <row r="27" spans="1:74" ht="15.75" thickBot="1" x14ac:dyDescent="0.3">
      <c r="A27" s="190" t="s">
        <v>18</v>
      </c>
      <c r="B27" s="166">
        <v>1.1002638522427441</v>
      </c>
      <c r="C27" s="166">
        <v>1.0682196339434276</v>
      </c>
      <c r="D27" s="166">
        <v>1.0244527247321844</v>
      </c>
      <c r="E27" s="166">
        <v>1.0136574074074074</v>
      </c>
      <c r="F27" s="166">
        <v>1.0057790106333795</v>
      </c>
      <c r="G27" s="166">
        <v>0.94077042974838565</v>
      </c>
      <c r="H27" s="166">
        <v>0.89598811292719172</v>
      </c>
      <c r="I27" s="166">
        <v>0.84732824427480913</v>
      </c>
      <c r="J27" s="166">
        <v>0.83208645054031583</v>
      </c>
      <c r="K27" s="166">
        <v>0.83909962484368483</v>
      </c>
      <c r="L27" s="166">
        <v>0.81207218419415061</v>
      </c>
      <c r="M27" s="166">
        <v>0.76874231872183529</v>
      </c>
      <c r="N27" s="166">
        <v>0.78400852878464822</v>
      </c>
      <c r="O27" s="166">
        <v>0.79286029087703835</v>
      </c>
      <c r="P27" s="166">
        <v>0.75168955744495314</v>
      </c>
      <c r="Q27" s="166">
        <v>0.75634178905206939</v>
      </c>
      <c r="R27" s="166">
        <v>0.76312798363264378</v>
      </c>
      <c r="S27" s="166">
        <v>0.72390956839461063</v>
      </c>
      <c r="T27" s="166">
        <v>0.6954723052171915</v>
      </c>
      <c r="U27" s="166">
        <v>0.69538461538461538</v>
      </c>
      <c r="V27" s="166">
        <v>0.65458422174840081</v>
      </c>
      <c r="W27" s="166">
        <v>0.65644022400779156</v>
      </c>
      <c r="X27" s="166">
        <v>0.67657342657342656</v>
      </c>
      <c r="Y27" s="166">
        <v>0.62046696472925977</v>
      </c>
      <c r="Z27" s="166">
        <v>0.59182630906768841</v>
      </c>
      <c r="AA27" s="166">
        <v>0.58300026645350389</v>
      </c>
      <c r="AB27" s="166">
        <v>0.60375305955942349</v>
      </c>
      <c r="AC27" s="166">
        <v>0.59032795997776544</v>
      </c>
      <c r="AD27" s="166">
        <v>0.59947795823665895</v>
      </c>
      <c r="AE27" s="166">
        <v>0.61106207708149451</v>
      </c>
      <c r="AF27" s="166">
        <v>0.5907059874888293</v>
      </c>
      <c r="AG27" s="166">
        <v>0.61419558359621451</v>
      </c>
      <c r="AH27" s="192">
        <v>0.62524785194976862</v>
      </c>
      <c r="AI27" s="192">
        <v>0.6123213070115725</v>
      </c>
      <c r="AJ27" s="192">
        <v>0.64784654361201588</v>
      </c>
      <c r="AK27" s="192">
        <v>0.65281899109792285</v>
      </c>
      <c r="AL27" s="192">
        <v>0.63824289405684753</v>
      </c>
      <c r="AM27" s="192">
        <v>0.70176140912730189</v>
      </c>
      <c r="AN27" s="192">
        <v>0.7596029348295209</v>
      </c>
      <c r="AO27" s="192">
        <v>0.81992687385740404</v>
      </c>
      <c r="AP27" s="192">
        <v>0.76801801801801806</v>
      </c>
      <c r="AQ27" s="192">
        <v>0.81214689265536721</v>
      </c>
      <c r="AR27" s="192">
        <v>0.8306724721819061</v>
      </c>
      <c r="AS27" s="192">
        <v>0.80019258545979777</v>
      </c>
      <c r="AT27" s="192">
        <v>0.83408976298537574</v>
      </c>
      <c r="AU27" s="192">
        <v>0.8341037493579867</v>
      </c>
      <c r="AV27" s="192">
        <v>0.84778012684989434</v>
      </c>
      <c r="AW27" s="192">
        <v>0.86881600889382993</v>
      </c>
      <c r="AX27" s="192">
        <v>0.85418994413407823</v>
      </c>
      <c r="AY27" s="192">
        <v>0.84090909090909094</v>
      </c>
      <c r="AZ27" s="192">
        <v>0.84499710815500284</v>
      </c>
      <c r="BA27" s="192">
        <v>0.82373074729035933</v>
      </c>
      <c r="BB27" s="192">
        <v>0.81761363636363638</v>
      </c>
      <c r="BC27" s="192">
        <v>0.79237536656891494</v>
      </c>
      <c r="BD27" s="192">
        <v>0.73275362318840576</v>
      </c>
      <c r="BE27" s="192">
        <v>0.73275362318840576</v>
      </c>
      <c r="BF27" s="192">
        <v>0.74315666860803731</v>
      </c>
      <c r="BG27" s="192">
        <v>0.77316486161251508</v>
      </c>
      <c r="BH27" s="192">
        <v>0.77025392986698915</v>
      </c>
      <c r="BI27" s="192">
        <v>0.76970443349753692</v>
      </c>
      <c r="BJ27" s="192">
        <v>0.74127182044887785</v>
      </c>
      <c r="BK27" s="192">
        <v>0.75751759436980171</v>
      </c>
      <c r="BL27" s="192">
        <v>0.78155657292347935</v>
      </c>
      <c r="BM27" s="192">
        <v>0.83445945945945943</v>
      </c>
      <c r="BN27" s="192">
        <v>0.85078713210130053</v>
      </c>
      <c r="BR27" s="222" t="s">
        <v>246</v>
      </c>
      <c r="BS27" s="222" t="s">
        <v>247</v>
      </c>
      <c r="BT27" s="222" t="s">
        <v>5</v>
      </c>
      <c r="BU27" s="315" t="s">
        <v>259</v>
      </c>
      <c r="BV27" s="190" t="s">
        <v>262</v>
      </c>
    </row>
    <row r="28" spans="1:74" ht="15.75" thickBot="1" x14ac:dyDescent="0.3">
      <c r="A28" s="190" t="s">
        <v>34</v>
      </c>
      <c r="B28" s="166">
        <v>1.4034749034749034</v>
      </c>
      <c r="C28" s="166">
        <v>1.4581673306772909</v>
      </c>
      <c r="D28" s="166">
        <v>1.298342541436464</v>
      </c>
      <c r="E28" s="166">
        <v>1.3592592592592592</v>
      </c>
      <c r="F28" s="166">
        <v>1.318918918918919</v>
      </c>
      <c r="G28" s="166">
        <v>1.4048059149722736</v>
      </c>
      <c r="H28" s="166">
        <v>1.2713310580204777</v>
      </c>
      <c r="I28" s="166">
        <v>1.152037617554859</v>
      </c>
      <c r="J28" s="166">
        <v>1.0729166666666667</v>
      </c>
      <c r="K28" s="166">
        <v>1.0683506686478454</v>
      </c>
      <c r="L28" s="166">
        <v>1.0548340548340549</v>
      </c>
      <c r="M28" s="166">
        <v>1.0333333333333334</v>
      </c>
      <c r="N28" s="166">
        <v>1.0509641873278237</v>
      </c>
      <c r="O28" s="166">
        <v>1.0796221322537112</v>
      </c>
      <c r="P28" s="166">
        <v>1.1458046767537826</v>
      </c>
      <c r="Q28" s="166">
        <v>1.1612021857923498</v>
      </c>
      <c r="R28" s="166">
        <v>1.2113475177304964</v>
      </c>
      <c r="S28" s="166">
        <v>1.2029972752043596</v>
      </c>
      <c r="T28" s="166">
        <v>1.2540983606557377</v>
      </c>
      <c r="U28" s="166">
        <v>1.2223684210526315</v>
      </c>
      <c r="V28" s="166">
        <v>1.3100671140939597</v>
      </c>
      <c r="W28" s="166">
        <v>1.3945578231292517</v>
      </c>
      <c r="X28" s="166">
        <v>1.4299583911234397</v>
      </c>
      <c r="Y28" s="166">
        <v>1.4311543810848402</v>
      </c>
      <c r="Z28" s="166">
        <v>1.3926128590971272</v>
      </c>
      <c r="AA28" s="166">
        <v>1.293010752688172</v>
      </c>
      <c r="AB28" s="166">
        <v>1.254259501965924</v>
      </c>
      <c r="AC28" s="166">
        <v>1.2737499999999999</v>
      </c>
      <c r="AD28" s="166">
        <v>1.2881152460984393</v>
      </c>
      <c r="AE28" s="166">
        <v>1.3094117647058823</v>
      </c>
      <c r="AF28" s="166">
        <v>1.3594847775175645</v>
      </c>
      <c r="AG28" s="166">
        <v>1.318233295583239</v>
      </c>
      <c r="AH28" s="192">
        <v>1.3366013071895424</v>
      </c>
      <c r="AI28" s="192">
        <v>1.3670613562970937</v>
      </c>
      <c r="AJ28" s="192">
        <v>1.2776639344262295</v>
      </c>
      <c r="AK28" s="192">
        <v>1.2253658536585366</v>
      </c>
      <c r="AL28" s="192">
        <v>1.2647914645974783</v>
      </c>
      <c r="AM28" s="192">
        <v>1.3041788143828961</v>
      </c>
      <c r="AN28" s="192">
        <v>1.3742632612966601</v>
      </c>
      <c r="AO28" s="192">
        <v>1.5644490644490645</v>
      </c>
      <c r="AP28" s="192">
        <v>1.6562173458725182</v>
      </c>
      <c r="AQ28" s="192">
        <v>1.576054955839058</v>
      </c>
      <c r="AR28" s="192">
        <v>1.418452935694315</v>
      </c>
      <c r="AS28" s="192">
        <v>1.3081761006289307</v>
      </c>
      <c r="AT28" s="192">
        <v>1.227390180878553</v>
      </c>
      <c r="AU28" s="192">
        <v>1.2525773195876289</v>
      </c>
      <c r="AV28" s="192">
        <v>1.1988590057049715</v>
      </c>
      <c r="AW28" s="192">
        <v>1.1598425196850393</v>
      </c>
      <c r="AX28" s="192">
        <v>1.2068965517241379</v>
      </c>
      <c r="AY28" s="192">
        <v>1.2205414012738853</v>
      </c>
      <c r="AZ28" s="192">
        <v>1.1395705521472392</v>
      </c>
      <c r="BA28" s="192">
        <v>1.1125186289120714</v>
      </c>
      <c r="BB28" s="192">
        <v>1.087205146533238</v>
      </c>
      <c r="BC28" s="192">
        <v>0.93375394321766558</v>
      </c>
      <c r="BD28" s="192">
        <v>0.8511830635118306</v>
      </c>
      <c r="BE28" s="192">
        <v>0.8511830635118306</v>
      </c>
      <c r="BF28" s="192">
        <v>0.9329829172141918</v>
      </c>
      <c r="BG28" s="192">
        <v>0.99244505494505497</v>
      </c>
      <c r="BH28" s="192">
        <v>1.0463157894736843</v>
      </c>
      <c r="BI28" s="192">
        <v>1.0233196159122084</v>
      </c>
      <c r="BJ28" s="192">
        <v>0.9551325628823929</v>
      </c>
      <c r="BK28" s="192">
        <v>0.90563475899524781</v>
      </c>
      <c r="BL28" s="192">
        <v>0.9102990033222591</v>
      </c>
      <c r="BM28" s="192">
        <v>0.86888454011741678</v>
      </c>
      <c r="BN28" s="192">
        <v>0.90915208613728127</v>
      </c>
      <c r="BR28" s="4" t="s">
        <v>261</v>
      </c>
      <c r="BS28" s="4">
        <v>1062</v>
      </c>
      <c r="BT28" s="28">
        <f t="shared" ref="BT28:BT33" si="1">BS28/SUM($BS$15:$BS$24)</f>
        <v>0.27627471383975027</v>
      </c>
      <c r="BU28" s="316">
        <v>0.7</v>
      </c>
      <c r="BV28" s="317">
        <f>BU28*BT28</f>
        <v>0.19339229968782518</v>
      </c>
    </row>
    <row r="29" spans="1:74" ht="15.75" thickBot="1" x14ac:dyDescent="0.3">
      <c r="A29" s="190" t="s">
        <v>35</v>
      </c>
      <c r="B29" s="166">
        <v>0.80122532334921714</v>
      </c>
      <c r="C29" s="166">
        <v>0.78475033738191635</v>
      </c>
      <c r="D29" s="166">
        <v>0.81593794076163606</v>
      </c>
      <c r="E29" s="166">
        <v>0.77744133232399693</v>
      </c>
      <c r="F29" s="166">
        <v>0.69011976047904189</v>
      </c>
      <c r="G29" s="166">
        <v>0.67056245434623818</v>
      </c>
      <c r="H29" s="166">
        <v>0.59850034083162917</v>
      </c>
      <c r="I29" s="166">
        <v>0.5587655942219304</v>
      </c>
      <c r="J29" s="166">
        <v>0.57535164099129266</v>
      </c>
      <c r="K29" s="166">
        <v>0.55495978552278824</v>
      </c>
      <c r="L29" s="166">
        <v>0.60189919649379109</v>
      </c>
      <c r="M29" s="166">
        <v>0.58210059171597628</v>
      </c>
      <c r="N29" s="166">
        <v>0.61192873741285825</v>
      </c>
      <c r="O29" s="166">
        <v>0.62418300653594772</v>
      </c>
      <c r="P29" s="166">
        <v>0.63211554800339842</v>
      </c>
      <c r="Q29" s="166">
        <v>0.63972484952708508</v>
      </c>
      <c r="R29" s="166">
        <v>0.61538461538461542</v>
      </c>
      <c r="S29" s="166">
        <v>0.68354430379746833</v>
      </c>
      <c r="T29" s="166">
        <v>0.75488069414316705</v>
      </c>
      <c r="U29" s="166">
        <v>0.76470588235294112</v>
      </c>
      <c r="V29" s="166">
        <v>0.78815489749430523</v>
      </c>
      <c r="W29" s="166">
        <v>0.78143360752056401</v>
      </c>
      <c r="X29" s="166">
        <v>0.76949941792782306</v>
      </c>
      <c r="Y29" s="166">
        <v>0.74758454106280192</v>
      </c>
      <c r="Z29" s="166">
        <v>0.70388349514563109</v>
      </c>
      <c r="AA29" s="166">
        <v>0.76620076238881829</v>
      </c>
      <c r="AB29" s="166">
        <v>0.75696202531645573</v>
      </c>
      <c r="AC29" s="166">
        <v>0.81413612565445026</v>
      </c>
      <c r="AD29" s="166">
        <v>0.85483870967741937</v>
      </c>
      <c r="AE29" s="166">
        <v>0.84677419354838712</v>
      </c>
      <c r="AF29" s="166">
        <v>0.9171348314606742</v>
      </c>
      <c r="AG29" s="166">
        <v>0.93447293447293445</v>
      </c>
      <c r="AH29" s="192">
        <v>0.98275862068965514</v>
      </c>
      <c r="AI29" s="192">
        <v>0.9330484330484331</v>
      </c>
      <c r="AJ29" s="192">
        <v>0.90895953757225434</v>
      </c>
      <c r="AK29" s="192">
        <v>0.95488721804511278</v>
      </c>
      <c r="AL29" s="192">
        <v>0.95763993948562787</v>
      </c>
      <c r="AM29" s="192">
        <v>1.0920840064620356</v>
      </c>
      <c r="AN29" s="192">
        <v>1.1775862068965517</v>
      </c>
      <c r="AO29" s="192">
        <v>1.097844112769486</v>
      </c>
      <c r="AP29" s="192">
        <v>1.0635451505016722</v>
      </c>
      <c r="AQ29" s="192">
        <v>1.0112540192926045</v>
      </c>
      <c r="AR29" s="192">
        <v>0.95597484276729561</v>
      </c>
      <c r="AS29" s="192">
        <v>0.97619047619047616</v>
      </c>
      <c r="AT29" s="192">
        <v>0.95252679938744256</v>
      </c>
      <c r="AU29" s="192">
        <v>0.9375</v>
      </c>
      <c r="AV29" s="192">
        <v>0.88742690058479534</v>
      </c>
      <c r="AW29" s="192">
        <v>0.94045801526717554</v>
      </c>
      <c r="AX29" s="192">
        <v>1.0047694753577106</v>
      </c>
      <c r="AY29" s="192">
        <v>0.99370078740157475</v>
      </c>
      <c r="AZ29" s="192">
        <v>0.99526066350710896</v>
      </c>
      <c r="BA29" s="192">
        <v>0.96301775147928992</v>
      </c>
      <c r="BB29" s="192">
        <v>0.98682284040995605</v>
      </c>
      <c r="BC29" s="192">
        <v>1.1336477987421383</v>
      </c>
      <c r="BD29" s="192">
        <v>1.1939586645468998</v>
      </c>
      <c r="BE29" s="192">
        <v>1.1939586645468998</v>
      </c>
      <c r="BF29" s="192">
        <v>1.294407894736842</v>
      </c>
      <c r="BG29" s="192">
        <v>1.269918699186992</v>
      </c>
      <c r="BH29" s="192">
        <v>1.252411575562701</v>
      </c>
      <c r="BI29" s="192">
        <v>1.3121951219512196</v>
      </c>
      <c r="BJ29" s="192">
        <v>1.2751235584843492</v>
      </c>
      <c r="BK29" s="192">
        <v>1.3084415584415585</v>
      </c>
      <c r="BL29" s="192">
        <v>1.4446202531645569</v>
      </c>
      <c r="BM29" s="192">
        <v>1.4801901743264658</v>
      </c>
      <c r="BN29" s="192">
        <v>1.5111111111111111</v>
      </c>
      <c r="BR29" s="4" t="s">
        <v>254</v>
      </c>
      <c r="BS29" s="4">
        <v>730</v>
      </c>
      <c r="BT29" s="28">
        <f t="shared" si="1"/>
        <v>0.18990634755463059</v>
      </c>
      <c r="BU29" s="316">
        <v>0.13</v>
      </c>
      <c r="BV29" s="317">
        <f>BU29*BT29</f>
        <v>2.4687825182101979E-2</v>
      </c>
    </row>
    <row r="30" spans="1:74" ht="15.75" thickBot="1" x14ac:dyDescent="0.3">
      <c r="A30" s="190" t="s">
        <v>36</v>
      </c>
      <c r="B30" s="166">
        <v>3.4409594095940959</v>
      </c>
      <c r="C30" s="166">
        <v>3.728515625</v>
      </c>
      <c r="D30" s="166">
        <v>3.9122486288848264</v>
      </c>
      <c r="E30" s="166">
        <v>3.9300184162062615</v>
      </c>
      <c r="F30" s="166">
        <v>4.0092081031307547</v>
      </c>
      <c r="G30" s="166">
        <v>3.8435852372583481</v>
      </c>
      <c r="H30" s="166">
        <v>3.6498316498316496</v>
      </c>
      <c r="I30" s="166">
        <v>3.5243506493506493</v>
      </c>
      <c r="J30" s="166">
        <v>3.2846153846153845</v>
      </c>
      <c r="K30" s="166">
        <v>2.9696092619392185</v>
      </c>
      <c r="L30" s="166">
        <v>2.7952973720608574</v>
      </c>
      <c r="M30" s="166">
        <v>2.5176470588235293</v>
      </c>
      <c r="N30" s="166">
        <v>1.8823529411764706</v>
      </c>
      <c r="O30" s="166">
        <v>0.83641536273115225</v>
      </c>
      <c r="P30" s="166">
        <v>0.3774798927613941</v>
      </c>
      <c r="Q30" s="166">
        <v>0.34206390780513357</v>
      </c>
      <c r="R30" s="166">
        <v>0.16775700934579441</v>
      </c>
      <c r="S30" s="166">
        <v>0.15042174320524837</v>
      </c>
      <c r="T30" s="166">
        <v>0.11254019292604502</v>
      </c>
      <c r="U30" s="166">
        <v>9.0534979423868317E-2</v>
      </c>
      <c r="V30" s="166">
        <v>8.9483394833948335E-2</v>
      </c>
      <c r="W30" s="166">
        <v>0.3657300783049286</v>
      </c>
      <c r="X30" s="166">
        <v>0.49882903981264637</v>
      </c>
      <c r="Y30" s="166">
        <v>0.5199805068226121</v>
      </c>
      <c r="Z30" s="166">
        <v>0.56506679861454723</v>
      </c>
      <c r="AA30" s="166">
        <v>0.59138110072689509</v>
      </c>
      <c r="AB30" s="166">
        <v>0.66666666666666663</v>
      </c>
      <c r="AC30" s="166">
        <v>0.9787414965986394</v>
      </c>
      <c r="AD30" s="166">
        <v>2.0056818181818183</v>
      </c>
      <c r="AE30" s="166">
        <v>2.1638591117917305</v>
      </c>
      <c r="AF30" s="166">
        <v>3.9832869080779942</v>
      </c>
      <c r="AG30" s="166">
        <v>4.4672897196261685</v>
      </c>
      <c r="AH30" s="192">
        <v>5.963265306122449</v>
      </c>
      <c r="AI30" s="192">
        <v>8.1212121212121211</v>
      </c>
      <c r="AJ30" s="192">
        <v>8.2525773195876297</v>
      </c>
      <c r="AK30" s="192">
        <v>1.2468513853904282</v>
      </c>
      <c r="AL30" s="192">
        <v>0.65539906103286383</v>
      </c>
      <c r="AM30" s="192">
        <v>0.64948453608247425</v>
      </c>
      <c r="AN30" s="192">
        <v>0.49124343257443082</v>
      </c>
      <c r="AO30" s="192">
        <v>0.4925373134328358</v>
      </c>
      <c r="AP30" s="192">
        <v>0.47916666666666669</v>
      </c>
      <c r="AQ30" s="192">
        <v>0.47610773240660298</v>
      </c>
      <c r="AR30" s="192">
        <v>0.20184135977337112</v>
      </c>
      <c r="AS30" s="192">
        <v>0.20028308563340411</v>
      </c>
      <c r="AT30" s="192">
        <v>0.18391608391608391</v>
      </c>
      <c r="AU30" s="192">
        <v>0.1799163179916318</v>
      </c>
      <c r="AV30" s="192">
        <v>0.15605749486652978</v>
      </c>
      <c r="AW30" s="192">
        <v>0.38743781094527363</v>
      </c>
      <c r="AX30" s="192">
        <v>0.47407870081199249</v>
      </c>
      <c r="AY30" s="192">
        <v>0.75151515151515147</v>
      </c>
      <c r="AZ30" s="192">
        <v>1.0673352435530086</v>
      </c>
      <c r="BA30" s="192">
        <v>1.0721500721500721</v>
      </c>
      <c r="BB30" s="192">
        <v>1.3155080213903743</v>
      </c>
      <c r="BC30" s="192">
        <v>1.3405797101449275</v>
      </c>
      <c r="BD30" s="192">
        <v>1.3686131386861313</v>
      </c>
      <c r="BE30" s="192">
        <v>1.3686131386861313</v>
      </c>
      <c r="BF30" s="192">
        <v>2.6315789473684212</v>
      </c>
      <c r="BG30" s="192">
        <v>2.6501766784452299</v>
      </c>
      <c r="BH30" s="192">
        <v>2.8441064638783269</v>
      </c>
      <c r="BI30" s="192">
        <v>2.8798449612403099</v>
      </c>
      <c r="BJ30" s="192">
        <v>3.2543859649122808</v>
      </c>
      <c r="BK30" s="192">
        <v>0.4317817014446228</v>
      </c>
      <c r="BL30" s="192">
        <v>0.72068511198945984</v>
      </c>
      <c r="BM30" s="192">
        <v>0.84677419354838712</v>
      </c>
      <c r="BN30" s="192">
        <v>1.1154362416107382</v>
      </c>
      <c r="BR30" s="4" t="s">
        <v>255</v>
      </c>
      <c r="BS30" s="4">
        <v>882</v>
      </c>
      <c r="BT30" s="28">
        <f t="shared" si="1"/>
        <v>0.22944849115504681</v>
      </c>
      <c r="BU30" s="316">
        <v>0.51</v>
      </c>
      <c r="BV30" s="317">
        <f>BU30*BT30</f>
        <v>0.11701873048907388</v>
      </c>
    </row>
    <row r="31" spans="1:74" ht="15.75" thickBot="1" x14ac:dyDescent="0.3">
      <c r="A31" s="190" t="s">
        <v>37</v>
      </c>
      <c r="B31" s="166">
        <v>0.89194658033184948</v>
      </c>
      <c r="C31" s="166">
        <v>0.8645812310797174</v>
      </c>
      <c r="D31" s="166">
        <v>0.81657392686804453</v>
      </c>
      <c r="E31" s="166">
        <v>0.77505966587112174</v>
      </c>
      <c r="F31" s="166">
        <v>0.76082977425259302</v>
      </c>
      <c r="G31" s="166">
        <v>0.75345043914680054</v>
      </c>
      <c r="H31" s="166">
        <v>0.68975903614457834</v>
      </c>
      <c r="I31" s="166">
        <v>0.67656027647895911</v>
      </c>
      <c r="J31" s="166">
        <v>0.63459220570510244</v>
      </c>
      <c r="K31" s="166">
        <v>0.60386473429951693</v>
      </c>
      <c r="L31" s="166">
        <v>0.55792495386508101</v>
      </c>
      <c r="M31" s="166">
        <v>0.53930753564154787</v>
      </c>
      <c r="N31" s="166">
        <v>0.52802855343271049</v>
      </c>
      <c r="O31" s="166">
        <v>0.53439268611232038</v>
      </c>
      <c r="P31" s="166">
        <v>0.54401088929219599</v>
      </c>
      <c r="Q31" s="166">
        <v>0.54061624649859941</v>
      </c>
      <c r="R31" s="166">
        <v>0.55536626916524701</v>
      </c>
      <c r="S31" s="166">
        <v>0.57069540672312036</v>
      </c>
      <c r="T31" s="166">
        <v>0.58380112269446671</v>
      </c>
      <c r="U31" s="166">
        <v>0.59700249791840132</v>
      </c>
      <c r="V31" s="166">
        <v>0.61368267831149925</v>
      </c>
      <c r="W31" s="166">
        <v>0.61177884615384615</v>
      </c>
      <c r="X31" s="166">
        <v>0.63279518835074389</v>
      </c>
      <c r="Y31" s="166">
        <v>0.6343333333333333</v>
      </c>
      <c r="Z31" s="166">
        <v>0.66041896361631758</v>
      </c>
      <c r="AA31" s="166">
        <v>0.56382175226586106</v>
      </c>
      <c r="AB31" s="166">
        <v>0.56699801192842947</v>
      </c>
      <c r="AC31" s="166">
        <v>0.56171079429735238</v>
      </c>
      <c r="AD31" s="166">
        <v>0.56839032527105926</v>
      </c>
      <c r="AE31" s="166">
        <v>0.60233160621761661</v>
      </c>
      <c r="AF31" s="166">
        <v>0.6073619631901841</v>
      </c>
      <c r="AG31" s="166">
        <v>0.62050359712230219</v>
      </c>
      <c r="AH31" s="192">
        <v>0.66575091575091572</v>
      </c>
      <c r="AI31" s="192">
        <v>0.68619246861924688</v>
      </c>
      <c r="AJ31" s="192">
        <v>0.67125237191650855</v>
      </c>
      <c r="AK31" s="192">
        <v>0.69695481335952847</v>
      </c>
      <c r="AL31" s="192">
        <v>0.69734867433716863</v>
      </c>
      <c r="AM31" s="192">
        <v>0.74251182343667887</v>
      </c>
      <c r="AN31" s="192">
        <v>0.81524763494713415</v>
      </c>
      <c r="AO31" s="192">
        <v>0.99598124581379777</v>
      </c>
      <c r="AP31" s="192">
        <v>1.0988779803646564</v>
      </c>
      <c r="AQ31" s="192">
        <v>1.145032632342277</v>
      </c>
      <c r="AR31" s="192">
        <v>1.103448275862069</v>
      </c>
      <c r="AS31" s="192">
        <v>1.0566308243727598</v>
      </c>
      <c r="AT31" s="192">
        <v>1.0418470418470418</v>
      </c>
      <c r="AU31" s="192">
        <v>1.0108695652173914</v>
      </c>
      <c r="AV31" s="192">
        <v>0.91609353507565339</v>
      </c>
      <c r="AW31" s="192">
        <v>0.88821138211382111</v>
      </c>
      <c r="AX31" s="192">
        <v>0.98798586572438163</v>
      </c>
      <c r="AY31" s="192">
        <v>1.0063424947145878</v>
      </c>
      <c r="AZ31" s="192">
        <v>1.043041606886657</v>
      </c>
      <c r="BA31" s="192">
        <v>1.0438782731776362</v>
      </c>
      <c r="BB31" s="192">
        <v>1.0075085324232083</v>
      </c>
      <c r="BC31" s="192">
        <v>0.91257179323548177</v>
      </c>
      <c r="BD31" s="192">
        <v>0.89487017099430022</v>
      </c>
      <c r="BE31" s="192">
        <v>0.89487017099430022</v>
      </c>
      <c r="BF31" s="192">
        <v>1.0186170212765957</v>
      </c>
      <c r="BG31" s="192">
        <v>1.0359565807327</v>
      </c>
      <c r="BH31" s="192">
        <v>1.0602493074792243</v>
      </c>
      <c r="BI31" s="192">
        <v>1.1347670250896058</v>
      </c>
      <c r="BJ31" s="192">
        <v>1.1726726726726726</v>
      </c>
      <c r="BK31" s="192">
        <v>1.1655225019069413</v>
      </c>
      <c r="BL31" s="192">
        <v>1.0622317596566524</v>
      </c>
      <c r="BM31" s="192">
        <v>1.0714285714285714</v>
      </c>
      <c r="BN31" s="192">
        <v>1.0790921595598348</v>
      </c>
      <c r="BR31" s="4" t="s">
        <v>256</v>
      </c>
      <c r="BS31" s="4">
        <v>730</v>
      </c>
      <c r="BT31" s="28">
        <f t="shared" si="1"/>
        <v>0.18990634755463059</v>
      </c>
      <c r="BU31" s="318">
        <v>0.8</v>
      </c>
      <c r="BV31" s="317">
        <f>BU31*BT31</f>
        <v>0.15192507804370448</v>
      </c>
    </row>
    <row r="32" spans="1:74" ht="15.75" thickBot="1" x14ac:dyDescent="0.3">
      <c r="A32" s="190" t="s">
        <v>22</v>
      </c>
      <c r="B32" s="166">
        <v>1.0530772408095828</v>
      </c>
      <c r="C32" s="166">
        <v>1.0353831469866375</v>
      </c>
      <c r="D32" s="166">
        <v>0.97170816136333382</v>
      </c>
      <c r="E32" s="166">
        <v>0.91483913328956012</v>
      </c>
      <c r="F32" s="166">
        <v>0.86580226904376012</v>
      </c>
      <c r="G32" s="166">
        <v>0.81611276348118456</v>
      </c>
      <c r="H32" s="166">
        <v>0.70864956029394044</v>
      </c>
      <c r="I32" s="166">
        <v>0.65462833099579243</v>
      </c>
      <c r="J32" s="166">
        <v>0.62396382818387341</v>
      </c>
      <c r="K32" s="166">
        <v>0.61148886283704573</v>
      </c>
      <c r="L32" s="166">
        <v>0.58020132229435939</v>
      </c>
      <c r="M32" s="166">
        <v>0.55800000000000005</v>
      </c>
      <c r="N32" s="166">
        <v>0.53704735376044566</v>
      </c>
      <c r="O32" s="166">
        <v>0.51540900443880788</v>
      </c>
      <c r="P32" s="166">
        <v>0.51389161273452311</v>
      </c>
      <c r="Q32" s="166">
        <v>0.49911108184631592</v>
      </c>
      <c r="R32" s="166">
        <v>0.5066109474549565</v>
      </c>
      <c r="S32" s="166">
        <v>0.50986865714490781</v>
      </c>
      <c r="T32" s="166">
        <v>0.50265818045675781</v>
      </c>
      <c r="U32" s="166">
        <v>0.51552844240215501</v>
      </c>
      <c r="V32" s="166">
        <v>0.5274968125796855</v>
      </c>
      <c r="W32" s="166">
        <v>0.54588466345295483</v>
      </c>
      <c r="X32" s="166">
        <v>0.56586770717205503</v>
      </c>
      <c r="Y32" s="166">
        <v>0.54812116564417179</v>
      </c>
      <c r="Z32" s="166">
        <v>0.55261266810389076</v>
      </c>
      <c r="AA32" s="166">
        <v>0.54469425437167374</v>
      </c>
      <c r="AB32" s="166">
        <v>0.55866758875057632</v>
      </c>
      <c r="AC32" s="166">
        <v>0.59781003937007871</v>
      </c>
      <c r="AD32" s="166">
        <v>0.61111817834881055</v>
      </c>
      <c r="AE32" s="166">
        <v>0.64023746701846962</v>
      </c>
      <c r="AF32" s="166">
        <v>0.66071670047329278</v>
      </c>
      <c r="AG32" s="166">
        <v>0.67581644144144148</v>
      </c>
      <c r="AH32" s="192">
        <v>0.70758230299419034</v>
      </c>
      <c r="AI32" s="192">
        <v>0.72721684339941606</v>
      </c>
      <c r="AJ32" s="192">
        <v>0.75136964228166292</v>
      </c>
      <c r="AK32" s="192">
        <v>0.75519215044971377</v>
      </c>
      <c r="AL32" s="192">
        <v>0.7466754227548843</v>
      </c>
      <c r="AM32" s="192">
        <v>0.82406435816719137</v>
      </c>
      <c r="AN32" s="192">
        <v>0.91788965261006872</v>
      </c>
      <c r="AO32" s="192">
        <v>1.0217347956131606</v>
      </c>
      <c r="AP32" s="192">
        <v>1.0730348669279968</v>
      </c>
      <c r="AQ32" s="192">
        <v>1.0745009261164848</v>
      </c>
      <c r="AR32" s="192">
        <v>1.0786844296419651</v>
      </c>
      <c r="AS32" s="192">
        <v>1.0725324541520709</v>
      </c>
      <c r="AT32" s="192">
        <v>1.0568972574703235</v>
      </c>
      <c r="AU32" s="192">
        <v>1.1006040408248281</v>
      </c>
      <c r="AV32" s="192">
        <v>1.1181052631578947</v>
      </c>
      <c r="AW32" s="192">
        <v>1.1595519864750634</v>
      </c>
      <c r="AX32" s="192">
        <v>1.2202444778039889</v>
      </c>
      <c r="AY32" s="192">
        <v>1.2520571676050238</v>
      </c>
      <c r="AZ32" s="192">
        <v>1.2860598065083553</v>
      </c>
      <c r="BA32" s="192">
        <v>1.2453310696095077</v>
      </c>
      <c r="BB32" s="192">
        <v>1.2228293867638129</v>
      </c>
      <c r="BC32" s="192">
        <v>1.1809267448567584</v>
      </c>
      <c r="BD32" s="192">
        <v>1.1754453169890826</v>
      </c>
      <c r="BE32" s="192">
        <v>1.1754453169890826</v>
      </c>
      <c r="BF32" s="192">
        <v>1.1968351987649557</v>
      </c>
      <c r="BG32" s="192">
        <v>1.1942363112391932</v>
      </c>
      <c r="BH32" s="192">
        <v>1.2321843532145624</v>
      </c>
      <c r="BI32" s="192">
        <v>1.2310749432248296</v>
      </c>
      <c r="BJ32" s="192">
        <v>1.2363020146864998</v>
      </c>
      <c r="BK32" s="192">
        <v>1.1656642974302898</v>
      </c>
      <c r="BL32" s="192">
        <v>1.1571177504393673</v>
      </c>
      <c r="BM32" s="192">
        <v>1.1758906952611554</v>
      </c>
      <c r="BN32" s="192">
        <v>1.1699435800991622</v>
      </c>
      <c r="BR32" s="4" t="s">
        <v>257</v>
      </c>
      <c r="BS32" s="4">
        <v>435</v>
      </c>
      <c r="BT32" s="28">
        <f t="shared" si="1"/>
        <v>0.11316337148803329</v>
      </c>
      <c r="BU32" s="318">
        <v>0.74</v>
      </c>
      <c r="BV32" s="317">
        <f>BU32*BT32</f>
        <v>8.3740894901144641E-2</v>
      </c>
    </row>
    <row r="33" spans="1:72" ht="15.75" thickBot="1" x14ac:dyDescent="0.3">
      <c r="A33" s="190" t="s">
        <v>38</v>
      </c>
      <c r="B33" s="166">
        <v>1.1800664451827243</v>
      </c>
      <c r="C33" s="166">
        <v>1.1455368693402328</v>
      </c>
      <c r="D33" s="166">
        <v>1.0169082125603865</v>
      </c>
      <c r="E33" s="166">
        <v>0.99047619047619051</v>
      </c>
      <c r="F33" s="166">
        <v>0.92915214866434381</v>
      </c>
      <c r="G33" s="166">
        <v>0.80934065934065935</v>
      </c>
      <c r="H33" s="166">
        <v>0.69784550709406201</v>
      </c>
      <c r="I33" s="166">
        <v>0.69226694915254239</v>
      </c>
      <c r="J33" s="166">
        <v>0.63118062563067612</v>
      </c>
      <c r="K33" s="166">
        <v>0.63668699186991873</v>
      </c>
      <c r="L33" s="166">
        <v>0.6333676622039135</v>
      </c>
      <c r="M33" s="166">
        <v>0.59937727036844834</v>
      </c>
      <c r="N33" s="166">
        <v>0.60752688172043012</v>
      </c>
      <c r="O33" s="166">
        <v>0.64760254188330446</v>
      </c>
      <c r="P33" s="166">
        <v>0.57488738738738743</v>
      </c>
      <c r="Q33" s="166">
        <v>0.59006211180124224</v>
      </c>
      <c r="R33" s="166">
        <v>0.60570071258907365</v>
      </c>
      <c r="S33" s="166">
        <v>0.59555288461538458</v>
      </c>
      <c r="T33" s="166">
        <v>0.61312500000000003</v>
      </c>
      <c r="U33" s="166">
        <v>0.67820773930753564</v>
      </c>
      <c r="V33" s="166">
        <v>0.83132530120481929</v>
      </c>
      <c r="W33" s="166">
        <v>0.81943381790359604</v>
      </c>
      <c r="X33" s="166">
        <v>0.80895283772981619</v>
      </c>
      <c r="Y33" s="166">
        <v>0.74301675977653636</v>
      </c>
      <c r="Z33" s="166">
        <v>0.724390243902439</v>
      </c>
      <c r="AA33" s="166">
        <v>0.73419913419913418</v>
      </c>
      <c r="AB33" s="166">
        <v>0.74601769911504423</v>
      </c>
      <c r="AC33" s="166">
        <v>0.71989295272078502</v>
      </c>
      <c r="AD33" s="166">
        <v>0.77473065621939274</v>
      </c>
      <c r="AE33" s="166">
        <v>0.71578947368421053</v>
      </c>
      <c r="AF33" s="166">
        <v>0.71078431372549022</v>
      </c>
      <c r="AG33" s="166">
        <v>0.73965691220988905</v>
      </c>
      <c r="AH33" s="192">
        <v>0.72069317023445467</v>
      </c>
      <c r="AI33" s="192">
        <v>0.69669669669669665</v>
      </c>
      <c r="AJ33" s="192">
        <v>0.64402173913043481</v>
      </c>
      <c r="AK33" s="192">
        <v>0.68627450980392157</v>
      </c>
      <c r="AL33" s="192">
        <v>0.7865612648221344</v>
      </c>
      <c r="AM33" s="192">
        <v>0.86680988184747587</v>
      </c>
      <c r="AN33" s="192">
        <v>0.91806958473625144</v>
      </c>
      <c r="AO33" s="192">
        <v>0.972877358490566</v>
      </c>
      <c r="AP33" s="192">
        <v>0.99051008303677346</v>
      </c>
      <c r="AQ33" s="192">
        <v>1.080545229244114</v>
      </c>
      <c r="AR33" s="192">
        <v>1.102402022756005</v>
      </c>
      <c r="AS33" s="192">
        <v>1.1470588235294117</v>
      </c>
      <c r="AT33" s="192">
        <v>1.1944827586206896</v>
      </c>
      <c r="AU33" s="192">
        <v>1.159618008185539</v>
      </c>
      <c r="AV33" s="192">
        <v>1.1824611032531824</v>
      </c>
      <c r="AW33" s="192">
        <v>1.1853448275862069</v>
      </c>
      <c r="AX33" s="192">
        <v>1.1617440225035163</v>
      </c>
      <c r="AY33" s="192">
        <v>1.1074829931972789</v>
      </c>
      <c r="AZ33" s="192">
        <v>1.0075376884422111</v>
      </c>
      <c r="BA33" s="192">
        <v>1.0396530359355638</v>
      </c>
      <c r="BB33" s="192">
        <v>1.0696821515892421</v>
      </c>
      <c r="BC33" s="192">
        <v>1.1473053892215568</v>
      </c>
      <c r="BD33" s="192">
        <v>1.125</v>
      </c>
      <c r="BE33" s="192">
        <v>1.125</v>
      </c>
      <c r="BF33" s="192">
        <v>1.1720183486238531</v>
      </c>
      <c r="BG33" s="192">
        <v>1.2412587412587412</v>
      </c>
      <c r="BH33" s="192">
        <v>1.2690531177829099</v>
      </c>
      <c r="BI33" s="192">
        <v>1.3070588235294118</v>
      </c>
      <c r="BJ33" s="192">
        <v>1.3851674641148326</v>
      </c>
      <c r="BK33" s="192">
        <v>1.4848484848484849</v>
      </c>
      <c r="BL33" s="192">
        <v>1.526634382566586</v>
      </c>
      <c r="BM33" s="192">
        <v>1.6216216216216217</v>
      </c>
      <c r="BN33" s="192">
        <v>1.7182044887780548</v>
      </c>
      <c r="BR33" s="4" t="s">
        <v>260</v>
      </c>
      <c r="BS33" s="4">
        <v>5</v>
      </c>
      <c r="BT33" s="28">
        <f t="shared" si="1"/>
        <v>1.3007284079084287E-3</v>
      </c>
    </row>
    <row r="34" spans="1:72" ht="15.75" thickBot="1" x14ac:dyDescent="0.3">
      <c r="A34" s="190" t="s">
        <v>39</v>
      </c>
      <c r="B34" s="166">
        <v>0.86237897648686035</v>
      </c>
      <c r="C34" s="166">
        <v>0.85125698324022347</v>
      </c>
      <c r="D34" s="166">
        <v>0.86932599724896842</v>
      </c>
      <c r="E34" s="166">
        <v>0.81824512534818938</v>
      </c>
      <c r="F34" s="166">
        <v>0.78843537414965992</v>
      </c>
      <c r="G34" s="166">
        <v>0.78546470999301188</v>
      </c>
      <c r="H34" s="166">
        <v>0.7631944444444444</v>
      </c>
      <c r="I34" s="166">
        <v>0.78409919766593728</v>
      </c>
      <c r="J34" s="166">
        <v>0.79518072289156627</v>
      </c>
      <c r="K34" s="166">
        <v>0.71470805617147082</v>
      </c>
      <c r="L34" s="166">
        <v>0.65217391304347827</v>
      </c>
      <c r="M34" s="166">
        <v>0.66640563821456533</v>
      </c>
      <c r="N34" s="166">
        <v>0.59129106187929714</v>
      </c>
      <c r="O34" s="166">
        <v>0.63008130081300817</v>
      </c>
      <c r="P34" s="166">
        <v>0.57578187650360868</v>
      </c>
      <c r="Q34" s="166">
        <v>0.5676784249384742</v>
      </c>
      <c r="R34" s="166">
        <v>0.51819620253164556</v>
      </c>
      <c r="S34" s="166">
        <v>0.5412765957446809</v>
      </c>
      <c r="T34" s="166">
        <v>0.5703192407247627</v>
      </c>
      <c r="U34" s="166">
        <v>0.59786476868327398</v>
      </c>
      <c r="V34" s="166">
        <v>0.59417652411282984</v>
      </c>
      <c r="W34" s="166">
        <v>0.60651162790697677</v>
      </c>
      <c r="X34" s="166">
        <v>0.60416666666666663</v>
      </c>
      <c r="Y34" s="166">
        <v>0.62978283350568764</v>
      </c>
      <c r="Z34" s="166">
        <v>0.64745762711864407</v>
      </c>
      <c r="AA34" s="166">
        <v>0.66039952996474738</v>
      </c>
      <c r="AB34" s="166">
        <v>0.75968992248062017</v>
      </c>
      <c r="AC34" s="166">
        <v>0.7587096774193548</v>
      </c>
      <c r="AD34" s="166">
        <v>0.84122562674094703</v>
      </c>
      <c r="AE34" s="166">
        <v>0.90173410404624277</v>
      </c>
      <c r="AF34" s="166">
        <v>0.8748091603053435</v>
      </c>
      <c r="AG34" s="166">
        <v>0.92295597484276726</v>
      </c>
      <c r="AH34" s="192">
        <v>0.77912254160363081</v>
      </c>
      <c r="AI34" s="192">
        <v>0.7455357142857143</v>
      </c>
      <c r="AJ34" s="192">
        <v>0.73660030627871365</v>
      </c>
      <c r="AK34" s="192">
        <v>0.7760736196319018</v>
      </c>
      <c r="AL34" s="192">
        <v>0.7601880877742947</v>
      </c>
      <c r="AM34" s="192">
        <v>0.83743842364532017</v>
      </c>
      <c r="AN34" s="192">
        <v>0.94764397905759157</v>
      </c>
      <c r="AO34" s="192">
        <v>0.92348754448398573</v>
      </c>
      <c r="AP34" s="192">
        <v>0.84523809523809523</v>
      </c>
      <c r="AQ34" s="192">
        <v>0.84353741496598644</v>
      </c>
      <c r="AR34" s="192">
        <v>0.7831125827814569</v>
      </c>
      <c r="AS34" s="192">
        <v>0.75320512820512819</v>
      </c>
      <c r="AT34" s="192">
        <v>0.80628272251308897</v>
      </c>
      <c r="AU34" s="192">
        <v>0.75979557069846682</v>
      </c>
      <c r="AV34" s="192">
        <v>0.82135922330097089</v>
      </c>
      <c r="AW34" s="192">
        <v>0.84830339321357284</v>
      </c>
      <c r="AX34" s="192">
        <v>0.87941787941787941</v>
      </c>
      <c r="AY34" s="192">
        <v>0.78260869565217395</v>
      </c>
      <c r="AZ34" s="192">
        <v>0.87422680412371134</v>
      </c>
      <c r="BA34" s="192">
        <v>0.83725490196078434</v>
      </c>
      <c r="BB34" s="192">
        <v>0.71823204419889508</v>
      </c>
      <c r="BC34" s="192">
        <v>0.84104627766599593</v>
      </c>
      <c r="BD34" s="192">
        <v>0.82258064516129037</v>
      </c>
      <c r="BE34" s="192">
        <v>0.82258064516129037</v>
      </c>
      <c r="BF34" s="192">
        <v>0.89640591966173366</v>
      </c>
      <c r="BG34" s="192">
        <v>0.87234042553191493</v>
      </c>
      <c r="BH34" s="192">
        <v>0.88744588744588748</v>
      </c>
      <c r="BI34" s="192">
        <v>0.94394618834080712</v>
      </c>
      <c r="BJ34" s="192">
        <v>1.1063829787234043</v>
      </c>
      <c r="BK34" s="192">
        <v>1.1223529411764706</v>
      </c>
      <c r="BL34" s="192">
        <v>1.1843971631205674</v>
      </c>
      <c r="BM34" s="192">
        <v>1.3409090909090908</v>
      </c>
      <c r="BN34" s="192">
        <v>1.3396226415094339</v>
      </c>
    </row>
    <row r="35" spans="1:72" x14ac:dyDescent="0.25">
      <c r="A35" s="190" t="s">
        <v>40</v>
      </c>
      <c r="B35" s="166">
        <v>1.0667793744716823</v>
      </c>
      <c r="C35" s="166">
        <v>1.0061703002879474</v>
      </c>
      <c r="D35" s="166">
        <v>0.91785150078988942</v>
      </c>
      <c r="E35" s="166">
        <v>0.91255515443241075</v>
      </c>
      <c r="F35" s="166">
        <v>0.87104158718046543</v>
      </c>
      <c r="G35" s="166">
        <v>0.83479532163742687</v>
      </c>
      <c r="H35" s="166">
        <v>0.73425863236289779</v>
      </c>
      <c r="I35" s="166">
        <v>0.71019320453031309</v>
      </c>
      <c r="J35" s="166">
        <v>0.69966666666666666</v>
      </c>
      <c r="K35" s="166">
        <v>0.71141868512110729</v>
      </c>
      <c r="L35" s="166">
        <v>0.71403508771929824</v>
      </c>
      <c r="M35" s="166">
        <v>0.72661610689779699</v>
      </c>
      <c r="N35" s="166">
        <v>0.77524677296886868</v>
      </c>
      <c r="O35" s="166">
        <v>0.77565353101833789</v>
      </c>
      <c r="P35" s="166">
        <v>0.79160063391442159</v>
      </c>
      <c r="Q35" s="166">
        <v>0.8282910874897792</v>
      </c>
      <c r="R35" s="166">
        <v>0.85800344234079173</v>
      </c>
      <c r="S35" s="166">
        <v>0.8351648351648352</v>
      </c>
      <c r="T35" s="166">
        <v>0.75383267630310991</v>
      </c>
      <c r="U35" s="166">
        <v>0.70577933450087571</v>
      </c>
      <c r="V35" s="166">
        <v>0.77132319041032738</v>
      </c>
      <c r="W35" s="166">
        <v>0.80018761726078802</v>
      </c>
      <c r="X35" s="166">
        <v>0.80990948070509772</v>
      </c>
      <c r="Y35" s="166">
        <v>0.77577821011673154</v>
      </c>
      <c r="Z35" s="166">
        <v>0.72678132678132679</v>
      </c>
      <c r="AA35" s="166">
        <v>0.73707753479125249</v>
      </c>
      <c r="AB35" s="166">
        <v>0.70274240940254651</v>
      </c>
      <c r="AC35" s="166">
        <v>0.72887323943661975</v>
      </c>
      <c r="AD35" s="166">
        <v>0.72522522522522526</v>
      </c>
      <c r="AE35" s="166">
        <v>0.71865745310957552</v>
      </c>
      <c r="AF35" s="166">
        <v>0.75225677031093274</v>
      </c>
      <c r="AG35" s="166">
        <v>0.81263157894736837</v>
      </c>
      <c r="AH35" s="192">
        <v>0.96165020337013363</v>
      </c>
      <c r="AI35" s="192">
        <v>1.0986352357320099</v>
      </c>
      <c r="AJ35" s="192">
        <v>1.0155409444112373</v>
      </c>
      <c r="AK35" s="192">
        <v>0.98593200468933173</v>
      </c>
      <c r="AL35" s="192">
        <v>1.0005882352941176</v>
      </c>
      <c r="AM35" s="192">
        <v>1.1278996865203761</v>
      </c>
      <c r="AN35" s="192">
        <v>1.2880324543610548</v>
      </c>
      <c r="AO35" s="192">
        <v>1.3358057990559675</v>
      </c>
      <c r="AP35" s="192">
        <v>1.4013937282229965</v>
      </c>
      <c r="AQ35" s="192">
        <v>1.435472739820566</v>
      </c>
      <c r="AR35" s="192">
        <v>1.4313319530710835</v>
      </c>
      <c r="AS35" s="192">
        <v>1.4141483516483517</v>
      </c>
      <c r="AT35" s="192">
        <v>1.3586666666666667</v>
      </c>
      <c r="AU35" s="192">
        <v>1.354922279792746</v>
      </c>
      <c r="AV35" s="192">
        <v>1.2555891238670696</v>
      </c>
      <c r="AW35" s="192">
        <v>1.1908526256352343</v>
      </c>
      <c r="AX35" s="192">
        <v>1.3437316068275456</v>
      </c>
      <c r="AY35" s="192">
        <v>1.3876337693222354</v>
      </c>
      <c r="AZ35" s="192">
        <v>1.3868312757201646</v>
      </c>
      <c r="BA35" s="192">
        <v>1.3824346859366314</v>
      </c>
      <c r="BB35" s="192">
        <v>1.3564304461942258</v>
      </c>
      <c r="BC35" s="192">
        <v>1.4276479363500747</v>
      </c>
      <c r="BD35" s="192">
        <v>1.4341346153846153</v>
      </c>
      <c r="BE35" s="192">
        <v>1.4341346153846153</v>
      </c>
      <c r="BF35" s="192">
        <v>1.5067502410800386</v>
      </c>
      <c r="BG35" s="192">
        <v>1.5410393394851869</v>
      </c>
      <c r="BH35" s="192">
        <v>1.6104023552502453</v>
      </c>
      <c r="BI35" s="192">
        <v>1.6878585086042066</v>
      </c>
      <c r="BJ35" s="192">
        <v>1.7295476419634264</v>
      </c>
      <c r="BK35" s="192">
        <v>1.701280227596017</v>
      </c>
      <c r="BL35" s="192">
        <v>1.7376259307928166</v>
      </c>
      <c r="BM35" s="192">
        <v>1.7514995715509853</v>
      </c>
      <c r="BN35" s="192">
        <v>1.810936837643069</v>
      </c>
    </row>
    <row r="36" spans="1:72" ht="15.75" x14ac:dyDescent="0.25">
      <c r="B36" s="201">
        <f t="shared" ref="B36:Y36" si="2">COUNTIF(B12:B35,"&gt;1")</f>
        <v>17</v>
      </c>
      <c r="C36" s="201">
        <f t="shared" si="2"/>
        <v>17</v>
      </c>
      <c r="D36" s="201">
        <f t="shared" si="2"/>
        <v>14</v>
      </c>
      <c r="E36" s="201">
        <f t="shared" si="2"/>
        <v>11</v>
      </c>
      <c r="F36" s="201">
        <f t="shared" si="2"/>
        <v>11</v>
      </c>
      <c r="G36" s="201">
        <f t="shared" si="2"/>
        <v>8</v>
      </c>
      <c r="H36" s="201">
        <f t="shared" si="2"/>
        <v>7</v>
      </c>
      <c r="I36" s="201">
        <f t="shared" si="2"/>
        <v>6</v>
      </c>
      <c r="J36" s="201">
        <f t="shared" si="2"/>
        <v>6</v>
      </c>
      <c r="K36" s="201">
        <f t="shared" si="2"/>
        <v>6</v>
      </c>
      <c r="L36" s="201">
        <f t="shared" si="2"/>
        <v>6</v>
      </c>
      <c r="M36" s="201">
        <f t="shared" si="2"/>
        <v>6</v>
      </c>
      <c r="N36" s="201">
        <f t="shared" si="2"/>
        <v>5</v>
      </c>
      <c r="O36" s="201">
        <f t="shared" si="2"/>
        <v>5</v>
      </c>
      <c r="P36" s="201">
        <f t="shared" si="2"/>
        <v>5</v>
      </c>
      <c r="Q36" s="201">
        <f t="shared" si="2"/>
        <v>5</v>
      </c>
      <c r="R36" s="201">
        <f t="shared" si="2"/>
        <v>6</v>
      </c>
      <c r="S36" s="201">
        <f t="shared" si="2"/>
        <v>5</v>
      </c>
      <c r="T36" s="201">
        <f t="shared" si="2"/>
        <v>4</v>
      </c>
      <c r="U36" s="201">
        <f t="shared" si="2"/>
        <v>4</v>
      </c>
      <c r="V36" s="201">
        <f t="shared" si="2"/>
        <v>4</v>
      </c>
      <c r="W36" s="201">
        <f t="shared" si="2"/>
        <v>4</v>
      </c>
      <c r="X36" s="201">
        <f t="shared" si="2"/>
        <v>6</v>
      </c>
      <c r="Y36" s="201">
        <f t="shared" si="2"/>
        <v>6</v>
      </c>
      <c r="Z36" s="201">
        <f t="shared" ref="Z36:BA36" si="3">COUNTIF(Z12:Z35,"&gt;1")</f>
        <v>5</v>
      </c>
      <c r="AA36" s="201">
        <f t="shared" si="3"/>
        <v>5</v>
      </c>
      <c r="AB36" s="201">
        <f t="shared" si="3"/>
        <v>6</v>
      </c>
      <c r="AC36" s="201">
        <f t="shared" si="3"/>
        <v>6</v>
      </c>
      <c r="AD36" s="201">
        <f t="shared" si="3"/>
        <v>7</v>
      </c>
      <c r="AE36" s="201">
        <f t="shared" si="3"/>
        <v>7</v>
      </c>
      <c r="AF36" s="201">
        <f t="shared" si="3"/>
        <v>6</v>
      </c>
      <c r="AG36" s="201">
        <f t="shared" si="3"/>
        <v>6</v>
      </c>
      <c r="AH36" s="201">
        <f t="shared" si="3"/>
        <v>6</v>
      </c>
      <c r="AI36" s="201">
        <f t="shared" si="3"/>
        <v>8</v>
      </c>
      <c r="AJ36" s="201">
        <f t="shared" si="3"/>
        <v>8</v>
      </c>
      <c r="AK36" s="201">
        <f t="shared" si="3"/>
        <v>7</v>
      </c>
      <c r="AL36" s="201">
        <f t="shared" si="3"/>
        <v>8</v>
      </c>
      <c r="AM36" s="201">
        <f t="shared" si="3"/>
        <v>9</v>
      </c>
      <c r="AN36" s="201">
        <f t="shared" si="3"/>
        <v>10</v>
      </c>
      <c r="AO36" s="201">
        <f t="shared" si="3"/>
        <v>12</v>
      </c>
      <c r="AP36" s="201">
        <f t="shared" si="3"/>
        <v>15</v>
      </c>
      <c r="AQ36" s="201">
        <f t="shared" si="3"/>
        <v>15</v>
      </c>
      <c r="AR36" s="201">
        <f t="shared" si="3"/>
        <v>16</v>
      </c>
      <c r="AS36" s="201">
        <f t="shared" si="3"/>
        <v>16</v>
      </c>
      <c r="AT36" s="201">
        <f t="shared" si="3"/>
        <v>14</v>
      </c>
      <c r="AU36" s="201">
        <f t="shared" si="3"/>
        <v>15</v>
      </c>
      <c r="AV36" s="201">
        <f t="shared" si="3"/>
        <v>13</v>
      </c>
      <c r="AW36" s="201">
        <f t="shared" si="3"/>
        <v>13</v>
      </c>
      <c r="AX36" s="201">
        <f t="shared" si="3"/>
        <v>17</v>
      </c>
      <c r="AY36" s="201">
        <f t="shared" si="3"/>
        <v>16</v>
      </c>
      <c r="AZ36" s="201">
        <f t="shared" si="3"/>
        <v>17</v>
      </c>
      <c r="BA36" s="201">
        <f t="shared" si="3"/>
        <v>15</v>
      </c>
      <c r="BB36" s="201">
        <f t="shared" ref="BB36:BH36" si="4">COUNTIF(BB12:BB35,"&gt;1")</f>
        <v>15</v>
      </c>
      <c r="BC36" s="201">
        <f t="shared" si="4"/>
        <v>14</v>
      </c>
      <c r="BD36" s="201">
        <f t="shared" si="4"/>
        <v>13</v>
      </c>
      <c r="BE36" s="201">
        <f t="shared" si="4"/>
        <v>13</v>
      </c>
      <c r="BF36" s="201">
        <f t="shared" si="4"/>
        <v>16</v>
      </c>
      <c r="BG36" s="201">
        <f t="shared" si="4"/>
        <v>17</v>
      </c>
      <c r="BH36" s="201">
        <f t="shared" si="4"/>
        <v>18</v>
      </c>
    </row>
    <row r="37" spans="1:72" x14ac:dyDescent="0.25">
      <c r="BO37" s="41" t="s">
        <v>263</v>
      </c>
      <c r="BP37" s="263" t="s">
        <v>263</v>
      </c>
      <c r="BR37" s="41" t="s">
        <v>267</v>
      </c>
      <c r="BS37" s="41" t="s">
        <v>268</v>
      </c>
    </row>
    <row r="38" spans="1:72" x14ac:dyDescent="0.25">
      <c r="C38" s="191">
        <v>100</v>
      </c>
      <c r="E38" s="191">
        <v>1.2</v>
      </c>
      <c r="BP38" s="41" t="s">
        <v>43</v>
      </c>
      <c r="BQ38" s="41" t="s">
        <v>264</v>
      </c>
    </row>
    <row r="39" spans="1:72" x14ac:dyDescent="0.25">
      <c r="A39" s="649" t="s">
        <v>112</v>
      </c>
      <c r="C39" s="191">
        <v>120</v>
      </c>
      <c r="D39" s="41">
        <f>C39/C38</f>
        <v>1.2</v>
      </c>
      <c r="AO39" s="650" t="s">
        <v>118</v>
      </c>
      <c r="AP39" s="650"/>
      <c r="AQ39" s="650"/>
      <c r="BN39" s="41">
        <v>12</v>
      </c>
      <c r="BO39" s="41">
        <v>76</v>
      </c>
      <c r="BP39" s="263">
        <v>62</v>
      </c>
      <c r="BQ39" s="41">
        <v>205</v>
      </c>
      <c r="BR39" s="41">
        <v>76</v>
      </c>
      <c r="BS39" s="41">
        <v>65</v>
      </c>
    </row>
    <row r="40" spans="1:72" x14ac:dyDescent="0.25">
      <c r="A40" s="649"/>
      <c r="AO40" s="42" t="s">
        <v>282</v>
      </c>
      <c r="AP40" s="42" t="s">
        <v>283</v>
      </c>
      <c r="AQ40" s="42" t="s">
        <v>284</v>
      </c>
      <c r="BN40" s="41">
        <v>13</v>
      </c>
      <c r="BO40" s="41">
        <v>71</v>
      </c>
      <c r="BP40" s="263">
        <v>68</v>
      </c>
      <c r="BQ40" s="41">
        <v>168</v>
      </c>
      <c r="BR40" s="41">
        <v>71</v>
      </c>
      <c r="BS40" s="41">
        <v>55</v>
      </c>
    </row>
    <row r="41" spans="1:72" x14ac:dyDescent="0.25">
      <c r="A41" s="41" t="s">
        <v>288</v>
      </c>
      <c r="AO41" s="548" t="s">
        <v>285</v>
      </c>
      <c r="AP41" s="548" t="s">
        <v>285</v>
      </c>
      <c r="AQ41" s="549" t="s">
        <v>286</v>
      </c>
      <c r="BN41" s="41">
        <v>14</v>
      </c>
      <c r="BO41" s="41">
        <v>78</v>
      </c>
      <c r="BP41" s="263">
        <v>46</v>
      </c>
      <c r="BQ41" s="41">
        <v>167</v>
      </c>
      <c r="BR41" s="41">
        <v>78</v>
      </c>
      <c r="BS41" s="41">
        <v>44</v>
      </c>
    </row>
    <row r="42" spans="1:72" x14ac:dyDescent="0.25">
      <c r="A42" s="41" t="s">
        <v>289</v>
      </c>
      <c r="AO42" s="548" t="s">
        <v>285</v>
      </c>
      <c r="AP42" s="549" t="s">
        <v>286</v>
      </c>
      <c r="AQ42" s="550" t="s">
        <v>287</v>
      </c>
      <c r="BN42" s="263">
        <v>15</v>
      </c>
      <c r="BO42" s="41">
        <v>94</v>
      </c>
      <c r="BP42" s="263">
        <v>72</v>
      </c>
      <c r="BQ42" s="41">
        <v>184</v>
      </c>
      <c r="BR42" s="41">
        <v>94</v>
      </c>
      <c r="BS42" s="41">
        <v>65</v>
      </c>
    </row>
    <row r="43" spans="1:72" x14ac:dyDescent="0.25">
      <c r="A43" s="41" t="s">
        <v>290</v>
      </c>
      <c r="AO43" s="549" t="s">
        <v>286</v>
      </c>
      <c r="AP43" s="549" t="s">
        <v>286</v>
      </c>
      <c r="AQ43" s="550" t="s">
        <v>287</v>
      </c>
      <c r="BN43" s="263">
        <v>16</v>
      </c>
      <c r="BO43" s="41">
        <v>69</v>
      </c>
      <c r="BP43" s="263">
        <v>82</v>
      </c>
      <c r="BQ43" s="41">
        <v>192</v>
      </c>
      <c r="BR43" s="41">
        <v>69</v>
      </c>
      <c r="BS43" s="41">
        <v>72</v>
      </c>
    </row>
    <row r="44" spans="1:72" s="263" customFormat="1" x14ac:dyDescent="0.25">
      <c r="A44" s="263" t="s">
        <v>292</v>
      </c>
      <c r="AO44" s="550" t="s">
        <v>287</v>
      </c>
      <c r="AP44" s="550" t="s">
        <v>287</v>
      </c>
      <c r="AQ44" s="550" t="s">
        <v>287</v>
      </c>
    </row>
    <row r="45" spans="1:72" x14ac:dyDescent="0.25">
      <c r="A45" s="41" t="s">
        <v>291</v>
      </c>
      <c r="AO45" s="17" t="s">
        <v>293</v>
      </c>
      <c r="AP45" s="17" t="s">
        <v>293</v>
      </c>
      <c r="AQ45" s="17" t="s">
        <v>293</v>
      </c>
      <c r="BN45" s="263">
        <v>17</v>
      </c>
      <c r="BO45" s="41">
        <v>52</v>
      </c>
      <c r="BP45" s="263">
        <v>70</v>
      </c>
      <c r="BQ45" s="41">
        <v>113</v>
      </c>
    </row>
    <row r="46" spans="1:72" x14ac:dyDescent="0.25">
      <c r="BN46" s="263">
        <v>18</v>
      </c>
      <c r="BO46" s="41">
        <v>63</v>
      </c>
      <c r="BP46" s="263">
        <v>62</v>
      </c>
      <c r="BQ46" s="41">
        <v>114</v>
      </c>
    </row>
    <row r="47" spans="1:72" x14ac:dyDescent="0.25">
      <c r="BN47" s="263">
        <v>19</v>
      </c>
      <c r="BO47" s="41">
        <v>72</v>
      </c>
      <c r="BP47" s="263">
        <v>62</v>
      </c>
      <c r="BQ47" s="41">
        <v>227</v>
      </c>
    </row>
    <row r="48" spans="1:72" x14ac:dyDescent="0.25">
      <c r="BN48" s="263">
        <v>20</v>
      </c>
      <c r="BO48" s="41">
        <v>94</v>
      </c>
      <c r="BP48" s="263">
        <v>102</v>
      </c>
      <c r="BQ48" s="41">
        <v>203</v>
      </c>
    </row>
    <row r="49" spans="66:71" x14ac:dyDescent="0.25">
      <c r="BN49" s="263">
        <v>21</v>
      </c>
      <c r="BO49" s="41">
        <v>74</v>
      </c>
      <c r="BP49" s="263">
        <v>70</v>
      </c>
      <c r="BQ49" s="41">
        <v>166</v>
      </c>
    </row>
    <row r="50" spans="66:71" x14ac:dyDescent="0.25">
      <c r="BN50" s="263">
        <v>22</v>
      </c>
      <c r="BO50" s="41">
        <v>98</v>
      </c>
      <c r="BP50" s="263">
        <v>87</v>
      </c>
      <c r="BQ50" s="41">
        <v>221</v>
      </c>
    </row>
    <row r="51" spans="66:71" x14ac:dyDescent="0.25">
      <c r="BN51" s="263">
        <v>23</v>
      </c>
      <c r="BO51" s="41">
        <v>84</v>
      </c>
      <c r="BP51" s="263">
        <v>84</v>
      </c>
      <c r="BQ51" s="41">
        <v>205</v>
      </c>
    </row>
    <row r="54" spans="66:71" x14ac:dyDescent="0.25">
      <c r="BO54" s="41" t="s">
        <v>265</v>
      </c>
      <c r="BP54" s="263">
        <f>SUM(BP39:BP43)</f>
        <v>330</v>
      </c>
      <c r="BQ54" s="263">
        <f>SUM(BQ39:BQ43)</f>
        <v>916</v>
      </c>
      <c r="BR54" s="263">
        <f>SUM(BR39:BR43)</f>
        <v>388</v>
      </c>
      <c r="BS54" s="263">
        <f>SUM(BS39:BS43)</f>
        <v>301</v>
      </c>
    </row>
    <row r="55" spans="66:71" x14ac:dyDescent="0.25">
      <c r="BO55" s="41" t="s">
        <v>266</v>
      </c>
      <c r="BP55" s="263">
        <f>SUM(BP47:BP51)</f>
        <v>405</v>
      </c>
      <c r="BQ55" s="263">
        <f>SUM(BQ47:BQ51)</f>
        <v>1022</v>
      </c>
      <c r="BR55" s="263">
        <f>SUM(BR47:BR51)</f>
        <v>0</v>
      </c>
    </row>
  </sheetData>
  <mergeCells count="2">
    <mergeCell ref="A39:A40"/>
    <mergeCell ref="AO39:AQ39"/>
  </mergeCells>
  <conditionalFormatting sqref="B12:D30">
    <cfRule type="cellIs" dxfId="101" priority="122" operator="lessThan">
      <formula>1.2</formula>
    </cfRule>
    <cfRule type="cellIs" dxfId="100" priority="123" operator="greaterThanOrEqual">
      <formula>1.2</formula>
    </cfRule>
  </conditionalFormatting>
  <conditionalFormatting sqref="B31:D35 C38:C39">
    <cfRule type="cellIs" dxfId="99" priority="120" operator="lessThan">
      <formula>1.2</formula>
    </cfRule>
    <cfRule type="cellIs" dxfId="98" priority="121" operator="greaterThanOrEqual">
      <formula>1.2</formula>
    </cfRule>
  </conditionalFormatting>
  <conditionalFormatting sqref="E12:AG35 E38">
    <cfRule type="cellIs" dxfId="97" priority="118" operator="lessThan">
      <formula>1.2</formula>
    </cfRule>
    <cfRule type="cellIs" dxfId="96" priority="119" operator="greaterThanOrEqual">
      <formula>1.2</formula>
    </cfRule>
  </conditionalFormatting>
  <conditionalFormatting sqref="BA12:BB35">
    <cfRule type="cellIs" dxfId="95" priority="98" operator="lessThan">
      <formula>1</formula>
    </cfRule>
    <cfRule type="cellIs" dxfId="94" priority="99" operator="greaterThanOrEqual">
      <formula>1.19</formula>
    </cfRule>
  </conditionalFormatting>
  <conditionalFormatting sqref="BA12:BB35">
    <cfRule type="cellIs" dxfId="93" priority="97" operator="between">
      <formula>1</formula>
      <formula>1.19</formula>
    </cfRule>
  </conditionalFormatting>
  <conditionalFormatting sqref="AH12:AH35">
    <cfRule type="cellIs" dxfId="92" priority="95" operator="lessThan">
      <formula>1</formula>
    </cfRule>
    <cfRule type="cellIs" dxfId="91" priority="96" operator="greaterThanOrEqual">
      <formula>1.19</formula>
    </cfRule>
  </conditionalFormatting>
  <conditionalFormatting sqref="AH12:AH35">
    <cfRule type="cellIs" dxfId="90" priority="94" operator="between">
      <formula>1</formula>
      <formula>1.19</formula>
    </cfRule>
  </conditionalFormatting>
  <conditionalFormatting sqref="AI12:AI35">
    <cfRule type="cellIs" dxfId="89" priority="92" operator="lessThan">
      <formula>1</formula>
    </cfRule>
    <cfRule type="cellIs" dxfId="88" priority="93" operator="greaterThanOrEqual">
      <formula>1.19</formula>
    </cfRule>
  </conditionalFormatting>
  <conditionalFormatting sqref="AI12:AI35">
    <cfRule type="cellIs" dxfId="87" priority="91" operator="between">
      <formula>1</formula>
      <formula>1.19</formula>
    </cfRule>
  </conditionalFormatting>
  <conditionalFormatting sqref="AJ12:AJ35">
    <cfRule type="cellIs" dxfId="86" priority="89" operator="lessThan">
      <formula>1</formula>
    </cfRule>
    <cfRule type="cellIs" dxfId="85" priority="90" operator="greaterThanOrEqual">
      <formula>1.19</formula>
    </cfRule>
  </conditionalFormatting>
  <conditionalFormatting sqref="AJ12:AJ35">
    <cfRule type="cellIs" dxfId="84" priority="88" operator="between">
      <formula>1</formula>
      <formula>1.19</formula>
    </cfRule>
  </conditionalFormatting>
  <conditionalFormatting sqref="AK12:AK35">
    <cfRule type="cellIs" dxfId="83" priority="86" operator="lessThan">
      <formula>1</formula>
    </cfRule>
    <cfRule type="cellIs" dxfId="82" priority="87" operator="greaterThanOrEqual">
      <formula>1.19</formula>
    </cfRule>
  </conditionalFormatting>
  <conditionalFormatting sqref="AK12:AK35">
    <cfRule type="cellIs" dxfId="81" priority="85" operator="between">
      <formula>1</formula>
      <formula>1.19</formula>
    </cfRule>
  </conditionalFormatting>
  <conditionalFormatting sqref="AL12:AL35">
    <cfRule type="cellIs" dxfId="80" priority="83" operator="lessThan">
      <formula>1</formula>
    </cfRule>
    <cfRule type="cellIs" dxfId="79" priority="84" operator="greaterThanOrEqual">
      <formula>1.19</formula>
    </cfRule>
  </conditionalFormatting>
  <conditionalFormatting sqref="AL12:AL35">
    <cfRule type="cellIs" dxfId="78" priority="82" operator="between">
      <formula>1</formula>
      <formula>1.19</formula>
    </cfRule>
  </conditionalFormatting>
  <conditionalFormatting sqref="AM12:AM35">
    <cfRule type="cellIs" dxfId="77" priority="80" operator="lessThan">
      <formula>1</formula>
    </cfRule>
    <cfRule type="cellIs" dxfId="76" priority="81" operator="greaterThanOrEqual">
      <formula>1.19</formula>
    </cfRule>
  </conditionalFormatting>
  <conditionalFormatting sqref="AM12:AM35">
    <cfRule type="cellIs" dxfId="75" priority="79" operator="between">
      <formula>1</formula>
      <formula>1.19</formula>
    </cfRule>
  </conditionalFormatting>
  <conditionalFormatting sqref="AN12:AN35">
    <cfRule type="cellIs" dxfId="74" priority="77" operator="lessThan">
      <formula>1</formula>
    </cfRule>
    <cfRule type="cellIs" dxfId="73" priority="78" operator="greaterThanOrEqual">
      <formula>1.19</formula>
    </cfRule>
  </conditionalFormatting>
  <conditionalFormatting sqref="AN12:AN35">
    <cfRule type="cellIs" dxfId="72" priority="76" operator="between">
      <formula>1</formula>
      <formula>1.19</formula>
    </cfRule>
  </conditionalFormatting>
  <conditionalFormatting sqref="AO12:AO35">
    <cfRule type="cellIs" dxfId="71" priority="74" operator="lessThan">
      <formula>1</formula>
    </cfRule>
    <cfRule type="cellIs" dxfId="70" priority="75" operator="greaterThanOrEqual">
      <formula>1.19</formula>
    </cfRule>
  </conditionalFormatting>
  <conditionalFormatting sqref="AO12:AO35">
    <cfRule type="cellIs" dxfId="69" priority="73" operator="between">
      <formula>1</formula>
      <formula>1.19</formula>
    </cfRule>
  </conditionalFormatting>
  <conditionalFormatting sqref="AP12:AP35">
    <cfRule type="cellIs" dxfId="68" priority="71" operator="lessThan">
      <formula>1</formula>
    </cfRule>
    <cfRule type="cellIs" dxfId="67" priority="72" operator="greaterThanOrEqual">
      <formula>1.19</formula>
    </cfRule>
  </conditionalFormatting>
  <conditionalFormatting sqref="AP12:AP35">
    <cfRule type="cellIs" dxfId="66" priority="70" operator="between">
      <formula>1</formula>
      <formula>1.19</formula>
    </cfRule>
  </conditionalFormatting>
  <conditionalFormatting sqref="AQ12:AQ35">
    <cfRule type="cellIs" dxfId="65" priority="68" operator="lessThan">
      <formula>1</formula>
    </cfRule>
    <cfRule type="cellIs" dxfId="64" priority="69" operator="greaterThanOrEqual">
      <formula>1.19</formula>
    </cfRule>
  </conditionalFormatting>
  <conditionalFormatting sqref="AQ12:AQ35">
    <cfRule type="cellIs" dxfId="63" priority="67" operator="between">
      <formula>1</formula>
      <formula>1.19</formula>
    </cfRule>
  </conditionalFormatting>
  <conditionalFormatting sqref="AR12:AR35">
    <cfRule type="cellIs" dxfId="62" priority="65" operator="lessThan">
      <formula>1</formula>
    </cfRule>
    <cfRule type="cellIs" dxfId="61" priority="66" operator="greaterThanOrEqual">
      <formula>1.19</formula>
    </cfRule>
  </conditionalFormatting>
  <conditionalFormatting sqref="AR12:AR35">
    <cfRule type="cellIs" dxfId="60" priority="64" operator="between">
      <formula>1</formula>
      <formula>1.19</formula>
    </cfRule>
  </conditionalFormatting>
  <conditionalFormatting sqref="AS12:AS35">
    <cfRule type="cellIs" dxfId="59" priority="62" operator="lessThan">
      <formula>1</formula>
    </cfRule>
    <cfRule type="cellIs" dxfId="58" priority="63" operator="greaterThanOrEqual">
      <formula>1.19</formula>
    </cfRule>
  </conditionalFormatting>
  <conditionalFormatting sqref="AS12:AS35">
    <cfRule type="cellIs" dxfId="57" priority="61" operator="between">
      <formula>1</formula>
      <formula>1.19</formula>
    </cfRule>
  </conditionalFormatting>
  <conditionalFormatting sqref="AT12:AT35">
    <cfRule type="cellIs" dxfId="56" priority="59" operator="lessThan">
      <formula>1</formula>
    </cfRule>
    <cfRule type="cellIs" dxfId="55" priority="60" operator="greaterThanOrEqual">
      <formula>1.19</formula>
    </cfRule>
  </conditionalFormatting>
  <conditionalFormatting sqref="AT12:AT35">
    <cfRule type="cellIs" dxfId="54" priority="58" operator="between">
      <formula>1</formula>
      <formula>1.19</formula>
    </cfRule>
  </conditionalFormatting>
  <conditionalFormatting sqref="AU12:AU35">
    <cfRule type="cellIs" dxfId="53" priority="56" operator="lessThan">
      <formula>1</formula>
    </cfRule>
    <cfRule type="cellIs" dxfId="52" priority="57" operator="greaterThanOrEqual">
      <formula>1.19</formula>
    </cfRule>
  </conditionalFormatting>
  <conditionalFormatting sqref="AU12:AU35">
    <cfRule type="cellIs" dxfId="51" priority="55" operator="between">
      <formula>1</formula>
      <formula>1.19</formula>
    </cfRule>
  </conditionalFormatting>
  <conditionalFormatting sqref="AV12:AV35">
    <cfRule type="cellIs" dxfId="50" priority="53" operator="lessThan">
      <formula>1</formula>
    </cfRule>
    <cfRule type="cellIs" dxfId="49" priority="54" operator="greaterThanOrEqual">
      <formula>1.19</formula>
    </cfRule>
  </conditionalFormatting>
  <conditionalFormatting sqref="AV12:AV35">
    <cfRule type="cellIs" dxfId="48" priority="52" operator="between">
      <formula>1</formula>
      <formula>1.19</formula>
    </cfRule>
  </conditionalFormatting>
  <conditionalFormatting sqref="AW12:AW35">
    <cfRule type="cellIs" dxfId="47" priority="50" operator="lessThan">
      <formula>1</formula>
    </cfRule>
    <cfRule type="cellIs" dxfId="46" priority="51" operator="greaterThanOrEqual">
      <formula>1.19</formula>
    </cfRule>
  </conditionalFormatting>
  <conditionalFormatting sqref="AW12:AW35">
    <cfRule type="cellIs" dxfId="45" priority="49" operator="between">
      <formula>1</formula>
      <formula>1.19</formula>
    </cfRule>
  </conditionalFormatting>
  <conditionalFormatting sqref="AX12:AX35">
    <cfRule type="cellIs" dxfId="44" priority="47" operator="lessThan">
      <formula>1</formula>
    </cfRule>
    <cfRule type="cellIs" dxfId="43" priority="48" operator="greaterThanOrEqual">
      <formula>1.19</formula>
    </cfRule>
  </conditionalFormatting>
  <conditionalFormatting sqref="AX12:AX35">
    <cfRule type="cellIs" dxfId="42" priority="46" operator="between">
      <formula>1</formula>
      <formula>1.19</formula>
    </cfRule>
  </conditionalFormatting>
  <conditionalFormatting sqref="AY12:AY35">
    <cfRule type="cellIs" dxfId="41" priority="44" operator="lessThan">
      <formula>1</formula>
    </cfRule>
    <cfRule type="cellIs" dxfId="40" priority="45" operator="greaterThanOrEqual">
      <formula>1.19</formula>
    </cfRule>
  </conditionalFormatting>
  <conditionalFormatting sqref="AY12:AY35">
    <cfRule type="cellIs" dxfId="39" priority="43" operator="between">
      <formula>1</formula>
      <formula>1.19</formula>
    </cfRule>
  </conditionalFormatting>
  <conditionalFormatting sqref="AZ12:AZ35">
    <cfRule type="cellIs" dxfId="38" priority="41" operator="lessThan">
      <formula>1</formula>
    </cfRule>
    <cfRule type="cellIs" dxfId="37" priority="42" operator="greaterThanOrEqual">
      <formula>1.19</formula>
    </cfRule>
  </conditionalFormatting>
  <conditionalFormatting sqref="AZ12:AZ35">
    <cfRule type="cellIs" dxfId="36" priority="40" operator="between">
      <formula>1</formula>
      <formula>1.19</formula>
    </cfRule>
  </conditionalFormatting>
  <conditionalFormatting sqref="BC12:BC35">
    <cfRule type="cellIs" dxfId="35" priority="38" operator="lessThan">
      <formula>1</formula>
    </cfRule>
    <cfRule type="cellIs" dxfId="34" priority="39" operator="greaterThanOrEqual">
      <formula>1.19</formula>
    </cfRule>
  </conditionalFormatting>
  <conditionalFormatting sqref="BC12:BC35">
    <cfRule type="cellIs" dxfId="33" priority="37" operator="between">
      <formula>1</formula>
      <formula>1.19</formula>
    </cfRule>
  </conditionalFormatting>
  <conditionalFormatting sqref="BD12:BD35">
    <cfRule type="cellIs" dxfId="32" priority="35" operator="lessThan">
      <formula>1</formula>
    </cfRule>
    <cfRule type="cellIs" dxfId="31" priority="36" operator="greaterThanOrEqual">
      <formula>1.19</formula>
    </cfRule>
  </conditionalFormatting>
  <conditionalFormatting sqref="BD12:BD35">
    <cfRule type="cellIs" dxfId="30" priority="34" operator="between">
      <formula>1</formula>
      <formula>1.19</formula>
    </cfRule>
  </conditionalFormatting>
  <conditionalFormatting sqref="BE12:BE35">
    <cfRule type="cellIs" dxfId="29" priority="32" operator="lessThan">
      <formula>1</formula>
    </cfRule>
    <cfRule type="cellIs" dxfId="28" priority="33" operator="greaterThanOrEqual">
      <formula>1.19</formula>
    </cfRule>
  </conditionalFormatting>
  <conditionalFormatting sqref="BE12:BE35">
    <cfRule type="cellIs" dxfId="27" priority="31" operator="between">
      <formula>1</formula>
      <formula>1.19</formula>
    </cfRule>
  </conditionalFormatting>
  <conditionalFormatting sqref="BF12:BF35">
    <cfRule type="cellIs" dxfId="26" priority="29" operator="lessThan">
      <formula>1</formula>
    </cfRule>
    <cfRule type="cellIs" dxfId="25" priority="30" operator="greaterThanOrEqual">
      <formula>1.19</formula>
    </cfRule>
  </conditionalFormatting>
  <conditionalFormatting sqref="BF12:BF35">
    <cfRule type="cellIs" dxfId="24" priority="28" operator="between">
      <formula>1</formula>
      <formula>1.19</formula>
    </cfRule>
  </conditionalFormatting>
  <conditionalFormatting sqref="BG12:BG35">
    <cfRule type="cellIs" dxfId="23" priority="26" operator="lessThan">
      <formula>1</formula>
    </cfRule>
    <cfRule type="cellIs" dxfId="22" priority="27" operator="greaterThanOrEqual">
      <formula>1.19</formula>
    </cfRule>
  </conditionalFormatting>
  <conditionalFormatting sqref="BG12:BG35">
    <cfRule type="cellIs" dxfId="21" priority="25" operator="between">
      <formula>1</formula>
      <formula>1.19</formula>
    </cfRule>
  </conditionalFormatting>
  <conditionalFormatting sqref="BH12:BH35">
    <cfRule type="cellIs" dxfId="20" priority="20" operator="lessThan">
      <formula>1</formula>
    </cfRule>
    <cfRule type="cellIs" dxfId="19" priority="21" operator="greaterThanOrEqual">
      <formula>1.19</formula>
    </cfRule>
  </conditionalFormatting>
  <conditionalFormatting sqref="BH12:BH35">
    <cfRule type="cellIs" dxfId="18" priority="19" operator="between">
      <formula>1</formula>
      <formula>1.19</formula>
    </cfRule>
  </conditionalFormatting>
  <conditionalFormatting sqref="BI12:BI35">
    <cfRule type="cellIs" dxfId="17" priority="17" operator="lessThan">
      <formula>1</formula>
    </cfRule>
    <cfRule type="cellIs" dxfId="16" priority="18" operator="greaterThanOrEqual">
      <formula>1.19</formula>
    </cfRule>
  </conditionalFormatting>
  <conditionalFormatting sqref="BI12:BI35">
    <cfRule type="cellIs" dxfId="15" priority="16" operator="between">
      <formula>1</formula>
      <formula>1.19</formula>
    </cfRule>
  </conditionalFormatting>
  <conditionalFormatting sqref="BJ12:BJ35">
    <cfRule type="cellIs" dxfId="14" priority="14" operator="lessThan">
      <formula>1</formula>
    </cfRule>
    <cfRule type="cellIs" dxfId="13" priority="15" operator="greaterThanOrEqual">
      <formula>1.19</formula>
    </cfRule>
  </conditionalFormatting>
  <conditionalFormatting sqref="BJ12:BJ35">
    <cfRule type="cellIs" dxfId="12" priority="13" operator="between">
      <formula>1</formula>
      <formula>1.19</formula>
    </cfRule>
  </conditionalFormatting>
  <conditionalFormatting sqref="BK12:BK35">
    <cfRule type="cellIs" dxfId="11" priority="11" operator="lessThan">
      <formula>1</formula>
    </cfRule>
    <cfRule type="cellIs" dxfId="10" priority="12" operator="greaterThanOrEqual">
      <formula>1.19</formula>
    </cfRule>
  </conditionalFormatting>
  <conditionalFormatting sqref="BK12:BK35">
    <cfRule type="cellIs" dxfId="9" priority="10" operator="between">
      <formula>1</formula>
      <formula>1.19</formula>
    </cfRule>
  </conditionalFormatting>
  <conditionalFormatting sqref="BL12:BL35">
    <cfRule type="cellIs" dxfId="8" priority="8" operator="lessThan">
      <formula>1</formula>
    </cfRule>
    <cfRule type="cellIs" dxfId="7" priority="9" operator="greaterThanOrEqual">
      <formula>1.19</formula>
    </cfRule>
  </conditionalFormatting>
  <conditionalFormatting sqref="BL12:BL35">
    <cfRule type="cellIs" dxfId="6" priority="7" operator="between">
      <formula>1</formula>
      <formula>1.19</formula>
    </cfRule>
  </conditionalFormatting>
  <conditionalFormatting sqref="BM12:BM35">
    <cfRule type="cellIs" dxfId="5" priority="5" operator="lessThan">
      <formula>1</formula>
    </cfRule>
    <cfRule type="cellIs" dxfId="4" priority="6" operator="greaterThanOrEqual">
      <formula>1.19</formula>
    </cfRule>
  </conditionalFormatting>
  <conditionalFormatting sqref="BM12:BM35">
    <cfRule type="cellIs" dxfId="3" priority="4" operator="between">
      <formula>1</formula>
      <formula>1.19</formula>
    </cfRule>
  </conditionalFormatting>
  <conditionalFormatting sqref="BN12:BN35">
    <cfRule type="cellIs" dxfId="2" priority="2" operator="lessThan">
      <formula>1</formula>
    </cfRule>
    <cfRule type="cellIs" dxfId="1" priority="3" operator="greaterThanOrEqual">
      <formula>1.19</formula>
    </cfRule>
  </conditionalFormatting>
  <conditionalFormatting sqref="BN12:BN35">
    <cfRule type="cellIs" dxfId="0" priority="1" operator="between">
      <formula>1</formula>
      <formula>1.19</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D1AEC-D3B3-4BA3-B457-70D5C99859F5}">
  <dimension ref="A1:W27"/>
  <sheetViews>
    <sheetView topLeftCell="A22" workbookViewId="0">
      <selection activeCell="O1" sqref="O1"/>
    </sheetView>
  </sheetViews>
  <sheetFormatPr baseColWidth="10" defaultRowHeight="15" customHeight="1" x14ac:dyDescent="0.25"/>
  <cols>
    <col min="1" max="1" width="18" bestFit="1" customWidth="1"/>
    <col min="2" max="6" width="11.42578125" style="42" hidden="1" customWidth="1"/>
    <col min="7" max="9" width="7" style="42" hidden="1" customWidth="1"/>
    <col min="10" max="11" width="11.42578125" style="42" hidden="1" customWidth="1"/>
    <col min="12" max="12" width="15.85546875" style="68" customWidth="1"/>
    <col min="13" max="13" width="11" hidden="1" customWidth="1"/>
    <col min="14" max="14" width="13" customWidth="1"/>
    <col min="15" max="17" width="11.42578125" customWidth="1"/>
    <col min="19" max="19" width="14" customWidth="1"/>
    <col min="20" max="20" width="15.28515625" customWidth="1"/>
  </cols>
  <sheetData>
    <row r="1" spans="1:23" s="165" customFormat="1" ht="45" x14ac:dyDescent="0.25">
      <c r="A1" s="244" t="s">
        <v>24</v>
      </c>
      <c r="B1" s="245" t="s">
        <v>200</v>
      </c>
      <c r="C1" s="246" t="s">
        <v>201</v>
      </c>
      <c r="D1" s="246" t="s">
        <v>202</v>
      </c>
      <c r="E1" s="246" t="s">
        <v>203</v>
      </c>
      <c r="F1" s="246" t="s">
        <v>204</v>
      </c>
      <c r="G1" s="246" t="s">
        <v>205</v>
      </c>
      <c r="H1" s="246" t="s">
        <v>206</v>
      </c>
      <c r="I1" s="246" t="s">
        <v>207</v>
      </c>
      <c r="J1" s="246" t="s">
        <v>208</v>
      </c>
      <c r="K1" s="246" t="s">
        <v>209</v>
      </c>
      <c r="L1" s="247" t="s">
        <v>306</v>
      </c>
      <c r="M1" s="247" t="s">
        <v>223</v>
      </c>
      <c r="N1" s="247" t="s">
        <v>307</v>
      </c>
      <c r="O1" s="247" t="s">
        <v>224</v>
      </c>
      <c r="P1" s="248"/>
      <c r="Q1" s="248" t="s">
        <v>225</v>
      </c>
      <c r="R1" s="248" t="s">
        <v>226</v>
      </c>
      <c r="S1" s="248" t="s">
        <v>228</v>
      </c>
      <c r="T1" s="249" t="s">
        <v>229</v>
      </c>
      <c r="W1" s="165">
        <v>628542</v>
      </c>
    </row>
    <row r="2" spans="1:23" s="17" customFormat="1" ht="19.5" customHeight="1" x14ac:dyDescent="0.25">
      <c r="A2" s="250" t="s">
        <v>16</v>
      </c>
      <c r="B2" s="251">
        <v>3132977.2</v>
      </c>
      <c r="C2" s="252">
        <v>2509397</v>
      </c>
      <c r="D2" s="252">
        <v>2255600</v>
      </c>
      <c r="E2" s="252">
        <v>1747770</v>
      </c>
      <c r="F2" s="252">
        <v>1411418</v>
      </c>
      <c r="G2" s="252">
        <v>935216</v>
      </c>
      <c r="H2" s="252">
        <v>408004</v>
      </c>
      <c r="I2" s="252">
        <v>87171</v>
      </c>
      <c r="J2" s="252">
        <v>3458</v>
      </c>
      <c r="K2" s="252">
        <v>12491011.199999999</v>
      </c>
      <c r="L2" s="226">
        <v>5747252</v>
      </c>
      <c r="M2" s="227" t="s">
        <v>214</v>
      </c>
      <c r="N2" s="227">
        <v>366626</v>
      </c>
      <c r="O2" s="228">
        <f>N2/L2</f>
        <v>6.3791530282646391E-2</v>
      </c>
      <c r="P2" s="229" t="s">
        <v>214</v>
      </c>
      <c r="Q2" s="229">
        <v>137570</v>
      </c>
      <c r="R2" s="229">
        <v>23423</v>
      </c>
      <c r="S2" s="230">
        <f>R2/Q2</f>
        <v>0.17026241186305155</v>
      </c>
      <c r="T2" s="231">
        <f>R2/N2</f>
        <v>6.3887994850337942E-2</v>
      </c>
      <c r="W2" s="509">
        <f>W1/45380100</f>
        <v>1.385060852664494E-2</v>
      </c>
    </row>
    <row r="3" spans="1:23" s="17" customFormat="1" ht="19.5" customHeight="1" x14ac:dyDescent="0.25">
      <c r="A3" s="250" t="s">
        <v>43</v>
      </c>
      <c r="B3" s="251">
        <v>481912.6</v>
      </c>
      <c r="C3" s="252">
        <v>461360</v>
      </c>
      <c r="D3" s="252">
        <v>426854</v>
      </c>
      <c r="E3" s="252">
        <v>326370</v>
      </c>
      <c r="F3" s="252">
        <v>292000</v>
      </c>
      <c r="G3" s="252">
        <v>219513</v>
      </c>
      <c r="H3" s="252">
        <v>112336</v>
      </c>
      <c r="I3" s="252">
        <v>33129</v>
      </c>
      <c r="J3" s="252">
        <v>1722</v>
      </c>
      <c r="K3" s="252">
        <v>2355196.6</v>
      </c>
      <c r="L3" s="224">
        <v>658700</v>
      </c>
      <c r="M3" s="1" t="s">
        <v>43</v>
      </c>
      <c r="N3" s="1">
        <v>112309</v>
      </c>
      <c r="O3" s="223">
        <f t="shared" ref="O3:O26" si="0">N3/L3</f>
        <v>0.17050098679216638</v>
      </c>
      <c r="P3" s="1" t="s">
        <v>43</v>
      </c>
      <c r="Q3" s="1">
        <v>45202</v>
      </c>
      <c r="R3" s="1">
        <v>6032</v>
      </c>
      <c r="S3" s="225">
        <f t="shared" ref="S3:S26" si="1">R3/Q3</f>
        <v>0.13344542276890403</v>
      </c>
      <c r="T3" s="232">
        <f t="shared" ref="T3:T26" si="2">R3/N3</f>
        <v>5.3708963662751873E-2</v>
      </c>
    </row>
    <row r="4" spans="1:23" s="17" customFormat="1" ht="19.5" customHeight="1" x14ac:dyDescent="0.25">
      <c r="A4" s="250" t="s">
        <v>28</v>
      </c>
      <c r="B4" s="251">
        <v>85553.8</v>
      </c>
      <c r="C4" s="252">
        <v>56220</v>
      </c>
      <c r="D4" s="252">
        <v>53259</v>
      </c>
      <c r="E4" s="252">
        <v>38689</v>
      </c>
      <c r="F4" s="252">
        <v>30537</v>
      </c>
      <c r="G4" s="252">
        <v>18291</v>
      </c>
      <c r="H4" s="252">
        <v>7533</v>
      </c>
      <c r="I4" s="252">
        <v>1661</v>
      </c>
      <c r="J4" s="252">
        <v>91</v>
      </c>
      <c r="K4" s="252">
        <v>291834.8</v>
      </c>
      <c r="L4" s="224">
        <v>58113</v>
      </c>
      <c r="M4" s="1" t="s">
        <v>28</v>
      </c>
      <c r="N4" s="1">
        <v>10743</v>
      </c>
      <c r="O4" s="223">
        <f t="shared" si="0"/>
        <v>0.18486397191678283</v>
      </c>
      <c r="P4" s="1" t="s">
        <v>28</v>
      </c>
      <c r="Q4" s="1">
        <v>1385</v>
      </c>
      <c r="R4" s="1">
        <v>14</v>
      </c>
      <c r="S4" s="225">
        <f t="shared" si="1"/>
        <v>1.0108303249097473E-2</v>
      </c>
      <c r="T4" s="232">
        <f t="shared" si="2"/>
        <v>1.3031741599180862E-3</v>
      </c>
    </row>
    <row r="5" spans="1:23" s="17" customFormat="1" ht="19.5" customHeight="1" x14ac:dyDescent="0.25">
      <c r="A5" s="250" t="s">
        <v>15</v>
      </c>
      <c r="B5" s="251">
        <v>259957.8</v>
      </c>
      <c r="C5" s="252">
        <v>164137</v>
      </c>
      <c r="D5" s="252">
        <v>136504</v>
      </c>
      <c r="E5" s="252">
        <v>104779</v>
      </c>
      <c r="F5" s="252">
        <v>81778</v>
      </c>
      <c r="G5" s="252">
        <v>43820</v>
      </c>
      <c r="H5" s="252">
        <v>17641</v>
      </c>
      <c r="I5" s="252">
        <v>3395</v>
      </c>
      <c r="J5" s="252">
        <v>161</v>
      </c>
      <c r="K5" s="252">
        <v>812172.80000000005</v>
      </c>
      <c r="L5" s="224">
        <v>146795</v>
      </c>
      <c r="M5" s="1" t="s">
        <v>15</v>
      </c>
      <c r="N5" s="1">
        <v>25232</v>
      </c>
      <c r="O5" s="223">
        <f t="shared" si="0"/>
        <v>0.17188596341837256</v>
      </c>
      <c r="P5" s="1" t="s">
        <v>15</v>
      </c>
      <c r="Q5" s="1">
        <v>5400</v>
      </c>
      <c r="R5" s="1">
        <v>712</v>
      </c>
      <c r="S5" s="225">
        <f t="shared" si="1"/>
        <v>0.13185185185185186</v>
      </c>
      <c r="T5" s="232">
        <f t="shared" si="2"/>
        <v>2.8218135700697526E-2</v>
      </c>
    </row>
    <row r="6" spans="1:23" s="17" customFormat="1" ht="19.5" customHeight="1" x14ac:dyDescent="0.25">
      <c r="A6" s="250" t="s">
        <v>29</v>
      </c>
      <c r="B6" s="251">
        <v>113678.8</v>
      </c>
      <c r="C6" s="252">
        <v>96575</v>
      </c>
      <c r="D6" s="252">
        <v>85078</v>
      </c>
      <c r="E6" s="252">
        <v>58795</v>
      </c>
      <c r="F6" s="252">
        <v>44044</v>
      </c>
      <c r="G6" s="252">
        <v>24912</v>
      </c>
      <c r="H6" s="252">
        <v>9806</v>
      </c>
      <c r="I6" s="252">
        <v>2104</v>
      </c>
      <c r="J6" s="252">
        <v>105</v>
      </c>
      <c r="K6" s="252">
        <v>435097.8</v>
      </c>
      <c r="L6" s="224">
        <v>80971</v>
      </c>
      <c r="M6" s="1" t="s">
        <v>29</v>
      </c>
      <c r="N6" s="1">
        <v>14925</v>
      </c>
      <c r="O6" s="223">
        <f t="shared" si="0"/>
        <v>0.18432525225080584</v>
      </c>
      <c r="P6" s="1" t="s">
        <v>29</v>
      </c>
      <c r="Q6" s="1">
        <v>5779</v>
      </c>
      <c r="R6" s="1">
        <v>713</v>
      </c>
      <c r="S6" s="225">
        <f t="shared" si="1"/>
        <v>0.12337774701505451</v>
      </c>
      <c r="T6" s="232">
        <f t="shared" si="2"/>
        <v>4.7772194304857622E-2</v>
      </c>
    </row>
    <row r="7" spans="1:23" s="17" customFormat="1" ht="19.5" customHeight="1" x14ac:dyDescent="0.25">
      <c r="A7" s="250" t="s">
        <v>20</v>
      </c>
      <c r="B7" s="251">
        <v>707542</v>
      </c>
      <c r="C7" s="252">
        <v>545855</v>
      </c>
      <c r="D7" s="252">
        <v>476251</v>
      </c>
      <c r="E7" s="252">
        <v>369545</v>
      </c>
      <c r="F7" s="252">
        <v>305699</v>
      </c>
      <c r="G7" s="252">
        <v>212147</v>
      </c>
      <c r="H7" s="252">
        <v>91993</v>
      </c>
      <c r="I7" s="252">
        <v>19014</v>
      </c>
      <c r="J7" s="252">
        <v>766</v>
      </c>
      <c r="K7" s="252">
        <v>2728812</v>
      </c>
      <c r="L7" s="224">
        <v>629619</v>
      </c>
      <c r="M7" s="1" t="s">
        <v>20</v>
      </c>
      <c r="N7" s="1">
        <v>111415</v>
      </c>
      <c r="O7" s="223">
        <f t="shared" si="0"/>
        <v>0.17695622273152495</v>
      </c>
      <c r="P7" s="1" t="s">
        <v>20</v>
      </c>
      <c r="Q7" s="1">
        <v>29582</v>
      </c>
      <c r="R7" s="1">
        <v>2601</v>
      </c>
      <c r="S7" s="225">
        <f t="shared" si="1"/>
        <v>8.7925089581502261E-2</v>
      </c>
      <c r="T7" s="232">
        <f t="shared" si="2"/>
        <v>2.3345151011982229E-2</v>
      </c>
    </row>
    <row r="8" spans="1:23" s="17" customFormat="1" ht="19.5" customHeight="1" x14ac:dyDescent="0.25">
      <c r="A8" s="250" t="s">
        <v>30</v>
      </c>
      <c r="B8" s="251">
        <v>236889.2</v>
      </c>
      <c r="C8" s="252">
        <v>149666</v>
      </c>
      <c r="D8" s="252">
        <v>126567</v>
      </c>
      <c r="E8" s="252">
        <v>103126</v>
      </c>
      <c r="F8" s="252">
        <v>82502</v>
      </c>
      <c r="G8" s="252">
        <v>48468</v>
      </c>
      <c r="H8" s="252">
        <v>19666</v>
      </c>
      <c r="I8" s="252">
        <v>4081</v>
      </c>
      <c r="J8" s="252">
        <v>235</v>
      </c>
      <c r="K8" s="252">
        <v>771200.2</v>
      </c>
      <c r="L8" s="224">
        <v>154952</v>
      </c>
      <c r="M8" s="1" t="s">
        <v>30</v>
      </c>
      <c r="N8" s="1">
        <v>34386</v>
      </c>
      <c r="O8" s="223">
        <f t="shared" si="0"/>
        <v>0.22191388300893181</v>
      </c>
      <c r="P8" s="1" t="s">
        <v>30</v>
      </c>
      <c r="Q8" s="1">
        <v>3566</v>
      </c>
      <c r="R8" s="1">
        <v>255</v>
      </c>
      <c r="S8" s="225">
        <f t="shared" si="1"/>
        <v>7.1508693213684804E-2</v>
      </c>
      <c r="T8" s="232">
        <f t="shared" si="2"/>
        <v>7.4158087593788171E-3</v>
      </c>
    </row>
    <row r="9" spans="1:23" s="17" customFormat="1" ht="19.5" customHeight="1" x14ac:dyDescent="0.25">
      <c r="A9" s="250" t="s">
        <v>31</v>
      </c>
      <c r="B9" s="251">
        <v>264900</v>
      </c>
      <c r="C9" s="252">
        <v>191129</v>
      </c>
      <c r="D9" s="252">
        <v>173334</v>
      </c>
      <c r="E9" s="252">
        <v>135927</v>
      </c>
      <c r="F9" s="252">
        <v>110781</v>
      </c>
      <c r="G9" s="252">
        <v>73771</v>
      </c>
      <c r="H9" s="252">
        <v>31842</v>
      </c>
      <c r="I9" s="252">
        <v>6464</v>
      </c>
      <c r="J9" s="252">
        <v>307</v>
      </c>
      <c r="K9" s="252">
        <v>988455</v>
      </c>
      <c r="L9" s="224">
        <v>223165</v>
      </c>
      <c r="M9" s="1" t="s">
        <v>212</v>
      </c>
      <c r="N9" s="1">
        <v>30463</v>
      </c>
      <c r="O9" s="223">
        <f t="shared" si="0"/>
        <v>0.13650438016714089</v>
      </c>
      <c r="P9" s="1" t="s">
        <v>212</v>
      </c>
      <c r="Q9" s="1">
        <v>7515</v>
      </c>
      <c r="R9" s="1">
        <v>791</v>
      </c>
      <c r="S9" s="225">
        <f t="shared" si="1"/>
        <v>0.10525615435795077</v>
      </c>
      <c r="T9" s="232">
        <f t="shared" si="2"/>
        <v>2.5965925877293766E-2</v>
      </c>
    </row>
    <row r="10" spans="1:23" s="17" customFormat="1" ht="19.5" customHeight="1" x14ac:dyDescent="0.25">
      <c r="A10" s="250" t="s">
        <v>41</v>
      </c>
      <c r="B10" s="251">
        <v>130932.2</v>
      </c>
      <c r="C10" s="252">
        <v>74039</v>
      </c>
      <c r="D10" s="252">
        <v>67019</v>
      </c>
      <c r="E10" s="252">
        <v>54948</v>
      </c>
      <c r="F10" s="252">
        <v>42711</v>
      </c>
      <c r="G10" s="252">
        <v>23865</v>
      </c>
      <c r="H10" s="252">
        <v>9790</v>
      </c>
      <c r="I10" s="252">
        <v>1876</v>
      </c>
      <c r="J10" s="252">
        <v>100</v>
      </c>
      <c r="K10" s="252">
        <v>405280.2</v>
      </c>
      <c r="L10" s="224">
        <v>78342</v>
      </c>
      <c r="M10" s="1" t="s">
        <v>41</v>
      </c>
      <c r="N10" s="1">
        <v>21717</v>
      </c>
      <c r="O10" s="223">
        <f t="shared" si="0"/>
        <v>0.27720762809221106</v>
      </c>
      <c r="P10" s="1" t="s">
        <v>41</v>
      </c>
      <c r="Q10" s="1">
        <v>263</v>
      </c>
      <c r="R10" s="1">
        <v>21</v>
      </c>
      <c r="S10" s="225">
        <f t="shared" si="1"/>
        <v>7.9847908745247151E-2</v>
      </c>
      <c r="T10" s="232">
        <f t="shared" si="2"/>
        <v>9.6698439010913114E-4</v>
      </c>
    </row>
    <row r="11" spans="1:23" s="17" customFormat="1" ht="19.5" customHeight="1" x14ac:dyDescent="0.25">
      <c r="A11" s="250" t="s">
        <v>32</v>
      </c>
      <c r="B11" s="251">
        <v>159082.6</v>
      </c>
      <c r="C11" s="252">
        <v>106384</v>
      </c>
      <c r="D11" s="252">
        <v>98333</v>
      </c>
      <c r="E11" s="252">
        <v>68050</v>
      </c>
      <c r="F11" s="252">
        <v>52121</v>
      </c>
      <c r="G11" s="252">
        <v>31343</v>
      </c>
      <c r="H11" s="252">
        <v>12499</v>
      </c>
      <c r="I11" s="252">
        <v>2348</v>
      </c>
      <c r="J11" s="252">
        <v>104</v>
      </c>
      <c r="K11" s="252">
        <v>530264.6</v>
      </c>
      <c r="L11" s="224">
        <v>98415</v>
      </c>
      <c r="M11" s="1" t="s">
        <v>32</v>
      </c>
      <c r="N11" s="1">
        <v>20186</v>
      </c>
      <c r="O11" s="223">
        <f t="shared" si="0"/>
        <v>0.20511100950058425</v>
      </c>
      <c r="P11" s="1" t="s">
        <v>32</v>
      </c>
      <c r="Q11" s="1">
        <v>4364</v>
      </c>
      <c r="R11" s="1">
        <v>717</v>
      </c>
      <c r="S11" s="225">
        <f t="shared" si="1"/>
        <v>0.16429880843263062</v>
      </c>
      <c r="T11" s="232">
        <f t="shared" si="2"/>
        <v>3.5519667096007131E-2</v>
      </c>
    </row>
    <row r="12" spans="1:23" s="17" customFormat="1" ht="19.5" customHeight="1" x14ac:dyDescent="0.25">
      <c r="A12" s="250" t="s">
        <v>33</v>
      </c>
      <c r="B12" s="251">
        <v>64693.8</v>
      </c>
      <c r="C12" s="252">
        <v>49870</v>
      </c>
      <c r="D12" s="252">
        <v>45672</v>
      </c>
      <c r="E12" s="252">
        <v>37472</v>
      </c>
      <c r="F12" s="252">
        <v>30346</v>
      </c>
      <c r="G12" s="252">
        <v>20846</v>
      </c>
      <c r="H12" s="252">
        <v>9286</v>
      </c>
      <c r="I12" s="252">
        <v>1993</v>
      </c>
      <c r="J12" s="252">
        <v>89</v>
      </c>
      <c r="K12" s="252">
        <v>260267.8</v>
      </c>
      <c r="L12" s="224">
        <v>62560</v>
      </c>
      <c r="M12" s="1" t="s">
        <v>218</v>
      </c>
      <c r="N12" s="1">
        <v>13868</v>
      </c>
      <c r="O12" s="223">
        <f t="shared" si="0"/>
        <v>0.22167519181585676</v>
      </c>
      <c r="P12" s="1" t="s">
        <v>218</v>
      </c>
      <c r="Q12" s="1">
        <v>3436</v>
      </c>
      <c r="R12" s="1">
        <v>286</v>
      </c>
      <c r="S12" s="225">
        <f t="shared" si="1"/>
        <v>8.3236321303841676E-2</v>
      </c>
      <c r="T12" s="232">
        <f t="shared" si="2"/>
        <v>2.0623017017594461E-2</v>
      </c>
    </row>
    <row r="13" spans="1:23" s="17" customFormat="1" ht="19.5" customHeight="1" x14ac:dyDescent="0.25">
      <c r="A13" s="250" t="s">
        <v>21</v>
      </c>
      <c r="B13" s="251">
        <v>83711.8</v>
      </c>
      <c r="C13" s="252">
        <v>59274</v>
      </c>
      <c r="D13" s="252">
        <v>49715</v>
      </c>
      <c r="E13" s="252">
        <v>35757</v>
      </c>
      <c r="F13" s="252">
        <v>27391</v>
      </c>
      <c r="G13" s="252">
        <v>15610</v>
      </c>
      <c r="H13" s="252">
        <v>6227</v>
      </c>
      <c r="I13" s="252">
        <v>1331</v>
      </c>
      <c r="J13" s="252">
        <v>68</v>
      </c>
      <c r="K13" s="252">
        <v>279084.79999999999</v>
      </c>
      <c r="L13" s="224">
        <v>50627</v>
      </c>
      <c r="M13" s="1" t="s">
        <v>222</v>
      </c>
      <c r="N13" s="1">
        <v>10485</v>
      </c>
      <c r="O13" s="223">
        <f t="shared" si="0"/>
        <v>0.20710292926699192</v>
      </c>
      <c r="P13" s="1" t="s">
        <v>222</v>
      </c>
      <c r="Q13" s="1">
        <v>1664</v>
      </c>
      <c r="R13" s="1">
        <v>344</v>
      </c>
      <c r="S13" s="225">
        <f t="shared" si="1"/>
        <v>0.20673076923076922</v>
      </c>
      <c r="T13" s="232">
        <f t="shared" si="2"/>
        <v>3.2808774439675725E-2</v>
      </c>
    </row>
    <row r="14" spans="1:23" s="17" customFormat="1" ht="19.5" customHeight="1" x14ac:dyDescent="0.25">
      <c r="A14" s="250" t="s">
        <v>17</v>
      </c>
      <c r="B14" s="251">
        <v>372529.6</v>
      </c>
      <c r="C14" s="252">
        <v>285498</v>
      </c>
      <c r="D14" s="252">
        <v>244705</v>
      </c>
      <c r="E14" s="252">
        <v>184482</v>
      </c>
      <c r="F14" s="252">
        <v>155701</v>
      </c>
      <c r="G14" s="252">
        <v>106963</v>
      </c>
      <c r="H14" s="252">
        <v>45135</v>
      </c>
      <c r="I14" s="252">
        <v>9607</v>
      </c>
      <c r="J14" s="252">
        <v>380</v>
      </c>
      <c r="K14" s="252">
        <v>1405000.6</v>
      </c>
      <c r="L14" s="224">
        <v>317786</v>
      </c>
      <c r="M14" s="1" t="s">
        <v>17</v>
      </c>
      <c r="N14" s="1">
        <v>58251</v>
      </c>
      <c r="O14" s="223">
        <f t="shared" si="0"/>
        <v>0.18330259986280076</v>
      </c>
      <c r="P14" s="1" t="s">
        <v>17</v>
      </c>
      <c r="Q14" s="1">
        <v>11989</v>
      </c>
      <c r="R14" s="1">
        <v>1247</v>
      </c>
      <c r="S14" s="225">
        <f t="shared" si="1"/>
        <v>0.10401201101009258</v>
      </c>
      <c r="T14" s="232">
        <f t="shared" si="2"/>
        <v>2.1407357813599766E-2</v>
      </c>
    </row>
    <row r="15" spans="1:23" s="17" customFormat="1" ht="19.5" customHeight="1" x14ac:dyDescent="0.25">
      <c r="A15" s="250" t="s">
        <v>23</v>
      </c>
      <c r="B15" s="251">
        <v>273626.8</v>
      </c>
      <c r="C15" s="252">
        <v>165516</v>
      </c>
      <c r="D15" s="252">
        <v>140207</v>
      </c>
      <c r="E15" s="252">
        <v>109217</v>
      </c>
      <c r="F15" s="252">
        <v>81914</v>
      </c>
      <c r="G15" s="252">
        <v>43580</v>
      </c>
      <c r="H15" s="252">
        <v>17508</v>
      </c>
      <c r="I15" s="252">
        <v>3301</v>
      </c>
      <c r="J15" s="252">
        <v>159</v>
      </c>
      <c r="K15" s="252">
        <v>835028.8</v>
      </c>
      <c r="L15" s="224">
        <v>146462</v>
      </c>
      <c r="M15" s="1" t="s">
        <v>23</v>
      </c>
      <c r="N15" s="1">
        <v>21849</v>
      </c>
      <c r="O15" s="223">
        <f t="shared" si="0"/>
        <v>0.14917862653794159</v>
      </c>
      <c r="P15" s="1" t="s">
        <v>23</v>
      </c>
      <c r="Q15" s="1">
        <v>1967</v>
      </c>
      <c r="R15" s="1">
        <v>161</v>
      </c>
      <c r="S15" s="225">
        <f t="shared" si="1"/>
        <v>8.1850533807829182E-2</v>
      </c>
      <c r="T15" s="232">
        <f t="shared" si="2"/>
        <v>7.368758295574168E-3</v>
      </c>
    </row>
    <row r="16" spans="1:23" s="17" customFormat="1" ht="19.5" customHeight="1" x14ac:dyDescent="0.25">
      <c r="A16" s="250" t="s">
        <v>210</v>
      </c>
      <c r="B16" s="251">
        <v>123541</v>
      </c>
      <c r="C16" s="252">
        <v>98247</v>
      </c>
      <c r="D16" s="252">
        <v>88824</v>
      </c>
      <c r="E16" s="252">
        <v>65924</v>
      </c>
      <c r="F16" s="252">
        <v>48096</v>
      </c>
      <c r="G16" s="252">
        <v>26620</v>
      </c>
      <c r="H16" s="252">
        <v>9881</v>
      </c>
      <c r="I16" s="252">
        <v>1994</v>
      </c>
      <c r="J16" s="252">
        <v>105</v>
      </c>
      <c r="K16" s="252">
        <v>463232</v>
      </c>
      <c r="L16" s="224">
        <v>86696</v>
      </c>
      <c r="M16" s="1" t="s">
        <v>19</v>
      </c>
      <c r="N16" s="1">
        <v>21886</v>
      </c>
      <c r="O16" s="223">
        <f t="shared" si="0"/>
        <v>0.25244532619728705</v>
      </c>
      <c r="P16" s="1" t="s">
        <v>19</v>
      </c>
      <c r="Q16" s="1">
        <v>8619</v>
      </c>
      <c r="R16" s="1">
        <v>817</v>
      </c>
      <c r="S16" s="225">
        <f t="shared" si="1"/>
        <v>9.4790578953474883E-2</v>
      </c>
      <c r="T16" s="232">
        <f t="shared" si="2"/>
        <v>3.7329799872064334E-2</v>
      </c>
    </row>
    <row r="17" spans="1:20" s="17" customFormat="1" ht="19.5" customHeight="1" x14ac:dyDescent="0.25">
      <c r="A17" s="250" t="s">
        <v>18</v>
      </c>
      <c r="B17" s="251">
        <v>139251.6</v>
      </c>
      <c r="C17" s="252">
        <v>108907</v>
      </c>
      <c r="D17" s="252">
        <v>98660</v>
      </c>
      <c r="E17" s="252">
        <v>74336</v>
      </c>
      <c r="F17" s="252">
        <v>57892</v>
      </c>
      <c r="G17" s="252">
        <v>35465</v>
      </c>
      <c r="H17" s="252">
        <v>14161</v>
      </c>
      <c r="I17" s="252">
        <v>3017</v>
      </c>
      <c r="J17" s="252">
        <v>135</v>
      </c>
      <c r="K17" s="252">
        <v>531824.6</v>
      </c>
      <c r="L17" s="224">
        <v>110670</v>
      </c>
      <c r="M17" s="1" t="s">
        <v>213</v>
      </c>
      <c r="N17" s="1">
        <v>19066</v>
      </c>
      <c r="O17" s="223">
        <f t="shared" si="0"/>
        <v>0.1722779434354387</v>
      </c>
      <c r="P17" s="1" t="s">
        <v>213</v>
      </c>
      <c r="Q17" s="1">
        <v>8639</v>
      </c>
      <c r="R17" s="1">
        <v>1048</v>
      </c>
      <c r="S17" s="225">
        <f t="shared" si="1"/>
        <v>0.12131033684454219</v>
      </c>
      <c r="T17" s="232">
        <f t="shared" si="2"/>
        <v>5.4966956886604426E-2</v>
      </c>
    </row>
    <row r="18" spans="1:20" s="17" customFormat="1" ht="19.5" customHeight="1" x14ac:dyDescent="0.25">
      <c r="A18" s="250" t="s">
        <v>34</v>
      </c>
      <c r="B18" s="251">
        <v>299087.2</v>
      </c>
      <c r="C18" s="252">
        <v>192069</v>
      </c>
      <c r="D18" s="252">
        <v>165088</v>
      </c>
      <c r="E18" s="252">
        <v>119452</v>
      </c>
      <c r="F18" s="252">
        <v>89297</v>
      </c>
      <c r="G18" s="252">
        <v>53814</v>
      </c>
      <c r="H18" s="252">
        <v>21890</v>
      </c>
      <c r="I18" s="252">
        <v>4285</v>
      </c>
      <c r="J18" s="252">
        <v>200</v>
      </c>
      <c r="K18" s="252">
        <v>945182.2</v>
      </c>
      <c r="L18" s="224">
        <v>169486</v>
      </c>
      <c r="M18" s="1" t="s">
        <v>34</v>
      </c>
      <c r="N18" s="1">
        <v>37353</v>
      </c>
      <c r="O18" s="223">
        <f t="shared" si="0"/>
        <v>0.22038988471024154</v>
      </c>
      <c r="P18" s="1" t="s">
        <v>34</v>
      </c>
      <c r="Q18" s="1">
        <v>4787</v>
      </c>
      <c r="R18" s="1">
        <v>882</v>
      </c>
      <c r="S18" s="225">
        <f t="shared" si="1"/>
        <v>0.18424900772926675</v>
      </c>
      <c r="T18" s="232">
        <f t="shared" si="2"/>
        <v>2.3612561240061038E-2</v>
      </c>
    </row>
    <row r="19" spans="1:20" s="17" customFormat="1" ht="19.5" customHeight="1" x14ac:dyDescent="0.25">
      <c r="A19" s="250" t="s">
        <v>35</v>
      </c>
      <c r="B19" s="251">
        <v>154725.79999999999</v>
      </c>
      <c r="C19" s="252">
        <v>106946</v>
      </c>
      <c r="D19" s="252">
        <v>95810</v>
      </c>
      <c r="E19" s="252">
        <v>70656</v>
      </c>
      <c r="F19" s="252">
        <v>57729</v>
      </c>
      <c r="G19" s="252">
        <v>37992</v>
      </c>
      <c r="H19" s="252">
        <v>14327</v>
      </c>
      <c r="I19" s="252">
        <v>2625</v>
      </c>
      <c r="J19" s="252">
        <v>97</v>
      </c>
      <c r="K19" s="252">
        <v>540907.80000000005</v>
      </c>
      <c r="L19" s="224">
        <v>112770</v>
      </c>
      <c r="M19" s="1" t="s">
        <v>216</v>
      </c>
      <c r="N19" s="1">
        <v>17981</v>
      </c>
      <c r="O19" s="223">
        <f t="shared" si="0"/>
        <v>0.15944843486742927</v>
      </c>
      <c r="P19" s="1" t="s">
        <v>216</v>
      </c>
      <c r="Q19" s="1">
        <v>2281</v>
      </c>
      <c r="R19" s="1">
        <v>183</v>
      </c>
      <c r="S19" s="225">
        <f t="shared" si="1"/>
        <v>8.0227970188513811E-2</v>
      </c>
      <c r="T19" s="232">
        <f t="shared" si="2"/>
        <v>1.0177409487792669E-2</v>
      </c>
    </row>
    <row r="20" spans="1:20" s="17" customFormat="1" ht="19.5" customHeight="1" x14ac:dyDescent="0.25">
      <c r="A20" s="250" t="s">
        <v>36</v>
      </c>
      <c r="B20" s="251">
        <v>100263.6</v>
      </c>
      <c r="C20" s="252">
        <v>70572</v>
      </c>
      <c r="D20" s="252">
        <v>64680</v>
      </c>
      <c r="E20" s="252">
        <v>49085</v>
      </c>
      <c r="F20" s="252">
        <v>39293</v>
      </c>
      <c r="G20" s="252">
        <v>25133</v>
      </c>
      <c r="H20" s="252">
        <v>9929</v>
      </c>
      <c r="I20" s="252">
        <v>2090</v>
      </c>
      <c r="J20" s="252">
        <v>110</v>
      </c>
      <c r="K20" s="252">
        <v>361155.6</v>
      </c>
      <c r="L20" s="224">
        <v>76555</v>
      </c>
      <c r="M20" s="1" t="s">
        <v>220</v>
      </c>
      <c r="N20" s="1">
        <v>22750</v>
      </c>
      <c r="O20" s="223">
        <f t="shared" si="0"/>
        <v>0.29717196786623995</v>
      </c>
      <c r="P20" s="1" t="s">
        <v>220</v>
      </c>
      <c r="Q20" s="1">
        <v>2988</v>
      </c>
      <c r="R20" s="1">
        <v>326</v>
      </c>
      <c r="S20" s="225">
        <f t="shared" si="1"/>
        <v>0.10910307898259705</v>
      </c>
      <c r="T20" s="232">
        <f t="shared" si="2"/>
        <v>1.432967032967033E-2</v>
      </c>
    </row>
    <row r="21" spans="1:20" s="17" customFormat="1" ht="19.5" customHeight="1" x14ac:dyDescent="0.25">
      <c r="A21" s="250" t="s">
        <v>37</v>
      </c>
      <c r="B21" s="251">
        <v>68385.600000000006</v>
      </c>
      <c r="C21" s="252">
        <v>61973</v>
      </c>
      <c r="D21" s="252">
        <v>50384</v>
      </c>
      <c r="E21" s="252">
        <v>32063</v>
      </c>
      <c r="F21" s="252">
        <v>21023</v>
      </c>
      <c r="G21" s="252">
        <v>10096</v>
      </c>
      <c r="H21" s="252">
        <v>3691</v>
      </c>
      <c r="I21" s="252">
        <v>636</v>
      </c>
      <c r="J21" s="252">
        <v>25</v>
      </c>
      <c r="K21" s="252">
        <v>248276.6</v>
      </c>
      <c r="L21" s="224">
        <v>35471</v>
      </c>
      <c r="M21" s="1" t="s">
        <v>221</v>
      </c>
      <c r="N21" s="1">
        <v>8405</v>
      </c>
      <c r="O21" s="223">
        <f t="shared" si="0"/>
        <v>0.23695413154407827</v>
      </c>
      <c r="P21" s="1" t="s">
        <v>221</v>
      </c>
      <c r="Q21" s="1">
        <v>4089</v>
      </c>
      <c r="R21" s="1">
        <v>463</v>
      </c>
      <c r="S21" s="225">
        <f t="shared" si="1"/>
        <v>0.1132306187331866</v>
      </c>
      <c r="T21" s="232">
        <f t="shared" si="2"/>
        <v>5.5086258179654971E-2</v>
      </c>
    </row>
    <row r="22" spans="1:20" s="17" customFormat="1" ht="19.5" customHeight="1" x14ac:dyDescent="0.25">
      <c r="A22" s="250" t="s">
        <v>22</v>
      </c>
      <c r="B22" s="251">
        <v>643081.4</v>
      </c>
      <c r="C22" s="252">
        <v>530379</v>
      </c>
      <c r="D22" s="252">
        <v>456186</v>
      </c>
      <c r="E22" s="252">
        <v>351379</v>
      </c>
      <c r="F22" s="252">
        <v>296257</v>
      </c>
      <c r="G22" s="252">
        <v>199217</v>
      </c>
      <c r="H22" s="252">
        <v>93613</v>
      </c>
      <c r="I22" s="252">
        <v>21574</v>
      </c>
      <c r="J22" s="252">
        <v>964</v>
      </c>
      <c r="K22" s="252">
        <v>2592650.4</v>
      </c>
      <c r="L22" s="224">
        <v>611625</v>
      </c>
      <c r="M22" s="1" t="s">
        <v>219</v>
      </c>
      <c r="N22" s="1">
        <v>76724</v>
      </c>
      <c r="O22" s="223">
        <f t="shared" si="0"/>
        <v>0.12544287758021663</v>
      </c>
      <c r="P22" s="1" t="s">
        <v>219</v>
      </c>
      <c r="Q22" s="1">
        <v>37926</v>
      </c>
      <c r="R22" s="1">
        <v>3649</v>
      </c>
      <c r="S22" s="225">
        <f t="shared" si="1"/>
        <v>9.621367927015767E-2</v>
      </c>
      <c r="T22" s="232">
        <f t="shared" si="2"/>
        <v>4.7560085501277306E-2</v>
      </c>
    </row>
    <row r="23" spans="1:20" s="17" customFormat="1" ht="19.5" customHeight="1" x14ac:dyDescent="0.25">
      <c r="A23" s="250" t="s">
        <v>38</v>
      </c>
      <c r="B23" s="251">
        <v>211452</v>
      </c>
      <c r="C23" s="252">
        <v>129102</v>
      </c>
      <c r="D23" s="252">
        <v>115483</v>
      </c>
      <c r="E23" s="252">
        <v>81291</v>
      </c>
      <c r="F23" s="252">
        <v>65126</v>
      </c>
      <c r="G23" s="252">
        <v>39272</v>
      </c>
      <c r="H23" s="252">
        <v>16336</v>
      </c>
      <c r="I23" s="252">
        <v>3289</v>
      </c>
      <c r="J23" s="252">
        <v>180</v>
      </c>
      <c r="K23" s="252">
        <v>661531</v>
      </c>
      <c r="L23" s="224">
        <v>124203</v>
      </c>
      <c r="M23" s="1" t="s">
        <v>217</v>
      </c>
      <c r="N23" s="1">
        <v>20745</v>
      </c>
      <c r="O23" s="223">
        <f t="shared" si="0"/>
        <v>0.16702495108813797</v>
      </c>
      <c r="P23" s="1" t="s">
        <v>217</v>
      </c>
      <c r="Q23" s="1">
        <v>3579</v>
      </c>
      <c r="R23" s="1">
        <v>218</v>
      </c>
      <c r="S23" s="225">
        <f t="shared" si="1"/>
        <v>6.0910868957809443E-2</v>
      </c>
      <c r="T23" s="232">
        <f t="shared" si="2"/>
        <v>1.0508556278621354E-2</v>
      </c>
    </row>
    <row r="24" spans="1:20" s="17" customFormat="1" ht="19.5" customHeight="1" x14ac:dyDescent="0.25">
      <c r="A24" s="250" t="s">
        <v>211</v>
      </c>
      <c r="B24" s="251">
        <v>33668.6</v>
      </c>
      <c r="C24" s="252">
        <v>29423</v>
      </c>
      <c r="D24" s="252">
        <v>24321</v>
      </c>
      <c r="E24" s="252">
        <v>17465</v>
      </c>
      <c r="F24" s="252">
        <v>11395</v>
      </c>
      <c r="G24" s="252">
        <v>4338</v>
      </c>
      <c r="H24" s="252">
        <v>1266</v>
      </c>
      <c r="I24" s="252">
        <v>218</v>
      </c>
      <c r="J24" s="252">
        <v>9</v>
      </c>
      <c r="K24" s="252">
        <v>122103.6</v>
      </c>
      <c r="L24" s="224">
        <v>17226</v>
      </c>
      <c r="M24" s="1" t="s">
        <v>215</v>
      </c>
      <c r="N24" s="1">
        <v>4175</v>
      </c>
      <c r="O24" s="223">
        <f t="shared" si="0"/>
        <v>0.2423661906420527</v>
      </c>
      <c r="P24" s="1" t="s">
        <v>215</v>
      </c>
      <c r="Q24" s="1">
        <v>2479</v>
      </c>
      <c r="R24" s="1">
        <v>283</v>
      </c>
      <c r="S24" s="225">
        <f t="shared" si="1"/>
        <v>0.11415893505445744</v>
      </c>
      <c r="T24" s="232">
        <f t="shared" si="2"/>
        <v>6.7784431137724546E-2</v>
      </c>
    </row>
    <row r="25" spans="1:20" s="17" customFormat="1" ht="19.5" customHeight="1" thickBot="1" x14ac:dyDescent="0.3">
      <c r="A25" s="253" t="s">
        <v>40</v>
      </c>
      <c r="B25" s="251">
        <v>345170</v>
      </c>
      <c r="C25" s="252">
        <v>240125</v>
      </c>
      <c r="D25" s="252">
        <v>205092</v>
      </c>
      <c r="E25" s="252">
        <v>145319</v>
      </c>
      <c r="F25" s="252">
        <v>125487</v>
      </c>
      <c r="G25" s="252">
        <v>73101</v>
      </c>
      <c r="H25" s="252">
        <v>28916</v>
      </c>
      <c r="I25" s="252">
        <v>6139</v>
      </c>
      <c r="J25" s="252">
        <v>263</v>
      </c>
      <c r="K25" s="252">
        <v>1169612</v>
      </c>
      <c r="L25" s="233">
        <v>233906</v>
      </c>
      <c r="M25" s="234" t="s">
        <v>40</v>
      </c>
      <c r="N25" s="234">
        <v>51564</v>
      </c>
      <c r="O25" s="235">
        <f t="shared" si="0"/>
        <v>0.22044753020444111</v>
      </c>
      <c r="P25" s="234" t="s">
        <v>40</v>
      </c>
      <c r="Q25" s="234">
        <v>12587</v>
      </c>
      <c r="R25" s="234">
        <v>1116</v>
      </c>
      <c r="S25" s="236">
        <f t="shared" si="1"/>
        <v>8.8662906173035669E-2</v>
      </c>
      <c r="T25" s="237">
        <f t="shared" si="2"/>
        <v>2.1643006748894578E-2</v>
      </c>
    </row>
    <row r="26" spans="1:20" s="17" customFormat="1" ht="19.5" customHeight="1" thickBot="1" x14ac:dyDescent="0.3">
      <c r="A26" s="254" t="s">
        <v>227</v>
      </c>
      <c r="B26" s="255">
        <v>8486615</v>
      </c>
      <c r="C26" s="255">
        <v>6482663</v>
      </c>
      <c r="D26" s="255">
        <v>5743626</v>
      </c>
      <c r="E26" s="255">
        <v>4381897</v>
      </c>
      <c r="F26" s="255">
        <v>3560538</v>
      </c>
      <c r="G26" s="255">
        <v>2323393</v>
      </c>
      <c r="H26" s="255">
        <v>1013276</v>
      </c>
      <c r="I26" s="255">
        <v>223342</v>
      </c>
      <c r="J26" s="255">
        <v>9833</v>
      </c>
      <c r="K26" s="255">
        <v>32225183</v>
      </c>
      <c r="L26" s="238">
        <f>SUM(L2:L25)</f>
        <v>10032367</v>
      </c>
      <c r="M26" s="239"/>
      <c r="N26" s="239">
        <f>SUM(N2:N25)</f>
        <v>1133104</v>
      </c>
      <c r="O26" s="240">
        <f t="shared" si="0"/>
        <v>0.11294483146400047</v>
      </c>
      <c r="P26" s="241"/>
      <c r="Q26" s="239">
        <f>SUM(Q2:Q25)</f>
        <v>347656</v>
      </c>
      <c r="R26" s="239">
        <f>SUM(R2:R25)</f>
        <v>46302</v>
      </c>
      <c r="S26" s="242">
        <f t="shared" si="1"/>
        <v>0.13318337667119221</v>
      </c>
      <c r="T26" s="243">
        <f t="shared" si="2"/>
        <v>4.0862974625453623E-2</v>
      </c>
    </row>
    <row r="27" spans="1:20" ht="15" customHeight="1" x14ac:dyDescent="0.25">
      <c r="N27" s="603">
        <v>5994930</v>
      </c>
      <c r="O27" s="604">
        <f>N27/L26</f>
        <v>0.59755888116931921</v>
      </c>
    </row>
  </sheetData>
  <sortState xmlns:xlrd2="http://schemas.microsoft.com/office/spreadsheetml/2017/richdata2" ref="M2:N25">
    <sortCondition ref="M2:M25"/>
  </sortState>
  <phoneticPr fontId="5" type="noConversion"/>
  <conditionalFormatting sqref="O2:O27">
    <cfRule type="colorScale" priority="3">
      <colorScale>
        <cfvo type="min"/>
        <cfvo type="percentile" val="50"/>
        <cfvo type="max"/>
        <color rgb="FFF8696B"/>
        <color rgb="FFFFEB84"/>
        <color rgb="FF63BE7B"/>
      </colorScale>
    </cfRule>
  </conditionalFormatting>
  <conditionalFormatting sqref="S2:S26">
    <cfRule type="colorScale" priority="2">
      <colorScale>
        <cfvo type="min"/>
        <cfvo type="percentile" val="50"/>
        <cfvo type="max"/>
        <color rgb="FF63BE7B"/>
        <color rgb="FFFFEB84"/>
        <color rgb="FFF8696B"/>
      </colorScale>
    </cfRule>
  </conditionalFormatting>
  <conditionalFormatting sqref="T2:T26">
    <cfRule type="colorScale" priority="1">
      <colorScale>
        <cfvo type="min"/>
        <cfvo type="percentile" val="50"/>
        <cfvo type="max"/>
        <color rgb="FF63BE7B"/>
        <color rgb="FFFFEB84"/>
        <color rgb="FFF8696B"/>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4"/>
  <dimension ref="A1:AW1072"/>
  <sheetViews>
    <sheetView topLeftCell="A34" zoomScale="85" zoomScaleNormal="85" workbookViewId="0">
      <selection activeCell="B17" sqref="B17"/>
    </sheetView>
  </sheetViews>
  <sheetFormatPr baseColWidth="10" defaultRowHeight="15" x14ac:dyDescent="0.25"/>
  <cols>
    <col min="1" max="1" width="11" bestFit="1" customWidth="1"/>
    <col min="2" max="2" width="9.28515625" customWidth="1"/>
    <col min="3" max="3" width="7" bestFit="1" customWidth="1"/>
    <col min="4" max="4" width="8.85546875" bestFit="1" customWidth="1"/>
    <col min="5" max="5" width="13.5703125" style="6" bestFit="1" customWidth="1"/>
    <col min="6" max="6" width="11.42578125" style="6"/>
    <col min="7" max="7" width="20.42578125" style="6" bestFit="1" customWidth="1"/>
    <col min="8" max="49" width="11.42578125" style="6"/>
  </cols>
  <sheetData>
    <row r="1" spans="1:7" s="16" customFormat="1" x14ac:dyDescent="0.25">
      <c r="A1" s="20" t="s">
        <v>24</v>
      </c>
      <c r="B1" s="21" t="s">
        <v>73</v>
      </c>
      <c r="C1" s="20" t="s">
        <v>74</v>
      </c>
      <c r="D1" s="20" t="s">
        <v>75</v>
      </c>
      <c r="E1" s="20" t="s">
        <v>76</v>
      </c>
      <c r="F1" s="22" t="s">
        <v>77</v>
      </c>
      <c r="G1" s="20" t="s">
        <v>44</v>
      </c>
    </row>
    <row r="2" spans="1:7" x14ac:dyDescent="0.25">
      <c r="A2" s="5" t="s">
        <v>78</v>
      </c>
      <c r="B2" s="10" t="s">
        <v>79</v>
      </c>
      <c r="C2" s="5" t="s">
        <v>80</v>
      </c>
      <c r="D2" s="9" t="s">
        <v>81</v>
      </c>
      <c r="E2" s="4">
        <v>129.33000000000001</v>
      </c>
      <c r="F2" s="7">
        <v>597969</v>
      </c>
      <c r="G2" s="19" t="s">
        <v>45</v>
      </c>
    </row>
    <row r="3" spans="1:7" x14ac:dyDescent="0.25">
      <c r="A3" s="5" t="s">
        <v>78</v>
      </c>
      <c r="B3" s="10" t="s">
        <v>79</v>
      </c>
      <c r="C3" s="5" t="s">
        <v>80</v>
      </c>
      <c r="D3" s="9" t="s">
        <v>82</v>
      </c>
      <c r="E3" s="4">
        <v>52.479999999999897</v>
      </c>
      <c r="F3" s="7">
        <v>356392</v>
      </c>
      <c r="G3" s="19" t="s">
        <v>46</v>
      </c>
    </row>
    <row r="4" spans="1:7" x14ac:dyDescent="0.25">
      <c r="A4" s="5" t="s">
        <v>78</v>
      </c>
      <c r="B4" s="10" t="s">
        <v>79</v>
      </c>
      <c r="C4" s="5" t="s">
        <v>80</v>
      </c>
      <c r="D4" s="9" t="s">
        <v>81</v>
      </c>
      <c r="E4" s="4">
        <v>221.009999999999</v>
      </c>
      <c r="F4" s="7">
        <v>365771</v>
      </c>
      <c r="G4" s="19" t="s">
        <v>47</v>
      </c>
    </row>
    <row r="5" spans="1:7" x14ac:dyDescent="0.25">
      <c r="A5" s="5" t="s">
        <v>78</v>
      </c>
      <c r="B5" s="10" t="s">
        <v>79</v>
      </c>
      <c r="C5" s="5"/>
      <c r="D5" s="9" t="s">
        <v>83</v>
      </c>
      <c r="E5" s="4">
        <v>137.59</v>
      </c>
      <c r="F5" s="7">
        <v>96701</v>
      </c>
      <c r="G5" s="19" t="s">
        <v>84</v>
      </c>
    </row>
    <row r="6" spans="1:7" x14ac:dyDescent="0.25">
      <c r="A6" s="5" t="s">
        <v>78</v>
      </c>
      <c r="B6" s="10" t="s">
        <v>79</v>
      </c>
      <c r="C6" s="5"/>
      <c r="D6" s="9"/>
      <c r="E6" s="4">
        <v>1126.02</v>
      </c>
      <c r="F6" s="7">
        <v>31023</v>
      </c>
      <c r="G6" s="19" t="s">
        <v>85</v>
      </c>
    </row>
    <row r="7" spans="1:7" x14ac:dyDescent="0.25">
      <c r="A7" s="5" t="s">
        <v>43</v>
      </c>
      <c r="B7" s="10" t="s">
        <v>79</v>
      </c>
      <c r="C7" s="5"/>
      <c r="D7" s="9" t="s">
        <v>82</v>
      </c>
      <c r="E7" s="4">
        <v>203.45</v>
      </c>
      <c r="F7" s="7">
        <v>3075646</v>
      </c>
      <c r="G7" s="19" t="s">
        <v>43</v>
      </c>
    </row>
    <row r="8" spans="1:7" x14ac:dyDescent="0.25">
      <c r="A8" s="5" t="s">
        <v>78</v>
      </c>
      <c r="B8" s="10" t="s">
        <v>79</v>
      </c>
      <c r="C8" s="5"/>
      <c r="D8" s="9"/>
      <c r="E8" s="4">
        <v>954.53999999999905</v>
      </c>
      <c r="F8" s="7">
        <v>105552</v>
      </c>
      <c r="G8" s="19" t="s">
        <v>86</v>
      </c>
    </row>
    <row r="9" spans="1:7" x14ac:dyDescent="0.25">
      <c r="A9" s="5" t="s">
        <v>78</v>
      </c>
      <c r="B9" s="10" t="s">
        <v>79</v>
      </c>
      <c r="C9" s="5"/>
      <c r="D9" s="9"/>
      <c r="E9" s="4">
        <v>1190.1099999999899</v>
      </c>
      <c r="F9" s="7">
        <v>62921</v>
      </c>
      <c r="G9" s="19" t="s">
        <v>87</v>
      </c>
    </row>
    <row r="10" spans="1:7" x14ac:dyDescent="0.25">
      <c r="A10" s="5" t="s">
        <v>78</v>
      </c>
      <c r="B10" s="10" t="s">
        <v>79</v>
      </c>
      <c r="C10" s="5"/>
      <c r="D10" s="9" t="s">
        <v>83</v>
      </c>
      <c r="E10" s="4">
        <v>99.93</v>
      </c>
      <c r="F10" s="7">
        <v>61783</v>
      </c>
      <c r="G10" s="19" t="s">
        <v>88</v>
      </c>
    </row>
    <row r="11" spans="1:7" x14ac:dyDescent="0.25">
      <c r="A11" s="5" t="s">
        <v>78</v>
      </c>
      <c r="B11" s="10" t="s">
        <v>79</v>
      </c>
      <c r="C11" s="5" t="s">
        <v>89</v>
      </c>
      <c r="D11" s="9" t="s">
        <v>83</v>
      </c>
      <c r="E11" s="4">
        <v>303.75</v>
      </c>
      <c r="F11" s="7">
        <v>255073</v>
      </c>
      <c r="G11" s="19" t="s">
        <v>48</v>
      </c>
    </row>
    <row r="12" spans="1:7" x14ac:dyDescent="0.25">
      <c r="A12" s="5" t="s">
        <v>78</v>
      </c>
      <c r="B12" s="10" t="s">
        <v>79</v>
      </c>
      <c r="C12" s="5" t="s">
        <v>80</v>
      </c>
      <c r="D12" s="9" t="s">
        <v>81</v>
      </c>
      <c r="E12" s="4">
        <v>120.22</v>
      </c>
      <c r="F12" s="7">
        <v>370900</v>
      </c>
      <c r="G12" s="19" t="s">
        <v>49</v>
      </c>
    </row>
    <row r="13" spans="1:7" x14ac:dyDescent="0.25">
      <c r="A13" s="5" t="s">
        <v>78</v>
      </c>
      <c r="B13" s="10" t="s">
        <v>79</v>
      </c>
      <c r="C13" s="5"/>
      <c r="D13" s="9"/>
      <c r="E13" s="4">
        <v>634.16999999999905</v>
      </c>
      <c r="F13" s="7">
        <v>36545</v>
      </c>
      <c r="G13" s="19" t="s">
        <v>97</v>
      </c>
    </row>
    <row r="14" spans="1:7" x14ac:dyDescent="0.25">
      <c r="A14" s="5" t="s">
        <v>78</v>
      </c>
      <c r="B14" s="10" t="s">
        <v>79</v>
      </c>
      <c r="C14" s="5" t="s">
        <v>80</v>
      </c>
      <c r="D14" s="9" t="s">
        <v>81</v>
      </c>
      <c r="E14" s="4">
        <v>236.81</v>
      </c>
      <c r="F14" s="7">
        <v>219031</v>
      </c>
      <c r="G14" s="25" t="s">
        <v>50</v>
      </c>
    </row>
    <row r="15" spans="1:7" x14ac:dyDescent="0.25">
      <c r="A15" s="5" t="s">
        <v>78</v>
      </c>
      <c r="B15" s="10" t="s">
        <v>79</v>
      </c>
      <c r="C15" s="5" t="s">
        <v>80</v>
      </c>
      <c r="D15" s="9" t="s">
        <v>81</v>
      </c>
      <c r="E15" s="4">
        <v>189.9</v>
      </c>
      <c r="F15" s="7">
        <v>517082</v>
      </c>
      <c r="G15" s="19" t="s">
        <v>51</v>
      </c>
    </row>
    <row r="16" spans="1:7" x14ac:dyDescent="0.25">
      <c r="A16" s="5" t="s">
        <v>78</v>
      </c>
      <c r="B16" s="10" t="s">
        <v>79</v>
      </c>
      <c r="C16" s="5"/>
      <c r="D16" s="9"/>
      <c r="E16" s="4">
        <v>720.1</v>
      </c>
      <c r="F16" s="7">
        <v>17412</v>
      </c>
      <c r="G16" s="19" t="s">
        <v>90</v>
      </c>
    </row>
    <row r="17" spans="1:7" x14ac:dyDescent="0.25">
      <c r="A17" s="5" t="s">
        <v>78</v>
      </c>
      <c r="B17" s="10" t="s">
        <v>79</v>
      </c>
      <c r="C17" s="5" t="s">
        <v>91</v>
      </c>
      <c r="D17" s="9" t="s">
        <v>83</v>
      </c>
      <c r="E17" s="4">
        <v>55.75</v>
      </c>
      <c r="F17" s="7">
        <v>109695</v>
      </c>
      <c r="G17" s="19" t="s">
        <v>52</v>
      </c>
    </row>
    <row r="18" spans="1:7" x14ac:dyDescent="0.25">
      <c r="A18" s="5" t="s">
        <v>78</v>
      </c>
      <c r="B18" s="10" t="s">
        <v>79</v>
      </c>
      <c r="C18" s="5" t="s">
        <v>89</v>
      </c>
      <c r="D18" s="9" t="s">
        <v>82</v>
      </c>
      <c r="E18" s="4">
        <v>2145.2800000000002</v>
      </c>
      <c r="F18" s="7">
        <v>425265</v>
      </c>
      <c r="G18" s="19" t="s">
        <v>53</v>
      </c>
    </row>
    <row r="19" spans="1:7" x14ac:dyDescent="0.25">
      <c r="A19" s="5" t="s">
        <v>78</v>
      </c>
      <c r="B19" s="10" t="s">
        <v>79</v>
      </c>
      <c r="C19" s="5" t="s">
        <v>91</v>
      </c>
      <c r="D19" s="9" t="s">
        <v>81</v>
      </c>
      <c r="E19" s="4">
        <v>35.43</v>
      </c>
      <c r="F19" s="7">
        <v>193583</v>
      </c>
      <c r="G19" s="25" t="s">
        <v>54</v>
      </c>
    </row>
    <row r="20" spans="1:7" x14ac:dyDescent="0.25">
      <c r="A20" s="5" t="s">
        <v>78</v>
      </c>
      <c r="B20" s="10" t="s">
        <v>79</v>
      </c>
      <c r="C20" s="5" t="s">
        <v>91</v>
      </c>
      <c r="D20" s="9" t="s">
        <v>81</v>
      </c>
      <c r="E20" s="4">
        <v>38.24</v>
      </c>
      <c r="F20" s="7">
        <v>180914</v>
      </c>
      <c r="G20" s="25" t="s">
        <v>55</v>
      </c>
    </row>
    <row r="21" spans="1:7" x14ac:dyDescent="0.25">
      <c r="A21" s="5" t="s">
        <v>78</v>
      </c>
      <c r="B21" s="10" t="s">
        <v>79</v>
      </c>
      <c r="C21" s="5" t="s">
        <v>89</v>
      </c>
      <c r="D21" s="9" t="s">
        <v>81</v>
      </c>
      <c r="E21" s="4">
        <v>50.159999999999897</v>
      </c>
      <c r="F21" s="7">
        <v>307443</v>
      </c>
      <c r="G21" s="25" t="s">
        <v>56</v>
      </c>
    </row>
    <row r="22" spans="1:7" x14ac:dyDescent="0.25">
      <c r="A22" s="5" t="s">
        <v>78</v>
      </c>
      <c r="B22" s="10" t="s">
        <v>79</v>
      </c>
      <c r="C22" s="5" t="s">
        <v>91</v>
      </c>
      <c r="D22" s="9" t="s">
        <v>82</v>
      </c>
      <c r="E22" s="4">
        <v>329.22</v>
      </c>
      <c r="F22" s="7">
        <v>2281194</v>
      </c>
      <c r="G22" s="19" t="s">
        <v>57</v>
      </c>
    </row>
    <row r="23" spans="1:7" x14ac:dyDescent="0.25">
      <c r="A23" s="5" t="s">
        <v>78</v>
      </c>
      <c r="B23" s="10" t="s">
        <v>79</v>
      </c>
      <c r="C23" s="5"/>
      <c r="D23" s="9" t="s">
        <v>83</v>
      </c>
      <c r="E23" s="4">
        <v>942.23</v>
      </c>
      <c r="F23" s="7">
        <v>713947</v>
      </c>
      <c r="G23" s="19" t="s">
        <v>92</v>
      </c>
    </row>
    <row r="24" spans="1:7" x14ac:dyDescent="0.25">
      <c r="A24" s="5" t="s">
        <v>78</v>
      </c>
      <c r="B24" s="10" t="s">
        <v>79</v>
      </c>
      <c r="C24" s="5" t="s">
        <v>80</v>
      </c>
      <c r="D24" s="9" t="s">
        <v>82</v>
      </c>
      <c r="E24" s="4">
        <v>48.35</v>
      </c>
      <c r="F24" s="7">
        <v>462827</v>
      </c>
      <c r="G24" s="19" t="s">
        <v>58</v>
      </c>
    </row>
    <row r="25" spans="1:7" x14ac:dyDescent="0.25">
      <c r="A25" s="5" t="s">
        <v>78</v>
      </c>
      <c r="B25" s="10" t="s">
        <v>79</v>
      </c>
      <c r="C25" s="5" t="s">
        <v>80</v>
      </c>
      <c r="D25" s="9" t="s">
        <v>82</v>
      </c>
      <c r="E25" s="4">
        <v>87.299999999999898</v>
      </c>
      <c r="F25" s="7">
        <v>648312</v>
      </c>
      <c r="G25" s="19" t="s">
        <v>98</v>
      </c>
    </row>
    <row r="26" spans="1:7" x14ac:dyDescent="0.25">
      <c r="A26" s="5" t="s">
        <v>78</v>
      </c>
      <c r="B26" s="10" t="s">
        <v>79</v>
      </c>
      <c r="C26" s="5"/>
      <c r="D26" s="9"/>
      <c r="E26" s="4">
        <v>777.13</v>
      </c>
      <c r="F26" s="7">
        <v>119805</v>
      </c>
      <c r="G26" s="19" t="s">
        <v>93</v>
      </c>
    </row>
    <row r="27" spans="1:7" x14ac:dyDescent="0.25">
      <c r="A27" s="5" t="s">
        <v>78</v>
      </c>
      <c r="B27" s="10" t="s">
        <v>79</v>
      </c>
      <c r="C27" s="5" t="s">
        <v>89</v>
      </c>
      <c r="D27" s="9" t="s">
        <v>81</v>
      </c>
      <c r="E27" s="4">
        <v>63.09</v>
      </c>
      <c r="F27" s="7">
        <v>359953</v>
      </c>
      <c r="G27" s="19" t="s">
        <v>59</v>
      </c>
    </row>
    <row r="28" spans="1:7" x14ac:dyDescent="0.25">
      <c r="A28" s="5" t="s">
        <v>78</v>
      </c>
      <c r="B28" s="10" t="s">
        <v>79</v>
      </c>
      <c r="C28" s="5" t="s">
        <v>91</v>
      </c>
      <c r="D28" s="9" t="s">
        <v>83</v>
      </c>
      <c r="E28" s="4">
        <v>455.12</v>
      </c>
      <c r="F28" s="7">
        <v>66466</v>
      </c>
      <c r="G28" s="19" t="s">
        <v>60</v>
      </c>
    </row>
    <row r="29" spans="1:7" x14ac:dyDescent="0.25">
      <c r="A29" s="5" t="s">
        <v>78</v>
      </c>
      <c r="B29" s="10" t="s">
        <v>79</v>
      </c>
      <c r="C29" s="5"/>
      <c r="D29" s="9"/>
      <c r="E29" s="4">
        <v>1049.47</v>
      </c>
      <c r="F29" s="7">
        <v>67793</v>
      </c>
      <c r="G29" s="19" t="s">
        <v>94</v>
      </c>
    </row>
    <row r="30" spans="1:7" x14ac:dyDescent="0.25">
      <c r="A30" s="5" t="s">
        <v>78</v>
      </c>
      <c r="B30" s="10" t="s">
        <v>79</v>
      </c>
      <c r="C30" s="5" t="s">
        <v>91</v>
      </c>
      <c r="D30" s="9" t="s">
        <v>81</v>
      </c>
      <c r="E30" s="4">
        <v>173.13</v>
      </c>
      <c r="F30" s="7">
        <v>606413</v>
      </c>
      <c r="G30" s="19" t="s">
        <v>61</v>
      </c>
    </row>
    <row r="31" spans="1:7" x14ac:dyDescent="0.25">
      <c r="A31" s="5" t="s">
        <v>78</v>
      </c>
      <c r="B31" s="10" t="s">
        <v>79</v>
      </c>
      <c r="C31" s="5" t="s">
        <v>91</v>
      </c>
      <c r="D31" s="9" t="s">
        <v>81</v>
      </c>
      <c r="E31" s="4">
        <v>186.13</v>
      </c>
      <c r="F31" s="7">
        <v>541691</v>
      </c>
      <c r="G31" s="19" t="s">
        <v>62</v>
      </c>
    </row>
    <row r="32" spans="1:7" x14ac:dyDescent="0.25">
      <c r="A32" s="5" t="s">
        <v>78</v>
      </c>
      <c r="B32" s="10" t="s">
        <v>79</v>
      </c>
      <c r="C32" s="5" t="s">
        <v>91</v>
      </c>
      <c r="D32" s="9" t="s">
        <v>82</v>
      </c>
      <c r="E32" s="4">
        <v>55.659999999999897</v>
      </c>
      <c r="F32" s="7">
        <v>318632</v>
      </c>
      <c r="G32" s="19" t="s">
        <v>63</v>
      </c>
    </row>
    <row r="33" spans="1:7" x14ac:dyDescent="0.25">
      <c r="A33" s="5" t="s">
        <v>78</v>
      </c>
      <c r="B33" s="10" t="s">
        <v>79</v>
      </c>
      <c r="C33" s="5" t="s">
        <v>89</v>
      </c>
      <c r="D33" s="9" t="s">
        <v>83</v>
      </c>
      <c r="E33" s="4">
        <v>383.00999999999902</v>
      </c>
      <c r="F33" s="7">
        <v>378167</v>
      </c>
      <c r="G33" s="19" t="s">
        <v>64</v>
      </c>
    </row>
    <row r="34" spans="1:7" x14ac:dyDescent="0.25">
      <c r="A34" s="5" t="s">
        <v>78</v>
      </c>
      <c r="B34" s="10" t="s">
        <v>79</v>
      </c>
      <c r="C34" s="5" t="s">
        <v>80</v>
      </c>
      <c r="D34" s="9" t="s">
        <v>83</v>
      </c>
      <c r="E34" s="4">
        <v>120.73</v>
      </c>
      <c r="F34" s="7">
        <v>105918</v>
      </c>
      <c r="G34" s="25" t="s">
        <v>65</v>
      </c>
    </row>
    <row r="35" spans="1:7" x14ac:dyDescent="0.25">
      <c r="A35" s="5" t="s">
        <v>78</v>
      </c>
      <c r="B35" s="10" t="s">
        <v>79</v>
      </c>
      <c r="C35" s="5" t="s">
        <v>80</v>
      </c>
      <c r="D35" s="9" t="s">
        <v>81</v>
      </c>
      <c r="E35" s="4">
        <v>91.489999999999895</v>
      </c>
      <c r="F35" s="7">
        <v>664783</v>
      </c>
      <c r="G35" s="19" t="s">
        <v>66</v>
      </c>
    </row>
    <row r="36" spans="1:7" x14ac:dyDescent="0.25">
      <c r="A36" s="5" t="s">
        <v>78</v>
      </c>
      <c r="B36" s="10" t="s">
        <v>79</v>
      </c>
      <c r="C36" s="5" t="s">
        <v>89</v>
      </c>
      <c r="D36" s="9" t="s">
        <v>81</v>
      </c>
      <c r="E36" s="4">
        <v>877.08</v>
      </c>
      <c r="F36" s="7">
        <v>174883</v>
      </c>
      <c r="G36" s="19" t="s">
        <v>67</v>
      </c>
    </row>
    <row r="37" spans="1:7" x14ac:dyDescent="0.25">
      <c r="A37" s="5" t="s">
        <v>78</v>
      </c>
      <c r="B37" s="10" t="s">
        <v>79</v>
      </c>
      <c r="C37" s="5" t="s">
        <v>89</v>
      </c>
      <c r="D37" s="9" t="s">
        <v>82</v>
      </c>
      <c r="E37" s="4">
        <v>51.439999999999898</v>
      </c>
      <c r="F37" s="7">
        <v>292224</v>
      </c>
      <c r="G37" s="19" t="s">
        <v>68</v>
      </c>
    </row>
    <row r="38" spans="1:7" x14ac:dyDescent="0.25">
      <c r="A38" s="5" t="s">
        <v>78</v>
      </c>
      <c r="B38" s="10" t="s">
        <v>79</v>
      </c>
      <c r="C38" s="5" t="s">
        <v>89</v>
      </c>
      <c r="D38" s="9" t="s">
        <v>81</v>
      </c>
      <c r="E38" s="4">
        <v>82.799999999999898</v>
      </c>
      <c r="F38" s="7">
        <v>304122</v>
      </c>
      <c r="G38" s="25" t="s">
        <v>69</v>
      </c>
    </row>
    <row r="39" spans="1:7" x14ac:dyDescent="0.25">
      <c r="A39" s="5" t="s">
        <v>78</v>
      </c>
      <c r="B39" s="10" t="s">
        <v>79</v>
      </c>
      <c r="C39" s="5" t="s">
        <v>80</v>
      </c>
      <c r="D39" s="9" t="s">
        <v>83</v>
      </c>
      <c r="E39" s="4">
        <v>656.26999999999896</v>
      </c>
      <c r="F39" s="7">
        <v>77161</v>
      </c>
      <c r="G39" s="19" t="s">
        <v>70</v>
      </c>
    </row>
    <row r="40" spans="1:7" x14ac:dyDescent="0.25">
      <c r="A40" s="5" t="s">
        <v>78</v>
      </c>
      <c r="B40" s="10" t="s">
        <v>79</v>
      </c>
      <c r="C40" s="5" t="s">
        <v>89</v>
      </c>
      <c r="D40" s="9" t="s">
        <v>81</v>
      </c>
      <c r="E40" s="4">
        <v>304.35000000000002</v>
      </c>
      <c r="F40" s="7">
        <v>462998</v>
      </c>
      <c r="G40" s="19" t="s">
        <v>71</v>
      </c>
    </row>
    <row r="41" spans="1:7" x14ac:dyDescent="0.25">
      <c r="A41" s="5" t="s">
        <v>78</v>
      </c>
      <c r="B41" s="10" t="s">
        <v>79</v>
      </c>
      <c r="C41" s="5" t="s">
        <v>91</v>
      </c>
      <c r="D41" s="9" t="s">
        <v>82</v>
      </c>
      <c r="E41" s="4">
        <v>43.0399999999999</v>
      </c>
      <c r="F41" s="7">
        <v>344067</v>
      </c>
      <c r="G41" s="19" t="s">
        <v>96</v>
      </c>
    </row>
    <row r="42" spans="1:7" x14ac:dyDescent="0.25">
      <c r="A42" s="5" t="s">
        <v>78</v>
      </c>
      <c r="B42" s="10" t="s">
        <v>79</v>
      </c>
      <c r="C42" s="5" t="s">
        <v>89</v>
      </c>
      <c r="D42" s="9" t="s">
        <v>82</v>
      </c>
      <c r="E42" s="4">
        <v>33.770000000000003</v>
      </c>
      <c r="F42" s="7">
        <v>267655</v>
      </c>
      <c r="G42" s="19" t="s">
        <v>72</v>
      </c>
    </row>
    <row r="43" spans="1:7" x14ac:dyDescent="0.25">
      <c r="A43" s="5" t="s">
        <v>78</v>
      </c>
      <c r="B43" s="10" t="s">
        <v>79</v>
      </c>
      <c r="C43" s="5"/>
      <c r="D43" s="9"/>
      <c r="E43" s="4">
        <v>1188.8499999999899</v>
      </c>
      <c r="F43" s="7">
        <v>128096</v>
      </c>
      <c r="G43" s="19" t="s">
        <v>95</v>
      </c>
    </row>
    <row r="937" spans="15:49" x14ac:dyDescent="0.25">
      <c r="O937" s="16"/>
      <c r="P937" s="16"/>
      <c r="T937"/>
      <c r="U937"/>
      <c r="V937"/>
      <c r="W937"/>
      <c r="X937"/>
      <c r="Y937"/>
      <c r="Z937"/>
      <c r="AA937"/>
      <c r="AB937"/>
      <c r="AC937"/>
      <c r="AD937"/>
      <c r="AE937"/>
      <c r="AF937"/>
      <c r="AG937"/>
      <c r="AH937"/>
      <c r="AI937"/>
      <c r="AJ937"/>
      <c r="AK937"/>
      <c r="AL937"/>
      <c r="AM937"/>
      <c r="AN937"/>
      <c r="AO937"/>
      <c r="AP937"/>
      <c r="AQ937"/>
      <c r="AR937"/>
      <c r="AS937"/>
      <c r="AT937"/>
      <c r="AU937"/>
      <c r="AV937"/>
      <c r="AW937"/>
    </row>
    <row r="938" spans="15:49" x14ac:dyDescent="0.25">
      <c r="O938"/>
      <c r="P938"/>
      <c r="T938"/>
      <c r="U938"/>
      <c r="V938"/>
      <c r="W938"/>
      <c r="X938"/>
      <c r="Y938"/>
      <c r="Z938"/>
      <c r="AA938"/>
      <c r="AB938"/>
      <c r="AC938"/>
      <c r="AD938"/>
      <c r="AE938"/>
      <c r="AF938"/>
      <c r="AG938"/>
      <c r="AH938"/>
      <c r="AI938"/>
      <c r="AJ938"/>
      <c r="AK938"/>
      <c r="AL938"/>
      <c r="AM938"/>
      <c r="AN938"/>
      <c r="AO938"/>
      <c r="AP938"/>
      <c r="AQ938"/>
      <c r="AR938"/>
      <c r="AS938"/>
      <c r="AT938"/>
      <c r="AU938"/>
      <c r="AV938"/>
      <c r="AW938"/>
    </row>
    <row r="939" spans="15:49" x14ac:dyDescent="0.25">
      <c r="O939"/>
      <c r="P939"/>
      <c r="T939"/>
      <c r="U939"/>
      <c r="V939"/>
      <c r="W939"/>
      <c r="X939"/>
      <c r="Y939"/>
      <c r="Z939"/>
      <c r="AA939"/>
      <c r="AB939"/>
      <c r="AC939"/>
      <c r="AD939"/>
      <c r="AE939"/>
      <c r="AF939"/>
      <c r="AG939"/>
      <c r="AH939"/>
      <c r="AI939"/>
      <c r="AJ939"/>
      <c r="AK939"/>
      <c r="AL939"/>
      <c r="AM939"/>
      <c r="AN939"/>
      <c r="AO939"/>
      <c r="AP939"/>
      <c r="AQ939"/>
      <c r="AR939"/>
      <c r="AS939"/>
      <c r="AT939"/>
      <c r="AU939"/>
      <c r="AV939"/>
      <c r="AW939"/>
    </row>
    <row r="940" spans="15:49" x14ac:dyDescent="0.25">
      <c r="O940"/>
      <c r="P940"/>
      <c r="T940"/>
      <c r="U940"/>
      <c r="V940"/>
      <c r="W940"/>
      <c r="X940"/>
      <c r="Y940"/>
      <c r="Z940"/>
      <c r="AA940"/>
      <c r="AB940"/>
      <c r="AC940"/>
      <c r="AD940"/>
      <c r="AE940"/>
      <c r="AF940"/>
      <c r="AG940"/>
      <c r="AH940"/>
      <c r="AI940"/>
      <c r="AJ940"/>
      <c r="AK940"/>
      <c r="AL940"/>
      <c r="AM940"/>
      <c r="AN940"/>
      <c r="AO940"/>
      <c r="AP940"/>
      <c r="AQ940"/>
      <c r="AR940"/>
      <c r="AS940"/>
      <c r="AT940"/>
      <c r="AU940"/>
      <c r="AV940"/>
      <c r="AW940"/>
    </row>
    <row r="941" spans="15:49" x14ac:dyDescent="0.25">
      <c r="O941"/>
      <c r="P941"/>
      <c r="T941"/>
      <c r="U941"/>
      <c r="V941"/>
      <c r="W941"/>
      <c r="X941"/>
      <c r="Y941"/>
      <c r="Z941"/>
      <c r="AA941"/>
      <c r="AB941"/>
      <c r="AC941"/>
      <c r="AD941"/>
      <c r="AE941"/>
      <c r="AF941"/>
      <c r="AG941"/>
      <c r="AH941"/>
      <c r="AI941"/>
      <c r="AJ941"/>
      <c r="AK941"/>
      <c r="AL941"/>
      <c r="AM941"/>
      <c r="AN941"/>
      <c r="AO941"/>
      <c r="AP941"/>
      <c r="AQ941"/>
      <c r="AR941"/>
      <c r="AS941"/>
      <c r="AT941"/>
      <c r="AU941"/>
      <c r="AV941"/>
      <c r="AW941"/>
    </row>
    <row r="942" spans="15:49" x14ac:dyDescent="0.25">
      <c r="O942"/>
      <c r="P942"/>
      <c r="T942"/>
      <c r="U942"/>
      <c r="V942"/>
      <c r="W942"/>
      <c r="X942"/>
      <c r="Y942"/>
      <c r="Z942"/>
      <c r="AA942"/>
      <c r="AB942"/>
      <c r="AC942"/>
      <c r="AD942"/>
      <c r="AE942"/>
      <c r="AF942"/>
      <c r="AG942"/>
      <c r="AH942"/>
      <c r="AI942"/>
      <c r="AJ942"/>
      <c r="AK942"/>
      <c r="AL942"/>
      <c r="AM942"/>
      <c r="AN942"/>
      <c r="AO942"/>
      <c r="AP942"/>
      <c r="AQ942"/>
      <c r="AR942"/>
      <c r="AS942"/>
      <c r="AT942"/>
      <c r="AU942"/>
      <c r="AV942"/>
      <c r="AW942"/>
    </row>
    <row r="943" spans="15:49" x14ac:dyDescent="0.25">
      <c r="O943"/>
      <c r="P943"/>
      <c r="T943"/>
      <c r="U943"/>
      <c r="V943"/>
      <c r="W943"/>
      <c r="X943"/>
      <c r="Y943"/>
      <c r="Z943"/>
      <c r="AA943"/>
      <c r="AB943"/>
      <c r="AC943"/>
      <c r="AD943"/>
      <c r="AE943"/>
      <c r="AF943"/>
      <c r="AG943"/>
      <c r="AH943"/>
      <c r="AI943"/>
      <c r="AJ943"/>
      <c r="AK943"/>
      <c r="AL943"/>
      <c r="AM943"/>
      <c r="AN943"/>
      <c r="AO943"/>
      <c r="AP943"/>
      <c r="AQ943"/>
      <c r="AR943"/>
      <c r="AS943"/>
      <c r="AT943"/>
      <c r="AU943"/>
      <c r="AV943"/>
      <c r="AW943"/>
    </row>
    <row r="944" spans="15:49" x14ac:dyDescent="0.25">
      <c r="O944"/>
      <c r="P944"/>
      <c r="T944"/>
      <c r="U944"/>
      <c r="V944"/>
      <c r="W944"/>
      <c r="X944"/>
      <c r="Y944"/>
      <c r="Z944"/>
      <c r="AA944"/>
      <c r="AB944"/>
      <c r="AC944"/>
      <c r="AD944"/>
      <c r="AE944"/>
      <c r="AF944"/>
      <c r="AG944"/>
      <c r="AH944"/>
      <c r="AI944"/>
      <c r="AJ944"/>
      <c r="AK944"/>
      <c r="AL944"/>
      <c r="AM944"/>
      <c r="AN944"/>
      <c r="AO944"/>
      <c r="AP944"/>
      <c r="AQ944"/>
      <c r="AR944"/>
      <c r="AS944"/>
      <c r="AT944"/>
      <c r="AU944"/>
      <c r="AV944"/>
      <c r="AW944"/>
    </row>
    <row r="945" spans="15:49" x14ac:dyDescent="0.25">
      <c r="O945"/>
      <c r="P945"/>
      <c r="T945"/>
      <c r="U945"/>
      <c r="V945"/>
      <c r="W945"/>
      <c r="X945"/>
      <c r="Y945"/>
      <c r="Z945"/>
      <c r="AA945"/>
      <c r="AB945"/>
      <c r="AC945"/>
      <c r="AD945"/>
      <c r="AE945"/>
      <c r="AF945"/>
      <c r="AG945"/>
      <c r="AH945"/>
      <c r="AI945"/>
      <c r="AJ945"/>
      <c r="AK945"/>
      <c r="AL945"/>
      <c r="AM945"/>
      <c r="AN945"/>
      <c r="AO945"/>
      <c r="AP945"/>
      <c r="AQ945"/>
      <c r="AR945"/>
      <c r="AS945"/>
      <c r="AT945"/>
      <c r="AU945"/>
      <c r="AV945"/>
      <c r="AW945"/>
    </row>
    <row r="946" spans="15:49" x14ac:dyDescent="0.25">
      <c r="O946"/>
      <c r="P946"/>
      <c r="T946"/>
      <c r="U946"/>
      <c r="V946"/>
      <c r="W946"/>
      <c r="X946"/>
      <c r="Y946"/>
      <c r="Z946"/>
      <c r="AA946"/>
      <c r="AB946"/>
      <c r="AC946"/>
      <c r="AD946"/>
      <c r="AE946"/>
      <c r="AF946"/>
      <c r="AG946"/>
      <c r="AH946"/>
      <c r="AI946"/>
      <c r="AJ946"/>
      <c r="AK946"/>
      <c r="AL946"/>
      <c r="AM946"/>
      <c r="AN946"/>
      <c r="AO946"/>
      <c r="AP946"/>
      <c r="AQ946"/>
      <c r="AR946"/>
      <c r="AS946"/>
      <c r="AT946"/>
      <c r="AU946"/>
      <c r="AV946"/>
      <c r="AW946"/>
    </row>
    <row r="947" spans="15:49" x14ac:dyDescent="0.25">
      <c r="O947"/>
      <c r="P947"/>
      <c r="T947"/>
      <c r="U947"/>
      <c r="V947"/>
      <c r="W947"/>
      <c r="X947"/>
      <c r="Y947"/>
      <c r="Z947"/>
      <c r="AA947"/>
      <c r="AB947"/>
      <c r="AC947"/>
      <c r="AD947"/>
      <c r="AE947"/>
      <c r="AF947"/>
      <c r="AG947"/>
      <c r="AH947"/>
      <c r="AI947"/>
      <c r="AJ947"/>
      <c r="AK947"/>
      <c r="AL947"/>
      <c r="AM947"/>
      <c r="AN947"/>
      <c r="AO947"/>
      <c r="AP947"/>
      <c r="AQ947"/>
      <c r="AR947"/>
      <c r="AS947"/>
      <c r="AT947"/>
      <c r="AU947"/>
      <c r="AV947"/>
      <c r="AW947"/>
    </row>
    <row r="948" spans="15:49" x14ac:dyDescent="0.25">
      <c r="O948"/>
      <c r="P948"/>
      <c r="T948"/>
      <c r="U948"/>
      <c r="V948"/>
      <c r="W948"/>
      <c r="X948"/>
      <c r="Y948"/>
      <c r="Z948"/>
      <c r="AA948"/>
      <c r="AB948"/>
      <c r="AC948"/>
      <c r="AD948"/>
      <c r="AE948"/>
      <c r="AF948"/>
      <c r="AG948"/>
      <c r="AH948"/>
      <c r="AI948"/>
      <c r="AJ948"/>
      <c r="AK948"/>
      <c r="AL948"/>
      <c r="AM948"/>
      <c r="AN948"/>
      <c r="AO948"/>
      <c r="AP948"/>
      <c r="AQ948"/>
      <c r="AR948"/>
      <c r="AS948"/>
      <c r="AT948"/>
      <c r="AU948"/>
      <c r="AV948"/>
      <c r="AW948"/>
    </row>
    <row r="949" spans="15:49" x14ac:dyDescent="0.25">
      <c r="O949"/>
      <c r="P949"/>
      <c r="T949"/>
      <c r="U949"/>
      <c r="V949"/>
      <c r="W949"/>
      <c r="X949"/>
      <c r="Y949"/>
      <c r="Z949"/>
      <c r="AA949"/>
      <c r="AB949"/>
      <c r="AC949"/>
      <c r="AD949"/>
      <c r="AE949"/>
      <c r="AF949"/>
      <c r="AG949"/>
      <c r="AH949"/>
      <c r="AI949"/>
      <c r="AJ949"/>
      <c r="AK949"/>
      <c r="AL949"/>
      <c r="AM949"/>
      <c r="AN949"/>
      <c r="AO949"/>
      <c r="AP949"/>
      <c r="AQ949"/>
      <c r="AR949"/>
      <c r="AS949"/>
      <c r="AT949"/>
      <c r="AU949"/>
      <c r="AV949"/>
      <c r="AW949"/>
    </row>
    <row r="950" spans="15:49" x14ac:dyDescent="0.25">
      <c r="O950"/>
      <c r="P950"/>
      <c r="T950"/>
      <c r="U950"/>
      <c r="V950"/>
      <c r="W950"/>
      <c r="X950"/>
      <c r="Y950"/>
      <c r="Z950"/>
      <c r="AA950"/>
      <c r="AB950"/>
      <c r="AC950"/>
      <c r="AD950"/>
      <c r="AE950"/>
      <c r="AF950"/>
      <c r="AG950"/>
      <c r="AH950"/>
      <c r="AI950"/>
      <c r="AJ950"/>
      <c r="AK950"/>
      <c r="AL950"/>
      <c r="AM950"/>
      <c r="AN950"/>
      <c r="AO950"/>
      <c r="AP950"/>
      <c r="AQ950"/>
      <c r="AR950"/>
      <c r="AS950"/>
      <c r="AT950"/>
      <c r="AU950"/>
      <c r="AV950"/>
      <c r="AW950"/>
    </row>
    <row r="951" spans="15:49" x14ac:dyDescent="0.25">
      <c r="O951"/>
      <c r="P951"/>
      <c r="T951"/>
      <c r="U951"/>
      <c r="V951"/>
      <c r="W951"/>
      <c r="X951"/>
      <c r="Y951"/>
      <c r="Z951"/>
      <c r="AA951"/>
      <c r="AB951"/>
      <c r="AC951"/>
      <c r="AD951"/>
      <c r="AE951"/>
      <c r="AF951"/>
      <c r="AG951"/>
      <c r="AH951"/>
      <c r="AI951"/>
      <c r="AJ951"/>
      <c r="AK951"/>
      <c r="AL951"/>
      <c r="AM951"/>
      <c r="AN951"/>
      <c r="AO951"/>
      <c r="AP951"/>
      <c r="AQ951"/>
      <c r="AR951"/>
      <c r="AS951"/>
      <c r="AT951"/>
      <c r="AU951"/>
      <c r="AV951"/>
      <c r="AW951"/>
    </row>
    <row r="952" spans="15:49" x14ac:dyDescent="0.25">
      <c r="O952"/>
      <c r="P952"/>
      <c r="T952"/>
      <c r="U952"/>
      <c r="V952"/>
      <c r="W952"/>
      <c r="X952"/>
      <c r="Y952"/>
      <c r="Z952"/>
      <c r="AA952"/>
      <c r="AB952"/>
      <c r="AC952"/>
      <c r="AD952"/>
      <c r="AE952"/>
      <c r="AF952"/>
      <c r="AG952"/>
      <c r="AH952"/>
      <c r="AI952"/>
      <c r="AJ952"/>
      <c r="AK952"/>
      <c r="AL952"/>
      <c r="AM952"/>
      <c r="AN952"/>
      <c r="AO952"/>
      <c r="AP952"/>
      <c r="AQ952"/>
      <c r="AR952"/>
      <c r="AS952"/>
      <c r="AT952"/>
      <c r="AU952"/>
      <c r="AV952"/>
      <c r="AW952"/>
    </row>
    <row r="953" spans="15:49" x14ac:dyDescent="0.25">
      <c r="O953"/>
      <c r="P953"/>
      <c r="T953"/>
      <c r="U953"/>
      <c r="V953"/>
      <c r="W953"/>
      <c r="X953"/>
      <c r="Y953"/>
      <c r="Z953"/>
      <c r="AA953"/>
      <c r="AB953"/>
      <c r="AC953"/>
      <c r="AD953"/>
      <c r="AE953"/>
      <c r="AF953"/>
      <c r="AG953"/>
      <c r="AH953"/>
      <c r="AI953"/>
      <c r="AJ953"/>
      <c r="AK953"/>
      <c r="AL953"/>
      <c r="AM953"/>
      <c r="AN953"/>
      <c r="AO953"/>
      <c r="AP953"/>
      <c r="AQ953"/>
      <c r="AR953"/>
      <c r="AS953"/>
      <c r="AT953"/>
      <c r="AU953"/>
      <c r="AV953"/>
      <c r="AW953"/>
    </row>
    <row r="954" spans="15:49" x14ac:dyDescent="0.25">
      <c r="O954"/>
      <c r="P954"/>
      <c r="T954"/>
      <c r="U954"/>
      <c r="V954"/>
      <c r="W954"/>
      <c r="X954"/>
      <c r="Y954"/>
      <c r="Z954"/>
      <c r="AA954"/>
      <c r="AB954"/>
      <c r="AC954"/>
      <c r="AD954"/>
      <c r="AE954"/>
      <c r="AF954"/>
      <c r="AG954"/>
      <c r="AH954"/>
      <c r="AI954"/>
      <c r="AJ954"/>
      <c r="AK954"/>
      <c r="AL954"/>
      <c r="AM954"/>
      <c r="AN954"/>
      <c r="AO954"/>
      <c r="AP954"/>
      <c r="AQ954"/>
      <c r="AR954"/>
      <c r="AS954"/>
      <c r="AT954"/>
      <c r="AU954"/>
      <c r="AV954"/>
      <c r="AW954"/>
    </row>
    <row r="955" spans="15:49" x14ac:dyDescent="0.25">
      <c r="O955"/>
      <c r="P955"/>
      <c r="T955"/>
      <c r="U955"/>
      <c r="V955"/>
      <c r="W955"/>
      <c r="X955"/>
      <c r="Y955"/>
      <c r="Z955"/>
      <c r="AA955"/>
      <c r="AB955"/>
      <c r="AC955"/>
      <c r="AD955"/>
      <c r="AE955"/>
      <c r="AF955"/>
      <c r="AG955"/>
      <c r="AH955"/>
      <c r="AI955"/>
      <c r="AJ955"/>
      <c r="AK955"/>
      <c r="AL955"/>
      <c r="AM955"/>
      <c r="AN955"/>
      <c r="AO955"/>
      <c r="AP955"/>
      <c r="AQ955"/>
      <c r="AR955"/>
      <c r="AS955"/>
      <c r="AT955"/>
      <c r="AU955"/>
      <c r="AV955"/>
      <c r="AW955"/>
    </row>
    <row r="956" spans="15:49" x14ac:dyDescent="0.25">
      <c r="O956"/>
      <c r="P956"/>
      <c r="T956"/>
      <c r="U956"/>
      <c r="V956"/>
      <c r="W956"/>
      <c r="X956"/>
      <c r="Y956"/>
      <c r="Z956"/>
      <c r="AA956"/>
      <c r="AB956"/>
      <c r="AC956"/>
      <c r="AD956"/>
      <c r="AE956"/>
      <c r="AF956"/>
      <c r="AG956"/>
      <c r="AH956"/>
      <c r="AI956"/>
      <c r="AJ956"/>
      <c r="AK956"/>
      <c r="AL956"/>
      <c r="AM956"/>
      <c r="AN956"/>
      <c r="AO956"/>
      <c r="AP956"/>
      <c r="AQ956"/>
      <c r="AR956"/>
      <c r="AS956"/>
      <c r="AT956"/>
      <c r="AU956"/>
      <c r="AV956"/>
      <c r="AW956"/>
    </row>
    <row r="957" spans="15:49" x14ac:dyDescent="0.25">
      <c r="O957"/>
      <c r="P957"/>
      <c r="T957"/>
      <c r="U957"/>
      <c r="V957"/>
      <c r="W957"/>
      <c r="X957"/>
      <c r="Y957"/>
      <c r="Z957"/>
      <c r="AA957"/>
      <c r="AB957"/>
      <c r="AC957"/>
      <c r="AD957"/>
      <c r="AE957"/>
      <c r="AF957"/>
      <c r="AG957"/>
      <c r="AH957"/>
      <c r="AI957"/>
      <c r="AJ957"/>
      <c r="AK957"/>
      <c r="AL957"/>
      <c r="AM957"/>
      <c r="AN957"/>
      <c r="AO957"/>
      <c r="AP957"/>
      <c r="AQ957"/>
      <c r="AR957"/>
      <c r="AS957"/>
      <c r="AT957"/>
      <c r="AU957"/>
      <c r="AV957"/>
      <c r="AW957"/>
    </row>
    <row r="958" spans="15:49" x14ac:dyDescent="0.25">
      <c r="O958"/>
      <c r="P958"/>
      <c r="T958"/>
      <c r="U958"/>
      <c r="V958"/>
      <c r="W958"/>
      <c r="X958"/>
      <c r="Y958"/>
      <c r="Z958"/>
      <c r="AA958"/>
      <c r="AB958"/>
      <c r="AC958"/>
      <c r="AD958"/>
      <c r="AE958"/>
      <c r="AF958"/>
      <c r="AG958"/>
      <c r="AH958"/>
      <c r="AI958"/>
      <c r="AJ958"/>
      <c r="AK958"/>
      <c r="AL958"/>
      <c r="AM958"/>
      <c r="AN958"/>
      <c r="AO958"/>
      <c r="AP958"/>
      <c r="AQ958"/>
      <c r="AR958"/>
      <c r="AS958"/>
      <c r="AT958"/>
      <c r="AU958"/>
      <c r="AV958"/>
      <c r="AW958"/>
    </row>
    <row r="959" spans="15:49" x14ac:dyDescent="0.25">
      <c r="O959"/>
      <c r="P959"/>
      <c r="T959"/>
      <c r="U959"/>
      <c r="V959"/>
      <c r="W959"/>
      <c r="X959"/>
      <c r="Y959"/>
      <c r="Z959"/>
      <c r="AA959"/>
      <c r="AB959"/>
      <c r="AC959"/>
      <c r="AD959"/>
      <c r="AE959"/>
      <c r="AF959"/>
      <c r="AG959"/>
      <c r="AH959"/>
      <c r="AI959"/>
      <c r="AJ959"/>
      <c r="AK959"/>
      <c r="AL959"/>
      <c r="AM959"/>
      <c r="AN959"/>
      <c r="AO959"/>
      <c r="AP959"/>
      <c r="AQ959"/>
      <c r="AR959"/>
      <c r="AS959"/>
      <c r="AT959"/>
      <c r="AU959"/>
      <c r="AV959"/>
      <c r="AW959"/>
    </row>
    <row r="960" spans="15:49" x14ac:dyDescent="0.25">
      <c r="O960"/>
      <c r="P960"/>
      <c r="T960"/>
      <c r="U960"/>
      <c r="V960"/>
      <c r="W960"/>
      <c r="X960"/>
      <c r="Y960"/>
      <c r="Z960"/>
      <c r="AA960"/>
      <c r="AB960"/>
      <c r="AC960"/>
      <c r="AD960"/>
      <c r="AE960"/>
      <c r="AF960"/>
      <c r="AG960"/>
      <c r="AH960"/>
      <c r="AI960"/>
      <c r="AJ960"/>
      <c r="AK960"/>
      <c r="AL960"/>
      <c r="AM960"/>
      <c r="AN960"/>
      <c r="AO960"/>
      <c r="AP960"/>
      <c r="AQ960"/>
      <c r="AR960"/>
      <c r="AS960"/>
      <c r="AT960"/>
      <c r="AU960"/>
      <c r="AV960"/>
      <c r="AW960"/>
    </row>
    <row r="961" spans="15:49" x14ac:dyDescent="0.25">
      <c r="O961"/>
      <c r="P961"/>
      <c r="T961"/>
      <c r="U961"/>
      <c r="V961"/>
      <c r="W961"/>
      <c r="X961"/>
      <c r="Y961"/>
      <c r="Z961"/>
      <c r="AA961"/>
      <c r="AB961"/>
      <c r="AC961"/>
      <c r="AD961"/>
      <c r="AE961"/>
      <c r="AF961"/>
      <c r="AG961"/>
      <c r="AH961"/>
      <c r="AI961"/>
      <c r="AJ961"/>
      <c r="AK961"/>
      <c r="AL961"/>
      <c r="AM961"/>
      <c r="AN961"/>
      <c r="AO961"/>
      <c r="AP961"/>
      <c r="AQ961"/>
      <c r="AR961"/>
      <c r="AS961"/>
      <c r="AT961"/>
      <c r="AU961"/>
      <c r="AV961"/>
      <c r="AW961"/>
    </row>
    <row r="962" spans="15:49" x14ac:dyDescent="0.25">
      <c r="O962"/>
      <c r="P962"/>
      <c r="T962"/>
      <c r="U962"/>
      <c r="V962"/>
      <c r="W962"/>
      <c r="X962"/>
      <c r="Y962"/>
      <c r="Z962"/>
      <c r="AA962"/>
      <c r="AB962"/>
      <c r="AC962"/>
      <c r="AD962"/>
      <c r="AE962"/>
      <c r="AF962"/>
      <c r="AG962"/>
      <c r="AH962"/>
      <c r="AI962"/>
      <c r="AJ962"/>
      <c r="AK962"/>
      <c r="AL962"/>
      <c r="AM962"/>
      <c r="AN962"/>
      <c r="AO962"/>
      <c r="AP962"/>
      <c r="AQ962"/>
      <c r="AR962"/>
      <c r="AS962"/>
      <c r="AT962"/>
      <c r="AU962"/>
      <c r="AV962"/>
      <c r="AW962"/>
    </row>
    <row r="963" spans="15:49" x14ac:dyDescent="0.25">
      <c r="O963"/>
      <c r="P963"/>
      <c r="T963"/>
      <c r="U963"/>
      <c r="V963"/>
      <c r="W963"/>
      <c r="X963"/>
      <c r="Y963"/>
      <c r="Z963"/>
      <c r="AA963"/>
      <c r="AB963"/>
      <c r="AC963"/>
      <c r="AD963"/>
      <c r="AE963"/>
      <c r="AF963"/>
      <c r="AG963"/>
      <c r="AH963"/>
      <c r="AI963"/>
      <c r="AJ963"/>
      <c r="AK963"/>
      <c r="AL963"/>
      <c r="AM963"/>
      <c r="AN963"/>
      <c r="AO963"/>
      <c r="AP963"/>
      <c r="AQ963"/>
      <c r="AR963"/>
      <c r="AS963"/>
      <c r="AT963"/>
      <c r="AU963"/>
      <c r="AV963"/>
      <c r="AW963"/>
    </row>
    <row r="964" spans="15:49" x14ac:dyDescent="0.25">
      <c r="O964"/>
      <c r="P964"/>
      <c r="T964"/>
      <c r="U964"/>
      <c r="V964"/>
      <c r="W964"/>
      <c r="X964"/>
      <c r="Y964"/>
      <c r="Z964"/>
      <c r="AA964"/>
      <c r="AB964"/>
      <c r="AC964"/>
      <c r="AD964"/>
      <c r="AE964"/>
      <c r="AF964"/>
      <c r="AG964"/>
      <c r="AH964"/>
      <c r="AI964"/>
      <c r="AJ964"/>
      <c r="AK964"/>
      <c r="AL964"/>
      <c r="AM964"/>
      <c r="AN964"/>
      <c r="AO964"/>
      <c r="AP964"/>
      <c r="AQ964"/>
      <c r="AR964"/>
      <c r="AS964"/>
      <c r="AT964"/>
      <c r="AU964"/>
      <c r="AV964"/>
      <c r="AW964"/>
    </row>
    <row r="965" spans="15:49" x14ac:dyDescent="0.25">
      <c r="O965"/>
      <c r="P965"/>
      <c r="T965"/>
      <c r="U965"/>
      <c r="V965"/>
      <c r="W965"/>
      <c r="X965"/>
      <c r="Y965"/>
      <c r="Z965"/>
      <c r="AA965"/>
      <c r="AB965"/>
      <c r="AC965"/>
      <c r="AD965"/>
      <c r="AE965"/>
      <c r="AF965"/>
      <c r="AG965"/>
      <c r="AH965"/>
      <c r="AI965"/>
      <c r="AJ965"/>
      <c r="AK965"/>
      <c r="AL965"/>
      <c r="AM965"/>
      <c r="AN965"/>
      <c r="AO965"/>
      <c r="AP965"/>
      <c r="AQ965"/>
      <c r="AR965"/>
      <c r="AS965"/>
      <c r="AT965"/>
      <c r="AU965"/>
      <c r="AV965"/>
      <c r="AW965"/>
    </row>
    <row r="966" spans="15:49" x14ac:dyDescent="0.25">
      <c r="O966"/>
      <c r="P966"/>
      <c r="T966"/>
      <c r="U966"/>
      <c r="V966"/>
      <c r="W966"/>
      <c r="X966"/>
      <c r="Y966"/>
      <c r="Z966"/>
      <c r="AA966"/>
      <c r="AB966"/>
      <c r="AC966"/>
      <c r="AD966"/>
      <c r="AE966"/>
      <c r="AF966"/>
      <c r="AG966"/>
      <c r="AH966"/>
      <c r="AI966"/>
      <c r="AJ966"/>
      <c r="AK966"/>
      <c r="AL966"/>
      <c r="AM966"/>
      <c r="AN966"/>
      <c r="AO966"/>
      <c r="AP966"/>
      <c r="AQ966"/>
      <c r="AR966"/>
      <c r="AS966"/>
      <c r="AT966"/>
      <c r="AU966"/>
      <c r="AV966"/>
      <c r="AW966"/>
    </row>
    <row r="967" spans="15:49" x14ac:dyDescent="0.25">
      <c r="O967"/>
      <c r="P967"/>
      <c r="T967"/>
      <c r="U967"/>
      <c r="V967"/>
      <c r="W967"/>
      <c r="X967"/>
      <c r="Y967"/>
      <c r="Z967"/>
      <c r="AA967"/>
      <c r="AB967"/>
      <c r="AC967"/>
      <c r="AD967"/>
      <c r="AE967"/>
      <c r="AF967"/>
      <c r="AG967"/>
      <c r="AH967"/>
      <c r="AI967"/>
      <c r="AJ967"/>
      <c r="AK967"/>
      <c r="AL967"/>
      <c r="AM967"/>
      <c r="AN967"/>
      <c r="AO967"/>
      <c r="AP967"/>
      <c r="AQ967"/>
      <c r="AR967"/>
      <c r="AS967"/>
      <c r="AT967"/>
      <c r="AU967"/>
      <c r="AV967"/>
      <c r="AW967"/>
    </row>
    <row r="968" spans="15:49" x14ac:dyDescent="0.25">
      <c r="O968"/>
      <c r="P968"/>
      <c r="T968"/>
      <c r="U968"/>
      <c r="V968"/>
      <c r="W968"/>
      <c r="X968"/>
      <c r="Y968"/>
      <c r="Z968"/>
      <c r="AA968"/>
      <c r="AB968"/>
      <c r="AC968"/>
      <c r="AD968"/>
      <c r="AE968"/>
      <c r="AF968"/>
      <c r="AG968"/>
      <c r="AH968"/>
      <c r="AI968"/>
      <c r="AJ968"/>
      <c r="AK968"/>
      <c r="AL968"/>
      <c r="AM968"/>
      <c r="AN968"/>
      <c r="AO968"/>
      <c r="AP968"/>
      <c r="AQ968"/>
      <c r="AR968"/>
      <c r="AS968"/>
      <c r="AT968"/>
      <c r="AU968"/>
      <c r="AV968"/>
      <c r="AW968"/>
    </row>
    <row r="969" spans="15:49" x14ac:dyDescent="0.25">
      <c r="O969"/>
      <c r="P969"/>
      <c r="T969"/>
      <c r="U969"/>
      <c r="V969"/>
      <c r="W969"/>
      <c r="X969"/>
      <c r="Y969"/>
      <c r="Z969"/>
      <c r="AA969"/>
      <c r="AB969"/>
      <c r="AC969"/>
      <c r="AD969"/>
      <c r="AE969"/>
      <c r="AF969"/>
      <c r="AG969"/>
      <c r="AH969"/>
      <c r="AI969"/>
      <c r="AJ969"/>
      <c r="AK969"/>
      <c r="AL969"/>
      <c r="AM969"/>
      <c r="AN969"/>
      <c r="AO969"/>
      <c r="AP969"/>
      <c r="AQ969"/>
      <c r="AR969"/>
      <c r="AS969"/>
      <c r="AT969"/>
      <c r="AU969"/>
      <c r="AV969"/>
      <c r="AW969"/>
    </row>
    <row r="970" spans="15:49" x14ac:dyDescent="0.25">
      <c r="O970"/>
      <c r="P970"/>
      <c r="T970"/>
      <c r="U970"/>
      <c r="V970"/>
      <c r="W970"/>
      <c r="X970"/>
      <c r="Y970"/>
      <c r="Z970"/>
      <c r="AA970"/>
      <c r="AB970"/>
      <c r="AC970"/>
      <c r="AD970"/>
      <c r="AE970"/>
      <c r="AF970"/>
      <c r="AG970"/>
      <c r="AH970"/>
      <c r="AI970"/>
      <c r="AJ970"/>
      <c r="AK970"/>
      <c r="AL970"/>
      <c r="AM970"/>
      <c r="AN970"/>
      <c r="AO970"/>
      <c r="AP970"/>
      <c r="AQ970"/>
      <c r="AR970"/>
      <c r="AS970"/>
      <c r="AT970"/>
      <c r="AU970"/>
      <c r="AV970"/>
      <c r="AW970"/>
    </row>
    <row r="971" spans="15:49" x14ac:dyDescent="0.25">
      <c r="O971"/>
      <c r="P971"/>
      <c r="T971"/>
      <c r="U971"/>
      <c r="V971"/>
      <c r="W971"/>
      <c r="X971"/>
      <c r="Y971"/>
      <c r="Z971"/>
      <c r="AA971"/>
      <c r="AB971"/>
      <c r="AC971"/>
      <c r="AD971"/>
      <c r="AE971"/>
      <c r="AF971"/>
      <c r="AG971"/>
      <c r="AH971"/>
      <c r="AI971"/>
      <c r="AJ971"/>
      <c r="AK971"/>
      <c r="AL971"/>
      <c r="AM971"/>
      <c r="AN971"/>
      <c r="AO971"/>
      <c r="AP971"/>
      <c r="AQ971"/>
      <c r="AR971"/>
      <c r="AS971"/>
      <c r="AT971"/>
      <c r="AU971"/>
      <c r="AV971"/>
      <c r="AW971"/>
    </row>
    <row r="972" spans="15:49" x14ac:dyDescent="0.25">
      <c r="O972"/>
      <c r="P972"/>
      <c r="T972"/>
      <c r="U972"/>
      <c r="V972"/>
      <c r="W972"/>
      <c r="X972"/>
      <c r="Y972"/>
      <c r="Z972"/>
      <c r="AA972"/>
      <c r="AB972"/>
      <c r="AC972"/>
      <c r="AD972"/>
      <c r="AE972"/>
      <c r="AF972"/>
      <c r="AG972"/>
      <c r="AH972"/>
      <c r="AI972"/>
      <c r="AJ972"/>
      <c r="AK972"/>
      <c r="AL972"/>
      <c r="AM972"/>
      <c r="AN972"/>
      <c r="AO972"/>
      <c r="AP972"/>
      <c r="AQ972"/>
      <c r="AR972"/>
      <c r="AS972"/>
      <c r="AT972"/>
      <c r="AU972"/>
      <c r="AV972"/>
      <c r="AW972"/>
    </row>
    <row r="973" spans="15:49" x14ac:dyDescent="0.25">
      <c r="O973"/>
      <c r="P973"/>
      <c r="T973"/>
      <c r="U973"/>
      <c r="V973"/>
      <c r="W973"/>
      <c r="X973"/>
      <c r="Y973"/>
      <c r="Z973"/>
      <c r="AA973"/>
      <c r="AB973"/>
      <c r="AC973"/>
      <c r="AD973"/>
      <c r="AE973"/>
      <c r="AF973"/>
      <c r="AG973"/>
      <c r="AH973"/>
      <c r="AI973"/>
      <c r="AJ973"/>
      <c r="AK973"/>
      <c r="AL973"/>
      <c r="AM973"/>
      <c r="AN973"/>
      <c r="AO973"/>
      <c r="AP973"/>
      <c r="AQ973"/>
      <c r="AR973"/>
      <c r="AS973"/>
      <c r="AT973"/>
      <c r="AU973"/>
      <c r="AV973"/>
      <c r="AW973"/>
    </row>
    <row r="974" spans="15:49" x14ac:dyDescent="0.25">
      <c r="O974"/>
      <c r="P974"/>
      <c r="T974"/>
      <c r="U974"/>
      <c r="V974"/>
      <c r="W974"/>
      <c r="X974"/>
      <c r="Y974"/>
      <c r="Z974"/>
      <c r="AA974"/>
      <c r="AB974"/>
      <c r="AC974"/>
      <c r="AD974"/>
      <c r="AE974"/>
      <c r="AF974"/>
      <c r="AG974"/>
      <c r="AH974"/>
      <c r="AI974"/>
      <c r="AJ974"/>
      <c r="AK974"/>
      <c r="AL974"/>
      <c r="AM974"/>
      <c r="AN974"/>
      <c r="AO974"/>
      <c r="AP974"/>
      <c r="AQ974"/>
      <c r="AR974"/>
      <c r="AS974"/>
      <c r="AT974"/>
      <c r="AU974"/>
      <c r="AV974"/>
      <c r="AW974"/>
    </row>
    <row r="975" spans="15:49" x14ac:dyDescent="0.25">
      <c r="O975"/>
      <c r="P975"/>
      <c r="T975"/>
      <c r="U975"/>
      <c r="V975"/>
      <c r="W975"/>
      <c r="X975"/>
      <c r="Y975"/>
      <c r="Z975"/>
      <c r="AA975"/>
      <c r="AB975"/>
      <c r="AC975"/>
      <c r="AD975"/>
      <c r="AE975"/>
      <c r="AF975"/>
      <c r="AG975"/>
      <c r="AH975"/>
      <c r="AI975"/>
      <c r="AJ975"/>
      <c r="AK975"/>
      <c r="AL975"/>
      <c r="AM975"/>
      <c r="AN975"/>
      <c r="AO975"/>
      <c r="AP975"/>
      <c r="AQ975"/>
      <c r="AR975"/>
      <c r="AS975"/>
      <c r="AT975"/>
      <c r="AU975"/>
      <c r="AV975"/>
      <c r="AW975"/>
    </row>
    <row r="976" spans="15:49" x14ac:dyDescent="0.25">
      <c r="O976"/>
      <c r="P976"/>
      <c r="T976"/>
      <c r="U976"/>
      <c r="V976"/>
      <c r="W976"/>
      <c r="X976"/>
      <c r="Y976"/>
      <c r="Z976"/>
      <c r="AA976"/>
      <c r="AB976"/>
      <c r="AC976"/>
      <c r="AD976"/>
      <c r="AE976"/>
      <c r="AF976"/>
      <c r="AG976"/>
      <c r="AH976"/>
      <c r="AI976"/>
      <c r="AJ976"/>
      <c r="AK976"/>
      <c r="AL976"/>
      <c r="AM976"/>
      <c r="AN976"/>
      <c r="AO976"/>
      <c r="AP976"/>
      <c r="AQ976"/>
      <c r="AR976"/>
      <c r="AS976"/>
      <c r="AT976"/>
      <c r="AU976"/>
      <c r="AV976"/>
      <c r="AW976"/>
    </row>
    <row r="977" spans="15:49" x14ac:dyDescent="0.25">
      <c r="O977"/>
      <c r="P977"/>
      <c r="T977"/>
      <c r="U977"/>
      <c r="V977"/>
      <c r="W977"/>
      <c r="X977"/>
      <c r="Y977"/>
      <c r="Z977"/>
      <c r="AA977"/>
      <c r="AB977"/>
      <c r="AC977"/>
      <c r="AD977"/>
      <c r="AE977"/>
      <c r="AF977"/>
      <c r="AG977"/>
      <c r="AH977"/>
      <c r="AI977"/>
      <c r="AJ977"/>
      <c r="AK977"/>
      <c r="AL977"/>
      <c r="AM977"/>
      <c r="AN977"/>
      <c r="AO977"/>
      <c r="AP977"/>
      <c r="AQ977"/>
      <c r="AR977"/>
      <c r="AS977"/>
      <c r="AT977"/>
      <c r="AU977"/>
      <c r="AV977"/>
      <c r="AW977"/>
    </row>
    <row r="978" spans="15:49" x14ac:dyDescent="0.25">
      <c r="O978"/>
      <c r="P978"/>
      <c r="T978"/>
      <c r="U978"/>
      <c r="V978"/>
      <c r="W978"/>
      <c r="X978"/>
      <c r="Y978"/>
      <c r="Z978"/>
      <c r="AA978"/>
      <c r="AB978"/>
      <c r="AC978"/>
      <c r="AD978"/>
      <c r="AE978"/>
      <c r="AF978"/>
      <c r="AG978"/>
      <c r="AH978"/>
      <c r="AI978"/>
      <c r="AJ978"/>
      <c r="AK978"/>
      <c r="AL978"/>
      <c r="AM978"/>
      <c r="AN978"/>
      <c r="AO978"/>
      <c r="AP978"/>
      <c r="AQ978"/>
      <c r="AR978"/>
      <c r="AS978"/>
      <c r="AT978"/>
      <c r="AU978"/>
      <c r="AV978"/>
      <c r="AW978"/>
    </row>
    <row r="979" spans="15:49" x14ac:dyDescent="0.25">
      <c r="O979"/>
      <c r="P979"/>
      <c r="T979"/>
      <c r="U979"/>
      <c r="V979"/>
      <c r="W979"/>
      <c r="X979"/>
      <c r="Y979"/>
      <c r="Z979"/>
      <c r="AA979"/>
      <c r="AB979"/>
      <c r="AC979"/>
      <c r="AD979"/>
      <c r="AE979"/>
      <c r="AF979"/>
      <c r="AG979"/>
      <c r="AH979"/>
      <c r="AI979"/>
      <c r="AJ979"/>
      <c r="AK979"/>
      <c r="AL979"/>
      <c r="AM979"/>
      <c r="AN979"/>
      <c r="AO979"/>
      <c r="AP979"/>
      <c r="AQ979"/>
      <c r="AR979"/>
      <c r="AS979"/>
      <c r="AT979"/>
      <c r="AU979"/>
      <c r="AV979"/>
      <c r="AW979"/>
    </row>
    <row r="980" spans="15:49" x14ac:dyDescent="0.25">
      <c r="O980"/>
      <c r="P980"/>
      <c r="T980"/>
      <c r="U980"/>
      <c r="V980"/>
      <c r="W980"/>
      <c r="X980"/>
      <c r="Y980"/>
      <c r="Z980"/>
      <c r="AA980"/>
      <c r="AB980"/>
      <c r="AC980"/>
      <c r="AD980"/>
      <c r="AE980"/>
      <c r="AF980"/>
      <c r="AG980"/>
      <c r="AH980"/>
      <c r="AI980"/>
      <c r="AJ980"/>
      <c r="AK980"/>
      <c r="AL980"/>
      <c r="AM980"/>
      <c r="AN980"/>
      <c r="AO980"/>
      <c r="AP980"/>
      <c r="AQ980"/>
      <c r="AR980"/>
      <c r="AS980"/>
      <c r="AT980"/>
      <c r="AU980"/>
      <c r="AV980"/>
      <c r="AW980"/>
    </row>
    <row r="981" spans="15:49" x14ac:dyDescent="0.25">
      <c r="O981"/>
      <c r="P981"/>
      <c r="T981"/>
      <c r="U981"/>
      <c r="V981"/>
      <c r="W981"/>
      <c r="X981"/>
      <c r="Y981"/>
      <c r="Z981"/>
      <c r="AA981"/>
      <c r="AB981"/>
      <c r="AC981"/>
      <c r="AD981"/>
      <c r="AE981"/>
      <c r="AF981"/>
      <c r="AG981"/>
      <c r="AH981"/>
      <c r="AI981"/>
      <c r="AJ981"/>
      <c r="AK981"/>
      <c r="AL981"/>
      <c r="AM981"/>
      <c r="AN981"/>
      <c r="AO981"/>
      <c r="AP981"/>
      <c r="AQ981"/>
      <c r="AR981"/>
      <c r="AS981"/>
      <c r="AT981"/>
      <c r="AU981"/>
      <c r="AV981"/>
      <c r="AW981"/>
    </row>
    <row r="982" spans="15:49" x14ac:dyDescent="0.25">
      <c r="O982"/>
      <c r="P982"/>
      <c r="T982"/>
      <c r="U982"/>
      <c r="V982"/>
      <c r="W982"/>
      <c r="X982"/>
      <c r="Y982"/>
      <c r="Z982"/>
      <c r="AA982"/>
      <c r="AB982"/>
      <c r="AC982"/>
      <c r="AD982"/>
      <c r="AE982"/>
      <c r="AF982"/>
      <c r="AG982"/>
      <c r="AH982"/>
      <c r="AI982"/>
      <c r="AJ982"/>
      <c r="AK982"/>
      <c r="AL982"/>
      <c r="AM982"/>
      <c r="AN982"/>
      <c r="AO982"/>
      <c r="AP982"/>
      <c r="AQ982"/>
      <c r="AR982"/>
      <c r="AS982"/>
      <c r="AT982"/>
      <c r="AU982"/>
      <c r="AV982"/>
      <c r="AW982"/>
    </row>
    <row r="983" spans="15:49" x14ac:dyDescent="0.25">
      <c r="O983"/>
      <c r="P983"/>
      <c r="T983"/>
      <c r="U983"/>
      <c r="V983"/>
      <c r="W983"/>
      <c r="X983"/>
      <c r="Y983"/>
      <c r="Z983"/>
      <c r="AA983"/>
      <c r="AB983"/>
      <c r="AC983"/>
      <c r="AD983"/>
      <c r="AE983"/>
      <c r="AF983"/>
      <c r="AG983"/>
      <c r="AH983"/>
      <c r="AI983"/>
      <c r="AJ983"/>
      <c r="AK983"/>
      <c r="AL983"/>
      <c r="AM983"/>
      <c r="AN983"/>
      <c r="AO983"/>
      <c r="AP983"/>
      <c r="AQ983"/>
      <c r="AR983"/>
      <c r="AS983"/>
      <c r="AT983"/>
      <c r="AU983"/>
      <c r="AV983"/>
      <c r="AW983"/>
    </row>
    <row r="984" spans="15:49" x14ac:dyDescent="0.25">
      <c r="O984"/>
      <c r="P984"/>
      <c r="T984"/>
      <c r="U984"/>
      <c r="V984"/>
      <c r="W984"/>
      <c r="X984"/>
      <c r="Y984"/>
      <c r="Z984"/>
      <c r="AA984"/>
      <c r="AB984"/>
      <c r="AC984"/>
      <c r="AD984"/>
      <c r="AE984"/>
      <c r="AF984"/>
      <c r="AG984"/>
      <c r="AH984"/>
      <c r="AI984"/>
      <c r="AJ984"/>
      <c r="AK984"/>
      <c r="AL984"/>
      <c r="AM984"/>
      <c r="AN984"/>
      <c r="AO984"/>
      <c r="AP984"/>
      <c r="AQ984"/>
      <c r="AR984"/>
      <c r="AS984"/>
      <c r="AT984"/>
      <c r="AU984"/>
      <c r="AV984"/>
      <c r="AW984"/>
    </row>
    <row r="985" spans="15:49" x14ac:dyDescent="0.25">
      <c r="O985"/>
      <c r="P985"/>
      <c r="T985"/>
      <c r="U985"/>
      <c r="V985"/>
      <c r="W985"/>
      <c r="X985"/>
      <c r="Y985"/>
      <c r="Z985"/>
      <c r="AA985"/>
      <c r="AB985"/>
      <c r="AC985"/>
      <c r="AD985"/>
      <c r="AE985"/>
      <c r="AF985"/>
      <c r="AG985"/>
      <c r="AH985"/>
      <c r="AI985"/>
      <c r="AJ985"/>
      <c r="AK985"/>
      <c r="AL985"/>
      <c r="AM985"/>
      <c r="AN985"/>
      <c r="AO985"/>
      <c r="AP985"/>
      <c r="AQ985"/>
      <c r="AR985"/>
      <c r="AS985"/>
      <c r="AT985"/>
      <c r="AU985"/>
      <c r="AV985"/>
      <c r="AW985"/>
    </row>
    <row r="986" spans="15:49" x14ac:dyDescent="0.25">
      <c r="O986"/>
      <c r="P986"/>
      <c r="T986"/>
      <c r="U986"/>
      <c r="V986"/>
      <c r="W986"/>
      <c r="X986"/>
      <c r="Y986"/>
      <c r="Z986"/>
      <c r="AA986"/>
      <c r="AB986"/>
      <c r="AC986"/>
      <c r="AD986"/>
      <c r="AE986"/>
      <c r="AF986"/>
      <c r="AG986"/>
      <c r="AH986"/>
      <c r="AI986"/>
      <c r="AJ986"/>
      <c r="AK986"/>
      <c r="AL986"/>
      <c r="AM986"/>
      <c r="AN986"/>
      <c r="AO986"/>
      <c r="AP986"/>
      <c r="AQ986"/>
      <c r="AR986"/>
      <c r="AS986"/>
      <c r="AT986"/>
      <c r="AU986"/>
      <c r="AV986"/>
      <c r="AW986"/>
    </row>
    <row r="987" spans="15:49" x14ac:dyDescent="0.25">
      <c r="O987"/>
      <c r="P987"/>
      <c r="T987"/>
      <c r="U987"/>
      <c r="V987"/>
      <c r="W987"/>
      <c r="X987"/>
      <c r="Y987"/>
      <c r="Z987"/>
      <c r="AA987"/>
      <c r="AB987"/>
      <c r="AC987"/>
      <c r="AD987"/>
      <c r="AE987"/>
      <c r="AF987"/>
      <c r="AG987"/>
      <c r="AH987"/>
      <c r="AI987"/>
      <c r="AJ987"/>
      <c r="AK987"/>
      <c r="AL987"/>
      <c r="AM987"/>
      <c r="AN987"/>
      <c r="AO987"/>
      <c r="AP987"/>
      <c r="AQ987"/>
      <c r="AR987"/>
      <c r="AS987"/>
      <c r="AT987"/>
      <c r="AU987"/>
      <c r="AV987"/>
      <c r="AW987"/>
    </row>
    <row r="988" spans="15:49" x14ac:dyDescent="0.25">
      <c r="O988"/>
      <c r="P988"/>
      <c r="T988"/>
      <c r="U988"/>
      <c r="V988"/>
      <c r="W988"/>
      <c r="X988"/>
      <c r="Y988"/>
      <c r="Z988"/>
      <c r="AA988"/>
      <c r="AB988"/>
      <c r="AC988"/>
      <c r="AD988"/>
      <c r="AE988"/>
      <c r="AF988"/>
      <c r="AG988"/>
      <c r="AH988"/>
      <c r="AI988"/>
      <c r="AJ988"/>
      <c r="AK988"/>
      <c r="AL988"/>
      <c r="AM988"/>
      <c r="AN988"/>
      <c r="AO988"/>
      <c r="AP988"/>
      <c r="AQ988"/>
      <c r="AR988"/>
      <c r="AS988"/>
      <c r="AT988"/>
      <c r="AU988"/>
      <c r="AV988"/>
      <c r="AW988"/>
    </row>
    <row r="989" spans="15:49" x14ac:dyDescent="0.25">
      <c r="O989"/>
      <c r="P989"/>
      <c r="T989"/>
      <c r="U989"/>
      <c r="V989"/>
      <c r="W989"/>
      <c r="X989"/>
      <c r="Y989"/>
      <c r="Z989"/>
      <c r="AA989"/>
      <c r="AB989"/>
      <c r="AC989"/>
      <c r="AD989"/>
      <c r="AE989"/>
      <c r="AF989"/>
      <c r="AG989"/>
      <c r="AH989"/>
      <c r="AI989"/>
      <c r="AJ989"/>
      <c r="AK989"/>
      <c r="AL989"/>
      <c r="AM989"/>
      <c r="AN989"/>
      <c r="AO989"/>
      <c r="AP989"/>
      <c r="AQ989"/>
      <c r="AR989"/>
      <c r="AS989"/>
      <c r="AT989"/>
      <c r="AU989"/>
      <c r="AV989"/>
      <c r="AW989"/>
    </row>
    <row r="990" spans="15:49" x14ac:dyDescent="0.25">
      <c r="O990"/>
      <c r="P990"/>
      <c r="T990"/>
      <c r="U990"/>
      <c r="V990"/>
      <c r="W990"/>
      <c r="X990"/>
      <c r="Y990"/>
      <c r="Z990"/>
      <c r="AA990"/>
      <c r="AB990"/>
      <c r="AC990"/>
      <c r="AD990"/>
      <c r="AE990"/>
      <c r="AF990"/>
      <c r="AG990"/>
      <c r="AH990"/>
      <c r="AI990"/>
      <c r="AJ990"/>
      <c r="AK990"/>
      <c r="AL990"/>
      <c r="AM990"/>
      <c r="AN990"/>
      <c r="AO990"/>
      <c r="AP990"/>
      <c r="AQ990"/>
      <c r="AR990"/>
      <c r="AS990"/>
      <c r="AT990"/>
      <c r="AU990"/>
      <c r="AV990"/>
      <c r="AW990"/>
    </row>
    <row r="991" spans="15:49" x14ac:dyDescent="0.25">
      <c r="O991"/>
      <c r="P991"/>
      <c r="T991"/>
      <c r="U991"/>
      <c r="V991"/>
      <c r="W991"/>
      <c r="X991"/>
      <c r="Y991"/>
      <c r="Z991"/>
      <c r="AA991"/>
      <c r="AB991"/>
      <c r="AC991"/>
      <c r="AD991"/>
      <c r="AE991"/>
      <c r="AF991"/>
      <c r="AG991"/>
      <c r="AH991"/>
      <c r="AI991"/>
      <c r="AJ991"/>
      <c r="AK991"/>
      <c r="AL991"/>
      <c r="AM991"/>
      <c r="AN991"/>
      <c r="AO991"/>
      <c r="AP991"/>
      <c r="AQ991"/>
      <c r="AR991"/>
      <c r="AS991"/>
      <c r="AT991"/>
      <c r="AU991"/>
      <c r="AV991"/>
      <c r="AW991"/>
    </row>
    <row r="992" spans="15:49" x14ac:dyDescent="0.25">
      <c r="O992"/>
      <c r="P992"/>
      <c r="T992"/>
      <c r="U992"/>
      <c r="V992"/>
      <c r="W992"/>
      <c r="X992"/>
      <c r="Y992"/>
      <c r="Z992"/>
      <c r="AA992"/>
      <c r="AB992"/>
      <c r="AC992"/>
      <c r="AD992"/>
      <c r="AE992"/>
      <c r="AF992"/>
      <c r="AG992"/>
      <c r="AH992"/>
      <c r="AI992"/>
      <c r="AJ992"/>
      <c r="AK992"/>
      <c r="AL992"/>
      <c r="AM992"/>
      <c r="AN992"/>
      <c r="AO992"/>
      <c r="AP992"/>
      <c r="AQ992"/>
      <c r="AR992"/>
      <c r="AS992"/>
      <c r="AT992"/>
      <c r="AU992"/>
      <c r="AV992"/>
      <c r="AW992"/>
    </row>
    <row r="993" spans="15:49" x14ac:dyDescent="0.25">
      <c r="O993"/>
      <c r="P993"/>
      <c r="T993"/>
      <c r="U993"/>
      <c r="V993"/>
      <c r="W993"/>
      <c r="X993"/>
      <c r="Y993"/>
      <c r="Z993"/>
      <c r="AA993"/>
      <c r="AB993"/>
      <c r="AC993"/>
      <c r="AD993"/>
      <c r="AE993"/>
      <c r="AF993"/>
      <c r="AG993"/>
      <c r="AH993"/>
      <c r="AI993"/>
      <c r="AJ993"/>
      <c r="AK993"/>
      <c r="AL993"/>
      <c r="AM993"/>
      <c r="AN993"/>
      <c r="AO993"/>
      <c r="AP993"/>
      <c r="AQ993"/>
      <c r="AR993"/>
      <c r="AS993"/>
      <c r="AT993"/>
      <c r="AU993"/>
      <c r="AV993"/>
      <c r="AW993"/>
    </row>
    <row r="994" spans="15:49" x14ac:dyDescent="0.25">
      <c r="O994"/>
      <c r="P994"/>
      <c r="T994"/>
      <c r="U994"/>
      <c r="V994"/>
      <c r="W994"/>
      <c r="X994"/>
      <c r="Y994"/>
      <c r="Z994"/>
      <c r="AA994"/>
      <c r="AB994"/>
      <c r="AC994"/>
      <c r="AD994"/>
      <c r="AE994"/>
      <c r="AF994"/>
      <c r="AG994"/>
      <c r="AH994"/>
      <c r="AI994"/>
      <c r="AJ994"/>
      <c r="AK994"/>
      <c r="AL994"/>
      <c r="AM994"/>
      <c r="AN994"/>
      <c r="AO994"/>
      <c r="AP994"/>
      <c r="AQ994"/>
      <c r="AR994"/>
      <c r="AS994"/>
      <c r="AT994"/>
      <c r="AU994"/>
      <c r="AV994"/>
      <c r="AW994"/>
    </row>
    <row r="995" spans="15:49" x14ac:dyDescent="0.25">
      <c r="O995"/>
      <c r="P995"/>
      <c r="T995"/>
      <c r="U995"/>
      <c r="V995"/>
      <c r="W995"/>
      <c r="X995"/>
      <c r="Y995"/>
      <c r="Z995"/>
      <c r="AA995"/>
      <c r="AB995"/>
      <c r="AC995"/>
      <c r="AD995"/>
      <c r="AE995"/>
      <c r="AF995"/>
      <c r="AG995"/>
      <c r="AH995"/>
      <c r="AI995"/>
      <c r="AJ995"/>
      <c r="AK995"/>
      <c r="AL995"/>
      <c r="AM995"/>
      <c r="AN995"/>
      <c r="AO995"/>
      <c r="AP995"/>
      <c r="AQ995"/>
      <c r="AR995"/>
      <c r="AS995"/>
      <c r="AT995"/>
      <c r="AU995"/>
      <c r="AV995"/>
      <c r="AW995"/>
    </row>
    <row r="996" spans="15:49" x14ac:dyDescent="0.25">
      <c r="O996"/>
      <c r="P996"/>
      <c r="T996"/>
      <c r="U996"/>
      <c r="V996"/>
      <c r="W996"/>
      <c r="X996"/>
      <c r="Y996"/>
      <c r="Z996"/>
      <c r="AA996"/>
      <c r="AB996"/>
      <c r="AC996"/>
      <c r="AD996"/>
      <c r="AE996"/>
      <c r="AF996"/>
      <c r="AG996"/>
      <c r="AH996"/>
      <c r="AI996"/>
      <c r="AJ996"/>
      <c r="AK996"/>
      <c r="AL996"/>
      <c r="AM996"/>
      <c r="AN996"/>
      <c r="AO996"/>
      <c r="AP996"/>
      <c r="AQ996"/>
      <c r="AR996"/>
      <c r="AS996"/>
      <c r="AT996"/>
      <c r="AU996"/>
      <c r="AV996"/>
      <c r="AW996"/>
    </row>
    <row r="997" spans="15:49" x14ac:dyDescent="0.25">
      <c r="O997"/>
      <c r="P997"/>
      <c r="T997"/>
      <c r="U997"/>
      <c r="V997"/>
      <c r="W997"/>
      <c r="X997"/>
      <c r="Y997"/>
      <c r="Z997"/>
      <c r="AA997"/>
      <c r="AB997"/>
      <c r="AC997"/>
      <c r="AD997"/>
      <c r="AE997"/>
      <c r="AF997"/>
      <c r="AG997"/>
      <c r="AH997"/>
      <c r="AI997"/>
      <c r="AJ997"/>
      <c r="AK997"/>
      <c r="AL997"/>
      <c r="AM997"/>
      <c r="AN997"/>
      <c r="AO997"/>
      <c r="AP997"/>
      <c r="AQ997"/>
      <c r="AR997"/>
      <c r="AS997"/>
      <c r="AT997"/>
      <c r="AU997"/>
      <c r="AV997"/>
      <c r="AW997"/>
    </row>
    <row r="998" spans="15:49" x14ac:dyDescent="0.25">
      <c r="O998"/>
      <c r="P998"/>
      <c r="T998"/>
      <c r="U998"/>
      <c r="V998"/>
      <c r="W998"/>
      <c r="X998"/>
      <c r="Y998"/>
      <c r="Z998"/>
      <c r="AA998"/>
      <c r="AB998"/>
      <c r="AC998"/>
      <c r="AD998"/>
      <c r="AE998"/>
      <c r="AF998"/>
      <c r="AG998"/>
      <c r="AH998"/>
      <c r="AI998"/>
      <c r="AJ998"/>
      <c r="AK998"/>
      <c r="AL998"/>
      <c r="AM998"/>
      <c r="AN998"/>
      <c r="AO998"/>
      <c r="AP998"/>
      <c r="AQ998"/>
      <c r="AR998"/>
      <c r="AS998"/>
      <c r="AT998"/>
      <c r="AU998"/>
      <c r="AV998"/>
      <c r="AW998"/>
    </row>
    <row r="999" spans="15:49" x14ac:dyDescent="0.25">
      <c r="O999"/>
      <c r="P999"/>
      <c r="T999"/>
      <c r="U999"/>
      <c r="V999"/>
      <c r="W999"/>
      <c r="X999"/>
      <c r="Y999"/>
      <c r="Z999"/>
      <c r="AA999"/>
      <c r="AB999"/>
      <c r="AC999"/>
      <c r="AD999"/>
      <c r="AE999"/>
      <c r="AF999"/>
      <c r="AG999"/>
      <c r="AH999"/>
      <c r="AI999"/>
      <c r="AJ999"/>
      <c r="AK999"/>
      <c r="AL999"/>
      <c r="AM999"/>
      <c r="AN999"/>
      <c r="AO999"/>
      <c r="AP999"/>
      <c r="AQ999"/>
      <c r="AR999"/>
      <c r="AS999"/>
      <c r="AT999"/>
      <c r="AU999"/>
      <c r="AV999"/>
      <c r="AW999"/>
    </row>
    <row r="1000" spans="15:49" x14ac:dyDescent="0.25">
      <c r="O1000"/>
      <c r="P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row>
    <row r="1001" spans="15:49" x14ac:dyDescent="0.25">
      <c r="O1001"/>
      <c r="P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row>
    <row r="1002" spans="15:49" x14ac:dyDescent="0.25">
      <c r="O1002"/>
      <c r="P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row>
    <row r="1003" spans="15:49" x14ac:dyDescent="0.25">
      <c r="O1003"/>
      <c r="P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row>
    <row r="1004" spans="15:49" x14ac:dyDescent="0.25">
      <c r="O1004"/>
      <c r="P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row>
    <row r="1005" spans="15:49" x14ac:dyDescent="0.25">
      <c r="O1005"/>
      <c r="P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row>
    <row r="1006" spans="15:49" x14ac:dyDescent="0.25">
      <c r="O1006"/>
      <c r="P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row>
    <row r="1007" spans="15:49" x14ac:dyDescent="0.25">
      <c r="O1007"/>
      <c r="P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row>
    <row r="1008" spans="15:49" x14ac:dyDescent="0.25">
      <c r="O1008"/>
      <c r="P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row>
    <row r="1009" spans="15:49" x14ac:dyDescent="0.25">
      <c r="O1009"/>
      <c r="P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row>
    <row r="1010" spans="15:49" x14ac:dyDescent="0.25">
      <c r="O1010"/>
      <c r="P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row>
    <row r="1011" spans="15:49" x14ac:dyDescent="0.25">
      <c r="O1011"/>
      <c r="P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row>
    <row r="1012" spans="15:49" x14ac:dyDescent="0.25">
      <c r="O1012"/>
      <c r="P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row>
    <row r="1013" spans="15:49" x14ac:dyDescent="0.25">
      <c r="O1013"/>
      <c r="P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row>
    <row r="1014" spans="15:49" x14ac:dyDescent="0.25">
      <c r="O1014"/>
      <c r="P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row>
    <row r="1015" spans="15:49" x14ac:dyDescent="0.25">
      <c r="O1015"/>
      <c r="P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row>
    <row r="1016" spans="15:49" x14ac:dyDescent="0.25">
      <c r="O1016"/>
      <c r="P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row>
    <row r="1017" spans="15:49" x14ac:dyDescent="0.25">
      <c r="O1017"/>
      <c r="P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row>
    <row r="1018" spans="15:49" x14ac:dyDescent="0.25">
      <c r="O1018"/>
      <c r="P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row>
    <row r="1019" spans="15:49" x14ac:dyDescent="0.25">
      <c r="O1019"/>
      <c r="P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row>
    <row r="1020" spans="15:49" x14ac:dyDescent="0.25">
      <c r="O1020"/>
      <c r="P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row>
    <row r="1021" spans="15:49" x14ac:dyDescent="0.25">
      <c r="O1021"/>
      <c r="P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row>
    <row r="1022" spans="15:49" x14ac:dyDescent="0.25">
      <c r="O1022"/>
      <c r="P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row>
    <row r="1023" spans="15:49" x14ac:dyDescent="0.25">
      <c r="O1023"/>
      <c r="P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row>
    <row r="1024" spans="15:49" x14ac:dyDescent="0.25">
      <c r="O1024"/>
      <c r="P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row>
    <row r="1025" spans="15:49" x14ac:dyDescent="0.25">
      <c r="O1025"/>
      <c r="P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row>
    <row r="1026" spans="15:49" x14ac:dyDescent="0.25">
      <c r="O1026"/>
      <c r="P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row>
    <row r="1027" spans="15:49" x14ac:dyDescent="0.25">
      <c r="O1027"/>
      <c r="P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row>
    <row r="1028" spans="15:49" x14ac:dyDescent="0.25">
      <c r="O1028"/>
      <c r="P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row>
    <row r="1029" spans="15:49" x14ac:dyDescent="0.25">
      <c r="O1029"/>
      <c r="P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row>
    <row r="1030" spans="15:49" x14ac:dyDescent="0.25">
      <c r="O1030"/>
      <c r="P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row>
    <row r="1031" spans="15:49" x14ac:dyDescent="0.25">
      <c r="O1031"/>
      <c r="P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row>
    <row r="1032" spans="15:49" x14ac:dyDescent="0.25">
      <c r="O1032"/>
      <c r="P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row>
    <row r="1033" spans="15:49" x14ac:dyDescent="0.25">
      <c r="O1033"/>
      <c r="P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row>
    <row r="1034" spans="15:49" x14ac:dyDescent="0.25">
      <c r="O1034"/>
      <c r="P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row>
    <row r="1035" spans="15:49" x14ac:dyDescent="0.25">
      <c r="O1035"/>
      <c r="P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row>
    <row r="1036" spans="15:49" x14ac:dyDescent="0.25">
      <c r="O1036"/>
      <c r="P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row>
    <row r="1037" spans="15:49" x14ac:dyDescent="0.25">
      <c r="O1037"/>
      <c r="P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row>
    <row r="1038" spans="15:49" x14ac:dyDescent="0.25">
      <c r="O1038"/>
      <c r="P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row>
    <row r="1039" spans="15:49" x14ac:dyDescent="0.25">
      <c r="O1039"/>
      <c r="P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row>
    <row r="1040" spans="15:49" x14ac:dyDescent="0.25">
      <c r="O1040"/>
      <c r="P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row>
    <row r="1041" spans="15:49" x14ac:dyDescent="0.25">
      <c r="O1041"/>
      <c r="P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row>
    <row r="1042" spans="15:49" x14ac:dyDescent="0.25">
      <c r="O1042"/>
      <c r="P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row>
    <row r="1043" spans="15:49" x14ac:dyDescent="0.25">
      <c r="O1043"/>
      <c r="P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row>
    <row r="1044" spans="15:49" x14ac:dyDescent="0.25">
      <c r="O1044"/>
      <c r="P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row>
    <row r="1045" spans="15:49" x14ac:dyDescent="0.25">
      <c r="O1045"/>
      <c r="P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row>
    <row r="1046" spans="15:49" x14ac:dyDescent="0.25">
      <c r="O1046"/>
      <c r="P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row>
    <row r="1047" spans="15:49" x14ac:dyDescent="0.25">
      <c r="O1047"/>
      <c r="P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row>
    <row r="1048" spans="15:49" x14ac:dyDescent="0.25">
      <c r="O1048"/>
      <c r="P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row>
    <row r="1049" spans="15:49" x14ac:dyDescent="0.25">
      <c r="O1049"/>
      <c r="P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row>
    <row r="1050" spans="15:49" x14ac:dyDescent="0.25">
      <c r="O1050"/>
      <c r="P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row>
    <row r="1051" spans="15:49" x14ac:dyDescent="0.25">
      <c r="O1051"/>
      <c r="P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row>
    <row r="1052" spans="15:49" x14ac:dyDescent="0.25">
      <c r="O1052"/>
      <c r="P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row>
    <row r="1053" spans="15:49" x14ac:dyDescent="0.25">
      <c r="O1053"/>
      <c r="P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row>
    <row r="1054" spans="15:49" x14ac:dyDescent="0.25">
      <c r="O1054"/>
      <c r="P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row>
    <row r="1055" spans="15:49" x14ac:dyDescent="0.2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row>
    <row r="1056" spans="15:49" x14ac:dyDescent="0.25">
      <c r="AJ1056"/>
      <c r="AK1056"/>
      <c r="AL1056"/>
      <c r="AM1056"/>
      <c r="AN1056"/>
      <c r="AO1056"/>
      <c r="AP1056"/>
      <c r="AQ1056"/>
      <c r="AR1056"/>
      <c r="AS1056"/>
      <c r="AT1056"/>
      <c r="AU1056"/>
      <c r="AV1056"/>
      <c r="AW1056"/>
    </row>
    <row r="1057" spans="35:49" x14ac:dyDescent="0.25">
      <c r="AJ1057"/>
      <c r="AK1057"/>
      <c r="AL1057"/>
      <c r="AM1057"/>
      <c r="AN1057"/>
      <c r="AO1057"/>
      <c r="AP1057"/>
      <c r="AQ1057"/>
      <c r="AR1057"/>
      <c r="AS1057"/>
      <c r="AT1057"/>
      <c r="AU1057"/>
      <c r="AV1057"/>
      <c r="AW1057"/>
    </row>
    <row r="1058" spans="35:49" x14ac:dyDescent="0.25">
      <c r="AJ1058"/>
      <c r="AK1058"/>
      <c r="AL1058"/>
      <c r="AM1058"/>
      <c r="AN1058"/>
      <c r="AO1058"/>
      <c r="AP1058"/>
      <c r="AQ1058"/>
      <c r="AR1058"/>
      <c r="AS1058"/>
      <c r="AT1058"/>
      <c r="AU1058"/>
      <c r="AV1058"/>
      <c r="AW1058"/>
    </row>
    <row r="1059" spans="35:49" x14ac:dyDescent="0.25">
      <c r="AJ1059"/>
      <c r="AK1059"/>
      <c r="AL1059"/>
      <c r="AM1059"/>
      <c r="AN1059"/>
      <c r="AO1059"/>
      <c r="AP1059"/>
      <c r="AQ1059"/>
      <c r="AR1059"/>
      <c r="AS1059"/>
      <c r="AT1059"/>
      <c r="AU1059"/>
      <c r="AV1059"/>
      <c r="AW1059"/>
    </row>
    <row r="1060" spans="35:49" x14ac:dyDescent="0.25">
      <c r="AJ1060"/>
      <c r="AK1060"/>
      <c r="AL1060"/>
      <c r="AM1060"/>
      <c r="AN1060"/>
      <c r="AO1060"/>
      <c r="AP1060"/>
      <c r="AQ1060"/>
      <c r="AR1060"/>
      <c r="AS1060"/>
      <c r="AT1060"/>
      <c r="AU1060"/>
      <c r="AV1060"/>
      <c r="AW1060"/>
    </row>
    <row r="1061" spans="35:49" x14ac:dyDescent="0.25">
      <c r="AJ1061"/>
      <c r="AK1061"/>
      <c r="AL1061"/>
      <c r="AM1061"/>
      <c r="AN1061"/>
      <c r="AO1061"/>
      <c r="AP1061"/>
      <c r="AQ1061"/>
      <c r="AR1061"/>
      <c r="AS1061"/>
      <c r="AT1061"/>
      <c r="AU1061"/>
      <c r="AV1061"/>
      <c r="AW1061"/>
    </row>
    <row r="1062" spans="35:49" x14ac:dyDescent="0.25">
      <c r="AJ1062"/>
      <c r="AK1062"/>
      <c r="AL1062"/>
      <c r="AM1062"/>
      <c r="AN1062"/>
      <c r="AO1062"/>
      <c r="AP1062"/>
      <c r="AQ1062"/>
      <c r="AR1062"/>
      <c r="AS1062"/>
      <c r="AT1062"/>
      <c r="AU1062"/>
      <c r="AV1062"/>
      <c r="AW1062"/>
    </row>
    <row r="1063" spans="35:49" x14ac:dyDescent="0.25">
      <c r="AJ1063"/>
      <c r="AK1063"/>
      <c r="AL1063"/>
      <c r="AM1063"/>
      <c r="AN1063"/>
      <c r="AO1063"/>
      <c r="AP1063"/>
      <c r="AQ1063"/>
      <c r="AR1063"/>
      <c r="AS1063"/>
      <c r="AT1063"/>
      <c r="AU1063"/>
      <c r="AV1063"/>
      <c r="AW1063"/>
    </row>
    <row r="1064" spans="35:49" x14ac:dyDescent="0.25">
      <c r="AI1064"/>
      <c r="AJ1064"/>
      <c r="AK1064"/>
      <c r="AL1064"/>
      <c r="AM1064"/>
      <c r="AN1064"/>
      <c r="AO1064"/>
      <c r="AP1064"/>
      <c r="AQ1064"/>
      <c r="AR1064"/>
      <c r="AS1064"/>
      <c r="AT1064"/>
      <c r="AU1064"/>
      <c r="AV1064"/>
      <c r="AW1064"/>
    </row>
    <row r="1065" spans="35:49" x14ac:dyDescent="0.25">
      <c r="AI1065"/>
      <c r="AJ1065"/>
      <c r="AK1065"/>
      <c r="AL1065"/>
      <c r="AM1065"/>
      <c r="AN1065"/>
      <c r="AO1065"/>
      <c r="AP1065"/>
      <c r="AQ1065"/>
      <c r="AR1065"/>
      <c r="AS1065"/>
      <c r="AT1065"/>
      <c r="AU1065"/>
      <c r="AV1065"/>
      <c r="AW1065"/>
    </row>
    <row r="1066" spans="35:49" x14ac:dyDescent="0.25">
      <c r="AI1066"/>
      <c r="AJ1066"/>
      <c r="AK1066"/>
      <c r="AL1066"/>
      <c r="AM1066"/>
      <c r="AN1066"/>
      <c r="AO1066"/>
      <c r="AP1066"/>
      <c r="AQ1066"/>
      <c r="AR1066"/>
      <c r="AS1066"/>
      <c r="AT1066"/>
      <c r="AU1066"/>
      <c r="AV1066"/>
      <c r="AW1066"/>
    </row>
    <row r="1067" spans="35:49" x14ac:dyDescent="0.25">
      <c r="AI1067"/>
      <c r="AJ1067"/>
      <c r="AK1067"/>
      <c r="AL1067"/>
      <c r="AM1067"/>
      <c r="AN1067"/>
      <c r="AO1067"/>
      <c r="AP1067"/>
      <c r="AQ1067"/>
      <c r="AR1067"/>
      <c r="AS1067"/>
      <c r="AT1067"/>
      <c r="AU1067"/>
      <c r="AV1067"/>
      <c r="AW1067"/>
    </row>
    <row r="1068" spans="35:49" x14ac:dyDescent="0.25">
      <c r="AI1068"/>
      <c r="AJ1068"/>
      <c r="AK1068"/>
      <c r="AL1068"/>
      <c r="AM1068"/>
      <c r="AN1068"/>
      <c r="AO1068"/>
      <c r="AP1068"/>
      <c r="AQ1068"/>
      <c r="AR1068"/>
      <c r="AS1068"/>
      <c r="AT1068"/>
      <c r="AU1068"/>
      <c r="AV1068"/>
      <c r="AW1068"/>
    </row>
    <row r="1069" spans="35:49" x14ac:dyDescent="0.25">
      <c r="AK1069"/>
      <c r="AL1069"/>
      <c r="AM1069"/>
      <c r="AN1069"/>
      <c r="AO1069"/>
      <c r="AP1069"/>
      <c r="AQ1069"/>
      <c r="AR1069"/>
      <c r="AS1069"/>
      <c r="AT1069"/>
      <c r="AU1069"/>
      <c r="AV1069"/>
      <c r="AW1069"/>
    </row>
    <row r="1070" spans="35:49" x14ac:dyDescent="0.25">
      <c r="AU1070"/>
      <c r="AV1070"/>
      <c r="AW1070"/>
    </row>
    <row r="1071" spans="35:49" x14ac:dyDescent="0.25">
      <c r="AU1071"/>
      <c r="AV1071"/>
      <c r="AW1071"/>
    </row>
    <row r="1072" spans="35:49" x14ac:dyDescent="0.25">
      <c r="AU1072"/>
      <c r="AV1072"/>
      <c r="AW1072"/>
    </row>
  </sheetData>
  <sortState xmlns:xlrd2="http://schemas.microsoft.com/office/spreadsheetml/2017/richdata2" ref="A2:G43">
    <sortCondition ref="G2"/>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F2B03-B1FA-4B2C-94A2-911DB22B6B2C}">
  <dimension ref="A1:D106"/>
  <sheetViews>
    <sheetView topLeftCell="A46" zoomScale="85" zoomScaleNormal="85" workbookViewId="0">
      <selection activeCell="D69" sqref="D69"/>
    </sheetView>
  </sheetViews>
  <sheetFormatPr baseColWidth="10" defaultRowHeight="15" x14ac:dyDescent="0.25"/>
  <cols>
    <col min="1" max="16384" width="11.42578125" style="263"/>
  </cols>
  <sheetData>
    <row r="1" spans="1:4" x14ac:dyDescent="0.25">
      <c r="A1" s="263" t="s">
        <v>239</v>
      </c>
      <c r="B1" s="263" t="s">
        <v>240</v>
      </c>
      <c r="C1" s="263" t="s">
        <v>241</v>
      </c>
      <c r="D1" s="263" t="s">
        <v>242</v>
      </c>
    </row>
    <row r="2" spans="1:4" x14ac:dyDescent="0.25">
      <c r="A2" s="263">
        <v>2020</v>
      </c>
      <c r="B2" s="263">
        <v>1</v>
      </c>
      <c r="C2" s="187">
        <f t="shared" ref="C2:C65" si="0">D2-6</f>
        <v>43828</v>
      </c>
      <c r="D2" s="187">
        <f t="shared" ref="D2:D65" si="1">C3-1</f>
        <v>43834</v>
      </c>
    </row>
    <row r="3" spans="1:4" x14ac:dyDescent="0.25">
      <c r="A3" s="263">
        <v>2020</v>
      </c>
      <c r="B3" s="263">
        <v>2</v>
      </c>
      <c r="C3" s="187">
        <f t="shared" si="0"/>
        <v>43835</v>
      </c>
      <c r="D3" s="187">
        <f t="shared" si="1"/>
        <v>43841</v>
      </c>
    </row>
    <row r="4" spans="1:4" x14ac:dyDescent="0.25">
      <c r="A4" s="263">
        <v>2020</v>
      </c>
      <c r="B4" s="263">
        <v>3</v>
      </c>
      <c r="C4" s="187">
        <f t="shared" si="0"/>
        <v>43842</v>
      </c>
      <c r="D4" s="187">
        <f t="shared" si="1"/>
        <v>43848</v>
      </c>
    </row>
    <row r="5" spans="1:4" x14ac:dyDescent="0.25">
      <c r="A5" s="263">
        <v>2020</v>
      </c>
      <c r="B5" s="263">
        <v>4</v>
      </c>
      <c r="C5" s="187">
        <f t="shared" si="0"/>
        <v>43849</v>
      </c>
      <c r="D5" s="187">
        <f t="shared" si="1"/>
        <v>43855</v>
      </c>
    </row>
    <row r="6" spans="1:4" x14ac:dyDescent="0.25">
      <c r="A6" s="263">
        <v>2020</v>
      </c>
      <c r="B6" s="263">
        <v>5</v>
      </c>
      <c r="C6" s="187">
        <f t="shared" si="0"/>
        <v>43856</v>
      </c>
      <c r="D6" s="187">
        <f t="shared" si="1"/>
        <v>43862</v>
      </c>
    </row>
    <row r="7" spans="1:4" x14ac:dyDescent="0.25">
      <c r="A7" s="263">
        <v>2020</v>
      </c>
      <c r="B7" s="263">
        <v>6</v>
      </c>
      <c r="C7" s="187">
        <f t="shared" si="0"/>
        <v>43863</v>
      </c>
      <c r="D7" s="187">
        <f t="shared" si="1"/>
        <v>43869</v>
      </c>
    </row>
    <row r="8" spans="1:4" x14ac:dyDescent="0.25">
      <c r="A8" s="263">
        <v>2020</v>
      </c>
      <c r="B8" s="263">
        <v>7</v>
      </c>
      <c r="C8" s="187">
        <f t="shared" si="0"/>
        <v>43870</v>
      </c>
      <c r="D8" s="187">
        <f t="shared" si="1"/>
        <v>43876</v>
      </c>
    </row>
    <row r="9" spans="1:4" x14ac:dyDescent="0.25">
      <c r="A9" s="263">
        <v>2020</v>
      </c>
      <c r="B9" s="263">
        <v>8</v>
      </c>
      <c r="C9" s="187">
        <f t="shared" si="0"/>
        <v>43877</v>
      </c>
      <c r="D9" s="187">
        <f t="shared" si="1"/>
        <v>43883</v>
      </c>
    </row>
    <row r="10" spans="1:4" x14ac:dyDescent="0.25">
      <c r="A10" s="263">
        <v>2020</v>
      </c>
      <c r="B10" s="263">
        <v>9</v>
      </c>
      <c r="C10" s="187">
        <f t="shared" si="0"/>
        <v>43884</v>
      </c>
      <c r="D10" s="187">
        <f t="shared" si="1"/>
        <v>43890</v>
      </c>
    </row>
    <row r="11" spans="1:4" x14ac:dyDescent="0.25">
      <c r="A11" s="263">
        <v>2020</v>
      </c>
      <c r="B11" s="263">
        <v>10</v>
      </c>
      <c r="C11" s="187">
        <f t="shared" si="0"/>
        <v>43891</v>
      </c>
      <c r="D11" s="187">
        <f t="shared" si="1"/>
        <v>43897</v>
      </c>
    </row>
    <row r="12" spans="1:4" x14ac:dyDescent="0.25">
      <c r="A12" s="263">
        <v>2020</v>
      </c>
      <c r="B12" s="263">
        <v>11</v>
      </c>
      <c r="C12" s="187">
        <f t="shared" si="0"/>
        <v>43898</v>
      </c>
      <c r="D12" s="187">
        <f t="shared" si="1"/>
        <v>43904</v>
      </c>
    </row>
    <row r="13" spans="1:4" x14ac:dyDescent="0.25">
      <c r="A13" s="263">
        <v>2020</v>
      </c>
      <c r="B13" s="263">
        <v>12</v>
      </c>
      <c r="C13" s="187">
        <f t="shared" si="0"/>
        <v>43905</v>
      </c>
      <c r="D13" s="187">
        <f t="shared" si="1"/>
        <v>43911</v>
      </c>
    </row>
    <row r="14" spans="1:4" x14ac:dyDescent="0.25">
      <c r="A14" s="263">
        <v>2020</v>
      </c>
      <c r="B14" s="263">
        <v>13</v>
      </c>
      <c r="C14" s="187">
        <f t="shared" si="0"/>
        <v>43912</v>
      </c>
      <c r="D14" s="187">
        <f t="shared" si="1"/>
        <v>43918</v>
      </c>
    </row>
    <row r="15" spans="1:4" x14ac:dyDescent="0.25">
      <c r="A15" s="263">
        <v>2020</v>
      </c>
      <c r="B15" s="263">
        <v>14</v>
      </c>
      <c r="C15" s="187">
        <f t="shared" si="0"/>
        <v>43919</v>
      </c>
      <c r="D15" s="187">
        <f t="shared" si="1"/>
        <v>43925</v>
      </c>
    </row>
    <row r="16" spans="1:4" x14ac:dyDescent="0.25">
      <c r="A16" s="263">
        <v>2020</v>
      </c>
      <c r="B16" s="263">
        <v>15</v>
      </c>
      <c r="C16" s="187">
        <f t="shared" si="0"/>
        <v>43926</v>
      </c>
      <c r="D16" s="187">
        <f t="shared" si="1"/>
        <v>43932</v>
      </c>
    </row>
    <row r="17" spans="1:4" x14ac:dyDescent="0.25">
      <c r="A17" s="263">
        <v>2020</v>
      </c>
      <c r="B17" s="263">
        <v>16</v>
      </c>
      <c r="C17" s="187">
        <f t="shared" si="0"/>
        <v>43933</v>
      </c>
      <c r="D17" s="187">
        <f t="shared" si="1"/>
        <v>43939</v>
      </c>
    </row>
    <row r="18" spans="1:4" x14ac:dyDescent="0.25">
      <c r="A18" s="263">
        <v>2020</v>
      </c>
      <c r="B18" s="263">
        <v>17</v>
      </c>
      <c r="C18" s="187">
        <f t="shared" si="0"/>
        <v>43940</v>
      </c>
      <c r="D18" s="187">
        <f t="shared" si="1"/>
        <v>43946</v>
      </c>
    </row>
    <row r="19" spans="1:4" x14ac:dyDescent="0.25">
      <c r="A19" s="263">
        <v>2020</v>
      </c>
      <c r="B19" s="263">
        <v>18</v>
      </c>
      <c r="C19" s="187">
        <f t="shared" si="0"/>
        <v>43947</v>
      </c>
      <c r="D19" s="187">
        <f t="shared" si="1"/>
        <v>43953</v>
      </c>
    </row>
    <row r="20" spans="1:4" x14ac:dyDescent="0.25">
      <c r="A20" s="263">
        <v>2020</v>
      </c>
      <c r="B20" s="263">
        <v>19</v>
      </c>
      <c r="C20" s="187">
        <f t="shared" si="0"/>
        <v>43954</v>
      </c>
      <c r="D20" s="187">
        <f t="shared" si="1"/>
        <v>43960</v>
      </c>
    </row>
    <row r="21" spans="1:4" x14ac:dyDescent="0.25">
      <c r="A21" s="263">
        <v>2020</v>
      </c>
      <c r="B21" s="263">
        <v>20</v>
      </c>
      <c r="C21" s="187">
        <f t="shared" si="0"/>
        <v>43961</v>
      </c>
      <c r="D21" s="187">
        <f t="shared" si="1"/>
        <v>43967</v>
      </c>
    </row>
    <row r="22" spans="1:4" x14ac:dyDescent="0.25">
      <c r="A22" s="263">
        <v>2020</v>
      </c>
      <c r="B22" s="263">
        <v>21</v>
      </c>
      <c r="C22" s="187">
        <f t="shared" si="0"/>
        <v>43968</v>
      </c>
      <c r="D22" s="187">
        <f t="shared" si="1"/>
        <v>43974</v>
      </c>
    </row>
    <row r="23" spans="1:4" x14ac:dyDescent="0.25">
      <c r="A23" s="263">
        <v>2020</v>
      </c>
      <c r="B23" s="263">
        <v>22</v>
      </c>
      <c r="C23" s="187">
        <f t="shared" si="0"/>
        <v>43975</v>
      </c>
      <c r="D23" s="187">
        <f t="shared" si="1"/>
        <v>43981</v>
      </c>
    </row>
    <row r="24" spans="1:4" x14ac:dyDescent="0.25">
      <c r="A24" s="263">
        <v>2020</v>
      </c>
      <c r="B24" s="263">
        <v>23</v>
      </c>
      <c r="C24" s="187">
        <f t="shared" si="0"/>
        <v>43982</v>
      </c>
      <c r="D24" s="187">
        <f t="shared" si="1"/>
        <v>43988</v>
      </c>
    </row>
    <row r="25" spans="1:4" x14ac:dyDescent="0.25">
      <c r="A25" s="263">
        <v>2020</v>
      </c>
      <c r="B25" s="263">
        <v>24</v>
      </c>
      <c r="C25" s="187">
        <f t="shared" si="0"/>
        <v>43989</v>
      </c>
      <c r="D25" s="187">
        <f t="shared" si="1"/>
        <v>43995</v>
      </c>
    </row>
    <row r="26" spans="1:4" x14ac:dyDescent="0.25">
      <c r="A26" s="263">
        <v>2020</v>
      </c>
      <c r="B26" s="263">
        <v>25</v>
      </c>
      <c r="C26" s="187">
        <f t="shared" si="0"/>
        <v>43996</v>
      </c>
      <c r="D26" s="187">
        <f t="shared" si="1"/>
        <v>44002</v>
      </c>
    </row>
    <row r="27" spans="1:4" x14ac:dyDescent="0.25">
      <c r="A27" s="263">
        <v>2020</v>
      </c>
      <c r="B27" s="263">
        <v>26</v>
      </c>
      <c r="C27" s="187">
        <f t="shared" si="0"/>
        <v>44003</v>
      </c>
      <c r="D27" s="187">
        <f t="shared" si="1"/>
        <v>44009</v>
      </c>
    </row>
    <row r="28" spans="1:4" x14ac:dyDescent="0.25">
      <c r="A28" s="263">
        <v>2020</v>
      </c>
      <c r="B28" s="263">
        <v>27</v>
      </c>
      <c r="C28" s="187">
        <f t="shared" si="0"/>
        <v>44010</v>
      </c>
      <c r="D28" s="187">
        <f t="shared" si="1"/>
        <v>44016</v>
      </c>
    </row>
    <row r="29" spans="1:4" x14ac:dyDescent="0.25">
      <c r="A29" s="263">
        <v>2020</v>
      </c>
      <c r="B29" s="263">
        <v>28</v>
      </c>
      <c r="C29" s="187">
        <f t="shared" si="0"/>
        <v>44017</v>
      </c>
      <c r="D29" s="187">
        <f t="shared" si="1"/>
        <v>44023</v>
      </c>
    </row>
    <row r="30" spans="1:4" x14ac:dyDescent="0.25">
      <c r="A30" s="263">
        <v>2020</v>
      </c>
      <c r="B30" s="263">
        <v>29</v>
      </c>
      <c r="C30" s="187">
        <f t="shared" si="0"/>
        <v>44024</v>
      </c>
      <c r="D30" s="187">
        <f t="shared" si="1"/>
        <v>44030</v>
      </c>
    </row>
    <row r="31" spans="1:4" x14ac:dyDescent="0.25">
      <c r="A31" s="263">
        <v>2020</v>
      </c>
      <c r="B31" s="263">
        <v>30</v>
      </c>
      <c r="C31" s="187">
        <f t="shared" si="0"/>
        <v>44031</v>
      </c>
      <c r="D31" s="187">
        <f t="shared" si="1"/>
        <v>44037</v>
      </c>
    </row>
    <row r="32" spans="1:4" x14ac:dyDescent="0.25">
      <c r="A32" s="263">
        <v>2020</v>
      </c>
      <c r="B32" s="263">
        <v>31</v>
      </c>
      <c r="C32" s="187">
        <f t="shared" si="0"/>
        <v>44038</v>
      </c>
      <c r="D32" s="187">
        <f t="shared" si="1"/>
        <v>44044</v>
      </c>
    </row>
    <row r="33" spans="1:4" x14ac:dyDescent="0.25">
      <c r="A33" s="263">
        <v>2020</v>
      </c>
      <c r="B33" s="263">
        <v>32</v>
      </c>
      <c r="C33" s="187">
        <f t="shared" si="0"/>
        <v>44045</v>
      </c>
      <c r="D33" s="187">
        <f t="shared" si="1"/>
        <v>44051</v>
      </c>
    </row>
    <row r="34" spans="1:4" x14ac:dyDescent="0.25">
      <c r="A34" s="263">
        <v>2020</v>
      </c>
      <c r="B34" s="263">
        <v>33</v>
      </c>
      <c r="C34" s="187">
        <f t="shared" si="0"/>
        <v>44052</v>
      </c>
      <c r="D34" s="187">
        <f t="shared" si="1"/>
        <v>44058</v>
      </c>
    </row>
    <row r="35" spans="1:4" x14ac:dyDescent="0.25">
      <c r="A35" s="263">
        <v>2020</v>
      </c>
      <c r="B35" s="263">
        <v>34</v>
      </c>
      <c r="C35" s="187">
        <f t="shared" si="0"/>
        <v>44059</v>
      </c>
      <c r="D35" s="187">
        <f t="shared" si="1"/>
        <v>44065</v>
      </c>
    </row>
    <row r="36" spans="1:4" x14ac:dyDescent="0.25">
      <c r="A36" s="263">
        <v>2020</v>
      </c>
      <c r="B36" s="263">
        <v>35</v>
      </c>
      <c r="C36" s="187">
        <f t="shared" si="0"/>
        <v>44066</v>
      </c>
      <c r="D36" s="187">
        <f t="shared" si="1"/>
        <v>44072</v>
      </c>
    </row>
    <row r="37" spans="1:4" x14ac:dyDescent="0.25">
      <c r="A37" s="263">
        <v>2020</v>
      </c>
      <c r="B37" s="263">
        <v>36</v>
      </c>
      <c r="C37" s="187">
        <f t="shared" si="0"/>
        <v>44073</v>
      </c>
      <c r="D37" s="187">
        <f t="shared" si="1"/>
        <v>44079</v>
      </c>
    </row>
    <row r="38" spans="1:4" x14ac:dyDescent="0.25">
      <c r="A38" s="263">
        <v>2020</v>
      </c>
      <c r="B38" s="263">
        <v>37</v>
      </c>
      <c r="C38" s="187">
        <f t="shared" si="0"/>
        <v>44080</v>
      </c>
      <c r="D38" s="187">
        <f t="shared" si="1"/>
        <v>44086</v>
      </c>
    </row>
    <row r="39" spans="1:4" x14ac:dyDescent="0.25">
      <c r="A39" s="263">
        <v>2020</v>
      </c>
      <c r="B39" s="263">
        <v>38</v>
      </c>
      <c r="C39" s="187">
        <f t="shared" si="0"/>
        <v>44087</v>
      </c>
      <c r="D39" s="187">
        <f t="shared" si="1"/>
        <v>44093</v>
      </c>
    </row>
    <row r="40" spans="1:4" x14ac:dyDescent="0.25">
      <c r="A40" s="263">
        <v>2020</v>
      </c>
      <c r="B40" s="263">
        <v>39</v>
      </c>
      <c r="C40" s="187">
        <f t="shared" si="0"/>
        <v>44094</v>
      </c>
      <c r="D40" s="187">
        <f t="shared" si="1"/>
        <v>44100</v>
      </c>
    </row>
    <row r="41" spans="1:4" x14ac:dyDescent="0.25">
      <c r="A41" s="263">
        <v>2020</v>
      </c>
      <c r="B41" s="263">
        <v>40</v>
      </c>
      <c r="C41" s="187">
        <f t="shared" si="0"/>
        <v>44101</v>
      </c>
      <c r="D41" s="187">
        <f t="shared" si="1"/>
        <v>44107</v>
      </c>
    </row>
    <row r="42" spans="1:4" x14ac:dyDescent="0.25">
      <c r="A42" s="263">
        <v>2020</v>
      </c>
      <c r="B42" s="263">
        <v>41</v>
      </c>
      <c r="C42" s="187">
        <f t="shared" si="0"/>
        <v>44108</v>
      </c>
      <c r="D42" s="187">
        <f t="shared" si="1"/>
        <v>44114</v>
      </c>
    </row>
    <row r="43" spans="1:4" x14ac:dyDescent="0.25">
      <c r="A43" s="263">
        <v>2020</v>
      </c>
      <c r="B43" s="263">
        <v>42</v>
      </c>
      <c r="C43" s="187">
        <f t="shared" si="0"/>
        <v>44115</v>
      </c>
      <c r="D43" s="187">
        <f t="shared" si="1"/>
        <v>44121</v>
      </c>
    </row>
    <row r="44" spans="1:4" x14ac:dyDescent="0.25">
      <c r="A44" s="263">
        <v>2020</v>
      </c>
      <c r="B44" s="263">
        <v>43</v>
      </c>
      <c r="C44" s="187">
        <f t="shared" si="0"/>
        <v>44122</v>
      </c>
      <c r="D44" s="187">
        <f t="shared" si="1"/>
        <v>44128</v>
      </c>
    </row>
    <row r="45" spans="1:4" x14ac:dyDescent="0.25">
      <c r="A45" s="263">
        <v>2020</v>
      </c>
      <c r="B45" s="263">
        <v>44</v>
      </c>
      <c r="C45" s="187">
        <f t="shared" si="0"/>
        <v>44129</v>
      </c>
      <c r="D45" s="187">
        <f t="shared" si="1"/>
        <v>44135</v>
      </c>
    </row>
    <row r="46" spans="1:4" x14ac:dyDescent="0.25">
      <c r="A46" s="263">
        <v>2020</v>
      </c>
      <c r="B46" s="263">
        <v>45</v>
      </c>
      <c r="C46" s="187">
        <f t="shared" si="0"/>
        <v>44136</v>
      </c>
      <c r="D46" s="187">
        <f t="shared" si="1"/>
        <v>44142</v>
      </c>
    </row>
    <row r="47" spans="1:4" x14ac:dyDescent="0.25">
      <c r="A47" s="263">
        <v>2020</v>
      </c>
      <c r="B47" s="263">
        <v>46</v>
      </c>
      <c r="C47" s="187">
        <f t="shared" si="0"/>
        <v>44143</v>
      </c>
      <c r="D47" s="187">
        <f t="shared" si="1"/>
        <v>44149</v>
      </c>
    </row>
    <row r="48" spans="1:4" x14ac:dyDescent="0.25">
      <c r="A48" s="263">
        <v>2020</v>
      </c>
      <c r="B48" s="263">
        <v>47</v>
      </c>
      <c r="C48" s="187">
        <f t="shared" si="0"/>
        <v>44150</v>
      </c>
      <c r="D48" s="187">
        <f t="shared" si="1"/>
        <v>44156</v>
      </c>
    </row>
    <row r="49" spans="1:4" x14ac:dyDescent="0.25">
      <c r="A49" s="263">
        <v>2020</v>
      </c>
      <c r="B49" s="263">
        <v>48</v>
      </c>
      <c r="C49" s="187">
        <f t="shared" si="0"/>
        <v>44157</v>
      </c>
      <c r="D49" s="187">
        <f t="shared" si="1"/>
        <v>44163</v>
      </c>
    </row>
    <row r="50" spans="1:4" x14ac:dyDescent="0.25">
      <c r="A50" s="263">
        <v>2020</v>
      </c>
      <c r="B50" s="263">
        <v>49</v>
      </c>
      <c r="C50" s="187">
        <f t="shared" si="0"/>
        <v>44164</v>
      </c>
      <c r="D50" s="187">
        <f t="shared" si="1"/>
        <v>44170</v>
      </c>
    </row>
    <row r="51" spans="1:4" x14ac:dyDescent="0.25">
      <c r="A51" s="263">
        <v>2020</v>
      </c>
      <c r="B51" s="263">
        <v>50</v>
      </c>
      <c r="C51" s="187">
        <f t="shared" si="0"/>
        <v>44171</v>
      </c>
      <c r="D51" s="187">
        <f t="shared" si="1"/>
        <v>44177</v>
      </c>
    </row>
    <row r="52" spans="1:4" x14ac:dyDescent="0.25">
      <c r="A52" s="263">
        <v>2020</v>
      </c>
      <c r="B52" s="263">
        <v>51</v>
      </c>
      <c r="C52" s="187">
        <f t="shared" si="0"/>
        <v>44178</v>
      </c>
      <c r="D52" s="187">
        <f t="shared" si="1"/>
        <v>44184</v>
      </c>
    </row>
    <row r="53" spans="1:4" x14ac:dyDescent="0.25">
      <c r="A53" s="263">
        <v>2020</v>
      </c>
      <c r="B53" s="263">
        <v>52</v>
      </c>
      <c r="C53" s="187">
        <f t="shared" si="0"/>
        <v>44185</v>
      </c>
      <c r="D53" s="187">
        <f t="shared" si="1"/>
        <v>44191</v>
      </c>
    </row>
    <row r="54" spans="1:4" x14ac:dyDescent="0.25">
      <c r="A54" s="263">
        <v>2020</v>
      </c>
      <c r="B54" s="263">
        <v>53</v>
      </c>
      <c r="C54" s="187">
        <f t="shared" si="0"/>
        <v>44192</v>
      </c>
      <c r="D54" s="187">
        <f t="shared" si="1"/>
        <v>44198</v>
      </c>
    </row>
    <row r="55" spans="1:4" x14ac:dyDescent="0.25">
      <c r="A55" s="263">
        <v>2021</v>
      </c>
      <c r="B55" s="263">
        <v>1</v>
      </c>
      <c r="C55" s="187">
        <f t="shared" si="0"/>
        <v>44199</v>
      </c>
      <c r="D55" s="187">
        <f t="shared" si="1"/>
        <v>44205</v>
      </c>
    </row>
    <row r="56" spans="1:4" x14ac:dyDescent="0.25">
      <c r="A56" s="263">
        <v>2021</v>
      </c>
      <c r="B56" s="263">
        <v>2</v>
      </c>
      <c r="C56" s="187">
        <f t="shared" si="0"/>
        <v>44206</v>
      </c>
      <c r="D56" s="187">
        <f t="shared" si="1"/>
        <v>44212</v>
      </c>
    </row>
    <row r="57" spans="1:4" x14ac:dyDescent="0.25">
      <c r="A57" s="263">
        <v>2021</v>
      </c>
      <c r="B57" s="263">
        <v>3</v>
      </c>
      <c r="C57" s="187">
        <f t="shared" si="0"/>
        <v>44213</v>
      </c>
      <c r="D57" s="187">
        <f t="shared" si="1"/>
        <v>44219</v>
      </c>
    </row>
    <row r="58" spans="1:4" x14ac:dyDescent="0.25">
      <c r="A58" s="263">
        <v>2021</v>
      </c>
      <c r="B58" s="263">
        <v>4</v>
      </c>
      <c r="C58" s="187">
        <f t="shared" si="0"/>
        <v>44220</v>
      </c>
      <c r="D58" s="187">
        <f t="shared" si="1"/>
        <v>44226</v>
      </c>
    </row>
    <row r="59" spans="1:4" x14ac:dyDescent="0.25">
      <c r="A59" s="263">
        <v>2021</v>
      </c>
      <c r="B59" s="263">
        <v>5</v>
      </c>
      <c r="C59" s="187">
        <f t="shared" si="0"/>
        <v>44227</v>
      </c>
      <c r="D59" s="187">
        <f t="shared" si="1"/>
        <v>44233</v>
      </c>
    </row>
    <row r="60" spans="1:4" x14ac:dyDescent="0.25">
      <c r="A60" s="263">
        <v>2021</v>
      </c>
      <c r="B60" s="263">
        <v>6</v>
      </c>
      <c r="C60" s="187">
        <f t="shared" si="0"/>
        <v>44234</v>
      </c>
      <c r="D60" s="187">
        <f t="shared" si="1"/>
        <v>44240</v>
      </c>
    </row>
    <row r="61" spans="1:4" x14ac:dyDescent="0.25">
      <c r="A61" s="263">
        <v>2021</v>
      </c>
      <c r="B61" s="263">
        <v>7</v>
      </c>
      <c r="C61" s="187">
        <f t="shared" si="0"/>
        <v>44241</v>
      </c>
      <c r="D61" s="187">
        <f t="shared" si="1"/>
        <v>44247</v>
      </c>
    </row>
    <row r="62" spans="1:4" x14ac:dyDescent="0.25">
      <c r="A62" s="263">
        <v>2021</v>
      </c>
      <c r="B62" s="263">
        <v>8</v>
      </c>
      <c r="C62" s="187">
        <f t="shared" si="0"/>
        <v>44248</v>
      </c>
      <c r="D62" s="187">
        <f t="shared" si="1"/>
        <v>44254</v>
      </c>
    </row>
    <row r="63" spans="1:4" x14ac:dyDescent="0.25">
      <c r="A63" s="263">
        <v>2021</v>
      </c>
      <c r="B63" s="263">
        <v>9</v>
      </c>
      <c r="C63" s="187">
        <f t="shared" si="0"/>
        <v>44255</v>
      </c>
      <c r="D63" s="187">
        <f t="shared" si="1"/>
        <v>44261</v>
      </c>
    </row>
    <row r="64" spans="1:4" x14ac:dyDescent="0.25">
      <c r="A64" s="263">
        <v>2021</v>
      </c>
      <c r="B64" s="263">
        <v>10</v>
      </c>
      <c r="C64" s="187">
        <f t="shared" si="0"/>
        <v>44262</v>
      </c>
      <c r="D64" s="187">
        <f t="shared" si="1"/>
        <v>44268</v>
      </c>
    </row>
    <row r="65" spans="1:4" x14ac:dyDescent="0.25">
      <c r="A65" s="263">
        <v>2021</v>
      </c>
      <c r="B65" s="263">
        <v>11</v>
      </c>
      <c r="C65" s="187">
        <f t="shared" si="0"/>
        <v>44269</v>
      </c>
      <c r="D65" s="187">
        <f t="shared" si="1"/>
        <v>44275</v>
      </c>
    </row>
    <row r="66" spans="1:4" x14ac:dyDescent="0.25">
      <c r="A66" s="263">
        <v>2021</v>
      </c>
      <c r="B66" s="263">
        <v>12</v>
      </c>
      <c r="C66" s="187">
        <f>D66-6</f>
        <v>44276</v>
      </c>
      <c r="D66" s="187">
        <f>C67-1</f>
        <v>44282</v>
      </c>
    </row>
    <row r="67" spans="1:4" x14ac:dyDescent="0.25">
      <c r="A67" s="263">
        <v>2021</v>
      </c>
      <c r="B67" s="263">
        <v>13</v>
      </c>
      <c r="C67" s="187">
        <v>44283</v>
      </c>
      <c r="D67" s="187">
        <f>C67+6</f>
        <v>44289</v>
      </c>
    </row>
    <row r="68" spans="1:4" x14ac:dyDescent="0.25">
      <c r="A68" s="263">
        <v>2021</v>
      </c>
      <c r="B68" s="311">
        <v>14</v>
      </c>
      <c r="C68" s="355">
        <f>D68-6</f>
        <v>44290</v>
      </c>
      <c r="D68" s="355">
        <v>44296</v>
      </c>
    </row>
    <row r="69" spans="1:4" x14ac:dyDescent="0.25">
      <c r="A69" s="263">
        <v>2021</v>
      </c>
      <c r="B69" s="263">
        <v>15</v>
      </c>
      <c r="C69" s="187">
        <v>44297</v>
      </c>
      <c r="D69" s="187">
        <v>44303</v>
      </c>
    </row>
    <row r="70" spans="1:4" x14ac:dyDescent="0.25">
      <c r="A70" s="263">
        <v>2021</v>
      </c>
      <c r="B70" s="263">
        <v>16</v>
      </c>
      <c r="C70" s="187">
        <f>D69+1</f>
        <v>44304</v>
      </c>
      <c r="D70" s="187">
        <f>C70+6</f>
        <v>44310</v>
      </c>
    </row>
    <row r="71" spans="1:4" x14ac:dyDescent="0.25">
      <c r="A71" s="263">
        <v>2021</v>
      </c>
      <c r="B71" s="263">
        <v>17</v>
      </c>
      <c r="C71" s="187">
        <f>D70+1</f>
        <v>44311</v>
      </c>
      <c r="D71" s="187">
        <f>C71+6</f>
        <v>44317</v>
      </c>
    </row>
    <row r="72" spans="1:4" x14ac:dyDescent="0.25">
      <c r="A72" s="263">
        <v>2021</v>
      </c>
      <c r="B72" s="263">
        <v>18</v>
      </c>
      <c r="C72" s="187">
        <f t="shared" ref="C72:C78" si="2">D71+1</f>
        <v>44318</v>
      </c>
      <c r="D72" s="187">
        <f t="shared" ref="D72:D78" si="3">C72+6</f>
        <v>44324</v>
      </c>
    </row>
    <row r="73" spans="1:4" x14ac:dyDescent="0.25">
      <c r="A73" s="263">
        <v>2021</v>
      </c>
      <c r="B73" s="263">
        <v>19</v>
      </c>
      <c r="C73" s="187">
        <f t="shared" si="2"/>
        <v>44325</v>
      </c>
      <c r="D73" s="187">
        <f t="shared" si="3"/>
        <v>44331</v>
      </c>
    </row>
    <row r="74" spans="1:4" x14ac:dyDescent="0.25">
      <c r="A74" s="263">
        <v>2021</v>
      </c>
      <c r="B74" s="263">
        <v>20</v>
      </c>
      <c r="C74" s="187">
        <f t="shared" si="2"/>
        <v>44332</v>
      </c>
      <c r="D74" s="187">
        <f t="shared" si="3"/>
        <v>44338</v>
      </c>
    </row>
    <row r="75" spans="1:4" x14ac:dyDescent="0.25">
      <c r="A75" s="263">
        <v>2021</v>
      </c>
      <c r="B75" s="263">
        <v>21</v>
      </c>
      <c r="C75" s="187">
        <f t="shared" si="2"/>
        <v>44339</v>
      </c>
      <c r="D75" s="187">
        <f t="shared" si="3"/>
        <v>44345</v>
      </c>
    </row>
    <row r="76" spans="1:4" x14ac:dyDescent="0.25">
      <c r="A76" s="263">
        <v>2021</v>
      </c>
      <c r="B76" s="263">
        <v>22</v>
      </c>
      <c r="C76" s="187">
        <f t="shared" si="2"/>
        <v>44346</v>
      </c>
      <c r="D76" s="187">
        <f t="shared" si="3"/>
        <v>44352</v>
      </c>
    </row>
    <row r="77" spans="1:4" x14ac:dyDescent="0.25">
      <c r="A77" s="263">
        <v>2021</v>
      </c>
      <c r="B77" s="263">
        <v>23</v>
      </c>
      <c r="C77" s="187">
        <f t="shared" si="2"/>
        <v>44353</v>
      </c>
      <c r="D77" s="187">
        <f t="shared" si="3"/>
        <v>44359</v>
      </c>
    </row>
    <row r="78" spans="1:4" x14ac:dyDescent="0.25">
      <c r="A78" s="263">
        <v>2021</v>
      </c>
      <c r="B78" s="263">
        <v>24</v>
      </c>
      <c r="C78" s="187">
        <f t="shared" si="2"/>
        <v>44360</v>
      </c>
      <c r="D78" s="187">
        <f t="shared" si="3"/>
        <v>44366</v>
      </c>
    </row>
    <row r="79" spans="1:4" x14ac:dyDescent="0.25">
      <c r="A79" s="263">
        <v>2021</v>
      </c>
      <c r="B79" s="263">
        <v>25</v>
      </c>
      <c r="C79" s="187">
        <f>D78+1</f>
        <v>44367</v>
      </c>
      <c r="D79" s="187">
        <f>C79+6</f>
        <v>44373</v>
      </c>
    </row>
    <row r="80" spans="1:4" x14ac:dyDescent="0.25">
      <c r="A80" s="263">
        <v>2021</v>
      </c>
      <c r="B80" s="263">
        <v>26</v>
      </c>
      <c r="C80" s="187">
        <f>D79+1</f>
        <v>44374</v>
      </c>
      <c r="D80" s="187">
        <f>C80+6</f>
        <v>44380</v>
      </c>
    </row>
    <row r="81" spans="1:4" x14ac:dyDescent="0.25">
      <c r="A81" s="263">
        <v>2021</v>
      </c>
      <c r="B81" s="263">
        <v>27</v>
      </c>
      <c r="C81" s="187">
        <f t="shared" ref="C81:C102" si="4">D80+1</f>
        <v>44381</v>
      </c>
      <c r="D81" s="187">
        <f t="shared" ref="D81:D102" si="5">C81+6</f>
        <v>44387</v>
      </c>
    </row>
    <row r="82" spans="1:4" x14ac:dyDescent="0.25">
      <c r="A82" s="263">
        <v>2021</v>
      </c>
      <c r="B82" s="263">
        <v>28</v>
      </c>
      <c r="C82" s="187">
        <f t="shared" si="4"/>
        <v>44388</v>
      </c>
      <c r="D82" s="187">
        <f t="shared" si="5"/>
        <v>44394</v>
      </c>
    </row>
    <row r="83" spans="1:4" x14ac:dyDescent="0.25">
      <c r="A83" s="263">
        <v>2021</v>
      </c>
      <c r="B83" s="263">
        <v>29</v>
      </c>
      <c r="C83" s="187">
        <f t="shared" si="4"/>
        <v>44395</v>
      </c>
      <c r="D83" s="187">
        <f t="shared" si="5"/>
        <v>44401</v>
      </c>
    </row>
    <row r="84" spans="1:4" x14ac:dyDescent="0.25">
      <c r="A84" s="263">
        <v>2021</v>
      </c>
      <c r="B84" s="263">
        <v>30</v>
      </c>
      <c r="C84" s="187">
        <f t="shared" si="4"/>
        <v>44402</v>
      </c>
      <c r="D84" s="187">
        <f t="shared" si="5"/>
        <v>44408</v>
      </c>
    </row>
    <row r="85" spans="1:4" x14ac:dyDescent="0.25">
      <c r="A85" s="263">
        <v>2021</v>
      </c>
      <c r="B85" s="263">
        <v>31</v>
      </c>
      <c r="C85" s="187">
        <f t="shared" si="4"/>
        <v>44409</v>
      </c>
      <c r="D85" s="187">
        <f t="shared" si="5"/>
        <v>44415</v>
      </c>
    </row>
    <row r="86" spans="1:4" x14ac:dyDescent="0.25">
      <c r="A86" s="263">
        <v>2021</v>
      </c>
      <c r="B86" s="263">
        <v>32</v>
      </c>
      <c r="C86" s="187">
        <f t="shared" si="4"/>
        <v>44416</v>
      </c>
      <c r="D86" s="187">
        <f t="shared" si="5"/>
        <v>44422</v>
      </c>
    </row>
    <row r="87" spans="1:4" x14ac:dyDescent="0.25">
      <c r="A87" s="263">
        <v>2021</v>
      </c>
      <c r="B87" s="263">
        <v>33</v>
      </c>
      <c r="C87" s="187">
        <f t="shared" si="4"/>
        <v>44423</v>
      </c>
      <c r="D87" s="187">
        <f t="shared" si="5"/>
        <v>44429</v>
      </c>
    </row>
    <row r="88" spans="1:4" x14ac:dyDescent="0.25">
      <c r="A88" s="263">
        <v>2021</v>
      </c>
      <c r="B88" s="263">
        <v>34</v>
      </c>
      <c r="C88" s="187">
        <f t="shared" si="4"/>
        <v>44430</v>
      </c>
      <c r="D88" s="187">
        <f t="shared" si="5"/>
        <v>44436</v>
      </c>
    </row>
    <row r="89" spans="1:4" x14ac:dyDescent="0.25">
      <c r="A89" s="263">
        <v>2021</v>
      </c>
      <c r="B89" s="263">
        <v>35</v>
      </c>
      <c r="C89" s="187">
        <f t="shared" si="4"/>
        <v>44437</v>
      </c>
      <c r="D89" s="187">
        <f t="shared" si="5"/>
        <v>44443</v>
      </c>
    </row>
    <row r="90" spans="1:4" x14ac:dyDescent="0.25">
      <c r="A90" s="263">
        <v>2021</v>
      </c>
      <c r="B90" s="263">
        <v>36</v>
      </c>
      <c r="C90" s="187">
        <f t="shared" si="4"/>
        <v>44444</v>
      </c>
      <c r="D90" s="187">
        <f t="shared" si="5"/>
        <v>44450</v>
      </c>
    </row>
    <row r="91" spans="1:4" x14ac:dyDescent="0.25">
      <c r="A91" s="263">
        <v>2021</v>
      </c>
      <c r="B91" s="263">
        <v>37</v>
      </c>
      <c r="C91" s="187">
        <f t="shared" si="4"/>
        <v>44451</v>
      </c>
      <c r="D91" s="187">
        <f t="shared" si="5"/>
        <v>44457</v>
      </c>
    </row>
    <row r="92" spans="1:4" x14ac:dyDescent="0.25">
      <c r="A92" s="263">
        <v>2021</v>
      </c>
      <c r="B92" s="263">
        <v>38</v>
      </c>
      <c r="C92" s="187">
        <f t="shared" si="4"/>
        <v>44458</v>
      </c>
      <c r="D92" s="187">
        <f t="shared" si="5"/>
        <v>44464</v>
      </c>
    </row>
    <row r="93" spans="1:4" x14ac:dyDescent="0.25">
      <c r="A93" s="263">
        <v>2021</v>
      </c>
      <c r="B93" s="263">
        <v>39</v>
      </c>
      <c r="C93" s="187">
        <f t="shared" si="4"/>
        <v>44465</v>
      </c>
      <c r="D93" s="187">
        <f t="shared" si="5"/>
        <v>44471</v>
      </c>
    </row>
    <row r="94" spans="1:4" x14ac:dyDescent="0.25">
      <c r="A94" s="263">
        <v>2021</v>
      </c>
      <c r="B94" s="263">
        <v>40</v>
      </c>
      <c r="C94" s="187">
        <f t="shared" si="4"/>
        <v>44472</v>
      </c>
      <c r="D94" s="187">
        <f t="shared" si="5"/>
        <v>44478</v>
      </c>
    </row>
    <row r="95" spans="1:4" x14ac:dyDescent="0.25">
      <c r="A95" s="263">
        <v>2021</v>
      </c>
      <c r="B95" s="263">
        <v>41</v>
      </c>
      <c r="C95" s="187">
        <f t="shared" si="4"/>
        <v>44479</v>
      </c>
      <c r="D95" s="187">
        <f t="shared" si="5"/>
        <v>44485</v>
      </c>
    </row>
    <row r="96" spans="1:4" x14ac:dyDescent="0.25">
      <c r="A96" s="263">
        <v>2021</v>
      </c>
      <c r="B96" s="263">
        <v>42</v>
      </c>
      <c r="C96" s="187">
        <f t="shared" si="4"/>
        <v>44486</v>
      </c>
      <c r="D96" s="187">
        <f t="shared" si="5"/>
        <v>44492</v>
      </c>
    </row>
    <row r="97" spans="1:4" x14ac:dyDescent="0.25">
      <c r="A97" s="263">
        <v>2021</v>
      </c>
      <c r="B97" s="263">
        <v>43</v>
      </c>
      <c r="C97" s="187">
        <f t="shared" si="4"/>
        <v>44493</v>
      </c>
      <c r="D97" s="187">
        <f t="shared" si="5"/>
        <v>44499</v>
      </c>
    </row>
    <row r="98" spans="1:4" x14ac:dyDescent="0.25">
      <c r="A98" s="263">
        <v>2021</v>
      </c>
      <c r="B98" s="263">
        <v>44</v>
      </c>
      <c r="C98" s="187">
        <f t="shared" si="4"/>
        <v>44500</v>
      </c>
      <c r="D98" s="187">
        <f t="shared" si="5"/>
        <v>44506</v>
      </c>
    </row>
    <row r="99" spans="1:4" x14ac:dyDescent="0.25">
      <c r="A99" s="263">
        <v>2021</v>
      </c>
      <c r="B99" s="263">
        <v>45</v>
      </c>
      <c r="C99" s="187">
        <f t="shared" si="4"/>
        <v>44507</v>
      </c>
      <c r="D99" s="187">
        <f t="shared" si="5"/>
        <v>44513</v>
      </c>
    </row>
    <row r="100" spans="1:4" x14ac:dyDescent="0.25">
      <c r="A100" s="263">
        <v>2021</v>
      </c>
      <c r="B100" s="263">
        <v>46</v>
      </c>
      <c r="C100" s="187">
        <f t="shared" si="4"/>
        <v>44514</v>
      </c>
      <c r="D100" s="187">
        <f t="shared" si="5"/>
        <v>44520</v>
      </c>
    </row>
    <row r="101" spans="1:4" x14ac:dyDescent="0.25">
      <c r="A101" s="263">
        <v>2021</v>
      </c>
      <c r="B101" s="263">
        <v>47</v>
      </c>
      <c r="C101" s="187">
        <f t="shared" si="4"/>
        <v>44521</v>
      </c>
      <c r="D101" s="187">
        <f t="shared" si="5"/>
        <v>44527</v>
      </c>
    </row>
    <row r="102" spans="1:4" x14ac:dyDescent="0.25">
      <c r="A102" s="263">
        <v>2021</v>
      </c>
      <c r="B102" s="263">
        <v>48</v>
      </c>
      <c r="C102" s="187">
        <f t="shared" si="4"/>
        <v>44528</v>
      </c>
      <c r="D102" s="187">
        <f t="shared" si="5"/>
        <v>44534</v>
      </c>
    </row>
    <row r="103" spans="1:4" x14ac:dyDescent="0.25">
      <c r="A103" s="263">
        <v>2021</v>
      </c>
      <c r="B103" s="263">
        <v>49</v>
      </c>
      <c r="C103" s="187">
        <f>D102+1</f>
        <v>44535</v>
      </c>
      <c r="D103" s="187">
        <f>C103+6</f>
        <v>44541</v>
      </c>
    </row>
    <row r="104" spans="1:4" x14ac:dyDescent="0.25">
      <c r="A104" s="263">
        <v>2021</v>
      </c>
      <c r="B104" s="263">
        <v>50</v>
      </c>
      <c r="C104" s="187">
        <f>D103+1</f>
        <v>44542</v>
      </c>
      <c r="D104" s="187">
        <f>C104+6</f>
        <v>44548</v>
      </c>
    </row>
    <row r="105" spans="1:4" x14ac:dyDescent="0.25">
      <c r="A105" s="263">
        <v>2021</v>
      </c>
      <c r="B105" s="263">
        <v>51</v>
      </c>
      <c r="C105" s="187">
        <f>D104+1</f>
        <v>44549</v>
      </c>
      <c r="D105" s="187">
        <f>C105+6</f>
        <v>44555</v>
      </c>
    </row>
    <row r="106" spans="1:4" x14ac:dyDescent="0.25">
      <c r="A106" s="263">
        <v>2021</v>
      </c>
      <c r="B106" s="263">
        <v>52</v>
      </c>
      <c r="C106" s="187">
        <f>D105+1</f>
        <v>44556</v>
      </c>
      <c r="D106" s="187">
        <f>C106+6</f>
        <v>44562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13</vt:i4>
      </vt:variant>
    </vt:vector>
  </HeadingPairs>
  <TitlesOfParts>
    <vt:vector size="13" baseType="lpstr">
      <vt:lpstr>argentina_gral</vt:lpstr>
      <vt:lpstr>casos_provincias</vt:lpstr>
      <vt:lpstr>indic</vt:lpstr>
      <vt:lpstr>UTI</vt:lpstr>
      <vt:lpstr>Hoja2</vt:lpstr>
      <vt:lpstr>Hoja3</vt:lpstr>
      <vt:lpstr>argentina_gral (2)</vt:lpstr>
      <vt:lpstr>POBLA</vt:lpstr>
      <vt:lpstr>caba_ind</vt:lpstr>
      <vt:lpstr>DNUS</vt:lpstr>
      <vt:lpstr>POBL</vt:lpstr>
      <vt:lpstr>POBLAC_AMBA</vt:lpstr>
      <vt:lpstr>SEPI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UNER</dc:creator>
  <cp:lastModifiedBy>UNER</cp:lastModifiedBy>
  <dcterms:created xsi:type="dcterms:W3CDTF">2020-06-08T11:08:34Z</dcterms:created>
  <dcterms:modified xsi:type="dcterms:W3CDTF">2021-06-10T10:40:00Z</dcterms:modified>
</cp:coreProperties>
</file>